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comments1.xml" ContentType="application/vnd.openxmlformats-officedocument.spreadsheetml.comments+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Sarah\Dropbox\2050 Project\MODEL BUILD\"/>
    </mc:Choice>
  </mc:AlternateContent>
  <bookViews>
    <workbookView xWindow="80" yWindow="0" windowWidth="10730" windowHeight="3660" tabRatio="771"/>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EPA Emissions 2013" sheetId="67" r:id="rId59"/>
  </sheet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Control!$N$4:$S$59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VI.b!$E$203</definedName>
    <definedName name="plantsize.VI.b.Landfill_site">VI.b!$E$198</definedName>
    <definedName name="plantsize.VI.b.Recovering_landfill_gas">VI.b!$E$204</definedName>
    <definedName name="plantsize.VI.b.Recovering_sewage_sludge">VI.b!$E$209</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62913"/>
</workbook>
</file>

<file path=xl/calcChain.xml><?xml version="1.0" encoding="utf-8"?>
<calcChain xmlns="http://schemas.openxmlformats.org/spreadsheetml/2006/main">
  <c r="E317" i="17" l="1" a="1"/>
  <c r="E326" i="17" s="1"/>
  <c r="E319" i="17" l="1"/>
  <c r="E327" i="17"/>
  <c r="E323" i="17"/>
  <c r="E320" i="17"/>
  <c r="E324" i="17"/>
  <c r="E328" i="17"/>
  <c r="E317" i="17"/>
  <c r="E321" i="17"/>
  <c r="E325" i="17"/>
  <c r="E329" i="17"/>
  <c r="E318" i="17"/>
  <c r="E322" i="17"/>
  <c r="E9" i="13" l="1"/>
  <c r="P6" i="67" l="1"/>
  <c r="P7" i="67"/>
  <c r="P8" i="67"/>
  <c r="P9" i="67"/>
  <c r="P10" i="67"/>
  <c r="P11" i="67"/>
  <c r="P12" i="67"/>
  <c r="P13" i="67"/>
  <c r="P5" i="67"/>
  <c r="D95" i="47" l="1"/>
  <c r="E34" i="66" l="1"/>
  <c r="C102" i="34" l="1"/>
  <c r="H6" i="67" l="1"/>
  <c r="H7" i="67"/>
  <c r="H8" i="67"/>
  <c r="H9" i="67"/>
  <c r="H10" i="67"/>
  <c r="H11" i="67"/>
  <c r="H12" i="67"/>
  <c r="H13" i="67"/>
  <c r="H14" i="67"/>
  <c r="H15" i="67"/>
  <c r="H16" i="67"/>
  <c r="H17" i="67"/>
  <c r="H18" i="67"/>
  <c r="H19" i="67"/>
  <c r="H20" i="67"/>
  <c r="H21" i="67"/>
  <c r="H22" i="67"/>
  <c r="H23" i="67"/>
  <c r="H24" i="67"/>
  <c r="H25" i="67"/>
  <c r="H26" i="67"/>
  <c r="H27" i="67"/>
  <c r="H28" i="67"/>
  <c r="H29" i="67"/>
  <c r="H30" i="67"/>
  <c r="H31" i="67"/>
  <c r="H32" i="67"/>
  <c r="H33" i="67"/>
  <c r="H34" i="67"/>
  <c r="H35" i="67"/>
  <c r="H36" i="67"/>
  <c r="H37" i="67"/>
  <c r="H38" i="67"/>
  <c r="H5" i="67"/>
  <c r="F39" i="67"/>
  <c r="F40" i="67" s="1"/>
  <c r="H39" i="67" l="1"/>
  <c r="H40" i="67" s="1"/>
  <c r="I37" i="67" s="1"/>
  <c r="F166" i="34"/>
  <c r="I10" i="67" l="1"/>
  <c r="I26" i="67"/>
  <c r="I34" i="67"/>
  <c r="I5" i="67"/>
  <c r="J5" i="67" s="1"/>
  <c r="I6" i="67"/>
  <c r="I19" i="67"/>
  <c r="I18" i="67"/>
  <c r="I35" i="67"/>
  <c r="I38" i="67"/>
  <c r="I36" i="67"/>
  <c r="I15" i="67"/>
  <c r="I28" i="67"/>
  <c r="I23" i="67"/>
  <c r="I24" i="67"/>
  <c r="I9" i="67"/>
  <c r="I22" i="67"/>
  <c r="I7" i="67"/>
  <c r="I31" i="67"/>
  <c r="I8" i="67"/>
  <c r="I17" i="67"/>
  <c r="I14" i="67"/>
  <c r="I30" i="67"/>
  <c r="I11" i="67"/>
  <c r="I27" i="67"/>
  <c r="I32" i="67"/>
  <c r="I20" i="67"/>
  <c r="I13" i="67"/>
  <c r="I21" i="67"/>
  <c r="I16" i="67"/>
  <c r="I12" i="67"/>
  <c r="I25" i="67"/>
  <c r="I29" i="67"/>
  <c r="I33" i="67"/>
  <c r="E3" i="26"/>
  <c r="E3" i="41"/>
  <c r="E3" i="40"/>
  <c r="E3" i="39"/>
  <c r="E3" i="38"/>
  <c r="E3" i="37"/>
  <c r="E3" i="36"/>
  <c r="E3" i="25"/>
  <c r="E3" i="1"/>
  <c r="F186" i="47"/>
  <c r="J6" i="67" l="1"/>
  <c r="J7" i="67" s="1"/>
  <c r="J8" i="67" s="1"/>
  <c r="J9" i="67" s="1"/>
  <c r="J10" i="67" s="1"/>
  <c r="J11" i="67" s="1"/>
  <c r="J12" i="67" s="1"/>
  <c r="J13" i="67" s="1"/>
  <c r="J14" i="67" s="1"/>
  <c r="J15" i="67" s="1"/>
  <c r="J16" i="67" s="1"/>
  <c r="J17" i="67" s="1"/>
  <c r="J18" i="67" s="1"/>
  <c r="J19" i="67" s="1"/>
  <c r="J20" i="67" s="1"/>
  <c r="J21" i="67" s="1"/>
  <c r="J22" i="67" s="1"/>
  <c r="J23" i="67" s="1"/>
  <c r="J24" i="67" s="1"/>
  <c r="J25" i="67" s="1"/>
  <c r="J26" i="67" s="1"/>
  <c r="J27" i="67" s="1"/>
  <c r="J28" i="67" s="1"/>
  <c r="J29" i="67" s="1"/>
  <c r="J30" i="67" s="1"/>
  <c r="J31" i="67" s="1"/>
  <c r="J32" i="67" s="1"/>
  <c r="J33" i="67" s="1"/>
  <c r="J34" i="67" s="1"/>
  <c r="J35" i="67" s="1"/>
  <c r="J36" i="67" s="1"/>
  <c r="J37" i="67" s="1"/>
  <c r="G28" i="67"/>
  <c r="G6" i="67"/>
  <c r="G7" i="67"/>
  <c r="G8" i="67"/>
  <c r="G9" i="67"/>
  <c r="G10" i="67"/>
  <c r="G11" i="67"/>
  <c r="D475" i="34" s="1"/>
  <c r="G12" i="67"/>
  <c r="G13" i="67"/>
  <c r="G14" i="67"/>
  <c r="G15" i="67"/>
  <c r="G16" i="67"/>
  <c r="G17" i="67"/>
  <c r="G18" i="67"/>
  <c r="G19" i="67"/>
  <c r="I78" i="13" s="1"/>
  <c r="G20" i="67"/>
  <c r="F77" i="13" s="1"/>
  <c r="G21" i="67"/>
  <c r="G22" i="67"/>
  <c r="G23" i="67"/>
  <c r="G24" i="67"/>
  <c r="G25" i="67"/>
  <c r="G26" i="67"/>
  <c r="G27" i="67"/>
  <c r="F190" i="47" s="1"/>
  <c r="F149" i="47" s="1"/>
  <c r="G38" i="67"/>
  <c r="G29" i="67"/>
  <c r="D464" i="34" s="1"/>
  <c r="G30" i="67"/>
  <c r="G31" i="67"/>
  <c r="G32" i="67"/>
  <c r="G33" i="67"/>
  <c r="G34" i="67"/>
  <c r="G35" i="67"/>
  <c r="G36" i="67"/>
  <c r="G37" i="67"/>
  <c r="G5" i="67"/>
  <c r="D479" i="34" l="1"/>
  <c r="D470" i="34"/>
  <c r="D469" i="34"/>
  <c r="D471" i="34"/>
  <c r="F171" i="34"/>
  <c r="D476" i="34"/>
  <c r="D477" i="34"/>
  <c r="F165" i="34"/>
  <c r="F183" i="47" l="1"/>
  <c r="F184" i="47"/>
  <c r="F185" i="47"/>
  <c r="F187" i="47"/>
  <c r="F182" i="47"/>
  <c r="F180" i="47" l="1"/>
  <c r="F192" i="47"/>
  <c r="E39" i="66" s="1"/>
  <c r="G40" i="67"/>
  <c r="G39" i="67"/>
  <c r="F141" i="47"/>
  <c r="H67" i="34" l="1"/>
  <c r="F324" i="34" l="1" a="1"/>
  <c r="F324" i="34" s="1"/>
  <c r="E440" i="34"/>
  <c r="E439" i="34"/>
  <c r="F326" i="34" l="1"/>
  <c r="F325" i="34"/>
  <c r="E9" i="34" l="1"/>
  <c r="J438" i="34" l="1"/>
  <c r="N438" i="34"/>
  <c r="G438" i="34"/>
  <c r="K438" i="34"/>
  <c r="F438" i="34"/>
  <c r="M438" i="34"/>
  <c r="H438" i="34"/>
  <c r="L438" i="34"/>
  <c r="I438" i="34"/>
  <c r="H432" i="34"/>
  <c r="L432" i="34"/>
  <c r="I432" i="34"/>
  <c r="M432" i="34"/>
  <c r="G432" i="34"/>
  <c r="F432" i="34"/>
  <c r="K432" i="34"/>
  <c r="J432" i="34"/>
  <c r="N432" i="34"/>
  <c r="E8" i="32"/>
  <c r="E8" i="52"/>
  <c r="E8" i="10"/>
  <c r="T89" i="4"/>
  <c r="G30" i="10" l="1"/>
  <c r="F30" i="10"/>
  <c r="H30" i="10"/>
  <c r="E8" i="58"/>
  <c r="S29" i="60" l="1"/>
  <c r="J97" i="42"/>
  <c r="K97" i="42"/>
  <c r="L96" i="42"/>
  <c r="J99" i="42"/>
  <c r="K99" i="42"/>
  <c r="L99" i="42"/>
  <c r="L97" i="42"/>
  <c r="M97" i="42"/>
  <c r="M99" i="42"/>
  <c r="N97" i="42"/>
  <c r="N99" i="42"/>
  <c r="M96" i="42"/>
  <c r="N96" i="42"/>
  <c r="M87" i="42" l="1"/>
  <c r="M89" i="42"/>
  <c r="J89" i="42"/>
  <c r="J87" i="42"/>
  <c r="I89" i="42"/>
  <c r="I87" i="42"/>
  <c r="K87" i="42"/>
  <c r="K89" i="42"/>
  <c r="L89" i="42"/>
  <c r="L87" i="42"/>
  <c r="E8" i="15" l="1"/>
  <c r="E8" i="13" l="1"/>
  <c r="N47" i="15" l="1"/>
  <c r="T235" i="14" l="1"/>
  <c r="S173" i="14"/>
  <c r="U173" i="14" s="1"/>
  <c r="T173" i="14"/>
  <c r="S174" i="14"/>
  <c r="U174" i="14" s="1"/>
  <c r="T174" i="14"/>
  <c r="S175" i="14"/>
  <c r="U175" i="14" s="1"/>
  <c r="T175" i="14"/>
  <c r="S176" i="14"/>
  <c r="U176" i="14" s="1"/>
  <c r="T176" i="14"/>
  <c r="S177" i="14"/>
  <c r="U177" i="14" s="1"/>
  <c r="T177" i="14"/>
  <c r="S178" i="14"/>
  <c r="U178" i="14" s="1"/>
  <c r="T178" i="14"/>
  <c r="S179" i="14"/>
  <c r="U179" i="14" s="1"/>
  <c r="T179" i="14"/>
  <c r="S180" i="14"/>
  <c r="U180" i="14" s="1"/>
  <c r="T180" i="14"/>
  <c r="S181" i="14"/>
  <c r="U181" i="14" s="1"/>
  <c r="T181" i="14"/>
  <c r="S182" i="14"/>
  <c r="U182" i="14" s="1"/>
  <c r="T182" i="14"/>
  <c r="S183" i="14"/>
  <c r="U183" i="14" s="1"/>
  <c r="T183" i="14"/>
  <c r="S184" i="14"/>
  <c r="U184" i="14" s="1"/>
  <c r="T184" i="14"/>
  <c r="S185" i="14"/>
  <c r="U185" i="14" s="1"/>
  <c r="T185" i="14"/>
  <c r="S186" i="14"/>
  <c r="U186" i="14" s="1"/>
  <c r="T186" i="14"/>
  <c r="S187" i="14"/>
  <c r="U187" i="14" s="1"/>
  <c r="T187" i="14"/>
  <c r="S188" i="14"/>
  <c r="U188" i="14" s="1"/>
  <c r="T188" i="14"/>
  <c r="S189" i="14"/>
  <c r="U189" i="14" s="1"/>
  <c r="T189" i="14"/>
  <c r="S190" i="14"/>
  <c r="U190" i="14" s="1"/>
  <c r="T190" i="14"/>
  <c r="S191" i="14"/>
  <c r="U191" i="14" s="1"/>
  <c r="T191" i="14"/>
  <c r="S192" i="14"/>
  <c r="U192" i="14" s="1"/>
  <c r="T192" i="14"/>
  <c r="S193" i="14"/>
  <c r="U193" i="14" s="1"/>
  <c r="T193" i="14"/>
  <c r="S194" i="14"/>
  <c r="U194" i="14" s="1"/>
  <c r="T194" i="14"/>
  <c r="S195" i="14"/>
  <c r="U195" i="14" s="1"/>
  <c r="T195" i="14"/>
  <c r="S196" i="14"/>
  <c r="U196" i="14" s="1"/>
  <c r="T196" i="14"/>
  <c r="S197" i="14"/>
  <c r="U197" i="14" s="1"/>
  <c r="T197" i="14"/>
  <c r="S198" i="14"/>
  <c r="U198" i="14" s="1"/>
  <c r="T198" i="14"/>
  <c r="S199" i="14"/>
  <c r="U199" i="14" s="1"/>
  <c r="T199" i="14"/>
  <c r="S200" i="14"/>
  <c r="U200" i="14" s="1"/>
  <c r="T200" i="14"/>
  <c r="S201" i="14"/>
  <c r="U201" i="14" s="1"/>
  <c r="T201" i="14"/>
  <c r="S202" i="14"/>
  <c r="U202" i="14" s="1"/>
  <c r="T202" i="14"/>
  <c r="S203" i="14"/>
  <c r="U203" i="14" s="1"/>
  <c r="T203" i="14"/>
  <c r="S204" i="14"/>
  <c r="U204" i="14" s="1"/>
  <c r="T204" i="14"/>
  <c r="S205" i="14"/>
  <c r="U205" i="14" s="1"/>
  <c r="T205" i="14"/>
  <c r="S206" i="14"/>
  <c r="U206" i="14" s="1"/>
  <c r="T206" i="14"/>
  <c r="S207" i="14"/>
  <c r="U207" i="14" s="1"/>
  <c r="T207" i="14"/>
  <c r="S208" i="14"/>
  <c r="U208" i="14" s="1"/>
  <c r="T208" i="14"/>
  <c r="S209" i="14"/>
  <c r="U209" i="14" s="1"/>
  <c r="T209" i="14"/>
  <c r="S210" i="14"/>
  <c r="U210" i="14" s="1"/>
  <c r="T210" i="14"/>
  <c r="S211" i="14"/>
  <c r="U211" i="14" s="1"/>
  <c r="T211" i="14"/>
  <c r="S212" i="14"/>
  <c r="U212" i="14" s="1"/>
  <c r="T212" i="14"/>
  <c r="S213" i="14"/>
  <c r="U213" i="14" s="1"/>
  <c r="T213" i="14"/>
  <c r="S214" i="14"/>
  <c r="U214" i="14" s="1"/>
  <c r="T214" i="14"/>
  <c r="S215" i="14"/>
  <c r="U215" i="14" s="1"/>
  <c r="T215" i="14"/>
  <c r="S216" i="14"/>
  <c r="U216" i="14" s="1"/>
  <c r="T216" i="14"/>
  <c r="S217" i="14"/>
  <c r="U217" i="14" s="1"/>
  <c r="T217" i="14"/>
  <c r="S218" i="14"/>
  <c r="U218" i="14" s="1"/>
  <c r="T218" i="14"/>
  <c r="S219" i="14"/>
  <c r="U219" i="14" s="1"/>
  <c r="T219" i="14"/>
  <c r="S220" i="14"/>
  <c r="U220" i="14" s="1"/>
  <c r="T220" i="14"/>
  <c r="S221" i="14"/>
  <c r="U221" i="14" s="1"/>
  <c r="T221" i="14"/>
  <c r="S222" i="14"/>
  <c r="U222" i="14" s="1"/>
  <c r="T222" i="14"/>
  <c r="S223" i="14"/>
  <c r="U223" i="14" s="1"/>
  <c r="T223" i="14"/>
  <c r="S224" i="14"/>
  <c r="U224" i="14" s="1"/>
  <c r="T224" i="14"/>
  <c r="S225" i="14"/>
  <c r="U225" i="14" s="1"/>
  <c r="T225" i="14"/>
  <c r="S226" i="14"/>
  <c r="U226" i="14" s="1"/>
  <c r="T226" i="14"/>
  <c r="S227" i="14"/>
  <c r="U227" i="14" s="1"/>
  <c r="T227" i="14"/>
  <c r="S228" i="14"/>
  <c r="U228" i="14" s="1"/>
  <c r="T228" i="14"/>
  <c r="S229" i="14"/>
  <c r="U229" i="14" s="1"/>
  <c r="T229" i="14"/>
  <c r="S230" i="14"/>
  <c r="U230" i="14" s="1"/>
  <c r="T230" i="14"/>
  <c r="S231" i="14"/>
  <c r="U231" i="14" s="1"/>
  <c r="T231" i="14"/>
  <c r="S232" i="14"/>
  <c r="U232" i="14" s="1"/>
  <c r="T232" i="14"/>
  <c r="S233" i="14"/>
  <c r="U233" i="14" s="1"/>
  <c r="T233" i="14"/>
  <c r="S234" i="14"/>
  <c r="U234" i="14" s="1"/>
  <c r="T234" i="14"/>
  <c r="S235" i="14"/>
  <c r="U235" i="14" s="1"/>
  <c r="S172" i="14"/>
  <c r="U172" i="14" s="1"/>
  <c r="T172" i="14"/>
  <c r="S170" i="14"/>
  <c r="T170" i="14" s="1"/>
  <c r="S171" i="14"/>
  <c r="T171" i="14" s="1"/>
  <c r="S169" i="14"/>
  <c r="T169" i="14" s="1"/>
  <c r="S168" i="14"/>
  <c r="U168" i="14" s="1"/>
  <c r="S164" i="14"/>
  <c r="U164" i="14" s="1"/>
  <c r="S163" i="14"/>
  <c r="U163" i="14" s="1"/>
  <c r="U171" i="14" l="1"/>
  <c r="U170" i="14"/>
  <c r="T168" i="14"/>
  <c r="U169" i="14"/>
  <c r="T19" i="14" l="1"/>
  <c r="T20" i="14"/>
  <c r="T21" i="14"/>
  <c r="T18" i="14"/>
  <c r="S18" i="14" l="1"/>
  <c r="S19" i="14"/>
  <c r="S20" i="14"/>
  <c r="S21" i="14"/>
  <c r="N19" i="15" l="1"/>
  <c r="N20" i="15"/>
  <c r="N21" i="15"/>
  <c r="N18" i="15"/>
  <c r="E283" i="15" l="1"/>
  <c r="N35" i="15"/>
  <c r="N36" i="15"/>
  <c r="P36" i="15" s="1"/>
  <c r="G36" i="15" s="1"/>
  <c r="H36" i="15" s="1"/>
  <c r="I36" i="15" s="1"/>
  <c r="J36" i="15" s="1"/>
  <c r="K36" i="15" s="1"/>
  <c r="L36" i="15" s="1"/>
  <c r="M36" i="15" s="1"/>
  <c r="N37" i="15"/>
  <c r="P37" i="15" s="1"/>
  <c r="G37" i="15" s="1"/>
  <c r="H37" i="15" s="1"/>
  <c r="I37" i="15" s="1"/>
  <c r="J37" i="15" s="1"/>
  <c r="K37" i="15" s="1"/>
  <c r="L37" i="15" s="1"/>
  <c r="M37" i="15" s="1"/>
  <c r="N34" i="15"/>
  <c r="P34" i="15" s="1"/>
  <c r="G34" i="15" s="1"/>
  <c r="H34" i="15" s="1"/>
  <c r="I34" i="15" s="1"/>
  <c r="J34" i="15" s="1"/>
  <c r="K34" i="15" s="1"/>
  <c r="L34" i="15" s="1"/>
  <c r="M34" i="15" s="1"/>
  <c r="P35" i="15"/>
  <c r="G35" i="15" s="1"/>
  <c r="H35" i="15" s="1"/>
  <c r="I35" i="15" s="1"/>
  <c r="J35" i="15" s="1"/>
  <c r="K35" i="15" s="1"/>
  <c r="L35" i="15" s="1"/>
  <c r="M35" i="15" s="1"/>
  <c r="P18" i="15"/>
  <c r="G18" i="15" s="1"/>
  <c r="H18" i="15" s="1"/>
  <c r="I18" i="15" s="1"/>
  <c r="J18" i="15" s="1"/>
  <c r="K18" i="15" s="1"/>
  <c r="L18" i="15" s="1"/>
  <c r="M18" i="15" s="1"/>
  <c r="P21" i="15"/>
  <c r="G21" i="15" s="1"/>
  <c r="H21" i="15" s="1"/>
  <c r="I21" i="15" s="1"/>
  <c r="J21" i="15" s="1"/>
  <c r="K21" i="15" s="1"/>
  <c r="L21" i="15" s="1"/>
  <c r="M21" i="15" s="1"/>
  <c r="P20" i="15"/>
  <c r="G20" i="15" s="1"/>
  <c r="H20" i="15" s="1"/>
  <c r="I20" i="15" s="1"/>
  <c r="J20" i="15" s="1"/>
  <c r="K20" i="15" s="1"/>
  <c r="L20" i="15" s="1"/>
  <c r="M20" i="15" s="1"/>
  <c r="P19" i="15"/>
  <c r="G19" i="15" s="1"/>
  <c r="H19" i="15" s="1"/>
  <c r="I19" i="15" s="1"/>
  <c r="J19" i="15" s="1"/>
  <c r="K19" i="15" s="1"/>
  <c r="L19" i="15" s="1"/>
  <c r="M19" i="15" s="1"/>
  <c r="D424" i="15" l="1"/>
  <c r="E281" i="15"/>
  <c r="E280" i="15"/>
  <c r="E276" i="15"/>
  <c r="E275" i="15"/>
  <c r="N70" i="15" l="1"/>
  <c r="N62" i="15"/>
  <c r="N86" i="15" l="1"/>
  <c r="D415" i="15" l="1"/>
  <c r="E10" i="14"/>
  <c r="N335" i="14"/>
  <c r="E9" i="14"/>
  <c r="O757" i="14"/>
  <c r="D787" i="14"/>
  <c r="D777" i="14"/>
  <c r="I286" i="14" l="1"/>
  <c r="I303" i="14" s="1"/>
  <c r="H286" i="14"/>
  <c r="H303" i="14" s="1"/>
  <c r="L286" i="14"/>
  <c r="L303" i="14" s="1"/>
  <c r="G287" i="14"/>
  <c r="G304" i="14" s="1"/>
  <c r="K287" i="14"/>
  <c r="K304" i="14" s="1"/>
  <c r="F288" i="14"/>
  <c r="J288" i="14"/>
  <c r="N288" i="14"/>
  <c r="G286" i="14"/>
  <c r="G303" i="14" s="1"/>
  <c r="K286" i="14"/>
  <c r="K303" i="14" s="1"/>
  <c r="F287" i="14"/>
  <c r="F304" i="14" s="1"/>
  <c r="J287" i="14"/>
  <c r="J304" i="14" s="1"/>
  <c r="N287" i="14"/>
  <c r="N304" i="14" s="1"/>
  <c r="I288" i="14"/>
  <c r="M288" i="14"/>
  <c r="F286" i="14"/>
  <c r="F303" i="14" s="1"/>
  <c r="J286" i="14"/>
  <c r="J303" i="14" s="1"/>
  <c r="N286" i="14"/>
  <c r="N303" i="14" s="1"/>
  <c r="I287" i="14"/>
  <c r="I304" i="14" s="1"/>
  <c r="M287" i="14"/>
  <c r="M304" i="14" s="1"/>
  <c r="H288" i="14"/>
  <c r="L288" i="14"/>
  <c r="M286" i="14"/>
  <c r="M303" i="14" s="1"/>
  <c r="H287" i="14"/>
  <c r="H304" i="14" s="1"/>
  <c r="L287" i="14"/>
  <c r="L304" i="14" s="1"/>
  <c r="G288" i="14"/>
  <c r="K288" i="14"/>
  <c r="F289" i="14"/>
  <c r="J289" i="14"/>
  <c r="N289" i="14"/>
  <c r="I290" i="14"/>
  <c r="M290" i="14"/>
  <c r="L289" i="14"/>
  <c r="K290" i="14"/>
  <c r="G289" i="14"/>
  <c r="F290" i="14"/>
  <c r="N290" i="14"/>
  <c r="I289" i="14"/>
  <c r="M289" i="14"/>
  <c r="H290" i="14"/>
  <c r="L290" i="14"/>
  <c r="H289" i="14"/>
  <c r="G290" i="14"/>
  <c r="K289" i="14"/>
  <c r="J290" i="14"/>
  <c r="S162" i="14"/>
  <c r="U162" i="14" s="1"/>
  <c r="S161" i="14"/>
  <c r="U161" i="14" s="1"/>
  <c r="S160" i="14"/>
  <c r="R160" i="14" s="1"/>
  <c r="S158" i="14"/>
  <c r="U158" i="14" s="1"/>
  <c r="S159" i="14"/>
  <c r="R159" i="14" s="1"/>
  <c r="S157" i="14"/>
  <c r="R157" i="14" s="1"/>
  <c r="G305" i="14" l="1"/>
  <c r="F305" i="14"/>
  <c r="K305" i="14"/>
  <c r="L305" i="14"/>
  <c r="J305" i="14"/>
  <c r="M305" i="14"/>
  <c r="H305" i="14"/>
  <c r="I305" i="14"/>
  <c r="N305" i="14"/>
  <c r="U159" i="14"/>
  <c r="U157" i="14"/>
  <c r="R158" i="14"/>
  <c r="U160" i="14"/>
  <c r="S149" i="14" l="1"/>
  <c r="S150" i="14"/>
  <c r="S156" i="14" l="1"/>
  <c r="R156" i="14" s="1"/>
  <c r="S155" i="14"/>
  <c r="U155" i="14" l="1"/>
  <c r="R155" i="14"/>
  <c r="U156" i="14"/>
  <c r="S151" i="14" l="1"/>
  <c r="U151" i="14" s="1"/>
  <c r="R150" i="14"/>
  <c r="R149" i="14"/>
  <c r="S133" i="14"/>
  <c r="T133" i="14" s="1"/>
  <c r="S132" i="14"/>
  <c r="U132" i="14" s="1"/>
  <c r="U149" i="14"/>
  <c r="S146" i="14"/>
  <c r="U146" i="14" s="1"/>
  <c r="S145" i="14"/>
  <c r="E8" i="17"/>
  <c r="F68" i="17"/>
  <c r="G68" i="17"/>
  <c r="H68" i="17"/>
  <c r="I68" i="17"/>
  <c r="J68" i="17"/>
  <c r="K68" i="17"/>
  <c r="L68" i="17"/>
  <c r="M68" i="17"/>
  <c r="N68" i="17"/>
  <c r="O68" i="17"/>
  <c r="P68" i="17"/>
  <c r="Q68" i="17"/>
  <c r="R68" i="17"/>
  <c r="S68" i="17"/>
  <c r="T68" i="17"/>
  <c r="E68" i="17"/>
  <c r="U145" i="14" l="1"/>
  <c r="T145" i="14"/>
  <c r="U150" i="14"/>
  <c r="R151" i="14"/>
  <c r="U133" i="14"/>
  <c r="T132" i="14"/>
  <c r="T146" i="14"/>
  <c r="D6" i="21" l="1"/>
  <c r="F104" i="12" s="1"/>
  <c r="D7" i="21"/>
  <c r="G104" i="12" s="1"/>
  <c r="D8" i="21"/>
  <c r="H104" i="12" s="1"/>
  <c r="D9" i="21"/>
  <c r="I104" i="12" s="1"/>
  <c r="D10" i="21"/>
  <c r="J104" i="12" s="1"/>
  <c r="D11" i="21"/>
  <c r="K104" i="12" s="1"/>
  <c r="D12" i="21"/>
  <c r="L104" i="12" s="1"/>
  <c r="D13" i="21"/>
  <c r="M104" i="12" s="1"/>
  <c r="D14" i="21"/>
  <c r="N104" i="12" l="1"/>
  <c r="F20" i="21"/>
  <c r="F580" i="4"/>
  <c r="P43" i="4"/>
  <c r="P41" i="4"/>
  <c r="P42" i="4"/>
  <c r="E795" i="4"/>
  <c r="X18" i="43" l="1"/>
  <c r="X19" i="43" s="1"/>
  <c r="Y18" i="43"/>
  <c r="Y19" i="43" s="1"/>
  <c r="Z18" i="43"/>
  <c r="Z19" i="43" s="1"/>
  <c r="AA18" i="43"/>
  <c r="AA19" i="43" s="1"/>
  <c r="AB18" i="43"/>
  <c r="AB19" i="43" s="1"/>
  <c r="AC18" i="43"/>
  <c r="AC19" i="43" s="1"/>
  <c r="AD18" i="43"/>
  <c r="AD19" i="43" s="1"/>
  <c r="AE18" i="43"/>
  <c r="AE19" i="43" s="1"/>
  <c r="AF18" i="43"/>
  <c r="AF19" i="43" s="1"/>
  <c r="W18" i="43"/>
  <c r="W19" i="43" s="1"/>
  <c r="E7" i="7"/>
  <c r="E8" i="7"/>
  <c r="E9" i="4" l="1"/>
  <c r="G65" i="52" l="1"/>
  <c r="H65" i="52"/>
  <c r="I65" i="52"/>
  <c r="J65" i="52"/>
  <c r="K65" i="52"/>
  <c r="L65" i="52"/>
  <c r="M65" i="52"/>
  <c r="N65" i="52"/>
  <c r="F65" i="52"/>
  <c r="C30" i="24" l="1"/>
  <c r="G105" i="58" l="1"/>
  <c r="E36" i="66"/>
  <c r="M25" i="66" s="1"/>
  <c r="F205" i="47"/>
  <c r="AY205" i="47" s="1"/>
  <c r="AZ203" i="47"/>
  <c r="E7" i="6"/>
  <c r="I20" i="52"/>
  <c r="I61" i="52" s="1"/>
  <c r="E7" i="9"/>
  <c r="E7" i="8"/>
  <c r="H19" i="8" s="1"/>
  <c r="E8" i="33"/>
  <c r="G159" i="10"/>
  <c r="I39" i="10"/>
  <c r="I167" i="10" s="1"/>
  <c r="E7" i="10"/>
  <c r="E8" i="30"/>
  <c r="E7" i="50"/>
  <c r="E9" i="17"/>
  <c r="E10" i="17"/>
  <c r="E10" i="4"/>
  <c r="E11" i="4"/>
  <c r="G176" i="13"/>
  <c r="H176" i="13" s="1"/>
  <c r="I176" i="13" s="1"/>
  <c r="J176" i="13" s="1"/>
  <c r="K176" i="13" s="1"/>
  <c r="L176" i="13" s="1"/>
  <c r="M176" i="13" s="1"/>
  <c r="N176" i="13" s="1"/>
  <c r="K364" i="13"/>
  <c r="E8" i="34"/>
  <c r="E326" i="34" s="1"/>
  <c r="I363" i="34"/>
  <c r="F47" i="22"/>
  <c r="E7" i="42"/>
  <c r="E8" i="16"/>
  <c r="N20" i="16" s="1"/>
  <c r="I20" i="7"/>
  <c r="G30" i="7"/>
  <c r="I162" i="7" s="1"/>
  <c r="E8" i="43"/>
  <c r="H39" i="10"/>
  <c r="H167" i="10" s="1"/>
  <c r="M56" i="65"/>
  <c r="M15" i="65"/>
  <c r="M26" i="65"/>
  <c r="D6" i="65"/>
  <c r="E7" i="57"/>
  <c r="E8" i="14"/>
  <c r="E8" i="12"/>
  <c r="E9" i="12"/>
  <c r="E8" i="18"/>
  <c r="E9" i="18"/>
  <c r="E7" i="35"/>
  <c r="F258" i="35" s="1"/>
  <c r="M105" i="60"/>
  <c r="M99" i="60"/>
  <c r="M111" i="60"/>
  <c r="M117" i="60"/>
  <c r="M129" i="60"/>
  <c r="M61" i="64"/>
  <c r="M43" i="64"/>
  <c r="M35" i="64"/>
  <c r="M23" i="64"/>
  <c r="M4" i="64"/>
  <c r="M143" i="63"/>
  <c r="M118" i="63"/>
  <c r="M107" i="63"/>
  <c r="M84" i="63"/>
  <c r="M11" i="63"/>
  <c r="N81" i="24"/>
  <c r="BH282" i="47"/>
  <c r="D116" i="47"/>
  <c r="N29" i="43"/>
  <c r="N21" i="43"/>
  <c r="N13" i="43"/>
  <c r="BH304" i="47"/>
  <c r="F327" i="34" a="1"/>
  <c r="F327" i="34" s="1"/>
  <c r="N85" i="16"/>
  <c r="E8" i="46"/>
  <c r="AZ421" i="47"/>
  <c r="BF414" i="47" s="1"/>
  <c r="AD9" i="60"/>
  <c r="AE9" i="60"/>
  <c r="AF9" i="60"/>
  <c r="AG9" i="60"/>
  <c r="AH9" i="60"/>
  <c r="AI9" i="60"/>
  <c r="AJ9" i="60"/>
  <c r="AK9" i="60"/>
  <c r="AL9" i="60"/>
  <c r="AD10" i="60"/>
  <c r="AE10" i="60"/>
  <c r="AF10" i="60"/>
  <c r="AG10" i="60"/>
  <c r="AH10" i="60"/>
  <c r="AI10" i="60"/>
  <c r="AJ10" i="60"/>
  <c r="AK10" i="60"/>
  <c r="AL10" i="60"/>
  <c r="AD13" i="60"/>
  <c r="AE13" i="60"/>
  <c r="AF13" i="60"/>
  <c r="AG13" i="60"/>
  <c r="AH13" i="60"/>
  <c r="AI13" i="60"/>
  <c r="AJ13" i="60"/>
  <c r="AK13" i="60"/>
  <c r="AL13" i="60"/>
  <c r="AD14" i="60"/>
  <c r="AE14" i="60"/>
  <c r="AF14" i="60"/>
  <c r="AG14" i="60"/>
  <c r="AH14" i="60"/>
  <c r="AI14" i="60"/>
  <c r="AJ14" i="60"/>
  <c r="AK14" i="60"/>
  <c r="AL14" i="60"/>
  <c r="AD18" i="60"/>
  <c r="AE18" i="60"/>
  <c r="AF18" i="60"/>
  <c r="AG18" i="60"/>
  <c r="AH18" i="60"/>
  <c r="AI18" i="60"/>
  <c r="AJ18" i="60"/>
  <c r="AK18" i="60"/>
  <c r="AL18" i="60"/>
  <c r="AD20" i="60"/>
  <c r="AE20" i="60"/>
  <c r="AF20" i="60"/>
  <c r="AG20" i="60"/>
  <c r="AH20" i="60"/>
  <c r="AI20" i="60"/>
  <c r="AJ20" i="60"/>
  <c r="AK20" i="60"/>
  <c r="AL20" i="60"/>
  <c r="AD21" i="60"/>
  <c r="AE21" i="60"/>
  <c r="AF21" i="60"/>
  <c r="AG21" i="60"/>
  <c r="AH21" i="60"/>
  <c r="AI21" i="60"/>
  <c r="AJ21" i="60"/>
  <c r="AK21" i="60"/>
  <c r="AL21" i="60"/>
  <c r="AD23" i="60"/>
  <c r="AE23" i="60"/>
  <c r="AF23" i="60"/>
  <c r="AG23" i="60"/>
  <c r="AH23" i="60"/>
  <c r="AI23" i="60"/>
  <c r="AJ23" i="60"/>
  <c r="AK23" i="60"/>
  <c r="AL23" i="60"/>
  <c r="AD28" i="60"/>
  <c r="AE28" i="60"/>
  <c r="AF28" i="60"/>
  <c r="AG28" i="60"/>
  <c r="AH28" i="60"/>
  <c r="AI28" i="60"/>
  <c r="AJ28" i="60"/>
  <c r="AK28" i="60"/>
  <c r="AL28" i="60"/>
  <c r="AD31" i="60"/>
  <c r="AE31" i="60"/>
  <c r="AF31" i="60"/>
  <c r="AG31" i="60"/>
  <c r="AH31" i="60"/>
  <c r="AI31" i="60"/>
  <c r="AJ31" i="60"/>
  <c r="AK31" i="60"/>
  <c r="AL31" i="60"/>
  <c r="AD36" i="60"/>
  <c r="AE36" i="60"/>
  <c r="AF36" i="60"/>
  <c r="AG36" i="60"/>
  <c r="AH36" i="60"/>
  <c r="AI36" i="60"/>
  <c r="AJ36" i="60"/>
  <c r="AK36" i="60"/>
  <c r="AL36" i="60"/>
  <c r="AD39" i="60"/>
  <c r="AE39" i="60"/>
  <c r="AF39" i="60"/>
  <c r="AG39" i="60"/>
  <c r="AH39" i="60"/>
  <c r="AI39" i="60"/>
  <c r="AJ39" i="60"/>
  <c r="AK39" i="60"/>
  <c r="AL39" i="60"/>
  <c r="AD41" i="60"/>
  <c r="AE41" i="60"/>
  <c r="AF41" i="60"/>
  <c r="AG41" i="60"/>
  <c r="AH41" i="60"/>
  <c r="AI41" i="60"/>
  <c r="AJ41" i="60"/>
  <c r="AK41" i="60"/>
  <c r="AL41" i="60"/>
  <c r="AD42" i="60"/>
  <c r="AE42" i="60"/>
  <c r="AF42" i="60"/>
  <c r="AG42" i="60"/>
  <c r="AH42" i="60"/>
  <c r="AI42" i="60"/>
  <c r="AJ42" i="60"/>
  <c r="AK42" i="60"/>
  <c r="AL42" i="60"/>
  <c r="AD43" i="60"/>
  <c r="AE43" i="60"/>
  <c r="AF43" i="60"/>
  <c r="AG43" i="60"/>
  <c r="AH43" i="60"/>
  <c r="AI43" i="60"/>
  <c r="AJ43" i="60"/>
  <c r="AK43" i="60"/>
  <c r="AL43" i="60"/>
  <c r="AD45" i="60"/>
  <c r="AE45" i="60"/>
  <c r="AF45" i="60"/>
  <c r="AG45" i="60"/>
  <c r="AH45" i="60"/>
  <c r="AI45" i="60"/>
  <c r="AJ45" i="60"/>
  <c r="AK45" i="60"/>
  <c r="AL45" i="60"/>
  <c r="AD48" i="60"/>
  <c r="AE48" i="60"/>
  <c r="AF48" i="60"/>
  <c r="AG48" i="60"/>
  <c r="AH48" i="60"/>
  <c r="AI48" i="60"/>
  <c r="AJ48" i="60"/>
  <c r="AK48" i="60"/>
  <c r="AL48" i="60"/>
  <c r="AD53" i="60"/>
  <c r="AE53" i="60"/>
  <c r="AF53" i="60"/>
  <c r="AG53" i="60"/>
  <c r="AH53" i="60"/>
  <c r="AI53" i="60"/>
  <c r="AJ53" i="60"/>
  <c r="AK53" i="60"/>
  <c r="AL53" i="60"/>
  <c r="AD54" i="60"/>
  <c r="AE54" i="60"/>
  <c r="AF54" i="60"/>
  <c r="AG54" i="60"/>
  <c r="AH54" i="60"/>
  <c r="AI54" i="60"/>
  <c r="AJ54" i="60"/>
  <c r="AK54" i="60"/>
  <c r="AL54" i="60"/>
  <c r="AD55" i="60"/>
  <c r="AE55" i="60"/>
  <c r="AF55" i="60"/>
  <c r="AG55" i="60"/>
  <c r="AH55" i="60"/>
  <c r="AI55" i="60"/>
  <c r="AJ55" i="60"/>
  <c r="AK55" i="60"/>
  <c r="AL55" i="60"/>
  <c r="AD56" i="60"/>
  <c r="AE56" i="60"/>
  <c r="AF56" i="60"/>
  <c r="AG56" i="60"/>
  <c r="AH56" i="60"/>
  <c r="AI56" i="60"/>
  <c r="AJ56" i="60"/>
  <c r="AK56" i="60"/>
  <c r="AL56" i="60"/>
  <c r="AE6" i="60"/>
  <c r="AF6" i="60"/>
  <c r="AG6" i="60"/>
  <c r="AH6" i="60"/>
  <c r="AI6" i="60"/>
  <c r="AJ6" i="60"/>
  <c r="AK6" i="60"/>
  <c r="AL6" i="60"/>
  <c r="AD6" i="60"/>
  <c r="AA47" i="60"/>
  <c r="Z47" i="60"/>
  <c r="Y47" i="60"/>
  <c r="X47" i="60"/>
  <c r="W47" i="60"/>
  <c r="V47" i="60"/>
  <c r="U47" i="60"/>
  <c r="T47" i="60"/>
  <c r="S47" i="60"/>
  <c r="AA46" i="60"/>
  <c r="Z46" i="60"/>
  <c r="Y46" i="60"/>
  <c r="X46" i="60"/>
  <c r="W46" i="60"/>
  <c r="V46" i="60"/>
  <c r="U46" i="60"/>
  <c r="T46" i="60"/>
  <c r="S46" i="60"/>
  <c r="AA44" i="60"/>
  <c r="Z44" i="60"/>
  <c r="Y44" i="60"/>
  <c r="X44" i="60"/>
  <c r="W44" i="60"/>
  <c r="V44" i="60"/>
  <c r="U44" i="60"/>
  <c r="T44" i="60"/>
  <c r="S44" i="60"/>
  <c r="AA37" i="60"/>
  <c r="Z37" i="60"/>
  <c r="Y37" i="60"/>
  <c r="X37" i="60"/>
  <c r="W37" i="60"/>
  <c r="V37" i="60"/>
  <c r="U37" i="60"/>
  <c r="T37" i="60"/>
  <c r="S37" i="60"/>
  <c r="AA35" i="60"/>
  <c r="Z35" i="60"/>
  <c r="Y35" i="60"/>
  <c r="X35" i="60"/>
  <c r="W35" i="60"/>
  <c r="V35" i="60"/>
  <c r="U35" i="60"/>
  <c r="T35" i="60"/>
  <c r="S35" i="60"/>
  <c r="AA33" i="60"/>
  <c r="Z33" i="60"/>
  <c r="Y33" i="60"/>
  <c r="X33" i="60"/>
  <c r="W33" i="60"/>
  <c r="V33" i="60"/>
  <c r="U33" i="60"/>
  <c r="T33" i="60"/>
  <c r="S33" i="60"/>
  <c r="AA32" i="60"/>
  <c r="Z32" i="60"/>
  <c r="Y32" i="60"/>
  <c r="X32" i="60"/>
  <c r="W32" i="60"/>
  <c r="V32" i="60"/>
  <c r="U32" i="60"/>
  <c r="T32" i="60"/>
  <c r="S32" i="60"/>
  <c r="AA31" i="60"/>
  <c r="Z31" i="60"/>
  <c r="Y31" i="60"/>
  <c r="X31" i="60"/>
  <c r="W31" i="60"/>
  <c r="V31" i="60"/>
  <c r="U31" i="60"/>
  <c r="T31" i="60"/>
  <c r="S31" i="60"/>
  <c r="AA30" i="60"/>
  <c r="Z30" i="60"/>
  <c r="Y30" i="60"/>
  <c r="X30" i="60"/>
  <c r="W30" i="60"/>
  <c r="V30" i="60"/>
  <c r="U30" i="60"/>
  <c r="T30" i="60"/>
  <c r="S30" i="60"/>
  <c r="AA29" i="60"/>
  <c r="Z29" i="60"/>
  <c r="Y29" i="60"/>
  <c r="X29" i="60"/>
  <c r="W29" i="60"/>
  <c r="V29" i="60"/>
  <c r="U29" i="60"/>
  <c r="T29" i="60"/>
  <c r="AA27" i="60"/>
  <c r="Z27" i="60"/>
  <c r="Y27" i="60"/>
  <c r="X27" i="60"/>
  <c r="W27" i="60"/>
  <c r="V27" i="60"/>
  <c r="U27" i="60"/>
  <c r="T27" i="60"/>
  <c r="S27" i="60"/>
  <c r="AA26" i="60"/>
  <c r="Z26" i="60"/>
  <c r="Y26" i="60"/>
  <c r="X26" i="60"/>
  <c r="W26" i="60"/>
  <c r="V26" i="60"/>
  <c r="U26" i="60"/>
  <c r="T26" i="60"/>
  <c r="S26" i="60"/>
  <c r="AA23" i="60"/>
  <c r="Z23" i="60"/>
  <c r="Y23" i="60"/>
  <c r="X23" i="60"/>
  <c r="W23" i="60"/>
  <c r="V23" i="60"/>
  <c r="U23" i="60"/>
  <c r="T23" i="60"/>
  <c r="S23" i="60"/>
  <c r="AA22" i="60"/>
  <c r="Z22" i="60"/>
  <c r="Y22" i="60"/>
  <c r="X22" i="60"/>
  <c r="W22" i="60"/>
  <c r="V22" i="60"/>
  <c r="U22" i="60"/>
  <c r="T22" i="60"/>
  <c r="S22" i="60"/>
  <c r="AA16" i="60"/>
  <c r="Z16" i="60"/>
  <c r="Y16" i="60"/>
  <c r="X16" i="60"/>
  <c r="W16" i="60"/>
  <c r="V16" i="60"/>
  <c r="U16" i="60"/>
  <c r="T16" i="60"/>
  <c r="S16" i="60"/>
  <c r="AA7" i="60"/>
  <c r="Z7" i="60"/>
  <c r="Y7" i="60"/>
  <c r="X7" i="60"/>
  <c r="W7" i="60"/>
  <c r="V7" i="60"/>
  <c r="U7" i="60"/>
  <c r="T7" i="60"/>
  <c r="S7" i="60"/>
  <c r="M4" i="60"/>
  <c r="D172" i="61"/>
  <c r="D173" i="61"/>
  <c r="D174" i="61"/>
  <c r="D175" i="61"/>
  <c r="D176" i="61"/>
  <c r="D177" i="61"/>
  <c r="D178" i="61"/>
  <c r="E127" i="61"/>
  <c r="N60" i="61"/>
  <c r="N54" i="61"/>
  <c r="N48" i="61"/>
  <c r="N42" i="61"/>
  <c r="N14" i="61"/>
  <c r="F19" i="61"/>
  <c r="D9" i="61"/>
  <c r="N6" i="61"/>
  <c r="Q20" i="59"/>
  <c r="Q13" i="59"/>
  <c r="Q3" i="59"/>
  <c r="E11" i="22"/>
  <c r="AT46" i="3"/>
  <c r="AT45" i="3"/>
  <c r="AT44" i="3"/>
  <c r="AT42" i="3"/>
  <c r="AT41" i="3"/>
  <c r="AT40" i="3"/>
  <c r="AT39" i="3"/>
  <c r="AT38" i="3"/>
  <c r="AT37" i="3"/>
  <c r="AT36" i="3"/>
  <c r="C589" i="34"/>
  <c r="C590" i="34"/>
  <c r="C591" i="34"/>
  <c r="C592" i="34"/>
  <c r="C358" i="24"/>
  <c r="D126" i="16"/>
  <c r="D127" i="16"/>
  <c r="D413" i="15"/>
  <c r="D438" i="15"/>
  <c r="D439" i="15"/>
  <c r="D430" i="15"/>
  <c r="D431" i="15"/>
  <c r="D432" i="15"/>
  <c r="D421" i="15"/>
  <c r="D422" i="15"/>
  <c r="D423" i="15"/>
  <c r="D411" i="15"/>
  <c r="D410" i="15"/>
  <c r="D412" i="15"/>
  <c r="D414" i="15"/>
  <c r="D784" i="14"/>
  <c r="D803" i="14"/>
  <c r="D804" i="14"/>
  <c r="D805" i="14"/>
  <c r="D806" i="14"/>
  <c r="D794" i="14"/>
  <c r="D795" i="14"/>
  <c r="D796" i="14"/>
  <c r="D797" i="14"/>
  <c r="D785" i="14"/>
  <c r="D786" i="14"/>
  <c r="D788" i="14"/>
  <c r="D776" i="14"/>
  <c r="D772" i="14"/>
  <c r="D773" i="14"/>
  <c r="D774" i="14"/>
  <c r="D775" i="14"/>
  <c r="D778" i="14"/>
  <c r="D437" i="13"/>
  <c r="D438" i="13"/>
  <c r="D439" i="13"/>
  <c r="D440" i="13"/>
  <c r="D441" i="13"/>
  <c r="D442" i="13"/>
  <c r="C172" i="18"/>
  <c r="C173" i="18"/>
  <c r="C174" i="18"/>
  <c r="C175" i="18"/>
  <c r="D153" i="18"/>
  <c r="D154" i="18"/>
  <c r="D155" i="18"/>
  <c r="D182" i="12"/>
  <c r="D183" i="12"/>
  <c r="D184" i="12"/>
  <c r="D1218" i="4"/>
  <c r="D173" i="50"/>
  <c r="D174" i="50"/>
  <c r="D559" i="34"/>
  <c r="D560" i="34"/>
  <c r="D561" i="34"/>
  <c r="D562" i="34"/>
  <c r="D563" i="34"/>
  <c r="D564" i="34"/>
  <c r="D565" i="34"/>
  <c r="D566" i="34"/>
  <c r="D567" i="34"/>
  <c r="D568" i="34"/>
  <c r="D569" i="34"/>
  <c r="D383" i="35"/>
  <c r="D384" i="35"/>
  <c r="D385" i="35"/>
  <c r="D386" i="35"/>
  <c r="D387" i="35"/>
  <c r="D388" i="35"/>
  <c r="D389" i="35"/>
  <c r="D390" i="35"/>
  <c r="D391" i="35"/>
  <c r="F38" i="32"/>
  <c r="D390" i="24"/>
  <c r="D391" i="24"/>
  <c r="D383" i="24"/>
  <c r="D384" i="24"/>
  <c r="D385" i="24"/>
  <c r="D376" i="24"/>
  <c r="D377" i="24"/>
  <c r="D378" i="24"/>
  <c r="D369" i="24"/>
  <c r="D370" i="24"/>
  <c r="D371" i="24"/>
  <c r="C359" i="24"/>
  <c r="C360" i="24"/>
  <c r="C361" i="24"/>
  <c r="D336" i="24"/>
  <c r="D337" i="24"/>
  <c r="D338" i="24"/>
  <c r="D339" i="24"/>
  <c r="D340" i="24"/>
  <c r="D341" i="24"/>
  <c r="C21" i="24"/>
  <c r="C39" i="24"/>
  <c r="G19" i="53"/>
  <c r="N6" i="53"/>
  <c r="N105" i="45"/>
  <c r="E77" i="45"/>
  <c r="N6" i="45"/>
  <c r="N204" i="43"/>
  <c r="N41" i="43"/>
  <c r="N123" i="16"/>
  <c r="E101" i="16"/>
  <c r="N59" i="16"/>
  <c r="N54" i="16"/>
  <c r="N49" i="16"/>
  <c r="N44" i="16"/>
  <c r="F39" i="16"/>
  <c r="N435" i="15"/>
  <c r="N427" i="15"/>
  <c r="N418" i="15"/>
  <c r="N407" i="15"/>
  <c r="E293" i="15"/>
  <c r="E271" i="15"/>
  <c r="E270" i="15"/>
  <c r="E266" i="15"/>
  <c r="E265" i="15"/>
  <c r="E290" i="15"/>
  <c r="E288" i="15"/>
  <c r="E287" i="15"/>
  <c r="N185" i="15"/>
  <c r="N175" i="15"/>
  <c r="N165" i="15"/>
  <c r="N155" i="15"/>
  <c r="N134" i="15"/>
  <c r="N78" i="15"/>
  <c r="N108" i="15"/>
  <c r="I13" i="47"/>
  <c r="I18" i="47" s="1"/>
  <c r="J13" i="47"/>
  <c r="J18" i="47" s="1"/>
  <c r="K13" i="47"/>
  <c r="K18" i="47" s="1"/>
  <c r="L13" i="47"/>
  <c r="L18" i="47" s="1"/>
  <c r="M13" i="47"/>
  <c r="M18" i="47" s="1"/>
  <c r="N13" i="47"/>
  <c r="N18" i="47" s="1"/>
  <c r="O13" i="47"/>
  <c r="O18" i="47" s="1"/>
  <c r="P13" i="47"/>
  <c r="P18" i="47" s="1"/>
  <c r="Q13" i="47"/>
  <c r="Q18" i="47" s="1"/>
  <c r="R13" i="47"/>
  <c r="R18" i="47" s="1"/>
  <c r="S13" i="47"/>
  <c r="S18" i="47" s="1"/>
  <c r="T13" i="47"/>
  <c r="T18" i="47" s="1"/>
  <c r="U13" i="47"/>
  <c r="U18" i="47" s="1"/>
  <c r="V13" i="47"/>
  <c r="V18" i="47" s="1"/>
  <c r="W13" i="47"/>
  <c r="W18" i="47" s="1"/>
  <c r="X13" i="47"/>
  <c r="X18" i="47" s="1"/>
  <c r="Y13" i="47"/>
  <c r="Y18" i="47" s="1"/>
  <c r="Z13" i="47"/>
  <c r="Z18" i="47" s="1"/>
  <c r="AA13" i="47"/>
  <c r="AA18" i="47" s="1"/>
  <c r="AB13" i="47"/>
  <c r="AB18" i="47" s="1"/>
  <c r="AC13" i="47"/>
  <c r="AC18" i="47" s="1"/>
  <c r="AD13" i="47"/>
  <c r="AD18" i="47" s="1"/>
  <c r="H13" i="47"/>
  <c r="H18" i="47" s="1"/>
  <c r="F142" i="47"/>
  <c r="F143" i="47"/>
  <c r="F144" i="47"/>
  <c r="F145" i="47"/>
  <c r="F146" i="47"/>
  <c r="F147" i="47"/>
  <c r="F148" i="47"/>
  <c r="E856" i="14"/>
  <c r="E851" i="14"/>
  <c r="N800" i="14"/>
  <c r="N791" i="14"/>
  <c r="N781" i="14"/>
  <c r="N769" i="14"/>
  <c r="N756" i="14"/>
  <c r="N740" i="14"/>
  <c r="N724" i="14"/>
  <c r="N692" i="14"/>
  <c r="N348" i="14"/>
  <c r="N340" i="14"/>
  <c r="N325" i="14"/>
  <c r="N220" i="14"/>
  <c r="N204" i="14"/>
  <c r="N188" i="14"/>
  <c r="N172" i="14"/>
  <c r="N167" i="14"/>
  <c r="N161" i="14"/>
  <c r="N142" i="14"/>
  <c r="N434" i="13"/>
  <c r="E374" i="13"/>
  <c r="E272" i="13"/>
  <c r="E271" i="13"/>
  <c r="E270" i="13"/>
  <c r="E269" i="13"/>
  <c r="E268" i="13"/>
  <c r="E265" i="13"/>
  <c r="E264" i="13"/>
  <c r="E263" i="13"/>
  <c r="E262" i="13"/>
  <c r="E261" i="13"/>
  <c r="E258" i="13"/>
  <c r="E257" i="13"/>
  <c r="E256" i="13"/>
  <c r="E255" i="13"/>
  <c r="E254" i="13"/>
  <c r="E251" i="13"/>
  <c r="E250" i="13"/>
  <c r="E249" i="13"/>
  <c r="E248" i="13"/>
  <c r="E247" i="13"/>
  <c r="E244" i="13"/>
  <c r="E243" i="13"/>
  <c r="E242" i="13"/>
  <c r="E241" i="13"/>
  <c r="E240" i="13"/>
  <c r="E237" i="13"/>
  <c r="N179" i="13"/>
  <c r="N128" i="13"/>
  <c r="N121" i="13"/>
  <c r="N114" i="13"/>
  <c r="N107" i="13"/>
  <c r="I62" i="13"/>
  <c r="E150" i="18"/>
  <c r="E116" i="18"/>
  <c r="E115" i="18"/>
  <c r="E110" i="18"/>
  <c r="E103" i="18"/>
  <c r="N63" i="18"/>
  <c r="N58" i="18"/>
  <c r="N53" i="18"/>
  <c r="N48" i="18"/>
  <c r="N22" i="18"/>
  <c r="N14" i="18"/>
  <c r="N179" i="12"/>
  <c r="E132" i="12"/>
  <c r="E131" i="12"/>
  <c r="E126" i="12"/>
  <c r="E124" i="12"/>
  <c r="E117" i="12"/>
  <c r="E115" i="12"/>
  <c r="N65" i="12"/>
  <c r="N60" i="12"/>
  <c r="N55" i="12"/>
  <c r="N50" i="12"/>
  <c r="N23" i="12"/>
  <c r="N15" i="12"/>
  <c r="E784" i="17"/>
  <c r="E785" i="17"/>
  <c r="N730" i="17"/>
  <c r="N716" i="17"/>
  <c r="N702" i="17"/>
  <c r="E658" i="17"/>
  <c r="E642" i="17"/>
  <c r="E626" i="17"/>
  <c r="E620" i="17"/>
  <c r="E618" i="17"/>
  <c r="E606" i="17"/>
  <c r="E590" i="17"/>
  <c r="E586" i="17"/>
  <c r="E584" i="17"/>
  <c r="E572" i="17"/>
  <c r="E560" i="17"/>
  <c r="E548" i="17"/>
  <c r="E536" i="17"/>
  <c r="E524" i="17"/>
  <c r="E510" i="17"/>
  <c r="E457" i="17"/>
  <c r="E444" i="17"/>
  <c r="E431" i="17"/>
  <c r="E414" i="17"/>
  <c r="E408" i="17"/>
  <c r="E381" i="17"/>
  <c r="E376" i="17"/>
  <c r="E349" i="17"/>
  <c r="N257" i="17"/>
  <c r="N237" i="17"/>
  <c r="N217" i="17"/>
  <c r="N197" i="17"/>
  <c r="F86" i="17"/>
  <c r="N28" i="17"/>
  <c r="N36" i="17"/>
  <c r="N44" i="17"/>
  <c r="E1300" i="4"/>
  <c r="E1299" i="4"/>
  <c r="N1243" i="4"/>
  <c r="N1228" i="4"/>
  <c r="N1214" i="4"/>
  <c r="E1146" i="4"/>
  <c r="E1144" i="4"/>
  <c r="E1132" i="4"/>
  <c r="E1073" i="4"/>
  <c r="E1061" i="4"/>
  <c r="E1045" i="4"/>
  <c r="E1042" i="4"/>
  <c r="E1030" i="4"/>
  <c r="E1016" i="4"/>
  <c r="E966" i="4"/>
  <c r="E915" i="4"/>
  <c r="E904" i="4"/>
  <c r="E887" i="4"/>
  <c r="E871" i="4"/>
  <c r="E808" i="4"/>
  <c r="E778" i="4"/>
  <c r="E760" i="4"/>
  <c r="E856" i="4"/>
  <c r="N348" i="4"/>
  <c r="N328" i="4"/>
  <c r="N308" i="4"/>
  <c r="N288" i="4"/>
  <c r="X97" i="4"/>
  <c r="N55" i="4"/>
  <c r="N28" i="4"/>
  <c r="N207" i="55"/>
  <c r="E116" i="55"/>
  <c r="E446" i="46"/>
  <c r="E449" i="46"/>
  <c r="N431" i="46"/>
  <c r="F394" i="46"/>
  <c r="E390" i="46"/>
  <c r="E389" i="46"/>
  <c r="E388" i="46"/>
  <c r="E387" i="46"/>
  <c r="E386" i="46"/>
  <c r="N343" i="46"/>
  <c r="N333" i="46"/>
  <c r="N320" i="46"/>
  <c r="N307" i="46"/>
  <c r="N294" i="46"/>
  <c r="N283" i="46"/>
  <c r="N275" i="46"/>
  <c r="N261" i="46"/>
  <c r="N249" i="46"/>
  <c r="N239" i="46"/>
  <c r="N217" i="46"/>
  <c r="N121" i="46"/>
  <c r="N91" i="46"/>
  <c r="N82" i="46"/>
  <c r="N73" i="46"/>
  <c r="N63" i="46"/>
  <c r="N44" i="46"/>
  <c r="N39" i="46"/>
  <c r="N33" i="46"/>
  <c r="N22" i="46"/>
  <c r="N13" i="46"/>
  <c r="N112" i="48"/>
  <c r="E10" i="48"/>
  <c r="N6" i="55"/>
  <c r="E183" i="50"/>
  <c r="E184" i="50"/>
  <c r="N170" i="50"/>
  <c r="N111" i="50"/>
  <c r="N17" i="50"/>
  <c r="E142" i="50"/>
  <c r="N41" i="50"/>
  <c r="N26" i="50"/>
  <c r="N12" i="50"/>
  <c r="E86" i="57"/>
  <c r="N73" i="57"/>
  <c r="N12" i="57"/>
  <c r="E605" i="34"/>
  <c r="E600" i="34"/>
  <c r="N556" i="34"/>
  <c r="N308" i="34"/>
  <c r="F179" i="34"/>
  <c r="F173" i="34"/>
  <c r="E128" i="51"/>
  <c r="N104" i="51"/>
  <c r="E89" i="51"/>
  <c r="N31" i="51"/>
  <c r="N22" i="51"/>
  <c r="N12" i="51"/>
  <c r="N21" i="35"/>
  <c r="N12" i="35"/>
  <c r="E114" i="33"/>
  <c r="E113" i="33"/>
  <c r="N100" i="33"/>
  <c r="N62" i="33"/>
  <c r="E114" i="52"/>
  <c r="E113" i="52"/>
  <c r="N235" i="10"/>
  <c r="N228" i="10"/>
  <c r="N220" i="10"/>
  <c r="N211" i="10"/>
  <c r="E124" i="30"/>
  <c r="E123" i="30"/>
  <c r="E121" i="30"/>
  <c r="N48" i="8"/>
  <c r="N42" i="8"/>
  <c r="N12" i="6"/>
  <c r="E229" i="7"/>
  <c r="N12" i="24"/>
  <c r="N106" i="50"/>
  <c r="E178" i="58"/>
  <c r="D168" i="58"/>
  <c r="D169" i="58"/>
  <c r="N165" i="58"/>
  <c r="L123" i="58"/>
  <c r="E109" i="58"/>
  <c r="E49" i="58"/>
  <c r="N43" i="58"/>
  <c r="G19" i="45"/>
  <c r="J19" i="45"/>
  <c r="K19" i="45"/>
  <c r="N19" i="45"/>
  <c r="I19" i="45"/>
  <c r="L19" i="45"/>
  <c r="H19" i="45"/>
  <c r="M19" i="45"/>
  <c r="F33" i="57"/>
  <c r="D76" i="57"/>
  <c r="D77" i="57"/>
  <c r="E62" i="57"/>
  <c r="E60" i="57"/>
  <c r="E59" i="57"/>
  <c r="N102" i="42"/>
  <c r="M102" i="42"/>
  <c r="L102" i="42"/>
  <c r="K102" i="42"/>
  <c r="J102" i="42"/>
  <c r="I102" i="42"/>
  <c r="H102" i="42"/>
  <c r="G102" i="42"/>
  <c r="F102" i="42"/>
  <c r="N92" i="42"/>
  <c r="M92" i="42"/>
  <c r="L92" i="42"/>
  <c r="K92" i="42"/>
  <c r="J92" i="42"/>
  <c r="I92" i="42"/>
  <c r="H92" i="42"/>
  <c r="G92" i="42"/>
  <c r="F92" i="42"/>
  <c r="N82" i="42"/>
  <c r="M82" i="42"/>
  <c r="L82" i="42"/>
  <c r="K82" i="42"/>
  <c r="J82" i="42"/>
  <c r="I82" i="42"/>
  <c r="H82" i="42"/>
  <c r="G82" i="42"/>
  <c r="F82" i="42"/>
  <c r="N81" i="42"/>
  <c r="M81" i="42"/>
  <c r="L81" i="42"/>
  <c r="K81" i="42"/>
  <c r="J81" i="42"/>
  <c r="I81" i="42"/>
  <c r="H81" i="42"/>
  <c r="G81" i="42"/>
  <c r="F81" i="42"/>
  <c r="I69" i="42"/>
  <c r="J69" i="42"/>
  <c r="K69" i="42"/>
  <c r="L69" i="42"/>
  <c r="M69" i="42"/>
  <c r="N69" i="42"/>
  <c r="H69" i="42"/>
  <c r="H66" i="42"/>
  <c r="I66" i="42"/>
  <c r="I71" i="42" s="1"/>
  <c r="J66" i="42"/>
  <c r="J71" i="42" s="1"/>
  <c r="K66" i="42"/>
  <c r="K71" i="42" s="1"/>
  <c r="L66" i="42"/>
  <c r="L71" i="42" s="1"/>
  <c r="M66" i="42"/>
  <c r="M71" i="42" s="1"/>
  <c r="N66" i="42"/>
  <c r="N72" i="42" s="1"/>
  <c r="F67" i="42"/>
  <c r="F66" i="42"/>
  <c r="F72" i="42" s="1"/>
  <c r="G66" i="42"/>
  <c r="G72" i="42" s="1"/>
  <c r="N101" i="42"/>
  <c r="M101" i="42"/>
  <c r="L101" i="42"/>
  <c r="K101" i="42"/>
  <c r="J101" i="42"/>
  <c r="I101" i="42"/>
  <c r="H101" i="42"/>
  <c r="G101" i="42"/>
  <c r="F101" i="42"/>
  <c r="N91" i="42"/>
  <c r="M91" i="42"/>
  <c r="L91" i="42"/>
  <c r="K91" i="42"/>
  <c r="J91" i="42"/>
  <c r="I91" i="42"/>
  <c r="H91" i="42"/>
  <c r="G91" i="42"/>
  <c r="F91" i="42"/>
  <c r="G156" i="43"/>
  <c r="G225" i="43" s="1"/>
  <c r="H156" i="43"/>
  <c r="H225" i="43" s="1"/>
  <c r="I156" i="43"/>
  <c r="I225" i="43" s="1"/>
  <c r="J156" i="43"/>
  <c r="J225" i="43" s="1"/>
  <c r="K156" i="43"/>
  <c r="K225" i="43" s="1"/>
  <c r="L156" i="43"/>
  <c r="L225" i="43" s="1"/>
  <c r="M156" i="43"/>
  <c r="M225" i="43" s="1"/>
  <c r="N156" i="43"/>
  <c r="N225" i="43" s="1"/>
  <c r="F156" i="43"/>
  <c r="F225" i="43" s="1"/>
  <c r="G157" i="43"/>
  <c r="G224" i="43" s="1"/>
  <c r="H157" i="43"/>
  <c r="H224" i="43" s="1"/>
  <c r="I157" i="43"/>
  <c r="I224" i="43" s="1"/>
  <c r="J157" i="43"/>
  <c r="J224" i="43" s="1"/>
  <c r="K157" i="43"/>
  <c r="K224" i="43" s="1"/>
  <c r="L157" i="43"/>
  <c r="L224" i="43" s="1"/>
  <c r="M157" i="43"/>
  <c r="M224" i="43" s="1"/>
  <c r="N157" i="43"/>
  <c r="N224" i="43" s="1"/>
  <c r="F157" i="43"/>
  <c r="F224" i="43" s="1"/>
  <c r="C230" i="55"/>
  <c r="C231" i="55"/>
  <c r="C232" i="55"/>
  <c r="C233" i="55"/>
  <c r="E222" i="55"/>
  <c r="E223" i="55"/>
  <c r="E224" i="55"/>
  <c r="F241" i="55"/>
  <c r="D210" i="55"/>
  <c r="D211" i="55"/>
  <c r="D212" i="55"/>
  <c r="D213" i="55"/>
  <c r="F213" i="55"/>
  <c r="F211" i="55"/>
  <c r="F210" i="55"/>
  <c r="E54" i="55"/>
  <c r="E53" i="55"/>
  <c r="E52" i="55"/>
  <c r="E51" i="55"/>
  <c r="E50" i="55"/>
  <c r="N42" i="55"/>
  <c r="N37" i="55"/>
  <c r="N32" i="55"/>
  <c r="N27" i="55"/>
  <c r="F75" i="54"/>
  <c r="F74" i="54"/>
  <c r="G73" i="54"/>
  <c r="F73" i="54"/>
  <c r="N74" i="53"/>
  <c r="D77" i="53"/>
  <c r="D78" i="53"/>
  <c r="D79" i="53"/>
  <c r="N48" i="53"/>
  <c r="M48" i="53"/>
  <c r="L48" i="53"/>
  <c r="K48" i="53"/>
  <c r="J48" i="53"/>
  <c r="I48" i="53"/>
  <c r="H48" i="53"/>
  <c r="G48" i="53"/>
  <c r="F48" i="53"/>
  <c r="E47" i="53"/>
  <c r="F20" i="53"/>
  <c r="BG395" i="47"/>
  <c r="BG420" i="47"/>
  <c r="BG419" i="47"/>
  <c r="BG418" i="47"/>
  <c r="BG417" i="47"/>
  <c r="BG412" i="47"/>
  <c r="BF411" i="47"/>
  <c r="BF410" i="47"/>
  <c r="BG409" i="47"/>
  <c r="BF408" i="47"/>
  <c r="BG407" i="47"/>
  <c r="BG406" i="47"/>
  <c r="BG405" i="47"/>
  <c r="BG403" i="47"/>
  <c r="BF401" i="47"/>
  <c r="BG400" i="47"/>
  <c r="BF399" i="47"/>
  <c r="BF397" i="47"/>
  <c r="BF396" i="47"/>
  <c r="BF395" i="47"/>
  <c r="BF394" i="47"/>
  <c r="BF393" i="47"/>
  <c r="BG392" i="47"/>
  <c r="BF391" i="47"/>
  <c r="BF390" i="47"/>
  <c r="BG387" i="47"/>
  <c r="BF387" i="47"/>
  <c r="BF386" i="47"/>
  <c r="BG385" i="47"/>
  <c r="BG384" i="47"/>
  <c r="BG382" i="47"/>
  <c r="BF380" i="47"/>
  <c r="BG378" i="47"/>
  <c r="BF378" i="47"/>
  <c r="BG377" i="47"/>
  <c r="BF418" i="47"/>
  <c r="BH418" i="47" s="1"/>
  <c r="BI418" i="47" s="1"/>
  <c r="BG374" i="47"/>
  <c r="BG373" i="47"/>
  <c r="BF371" i="47"/>
  <c r="BG370" i="47"/>
  <c r="AZ369" i="47"/>
  <c r="F151" i="47"/>
  <c r="C475" i="13"/>
  <c r="C474" i="13"/>
  <c r="C473" i="13"/>
  <c r="C472" i="13"/>
  <c r="C464" i="13"/>
  <c r="C465" i="13"/>
  <c r="C466" i="13"/>
  <c r="C467" i="13"/>
  <c r="F282" i="13"/>
  <c r="E451" i="13"/>
  <c r="E452" i="13"/>
  <c r="E453" i="13"/>
  <c r="E454" i="13"/>
  <c r="E455" i="13"/>
  <c r="E456" i="13"/>
  <c r="E457" i="13"/>
  <c r="E458" i="13"/>
  <c r="F657" i="17"/>
  <c r="F115" i="4"/>
  <c r="G115" i="4"/>
  <c r="H115" i="4"/>
  <c r="I115" i="4"/>
  <c r="J115" i="4"/>
  <c r="K115" i="4"/>
  <c r="L115" i="4"/>
  <c r="M115" i="4"/>
  <c r="N115" i="4"/>
  <c r="P1135" i="4" a="1"/>
  <c r="P1135" i="4" s="1"/>
  <c r="N580" i="4"/>
  <c r="N236" i="4" s="1"/>
  <c r="M580" i="4"/>
  <c r="M235" i="4" s="1"/>
  <c r="L580" i="4"/>
  <c r="L236" i="4" s="1"/>
  <c r="K580" i="4"/>
  <c r="K236" i="4" s="1"/>
  <c r="J580" i="4"/>
  <c r="J236" i="4" s="1"/>
  <c r="I580" i="4"/>
  <c r="I235" i="4" s="1"/>
  <c r="H580" i="4"/>
  <c r="H867" i="4" s="1"/>
  <c r="H868" i="4" s="1"/>
  <c r="G580" i="4"/>
  <c r="G667" i="4" s="1"/>
  <c r="F667" i="4"/>
  <c r="AR103" i="26"/>
  <c r="AR103" i="41"/>
  <c r="AR103" i="40"/>
  <c r="AR103" i="39"/>
  <c r="AR103" i="38"/>
  <c r="AR103" i="37"/>
  <c r="AR103" i="36"/>
  <c r="AR103" i="25"/>
  <c r="AR103" i="1"/>
  <c r="E7" i="51"/>
  <c r="E7" i="24"/>
  <c r="N81" i="44"/>
  <c r="D9" i="44"/>
  <c r="G92" i="24"/>
  <c r="H92" i="24"/>
  <c r="I92" i="24"/>
  <c r="J92" i="24"/>
  <c r="K92" i="24"/>
  <c r="L92" i="24"/>
  <c r="M92" i="24"/>
  <c r="N92" i="24"/>
  <c r="F92" i="24"/>
  <c r="BI4" i="26"/>
  <c r="BH4" i="26"/>
  <c r="BE4" i="26"/>
  <c r="BD4" i="26"/>
  <c r="BC4" i="26"/>
  <c r="BB4" i="26"/>
  <c r="BA4" i="26"/>
  <c r="AZ4" i="26"/>
  <c r="AY4" i="26"/>
  <c r="AX4" i="26"/>
  <c r="AW4" i="26"/>
  <c r="AV4" i="26"/>
  <c r="AU4" i="26"/>
  <c r="AT4" i="26"/>
  <c r="AS4" i="26"/>
  <c r="AR4" i="26"/>
  <c r="AQ4" i="26"/>
  <c r="AP4" i="26"/>
  <c r="AO4" i="26"/>
  <c r="AN4" i="26"/>
  <c r="AM4" i="26"/>
  <c r="AJ4" i="26"/>
  <c r="AI4" i="26"/>
  <c r="AH4" i="26"/>
  <c r="AG4" i="26"/>
  <c r="AF4" i="26"/>
  <c r="AE4" i="26"/>
  <c r="AD4" i="26"/>
  <c r="AC4" i="26"/>
  <c r="AB4" i="26"/>
  <c r="AA4" i="26"/>
  <c r="Z4" i="26"/>
  <c r="Y4" i="26"/>
  <c r="X4" i="26"/>
  <c r="W4" i="26"/>
  <c r="V4" i="26"/>
  <c r="U4" i="26"/>
  <c r="T4" i="26"/>
  <c r="S4" i="26"/>
  <c r="P4" i="26"/>
  <c r="O4" i="26"/>
  <c r="N4" i="26"/>
  <c r="M4" i="26"/>
  <c r="L4" i="26"/>
  <c r="K4" i="26"/>
  <c r="J4" i="26"/>
  <c r="I4" i="26"/>
  <c r="H4" i="26"/>
  <c r="G4" i="26"/>
  <c r="BI4" i="41"/>
  <c r="BH4" i="41"/>
  <c r="BE4" i="41"/>
  <c r="BD4" i="41"/>
  <c r="BC4" i="41"/>
  <c r="BB4" i="41"/>
  <c r="BA4" i="41"/>
  <c r="AZ4" i="41"/>
  <c r="AY4" i="41"/>
  <c r="AX4" i="41"/>
  <c r="AW4" i="41"/>
  <c r="AV4" i="41"/>
  <c r="AU4" i="41"/>
  <c r="AT4" i="41"/>
  <c r="AS4" i="41"/>
  <c r="AR4" i="41"/>
  <c r="AQ4" i="41"/>
  <c r="AP4" i="41"/>
  <c r="AO4" i="41"/>
  <c r="AN4" i="41"/>
  <c r="AM4" i="41"/>
  <c r="AJ4" i="41"/>
  <c r="AI4" i="41"/>
  <c r="AH4" i="41"/>
  <c r="AG4" i="41"/>
  <c r="AF4" i="41"/>
  <c r="AE4" i="41"/>
  <c r="AD4" i="41"/>
  <c r="AC4" i="41"/>
  <c r="AB4" i="41"/>
  <c r="AA4" i="41"/>
  <c r="Z4" i="41"/>
  <c r="Y4" i="41"/>
  <c r="X4" i="41"/>
  <c r="W4" i="41"/>
  <c r="V4" i="41"/>
  <c r="U4" i="41"/>
  <c r="T4" i="41"/>
  <c r="S4" i="41"/>
  <c r="P4" i="41"/>
  <c r="O4" i="41"/>
  <c r="N4" i="41"/>
  <c r="M4" i="41"/>
  <c r="L4" i="41"/>
  <c r="K4" i="41"/>
  <c r="J4" i="41"/>
  <c r="I4" i="41"/>
  <c r="H4" i="41"/>
  <c r="G4" i="41"/>
  <c r="BI4" i="40"/>
  <c r="BH4" i="40"/>
  <c r="BE4" i="40"/>
  <c r="BD4" i="40"/>
  <c r="BC4" i="40"/>
  <c r="BB4" i="40"/>
  <c r="BA4" i="40"/>
  <c r="AZ4" i="40"/>
  <c r="AY4" i="40"/>
  <c r="AX4" i="40"/>
  <c r="AW4" i="40"/>
  <c r="AV4" i="40"/>
  <c r="AU4" i="40"/>
  <c r="AT4" i="40"/>
  <c r="AS4" i="40"/>
  <c r="AR4" i="40"/>
  <c r="AQ4" i="40"/>
  <c r="AP4" i="40"/>
  <c r="AO4" i="40"/>
  <c r="AN4" i="40"/>
  <c r="AM4" i="40"/>
  <c r="AJ4" i="40"/>
  <c r="AI4" i="40"/>
  <c r="AH4" i="40"/>
  <c r="AG4" i="40"/>
  <c r="AF4" i="40"/>
  <c r="AE4" i="40"/>
  <c r="AD4" i="40"/>
  <c r="AC4" i="40"/>
  <c r="AB4" i="40"/>
  <c r="AA4" i="40"/>
  <c r="Z4" i="40"/>
  <c r="Y4" i="40"/>
  <c r="X4" i="40"/>
  <c r="W4" i="40"/>
  <c r="V4" i="40"/>
  <c r="U4" i="40"/>
  <c r="T4" i="40"/>
  <c r="S4" i="40"/>
  <c r="P4" i="40"/>
  <c r="O4" i="40"/>
  <c r="N4" i="40"/>
  <c r="M4" i="40"/>
  <c r="L4" i="40"/>
  <c r="K4" i="40"/>
  <c r="J4" i="40"/>
  <c r="I4" i="40"/>
  <c r="H4" i="40"/>
  <c r="G4" i="40"/>
  <c r="BI4" i="39"/>
  <c r="BH4" i="39"/>
  <c r="BE4" i="39"/>
  <c r="BD4" i="39"/>
  <c r="BC4" i="39"/>
  <c r="BB4" i="39"/>
  <c r="BA4" i="39"/>
  <c r="AZ4" i="39"/>
  <c r="AY4" i="39"/>
  <c r="AX4" i="39"/>
  <c r="AW4" i="39"/>
  <c r="AV4" i="39"/>
  <c r="AU4" i="39"/>
  <c r="AT4" i="39"/>
  <c r="AS4" i="39"/>
  <c r="AR4" i="39"/>
  <c r="AQ4" i="39"/>
  <c r="AP4" i="39"/>
  <c r="AO4" i="39"/>
  <c r="AN4" i="39"/>
  <c r="AM4" i="39"/>
  <c r="AJ4" i="39"/>
  <c r="AI4" i="39"/>
  <c r="AH4" i="39"/>
  <c r="AG4" i="39"/>
  <c r="AF4" i="39"/>
  <c r="AE4" i="39"/>
  <c r="AD4" i="39"/>
  <c r="AC4" i="39"/>
  <c r="AB4" i="39"/>
  <c r="AA4" i="39"/>
  <c r="Z4" i="39"/>
  <c r="Y4" i="39"/>
  <c r="X4" i="39"/>
  <c r="W4" i="39"/>
  <c r="V4" i="39"/>
  <c r="U4" i="39"/>
  <c r="T4" i="39"/>
  <c r="S4" i="39"/>
  <c r="P4" i="39"/>
  <c r="O4" i="39"/>
  <c r="N4" i="39"/>
  <c r="M4" i="39"/>
  <c r="L4" i="39"/>
  <c r="K4" i="39"/>
  <c r="J4" i="39"/>
  <c r="I4" i="39"/>
  <c r="H4" i="39"/>
  <c r="G4" i="39"/>
  <c r="BI4" i="38"/>
  <c r="BH4" i="38"/>
  <c r="BE4" i="38"/>
  <c r="BD4" i="38"/>
  <c r="BC4" i="38"/>
  <c r="BB4" i="38"/>
  <c r="BA4" i="38"/>
  <c r="AZ4" i="38"/>
  <c r="AY4" i="38"/>
  <c r="AX4" i="38"/>
  <c r="AW4" i="38"/>
  <c r="AV4" i="38"/>
  <c r="AU4" i="38"/>
  <c r="AT4" i="38"/>
  <c r="AS4" i="38"/>
  <c r="AR4" i="38"/>
  <c r="AQ4" i="38"/>
  <c r="AP4" i="38"/>
  <c r="AO4" i="38"/>
  <c r="AN4" i="38"/>
  <c r="AM4" i="38"/>
  <c r="AJ4" i="38"/>
  <c r="AI4" i="38"/>
  <c r="AH4" i="38"/>
  <c r="AG4" i="38"/>
  <c r="AF4" i="38"/>
  <c r="AE4" i="38"/>
  <c r="AD4" i="38"/>
  <c r="AC4" i="38"/>
  <c r="AB4" i="38"/>
  <c r="AA4" i="38"/>
  <c r="Z4" i="38"/>
  <c r="Y4" i="38"/>
  <c r="X4" i="38"/>
  <c r="W4" i="38"/>
  <c r="V4" i="38"/>
  <c r="U4" i="38"/>
  <c r="T4" i="38"/>
  <c r="S4" i="38"/>
  <c r="P4" i="38"/>
  <c r="O4" i="38"/>
  <c r="N4" i="38"/>
  <c r="M4" i="38"/>
  <c r="L4" i="38"/>
  <c r="K4" i="38"/>
  <c r="J4" i="38"/>
  <c r="I4" i="38"/>
  <c r="H4" i="38"/>
  <c r="G4" i="38"/>
  <c r="BI4" i="37"/>
  <c r="BH4" i="37"/>
  <c r="BE4" i="37"/>
  <c r="BD4" i="37"/>
  <c r="BC4" i="37"/>
  <c r="BB4" i="37"/>
  <c r="BA4" i="37"/>
  <c r="AZ4" i="37"/>
  <c r="AY4" i="37"/>
  <c r="AX4" i="37"/>
  <c r="AW4" i="37"/>
  <c r="AV4" i="37"/>
  <c r="AU4" i="37"/>
  <c r="AT4" i="37"/>
  <c r="AS4" i="37"/>
  <c r="AR4" i="37"/>
  <c r="AQ4" i="37"/>
  <c r="AP4" i="37"/>
  <c r="AO4" i="37"/>
  <c r="AN4" i="37"/>
  <c r="AM4" i="37"/>
  <c r="AJ4" i="37"/>
  <c r="AI4" i="37"/>
  <c r="AH4" i="37"/>
  <c r="AG4" i="37"/>
  <c r="AF4" i="37"/>
  <c r="AE4" i="37"/>
  <c r="AD4" i="37"/>
  <c r="AC4" i="37"/>
  <c r="AB4" i="37"/>
  <c r="AA4" i="37"/>
  <c r="Z4" i="37"/>
  <c r="Y4" i="37"/>
  <c r="X4" i="37"/>
  <c r="W4" i="37"/>
  <c r="V4" i="37"/>
  <c r="U4" i="37"/>
  <c r="T4" i="37"/>
  <c r="S4" i="37"/>
  <c r="P4" i="37"/>
  <c r="O4" i="37"/>
  <c r="N4" i="37"/>
  <c r="M4" i="37"/>
  <c r="L4" i="37"/>
  <c r="K4" i="37"/>
  <c r="J4" i="37"/>
  <c r="I4" i="37"/>
  <c r="H4" i="37"/>
  <c r="G4" i="37"/>
  <c r="BI4" i="36"/>
  <c r="BH4" i="36"/>
  <c r="BE4" i="36"/>
  <c r="BD4" i="36"/>
  <c r="BC4" i="36"/>
  <c r="BB4" i="36"/>
  <c r="BA4" i="36"/>
  <c r="AZ4" i="36"/>
  <c r="AY4" i="36"/>
  <c r="AX4" i="36"/>
  <c r="AW4" i="36"/>
  <c r="AV4" i="36"/>
  <c r="AU4" i="36"/>
  <c r="AT4" i="36"/>
  <c r="AS4" i="36"/>
  <c r="AR4" i="36"/>
  <c r="AQ4" i="36"/>
  <c r="AP4" i="36"/>
  <c r="AO4" i="36"/>
  <c r="AN4" i="36"/>
  <c r="AM4" i="36"/>
  <c r="AJ4" i="36"/>
  <c r="AI4" i="36"/>
  <c r="AH4" i="36"/>
  <c r="AG4" i="36"/>
  <c r="AF4" i="36"/>
  <c r="AE4" i="36"/>
  <c r="AD4" i="36"/>
  <c r="AC4" i="36"/>
  <c r="AB4" i="36"/>
  <c r="AA4" i="36"/>
  <c r="Z4" i="36"/>
  <c r="Y4" i="36"/>
  <c r="X4" i="36"/>
  <c r="W4" i="36"/>
  <c r="V4" i="36"/>
  <c r="U4" i="36"/>
  <c r="T4" i="36"/>
  <c r="S4" i="36"/>
  <c r="P4" i="36"/>
  <c r="O4" i="36"/>
  <c r="N4" i="36"/>
  <c r="M4" i="36"/>
  <c r="L4" i="36"/>
  <c r="K4" i="36"/>
  <c r="J4" i="36"/>
  <c r="I4" i="36"/>
  <c r="H4" i="36"/>
  <c r="G4" i="36"/>
  <c r="BI4" i="25"/>
  <c r="BH4" i="25"/>
  <c r="BE4" i="25"/>
  <c r="BD4" i="25"/>
  <c r="BC4" i="25"/>
  <c r="BB4" i="25"/>
  <c r="BA4" i="25"/>
  <c r="AZ4" i="25"/>
  <c r="AY4" i="25"/>
  <c r="AX4" i="25"/>
  <c r="AW4" i="25"/>
  <c r="AV4" i="25"/>
  <c r="AU4" i="25"/>
  <c r="AT4" i="25"/>
  <c r="AS4" i="25"/>
  <c r="AR4" i="25"/>
  <c r="AQ4" i="25"/>
  <c r="AP4" i="25"/>
  <c r="AO4" i="25"/>
  <c r="AN4" i="25"/>
  <c r="AM4" i="25"/>
  <c r="AJ4" i="25"/>
  <c r="AI4" i="25"/>
  <c r="AH4" i="25"/>
  <c r="AG4" i="25"/>
  <c r="AF4" i="25"/>
  <c r="AE4" i="25"/>
  <c r="AD4" i="25"/>
  <c r="AC4" i="25"/>
  <c r="AB4" i="25"/>
  <c r="AA4" i="25"/>
  <c r="Z4" i="25"/>
  <c r="Y4" i="25"/>
  <c r="X4" i="25"/>
  <c r="W4" i="25"/>
  <c r="V4" i="25"/>
  <c r="U4" i="25"/>
  <c r="T4" i="25"/>
  <c r="S4" i="25"/>
  <c r="P4" i="25"/>
  <c r="O4" i="25"/>
  <c r="N4" i="25"/>
  <c r="M4" i="25"/>
  <c r="L4" i="25"/>
  <c r="K4" i="25"/>
  <c r="J4" i="25"/>
  <c r="I4" i="25"/>
  <c r="H4" i="25"/>
  <c r="G4" i="25"/>
  <c r="BI4" i="1"/>
  <c r="BH4" i="1"/>
  <c r="BE4" i="1"/>
  <c r="BD4" i="1"/>
  <c r="BC4" i="1"/>
  <c r="BB4" i="1"/>
  <c r="BA4" i="1"/>
  <c r="AZ4" i="1"/>
  <c r="AY4" i="1"/>
  <c r="AX4" i="1"/>
  <c r="AW4" i="1"/>
  <c r="AV4" i="1"/>
  <c r="AU4" i="1"/>
  <c r="AT4" i="1"/>
  <c r="AS4" i="1"/>
  <c r="AR4" i="1"/>
  <c r="AQ4" i="1"/>
  <c r="AP4" i="1"/>
  <c r="AO4" i="1"/>
  <c r="AN4" i="1"/>
  <c r="AM4" i="1"/>
  <c r="AJ4" i="1"/>
  <c r="AI4" i="1"/>
  <c r="AH4" i="1"/>
  <c r="AG4" i="1"/>
  <c r="AF4" i="1"/>
  <c r="AE4" i="1"/>
  <c r="AD4" i="1"/>
  <c r="AC4" i="1"/>
  <c r="AB4" i="1"/>
  <c r="AA4" i="1"/>
  <c r="Z4" i="1"/>
  <c r="Y4" i="1"/>
  <c r="X4" i="1"/>
  <c r="W4" i="1"/>
  <c r="V4" i="1"/>
  <c r="U4" i="1"/>
  <c r="T4" i="1"/>
  <c r="S4" i="1"/>
  <c r="P4" i="1"/>
  <c r="O4" i="1"/>
  <c r="N4" i="1"/>
  <c r="M4" i="1"/>
  <c r="L4" i="1"/>
  <c r="K4" i="1"/>
  <c r="J4" i="1"/>
  <c r="I4" i="1"/>
  <c r="H4" i="1"/>
  <c r="G4" i="1"/>
  <c r="D62" i="47"/>
  <c r="D63" i="47"/>
  <c r="D64" i="47"/>
  <c r="D65" i="47"/>
  <c r="D66" i="47"/>
  <c r="D67" i="47"/>
  <c r="D68" i="47"/>
  <c r="D69" i="47"/>
  <c r="D70" i="47"/>
  <c r="D71" i="47"/>
  <c r="D61" i="47"/>
  <c r="D60" i="47"/>
  <c r="D59" i="47"/>
  <c r="D58" i="47"/>
  <c r="D53" i="47"/>
  <c r="D52" i="47"/>
  <c r="D45" i="47"/>
  <c r="D44" i="47"/>
  <c r="D41" i="47"/>
  <c r="D40" i="47"/>
  <c r="D38" i="47"/>
  <c r="D37" i="47"/>
  <c r="D35" i="47"/>
  <c r="D34" i="47"/>
  <c r="D33" i="47"/>
  <c r="D32" i="47"/>
  <c r="D24" i="47"/>
  <c r="D25" i="47"/>
  <c r="D26" i="47"/>
  <c r="D27" i="47"/>
  <c r="D28" i="47"/>
  <c r="D29" i="47"/>
  <c r="D30" i="47"/>
  <c r="D23" i="47"/>
  <c r="D7" i="47"/>
  <c r="D8" i="47"/>
  <c r="D9" i="47"/>
  <c r="D10" i="47"/>
  <c r="D11" i="47"/>
  <c r="D12" i="47"/>
  <c r="D14" i="47"/>
  <c r="D15" i="47"/>
  <c r="D16" i="47"/>
  <c r="D17" i="47"/>
  <c r="AY203" i="47"/>
  <c r="F292" i="47"/>
  <c r="F288" i="47"/>
  <c r="F287" i="47"/>
  <c r="F286" i="47"/>
  <c r="F283" i="47"/>
  <c r="DH101" i="26"/>
  <c r="DH100" i="26"/>
  <c r="DH97" i="26"/>
  <c r="DH95" i="26"/>
  <c r="DH94" i="26"/>
  <c r="DH80" i="26"/>
  <c r="DH78" i="26"/>
  <c r="DH77" i="26"/>
  <c r="DH74" i="26"/>
  <c r="DH73" i="26"/>
  <c r="DH70" i="26"/>
  <c r="DH69" i="26"/>
  <c r="DH64" i="26"/>
  <c r="DH56" i="26"/>
  <c r="DH52" i="26"/>
  <c r="DH47" i="26"/>
  <c r="DH44" i="26"/>
  <c r="DH36" i="26"/>
  <c r="DH33" i="26"/>
  <c r="DH23" i="26"/>
  <c r="DH20" i="26"/>
  <c r="DH16" i="26"/>
  <c r="DH101" i="37"/>
  <c r="DH100" i="37"/>
  <c r="DH97" i="37"/>
  <c r="DH95" i="37"/>
  <c r="DH94" i="37"/>
  <c r="DH80" i="37"/>
  <c r="DH78" i="37"/>
  <c r="DH77" i="37"/>
  <c r="DH74" i="37"/>
  <c r="DH73" i="37"/>
  <c r="DH70" i="37"/>
  <c r="DH69" i="37"/>
  <c r="DH64" i="37"/>
  <c r="DH56" i="37"/>
  <c r="DH52" i="37"/>
  <c r="DH47" i="37"/>
  <c r="DH44" i="37"/>
  <c r="DH36" i="37"/>
  <c r="DH33" i="37"/>
  <c r="DH23" i="37"/>
  <c r="DH20" i="37"/>
  <c r="DH16" i="37"/>
  <c r="DH101" i="36"/>
  <c r="DH100" i="36"/>
  <c r="DH97" i="36"/>
  <c r="DH95" i="36"/>
  <c r="DH94" i="36"/>
  <c r="DH80" i="36"/>
  <c r="DH78" i="36"/>
  <c r="DH77" i="36"/>
  <c r="DH74" i="36"/>
  <c r="DH73" i="36"/>
  <c r="DH70" i="36"/>
  <c r="DH69" i="36"/>
  <c r="DH64" i="36"/>
  <c r="DH56" i="36"/>
  <c r="DH52" i="36"/>
  <c r="DH47" i="36"/>
  <c r="DH44" i="36"/>
  <c r="DH36" i="36"/>
  <c r="DH33" i="36"/>
  <c r="DH23" i="36"/>
  <c r="DH20" i="36"/>
  <c r="DH16" i="36"/>
  <c r="DH101" i="25"/>
  <c r="DH100" i="25"/>
  <c r="DH97" i="25"/>
  <c r="DH95" i="25"/>
  <c r="DH94" i="25"/>
  <c r="DH80" i="25"/>
  <c r="DH78" i="25"/>
  <c r="DH77" i="25"/>
  <c r="DH74" i="25"/>
  <c r="DH73" i="25"/>
  <c r="DH70" i="25"/>
  <c r="DH69" i="25"/>
  <c r="DH64" i="25"/>
  <c r="DH56" i="25"/>
  <c r="DH52" i="25"/>
  <c r="DH47" i="25"/>
  <c r="DH44" i="25"/>
  <c r="DH36" i="25"/>
  <c r="DH33" i="25"/>
  <c r="DH23" i="25"/>
  <c r="DH20" i="25"/>
  <c r="DH16" i="25"/>
  <c r="D101" i="52"/>
  <c r="D102" i="52"/>
  <c r="D103" i="52"/>
  <c r="D104" i="52"/>
  <c r="N98" i="52"/>
  <c r="N62" i="52"/>
  <c r="M62" i="52"/>
  <c r="L62" i="52"/>
  <c r="K62" i="52"/>
  <c r="J62" i="52"/>
  <c r="I62" i="52"/>
  <c r="H62" i="52"/>
  <c r="G62" i="52"/>
  <c r="F62" i="52"/>
  <c r="E71" i="52"/>
  <c r="N70" i="52"/>
  <c r="M70" i="52"/>
  <c r="L70" i="52"/>
  <c r="K70" i="52"/>
  <c r="J70" i="52"/>
  <c r="I70" i="52"/>
  <c r="H70" i="52"/>
  <c r="G70" i="52"/>
  <c r="F70" i="52"/>
  <c r="E68" i="52"/>
  <c r="N67" i="52"/>
  <c r="M67" i="52"/>
  <c r="L67" i="52"/>
  <c r="K67" i="52"/>
  <c r="J67" i="52"/>
  <c r="I67" i="52"/>
  <c r="H67" i="52"/>
  <c r="G67" i="52"/>
  <c r="F67" i="52"/>
  <c r="E66" i="52"/>
  <c r="F39" i="52"/>
  <c r="E85" i="51"/>
  <c r="E84" i="51"/>
  <c r="E83" i="51"/>
  <c r="E80" i="51"/>
  <c r="E79" i="51"/>
  <c r="E78" i="51"/>
  <c r="E75" i="51"/>
  <c r="E74" i="51"/>
  <c r="G43" i="51"/>
  <c r="K213" i="24"/>
  <c r="K232" i="24" s="1"/>
  <c r="K292" i="24" s="1"/>
  <c r="K369" i="24" s="1"/>
  <c r="L213" i="24"/>
  <c r="L232" i="24" s="1"/>
  <c r="L292" i="24" s="1"/>
  <c r="L369" i="24" s="1"/>
  <c r="M213" i="24"/>
  <c r="M232" i="24" s="1"/>
  <c r="M292" i="24" s="1"/>
  <c r="M369" i="24" s="1"/>
  <c r="N213" i="24"/>
  <c r="N232" i="24" s="1"/>
  <c r="N292" i="24" s="1"/>
  <c r="N369" i="24" s="1"/>
  <c r="BL108" i="26"/>
  <c r="BL107" i="26"/>
  <c r="BL105" i="26"/>
  <c r="BL94" i="26"/>
  <c r="BL90" i="26"/>
  <c r="BL87" i="26"/>
  <c r="BL86" i="26"/>
  <c r="BL85" i="26"/>
  <c r="BL80" i="26"/>
  <c r="BL78" i="26"/>
  <c r="BL77" i="26"/>
  <c r="BL69" i="26"/>
  <c r="BL56" i="26"/>
  <c r="BL52" i="26"/>
  <c r="BL47" i="26"/>
  <c r="BL44" i="26"/>
  <c r="BL43" i="26"/>
  <c r="BL42" i="26"/>
  <c r="BL41" i="26"/>
  <c r="BL36" i="26"/>
  <c r="BL33" i="26"/>
  <c r="BL23" i="26"/>
  <c r="BL20" i="26"/>
  <c r="BL16" i="26"/>
  <c r="BL108" i="41"/>
  <c r="BL107" i="41"/>
  <c r="BL105" i="41"/>
  <c r="BL94" i="41"/>
  <c r="BL90" i="41"/>
  <c r="BL87" i="41"/>
  <c r="BL86" i="41"/>
  <c r="BL85" i="41"/>
  <c r="BL80" i="41"/>
  <c r="BL78" i="41"/>
  <c r="BL77" i="41"/>
  <c r="BL69" i="41"/>
  <c r="BL56" i="41"/>
  <c r="BL52" i="41"/>
  <c r="BL47" i="41"/>
  <c r="BL44" i="41"/>
  <c r="BL43" i="41"/>
  <c r="BL42" i="41"/>
  <c r="BL41" i="41"/>
  <c r="BL36" i="41"/>
  <c r="BL33" i="41"/>
  <c r="BL23" i="41"/>
  <c r="BL20" i="41"/>
  <c r="BL16" i="41"/>
  <c r="BL108" i="40"/>
  <c r="BL107" i="40"/>
  <c r="BL105" i="40"/>
  <c r="BL94" i="40"/>
  <c r="BL90" i="40"/>
  <c r="BL87" i="40"/>
  <c r="BL86" i="40"/>
  <c r="BL85" i="40"/>
  <c r="BL80" i="40"/>
  <c r="BL78" i="40"/>
  <c r="BL77" i="40"/>
  <c r="BL69" i="40"/>
  <c r="BL56" i="40"/>
  <c r="BL52" i="40"/>
  <c r="BL47" i="40"/>
  <c r="BL44" i="40"/>
  <c r="BL43" i="40"/>
  <c r="BL42" i="40"/>
  <c r="BL41" i="40"/>
  <c r="BL36" i="40"/>
  <c r="BL33" i="40"/>
  <c r="BL23" i="40"/>
  <c r="BL20" i="40"/>
  <c r="BL16" i="40"/>
  <c r="BL108" i="39"/>
  <c r="BL107" i="39"/>
  <c r="BL105" i="39"/>
  <c r="BL94" i="39"/>
  <c r="BL90" i="39"/>
  <c r="BL87" i="39"/>
  <c r="BL86" i="39"/>
  <c r="BL85" i="39"/>
  <c r="BL80" i="39"/>
  <c r="BL78" i="39"/>
  <c r="BL77" i="39"/>
  <c r="BL69" i="39"/>
  <c r="BL56" i="39"/>
  <c r="BL52" i="39"/>
  <c r="BL47" i="39"/>
  <c r="BL44" i="39"/>
  <c r="BL43" i="39"/>
  <c r="BL42" i="39"/>
  <c r="BL41" i="39"/>
  <c r="BL36" i="39"/>
  <c r="BL33" i="39"/>
  <c r="BL23" i="39"/>
  <c r="BL20" i="39"/>
  <c r="BL16" i="39"/>
  <c r="BL108" i="38"/>
  <c r="BL107" i="38"/>
  <c r="BL105" i="38"/>
  <c r="BL94" i="38"/>
  <c r="BL90" i="38"/>
  <c r="BL87" i="38"/>
  <c r="BL86" i="38"/>
  <c r="BL85" i="38"/>
  <c r="BL80" i="38"/>
  <c r="BL78" i="38"/>
  <c r="BL77" i="38"/>
  <c r="BL69" i="38"/>
  <c r="BL56" i="38"/>
  <c r="BL52" i="38"/>
  <c r="BL47" i="38"/>
  <c r="BL44" i="38"/>
  <c r="BL43" i="38"/>
  <c r="BL42" i="38"/>
  <c r="BL41" i="38"/>
  <c r="BL36" i="38"/>
  <c r="BL33" i="38"/>
  <c r="BL23" i="38"/>
  <c r="BL20" i="38"/>
  <c r="BL16" i="38"/>
  <c r="BL108" i="37"/>
  <c r="BL107" i="37"/>
  <c r="BL105" i="37"/>
  <c r="BL94" i="37"/>
  <c r="BL90" i="37"/>
  <c r="BL87" i="37"/>
  <c r="BL86" i="37"/>
  <c r="BL85" i="37"/>
  <c r="BL80" i="37"/>
  <c r="BL78" i="37"/>
  <c r="BL77" i="37"/>
  <c r="BL69" i="37"/>
  <c r="BL56" i="37"/>
  <c r="BL52" i="37"/>
  <c r="BL47" i="37"/>
  <c r="BL44" i="37"/>
  <c r="BL43" i="37"/>
  <c r="BL42" i="37"/>
  <c r="BL41" i="37"/>
  <c r="BL36" i="37"/>
  <c r="BL33" i="37"/>
  <c r="BL23" i="37"/>
  <c r="BL20" i="37"/>
  <c r="BL16" i="37"/>
  <c r="BL108" i="36"/>
  <c r="BL107" i="36"/>
  <c r="BL105" i="36"/>
  <c r="BL94" i="36"/>
  <c r="BL90" i="36"/>
  <c r="BL87" i="36"/>
  <c r="BL86" i="36"/>
  <c r="BL85" i="36"/>
  <c r="BL80" i="36"/>
  <c r="BL78" i="36"/>
  <c r="BL77" i="36"/>
  <c r="BL69" i="36"/>
  <c r="BL56" i="36"/>
  <c r="BL52" i="36"/>
  <c r="BL47" i="36"/>
  <c r="BL44" i="36"/>
  <c r="BL43" i="36"/>
  <c r="BL42" i="36"/>
  <c r="BL41" i="36"/>
  <c r="BL36" i="36"/>
  <c r="BL33" i="36"/>
  <c r="BL23" i="36"/>
  <c r="BL20" i="36"/>
  <c r="BL16" i="36"/>
  <c r="BL108" i="25"/>
  <c r="BL107" i="25"/>
  <c r="BL105" i="25"/>
  <c r="BL94" i="25"/>
  <c r="BL90" i="25"/>
  <c r="BL87" i="25"/>
  <c r="BL86" i="25"/>
  <c r="BL85" i="25"/>
  <c r="BL80" i="25"/>
  <c r="BL78" i="25"/>
  <c r="BL77" i="25"/>
  <c r="BL69" i="25"/>
  <c r="BL56" i="25"/>
  <c r="BL52" i="25"/>
  <c r="BL47" i="25"/>
  <c r="BL44" i="25"/>
  <c r="BL43" i="25"/>
  <c r="BL42" i="25"/>
  <c r="BL41" i="25"/>
  <c r="BL36" i="25"/>
  <c r="BL33" i="25"/>
  <c r="BL23" i="25"/>
  <c r="BL20" i="25"/>
  <c r="BL16" i="25"/>
  <c r="BL108" i="1"/>
  <c r="BL107" i="1"/>
  <c r="BL105" i="1"/>
  <c r="BL94" i="1"/>
  <c r="BL90" i="1"/>
  <c r="BL87" i="1"/>
  <c r="BL86" i="1"/>
  <c r="BL85" i="1"/>
  <c r="BL80" i="1"/>
  <c r="BL78" i="1"/>
  <c r="BL77" i="1"/>
  <c r="BL69" i="1"/>
  <c r="BL56" i="1"/>
  <c r="BL52" i="1"/>
  <c r="BL47" i="1"/>
  <c r="BL44" i="1"/>
  <c r="BL43" i="1"/>
  <c r="BL42" i="1"/>
  <c r="BL41" i="1"/>
  <c r="BL36" i="1"/>
  <c r="BL33" i="1"/>
  <c r="BL23" i="1"/>
  <c r="BL20" i="1"/>
  <c r="BL16" i="1"/>
  <c r="BJ103" i="26"/>
  <c r="BJ74" i="26"/>
  <c r="BL74" i="26" s="1"/>
  <c r="BJ70" i="26"/>
  <c r="BL70" i="26" s="1"/>
  <c r="BJ103" i="41"/>
  <c r="BJ74" i="41"/>
  <c r="BL74" i="41" s="1"/>
  <c r="BJ70" i="41"/>
  <c r="BL70" i="41" s="1"/>
  <c r="BJ103" i="40"/>
  <c r="BJ74" i="40"/>
  <c r="BL74" i="40" s="1"/>
  <c r="BJ70" i="40"/>
  <c r="BL70" i="40" s="1"/>
  <c r="BJ103" i="39"/>
  <c r="BJ74" i="39"/>
  <c r="BL74" i="39" s="1"/>
  <c r="BJ70" i="39"/>
  <c r="BL70" i="39" s="1"/>
  <c r="BJ103" i="38"/>
  <c r="BJ74" i="38"/>
  <c r="BL74" i="38" s="1"/>
  <c r="BJ70" i="38"/>
  <c r="BL70" i="38" s="1"/>
  <c r="BJ103" i="37"/>
  <c r="BJ74" i="37"/>
  <c r="BL74" i="37" s="1"/>
  <c r="BJ70" i="37"/>
  <c r="BL70" i="37" s="1"/>
  <c r="BJ103" i="36"/>
  <c r="BJ74" i="36"/>
  <c r="BL74" i="36" s="1"/>
  <c r="BJ70" i="36"/>
  <c r="BL70" i="36" s="1"/>
  <c r="BJ103" i="25"/>
  <c r="BJ74" i="25"/>
  <c r="BL74" i="25" s="1"/>
  <c r="BJ70" i="25"/>
  <c r="BL70" i="25" s="1"/>
  <c r="BJ103" i="1"/>
  <c r="BJ74" i="1"/>
  <c r="BL74" i="1" s="1"/>
  <c r="BJ70" i="1"/>
  <c r="BL70" i="1" s="1"/>
  <c r="I183" i="50"/>
  <c r="J183" i="50"/>
  <c r="K183" i="50"/>
  <c r="L183" i="50"/>
  <c r="M183" i="50"/>
  <c r="N183" i="50"/>
  <c r="E121" i="50"/>
  <c r="E124" i="50"/>
  <c r="E120" i="50"/>
  <c r="D115" i="48"/>
  <c r="D116" i="48"/>
  <c r="D117" i="48"/>
  <c r="E65" i="48"/>
  <c r="D9" i="48"/>
  <c r="D18" i="48"/>
  <c r="E1116" i="4"/>
  <c r="E1097" i="4"/>
  <c r="E1085" i="4"/>
  <c r="E1111" i="4"/>
  <c r="E1109" i="4"/>
  <c r="D434" i="46"/>
  <c r="D435" i="46"/>
  <c r="D436" i="46"/>
  <c r="E412" i="46"/>
  <c r="E411" i="46"/>
  <c r="E410" i="46"/>
  <c r="E407" i="46"/>
  <c r="E406" i="46"/>
  <c r="E405" i="46"/>
  <c r="E398" i="46"/>
  <c r="E397" i="46"/>
  <c r="N272" i="46"/>
  <c r="M272" i="46"/>
  <c r="L272" i="46"/>
  <c r="K272" i="46"/>
  <c r="J272" i="46"/>
  <c r="I272" i="46"/>
  <c r="H272" i="46"/>
  <c r="G272" i="46"/>
  <c r="F272" i="46"/>
  <c r="N271" i="46"/>
  <c r="M271" i="46"/>
  <c r="L271" i="46"/>
  <c r="K271" i="46"/>
  <c r="J271" i="46"/>
  <c r="I271" i="46"/>
  <c r="H271" i="46"/>
  <c r="F271" i="46"/>
  <c r="N165" i="46"/>
  <c r="M165" i="46"/>
  <c r="L165" i="46"/>
  <c r="K165" i="46"/>
  <c r="J165" i="46"/>
  <c r="I165" i="46"/>
  <c r="H165" i="46"/>
  <c r="G165" i="46"/>
  <c r="N164" i="46"/>
  <c r="M164" i="46"/>
  <c r="L164" i="46"/>
  <c r="K164" i="46"/>
  <c r="J164" i="46"/>
  <c r="I164" i="46"/>
  <c r="H164" i="46"/>
  <c r="G164" i="46"/>
  <c r="N163" i="46"/>
  <c r="M163" i="46"/>
  <c r="L163" i="46"/>
  <c r="K163" i="46"/>
  <c r="J163" i="46"/>
  <c r="I163" i="46"/>
  <c r="H163" i="46"/>
  <c r="G163" i="46"/>
  <c r="H115" i="46"/>
  <c r="G115" i="46"/>
  <c r="H114" i="46"/>
  <c r="G114" i="46"/>
  <c r="H113" i="46"/>
  <c r="G113" i="46"/>
  <c r="E765" i="17"/>
  <c r="E766" i="17"/>
  <c r="E767" i="17"/>
  <c r="E757" i="17"/>
  <c r="E758" i="17"/>
  <c r="E759" i="17"/>
  <c r="E1271" i="4"/>
  <c r="E1272" i="4"/>
  <c r="E1273" i="4"/>
  <c r="E1263" i="4"/>
  <c r="E1264" i="4"/>
  <c r="E1265" i="4"/>
  <c r="D1231" i="4"/>
  <c r="D1232" i="4"/>
  <c r="D1233" i="4"/>
  <c r="D1234" i="4"/>
  <c r="D1235" i="4"/>
  <c r="D1236" i="4"/>
  <c r="D1237" i="4"/>
  <c r="D1238" i="4"/>
  <c r="D1239" i="4"/>
  <c r="D1240" i="4"/>
  <c r="D1217" i="4"/>
  <c r="D1219" i="4"/>
  <c r="D1220" i="4"/>
  <c r="D1221" i="4"/>
  <c r="D1222" i="4"/>
  <c r="D1223" i="4"/>
  <c r="D1224" i="4"/>
  <c r="D1225" i="4"/>
  <c r="D1246" i="4"/>
  <c r="D1247" i="4"/>
  <c r="D1248" i="4"/>
  <c r="D1249" i="4"/>
  <c r="D1250" i="4"/>
  <c r="D1251" i="4"/>
  <c r="D1252" i="4"/>
  <c r="D1253" i="4"/>
  <c r="D1254" i="4"/>
  <c r="E1279" i="4"/>
  <c r="E1280" i="4"/>
  <c r="E1281" i="4"/>
  <c r="C1287" i="4"/>
  <c r="C1288" i="4"/>
  <c r="C1289" i="4"/>
  <c r="C1290" i="4"/>
  <c r="D1298" i="4"/>
  <c r="D1299" i="4"/>
  <c r="D1300" i="4"/>
  <c r="D784" i="17"/>
  <c r="D785" i="17"/>
  <c r="C773" i="17"/>
  <c r="C774" i="17"/>
  <c r="C775" i="17"/>
  <c r="C776" i="17"/>
  <c r="E749" i="17"/>
  <c r="E750" i="17"/>
  <c r="E751" i="17"/>
  <c r="D4" i="47"/>
  <c r="N755" i="4"/>
  <c r="M755" i="4"/>
  <c r="L755" i="4"/>
  <c r="K755" i="4"/>
  <c r="J755" i="4"/>
  <c r="I755" i="4"/>
  <c r="H755" i="4"/>
  <c r="G755" i="4"/>
  <c r="F755" i="4"/>
  <c r="G1274" i="4"/>
  <c r="H1274" i="4"/>
  <c r="I1274" i="4"/>
  <c r="J1274" i="4"/>
  <c r="K1274" i="4"/>
  <c r="L1274" i="4"/>
  <c r="M1274" i="4"/>
  <c r="N1274" i="4"/>
  <c r="F1274" i="4"/>
  <c r="F290" i="13"/>
  <c r="D733" i="17"/>
  <c r="D734" i="17"/>
  <c r="D735" i="17"/>
  <c r="D736" i="17"/>
  <c r="D737" i="17"/>
  <c r="D738" i="17"/>
  <c r="D739" i="17"/>
  <c r="D740" i="17"/>
  <c r="D719" i="17"/>
  <c r="D720" i="17"/>
  <c r="D721" i="17"/>
  <c r="D722" i="17"/>
  <c r="D723" i="17"/>
  <c r="D724" i="17"/>
  <c r="D725" i="17"/>
  <c r="D726" i="17"/>
  <c r="D727" i="17"/>
  <c r="D705" i="17"/>
  <c r="D706" i="17"/>
  <c r="D707" i="17"/>
  <c r="D708" i="17"/>
  <c r="D709" i="17"/>
  <c r="D710" i="17"/>
  <c r="D711" i="17"/>
  <c r="D712" i="17"/>
  <c r="N853" i="4"/>
  <c r="M853" i="4"/>
  <c r="L853" i="4"/>
  <c r="K853" i="4"/>
  <c r="J853" i="4"/>
  <c r="I853" i="4"/>
  <c r="H853" i="4"/>
  <c r="G853" i="4"/>
  <c r="F853" i="4"/>
  <c r="F847" i="4"/>
  <c r="F846" i="4"/>
  <c r="F845" i="4"/>
  <c r="F844" i="4"/>
  <c r="F843" i="4"/>
  <c r="H835" i="4"/>
  <c r="H838" i="4" s="1"/>
  <c r="I835" i="4"/>
  <c r="I838" i="4" s="1"/>
  <c r="J835" i="4"/>
  <c r="J838" i="4" s="1"/>
  <c r="K835" i="4"/>
  <c r="K838" i="4" s="1"/>
  <c r="L835" i="4"/>
  <c r="L838" i="4" s="1"/>
  <c r="M835" i="4"/>
  <c r="M838" i="4" s="1"/>
  <c r="N835" i="4"/>
  <c r="N838" i="4" s="1"/>
  <c r="F835" i="4"/>
  <c r="F838" i="4" s="1"/>
  <c r="H830" i="4"/>
  <c r="H833" i="4" s="1"/>
  <c r="I830" i="4"/>
  <c r="I833" i="4" s="1"/>
  <c r="J830" i="4"/>
  <c r="J833" i="4" s="1"/>
  <c r="K830" i="4"/>
  <c r="K833" i="4" s="1"/>
  <c r="L830" i="4"/>
  <c r="L833" i="4" s="1"/>
  <c r="M830" i="4"/>
  <c r="M833" i="4" s="1"/>
  <c r="N830" i="4"/>
  <c r="N833" i="4" s="1"/>
  <c r="F830" i="4"/>
  <c r="F833" i="4" s="1"/>
  <c r="H825" i="4"/>
  <c r="H828" i="4" s="1"/>
  <c r="I825" i="4"/>
  <c r="I828" i="4" s="1"/>
  <c r="J825" i="4"/>
  <c r="J828" i="4" s="1"/>
  <c r="K825" i="4"/>
  <c r="K828" i="4" s="1"/>
  <c r="L825" i="4"/>
  <c r="L828" i="4" s="1"/>
  <c r="M825" i="4"/>
  <c r="M828" i="4" s="1"/>
  <c r="N825" i="4"/>
  <c r="N828" i="4" s="1"/>
  <c r="F825" i="4"/>
  <c r="F828" i="4" s="1"/>
  <c r="H820" i="4"/>
  <c r="H823" i="4" s="1"/>
  <c r="I820" i="4"/>
  <c r="I823" i="4" s="1"/>
  <c r="J820" i="4"/>
  <c r="J823" i="4" s="1"/>
  <c r="K820" i="4"/>
  <c r="K823" i="4" s="1"/>
  <c r="L820" i="4"/>
  <c r="L823" i="4" s="1"/>
  <c r="M820" i="4"/>
  <c r="M823" i="4" s="1"/>
  <c r="N820" i="4"/>
  <c r="N823" i="4" s="1"/>
  <c r="F820" i="4"/>
  <c r="F823" i="4" s="1"/>
  <c r="H818" i="4"/>
  <c r="I818" i="4"/>
  <c r="J818" i="4"/>
  <c r="K818" i="4"/>
  <c r="L818" i="4"/>
  <c r="M818" i="4"/>
  <c r="N818" i="4"/>
  <c r="F818" i="4"/>
  <c r="G815" i="4"/>
  <c r="G825" i="4" s="1"/>
  <c r="G828" i="4" s="1"/>
  <c r="G816" i="4"/>
  <c r="G830" i="4" s="1"/>
  <c r="G833" i="4" s="1"/>
  <c r="G817" i="4"/>
  <c r="G835" i="4" s="1"/>
  <c r="G838" i="4" s="1"/>
  <c r="G814" i="4"/>
  <c r="G31" i="46"/>
  <c r="G271" i="46" s="1"/>
  <c r="K152" i="45"/>
  <c r="J152" i="45"/>
  <c r="I152" i="45"/>
  <c r="H152" i="45"/>
  <c r="G152" i="45"/>
  <c r="D108" i="45"/>
  <c r="D109" i="45"/>
  <c r="D110" i="45"/>
  <c r="D111" i="45"/>
  <c r="D112" i="45"/>
  <c r="D113" i="45"/>
  <c r="D114" i="45"/>
  <c r="E64" i="45"/>
  <c r="E62" i="45"/>
  <c r="E61" i="45"/>
  <c r="F73" i="45"/>
  <c r="F123" i="45" s="1"/>
  <c r="F124" i="45" s="1"/>
  <c r="D10" i="44"/>
  <c r="D11" i="44"/>
  <c r="D9" i="45"/>
  <c r="D10" i="45"/>
  <c r="D11" i="45"/>
  <c r="D269" i="43"/>
  <c r="D270" i="43"/>
  <c r="D271" i="43"/>
  <c r="D272" i="43"/>
  <c r="C78" i="23"/>
  <c r="D207" i="43"/>
  <c r="D208" i="43"/>
  <c r="D209" i="43"/>
  <c r="D210" i="43"/>
  <c r="D211" i="43"/>
  <c r="D212" i="43"/>
  <c r="D213" i="43"/>
  <c r="D214" i="43"/>
  <c r="D215" i="43"/>
  <c r="E228" i="43"/>
  <c r="E227" i="43"/>
  <c r="E226" i="43"/>
  <c r="E225" i="43"/>
  <c r="E224" i="43"/>
  <c r="E144" i="43"/>
  <c r="N88" i="43"/>
  <c r="N82" i="43"/>
  <c r="N76" i="43"/>
  <c r="N70" i="43"/>
  <c r="D569" i="42"/>
  <c r="E558" i="42"/>
  <c r="E559" i="42"/>
  <c r="E560" i="42"/>
  <c r="D549" i="42"/>
  <c r="D548" i="42"/>
  <c r="D547" i="42"/>
  <c r="D546" i="42"/>
  <c r="D545" i="42"/>
  <c r="N542" i="42"/>
  <c r="E430" i="42"/>
  <c r="E411" i="42"/>
  <c r="E395" i="42"/>
  <c r="E382" i="42"/>
  <c r="E381" i="42"/>
  <c r="E378" i="42"/>
  <c r="E377" i="42"/>
  <c r="E376" i="42"/>
  <c r="E209" i="42"/>
  <c r="F179" i="42"/>
  <c r="F163" i="42"/>
  <c r="F334" i="34" a="1"/>
  <c r="F337" i="34" s="1"/>
  <c r="N558" i="42"/>
  <c r="M558" i="42"/>
  <c r="L558" i="42"/>
  <c r="K558" i="42"/>
  <c r="J558" i="42"/>
  <c r="I558" i="42"/>
  <c r="H558" i="42"/>
  <c r="G558" i="42"/>
  <c r="F558" i="42"/>
  <c r="F445" i="42"/>
  <c r="F444" i="42"/>
  <c r="G445" i="42" s="1"/>
  <c r="F443" i="42"/>
  <c r="G444" i="42" s="1"/>
  <c r="H445" i="42" s="1"/>
  <c r="F425" i="42"/>
  <c r="F418" i="42"/>
  <c r="P36" i="42"/>
  <c r="P35" i="42"/>
  <c r="P34" i="42"/>
  <c r="P33" i="42"/>
  <c r="P27" i="42"/>
  <c r="P26" i="42"/>
  <c r="P25" i="42"/>
  <c r="P24" i="42"/>
  <c r="P18" i="42"/>
  <c r="P17" i="42"/>
  <c r="P16" i="42"/>
  <c r="P15" i="42"/>
  <c r="I84" i="35"/>
  <c r="I90" i="35" s="1"/>
  <c r="E318" i="35"/>
  <c r="E317" i="35"/>
  <c r="E316" i="35"/>
  <c r="E313" i="35"/>
  <c r="E312" i="35"/>
  <c r="E311" i="35"/>
  <c r="E308" i="35"/>
  <c r="E307" i="35"/>
  <c r="E306" i="35"/>
  <c r="E301" i="35"/>
  <c r="E297" i="35"/>
  <c r="E293" i="35"/>
  <c r="E290" i="35"/>
  <c r="E287" i="35"/>
  <c r="E283" i="35"/>
  <c r="E279" i="35"/>
  <c r="E276" i="35"/>
  <c r="E274" i="35"/>
  <c r="E270" i="35"/>
  <c r="E266" i="35"/>
  <c r="E263" i="35"/>
  <c r="E260" i="35"/>
  <c r="E256" i="35"/>
  <c r="E252" i="35"/>
  <c r="E249" i="35"/>
  <c r="E246" i="35"/>
  <c r="E242" i="35"/>
  <c r="E238" i="35"/>
  <c r="E235" i="35"/>
  <c r="E380" i="35"/>
  <c r="Q103" i="41"/>
  <c r="DH101" i="41"/>
  <c r="DH100" i="41"/>
  <c r="DH97" i="41"/>
  <c r="DH95" i="41"/>
  <c r="DH94" i="41"/>
  <c r="BF83" i="41"/>
  <c r="BL83" i="41" s="1"/>
  <c r="DH80" i="41"/>
  <c r="DH78" i="41"/>
  <c r="DH77" i="41"/>
  <c r="DH74" i="41"/>
  <c r="DH73" i="41"/>
  <c r="DH70" i="41"/>
  <c r="DH69" i="41"/>
  <c r="DH64" i="41"/>
  <c r="DH56" i="41"/>
  <c r="DH52" i="41"/>
  <c r="DH47" i="41"/>
  <c r="DH44" i="41"/>
  <c r="BF39" i="41"/>
  <c r="BL39" i="41" s="1"/>
  <c r="DH36" i="41"/>
  <c r="DH33" i="41"/>
  <c r="DH23" i="41"/>
  <c r="DH20" i="41"/>
  <c r="DH16" i="41"/>
  <c r="Q103" i="40"/>
  <c r="DH101" i="40"/>
  <c r="DH100" i="40"/>
  <c r="DH97" i="40"/>
  <c r="DH95" i="40"/>
  <c r="DH94" i="40"/>
  <c r="BF83" i="40"/>
  <c r="BL83" i="40" s="1"/>
  <c r="DH80" i="40"/>
  <c r="DH78" i="40"/>
  <c r="DH77" i="40"/>
  <c r="DH74" i="40"/>
  <c r="DH73" i="40"/>
  <c r="DH70" i="40"/>
  <c r="DH69" i="40"/>
  <c r="DH64" i="40"/>
  <c r="DH56" i="40"/>
  <c r="DH52" i="40"/>
  <c r="DH47" i="40"/>
  <c r="DH44" i="40"/>
  <c r="BF39" i="40"/>
  <c r="BL39" i="40" s="1"/>
  <c r="DH36" i="40"/>
  <c r="DH33" i="40"/>
  <c r="DH23" i="40"/>
  <c r="DH20" i="40"/>
  <c r="DH16" i="40"/>
  <c r="Q103" i="39"/>
  <c r="DH101" i="39"/>
  <c r="DH100" i="39"/>
  <c r="DH97" i="39"/>
  <c r="DH95" i="39"/>
  <c r="DH94" i="39"/>
  <c r="BF83" i="39"/>
  <c r="BL83" i="39" s="1"/>
  <c r="DH80" i="39"/>
  <c r="DH78" i="39"/>
  <c r="DH77" i="39"/>
  <c r="DH74" i="39"/>
  <c r="DH73" i="39"/>
  <c r="DH70" i="39"/>
  <c r="DH69" i="39"/>
  <c r="DH64" i="39"/>
  <c r="DH56" i="39"/>
  <c r="DH52" i="39"/>
  <c r="DH47" i="39"/>
  <c r="DH44" i="39"/>
  <c r="BF39" i="39"/>
  <c r="BL39" i="39" s="1"/>
  <c r="DH36" i="39"/>
  <c r="DH33" i="39"/>
  <c r="DH23" i="39"/>
  <c r="DH20" i="39"/>
  <c r="DH16" i="39"/>
  <c r="Q103" i="38"/>
  <c r="DH101" i="38"/>
  <c r="DH100" i="38"/>
  <c r="DH97" i="38"/>
  <c r="DH95" i="38"/>
  <c r="DH94" i="38"/>
  <c r="BF83" i="38"/>
  <c r="BL83" i="38" s="1"/>
  <c r="DH80" i="38"/>
  <c r="DH78" i="38"/>
  <c r="DH77" i="38"/>
  <c r="DH74" i="38"/>
  <c r="DH73" i="38"/>
  <c r="DH70" i="38"/>
  <c r="DH69" i="38"/>
  <c r="DH64" i="38"/>
  <c r="DH56" i="38"/>
  <c r="DH52" i="38"/>
  <c r="DH47" i="38"/>
  <c r="DH44" i="38"/>
  <c r="BF39" i="38"/>
  <c r="BL39" i="38" s="1"/>
  <c r="DH36" i="38"/>
  <c r="DH33" i="38"/>
  <c r="DH23" i="38"/>
  <c r="DH20" i="38"/>
  <c r="DH16" i="38"/>
  <c r="DH101" i="1"/>
  <c r="DH100" i="1"/>
  <c r="DH97" i="1"/>
  <c r="DH95" i="1"/>
  <c r="DH94" i="1"/>
  <c r="DH80" i="1"/>
  <c r="DH78" i="1"/>
  <c r="DH77" i="1"/>
  <c r="DH74" i="1"/>
  <c r="DH73" i="1"/>
  <c r="DH70" i="1"/>
  <c r="DH69" i="1"/>
  <c r="DH64" i="1"/>
  <c r="DH56" i="1"/>
  <c r="DH52" i="1"/>
  <c r="DH47" i="1"/>
  <c r="DH44" i="1"/>
  <c r="DH36" i="1"/>
  <c r="DH33" i="1"/>
  <c r="DH23" i="1"/>
  <c r="DH20" i="1"/>
  <c r="DH16" i="1"/>
  <c r="Q103" i="37"/>
  <c r="BF83" i="37"/>
  <c r="BL83" i="37" s="1"/>
  <c r="BF39" i="37"/>
  <c r="BL39" i="37" s="1"/>
  <c r="Q103" i="36"/>
  <c r="BF83" i="36"/>
  <c r="BL83" i="36" s="1"/>
  <c r="BF39" i="36"/>
  <c r="BL39" i="36" s="1"/>
  <c r="N300" i="35"/>
  <c r="M300" i="35"/>
  <c r="L300" i="35"/>
  <c r="K300" i="35"/>
  <c r="J300" i="35"/>
  <c r="I300" i="35"/>
  <c r="H300" i="35"/>
  <c r="G300" i="35"/>
  <c r="F300" i="35"/>
  <c r="N296" i="35"/>
  <c r="M296" i="35"/>
  <c r="L296" i="35"/>
  <c r="K296" i="35"/>
  <c r="J296" i="35"/>
  <c r="I296" i="35"/>
  <c r="H296" i="35"/>
  <c r="G296" i="35"/>
  <c r="F296" i="35"/>
  <c r="N292" i="35"/>
  <c r="M292" i="35"/>
  <c r="L292" i="35"/>
  <c r="K292" i="35"/>
  <c r="J292" i="35"/>
  <c r="I292" i="35"/>
  <c r="H292" i="35"/>
  <c r="G292" i="35"/>
  <c r="F292" i="35"/>
  <c r="F286" i="35"/>
  <c r="N282" i="35"/>
  <c r="M282" i="35"/>
  <c r="L282" i="35"/>
  <c r="K282" i="35"/>
  <c r="J282" i="35"/>
  <c r="I282" i="35"/>
  <c r="H282" i="35"/>
  <c r="G282" i="35"/>
  <c r="F282" i="35"/>
  <c r="H278" i="35"/>
  <c r="G278" i="35"/>
  <c r="F278" i="35"/>
  <c r="N273" i="35"/>
  <c r="M273" i="35"/>
  <c r="L273" i="35"/>
  <c r="K273" i="35"/>
  <c r="J273" i="35"/>
  <c r="I273" i="35"/>
  <c r="H273" i="35"/>
  <c r="G273" i="35"/>
  <c r="F273" i="35"/>
  <c r="N269" i="35"/>
  <c r="M269" i="35"/>
  <c r="L269" i="35"/>
  <c r="K269" i="35"/>
  <c r="J269" i="35"/>
  <c r="I269" i="35"/>
  <c r="H269" i="35"/>
  <c r="G269" i="35"/>
  <c r="F269" i="35"/>
  <c r="N265" i="35"/>
  <c r="M265" i="35"/>
  <c r="L265" i="35"/>
  <c r="K265" i="35"/>
  <c r="J265" i="35"/>
  <c r="I265" i="35"/>
  <c r="H265" i="35"/>
  <c r="G265" i="35"/>
  <c r="F265" i="35"/>
  <c r="N259" i="35"/>
  <c r="M259" i="35"/>
  <c r="L259" i="35"/>
  <c r="K259" i="35"/>
  <c r="J259" i="35"/>
  <c r="I259" i="35"/>
  <c r="H259" i="35"/>
  <c r="G259" i="35"/>
  <c r="F259" i="35"/>
  <c r="N255" i="35"/>
  <c r="M255" i="35"/>
  <c r="L255" i="35"/>
  <c r="K255" i="35"/>
  <c r="J255" i="35"/>
  <c r="I255" i="35"/>
  <c r="H255" i="35"/>
  <c r="G255" i="35"/>
  <c r="F255" i="35"/>
  <c r="N251" i="35"/>
  <c r="M251" i="35"/>
  <c r="L251" i="35"/>
  <c r="K251" i="35"/>
  <c r="J251" i="35"/>
  <c r="I251" i="35"/>
  <c r="H251" i="35"/>
  <c r="G251" i="35"/>
  <c r="F251" i="35"/>
  <c r="N245" i="35"/>
  <c r="M245" i="35"/>
  <c r="L245" i="35"/>
  <c r="K245" i="35"/>
  <c r="J245" i="35"/>
  <c r="I245" i="35"/>
  <c r="H245" i="35"/>
  <c r="G245" i="35"/>
  <c r="F245" i="35"/>
  <c r="N241" i="35"/>
  <c r="M241" i="35"/>
  <c r="L241" i="35"/>
  <c r="K241" i="35"/>
  <c r="J241" i="35"/>
  <c r="I241" i="35"/>
  <c r="H241" i="35"/>
  <c r="G241" i="35"/>
  <c r="F241" i="35"/>
  <c r="N237" i="35"/>
  <c r="M237" i="35"/>
  <c r="L237" i="35"/>
  <c r="K237" i="35"/>
  <c r="J237" i="35"/>
  <c r="I237" i="35"/>
  <c r="H237" i="35"/>
  <c r="G237" i="35"/>
  <c r="F237" i="35"/>
  <c r="D446" i="34"/>
  <c r="D445" i="34"/>
  <c r="D396" i="34"/>
  <c r="E453" i="34"/>
  <c r="E452" i="34"/>
  <c r="E451" i="34"/>
  <c r="E446" i="34"/>
  <c r="E434" i="34"/>
  <c r="E433" i="34"/>
  <c r="E428" i="34"/>
  <c r="E427" i="34"/>
  <c r="E424" i="34"/>
  <c r="E423" i="34"/>
  <c r="E417" i="34"/>
  <c r="E416" i="34"/>
  <c r="D409" i="34"/>
  <c r="E409" i="34"/>
  <c r="E405" i="34"/>
  <c r="E403" i="34"/>
  <c r="E402" i="34"/>
  <c r="E396" i="34"/>
  <c r="E393" i="34"/>
  <c r="E392" i="34"/>
  <c r="N373" i="34"/>
  <c r="N225" i="34"/>
  <c r="N232" i="34"/>
  <c r="N239" i="34"/>
  <c r="N246" i="34"/>
  <c r="F210" i="34"/>
  <c r="F200" i="34"/>
  <c r="F185" i="34"/>
  <c r="N17" i="34"/>
  <c r="F431" i="34"/>
  <c r="F368" i="34"/>
  <c r="F471" i="34" s="1"/>
  <c r="F582" i="34" s="1"/>
  <c r="F224" i="34"/>
  <c r="D65" i="33"/>
  <c r="D114" i="33"/>
  <c r="D115" i="33"/>
  <c r="D104" i="33"/>
  <c r="D103" i="33"/>
  <c r="E77" i="33"/>
  <c r="E73" i="33"/>
  <c r="E70" i="33"/>
  <c r="G37" i="33"/>
  <c r="G36" i="33"/>
  <c r="N13" i="33"/>
  <c r="N127" i="33"/>
  <c r="M127" i="33"/>
  <c r="L127" i="33"/>
  <c r="K127" i="33"/>
  <c r="J127" i="33"/>
  <c r="I127" i="33"/>
  <c r="H127" i="33"/>
  <c r="G127" i="33"/>
  <c r="F127" i="33"/>
  <c r="N126" i="33"/>
  <c r="M126" i="33"/>
  <c r="L126" i="33"/>
  <c r="K126" i="33"/>
  <c r="J126" i="33"/>
  <c r="I126" i="33"/>
  <c r="H126" i="33"/>
  <c r="G126" i="33"/>
  <c r="F126" i="33"/>
  <c r="N125" i="33"/>
  <c r="M125" i="33"/>
  <c r="L125" i="33"/>
  <c r="K125" i="33"/>
  <c r="J125" i="33"/>
  <c r="I125" i="33"/>
  <c r="H125" i="33"/>
  <c r="G125" i="33"/>
  <c r="F125" i="33"/>
  <c r="N124" i="33"/>
  <c r="M124" i="33"/>
  <c r="L124" i="33"/>
  <c r="K124" i="33"/>
  <c r="J124" i="33"/>
  <c r="I124" i="33"/>
  <c r="H124" i="33"/>
  <c r="G124" i="33"/>
  <c r="F124" i="33"/>
  <c r="N123" i="33"/>
  <c r="M123" i="33"/>
  <c r="L123" i="33"/>
  <c r="K123" i="33"/>
  <c r="J123" i="33"/>
  <c r="I123" i="33"/>
  <c r="H123" i="33"/>
  <c r="G123" i="33"/>
  <c r="F123" i="33"/>
  <c r="N71" i="33"/>
  <c r="M71" i="33"/>
  <c r="L71" i="33"/>
  <c r="K71" i="33"/>
  <c r="J71" i="33"/>
  <c r="I71" i="33"/>
  <c r="H71" i="33"/>
  <c r="G71" i="33"/>
  <c r="F71" i="33"/>
  <c r="N60" i="32"/>
  <c r="N106" i="32"/>
  <c r="D120" i="32"/>
  <c r="E120" i="32"/>
  <c r="E119" i="32"/>
  <c r="D110" i="32"/>
  <c r="D109" i="32"/>
  <c r="E75" i="32"/>
  <c r="E74" i="32"/>
  <c r="E71" i="32"/>
  <c r="E68" i="32"/>
  <c r="N13" i="32"/>
  <c r="N69" i="32"/>
  <c r="M69" i="32"/>
  <c r="L69" i="32"/>
  <c r="K69" i="32"/>
  <c r="J69" i="32"/>
  <c r="I69" i="32"/>
  <c r="H69" i="32"/>
  <c r="G69" i="32"/>
  <c r="F69" i="32"/>
  <c r="E264" i="10"/>
  <c r="E263" i="10"/>
  <c r="E257" i="10"/>
  <c r="E256" i="10"/>
  <c r="E250" i="10"/>
  <c r="E249" i="10"/>
  <c r="D264" i="10"/>
  <c r="D257" i="10"/>
  <c r="D250" i="10"/>
  <c r="D240" i="10"/>
  <c r="D239" i="10"/>
  <c r="D238" i="10"/>
  <c r="D232" i="10"/>
  <c r="D231" i="10"/>
  <c r="D230" i="10"/>
  <c r="D224" i="10"/>
  <c r="D223" i="10"/>
  <c r="D222" i="10"/>
  <c r="D216" i="10"/>
  <c r="D215" i="10"/>
  <c r="D214" i="10"/>
  <c r="E190" i="10"/>
  <c r="E184" i="10"/>
  <c r="E172" i="10"/>
  <c r="E167" i="10"/>
  <c r="E164" i="10"/>
  <c r="E159" i="10"/>
  <c r="E156" i="10"/>
  <c r="E151" i="10"/>
  <c r="G82" i="10"/>
  <c r="G81" i="10"/>
  <c r="G80" i="10"/>
  <c r="G79" i="10"/>
  <c r="G78" i="10"/>
  <c r="G77" i="10"/>
  <c r="N41" i="10"/>
  <c r="N32" i="10"/>
  <c r="N23" i="10"/>
  <c r="N14" i="10"/>
  <c r="D112" i="30"/>
  <c r="D111" i="30"/>
  <c r="E84" i="30"/>
  <c r="E83" i="30"/>
  <c r="D2" i="31"/>
  <c r="E2" i="31"/>
  <c r="F2" i="31"/>
  <c r="G2" i="31"/>
  <c r="I2" i="31"/>
  <c r="J2" i="31"/>
  <c r="K2" i="31"/>
  <c r="M2" i="31"/>
  <c r="N2" i="31"/>
  <c r="L16" i="43" s="1"/>
  <c r="O2" i="31"/>
  <c r="M16" i="43" s="1"/>
  <c r="P2" i="31"/>
  <c r="N16" i="43" s="1"/>
  <c r="Q2" i="31"/>
  <c r="R2" i="31"/>
  <c r="S2" i="31"/>
  <c r="T2" i="31"/>
  <c r="U2" i="31"/>
  <c r="V2" i="31"/>
  <c r="W2" i="31"/>
  <c r="X2" i="31"/>
  <c r="Y2" i="31"/>
  <c r="Z2" i="31"/>
  <c r="AB2" i="31"/>
  <c r="AC2" i="31"/>
  <c r="AD2" i="31"/>
  <c r="AE2" i="31"/>
  <c r="AF2" i="31"/>
  <c r="AG2" i="31"/>
  <c r="AH2" i="31"/>
  <c r="AI2" i="31"/>
  <c r="AJ2" i="31"/>
  <c r="AK2" i="31"/>
  <c r="AL2" i="31"/>
  <c r="D3" i="31"/>
  <c r="E3" i="31"/>
  <c r="F3" i="31"/>
  <c r="G3" i="31"/>
  <c r="I3" i="31"/>
  <c r="J3" i="31"/>
  <c r="K3" i="31"/>
  <c r="M3" i="31"/>
  <c r="N3" i="31"/>
  <c r="O3" i="31"/>
  <c r="P3" i="31"/>
  <c r="Q3" i="31"/>
  <c r="R3" i="31"/>
  <c r="S3" i="31"/>
  <c r="T3" i="31"/>
  <c r="U3" i="31"/>
  <c r="V3" i="31"/>
  <c r="W3" i="31"/>
  <c r="X3" i="31"/>
  <c r="Y3" i="31"/>
  <c r="Z3" i="31"/>
  <c r="AB3" i="31"/>
  <c r="AC3" i="31"/>
  <c r="AD3" i="31"/>
  <c r="AE3" i="31"/>
  <c r="AF3" i="31"/>
  <c r="AG3" i="31"/>
  <c r="AH3" i="31"/>
  <c r="AI3" i="31"/>
  <c r="AJ3" i="31"/>
  <c r="AK3" i="31"/>
  <c r="F110" i="47" s="1"/>
  <c r="AL3" i="31"/>
  <c r="D4" i="31"/>
  <c r="E4" i="31"/>
  <c r="F4" i="31"/>
  <c r="G4" i="31"/>
  <c r="I4" i="31"/>
  <c r="J4" i="31"/>
  <c r="K4" i="31"/>
  <c r="M4" i="31"/>
  <c r="N4" i="31"/>
  <c r="O4" i="31"/>
  <c r="P4" i="31"/>
  <c r="Q4" i="31"/>
  <c r="R4" i="31"/>
  <c r="S4" i="31"/>
  <c r="T4" i="31"/>
  <c r="U4" i="31"/>
  <c r="V4" i="31"/>
  <c r="W4" i="31"/>
  <c r="X4" i="31"/>
  <c r="Y4" i="31"/>
  <c r="Z4" i="31"/>
  <c r="AB4" i="31"/>
  <c r="AC4" i="31"/>
  <c r="AD4" i="31"/>
  <c r="AE4" i="31"/>
  <c r="AF4" i="31"/>
  <c r="AG4" i="31"/>
  <c r="AH4" i="31"/>
  <c r="AI4" i="31"/>
  <c r="AJ4" i="31"/>
  <c r="AK4" i="31"/>
  <c r="AL4" i="31"/>
  <c r="D5" i="31"/>
  <c r="E5" i="31"/>
  <c r="F5" i="31"/>
  <c r="G5" i="31"/>
  <c r="I5" i="31"/>
  <c r="J5" i="31"/>
  <c r="K5" i="31"/>
  <c r="M5" i="31"/>
  <c r="N5" i="31"/>
  <c r="O5" i="31"/>
  <c r="P5" i="31"/>
  <c r="Q5" i="31"/>
  <c r="R5" i="31"/>
  <c r="S5" i="31"/>
  <c r="T5" i="31"/>
  <c r="U5" i="31"/>
  <c r="V5" i="31"/>
  <c r="W5" i="31"/>
  <c r="X5" i="31"/>
  <c r="Y5" i="31"/>
  <c r="Z5" i="31"/>
  <c r="AB5" i="31"/>
  <c r="AC5" i="31"/>
  <c r="AD5" i="31"/>
  <c r="AE5" i="31"/>
  <c r="AF5" i="31"/>
  <c r="AG5" i="31"/>
  <c r="AH5" i="31"/>
  <c r="AI5" i="31"/>
  <c r="AJ5" i="31"/>
  <c r="AK5" i="31"/>
  <c r="AL5" i="31"/>
  <c r="D6" i="31"/>
  <c r="E6" i="31"/>
  <c r="F6" i="31"/>
  <c r="G6" i="31"/>
  <c r="I6" i="31"/>
  <c r="J6" i="31"/>
  <c r="K6" i="31"/>
  <c r="M6" i="31"/>
  <c r="N6" i="31"/>
  <c r="O6" i="31"/>
  <c r="P6" i="31"/>
  <c r="Q6" i="31"/>
  <c r="R6" i="31"/>
  <c r="S6" i="31"/>
  <c r="T6" i="31"/>
  <c r="U6" i="31"/>
  <c r="V6" i="31"/>
  <c r="W6" i="31"/>
  <c r="X6" i="31"/>
  <c r="Y6" i="31"/>
  <c r="Z6" i="31"/>
  <c r="AB6" i="31"/>
  <c r="AC6" i="31"/>
  <c r="AD6" i="31"/>
  <c r="AE6" i="31"/>
  <c r="AF6" i="31"/>
  <c r="AG6" i="31"/>
  <c r="AH6" i="31"/>
  <c r="AI6" i="31"/>
  <c r="AJ6" i="31"/>
  <c r="AK6" i="31"/>
  <c r="AL6" i="31"/>
  <c r="D10" i="31"/>
  <c r="E10" i="31"/>
  <c r="F10" i="31"/>
  <c r="G10" i="31"/>
  <c r="I10" i="31"/>
  <c r="J10" i="31"/>
  <c r="K10" i="31"/>
  <c r="M10" i="31"/>
  <c r="N10" i="31"/>
  <c r="O10" i="31"/>
  <c r="P10" i="31"/>
  <c r="Q10" i="31"/>
  <c r="R10" i="31"/>
  <c r="S10" i="31"/>
  <c r="T10" i="31"/>
  <c r="U10" i="31"/>
  <c r="V10" i="31"/>
  <c r="W10" i="31"/>
  <c r="X10" i="31"/>
  <c r="Y10" i="31"/>
  <c r="Z10" i="31"/>
  <c r="AB10" i="31"/>
  <c r="AC10" i="31"/>
  <c r="AD10" i="31"/>
  <c r="AE10" i="31"/>
  <c r="AF10" i="31"/>
  <c r="AG10" i="31"/>
  <c r="AH10" i="31"/>
  <c r="AI10" i="31"/>
  <c r="AJ10" i="31"/>
  <c r="AK10" i="31"/>
  <c r="AL10" i="31"/>
  <c r="D11" i="31"/>
  <c r="E11" i="31"/>
  <c r="F11" i="31"/>
  <c r="G11" i="31"/>
  <c r="I11" i="31"/>
  <c r="J11" i="31"/>
  <c r="K11" i="31"/>
  <c r="M11" i="31"/>
  <c r="N11" i="31"/>
  <c r="O11" i="31"/>
  <c r="P11" i="31"/>
  <c r="Q11" i="31"/>
  <c r="R11" i="31"/>
  <c r="S11" i="31"/>
  <c r="T11" i="31"/>
  <c r="U11" i="31"/>
  <c r="V11" i="31"/>
  <c r="W11" i="31"/>
  <c r="X11" i="31"/>
  <c r="Y11" i="31"/>
  <c r="Z11" i="31"/>
  <c r="AB11" i="31"/>
  <c r="AC11" i="31"/>
  <c r="AD11" i="31"/>
  <c r="AE11" i="31"/>
  <c r="AF11" i="31"/>
  <c r="AG11" i="31"/>
  <c r="AH11" i="31"/>
  <c r="AI11" i="31"/>
  <c r="AJ11" i="31"/>
  <c r="AK11" i="31"/>
  <c r="AL11"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D13" i="31"/>
  <c r="E13" i="31"/>
  <c r="F13" i="31"/>
  <c r="G13" i="31"/>
  <c r="I13" i="31"/>
  <c r="J13" i="31"/>
  <c r="K13" i="31"/>
  <c r="M13" i="31"/>
  <c r="N13" i="31"/>
  <c r="O13" i="31"/>
  <c r="P13" i="31"/>
  <c r="Q13" i="31"/>
  <c r="R13" i="31"/>
  <c r="S13" i="31"/>
  <c r="T13" i="31"/>
  <c r="U13" i="31"/>
  <c r="V13" i="31"/>
  <c r="W13" i="31"/>
  <c r="X13" i="31"/>
  <c r="Y13" i="31"/>
  <c r="Z13" i="31"/>
  <c r="AB13" i="31"/>
  <c r="AC13" i="31"/>
  <c r="AD13" i="31"/>
  <c r="AE13" i="31"/>
  <c r="AF13" i="31"/>
  <c r="AG13" i="31"/>
  <c r="AH13" i="31"/>
  <c r="AI13" i="31"/>
  <c r="AJ13" i="31"/>
  <c r="AK13" i="31"/>
  <c r="AL13" i="31"/>
  <c r="D14" i="31"/>
  <c r="E14" i="31"/>
  <c r="F14" i="31"/>
  <c r="G14" i="31"/>
  <c r="I14" i="31"/>
  <c r="J14" i="31"/>
  <c r="K14" i="31"/>
  <c r="M14" i="31"/>
  <c r="N14" i="31"/>
  <c r="O14" i="31"/>
  <c r="P14" i="31"/>
  <c r="Q14" i="31"/>
  <c r="R14" i="31"/>
  <c r="S14" i="31"/>
  <c r="T14" i="31"/>
  <c r="U14" i="31"/>
  <c r="V14" i="31"/>
  <c r="W14" i="31"/>
  <c r="X14" i="31"/>
  <c r="Y14" i="31"/>
  <c r="Z14" i="31"/>
  <c r="AB14" i="31"/>
  <c r="AC14" i="31"/>
  <c r="AD14" i="31"/>
  <c r="AE14" i="31"/>
  <c r="AF14" i="31"/>
  <c r="AG14" i="31"/>
  <c r="AH14" i="31"/>
  <c r="AI14" i="31"/>
  <c r="AJ14" i="31"/>
  <c r="AK14" i="31"/>
  <c r="AL14" i="31"/>
  <c r="D16" i="31"/>
  <c r="E16" i="31"/>
  <c r="F16" i="31"/>
  <c r="G16" i="31"/>
  <c r="I16" i="31"/>
  <c r="J16" i="31"/>
  <c r="K16" i="31"/>
  <c r="M16" i="31"/>
  <c r="N16" i="31"/>
  <c r="O16" i="31"/>
  <c r="P16" i="31"/>
  <c r="Q16" i="31"/>
  <c r="R16" i="31"/>
  <c r="S16" i="31"/>
  <c r="T16" i="31"/>
  <c r="U16" i="31"/>
  <c r="V16" i="31"/>
  <c r="W16" i="31"/>
  <c r="X16" i="31"/>
  <c r="Y16" i="31"/>
  <c r="Z16" i="31"/>
  <c r="AB16" i="31"/>
  <c r="AC16" i="31"/>
  <c r="AD16" i="31"/>
  <c r="AE16" i="31"/>
  <c r="AF16" i="31"/>
  <c r="AG16" i="31"/>
  <c r="AH16" i="31"/>
  <c r="AI16" i="31"/>
  <c r="AJ16" i="31"/>
  <c r="AK16" i="31"/>
  <c r="AL16" i="31"/>
  <c r="D17" i="31"/>
  <c r="E17" i="31"/>
  <c r="F17" i="31"/>
  <c r="G17" i="31"/>
  <c r="I17" i="31"/>
  <c r="J17" i="31"/>
  <c r="K17" i="31"/>
  <c r="M17" i="31"/>
  <c r="N17" i="31"/>
  <c r="O17" i="31"/>
  <c r="P17" i="31"/>
  <c r="Q17" i="31"/>
  <c r="R17" i="31"/>
  <c r="S17" i="31"/>
  <c r="T17" i="31"/>
  <c r="U17" i="31"/>
  <c r="V17" i="31"/>
  <c r="W17" i="31"/>
  <c r="X17" i="31"/>
  <c r="Y17" i="31"/>
  <c r="Z17" i="31"/>
  <c r="AB17" i="31"/>
  <c r="AC17" i="31"/>
  <c r="AD17" i="31"/>
  <c r="AE17" i="31"/>
  <c r="AF17" i="31"/>
  <c r="AG17" i="31"/>
  <c r="AH17" i="31"/>
  <c r="AI17" i="31"/>
  <c r="AJ17" i="31"/>
  <c r="AK17" i="31"/>
  <c r="AL17" i="31"/>
  <c r="D18" i="31"/>
  <c r="E18" i="31"/>
  <c r="F18" i="31"/>
  <c r="G18" i="31"/>
  <c r="H18" i="31"/>
  <c r="I18" i="31"/>
  <c r="J18" i="31"/>
  <c r="K18" i="31"/>
  <c r="L18" i="31"/>
  <c r="M18" i="31"/>
  <c r="N18" i="31"/>
  <c r="O18" i="31"/>
  <c r="P18" i="31"/>
  <c r="Q18" i="31"/>
  <c r="R18" i="31"/>
  <c r="S18" i="31"/>
  <c r="T18" i="31"/>
  <c r="U18" i="31"/>
  <c r="V18" i="31"/>
  <c r="W18" i="31"/>
  <c r="X18" i="31"/>
  <c r="Y18" i="31"/>
  <c r="Z18" i="31"/>
  <c r="AB18" i="31"/>
  <c r="AC18" i="31"/>
  <c r="AD18" i="31"/>
  <c r="AE18" i="31"/>
  <c r="AF18" i="31"/>
  <c r="AG18" i="31"/>
  <c r="AH18" i="31"/>
  <c r="AI18" i="31"/>
  <c r="AJ18" i="31"/>
  <c r="AK18" i="31"/>
  <c r="AL18"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D20" i="31"/>
  <c r="E20" i="31"/>
  <c r="F20" i="31"/>
  <c r="G20" i="31"/>
  <c r="I20" i="31"/>
  <c r="J20" i="31"/>
  <c r="K20" i="31"/>
  <c r="M20" i="31"/>
  <c r="N20" i="31"/>
  <c r="O20" i="31"/>
  <c r="P20" i="31"/>
  <c r="Q20" i="31"/>
  <c r="R20" i="31"/>
  <c r="S20" i="31"/>
  <c r="T20" i="31"/>
  <c r="U20" i="31"/>
  <c r="V20" i="31"/>
  <c r="W20" i="31"/>
  <c r="X20" i="31"/>
  <c r="Y20" i="31"/>
  <c r="Z20" i="31"/>
  <c r="AB20" i="31"/>
  <c r="AC20" i="31"/>
  <c r="AD20" i="31"/>
  <c r="AE20" i="31"/>
  <c r="AF20" i="31"/>
  <c r="AG20" i="31"/>
  <c r="AH20" i="31"/>
  <c r="AI20" i="31"/>
  <c r="AJ20" i="31"/>
  <c r="AK20" i="31"/>
  <c r="AL20" i="31"/>
  <c r="D21" i="31"/>
  <c r="E21" i="31"/>
  <c r="F21" i="31"/>
  <c r="G21" i="31"/>
  <c r="I21" i="31"/>
  <c r="J21" i="31"/>
  <c r="K21" i="31"/>
  <c r="M21" i="31"/>
  <c r="N21" i="31"/>
  <c r="O21" i="31"/>
  <c r="P21" i="31"/>
  <c r="Q21" i="31"/>
  <c r="R21" i="31"/>
  <c r="S21" i="31"/>
  <c r="T21" i="31"/>
  <c r="U21" i="31"/>
  <c r="V21" i="31"/>
  <c r="W21" i="31"/>
  <c r="X21" i="31"/>
  <c r="Y21" i="31"/>
  <c r="Z21" i="31"/>
  <c r="AB21" i="31"/>
  <c r="AC21" i="31"/>
  <c r="AD21" i="31"/>
  <c r="AE21" i="31"/>
  <c r="AF21" i="31"/>
  <c r="AG21" i="31"/>
  <c r="AH21" i="31"/>
  <c r="AI21" i="31"/>
  <c r="AJ21" i="31"/>
  <c r="AK21" i="31"/>
  <c r="AL21" i="31"/>
  <c r="D23" i="31"/>
  <c r="E23" i="31"/>
  <c r="F23" i="31"/>
  <c r="G23" i="31"/>
  <c r="H23" i="31"/>
  <c r="I23" i="31"/>
  <c r="J23" i="31"/>
  <c r="K23" i="31"/>
  <c r="L23" i="31"/>
  <c r="M23" i="31"/>
  <c r="N23" i="31"/>
  <c r="O23" i="31"/>
  <c r="P23" i="31"/>
  <c r="Q23" i="31"/>
  <c r="R23" i="31"/>
  <c r="S23" i="31"/>
  <c r="T23" i="31"/>
  <c r="U23" i="31"/>
  <c r="V23" i="31"/>
  <c r="W23" i="31"/>
  <c r="X23" i="31"/>
  <c r="Y23" i="31"/>
  <c r="Z23" i="31"/>
  <c r="AD23" i="31"/>
  <c r="AE23" i="31"/>
  <c r="AF23" i="31"/>
  <c r="AG23" i="31"/>
  <c r="AH23" i="31"/>
  <c r="AI23" i="31"/>
  <c r="AJ23" i="31"/>
  <c r="AL23"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D25" i="31"/>
  <c r="F25" i="31"/>
  <c r="G25" i="31"/>
  <c r="H25" i="31"/>
  <c r="I25" i="31"/>
  <c r="J25" i="31"/>
  <c r="K25" i="31"/>
  <c r="M25" i="31"/>
  <c r="N25" i="31"/>
  <c r="O25" i="31"/>
  <c r="P25" i="31"/>
  <c r="Q25" i="31"/>
  <c r="R25" i="31"/>
  <c r="S25" i="31"/>
  <c r="T25" i="31"/>
  <c r="U25" i="31"/>
  <c r="V25" i="31"/>
  <c r="W25" i="31"/>
  <c r="X25" i="31"/>
  <c r="Y25" i="31"/>
  <c r="Z25" i="31"/>
  <c r="AB25" i="31"/>
  <c r="AC25" i="31"/>
  <c r="AD25" i="31"/>
  <c r="AE25" i="31"/>
  <c r="AF25" i="31"/>
  <c r="AG25" i="31"/>
  <c r="AH25" i="31"/>
  <c r="AI25" i="31"/>
  <c r="AJ25" i="31"/>
  <c r="AK25" i="31"/>
  <c r="AL25" i="31"/>
  <c r="D26" i="31"/>
  <c r="E26" i="31"/>
  <c r="F26" i="31"/>
  <c r="G26" i="31"/>
  <c r="I26" i="31"/>
  <c r="J26" i="31"/>
  <c r="K26" i="31"/>
  <c r="M26" i="31"/>
  <c r="N26" i="31"/>
  <c r="O26" i="31"/>
  <c r="P26" i="31"/>
  <c r="Q26" i="31"/>
  <c r="R26" i="31"/>
  <c r="S26" i="31"/>
  <c r="T26" i="31"/>
  <c r="U26" i="31"/>
  <c r="V26" i="31"/>
  <c r="W26" i="31"/>
  <c r="X26" i="31"/>
  <c r="Y26" i="31"/>
  <c r="Z26" i="31"/>
  <c r="AB26" i="31"/>
  <c r="AC26" i="31"/>
  <c r="AD26" i="31"/>
  <c r="AE26" i="31"/>
  <c r="AF26" i="31"/>
  <c r="AG26" i="31"/>
  <c r="AH26" i="31"/>
  <c r="AI26" i="31"/>
  <c r="AJ26" i="31"/>
  <c r="AK26" i="31"/>
  <c r="AL26" i="31"/>
  <c r="V28" i="31"/>
  <c r="D29" i="31"/>
  <c r="E29" i="31"/>
  <c r="F29" i="31"/>
  <c r="G29" i="31"/>
  <c r="I29" i="31"/>
  <c r="J29" i="31"/>
  <c r="K29" i="31"/>
  <c r="M29" i="31"/>
  <c r="N29" i="31"/>
  <c r="O29" i="31"/>
  <c r="P29" i="31"/>
  <c r="Q29" i="31"/>
  <c r="R29" i="31"/>
  <c r="S29" i="31"/>
  <c r="T29" i="31"/>
  <c r="U29" i="31"/>
  <c r="V29" i="31"/>
  <c r="Z29" i="31"/>
  <c r="AB29" i="31"/>
  <c r="AC29" i="31"/>
  <c r="AD29" i="31"/>
  <c r="AE29" i="31"/>
  <c r="AF29" i="31"/>
  <c r="AG29" i="31"/>
  <c r="AH29" i="31"/>
  <c r="AI29" i="31"/>
  <c r="AJ29" i="31"/>
  <c r="AK29" i="31"/>
  <c r="AL29" i="31"/>
  <c r="D31" i="31"/>
  <c r="E31" i="31"/>
  <c r="F31" i="31"/>
  <c r="G31" i="31"/>
  <c r="O31" i="31"/>
  <c r="P31" i="31"/>
  <c r="R31" i="31"/>
  <c r="S31" i="31"/>
  <c r="T31" i="31"/>
  <c r="U31" i="31"/>
  <c r="Z31" i="31"/>
  <c r="AE31" i="31"/>
  <c r="AK31" i="31"/>
  <c r="D32" i="31"/>
  <c r="E32" i="31"/>
  <c r="F32" i="31"/>
  <c r="G32" i="31"/>
  <c r="I32" i="31"/>
  <c r="J32" i="31"/>
  <c r="K32" i="31"/>
  <c r="M32" i="31"/>
  <c r="N32" i="31"/>
  <c r="O32" i="31"/>
  <c r="P32" i="31"/>
  <c r="Q32" i="31"/>
  <c r="R32" i="31"/>
  <c r="S32" i="31"/>
  <c r="T32" i="31"/>
  <c r="U32" i="31"/>
  <c r="V32" i="31"/>
  <c r="W32" i="31"/>
  <c r="X32" i="31"/>
  <c r="Y32" i="31"/>
  <c r="Z32" i="31"/>
  <c r="AB32" i="31"/>
  <c r="AC32" i="31"/>
  <c r="AD32" i="31"/>
  <c r="AE32" i="31"/>
  <c r="AF32" i="31"/>
  <c r="AG32" i="31"/>
  <c r="AH32" i="31"/>
  <c r="AI32" i="31"/>
  <c r="AJ32" i="31"/>
  <c r="AK32" i="31"/>
  <c r="AL32" i="31"/>
  <c r="D33" i="31"/>
  <c r="E33" i="31"/>
  <c r="F33" i="31"/>
  <c r="G33" i="31"/>
  <c r="I33" i="31"/>
  <c r="J33" i="31"/>
  <c r="K33" i="31"/>
  <c r="M33" i="31"/>
  <c r="N33" i="31"/>
  <c r="O33" i="31"/>
  <c r="P33" i="31"/>
  <c r="Q33" i="31"/>
  <c r="R33" i="31"/>
  <c r="S33" i="31"/>
  <c r="T33" i="31"/>
  <c r="U33" i="31"/>
  <c r="V33" i="31"/>
  <c r="W33" i="31"/>
  <c r="X33" i="31"/>
  <c r="Y33" i="31"/>
  <c r="Z33" i="31"/>
  <c r="AB33" i="31"/>
  <c r="AC33" i="31"/>
  <c r="AD33" i="31"/>
  <c r="AE33" i="31"/>
  <c r="AF33" i="31"/>
  <c r="AG33" i="31"/>
  <c r="AH33" i="31"/>
  <c r="AI33" i="31"/>
  <c r="AJ33" i="31"/>
  <c r="AK33" i="31"/>
  <c r="AL33" i="31"/>
  <c r="D34" i="31"/>
  <c r="E34" i="31"/>
  <c r="F34" i="31"/>
  <c r="G34" i="31"/>
  <c r="I34" i="31"/>
  <c r="J34" i="31"/>
  <c r="K34" i="31"/>
  <c r="M34" i="31"/>
  <c r="N34" i="31"/>
  <c r="O34" i="31"/>
  <c r="P34" i="31"/>
  <c r="Q34" i="31"/>
  <c r="R34" i="31"/>
  <c r="S34" i="31"/>
  <c r="T34" i="31"/>
  <c r="U34" i="31"/>
  <c r="V34" i="31"/>
  <c r="W34" i="31"/>
  <c r="X34" i="31"/>
  <c r="Y34" i="31"/>
  <c r="Z34" i="31"/>
  <c r="AB34" i="31"/>
  <c r="AC34" i="31"/>
  <c r="AD34" i="31"/>
  <c r="AE34" i="31"/>
  <c r="AF34" i="31"/>
  <c r="AG34" i="31"/>
  <c r="AH34" i="31"/>
  <c r="AI34" i="31"/>
  <c r="AJ34" i="31"/>
  <c r="AK34" i="31"/>
  <c r="AL34" i="31"/>
  <c r="D35" i="31"/>
  <c r="E35" i="31"/>
  <c r="F35" i="31"/>
  <c r="G35" i="31"/>
  <c r="I35" i="31"/>
  <c r="J35" i="31"/>
  <c r="K35" i="31"/>
  <c r="M35" i="31"/>
  <c r="N35" i="31"/>
  <c r="O35" i="31"/>
  <c r="P35" i="31"/>
  <c r="Q35" i="31"/>
  <c r="R35" i="31"/>
  <c r="S35" i="31"/>
  <c r="T35" i="31"/>
  <c r="U35" i="31"/>
  <c r="V35" i="31"/>
  <c r="W35" i="31"/>
  <c r="X35" i="31"/>
  <c r="Y35" i="31"/>
  <c r="Z35" i="31"/>
  <c r="AB35" i="31"/>
  <c r="AC35" i="31"/>
  <c r="AD35" i="31"/>
  <c r="AE35" i="31"/>
  <c r="AF35" i="31"/>
  <c r="AG35" i="31"/>
  <c r="AH35" i="31"/>
  <c r="AI35" i="31"/>
  <c r="AJ35" i="31"/>
  <c r="AK35" i="31"/>
  <c r="AL35" i="31"/>
  <c r="D36" i="31"/>
  <c r="E36" i="31"/>
  <c r="F36" i="31"/>
  <c r="G36" i="31"/>
  <c r="I36" i="31"/>
  <c r="J36" i="31"/>
  <c r="K36" i="31"/>
  <c r="M36" i="31"/>
  <c r="N36" i="31"/>
  <c r="O36" i="31"/>
  <c r="P36" i="31"/>
  <c r="Q36" i="31"/>
  <c r="R36" i="31"/>
  <c r="S36" i="31"/>
  <c r="T36" i="31"/>
  <c r="U36" i="31"/>
  <c r="V36" i="31"/>
  <c r="W36" i="31"/>
  <c r="X36" i="31"/>
  <c r="Y36" i="31"/>
  <c r="Z36" i="31"/>
  <c r="AB36" i="31"/>
  <c r="AC36" i="31"/>
  <c r="AD36" i="31"/>
  <c r="AE36" i="31"/>
  <c r="AF36" i="31"/>
  <c r="AG36" i="31"/>
  <c r="AH36" i="31"/>
  <c r="AI36" i="31"/>
  <c r="AJ36" i="31"/>
  <c r="AK36" i="31"/>
  <c r="AL36" i="31"/>
  <c r="D37" i="31"/>
  <c r="E37" i="31"/>
  <c r="F37" i="31"/>
  <c r="G37" i="31"/>
  <c r="I37" i="31"/>
  <c r="J37" i="31"/>
  <c r="K37" i="31"/>
  <c r="M37" i="31"/>
  <c r="N37" i="31"/>
  <c r="O37" i="31"/>
  <c r="P37" i="31"/>
  <c r="Q37" i="31"/>
  <c r="R37" i="31"/>
  <c r="S37" i="31"/>
  <c r="T37" i="31"/>
  <c r="U37" i="31"/>
  <c r="V37" i="31"/>
  <c r="W37" i="31"/>
  <c r="X37" i="31"/>
  <c r="Y37" i="31"/>
  <c r="Z37" i="31"/>
  <c r="AB37" i="31"/>
  <c r="AC37" i="31"/>
  <c r="AD37" i="31"/>
  <c r="AE37" i="31"/>
  <c r="AF37" i="31"/>
  <c r="AG37" i="31"/>
  <c r="AH37" i="31"/>
  <c r="AI37" i="31"/>
  <c r="AJ37" i="31"/>
  <c r="AK37" i="31"/>
  <c r="AL37" i="31"/>
  <c r="D38" i="31"/>
  <c r="E38" i="31"/>
  <c r="F38" i="31"/>
  <c r="G38" i="31"/>
  <c r="I38" i="31"/>
  <c r="J38" i="31"/>
  <c r="K38" i="31"/>
  <c r="M38" i="31"/>
  <c r="N38" i="31"/>
  <c r="O38" i="31"/>
  <c r="P38" i="31"/>
  <c r="Q38" i="31"/>
  <c r="R38" i="31"/>
  <c r="S38" i="31"/>
  <c r="T38" i="31"/>
  <c r="U38" i="31"/>
  <c r="V38" i="31"/>
  <c r="W38" i="31"/>
  <c r="X38" i="31"/>
  <c r="Y38" i="31"/>
  <c r="Z38" i="31"/>
  <c r="AB38" i="31"/>
  <c r="AC38" i="31"/>
  <c r="AD38" i="31"/>
  <c r="AE38" i="31"/>
  <c r="AF38" i="31"/>
  <c r="AG38" i="31"/>
  <c r="AH38" i="31"/>
  <c r="AI38" i="31"/>
  <c r="AJ38" i="31"/>
  <c r="AK38" i="31"/>
  <c r="AL38" i="31"/>
  <c r="D39" i="31"/>
  <c r="E39" i="31"/>
  <c r="F39" i="31"/>
  <c r="G39" i="31"/>
  <c r="I39" i="31"/>
  <c r="J39" i="31"/>
  <c r="K39" i="31"/>
  <c r="M39" i="31"/>
  <c r="N39" i="31"/>
  <c r="O39" i="31"/>
  <c r="P39" i="31"/>
  <c r="Q39" i="31"/>
  <c r="R39" i="31"/>
  <c r="S39" i="31"/>
  <c r="T39" i="31"/>
  <c r="U39" i="31"/>
  <c r="V39" i="31"/>
  <c r="W39" i="31"/>
  <c r="X39" i="31"/>
  <c r="Y39" i="31"/>
  <c r="Z39" i="31"/>
  <c r="AB39" i="31"/>
  <c r="AC39" i="31"/>
  <c r="AD39" i="31"/>
  <c r="AE39" i="31"/>
  <c r="AF39" i="31"/>
  <c r="AG39" i="31"/>
  <c r="AH39" i="31"/>
  <c r="AI39" i="31"/>
  <c r="AJ39" i="31"/>
  <c r="AK39" i="31"/>
  <c r="AL39" i="31"/>
  <c r="D40" i="31"/>
  <c r="E40" i="31"/>
  <c r="F40" i="31"/>
  <c r="G40" i="31"/>
  <c r="I40" i="31"/>
  <c r="J40" i="31"/>
  <c r="K40" i="31"/>
  <c r="M40" i="31"/>
  <c r="N40" i="31"/>
  <c r="O40" i="31"/>
  <c r="P40" i="31"/>
  <c r="Q40" i="31"/>
  <c r="R40" i="31"/>
  <c r="S40" i="31"/>
  <c r="T40" i="31"/>
  <c r="U40" i="31"/>
  <c r="V40" i="31"/>
  <c r="W40" i="31"/>
  <c r="X40" i="31"/>
  <c r="Y40" i="31"/>
  <c r="Z40" i="31"/>
  <c r="AB40" i="31"/>
  <c r="AC40" i="31"/>
  <c r="AD40" i="31"/>
  <c r="AE40" i="31"/>
  <c r="AF40" i="31"/>
  <c r="AG40" i="31"/>
  <c r="AH40" i="31"/>
  <c r="AI40" i="31"/>
  <c r="AJ40" i="31"/>
  <c r="AK40" i="31"/>
  <c r="AL40" i="31"/>
  <c r="D41" i="31"/>
  <c r="E41" i="31"/>
  <c r="F41" i="31"/>
  <c r="G41" i="31"/>
  <c r="I41" i="31"/>
  <c r="J41" i="31"/>
  <c r="K41" i="31"/>
  <c r="M41" i="31"/>
  <c r="N41" i="31"/>
  <c r="O41" i="31"/>
  <c r="P41" i="31"/>
  <c r="Q41" i="31"/>
  <c r="R41" i="31"/>
  <c r="S41" i="31"/>
  <c r="T41" i="31"/>
  <c r="U41" i="31"/>
  <c r="V41" i="31"/>
  <c r="W41" i="31"/>
  <c r="X41" i="31"/>
  <c r="Y41" i="31"/>
  <c r="Z41" i="31"/>
  <c r="AB41" i="31"/>
  <c r="AC41" i="31"/>
  <c r="AD41" i="31"/>
  <c r="AE41" i="31"/>
  <c r="AF41" i="31"/>
  <c r="AG41" i="31"/>
  <c r="AH41" i="31"/>
  <c r="AI41" i="31"/>
  <c r="AJ41" i="31"/>
  <c r="AK41" i="31"/>
  <c r="AL41" i="31"/>
  <c r="D42" i="31"/>
  <c r="E42" i="31"/>
  <c r="F42" i="31"/>
  <c r="G42" i="31"/>
  <c r="I42" i="31"/>
  <c r="J42" i="31"/>
  <c r="K42" i="31"/>
  <c r="M42" i="31"/>
  <c r="N42" i="31"/>
  <c r="O42" i="31"/>
  <c r="P42" i="31"/>
  <c r="Q42" i="31"/>
  <c r="R42" i="31"/>
  <c r="S42" i="31"/>
  <c r="T42" i="31"/>
  <c r="U42" i="31"/>
  <c r="V42" i="31"/>
  <c r="W42" i="31"/>
  <c r="X42" i="31"/>
  <c r="Y42" i="31"/>
  <c r="Z42" i="31"/>
  <c r="AB42" i="31"/>
  <c r="AC42" i="31"/>
  <c r="AD42" i="31"/>
  <c r="AE42" i="31"/>
  <c r="AF42" i="31"/>
  <c r="AG42" i="31"/>
  <c r="AH42" i="31"/>
  <c r="AI42" i="31"/>
  <c r="AJ42" i="31"/>
  <c r="AK42" i="31"/>
  <c r="AL42" i="31"/>
  <c r="D43" i="31"/>
  <c r="E43" i="31"/>
  <c r="F43" i="31"/>
  <c r="G43" i="31"/>
  <c r="I43" i="31"/>
  <c r="J43" i="31"/>
  <c r="K43" i="31"/>
  <c r="M43" i="31"/>
  <c r="N43" i="31"/>
  <c r="O43" i="31"/>
  <c r="P43" i="31"/>
  <c r="Q43" i="31"/>
  <c r="R43" i="31"/>
  <c r="S43" i="31"/>
  <c r="T43" i="31"/>
  <c r="U43" i="31"/>
  <c r="V43" i="31"/>
  <c r="W43" i="31"/>
  <c r="X43" i="31"/>
  <c r="Y43" i="31"/>
  <c r="Z43" i="31"/>
  <c r="AB43" i="31"/>
  <c r="AC43" i="31"/>
  <c r="AD43" i="31"/>
  <c r="AE43" i="31"/>
  <c r="AF43" i="31"/>
  <c r="AG43" i="31"/>
  <c r="AH43" i="31"/>
  <c r="AI43" i="31"/>
  <c r="AJ43" i="31"/>
  <c r="AK43" i="31"/>
  <c r="AL43" i="31"/>
  <c r="D44" i="31"/>
  <c r="E44" i="31"/>
  <c r="F44" i="31"/>
  <c r="G44" i="31"/>
  <c r="I44" i="31"/>
  <c r="J44" i="31"/>
  <c r="K44" i="31"/>
  <c r="M44" i="31"/>
  <c r="N44" i="31"/>
  <c r="O44" i="31"/>
  <c r="P44" i="31"/>
  <c r="Q44" i="31"/>
  <c r="R44" i="31"/>
  <c r="S44" i="31"/>
  <c r="T44" i="31"/>
  <c r="U44" i="31"/>
  <c r="V44" i="31"/>
  <c r="W44" i="31"/>
  <c r="X44" i="31"/>
  <c r="Y44" i="31"/>
  <c r="Z44" i="31"/>
  <c r="AB44" i="31"/>
  <c r="AC44" i="31"/>
  <c r="AD44" i="31"/>
  <c r="AE44" i="31"/>
  <c r="AF44" i="31"/>
  <c r="AG44" i="31"/>
  <c r="AH44" i="31"/>
  <c r="AI44" i="31"/>
  <c r="AJ44" i="31"/>
  <c r="AK44" i="31"/>
  <c r="AL44" i="31"/>
  <c r="D46" i="31"/>
  <c r="E46" i="31"/>
  <c r="F46" i="31"/>
  <c r="G46" i="31"/>
  <c r="I46" i="31"/>
  <c r="J46" i="31"/>
  <c r="K46" i="31"/>
  <c r="M46" i="31"/>
  <c r="N46" i="31"/>
  <c r="O46" i="31"/>
  <c r="P46" i="31"/>
  <c r="Q46" i="31"/>
  <c r="R46" i="31"/>
  <c r="S46" i="31"/>
  <c r="T46" i="31"/>
  <c r="U46" i="31"/>
  <c r="V46" i="31"/>
  <c r="W46" i="31"/>
  <c r="X46" i="31"/>
  <c r="Y46" i="31"/>
  <c r="Z46" i="31"/>
  <c r="AB46" i="31"/>
  <c r="AC46" i="31"/>
  <c r="AD46" i="31"/>
  <c r="AE46" i="31"/>
  <c r="AF46" i="31"/>
  <c r="AG46" i="31"/>
  <c r="AH46" i="31"/>
  <c r="AI46" i="31"/>
  <c r="AJ46" i="31"/>
  <c r="AK46" i="31"/>
  <c r="AL46" i="31"/>
  <c r="D47" i="31"/>
  <c r="E47" i="31"/>
  <c r="F47" i="31"/>
  <c r="G47" i="31"/>
  <c r="H47" i="31"/>
  <c r="I47" i="31"/>
  <c r="J47" i="31"/>
  <c r="K47" i="31"/>
  <c r="M47" i="31"/>
  <c r="N47" i="31"/>
  <c r="O47" i="31"/>
  <c r="P47" i="31"/>
  <c r="Q47" i="31"/>
  <c r="R47" i="31"/>
  <c r="S47" i="31"/>
  <c r="T47" i="31"/>
  <c r="U47" i="31"/>
  <c r="V47" i="31"/>
  <c r="W47" i="31"/>
  <c r="X47" i="31"/>
  <c r="Y47" i="31"/>
  <c r="Z47" i="31"/>
  <c r="AB47" i="31"/>
  <c r="AC47" i="31"/>
  <c r="AD47" i="31"/>
  <c r="AE47" i="31"/>
  <c r="AF47" i="31"/>
  <c r="AG47" i="31"/>
  <c r="AH47" i="31"/>
  <c r="AI47" i="31"/>
  <c r="AJ47" i="31"/>
  <c r="AK47" i="31"/>
  <c r="AL47" i="31"/>
  <c r="D48" i="31"/>
  <c r="E48" i="31"/>
  <c r="F48" i="31"/>
  <c r="G48" i="31"/>
  <c r="I48" i="31"/>
  <c r="J48" i="31"/>
  <c r="K48" i="31"/>
  <c r="M48" i="31"/>
  <c r="N48" i="31"/>
  <c r="O48" i="31"/>
  <c r="P48" i="31"/>
  <c r="Q48" i="31"/>
  <c r="R48" i="31"/>
  <c r="S48" i="31"/>
  <c r="T48" i="31"/>
  <c r="U48" i="31"/>
  <c r="V48" i="31"/>
  <c r="W48" i="31"/>
  <c r="X48" i="31"/>
  <c r="Y48" i="31"/>
  <c r="Z48" i="31"/>
  <c r="AB48" i="31"/>
  <c r="AC48" i="31"/>
  <c r="AD48" i="31"/>
  <c r="AE48" i="31"/>
  <c r="AF48" i="31"/>
  <c r="AG48" i="31"/>
  <c r="AH48" i="31"/>
  <c r="AI48" i="31"/>
  <c r="AJ48" i="31"/>
  <c r="AK48" i="31"/>
  <c r="AL48" i="31"/>
  <c r="D49" i="31"/>
  <c r="E49" i="31"/>
  <c r="F49" i="31"/>
  <c r="G49" i="31"/>
  <c r="I49" i="31"/>
  <c r="J49" i="31"/>
  <c r="K49" i="31"/>
  <c r="M49" i="31"/>
  <c r="N49" i="31"/>
  <c r="O49" i="31"/>
  <c r="P49" i="31"/>
  <c r="Q49" i="31"/>
  <c r="R49" i="31"/>
  <c r="S49" i="31"/>
  <c r="T49" i="31"/>
  <c r="U49" i="31"/>
  <c r="V49" i="31"/>
  <c r="W49" i="31"/>
  <c r="X49" i="31"/>
  <c r="Y49" i="31"/>
  <c r="Z49" i="31"/>
  <c r="AB49" i="31"/>
  <c r="AC49" i="31"/>
  <c r="AD49" i="31"/>
  <c r="AE49" i="31"/>
  <c r="AF49" i="31"/>
  <c r="AG49" i="31"/>
  <c r="AH49" i="31"/>
  <c r="AI49" i="31"/>
  <c r="AJ49" i="31"/>
  <c r="AK49" i="31"/>
  <c r="AL49" i="31"/>
  <c r="D50" i="31"/>
  <c r="E50" i="31"/>
  <c r="F50" i="31"/>
  <c r="G50" i="31"/>
  <c r="I50" i="31"/>
  <c r="J50" i="31"/>
  <c r="K50" i="31"/>
  <c r="M50" i="31"/>
  <c r="N50" i="31"/>
  <c r="O50" i="31"/>
  <c r="P50" i="31"/>
  <c r="Q50" i="31"/>
  <c r="R50" i="31"/>
  <c r="S50" i="31"/>
  <c r="T50" i="31"/>
  <c r="U50" i="31"/>
  <c r="V50" i="31"/>
  <c r="W50" i="31"/>
  <c r="X50" i="31"/>
  <c r="Y50" i="31"/>
  <c r="Z50" i="31"/>
  <c r="AB50" i="31"/>
  <c r="AC50" i="31"/>
  <c r="AD50" i="31"/>
  <c r="AE50" i="31"/>
  <c r="AF50" i="31"/>
  <c r="AG50" i="31"/>
  <c r="AH50" i="31"/>
  <c r="AI50" i="31"/>
  <c r="AJ50" i="31"/>
  <c r="AK50" i="31"/>
  <c r="AL50" i="31"/>
  <c r="D51" i="31"/>
  <c r="E51" i="31"/>
  <c r="F51" i="31"/>
  <c r="G51" i="31"/>
  <c r="I51" i="31"/>
  <c r="J51" i="31"/>
  <c r="K51" i="31"/>
  <c r="M51" i="31"/>
  <c r="N51" i="31"/>
  <c r="O51" i="31"/>
  <c r="P51" i="31"/>
  <c r="Q51" i="31"/>
  <c r="R51" i="31"/>
  <c r="S51" i="31"/>
  <c r="T51" i="31"/>
  <c r="U51" i="31"/>
  <c r="V51" i="31"/>
  <c r="W51" i="31"/>
  <c r="X51" i="31"/>
  <c r="Y51" i="31"/>
  <c r="Z51" i="31"/>
  <c r="AB51" i="31"/>
  <c r="AC51" i="31"/>
  <c r="AD51" i="31"/>
  <c r="AE51" i="31"/>
  <c r="AF51" i="31"/>
  <c r="AG51" i="31"/>
  <c r="AH51" i="31"/>
  <c r="AI51" i="31"/>
  <c r="AJ51" i="31"/>
  <c r="AK51" i="31"/>
  <c r="AL51" i="31"/>
  <c r="D52" i="31"/>
  <c r="E52" i="31"/>
  <c r="F52" i="31"/>
  <c r="G52" i="31"/>
  <c r="I52" i="31"/>
  <c r="J52" i="31"/>
  <c r="K52" i="31"/>
  <c r="M52" i="31"/>
  <c r="N52" i="31"/>
  <c r="O52" i="31"/>
  <c r="P52" i="31"/>
  <c r="Q52" i="31"/>
  <c r="R52" i="31"/>
  <c r="S52" i="31"/>
  <c r="T52" i="31"/>
  <c r="U52" i="31"/>
  <c r="V52" i="31"/>
  <c r="W52" i="31"/>
  <c r="X52" i="31"/>
  <c r="Y52" i="31"/>
  <c r="Z52" i="31"/>
  <c r="AB52" i="31"/>
  <c r="AC52" i="31"/>
  <c r="AD52" i="31"/>
  <c r="AE52" i="31"/>
  <c r="AF52" i="31"/>
  <c r="AG52" i="31"/>
  <c r="AH52" i="31"/>
  <c r="AI52" i="31"/>
  <c r="AJ52" i="31"/>
  <c r="AK52" i="31"/>
  <c r="AL52" i="31"/>
  <c r="D53" i="31"/>
  <c r="E53" i="31"/>
  <c r="F53" i="31"/>
  <c r="G53" i="31"/>
  <c r="I53" i="31"/>
  <c r="J53" i="31"/>
  <c r="K53" i="31"/>
  <c r="M53" i="31"/>
  <c r="N53" i="31"/>
  <c r="O53" i="31"/>
  <c r="P53" i="31"/>
  <c r="Q53" i="31"/>
  <c r="R53" i="31"/>
  <c r="S53" i="31"/>
  <c r="T53" i="31"/>
  <c r="U53" i="31"/>
  <c r="V53" i="31"/>
  <c r="W53" i="31"/>
  <c r="X53" i="31"/>
  <c r="Y53" i="31"/>
  <c r="Z53" i="31"/>
  <c r="AB53" i="31"/>
  <c r="AC53" i="31"/>
  <c r="AD53" i="31"/>
  <c r="AE53" i="31"/>
  <c r="AF53" i="31"/>
  <c r="AG53" i="31"/>
  <c r="AH53" i="31"/>
  <c r="AI53" i="31"/>
  <c r="AJ53" i="31"/>
  <c r="AK53" i="31"/>
  <c r="AL53" i="31"/>
  <c r="D54" i="31"/>
  <c r="E54" i="31"/>
  <c r="F54" i="31"/>
  <c r="G54" i="31"/>
  <c r="I54" i="31"/>
  <c r="J54" i="31"/>
  <c r="K54" i="31"/>
  <c r="M54" i="31"/>
  <c r="N54" i="31"/>
  <c r="O54" i="31"/>
  <c r="P54" i="31"/>
  <c r="Q54" i="31"/>
  <c r="R54" i="31"/>
  <c r="S54" i="31"/>
  <c r="T54" i="31"/>
  <c r="U54" i="31"/>
  <c r="V54" i="31"/>
  <c r="W54" i="31"/>
  <c r="X54" i="31"/>
  <c r="Y54" i="31"/>
  <c r="Z54" i="31"/>
  <c r="AB54" i="31"/>
  <c r="AC54" i="31"/>
  <c r="AD54" i="31"/>
  <c r="AE54" i="31"/>
  <c r="AF54" i="31"/>
  <c r="AG54" i="31"/>
  <c r="AH54" i="31"/>
  <c r="AI54" i="31"/>
  <c r="AJ54" i="31"/>
  <c r="AK54" i="31"/>
  <c r="AL54" i="31"/>
  <c r="D55" i="31"/>
  <c r="E55" i="31"/>
  <c r="F55" i="31"/>
  <c r="G55" i="31"/>
  <c r="I55" i="31"/>
  <c r="J55" i="31"/>
  <c r="K55" i="31"/>
  <c r="M55" i="31"/>
  <c r="N55" i="31"/>
  <c r="O55" i="31"/>
  <c r="P55" i="31"/>
  <c r="Q55" i="31"/>
  <c r="R55" i="31"/>
  <c r="S55" i="31"/>
  <c r="T55" i="31"/>
  <c r="U55" i="31"/>
  <c r="V55" i="31"/>
  <c r="W55" i="31"/>
  <c r="X55" i="31"/>
  <c r="Y55" i="31"/>
  <c r="Z55" i="31"/>
  <c r="AB55" i="31"/>
  <c r="AC55" i="31"/>
  <c r="AD55" i="31"/>
  <c r="AE55" i="31"/>
  <c r="AF55" i="31"/>
  <c r="AG55" i="31"/>
  <c r="AH55" i="31"/>
  <c r="AI55" i="31"/>
  <c r="AJ55" i="31"/>
  <c r="AK55" i="31"/>
  <c r="AL55" i="31"/>
  <c r="D56" i="31"/>
  <c r="E56" i="31"/>
  <c r="F56" i="31"/>
  <c r="G56" i="31"/>
  <c r="I56" i="31"/>
  <c r="J56" i="31"/>
  <c r="K56" i="31"/>
  <c r="M56" i="31"/>
  <c r="N56" i="31"/>
  <c r="O56" i="31"/>
  <c r="P56" i="31"/>
  <c r="Q56" i="31"/>
  <c r="R56" i="31"/>
  <c r="S56" i="31"/>
  <c r="T56" i="31"/>
  <c r="U56" i="31"/>
  <c r="V56" i="31"/>
  <c r="W56" i="31"/>
  <c r="X56" i="31"/>
  <c r="Y56" i="31"/>
  <c r="Z56" i="31"/>
  <c r="AB56" i="31"/>
  <c r="AC56" i="31"/>
  <c r="AD56" i="31"/>
  <c r="AE56" i="31"/>
  <c r="AF56" i="31"/>
  <c r="AG56" i="31"/>
  <c r="AH56" i="31"/>
  <c r="AI56" i="31"/>
  <c r="AJ56" i="31"/>
  <c r="AK56" i="31"/>
  <c r="AL56" i="31"/>
  <c r="O57" i="31"/>
  <c r="R57" i="31"/>
  <c r="S57" i="31"/>
  <c r="T57" i="31"/>
  <c r="Z57" i="31"/>
  <c r="AK57" i="31"/>
  <c r="D58" i="31"/>
  <c r="E58" i="31"/>
  <c r="F58" i="31"/>
  <c r="G58" i="31"/>
  <c r="I58" i="31"/>
  <c r="J58" i="31"/>
  <c r="K58" i="31"/>
  <c r="M58" i="31"/>
  <c r="N58" i="31"/>
  <c r="O58" i="31"/>
  <c r="P58" i="31"/>
  <c r="Q58" i="31"/>
  <c r="U58" i="31"/>
  <c r="V58" i="31"/>
  <c r="W58" i="31"/>
  <c r="X58" i="31"/>
  <c r="Y58" i="31"/>
  <c r="AB58" i="31"/>
  <c r="AC58" i="31"/>
  <c r="AD58" i="31"/>
  <c r="AE58" i="31"/>
  <c r="AF58" i="31"/>
  <c r="AG58" i="31"/>
  <c r="AH58" i="31"/>
  <c r="AI58" i="31"/>
  <c r="AJ58" i="31"/>
  <c r="AL58" i="31"/>
  <c r="D59" i="31"/>
  <c r="E59" i="31"/>
  <c r="F59" i="31"/>
  <c r="G59" i="31"/>
  <c r="I59" i="31"/>
  <c r="J59" i="31"/>
  <c r="K59" i="31"/>
  <c r="M59" i="31"/>
  <c r="N59" i="31"/>
  <c r="O59" i="31"/>
  <c r="P59" i="31"/>
  <c r="Q59" i="31"/>
  <c r="U59" i="31"/>
  <c r="V59" i="31"/>
  <c r="W59" i="31"/>
  <c r="X59" i="31"/>
  <c r="Y59" i="31"/>
  <c r="AB59" i="31"/>
  <c r="AC59" i="31"/>
  <c r="AD59" i="31"/>
  <c r="AE59" i="31"/>
  <c r="AF59" i="31"/>
  <c r="AG59" i="31"/>
  <c r="AH59" i="31"/>
  <c r="AI59" i="31"/>
  <c r="AJ59" i="31"/>
  <c r="AL59" i="31"/>
  <c r="D60" i="31"/>
  <c r="E60" i="31"/>
  <c r="F60" i="31"/>
  <c r="G60" i="31"/>
  <c r="I60" i="31"/>
  <c r="J60" i="31"/>
  <c r="K60" i="31"/>
  <c r="M60" i="31"/>
  <c r="N60" i="31"/>
  <c r="O60" i="31"/>
  <c r="P60" i="31"/>
  <c r="Q60" i="31"/>
  <c r="R60" i="31"/>
  <c r="S60" i="31"/>
  <c r="T60" i="31"/>
  <c r="U60" i="31"/>
  <c r="V60" i="31"/>
  <c r="W60" i="31"/>
  <c r="X60" i="31"/>
  <c r="Y60" i="31"/>
  <c r="Z60" i="31"/>
  <c r="AB60" i="31"/>
  <c r="AC60" i="31"/>
  <c r="AD60" i="31"/>
  <c r="AE60" i="31"/>
  <c r="AF60" i="31"/>
  <c r="AG60" i="31"/>
  <c r="AH60" i="31"/>
  <c r="AI60" i="31"/>
  <c r="AJ60" i="31"/>
  <c r="AK60" i="31"/>
  <c r="AL60" i="31"/>
  <c r="D61" i="31"/>
  <c r="E61" i="31"/>
  <c r="F61" i="31"/>
  <c r="G61" i="31"/>
  <c r="I61" i="31"/>
  <c r="J61" i="31"/>
  <c r="K61" i="31"/>
  <c r="M61" i="31"/>
  <c r="N61" i="31"/>
  <c r="O61" i="31"/>
  <c r="P61" i="31"/>
  <c r="Q61" i="31"/>
  <c r="R61" i="31"/>
  <c r="S61" i="31"/>
  <c r="T61" i="31"/>
  <c r="U61" i="31"/>
  <c r="V61" i="31"/>
  <c r="W61" i="31"/>
  <c r="X61" i="31"/>
  <c r="Y61" i="31"/>
  <c r="Z61" i="31"/>
  <c r="AB61" i="31"/>
  <c r="AC61" i="31"/>
  <c r="AD61" i="31"/>
  <c r="AE61" i="31"/>
  <c r="AF61" i="31"/>
  <c r="AG61" i="31"/>
  <c r="AH61" i="31"/>
  <c r="AI61" i="31"/>
  <c r="AJ61" i="31"/>
  <c r="AK61" i="31"/>
  <c r="AL61" i="31"/>
  <c r="C12" i="31"/>
  <c r="C18" i="31"/>
  <c r="C19" i="31"/>
  <c r="C20" i="31"/>
  <c r="C21" i="31"/>
  <c r="C23" i="31"/>
  <c r="C24" i="31"/>
  <c r="C47" i="31"/>
  <c r="E79" i="30"/>
  <c r="N76" i="30"/>
  <c r="M76" i="30"/>
  <c r="L76" i="30"/>
  <c r="K76" i="30"/>
  <c r="J76" i="30"/>
  <c r="I76" i="30"/>
  <c r="H76" i="30"/>
  <c r="G76" i="30"/>
  <c r="F76" i="30"/>
  <c r="E75" i="30"/>
  <c r="D71" i="30"/>
  <c r="G41" i="30"/>
  <c r="G40" i="30"/>
  <c r="G39" i="30"/>
  <c r="N108" i="30"/>
  <c r="N68" i="30"/>
  <c r="N13" i="30"/>
  <c r="E155" i="8"/>
  <c r="E154" i="8"/>
  <c r="D144" i="8"/>
  <c r="D145" i="8"/>
  <c r="N141" i="8"/>
  <c r="E122" i="8"/>
  <c r="E117" i="8"/>
  <c r="E114" i="8"/>
  <c r="N107" i="8"/>
  <c r="N21" i="8"/>
  <c r="N12" i="8"/>
  <c r="D124" i="9"/>
  <c r="D125" i="9"/>
  <c r="N121" i="9"/>
  <c r="E102" i="9"/>
  <c r="E97" i="9"/>
  <c r="E94" i="9"/>
  <c r="N87" i="9"/>
  <c r="N42" i="9"/>
  <c r="N21" i="9"/>
  <c r="N12" i="9"/>
  <c r="N161" i="6"/>
  <c r="E137" i="6"/>
  <c r="E127" i="6"/>
  <c r="E125" i="6"/>
  <c r="E122" i="6"/>
  <c r="N115" i="6"/>
  <c r="N65" i="6"/>
  <c r="N30" i="6"/>
  <c r="N21" i="6"/>
  <c r="N299" i="7"/>
  <c r="E222" i="7"/>
  <c r="E217" i="7"/>
  <c r="E208" i="7"/>
  <c r="E203" i="7"/>
  <c r="E193" i="7"/>
  <c r="E188" i="7"/>
  <c r="C164" i="7"/>
  <c r="N164" i="7"/>
  <c r="N95" i="7"/>
  <c r="N89" i="7"/>
  <c r="N44" i="7"/>
  <c r="N13" i="7"/>
  <c r="N333" i="24"/>
  <c r="E294" i="24"/>
  <c r="E293" i="24"/>
  <c r="E292" i="24"/>
  <c r="E262" i="24"/>
  <c r="E249" i="24"/>
  <c r="E245" i="24"/>
  <c r="E242" i="24"/>
  <c r="E235" i="24"/>
  <c r="E232" i="24"/>
  <c r="N202" i="24"/>
  <c r="N127" i="24"/>
  <c r="N119" i="24"/>
  <c r="N111" i="24"/>
  <c r="N103" i="24"/>
  <c r="G62" i="8"/>
  <c r="G61" i="8"/>
  <c r="E390" i="24"/>
  <c r="E383" i="24"/>
  <c r="E376" i="24"/>
  <c r="E369" i="24"/>
  <c r="E335" i="7"/>
  <c r="E177" i="6"/>
  <c r="E135" i="9"/>
  <c r="E134" i="9"/>
  <c r="G56" i="9"/>
  <c r="G55" i="9"/>
  <c r="G74" i="6"/>
  <c r="D178" i="6"/>
  <c r="D177" i="6"/>
  <c r="D164" i="6"/>
  <c r="D165" i="6"/>
  <c r="D166" i="6"/>
  <c r="D167" i="6"/>
  <c r="D168" i="6"/>
  <c r="D336" i="7"/>
  <c r="D335" i="7"/>
  <c r="C295" i="7"/>
  <c r="C294" i="7"/>
  <c r="C293" i="7"/>
  <c r="C292" i="7"/>
  <c r="D302" i="7"/>
  <c r="D303" i="7"/>
  <c r="D304" i="7"/>
  <c r="D305" i="7"/>
  <c r="D306" i="7"/>
  <c r="E315" i="7"/>
  <c r="E316" i="7"/>
  <c r="E317" i="7"/>
  <c r="E318" i="7"/>
  <c r="C324" i="7"/>
  <c r="C325" i="7"/>
  <c r="C326" i="7"/>
  <c r="C327" i="7"/>
  <c r="N107" i="7"/>
  <c r="N101" i="7"/>
  <c r="G87" i="7"/>
  <c r="AA61" i="19"/>
  <c r="AA61" i="31" s="1"/>
  <c r="L61" i="19"/>
  <c r="L61" i="31" s="1"/>
  <c r="H61" i="19"/>
  <c r="H61" i="31" s="1"/>
  <c r="C61" i="19"/>
  <c r="C61" i="31" s="1"/>
  <c r="AA60" i="19"/>
  <c r="AA60" i="31" s="1"/>
  <c r="L60" i="19"/>
  <c r="L60" i="31" s="1"/>
  <c r="H60" i="19"/>
  <c r="H60" i="31" s="1"/>
  <c r="C60" i="19"/>
  <c r="C60" i="31" s="1"/>
  <c r="AK59" i="19"/>
  <c r="AK59" i="31" s="1"/>
  <c r="AA59" i="19"/>
  <c r="AA59" i="31" s="1"/>
  <c r="Z59" i="19"/>
  <c r="Z59" i="31" s="1"/>
  <c r="T59" i="19"/>
  <c r="T59" i="31" s="1"/>
  <c r="S59" i="19"/>
  <c r="S59" i="31" s="1"/>
  <c r="R59" i="19"/>
  <c r="R59" i="31" s="1"/>
  <c r="H59" i="19"/>
  <c r="H59" i="31" s="1"/>
  <c r="C59" i="19"/>
  <c r="C59" i="31" s="1"/>
  <c r="AK58" i="19"/>
  <c r="AK58" i="31" s="1"/>
  <c r="AA58" i="19"/>
  <c r="AA58" i="31" s="1"/>
  <c r="Z58" i="19"/>
  <c r="Z58" i="31" s="1"/>
  <c r="T58" i="19"/>
  <c r="T58" i="31" s="1"/>
  <c r="S58" i="19"/>
  <c r="S58" i="31" s="1"/>
  <c r="R58" i="19"/>
  <c r="R58" i="31" s="1"/>
  <c r="H58" i="19"/>
  <c r="H58" i="31" s="1"/>
  <c r="C58" i="19"/>
  <c r="C58" i="31" s="1"/>
  <c r="AL57" i="19"/>
  <c r="AL57" i="31" s="1"/>
  <c r="AJ57" i="19"/>
  <c r="AJ57" i="31" s="1"/>
  <c r="AI57" i="19"/>
  <c r="AI57" i="31" s="1"/>
  <c r="AH57" i="19"/>
  <c r="AH57" i="31" s="1"/>
  <c r="AG57" i="19"/>
  <c r="AG57" i="31" s="1"/>
  <c r="AF57" i="19"/>
  <c r="AF57" i="31" s="1"/>
  <c r="AE57" i="19"/>
  <c r="AE57" i="31" s="1"/>
  <c r="AD57" i="19"/>
  <c r="AD57" i="31" s="1"/>
  <c r="AC57" i="19"/>
  <c r="AC57" i="31" s="1"/>
  <c r="AB57" i="19"/>
  <c r="AB57" i="31" s="1"/>
  <c r="Y57" i="19"/>
  <c r="Y57" i="31" s="1"/>
  <c r="X57" i="19"/>
  <c r="X57" i="31" s="1"/>
  <c r="W57" i="19"/>
  <c r="W57" i="31" s="1"/>
  <c r="V57" i="19"/>
  <c r="V57" i="31" s="1"/>
  <c r="U57" i="19"/>
  <c r="U57" i="31" s="1"/>
  <c r="Q57" i="19"/>
  <c r="Q57" i="31" s="1"/>
  <c r="P57" i="19"/>
  <c r="N57" i="19"/>
  <c r="N57" i="31" s="1"/>
  <c r="M57" i="19"/>
  <c r="M57" i="31" s="1"/>
  <c r="K57" i="19"/>
  <c r="K57" i="31" s="1"/>
  <c r="J57" i="19"/>
  <c r="J57" i="31" s="1"/>
  <c r="I57" i="19"/>
  <c r="I57" i="31" s="1"/>
  <c r="G57" i="19"/>
  <c r="G57" i="31" s="1"/>
  <c r="F57" i="19"/>
  <c r="F57" i="31" s="1"/>
  <c r="E57" i="19"/>
  <c r="E57" i="31" s="1"/>
  <c r="D57" i="19"/>
  <c r="D57" i="31" s="1"/>
  <c r="AA56" i="19"/>
  <c r="AA56" i="31" s="1"/>
  <c r="L56" i="19"/>
  <c r="L56" i="31" s="1"/>
  <c r="H56" i="19"/>
  <c r="H56" i="31" s="1"/>
  <c r="C56" i="19"/>
  <c r="AA55" i="19"/>
  <c r="AA55" i="31" s="1"/>
  <c r="L55" i="19"/>
  <c r="L55" i="31" s="1"/>
  <c r="H55" i="19"/>
  <c r="H55" i="31" s="1"/>
  <c r="C55" i="19"/>
  <c r="C55" i="31" s="1"/>
  <c r="AA54" i="19"/>
  <c r="AA54" i="31" s="1"/>
  <c r="L54" i="19"/>
  <c r="L54" i="31" s="1"/>
  <c r="H54" i="19"/>
  <c r="H54" i="31" s="1"/>
  <c r="C54" i="19"/>
  <c r="C54" i="31" s="1"/>
  <c r="AA53" i="19"/>
  <c r="AA53" i="31" s="1"/>
  <c r="L53" i="19"/>
  <c r="L53" i="31" s="1"/>
  <c r="H53" i="19"/>
  <c r="H53" i="31" s="1"/>
  <c r="C53" i="19"/>
  <c r="C53" i="31" s="1"/>
  <c r="AA52" i="19"/>
  <c r="AA52" i="31" s="1"/>
  <c r="L52" i="19"/>
  <c r="L52" i="31" s="1"/>
  <c r="H52" i="19"/>
  <c r="H52" i="31" s="1"/>
  <c r="C52" i="19"/>
  <c r="C52" i="31" s="1"/>
  <c r="AA51" i="19"/>
  <c r="L51" i="19"/>
  <c r="L51" i="31" s="1"/>
  <c r="H51" i="19"/>
  <c r="C51" i="19"/>
  <c r="C51" i="31" s="1"/>
  <c r="AA50" i="19"/>
  <c r="AA50" i="31" s="1"/>
  <c r="L50" i="19"/>
  <c r="L50" i="31" s="1"/>
  <c r="H50" i="19"/>
  <c r="H50" i="31" s="1"/>
  <c r="C50" i="19"/>
  <c r="AA49" i="19"/>
  <c r="AA49" i="31" s="1"/>
  <c r="L49" i="19"/>
  <c r="H49" i="19"/>
  <c r="H49" i="31" s="1"/>
  <c r="C49" i="19"/>
  <c r="C49" i="31" s="1"/>
  <c r="AA48" i="19"/>
  <c r="AA48" i="31" s="1"/>
  <c r="L48" i="19"/>
  <c r="H48" i="19"/>
  <c r="H48" i="31" s="1"/>
  <c r="C48" i="19"/>
  <c r="C48" i="31" s="1"/>
  <c r="AA47" i="19"/>
  <c r="AA47" i="31" s="1"/>
  <c r="L47" i="19"/>
  <c r="L47" i="31" s="1"/>
  <c r="AA46" i="19"/>
  <c r="AA46" i="31" s="1"/>
  <c r="L46" i="19"/>
  <c r="L46" i="31" s="1"/>
  <c r="H46" i="19"/>
  <c r="C46" i="19"/>
  <c r="C46" i="31" s="1"/>
  <c r="AL45" i="19"/>
  <c r="AL45" i="31" s="1"/>
  <c r="AK45" i="19"/>
  <c r="AK30" i="19" s="1"/>
  <c r="AK30" i="31" s="1"/>
  <c r="AJ45" i="19"/>
  <c r="AI45" i="19"/>
  <c r="AI45" i="31" s="1"/>
  <c r="AH45" i="19"/>
  <c r="AG45" i="19"/>
  <c r="AG45" i="31" s="1"/>
  <c r="AF45" i="19"/>
  <c r="AF45" i="31" s="1"/>
  <c r="AE45" i="19"/>
  <c r="AE45" i="31" s="1"/>
  <c r="AD45" i="19"/>
  <c r="AD45" i="31" s="1"/>
  <c r="AC45" i="19"/>
  <c r="AC45" i="31" s="1"/>
  <c r="AB45" i="19"/>
  <c r="AB45" i="31" s="1"/>
  <c r="Z45" i="19"/>
  <c r="Z45" i="31" s="1"/>
  <c r="Y45" i="19"/>
  <c r="Y45" i="31" s="1"/>
  <c r="X45" i="19"/>
  <c r="X45" i="31" s="1"/>
  <c r="W45" i="19"/>
  <c r="W45" i="31" s="1"/>
  <c r="V45" i="19"/>
  <c r="V45" i="31" s="1"/>
  <c r="U45" i="19"/>
  <c r="T45" i="19"/>
  <c r="T45" i="31" s="1"/>
  <c r="S45" i="19"/>
  <c r="R45" i="19"/>
  <c r="R45" i="31" s="1"/>
  <c r="Q45" i="19"/>
  <c r="Q45" i="31" s="1"/>
  <c r="P45" i="19"/>
  <c r="P45" i="31" s="1"/>
  <c r="O45" i="19"/>
  <c r="N45" i="19"/>
  <c r="N45" i="31" s="1"/>
  <c r="M45" i="19"/>
  <c r="M45" i="31" s="1"/>
  <c r="K45" i="19"/>
  <c r="K45" i="31" s="1"/>
  <c r="J45" i="19"/>
  <c r="I45" i="19"/>
  <c r="I45" i="31" s="1"/>
  <c r="G45" i="19"/>
  <c r="G45" i="31" s="1"/>
  <c r="F45" i="19"/>
  <c r="F45" i="31" s="1"/>
  <c r="E45" i="19"/>
  <c r="E45" i="31" s="1"/>
  <c r="D45" i="19"/>
  <c r="D45" i="31" s="1"/>
  <c r="AA44" i="19"/>
  <c r="AA44" i="31" s="1"/>
  <c r="L44" i="19"/>
  <c r="L44" i="31" s="1"/>
  <c r="H44" i="19"/>
  <c r="H44" i="31" s="1"/>
  <c r="C44" i="19"/>
  <c r="AA43" i="19"/>
  <c r="AA43" i="31" s="1"/>
  <c r="L43" i="19"/>
  <c r="L43" i="31" s="1"/>
  <c r="H43" i="19"/>
  <c r="H43" i="31" s="1"/>
  <c r="C43" i="19"/>
  <c r="AA42" i="19"/>
  <c r="AA42" i="31" s="1"/>
  <c r="L42" i="19"/>
  <c r="L42" i="31" s="1"/>
  <c r="H42" i="19"/>
  <c r="C42" i="19"/>
  <c r="C42" i="31" s="1"/>
  <c r="AA41" i="19"/>
  <c r="AA41" i="31" s="1"/>
  <c r="L41" i="19"/>
  <c r="L41" i="31" s="1"/>
  <c r="H41" i="19"/>
  <c r="H41" i="31" s="1"/>
  <c r="C41" i="19"/>
  <c r="AA40" i="19"/>
  <c r="AA40" i="31" s="1"/>
  <c r="L40" i="19"/>
  <c r="L40" i="31" s="1"/>
  <c r="H40" i="19"/>
  <c r="H40" i="31" s="1"/>
  <c r="C40" i="19"/>
  <c r="C40" i="31" s="1"/>
  <c r="AA39" i="19"/>
  <c r="AA39" i="31" s="1"/>
  <c r="L39" i="19"/>
  <c r="L39" i="31" s="1"/>
  <c r="H39" i="19"/>
  <c r="H39" i="31" s="1"/>
  <c r="C39" i="19"/>
  <c r="C39" i="31" s="1"/>
  <c r="AA38" i="19"/>
  <c r="AA38" i="31" s="1"/>
  <c r="L38" i="19"/>
  <c r="L38" i="31" s="1"/>
  <c r="H38" i="19"/>
  <c r="H38" i="31" s="1"/>
  <c r="C38" i="19"/>
  <c r="C38" i="31" s="1"/>
  <c r="AA37" i="19"/>
  <c r="AA37" i="31" s="1"/>
  <c r="L37" i="19"/>
  <c r="L37" i="31" s="1"/>
  <c r="H37" i="19"/>
  <c r="H37" i="31" s="1"/>
  <c r="C37" i="19"/>
  <c r="AA36" i="19"/>
  <c r="AA36" i="31" s="1"/>
  <c r="L36" i="19"/>
  <c r="H36" i="19"/>
  <c r="C36" i="19"/>
  <c r="C36" i="31" s="1"/>
  <c r="AA35" i="19"/>
  <c r="AA35" i="31" s="1"/>
  <c r="L35" i="19"/>
  <c r="L35" i="31" s="1"/>
  <c r="H35" i="19"/>
  <c r="H35" i="31" s="1"/>
  <c r="C35" i="19"/>
  <c r="C35" i="31" s="1"/>
  <c r="AA34" i="19"/>
  <c r="AA34" i="31" s="1"/>
  <c r="L34" i="19"/>
  <c r="L34" i="31" s="1"/>
  <c r="H34" i="19"/>
  <c r="H34" i="31" s="1"/>
  <c r="C34" i="19"/>
  <c r="C34" i="31" s="1"/>
  <c r="AA33" i="19"/>
  <c r="AA33" i="31" s="1"/>
  <c r="L33" i="19"/>
  <c r="L33" i="31" s="1"/>
  <c r="H33" i="19"/>
  <c r="C33" i="19"/>
  <c r="C33" i="31" s="1"/>
  <c r="AA32" i="19"/>
  <c r="AA32" i="31" s="1"/>
  <c r="L32" i="19"/>
  <c r="L32" i="31" s="1"/>
  <c r="H32" i="19"/>
  <c r="H32" i="31" s="1"/>
  <c r="C32" i="19"/>
  <c r="C32" i="31" s="1"/>
  <c r="AL31" i="19"/>
  <c r="AL31" i="31" s="1"/>
  <c r="AJ31" i="19"/>
  <c r="AJ31" i="31" s="1"/>
  <c r="AI31" i="19"/>
  <c r="AI31" i="31" s="1"/>
  <c r="AH31" i="19"/>
  <c r="AH31" i="31" s="1"/>
  <c r="AG31" i="19"/>
  <c r="AG31" i="31" s="1"/>
  <c r="AF31" i="19"/>
  <c r="AF31" i="31" s="1"/>
  <c r="AD31" i="19"/>
  <c r="AD31" i="31" s="1"/>
  <c r="AC31" i="19"/>
  <c r="AC31" i="31" s="1"/>
  <c r="AB31" i="19"/>
  <c r="Y31" i="19"/>
  <c r="Y31" i="31" s="1"/>
  <c r="X31" i="19"/>
  <c r="X31" i="31" s="1"/>
  <c r="W31" i="19"/>
  <c r="W31" i="31" s="1"/>
  <c r="V31" i="19"/>
  <c r="V31" i="31" s="1"/>
  <c r="Q31" i="19"/>
  <c r="N31" i="19"/>
  <c r="N31" i="31" s="1"/>
  <c r="M31" i="19"/>
  <c r="K31" i="19"/>
  <c r="K31" i="31" s="1"/>
  <c r="J31" i="19"/>
  <c r="J31" i="31" s="1"/>
  <c r="I31" i="19"/>
  <c r="I31" i="31" s="1"/>
  <c r="AA29" i="19"/>
  <c r="AA29" i="31" s="1"/>
  <c r="H29" i="19"/>
  <c r="H28" i="19" s="1"/>
  <c r="H28" i="31" s="1"/>
  <c r="C29" i="19"/>
  <c r="C29" i="31" s="1"/>
  <c r="AL28" i="19"/>
  <c r="AL28" i="31" s="1"/>
  <c r="AK28" i="19"/>
  <c r="AK28" i="31" s="1"/>
  <c r="AJ28" i="19"/>
  <c r="AJ28" i="31" s="1"/>
  <c r="AI28" i="19"/>
  <c r="AI28" i="31" s="1"/>
  <c r="AH28" i="19"/>
  <c r="AG28" i="19"/>
  <c r="AG28" i="31" s="1"/>
  <c r="AF28" i="19"/>
  <c r="AF28" i="31" s="1"/>
  <c r="AE28" i="19"/>
  <c r="AD28" i="19"/>
  <c r="AC28" i="19"/>
  <c r="AC28" i="31" s="1"/>
  <c r="AB28" i="19"/>
  <c r="AB28" i="31" s="1"/>
  <c r="Z28" i="19"/>
  <c r="U28" i="19"/>
  <c r="U28" i="31" s="1"/>
  <c r="T28" i="19"/>
  <c r="T28" i="31" s="1"/>
  <c r="S28" i="19"/>
  <c r="R28" i="19"/>
  <c r="R28" i="31" s="1"/>
  <c r="Q28" i="19"/>
  <c r="P28" i="19"/>
  <c r="P28" i="31" s="1"/>
  <c r="O28" i="19"/>
  <c r="O28" i="31" s="1"/>
  <c r="N28" i="19"/>
  <c r="N28" i="31" s="1"/>
  <c r="M28" i="19"/>
  <c r="M28" i="31" s="1"/>
  <c r="K28" i="19"/>
  <c r="K28" i="31" s="1"/>
  <c r="J28" i="19"/>
  <c r="J28" i="31" s="1"/>
  <c r="I28" i="19"/>
  <c r="I28" i="31" s="1"/>
  <c r="G28" i="19"/>
  <c r="G28" i="31" s="1"/>
  <c r="F28" i="19"/>
  <c r="F28" i="31" s="1"/>
  <c r="E28" i="19"/>
  <c r="E28" i="31" s="1"/>
  <c r="D28" i="19"/>
  <c r="D28" i="31" s="1"/>
  <c r="AA26" i="19"/>
  <c r="AA26" i="31" s="1"/>
  <c r="L26" i="19"/>
  <c r="L26" i="31" s="1"/>
  <c r="H26" i="19"/>
  <c r="H26" i="31" s="1"/>
  <c r="C26" i="19"/>
  <c r="C26" i="31" s="1"/>
  <c r="AA25" i="19"/>
  <c r="AA25" i="31" s="1"/>
  <c r="L25" i="19"/>
  <c r="L25" i="31" s="1"/>
  <c r="E25" i="19"/>
  <c r="E22" i="19" s="1"/>
  <c r="AM24" i="19"/>
  <c r="AM24" i="31" s="1"/>
  <c r="AC23" i="19"/>
  <c r="AC23" i="31" s="1"/>
  <c r="AB23" i="19"/>
  <c r="AB22" i="19" s="1"/>
  <c r="AB22" i="31" s="1"/>
  <c r="AL22" i="19"/>
  <c r="AL22" i="31" s="1"/>
  <c r="AJ22" i="19"/>
  <c r="AJ22" i="31" s="1"/>
  <c r="AI22" i="19"/>
  <c r="AI22" i="31" s="1"/>
  <c r="AH22" i="19"/>
  <c r="AH22" i="31" s="1"/>
  <c r="AG22" i="19"/>
  <c r="AG22" i="31" s="1"/>
  <c r="AF22" i="19"/>
  <c r="AF22" i="31" s="1"/>
  <c r="AE22" i="19"/>
  <c r="AE22" i="31" s="1"/>
  <c r="AD22" i="19"/>
  <c r="AD22" i="31" s="1"/>
  <c r="Z22" i="19"/>
  <c r="Z22" i="31" s="1"/>
  <c r="Y22" i="19"/>
  <c r="Y22" i="31" s="1"/>
  <c r="X22" i="19"/>
  <c r="X22" i="31" s="1"/>
  <c r="W22" i="19"/>
  <c r="V22" i="19"/>
  <c r="V22" i="31" s="1"/>
  <c r="U22" i="19"/>
  <c r="U22" i="31" s="1"/>
  <c r="T22" i="19"/>
  <c r="T22" i="31" s="1"/>
  <c r="S22" i="19"/>
  <c r="S22" i="31" s="1"/>
  <c r="R22" i="19"/>
  <c r="R22" i="31" s="1"/>
  <c r="Q22" i="19"/>
  <c r="P22" i="19"/>
  <c r="P22" i="31" s="1"/>
  <c r="O22" i="19"/>
  <c r="O22" i="31" s="1"/>
  <c r="N22" i="19"/>
  <c r="N22" i="31" s="1"/>
  <c r="M22" i="19"/>
  <c r="M22" i="31" s="1"/>
  <c r="K22" i="19"/>
  <c r="K22" i="31" s="1"/>
  <c r="J22" i="19"/>
  <c r="J22" i="31" s="1"/>
  <c r="I22" i="19"/>
  <c r="I22" i="31" s="1"/>
  <c r="G22" i="19"/>
  <c r="G22" i="31" s="1"/>
  <c r="F22" i="19"/>
  <c r="F22" i="31" s="1"/>
  <c r="D22" i="19"/>
  <c r="D22" i="31" s="1"/>
  <c r="AA21" i="19"/>
  <c r="AA21" i="31" s="1"/>
  <c r="L21" i="19"/>
  <c r="L21" i="31" s="1"/>
  <c r="H21" i="19"/>
  <c r="H21" i="31" s="1"/>
  <c r="AA20" i="19"/>
  <c r="AA20" i="31" s="1"/>
  <c r="L20" i="19"/>
  <c r="H20" i="19"/>
  <c r="H20" i="31" s="1"/>
  <c r="AM19" i="19"/>
  <c r="AM19" i="31" s="1"/>
  <c r="AA18" i="19"/>
  <c r="AA17" i="19"/>
  <c r="AA17" i="31" s="1"/>
  <c r="L17" i="19"/>
  <c r="L17" i="31" s="1"/>
  <c r="H17" i="19"/>
  <c r="C17" i="19"/>
  <c r="C17" i="31" s="1"/>
  <c r="AA16" i="19"/>
  <c r="AA16" i="31" s="1"/>
  <c r="L16" i="19"/>
  <c r="L16" i="31" s="1"/>
  <c r="H16" i="19"/>
  <c r="H16" i="31" s="1"/>
  <c r="C16" i="19"/>
  <c r="C16" i="31" s="1"/>
  <c r="AL15" i="19"/>
  <c r="AL15" i="31" s="1"/>
  <c r="AK15" i="19"/>
  <c r="AK15" i="31" s="1"/>
  <c r="AJ15" i="19"/>
  <c r="AJ15" i="31" s="1"/>
  <c r="AI15" i="19"/>
  <c r="AI15" i="31" s="1"/>
  <c r="AH15" i="19"/>
  <c r="AH15" i="31" s="1"/>
  <c r="AG15" i="19"/>
  <c r="AG15" i="31" s="1"/>
  <c r="AF15" i="19"/>
  <c r="AF15" i="31" s="1"/>
  <c r="AE15" i="19"/>
  <c r="AE15" i="31" s="1"/>
  <c r="AD15" i="19"/>
  <c r="AD15" i="31" s="1"/>
  <c r="AC15" i="19"/>
  <c r="AC15" i="31" s="1"/>
  <c r="AB15" i="19"/>
  <c r="AB15" i="31" s="1"/>
  <c r="Z15" i="19"/>
  <c r="Z15" i="31" s="1"/>
  <c r="Y15" i="19"/>
  <c r="Y15" i="31" s="1"/>
  <c r="X15" i="19"/>
  <c r="X15" i="31" s="1"/>
  <c r="W15" i="19"/>
  <c r="W15" i="31" s="1"/>
  <c r="V15" i="19"/>
  <c r="V15" i="31" s="1"/>
  <c r="U15" i="19"/>
  <c r="U15" i="31" s="1"/>
  <c r="T15" i="19"/>
  <c r="T15" i="31" s="1"/>
  <c r="S15" i="19"/>
  <c r="S15" i="31" s="1"/>
  <c r="R15" i="19"/>
  <c r="R15" i="31" s="1"/>
  <c r="Q15" i="19"/>
  <c r="Q15" i="31" s="1"/>
  <c r="P15" i="19"/>
  <c r="P15" i="31" s="1"/>
  <c r="O15" i="19"/>
  <c r="O15" i="31" s="1"/>
  <c r="N15" i="19"/>
  <c r="N15" i="31" s="1"/>
  <c r="M15" i="19"/>
  <c r="M15" i="31" s="1"/>
  <c r="K15" i="19"/>
  <c r="K15" i="31" s="1"/>
  <c r="J15" i="19"/>
  <c r="J15" i="31" s="1"/>
  <c r="I15" i="19"/>
  <c r="I15" i="31" s="1"/>
  <c r="G15" i="19"/>
  <c r="G15" i="31" s="1"/>
  <c r="F15" i="19"/>
  <c r="F15" i="31" s="1"/>
  <c r="E15" i="19"/>
  <c r="E15" i="31" s="1"/>
  <c r="D15" i="19"/>
  <c r="D15" i="31" s="1"/>
  <c r="AA14" i="19"/>
  <c r="AA14" i="31" s="1"/>
  <c r="L14" i="19"/>
  <c r="L14" i="31" s="1"/>
  <c r="H14" i="19"/>
  <c r="C14" i="19"/>
  <c r="C14" i="31" s="1"/>
  <c r="AA13" i="19"/>
  <c r="AA13" i="31" s="1"/>
  <c r="L13" i="19"/>
  <c r="L13" i="31" s="1"/>
  <c r="H13" i="19"/>
  <c r="C13" i="19"/>
  <c r="C13" i="31" s="1"/>
  <c r="AM12" i="19"/>
  <c r="AM12" i="31" s="1"/>
  <c r="AA11" i="19"/>
  <c r="AA11" i="31" s="1"/>
  <c r="L11" i="19"/>
  <c r="L11" i="31" s="1"/>
  <c r="H11" i="19"/>
  <c r="C11" i="19"/>
  <c r="C11" i="31" s="1"/>
  <c r="AA10" i="19"/>
  <c r="AA10" i="31" s="1"/>
  <c r="L10" i="19"/>
  <c r="L10" i="31" s="1"/>
  <c r="H10" i="19"/>
  <c r="C10" i="19"/>
  <c r="C10" i="31" s="1"/>
  <c r="AL9" i="19"/>
  <c r="AL9" i="31" s="1"/>
  <c r="AK9" i="19"/>
  <c r="AK9" i="31" s="1"/>
  <c r="AJ9" i="19"/>
  <c r="AJ9" i="31" s="1"/>
  <c r="AI9" i="19"/>
  <c r="AI9" i="31" s="1"/>
  <c r="AH9" i="19"/>
  <c r="AH9" i="31" s="1"/>
  <c r="AG9" i="19"/>
  <c r="AG9" i="31" s="1"/>
  <c r="AF9" i="19"/>
  <c r="AF9" i="31" s="1"/>
  <c r="AE9" i="19"/>
  <c r="AE9" i="31" s="1"/>
  <c r="AD9" i="19"/>
  <c r="AD9" i="31" s="1"/>
  <c r="AC9" i="19"/>
  <c r="AC9" i="31" s="1"/>
  <c r="AB9" i="19"/>
  <c r="AB9" i="31" s="1"/>
  <c r="Z9" i="19"/>
  <c r="Z9" i="31" s="1"/>
  <c r="Y9" i="19"/>
  <c r="Y9" i="31" s="1"/>
  <c r="X9" i="19"/>
  <c r="X9" i="31" s="1"/>
  <c r="W9" i="19"/>
  <c r="W9" i="31" s="1"/>
  <c r="V9" i="19"/>
  <c r="V9" i="31" s="1"/>
  <c r="U9" i="19"/>
  <c r="U9" i="31" s="1"/>
  <c r="T9" i="19"/>
  <c r="T9" i="31" s="1"/>
  <c r="S9" i="19"/>
  <c r="S9" i="31" s="1"/>
  <c r="R9" i="19"/>
  <c r="R9" i="31" s="1"/>
  <c r="Q9" i="19"/>
  <c r="Q9" i="31" s="1"/>
  <c r="P9" i="19"/>
  <c r="P9" i="31" s="1"/>
  <c r="O9" i="19"/>
  <c r="O9" i="31" s="1"/>
  <c r="N9" i="19"/>
  <c r="N9" i="31" s="1"/>
  <c r="M9" i="19"/>
  <c r="M9" i="31" s="1"/>
  <c r="K9" i="19"/>
  <c r="K9" i="31" s="1"/>
  <c r="J9" i="19"/>
  <c r="J9" i="31" s="1"/>
  <c r="I9" i="19"/>
  <c r="I9" i="31" s="1"/>
  <c r="G9" i="19"/>
  <c r="G9" i="31" s="1"/>
  <c r="F9" i="19"/>
  <c r="F9" i="31" s="1"/>
  <c r="E9" i="19"/>
  <c r="E9" i="31" s="1"/>
  <c r="D9" i="19"/>
  <c r="D9" i="31" s="1"/>
  <c r="AL7" i="19"/>
  <c r="AK7" i="19"/>
  <c r="AJ7" i="19"/>
  <c r="AI7" i="19"/>
  <c r="AI7" i="31" s="1"/>
  <c r="AH7" i="19"/>
  <c r="AH7" i="31" s="1"/>
  <c r="AG7" i="19"/>
  <c r="AF7" i="19"/>
  <c r="AE7" i="19"/>
  <c r="AE7" i="31" s="1"/>
  <c r="AD7" i="19"/>
  <c r="AD7" i="31" s="1"/>
  <c r="AC7" i="19"/>
  <c r="AC7" i="31" s="1"/>
  <c r="AB7" i="19"/>
  <c r="AB7" i="31" s="1"/>
  <c r="Z7" i="19"/>
  <c r="Z7" i="31" s="1"/>
  <c r="Y7" i="19"/>
  <c r="Y7" i="31" s="1"/>
  <c r="X7" i="19"/>
  <c r="X7" i="31" s="1"/>
  <c r="W7" i="19"/>
  <c r="W7" i="31" s="1"/>
  <c r="V7" i="19"/>
  <c r="V7" i="31" s="1"/>
  <c r="U7" i="19"/>
  <c r="U7" i="31" s="1"/>
  <c r="T7" i="19"/>
  <c r="T7" i="31" s="1"/>
  <c r="S7" i="19"/>
  <c r="S7" i="31" s="1"/>
  <c r="R7" i="19"/>
  <c r="R7" i="31" s="1"/>
  <c r="Q7" i="19"/>
  <c r="Q7" i="31" s="1"/>
  <c r="P7" i="19"/>
  <c r="P7" i="31" s="1"/>
  <c r="O7" i="19"/>
  <c r="O7" i="31" s="1"/>
  <c r="N7" i="19"/>
  <c r="M7" i="19"/>
  <c r="K7" i="19"/>
  <c r="J7" i="19"/>
  <c r="I7" i="19"/>
  <c r="G7" i="19"/>
  <c r="G7" i="31" s="1"/>
  <c r="F7" i="19"/>
  <c r="E7" i="19"/>
  <c r="E7" i="31" s="1"/>
  <c r="D7" i="19"/>
  <c r="AA6" i="19"/>
  <c r="AA6" i="31" s="1"/>
  <c r="L6" i="19"/>
  <c r="H6" i="19"/>
  <c r="H6" i="31" s="1"/>
  <c r="C6" i="19"/>
  <c r="C6" i="31" s="1"/>
  <c r="AA5" i="19"/>
  <c r="AA5" i="31" s="1"/>
  <c r="L5" i="19"/>
  <c r="H5" i="19"/>
  <c r="H5" i="31" s="1"/>
  <c r="C5" i="19"/>
  <c r="C5" i="31" s="1"/>
  <c r="AA4" i="19"/>
  <c r="L4" i="19"/>
  <c r="L4" i="31" s="1"/>
  <c r="H4" i="19"/>
  <c r="C4" i="19"/>
  <c r="C4" i="31" s="1"/>
  <c r="AA3" i="19"/>
  <c r="AA3" i="31" s="1"/>
  <c r="L3" i="19"/>
  <c r="L3" i="31" s="1"/>
  <c r="H3" i="19"/>
  <c r="H3" i="31" s="1"/>
  <c r="C3" i="19"/>
  <c r="C3" i="31" s="1"/>
  <c r="AA2" i="19"/>
  <c r="AA2" i="31" s="1"/>
  <c r="L2" i="19"/>
  <c r="L2" i="31" s="1"/>
  <c r="F40" i="47" s="1"/>
  <c r="H2" i="19"/>
  <c r="H2" i="31" s="1"/>
  <c r="C2" i="19"/>
  <c r="C2" i="31" s="1"/>
  <c r="Q103" i="26"/>
  <c r="BF83" i="26"/>
  <c r="BL83" i="26" s="1"/>
  <c r="BF39" i="26"/>
  <c r="BL39" i="26" s="1"/>
  <c r="Q103" i="25"/>
  <c r="BF83" i="25"/>
  <c r="BL83" i="25" s="1"/>
  <c r="BF39" i="25"/>
  <c r="BL39" i="25" s="1"/>
  <c r="Q103" i="1"/>
  <c r="BF83" i="1"/>
  <c r="BL83" i="1" s="1"/>
  <c r="BF39" i="1"/>
  <c r="BL39" i="1" s="1"/>
  <c r="F401" i="15"/>
  <c r="F396" i="15"/>
  <c r="F391" i="15"/>
  <c r="N383" i="15"/>
  <c r="N374" i="15"/>
  <c r="N365" i="15"/>
  <c r="N356" i="15"/>
  <c r="N346" i="15"/>
  <c r="N337" i="15"/>
  <c r="N130" i="15"/>
  <c r="M130" i="15"/>
  <c r="L130" i="15"/>
  <c r="K130" i="15"/>
  <c r="J130" i="15"/>
  <c r="I130" i="15"/>
  <c r="H130" i="15"/>
  <c r="F130" i="15"/>
  <c r="X487" i="14"/>
  <c r="W487" i="14"/>
  <c r="V487" i="14"/>
  <c r="X486" i="14"/>
  <c r="W486" i="14"/>
  <c r="V486" i="14"/>
  <c r="X485" i="14"/>
  <c r="W485" i="14"/>
  <c r="V485" i="14"/>
  <c r="X484" i="14"/>
  <c r="W484" i="14"/>
  <c r="V484" i="14"/>
  <c r="X483" i="14"/>
  <c r="W483" i="14"/>
  <c r="V483" i="14"/>
  <c r="N471" i="14"/>
  <c r="M471" i="14"/>
  <c r="L471" i="14"/>
  <c r="K471" i="14"/>
  <c r="J471" i="14"/>
  <c r="I471" i="14"/>
  <c r="H471" i="14"/>
  <c r="G471" i="14"/>
  <c r="F471" i="14"/>
  <c r="F320" i="14" a="1"/>
  <c r="F322" i="14" s="1"/>
  <c r="M319" i="14"/>
  <c r="L319" i="14"/>
  <c r="K319" i="14"/>
  <c r="J319" i="14"/>
  <c r="I319" i="14"/>
  <c r="H319" i="14"/>
  <c r="G319" i="14"/>
  <c r="F277" i="14"/>
  <c r="F480" i="14" s="1"/>
  <c r="F276" i="14"/>
  <c r="F479" i="14" s="1"/>
  <c r="F275" i="14"/>
  <c r="F478" i="14" s="1"/>
  <c r="F274" i="14"/>
  <c r="F477" i="14" s="1"/>
  <c r="F273" i="14"/>
  <c r="F476" i="14" s="1"/>
  <c r="F272" i="14"/>
  <c r="N92" i="14"/>
  <c r="M92" i="14"/>
  <c r="L92" i="14"/>
  <c r="K92" i="14"/>
  <c r="J92" i="14"/>
  <c r="I92" i="14"/>
  <c r="N75" i="14"/>
  <c r="M75" i="14"/>
  <c r="L75" i="14"/>
  <c r="K75" i="14"/>
  <c r="J75" i="14"/>
  <c r="I75" i="14"/>
  <c r="J37" i="14"/>
  <c r="I37" i="14"/>
  <c r="H37" i="14"/>
  <c r="J32" i="14"/>
  <c r="I32" i="14"/>
  <c r="H32" i="14"/>
  <c r="G32" i="14"/>
  <c r="F32" i="14"/>
  <c r="H334" i="13"/>
  <c r="G334" i="13"/>
  <c r="H333" i="13"/>
  <c r="G333" i="13"/>
  <c r="H332" i="13"/>
  <c r="G332" i="13"/>
  <c r="H331" i="13"/>
  <c r="G331" i="13"/>
  <c r="H327" i="13"/>
  <c r="G327" i="13"/>
  <c r="H326" i="13"/>
  <c r="G326" i="13"/>
  <c r="H325" i="13"/>
  <c r="G325" i="13"/>
  <c r="H324" i="13"/>
  <c r="G324" i="13"/>
  <c r="H320" i="13"/>
  <c r="G320" i="13"/>
  <c r="H319" i="13"/>
  <c r="G319" i="13"/>
  <c r="H318" i="13"/>
  <c r="G318" i="13"/>
  <c r="H317" i="13"/>
  <c r="G317" i="13"/>
  <c r="H313" i="13"/>
  <c r="G313" i="13"/>
  <c r="H312" i="13"/>
  <c r="G312" i="13"/>
  <c r="H311" i="13"/>
  <c r="G311" i="13"/>
  <c r="H310" i="13"/>
  <c r="G310" i="13"/>
  <c r="F306" i="13"/>
  <c r="F305" i="13"/>
  <c r="F304" i="13"/>
  <c r="F303" i="13"/>
  <c r="F299" i="13"/>
  <c r="F298" i="13"/>
  <c r="F297" i="13"/>
  <c r="F296" i="13"/>
  <c r="F292" i="13"/>
  <c r="F291" i="13"/>
  <c r="F289" i="13"/>
  <c r="F285" i="13"/>
  <c r="F284" i="13"/>
  <c r="F283" i="13"/>
  <c r="N125" i="12"/>
  <c r="M125" i="12"/>
  <c r="L125" i="12"/>
  <c r="K125" i="12"/>
  <c r="J125" i="12"/>
  <c r="I125" i="12"/>
  <c r="H125" i="12"/>
  <c r="G125" i="12"/>
  <c r="F125" i="12"/>
  <c r="N116" i="12"/>
  <c r="M116" i="12"/>
  <c r="L116" i="12"/>
  <c r="K116" i="12"/>
  <c r="J116" i="12"/>
  <c r="I116" i="12"/>
  <c r="H116" i="12"/>
  <c r="G116" i="12"/>
  <c r="F116" i="12"/>
  <c r="F98" i="12"/>
  <c r="F139" i="12" s="1"/>
  <c r="F146" i="12" s="1"/>
  <c r="F97" i="12"/>
  <c r="F138" i="12" s="1"/>
  <c r="F145" i="12" s="1"/>
  <c r="G34" i="12"/>
  <c r="H34" i="12" s="1"/>
  <c r="E334" i="17" a="1"/>
  <c r="E335" i="17" s="1"/>
  <c r="F97" i="18"/>
  <c r="F96" i="18"/>
  <c r="H33" i="18"/>
  <c r="G33" i="18"/>
  <c r="N951" i="4"/>
  <c r="M951" i="4"/>
  <c r="L951" i="4"/>
  <c r="K951" i="4"/>
  <c r="J951" i="4"/>
  <c r="I951" i="4"/>
  <c r="H951" i="4"/>
  <c r="G951" i="4"/>
  <c r="F951" i="4"/>
  <c r="N948" i="4"/>
  <c r="M948" i="4"/>
  <c r="L948" i="4"/>
  <c r="K948" i="4"/>
  <c r="J948" i="4"/>
  <c r="I948" i="4"/>
  <c r="H948" i="4"/>
  <c r="G948" i="4"/>
  <c r="F948" i="4"/>
  <c r="N947" i="4"/>
  <c r="M947" i="4"/>
  <c r="L947" i="4"/>
  <c r="K947" i="4"/>
  <c r="J947" i="4"/>
  <c r="I947" i="4"/>
  <c r="H947" i="4"/>
  <c r="G947" i="4"/>
  <c r="F947" i="4"/>
  <c r="N946" i="4"/>
  <c r="M946" i="4"/>
  <c r="L946" i="4"/>
  <c r="K946" i="4"/>
  <c r="J946" i="4"/>
  <c r="I946" i="4"/>
  <c r="H946" i="4"/>
  <c r="G946" i="4"/>
  <c r="F946" i="4"/>
  <c r="N945" i="4"/>
  <c r="M945" i="4"/>
  <c r="L945" i="4"/>
  <c r="K945" i="4"/>
  <c r="J945" i="4"/>
  <c r="I945" i="4"/>
  <c r="H945" i="4"/>
  <c r="G945" i="4"/>
  <c r="F945" i="4"/>
  <c r="N944" i="4"/>
  <c r="M944" i="4"/>
  <c r="L944" i="4"/>
  <c r="K944" i="4"/>
  <c r="J944" i="4"/>
  <c r="I944" i="4"/>
  <c r="H944" i="4"/>
  <c r="G944" i="4"/>
  <c r="F944" i="4"/>
  <c r="N943" i="4"/>
  <c r="M943" i="4"/>
  <c r="L943" i="4"/>
  <c r="K943" i="4"/>
  <c r="J943" i="4"/>
  <c r="I943" i="4"/>
  <c r="H943" i="4"/>
  <c r="G943" i="4"/>
  <c r="F943" i="4"/>
  <c r="N939" i="4"/>
  <c r="M939" i="4"/>
  <c r="L939" i="4"/>
  <c r="K939" i="4"/>
  <c r="J939" i="4"/>
  <c r="I939" i="4"/>
  <c r="H939" i="4"/>
  <c r="G939" i="4"/>
  <c r="F939" i="4"/>
  <c r="G647" i="4"/>
  <c r="F638" i="4"/>
  <c r="F637" i="4"/>
  <c r="F636" i="4"/>
  <c r="F635" i="4"/>
  <c r="F634" i="4"/>
  <c r="F633" i="4"/>
  <c r="F632" i="4"/>
  <c r="F631" i="4"/>
  <c r="F630" i="4"/>
  <c r="F629" i="4"/>
  <c r="F628" i="4"/>
  <c r="F627" i="4"/>
  <c r="F626" i="4"/>
  <c r="F224" i="4"/>
  <c r="T97" i="4"/>
  <c r="S97" i="4"/>
  <c r="R97" i="4"/>
  <c r="Q97" i="4"/>
  <c r="P97" i="4"/>
  <c r="O97" i="4"/>
  <c r="N97" i="4"/>
  <c r="M97" i="4"/>
  <c r="L97" i="4"/>
  <c r="K97" i="4"/>
  <c r="J97" i="4"/>
  <c r="I97" i="4"/>
  <c r="H97" i="4"/>
  <c r="G97" i="4"/>
  <c r="F97" i="4"/>
  <c r="E97" i="4"/>
  <c r="S89" i="4"/>
  <c r="R89" i="4"/>
  <c r="Q89" i="4"/>
  <c r="P89" i="4"/>
  <c r="O89" i="4"/>
  <c r="N89" i="4"/>
  <c r="M89" i="4"/>
  <c r="L89" i="4"/>
  <c r="K89" i="4"/>
  <c r="J89" i="4"/>
  <c r="I89" i="4"/>
  <c r="H89" i="4"/>
  <c r="G89" i="4"/>
  <c r="F89" i="4"/>
  <c r="E89" i="4"/>
  <c r="F62" i="4"/>
  <c r="F754" i="4" s="1"/>
  <c r="G61" i="4"/>
  <c r="H61" i="4" s="1"/>
  <c r="I61" i="4" s="1"/>
  <c r="J61" i="4" s="1"/>
  <c r="K61" i="4" s="1"/>
  <c r="L61" i="4" s="1"/>
  <c r="M61" i="4" s="1"/>
  <c r="N61" i="4" s="1"/>
  <c r="P61" i="4" s="1"/>
  <c r="G60" i="4"/>
  <c r="H60" i="4" s="1"/>
  <c r="I60" i="4" s="1"/>
  <c r="J60" i="4" s="1"/>
  <c r="K60" i="4" s="1"/>
  <c r="L60" i="4" s="1"/>
  <c r="M60" i="4" s="1"/>
  <c r="N60" i="4" s="1"/>
  <c r="P60" i="4" s="1"/>
  <c r="G59" i="4"/>
  <c r="G62" i="4" s="1"/>
  <c r="G754" i="4" s="1"/>
  <c r="G58" i="4"/>
  <c r="H58" i="4" s="1"/>
  <c r="I58" i="4" s="1"/>
  <c r="J58" i="4" s="1"/>
  <c r="K58" i="4" s="1"/>
  <c r="L58" i="4" s="1"/>
  <c r="M58" i="4" s="1"/>
  <c r="N58" i="4" s="1"/>
  <c r="P58" i="4" s="1"/>
  <c r="G589" i="4"/>
  <c r="E8" i="4"/>
  <c r="N278" i="10"/>
  <c r="M278" i="10"/>
  <c r="L278" i="10"/>
  <c r="K278" i="10"/>
  <c r="J278" i="10"/>
  <c r="I278" i="10"/>
  <c r="H278" i="10"/>
  <c r="G278" i="10"/>
  <c r="F278" i="10"/>
  <c r="N277" i="10"/>
  <c r="M277" i="10"/>
  <c r="L277" i="10"/>
  <c r="K277" i="10"/>
  <c r="J277" i="10"/>
  <c r="I277" i="10"/>
  <c r="H277" i="10"/>
  <c r="G277" i="10"/>
  <c r="F277" i="10"/>
  <c r="N276" i="10"/>
  <c r="M276" i="10"/>
  <c r="L276" i="10"/>
  <c r="K276" i="10"/>
  <c r="J276" i="10"/>
  <c r="I276" i="10"/>
  <c r="H276" i="10"/>
  <c r="G276" i="10"/>
  <c r="F276" i="10"/>
  <c r="N275" i="10"/>
  <c r="M275" i="10"/>
  <c r="L275" i="10"/>
  <c r="K275" i="10"/>
  <c r="J275" i="10"/>
  <c r="I275" i="10"/>
  <c r="H275" i="10"/>
  <c r="G275" i="10"/>
  <c r="F275" i="10"/>
  <c r="N274" i="10"/>
  <c r="M274" i="10"/>
  <c r="L274" i="10"/>
  <c r="K274" i="10"/>
  <c r="J274" i="10"/>
  <c r="I274" i="10"/>
  <c r="H274" i="10"/>
  <c r="G274" i="10"/>
  <c r="F274" i="10"/>
  <c r="N273" i="10"/>
  <c r="M273" i="10"/>
  <c r="L273" i="10"/>
  <c r="K273" i="10"/>
  <c r="J273" i="10"/>
  <c r="I273" i="10"/>
  <c r="H273" i="10"/>
  <c r="G273" i="10"/>
  <c r="F273" i="10"/>
  <c r="K586" i="4"/>
  <c r="M169" i="10"/>
  <c r="L169" i="10"/>
  <c r="K169" i="10"/>
  <c r="J169" i="10"/>
  <c r="I169" i="10"/>
  <c r="H169" i="10"/>
  <c r="G169" i="10"/>
  <c r="F169" i="10"/>
  <c r="N161" i="10"/>
  <c r="M161" i="10"/>
  <c r="L161" i="10"/>
  <c r="K161" i="10"/>
  <c r="J161" i="10"/>
  <c r="I161" i="10"/>
  <c r="H161" i="10"/>
  <c r="G161" i="10"/>
  <c r="F161" i="10"/>
  <c r="N160" i="10"/>
  <c r="M160" i="10"/>
  <c r="L160" i="10"/>
  <c r="K160" i="10"/>
  <c r="J160" i="10"/>
  <c r="I160" i="10"/>
  <c r="H160" i="10"/>
  <c r="G160" i="10"/>
  <c r="F160" i="10"/>
  <c r="N153" i="10"/>
  <c r="M153" i="10"/>
  <c r="L153" i="10"/>
  <c r="K153" i="10"/>
  <c r="J153" i="10"/>
  <c r="I153" i="10"/>
  <c r="H153" i="10"/>
  <c r="G153" i="10"/>
  <c r="F153" i="10"/>
  <c r="N152" i="10"/>
  <c r="M152" i="10"/>
  <c r="L152" i="10"/>
  <c r="K152" i="10"/>
  <c r="J152" i="10"/>
  <c r="I152" i="10"/>
  <c r="H152" i="10"/>
  <c r="G152" i="10"/>
  <c r="F152" i="10"/>
  <c r="O146" i="8"/>
  <c r="O147" i="8" s="1"/>
  <c r="F135" i="8"/>
  <c r="F164" i="8" s="1"/>
  <c r="F130" i="8"/>
  <c r="F166" i="8" s="1"/>
  <c r="F125" i="8"/>
  <c r="F168" i="8" s="1"/>
  <c r="N115" i="8"/>
  <c r="M115" i="8"/>
  <c r="L115" i="8"/>
  <c r="K115" i="8"/>
  <c r="J115" i="8"/>
  <c r="I115" i="8"/>
  <c r="H115" i="8"/>
  <c r="G115" i="8"/>
  <c r="F115" i="8"/>
  <c r="O149" i="9"/>
  <c r="O148" i="9"/>
  <c r="O147" i="9"/>
  <c r="O146" i="9"/>
  <c r="O145" i="9"/>
  <c r="O144" i="9"/>
  <c r="F115" i="9"/>
  <c r="F144" i="9" s="1"/>
  <c r="F110" i="9"/>
  <c r="F146" i="9" s="1"/>
  <c r="F105" i="9"/>
  <c r="F148" i="9" s="1"/>
  <c r="N95" i="9"/>
  <c r="M95" i="9"/>
  <c r="L95" i="9"/>
  <c r="K95" i="9"/>
  <c r="J95" i="9"/>
  <c r="I95" i="9"/>
  <c r="H95" i="9"/>
  <c r="G95" i="9"/>
  <c r="F95" i="9"/>
  <c r="N178" i="6"/>
  <c r="M178" i="6"/>
  <c r="L178" i="6"/>
  <c r="K178" i="6"/>
  <c r="J178" i="6"/>
  <c r="I178" i="6"/>
  <c r="H178" i="6"/>
  <c r="G178" i="6"/>
  <c r="F178" i="6"/>
  <c r="N133" i="6"/>
  <c r="M133" i="6"/>
  <c r="L133" i="6"/>
  <c r="K133" i="6"/>
  <c r="J133" i="6"/>
  <c r="I133" i="6"/>
  <c r="H133" i="6"/>
  <c r="G133" i="6"/>
  <c r="F133" i="6"/>
  <c r="N123" i="6"/>
  <c r="M123" i="6"/>
  <c r="L123" i="6"/>
  <c r="K123" i="6"/>
  <c r="J123" i="6"/>
  <c r="I123" i="6"/>
  <c r="H123" i="6"/>
  <c r="G123" i="6"/>
  <c r="F123" i="6"/>
  <c r="F118" i="6"/>
  <c r="F122" i="6" s="1"/>
  <c r="F336" i="7"/>
  <c r="F335" i="7"/>
  <c r="F304" i="7"/>
  <c r="F284" i="7" s="1"/>
  <c r="F303" i="7"/>
  <c r="F283" i="7" s="1"/>
  <c r="F248" i="7"/>
  <c r="F242" i="7"/>
  <c r="F236" i="7"/>
  <c r="N226" i="7"/>
  <c r="M226" i="7"/>
  <c r="L226" i="7"/>
  <c r="K226" i="7"/>
  <c r="J226" i="7"/>
  <c r="I226" i="7"/>
  <c r="H226" i="7"/>
  <c r="G226" i="7"/>
  <c r="F226" i="7"/>
  <c r="N219" i="7"/>
  <c r="M219" i="7"/>
  <c r="L219" i="7"/>
  <c r="K219" i="7"/>
  <c r="J219" i="7"/>
  <c r="I219" i="7"/>
  <c r="H219" i="7"/>
  <c r="G219" i="7"/>
  <c r="F219" i="7"/>
  <c r="F217" i="7"/>
  <c r="F218" i="7" s="1"/>
  <c r="N212" i="7"/>
  <c r="M212" i="7"/>
  <c r="L212" i="7"/>
  <c r="K212" i="7"/>
  <c r="J212" i="7"/>
  <c r="I212" i="7"/>
  <c r="H212" i="7"/>
  <c r="G212" i="7"/>
  <c r="F212" i="7"/>
  <c r="N205" i="7"/>
  <c r="M205" i="7"/>
  <c r="L205" i="7"/>
  <c r="K205" i="7"/>
  <c r="J205" i="7"/>
  <c r="I205" i="7"/>
  <c r="H205" i="7"/>
  <c r="G205" i="7"/>
  <c r="F205" i="7"/>
  <c r="F204" i="7" s="1"/>
  <c r="F203" i="7"/>
  <c r="N197" i="7"/>
  <c r="M197" i="7"/>
  <c r="L197" i="7"/>
  <c r="K197" i="7"/>
  <c r="J197" i="7"/>
  <c r="I197" i="7"/>
  <c r="H197" i="7"/>
  <c r="G197" i="7"/>
  <c r="F197" i="7"/>
  <c r="N190" i="7"/>
  <c r="M190" i="7"/>
  <c r="L190" i="7"/>
  <c r="K190" i="7"/>
  <c r="J190" i="7"/>
  <c r="I190" i="7"/>
  <c r="H190" i="7"/>
  <c r="G190" i="7"/>
  <c r="F190" i="7"/>
  <c r="F188" i="7"/>
  <c r="N384" i="24"/>
  <c r="M384" i="24"/>
  <c r="L384" i="24"/>
  <c r="K384" i="24"/>
  <c r="J384" i="24"/>
  <c r="I384" i="24"/>
  <c r="H384" i="24"/>
  <c r="G384" i="24"/>
  <c r="F384" i="24"/>
  <c r="N370" i="24"/>
  <c r="M370" i="24"/>
  <c r="L370" i="24"/>
  <c r="K370" i="24"/>
  <c r="J370" i="24"/>
  <c r="I370" i="24"/>
  <c r="H370" i="24"/>
  <c r="G370" i="24"/>
  <c r="F370" i="24"/>
  <c r="N267" i="24"/>
  <c r="M267" i="24"/>
  <c r="L267" i="24"/>
  <c r="K267" i="24"/>
  <c r="J267" i="24"/>
  <c r="I267" i="24"/>
  <c r="H267" i="24"/>
  <c r="G267" i="24"/>
  <c r="F267" i="24"/>
  <c r="N257" i="24"/>
  <c r="M257" i="24"/>
  <c r="L257" i="24"/>
  <c r="K257" i="24"/>
  <c r="J257" i="24"/>
  <c r="I257" i="24"/>
  <c r="H257" i="24"/>
  <c r="G257" i="24"/>
  <c r="F257" i="24"/>
  <c r="N238" i="24"/>
  <c r="M238" i="24"/>
  <c r="L238" i="24"/>
  <c r="K238" i="24"/>
  <c r="J238" i="24"/>
  <c r="I238" i="24"/>
  <c r="H238" i="24"/>
  <c r="G238" i="24"/>
  <c r="F238" i="24"/>
  <c r="N233" i="24"/>
  <c r="M233" i="24"/>
  <c r="L233" i="24"/>
  <c r="K233" i="24"/>
  <c r="J233" i="24"/>
  <c r="I233" i="24"/>
  <c r="H233" i="24"/>
  <c r="G233" i="24"/>
  <c r="F233" i="24"/>
  <c r="F96" i="24"/>
  <c r="H48" i="27"/>
  <c r="I48" i="27" s="1"/>
  <c r="H47" i="27"/>
  <c r="I47" i="27" s="1"/>
  <c r="H46" i="27"/>
  <c r="I46" i="27" s="1"/>
  <c r="H45" i="27"/>
  <c r="I45" i="27" s="1"/>
  <c r="H44" i="27"/>
  <c r="I44" i="27" s="1"/>
  <c r="H43" i="27"/>
  <c r="I43" i="27" s="1"/>
  <c r="H42" i="27"/>
  <c r="I42" i="27" s="1"/>
  <c r="H41" i="27"/>
  <c r="I41" i="27" s="1"/>
  <c r="H40" i="27"/>
  <c r="I40" i="27" s="1"/>
  <c r="H39" i="27"/>
  <c r="I39" i="27" s="1"/>
  <c r="H38" i="27"/>
  <c r="I38" i="27" s="1"/>
  <c r="H37" i="27"/>
  <c r="I37" i="27" s="1"/>
  <c r="H36" i="27"/>
  <c r="I36" i="27" s="1"/>
  <c r="H35" i="27"/>
  <c r="I35" i="27" s="1"/>
  <c r="H34" i="27"/>
  <c r="I34" i="27" s="1"/>
  <c r="H32" i="27"/>
  <c r="I32" i="27" s="1"/>
  <c r="H31" i="27"/>
  <c r="I31" i="27" s="1"/>
  <c r="H30" i="27"/>
  <c r="I30" i="27" s="1"/>
  <c r="H29" i="27"/>
  <c r="I29" i="27" s="1"/>
  <c r="H28" i="27"/>
  <c r="I28" i="27" s="1"/>
  <c r="H27" i="27"/>
  <c r="I27" i="27" s="1"/>
  <c r="H26" i="27"/>
  <c r="I26" i="27" s="1"/>
  <c r="I25" i="27"/>
  <c r="H24" i="27"/>
  <c r="I24" i="27" s="1"/>
  <c r="H23" i="27"/>
  <c r="I23" i="27" s="1"/>
  <c r="H22" i="27"/>
  <c r="I22" i="27" s="1"/>
  <c r="H21" i="27"/>
  <c r="I21" i="27" s="1"/>
  <c r="H20" i="27"/>
  <c r="I20" i="27" s="1"/>
  <c r="H19" i="27"/>
  <c r="I19" i="27" s="1"/>
  <c r="H18" i="27"/>
  <c r="I18" i="27" s="1"/>
  <c r="H17" i="27"/>
  <c r="I17" i="27" s="1"/>
  <c r="H16" i="27"/>
  <c r="I16" i="27" s="1"/>
  <c r="H15" i="27"/>
  <c r="I15" i="27" s="1"/>
  <c r="H14" i="27"/>
  <c r="I14" i="27" s="1"/>
  <c r="H13" i="27"/>
  <c r="I13" i="27" s="1"/>
  <c r="H12" i="27"/>
  <c r="I12" i="27" s="1"/>
  <c r="H11" i="27"/>
  <c r="I11" i="27" s="1"/>
  <c r="H10" i="27"/>
  <c r="I10" i="27" s="1"/>
  <c r="H9" i="27"/>
  <c r="I9" i="27" s="1"/>
  <c r="H8" i="27"/>
  <c r="I8" i="27" s="1"/>
  <c r="H7" i="27"/>
  <c r="I7" i="27" s="1"/>
  <c r="G92" i="23"/>
  <c r="G91" i="23"/>
  <c r="C91" i="23"/>
  <c r="G90" i="23"/>
  <c r="C90" i="23"/>
  <c r="G89" i="23"/>
  <c r="C89" i="23"/>
  <c r="G88" i="23"/>
  <c r="C88" i="23"/>
  <c r="G87" i="23"/>
  <c r="C87" i="23"/>
  <c r="C86" i="23"/>
  <c r="C85" i="23"/>
  <c r="C84" i="23"/>
  <c r="C83" i="23"/>
  <c r="G82" i="23"/>
  <c r="C82" i="23"/>
  <c r="G81" i="23"/>
  <c r="C81" i="23"/>
  <c r="C80" i="23"/>
  <c r="C79" i="23"/>
  <c r="C77" i="23"/>
  <c r="C76" i="23"/>
  <c r="C75" i="23"/>
  <c r="G74" i="23"/>
  <c r="C74" i="23"/>
  <c r="G73" i="23"/>
  <c r="C73" i="23"/>
  <c r="G72" i="23"/>
  <c r="C72" i="23"/>
  <c r="G71" i="23"/>
  <c r="C71" i="23"/>
  <c r="G70" i="23"/>
  <c r="C70" i="23"/>
  <c r="G69" i="23"/>
  <c r="C69" i="23"/>
  <c r="G68" i="23"/>
  <c r="C68" i="23"/>
  <c r="G67" i="23"/>
  <c r="C67" i="23"/>
  <c r="G66" i="23"/>
  <c r="C66" i="23"/>
  <c r="G65" i="23"/>
  <c r="C65" i="23"/>
  <c r="G64" i="23"/>
  <c r="C64" i="23"/>
  <c r="G63" i="23"/>
  <c r="C63" i="23"/>
  <c r="G62" i="23"/>
  <c r="C62" i="23"/>
  <c r="G61" i="23"/>
  <c r="C61" i="23"/>
  <c r="G60" i="23"/>
  <c r="C60" i="23"/>
  <c r="G59" i="23"/>
  <c r="C59" i="23"/>
  <c r="G58" i="23"/>
  <c r="C58" i="23"/>
  <c r="G57" i="23"/>
  <c r="C57" i="23"/>
  <c r="G56" i="23"/>
  <c r="C56" i="23"/>
  <c r="G55" i="23"/>
  <c r="C55" i="23"/>
  <c r="G54" i="23"/>
  <c r="C54" i="23"/>
  <c r="G53" i="23"/>
  <c r="C53" i="23"/>
  <c r="G52" i="23"/>
  <c r="C52" i="23"/>
  <c r="G51" i="23"/>
  <c r="C51" i="23"/>
  <c r="G50" i="23"/>
  <c r="C50" i="23"/>
  <c r="G49" i="23"/>
  <c r="C49" i="23"/>
  <c r="G48" i="23"/>
  <c r="C48" i="23"/>
  <c r="G47" i="23"/>
  <c r="C47" i="23"/>
  <c r="G46" i="23"/>
  <c r="C46" i="23"/>
  <c r="H43" i="23"/>
  <c r="C20" i="23"/>
  <c r="C13" i="23"/>
  <c r="C7" i="23"/>
  <c r="H4" i="23"/>
  <c r="C15" i="21"/>
  <c r="F60" i="22"/>
  <c r="B60" i="22"/>
  <c r="F59" i="22"/>
  <c r="B59" i="22"/>
  <c r="F58" i="22"/>
  <c r="B58" i="22"/>
  <c r="E51" i="22"/>
  <c r="E53" i="22" s="1"/>
  <c r="E48" i="22"/>
  <c r="E49" i="22" s="1"/>
  <c r="F42" i="22"/>
  <c r="F41" i="22" s="1"/>
  <c r="F40" i="22" s="1"/>
  <c r="E34" i="22"/>
  <c r="F29" i="22"/>
  <c r="F31" i="22" s="1"/>
  <c r="F79" i="10" s="1"/>
  <c r="F24" i="22"/>
  <c r="E23" i="22"/>
  <c r="E20" i="22"/>
  <c r="E21" i="22" s="1"/>
  <c r="E17" i="22"/>
  <c r="E19" i="22" s="1"/>
  <c r="E15" i="22"/>
  <c r="E14" i="22"/>
  <c r="E13" i="22"/>
  <c r="E12" i="22"/>
  <c r="E10" i="22"/>
  <c r="E9" i="22"/>
  <c r="E7" i="22"/>
  <c r="E6" i="22"/>
  <c r="E5" i="22"/>
  <c r="F4" i="22"/>
  <c r="L43" i="24"/>
  <c r="M43" i="24"/>
  <c r="K43" i="24"/>
  <c r="N43" i="24"/>
  <c r="M42" i="24"/>
  <c r="N42" i="24"/>
  <c r="L42" i="24"/>
  <c r="K42" i="24"/>
  <c r="M109" i="16"/>
  <c r="L109" i="16"/>
  <c r="K109" i="16"/>
  <c r="I109" i="16"/>
  <c r="H109" i="16"/>
  <c r="J109" i="16"/>
  <c r="G109" i="16"/>
  <c r="F109" i="16"/>
  <c r="N109" i="16"/>
  <c r="H304" i="7"/>
  <c r="H284" i="7" s="1"/>
  <c r="H303" i="7"/>
  <c r="H283" i="7" s="1"/>
  <c r="G303" i="7"/>
  <c r="G283" i="7" s="1"/>
  <c r="I336" i="7"/>
  <c r="H336" i="7"/>
  <c r="G336" i="7"/>
  <c r="G304" i="7"/>
  <c r="G284" i="7" s="1"/>
  <c r="N401" i="15"/>
  <c r="N402" i="15"/>
  <c r="M401" i="15"/>
  <c r="M402" i="15"/>
  <c r="L401" i="15"/>
  <c r="L402" i="15"/>
  <c r="K401" i="15"/>
  <c r="K402" i="15"/>
  <c r="N396" i="15"/>
  <c r="N397" i="15"/>
  <c r="M396" i="15"/>
  <c r="M397" i="15"/>
  <c r="N391" i="15"/>
  <c r="N392" i="15"/>
  <c r="M391" i="15"/>
  <c r="M392" i="15"/>
  <c r="L391" i="15"/>
  <c r="L392" i="15"/>
  <c r="K391" i="15"/>
  <c r="K392" i="15"/>
  <c r="J391" i="15"/>
  <c r="J392" i="15"/>
  <c r="I391" i="15"/>
  <c r="I392" i="15"/>
  <c r="H392" i="15"/>
  <c r="G392" i="15"/>
  <c r="F392" i="15"/>
  <c r="L396" i="15"/>
  <c r="H397" i="15"/>
  <c r="L397" i="15"/>
  <c r="F402" i="15"/>
  <c r="J402" i="15"/>
  <c r="J401" i="15"/>
  <c r="I401" i="15"/>
  <c r="I402" i="15"/>
  <c r="H402" i="15"/>
  <c r="K397" i="15"/>
  <c r="I397" i="15"/>
  <c r="K396" i="15"/>
  <c r="J396" i="15"/>
  <c r="J397" i="15"/>
  <c r="I396" i="15"/>
  <c r="F397" i="15"/>
  <c r="G397" i="15"/>
  <c r="G402" i="15"/>
  <c r="H401" i="15"/>
  <c r="H391" i="15"/>
  <c r="G391" i="15"/>
  <c r="G401" i="15"/>
  <c r="G403" i="15" s="1"/>
  <c r="G396" i="15"/>
  <c r="H396" i="15"/>
  <c r="D566" i="42"/>
  <c r="D568" i="42"/>
  <c r="D567" i="42"/>
  <c r="G129" i="42" l="1"/>
  <c r="G329" i="42" s="1"/>
  <c r="G421" i="42" s="1"/>
  <c r="N147" i="42"/>
  <c r="G138" i="42"/>
  <c r="G402" i="42" s="1"/>
  <c r="G406" i="42" s="1"/>
  <c r="M147" i="42"/>
  <c r="M403" i="42" s="1"/>
  <c r="I147" i="42"/>
  <c r="N138" i="42"/>
  <c r="N402" i="42" s="1"/>
  <c r="N406" i="42" s="1"/>
  <c r="J138" i="42"/>
  <c r="J402" i="42" s="1"/>
  <c r="J406" i="42" s="1"/>
  <c r="F138" i="42"/>
  <c r="F402" i="42" s="1"/>
  <c r="L147" i="42"/>
  <c r="H147" i="42"/>
  <c r="M138" i="42"/>
  <c r="M402" i="42" s="1"/>
  <c r="I138" i="42"/>
  <c r="I402" i="42" s="1"/>
  <c r="I406" i="42" s="1"/>
  <c r="K147" i="42"/>
  <c r="G147" i="42"/>
  <c r="L138" i="42"/>
  <c r="L402" i="42" s="1"/>
  <c r="L406" i="42" s="1"/>
  <c r="H138" i="42"/>
  <c r="H402" i="42" s="1"/>
  <c r="J147" i="42"/>
  <c r="F147" i="42"/>
  <c r="K138" i="42"/>
  <c r="F96" i="47"/>
  <c r="F99" i="47" s="1"/>
  <c r="C25" i="19"/>
  <c r="C25" i="31" s="1"/>
  <c r="L72" i="42"/>
  <c r="G314" i="13"/>
  <c r="G472" i="13" s="1"/>
  <c r="G335" i="13"/>
  <c r="G475" i="13" s="1"/>
  <c r="I72" i="42"/>
  <c r="G71" i="42"/>
  <c r="J72" i="42"/>
  <c r="K72" i="42"/>
  <c r="K4" i="22"/>
  <c r="I8" i="19"/>
  <c r="I8" i="31" s="1"/>
  <c r="E25" i="31"/>
  <c r="T8" i="19"/>
  <c r="T8" i="31" s="1"/>
  <c r="N273" i="46"/>
  <c r="E336" i="17"/>
  <c r="AE30" i="19"/>
  <c r="AE30" i="31" s="1"/>
  <c r="K30" i="19"/>
  <c r="K30" i="31" s="1"/>
  <c r="H72" i="42"/>
  <c r="F220" i="7"/>
  <c r="G321" i="13"/>
  <c r="G473" i="13" s="1"/>
  <c r="G328" i="13"/>
  <c r="G474" i="13" s="1"/>
  <c r="AA28" i="19"/>
  <c r="AA28" i="31" s="1"/>
  <c r="AC22" i="19"/>
  <c r="AC22" i="31" s="1"/>
  <c r="F273" i="46"/>
  <c r="AG30" i="19"/>
  <c r="AG30" i="31" s="1"/>
  <c r="N71" i="42"/>
  <c r="T30" i="19"/>
  <c r="T30" i="31" s="1"/>
  <c r="N8" i="19"/>
  <c r="N8" i="31" s="1"/>
  <c r="Y27" i="19"/>
  <c r="Y29" i="19" s="1"/>
  <c r="G30" i="19"/>
  <c r="G30" i="31" s="1"/>
  <c r="AB8" i="19"/>
  <c r="AB8" i="31" s="1"/>
  <c r="V8" i="19"/>
  <c r="V8" i="31" s="1"/>
  <c r="C9" i="19"/>
  <c r="C9" i="31" s="1"/>
  <c r="AA23" i="19"/>
  <c r="F357" i="34" a="1"/>
  <c r="AL27" i="19"/>
  <c r="AL27" i="31" s="1"/>
  <c r="L45" i="19"/>
  <c r="L45" i="31" s="1"/>
  <c r="C28" i="19"/>
  <c r="C28" i="31" s="1"/>
  <c r="AD27" i="19"/>
  <c r="AD27" i="31" s="1"/>
  <c r="H57" i="19"/>
  <c r="H57" i="31" s="1"/>
  <c r="AM60" i="19"/>
  <c r="AM60" i="31" s="1"/>
  <c r="AF8" i="19"/>
  <c r="AF8" i="31" s="1"/>
  <c r="F206" i="7"/>
  <c r="C7" i="19"/>
  <c r="E8" i="19"/>
  <c r="E8" i="31" s="1"/>
  <c r="M8" i="19"/>
  <c r="M8" i="31" s="1"/>
  <c r="X27" i="19"/>
  <c r="X29" i="19" s="1"/>
  <c r="X28" i="19" s="1"/>
  <c r="X28" i="31" s="1"/>
  <c r="L9" i="19"/>
  <c r="L9" i="31" s="1"/>
  <c r="AM33" i="19"/>
  <c r="AM33" i="31" s="1"/>
  <c r="AM35" i="19"/>
  <c r="AM35" i="31" s="1"/>
  <c r="C57" i="19"/>
  <c r="C57" i="31" s="1"/>
  <c r="N7" i="31"/>
  <c r="H29" i="31"/>
  <c r="AK45" i="31"/>
  <c r="F293" i="13"/>
  <c r="F455" i="13" s="1"/>
  <c r="AE27" i="19"/>
  <c r="AE27" i="31" s="1"/>
  <c r="H273" i="46"/>
  <c r="L950" i="4"/>
  <c r="L952" i="4" s="1"/>
  <c r="U27" i="19"/>
  <c r="U27" i="31" s="1"/>
  <c r="AC30" i="19"/>
  <c r="AC30" i="31" s="1"/>
  <c r="M7" i="31"/>
  <c r="R30" i="19"/>
  <c r="R30" i="31" s="1"/>
  <c r="R8" i="19"/>
  <c r="R8" i="31" s="1"/>
  <c r="H9" i="19"/>
  <c r="H9" i="31" s="1"/>
  <c r="AM43" i="19"/>
  <c r="AM43" i="31" s="1"/>
  <c r="AM44" i="19"/>
  <c r="AM44" i="31" s="1"/>
  <c r="I273" i="46"/>
  <c r="M273" i="46"/>
  <c r="Z8" i="19"/>
  <c r="Z8" i="31" s="1"/>
  <c r="F286" i="13"/>
  <c r="F454" i="13" s="1"/>
  <c r="F300" i="13"/>
  <c r="F456" i="13" s="1"/>
  <c r="F307" i="13"/>
  <c r="F457" i="13" s="1"/>
  <c r="H314" i="13"/>
  <c r="H472" i="13" s="1"/>
  <c r="H321" i="13"/>
  <c r="H473" i="13" s="1"/>
  <c r="H328" i="13"/>
  <c r="H474" i="13" s="1"/>
  <c r="H335" i="13"/>
  <c r="H475" i="13" s="1"/>
  <c r="X30" i="19"/>
  <c r="X30" i="31" s="1"/>
  <c r="AM54" i="19"/>
  <c r="AM54" i="31" s="1"/>
  <c r="AM39" i="19"/>
  <c r="AM39" i="31" s="1"/>
  <c r="L7" i="19"/>
  <c r="L7" i="31" s="1"/>
  <c r="AB23" i="31"/>
  <c r="AL30" i="19"/>
  <c r="AL30" i="31" s="1"/>
  <c r="F8" i="19"/>
  <c r="F8" i="31" s="1"/>
  <c r="K273" i="46"/>
  <c r="J273" i="46"/>
  <c r="M234" i="24"/>
  <c r="E18" i="22"/>
  <c r="F18" i="22" s="1"/>
  <c r="F229" i="7"/>
  <c r="F177" i="6"/>
  <c r="AB27" i="19"/>
  <c r="AB27" i="31" s="1"/>
  <c r="G27" i="19"/>
  <c r="G27" i="31" s="1"/>
  <c r="O27" i="19"/>
  <c r="O27" i="31" s="1"/>
  <c r="AM38" i="19"/>
  <c r="AM38" i="31" s="1"/>
  <c r="AI30" i="19"/>
  <c r="AI30" i="31" s="1"/>
  <c r="AM2" i="19"/>
  <c r="AM2" i="31" s="1"/>
  <c r="H22" i="19"/>
  <c r="H22" i="31" s="1"/>
  <c r="M27" i="19"/>
  <c r="M27" i="31" s="1"/>
  <c r="AM55" i="19"/>
  <c r="AM55" i="31" s="1"/>
  <c r="AM56" i="19"/>
  <c r="AM56" i="31" s="1"/>
  <c r="L273" i="46"/>
  <c r="K234" i="24"/>
  <c r="F124" i="6"/>
  <c r="I27" i="19"/>
  <c r="J27" i="19"/>
  <c r="J27" i="31" s="1"/>
  <c r="G8" i="19"/>
  <c r="G8" i="31" s="1"/>
  <c r="N27" i="19"/>
  <c r="N27" i="31" s="1"/>
  <c r="I30" i="19"/>
  <c r="I30" i="31" s="1"/>
  <c r="Y30" i="19"/>
  <c r="Y30" i="31" s="1"/>
  <c r="O8" i="19"/>
  <c r="O8" i="31" s="1"/>
  <c r="AC8" i="19"/>
  <c r="AC8" i="31" s="1"/>
  <c r="C56" i="31"/>
  <c r="AM52" i="19"/>
  <c r="AM52" i="31" s="1"/>
  <c r="C43" i="31"/>
  <c r="I7" i="31"/>
  <c r="AM10" i="19"/>
  <c r="AM10" i="31" s="1"/>
  <c r="AM32" i="19"/>
  <c r="AM32" i="31" s="1"/>
  <c r="P8" i="19"/>
  <c r="P8" i="31" s="1"/>
  <c r="AM46" i="19"/>
  <c r="AM46" i="31" s="1"/>
  <c r="C44" i="31"/>
  <c r="T27" i="19"/>
  <c r="H7" i="19"/>
  <c r="H7" i="31" s="1"/>
  <c r="AM11" i="19"/>
  <c r="AM11" i="31" s="1"/>
  <c r="H11" i="31"/>
  <c r="AM14" i="19"/>
  <c r="AM14" i="31" s="1"/>
  <c r="H14" i="31"/>
  <c r="N234" i="24"/>
  <c r="L234" i="24"/>
  <c r="F639" i="4"/>
  <c r="E334" i="17"/>
  <c r="AM26" i="19"/>
  <c r="AM26" i="31" s="1"/>
  <c r="Z27" i="19"/>
  <c r="Z27" i="31" s="1"/>
  <c r="AH27" i="19"/>
  <c r="AH27" i="31" s="1"/>
  <c r="AM34" i="19"/>
  <c r="AM34" i="31" s="1"/>
  <c r="AM20" i="19"/>
  <c r="AM20" i="31" s="1"/>
  <c r="H10" i="31"/>
  <c r="AM40" i="19"/>
  <c r="AM40" i="31" s="1"/>
  <c r="AM3" i="19"/>
  <c r="AM3" i="31" s="1"/>
  <c r="AM47" i="19"/>
  <c r="AM47" i="31" s="1"/>
  <c r="AM16" i="19"/>
  <c r="AM16" i="31" s="1"/>
  <c r="AF30" i="19"/>
  <c r="AF30" i="31" s="1"/>
  <c r="AG8" i="19"/>
  <c r="AG8" i="31" s="1"/>
  <c r="S8" i="19"/>
  <c r="S8" i="31" s="1"/>
  <c r="L31" i="19"/>
  <c r="L31" i="31" s="1"/>
  <c r="L36" i="31"/>
  <c r="V27" i="19"/>
  <c r="F30" i="19"/>
  <c r="F30" i="31" s="1"/>
  <c r="R27" i="19"/>
  <c r="AD30" i="19"/>
  <c r="AD30" i="31" s="1"/>
  <c r="AA9" i="19"/>
  <c r="AA9" i="31" s="1"/>
  <c r="N30" i="19"/>
  <c r="N30" i="31" s="1"/>
  <c r="V30" i="19"/>
  <c r="V30" i="31" s="1"/>
  <c r="Z30" i="19"/>
  <c r="Z30" i="31" s="1"/>
  <c r="D30" i="19"/>
  <c r="D30" i="31" s="1"/>
  <c r="AM21" i="19"/>
  <c r="AM21" i="31" s="1"/>
  <c r="AM13" i="19"/>
  <c r="AM13" i="31" s="1"/>
  <c r="H13" i="31"/>
  <c r="C15" i="19"/>
  <c r="C15" i="31" s="1"/>
  <c r="Q8" i="19"/>
  <c r="Q8" i="31" s="1"/>
  <c r="AM53" i="19"/>
  <c r="AM53" i="31" s="1"/>
  <c r="E30" i="19"/>
  <c r="E30" i="31" s="1"/>
  <c r="AZ205" i="47"/>
  <c r="BC205" i="47" s="1"/>
  <c r="M72" i="42"/>
  <c r="F189" i="7"/>
  <c r="F191" i="7" s="1"/>
  <c r="S27" i="19"/>
  <c r="L5" i="31"/>
  <c r="AM5" i="19"/>
  <c r="AM5" i="31" s="1"/>
  <c r="D7" i="31"/>
  <c r="D8" i="19"/>
  <c r="D8" i="31" s="1"/>
  <c r="D27" i="19"/>
  <c r="K7" i="31"/>
  <c r="K27" i="19"/>
  <c r="K8" i="19"/>
  <c r="K8" i="31" s="1"/>
  <c r="L15" i="19"/>
  <c r="L15" i="31" s="1"/>
  <c r="L20" i="31"/>
  <c r="AB31" i="31"/>
  <c r="AB30" i="19"/>
  <c r="AM41" i="19"/>
  <c r="AM41" i="31" s="1"/>
  <c r="C41" i="31"/>
  <c r="O30" i="19"/>
  <c r="O30" i="31" s="1"/>
  <c r="O45" i="31"/>
  <c r="L48" i="31"/>
  <c r="AM48" i="19"/>
  <c r="AM48" i="31" s="1"/>
  <c r="C50" i="31"/>
  <c r="C45" i="19"/>
  <c r="AM50" i="19"/>
  <c r="AM50" i="31" s="1"/>
  <c r="AM61" i="19"/>
  <c r="AM61" i="31" s="1"/>
  <c r="Z28" i="31"/>
  <c r="AM25" i="19"/>
  <c r="AM25" i="31" s="1"/>
  <c r="AA57" i="19"/>
  <c r="AA57" i="31" s="1"/>
  <c r="AA4" i="31"/>
  <c r="AA7" i="19"/>
  <c r="L6" i="31"/>
  <c r="AM6" i="19"/>
  <c r="AM6" i="31" s="1"/>
  <c r="AJ7" i="31"/>
  <c r="AJ27" i="19"/>
  <c r="AJ8" i="19"/>
  <c r="AJ8" i="31" s="1"/>
  <c r="H17" i="31"/>
  <c r="H15" i="19"/>
  <c r="AM17" i="19"/>
  <c r="AM17" i="31" s="1"/>
  <c r="AA18" i="31"/>
  <c r="AM18" i="19"/>
  <c r="AM18" i="31" s="1"/>
  <c r="AD28" i="31"/>
  <c r="AD8" i="19"/>
  <c r="AD8" i="31" s="1"/>
  <c r="W30" i="19"/>
  <c r="W30" i="31" s="1"/>
  <c r="Q31" i="31"/>
  <c r="Q30" i="19"/>
  <c r="Q30" i="31" s="1"/>
  <c r="H33" i="31"/>
  <c r="H31" i="19"/>
  <c r="U30" i="19"/>
  <c r="U30" i="31" s="1"/>
  <c r="U45" i="31"/>
  <c r="AM4" i="19"/>
  <c r="AM4" i="31" s="1"/>
  <c r="H4" i="31"/>
  <c r="AG7" i="31"/>
  <c r="AG27" i="19"/>
  <c r="AK7" i="31"/>
  <c r="AK8" i="19"/>
  <c r="AK8" i="31" s="1"/>
  <c r="AE28" i="31"/>
  <c r="AE8" i="19"/>
  <c r="AE8" i="31" s="1"/>
  <c r="AH28" i="31"/>
  <c r="AH8" i="19"/>
  <c r="AH8" i="31" s="1"/>
  <c r="S45" i="31"/>
  <c r="S30" i="19"/>
  <c r="S30" i="31" s="1"/>
  <c r="AJ45" i="31"/>
  <c r="AJ30" i="19"/>
  <c r="AJ30" i="31" s="1"/>
  <c r="AA51" i="31"/>
  <c r="AA45" i="19"/>
  <c r="AA45" i="31" s="1"/>
  <c r="I950" i="4"/>
  <c r="I952" i="4" s="1"/>
  <c r="P27" i="19"/>
  <c r="L22" i="19"/>
  <c r="L22" i="31" s="1"/>
  <c r="AA31" i="19"/>
  <c r="J7" i="31"/>
  <c r="J8" i="19"/>
  <c r="J8" i="31" s="1"/>
  <c r="E22" i="31"/>
  <c r="E27" i="19"/>
  <c r="Q22" i="31"/>
  <c r="Q27" i="19"/>
  <c r="AM42" i="19"/>
  <c r="AM42" i="31" s="1"/>
  <c r="H42" i="31"/>
  <c r="AH30" i="19"/>
  <c r="AH45" i="31"/>
  <c r="AM51" i="19"/>
  <c r="AM51" i="31" s="1"/>
  <c r="H51" i="31"/>
  <c r="L59" i="19"/>
  <c r="AI27" i="19"/>
  <c r="AI8" i="19"/>
  <c r="AI8" i="31" s="1"/>
  <c r="AF7" i="31"/>
  <c r="AF27" i="19"/>
  <c r="AL7" i="31"/>
  <c r="F32" i="47" s="1"/>
  <c r="F291" i="47" s="1"/>
  <c r="AL8" i="19"/>
  <c r="AL8" i="31" s="1"/>
  <c r="W22" i="31"/>
  <c r="W27" i="19"/>
  <c r="Q28" i="31"/>
  <c r="S28" i="31"/>
  <c r="J45" i="31"/>
  <c r="J30" i="19"/>
  <c r="J30" i="31" s="1"/>
  <c r="H46" i="31"/>
  <c r="H45" i="19"/>
  <c r="H45" i="31" s="1"/>
  <c r="L49" i="31"/>
  <c r="AM49" i="19"/>
  <c r="AM49" i="31" s="1"/>
  <c r="P57" i="31"/>
  <c r="P30" i="19"/>
  <c r="P30" i="31" s="1"/>
  <c r="F7" i="31"/>
  <c r="F27" i="19"/>
  <c r="U8" i="19"/>
  <c r="U8" i="31" s="1"/>
  <c r="M31" i="31"/>
  <c r="M30" i="19"/>
  <c r="M30" i="31" s="1"/>
  <c r="C37" i="31"/>
  <c r="AM37" i="19"/>
  <c r="AM37" i="31" s="1"/>
  <c r="C31" i="19"/>
  <c r="L58" i="19"/>
  <c r="AA15" i="19"/>
  <c r="AA15" i="31" s="1"/>
  <c r="H36" i="31"/>
  <c r="AM36" i="19"/>
  <c r="AM36" i="31" s="1"/>
  <c r="F341" i="34"/>
  <c r="F338" i="34"/>
  <c r="F339" i="34"/>
  <c r="F436" i="34" s="1"/>
  <c r="F342" i="34"/>
  <c r="F343" i="34"/>
  <c r="F335" i="34"/>
  <c r="F340" i="34"/>
  <c r="F336" i="34"/>
  <c r="F334" i="34"/>
  <c r="G818" i="4"/>
  <c r="G820" i="4"/>
  <c r="G823" i="4" s="1"/>
  <c r="G840" i="4" s="1"/>
  <c r="I840" i="4"/>
  <c r="G273" i="46"/>
  <c r="F194" i="47"/>
  <c r="F153" i="47" s="1"/>
  <c r="BB205" i="47"/>
  <c r="F71" i="42"/>
  <c r="N97" i="12"/>
  <c r="H97" i="12" s="1"/>
  <c r="H138" i="12" s="1"/>
  <c r="H145" i="12" s="1"/>
  <c r="H71" i="42"/>
  <c r="N97" i="18"/>
  <c r="H97" i="18" s="1"/>
  <c r="J279" i="15"/>
  <c r="N279" i="15"/>
  <c r="H274" i="15"/>
  <c r="L274" i="15"/>
  <c r="H269" i="15"/>
  <c r="L269" i="15"/>
  <c r="F264" i="15"/>
  <c r="J264" i="15"/>
  <c r="N264" i="15"/>
  <c r="I279" i="15"/>
  <c r="M279" i="15"/>
  <c r="G274" i="15"/>
  <c r="K274" i="15"/>
  <c r="G269" i="15"/>
  <c r="K269" i="15"/>
  <c r="F269" i="15"/>
  <c r="I264" i="15"/>
  <c r="M264" i="15"/>
  <c r="H279" i="15"/>
  <c r="L279" i="15"/>
  <c r="F274" i="15"/>
  <c r="J274" i="15"/>
  <c r="N274" i="15"/>
  <c r="J269" i="15"/>
  <c r="N269" i="15"/>
  <c r="H264" i="15"/>
  <c r="L264" i="15"/>
  <c r="F286" i="15"/>
  <c r="G279" i="15"/>
  <c r="K279" i="15"/>
  <c r="F279" i="15"/>
  <c r="I274" i="15"/>
  <c r="M274" i="15"/>
  <c r="I269" i="15"/>
  <c r="M269" i="15"/>
  <c r="G264" i="15"/>
  <c r="K264" i="15"/>
  <c r="G393" i="15"/>
  <c r="L398" i="15"/>
  <c r="I403" i="15"/>
  <c r="H398" i="15"/>
  <c r="H393" i="15"/>
  <c r="J403" i="15"/>
  <c r="L393" i="15"/>
  <c r="N398" i="15"/>
  <c r="K403" i="15"/>
  <c r="M403" i="15"/>
  <c r="J398" i="15"/>
  <c r="N393" i="15"/>
  <c r="H403" i="15"/>
  <c r="I398" i="15"/>
  <c r="K393" i="15"/>
  <c r="M393" i="15"/>
  <c r="M398" i="15"/>
  <c r="L403" i="15"/>
  <c r="G398" i="15"/>
  <c r="K398" i="15"/>
  <c r="F398" i="15"/>
  <c r="J393" i="15"/>
  <c r="F393" i="15"/>
  <c r="I393" i="15"/>
  <c r="N403" i="15"/>
  <c r="F403" i="15"/>
  <c r="G292" i="14"/>
  <c r="K292" i="14"/>
  <c r="F293" i="14"/>
  <c r="J293" i="14"/>
  <c r="N293" i="14"/>
  <c r="I291" i="14"/>
  <c r="I308" i="14" s="1"/>
  <c r="M291" i="14"/>
  <c r="M308" i="14" s="1"/>
  <c r="H294" i="14"/>
  <c r="L294" i="14"/>
  <c r="G295" i="14"/>
  <c r="K295" i="14"/>
  <c r="F296" i="14"/>
  <c r="J296" i="14"/>
  <c r="N296" i="14"/>
  <c r="I297" i="14"/>
  <c r="M297" i="14"/>
  <c r="I285" i="14"/>
  <c r="M285" i="14"/>
  <c r="I292" i="14"/>
  <c r="H293" i="14"/>
  <c r="G291" i="14"/>
  <c r="G308" i="14" s="1"/>
  <c r="F294" i="14"/>
  <c r="N294" i="14"/>
  <c r="M295" i="14"/>
  <c r="L296" i="14"/>
  <c r="K297" i="14"/>
  <c r="K285" i="14"/>
  <c r="H292" i="14"/>
  <c r="L292" i="14"/>
  <c r="G293" i="14"/>
  <c r="K293" i="14"/>
  <c r="F291" i="14"/>
  <c r="F308" i="14" s="1"/>
  <c r="J291" i="14"/>
  <c r="J308" i="14" s="1"/>
  <c r="N291" i="14"/>
  <c r="N308" i="14" s="1"/>
  <c r="I294" i="14"/>
  <c r="M294" i="14"/>
  <c r="H295" i="14"/>
  <c r="L295" i="14"/>
  <c r="G296" i="14"/>
  <c r="K296" i="14"/>
  <c r="F297" i="14"/>
  <c r="J297" i="14"/>
  <c r="N297" i="14"/>
  <c r="J285" i="14"/>
  <c r="N285" i="14"/>
  <c r="F292" i="14"/>
  <c r="J292" i="14"/>
  <c r="N292" i="14"/>
  <c r="I293" i="14"/>
  <c r="M293" i="14"/>
  <c r="H291" i="14"/>
  <c r="H308" i="14" s="1"/>
  <c r="L291" i="14"/>
  <c r="L308" i="14" s="1"/>
  <c r="G294" i="14"/>
  <c r="K294" i="14"/>
  <c r="F295" i="14"/>
  <c r="J295" i="14"/>
  <c r="N295" i="14"/>
  <c r="I296" i="14"/>
  <c r="M296" i="14"/>
  <c r="H297" i="14"/>
  <c r="L297" i="14"/>
  <c r="H285" i="14"/>
  <c r="L285" i="14"/>
  <c r="M292" i="14"/>
  <c r="L293" i="14"/>
  <c r="K291" i="14"/>
  <c r="K308" i="14" s="1"/>
  <c r="J294" i="14"/>
  <c r="I295" i="14"/>
  <c r="H296" i="14"/>
  <c r="G297" i="14"/>
  <c r="G285" i="14"/>
  <c r="F285" i="14"/>
  <c r="N667" i="4"/>
  <c r="N1298" i="4" s="1"/>
  <c r="K20" i="16"/>
  <c r="F278" i="14"/>
  <c r="F320" i="14"/>
  <c r="N320" i="14" a="1"/>
  <c r="N320" i="14" s="1"/>
  <c r="F475" i="14"/>
  <c r="F323" i="14"/>
  <c r="F321" i="14"/>
  <c r="H236" i="4"/>
  <c r="J667" i="4"/>
  <c r="J1298" i="4" s="1"/>
  <c r="M106" i="58"/>
  <c r="F840" i="4"/>
  <c r="K840" i="4"/>
  <c r="H840" i="4"/>
  <c r="J840" i="4"/>
  <c r="G236" i="4"/>
  <c r="F236" i="4"/>
  <c r="F950" i="4"/>
  <c r="F952" i="4" s="1"/>
  <c r="J950" i="4"/>
  <c r="J952" i="4" s="1"/>
  <c r="N950" i="4"/>
  <c r="N952" i="4" s="1"/>
  <c r="G950" i="4"/>
  <c r="G952" i="4" s="1"/>
  <c r="K950" i="4"/>
  <c r="K952" i="4" s="1"/>
  <c r="H950" i="4"/>
  <c r="H952" i="4" s="1"/>
  <c r="N840" i="4"/>
  <c r="G235" i="4"/>
  <c r="M950" i="4"/>
  <c r="M952" i="4" s="1"/>
  <c r="L840" i="4"/>
  <c r="F848" i="4"/>
  <c r="G848" i="4" s="1"/>
  <c r="M840" i="4"/>
  <c r="F757" i="4"/>
  <c r="F661" i="4"/>
  <c r="F681" i="4" s="1"/>
  <c r="H59" i="4"/>
  <c r="G867" i="4"/>
  <c r="G868" i="4" s="1"/>
  <c r="K235" i="4"/>
  <c r="G757" i="4"/>
  <c r="H581" i="4"/>
  <c r="K667" i="4"/>
  <c r="K1298" i="4" s="1"/>
  <c r="L235" i="4"/>
  <c r="K867" i="4"/>
  <c r="K868" i="4" s="1"/>
  <c r="I193" i="13"/>
  <c r="N364" i="13"/>
  <c r="F250" i="35"/>
  <c r="F264" i="35"/>
  <c r="H667" i="4"/>
  <c r="H1298" i="4" s="1"/>
  <c r="L667" i="4"/>
  <c r="L1298" i="4" s="1"/>
  <c r="L867" i="4"/>
  <c r="L868" i="4" s="1"/>
  <c r="H235" i="4"/>
  <c r="L581" i="4"/>
  <c r="I581" i="4"/>
  <c r="M867" i="4"/>
  <c r="M868" i="4" s="1"/>
  <c r="I236" i="4"/>
  <c r="M236" i="4"/>
  <c r="M581" i="4"/>
  <c r="I667" i="4"/>
  <c r="I1298" i="4" s="1"/>
  <c r="M667" i="4"/>
  <c r="M1298" i="4" s="1"/>
  <c r="J105" i="58"/>
  <c r="F105" i="58"/>
  <c r="L104" i="58"/>
  <c r="H106" i="58"/>
  <c r="N194" i="13"/>
  <c r="I191" i="13"/>
  <c r="F111" i="42"/>
  <c r="L106" i="58"/>
  <c r="L28" i="42"/>
  <c r="L318" i="42" s="1"/>
  <c r="N104" i="58"/>
  <c r="M364" i="13"/>
  <c r="K104" i="58"/>
  <c r="K860" i="4"/>
  <c r="I104" i="58"/>
  <c r="H589" i="4"/>
  <c r="N106" i="58"/>
  <c r="M104" i="58"/>
  <c r="K106" i="58"/>
  <c r="J364" i="13"/>
  <c r="G106" i="58"/>
  <c r="I20" i="16"/>
  <c r="G20" i="16"/>
  <c r="F240" i="35"/>
  <c r="F291" i="35"/>
  <c r="F19" i="22"/>
  <c r="G40" i="61" s="1"/>
  <c r="F33" i="22"/>
  <c r="F5" i="28" s="1"/>
  <c r="F124" i="46"/>
  <c r="F51" i="22"/>
  <c r="F50" i="22"/>
  <c r="F662" i="4"/>
  <c r="F682" i="4" s="1"/>
  <c r="F656" i="4"/>
  <c r="F676" i="4" s="1"/>
  <c r="F657" i="4"/>
  <c r="F677" i="4" s="1"/>
  <c r="F655" i="4"/>
  <c r="F675" i="4" s="1"/>
  <c r="F720" i="4"/>
  <c r="G581" i="4"/>
  <c r="E251" i="4"/>
  <c r="F719" i="4"/>
  <c r="E252" i="4"/>
  <c r="E247" i="4"/>
  <c r="E248" i="4"/>
  <c r="F235" i="4"/>
  <c r="F250" i="4"/>
  <c r="F247" i="4"/>
  <c r="N281" i="4" s="1"/>
  <c r="F249" i="4"/>
  <c r="N275" i="4" s="1"/>
  <c r="N235" i="4"/>
  <c r="I364" i="13"/>
  <c r="E249" i="4"/>
  <c r="I368" i="13"/>
  <c r="F364" i="13"/>
  <c r="J235" i="4"/>
  <c r="K581" i="4"/>
  <c r="E182" i="13" a="1"/>
  <c r="E182" i="13" s="1"/>
  <c r="N191" i="13"/>
  <c r="K193" i="13"/>
  <c r="I192" i="13"/>
  <c r="K368" i="13"/>
  <c r="N193" i="13"/>
  <c r="E200" i="13" a="1"/>
  <c r="E202" i="13" s="1"/>
  <c r="H202" i="13" s="1"/>
  <c r="H210" i="13" s="1"/>
  <c r="H364" i="13"/>
  <c r="F368" i="13"/>
  <c r="N195" i="13"/>
  <c r="J368" i="13"/>
  <c r="G364" i="13"/>
  <c r="K191" i="13"/>
  <c r="K195" i="13"/>
  <c r="K192" i="13"/>
  <c r="I195" i="13"/>
  <c r="L368" i="13"/>
  <c r="G368" i="13"/>
  <c r="K194" i="13"/>
  <c r="I194" i="13"/>
  <c r="N192" i="13"/>
  <c r="M368" i="13"/>
  <c r="F53" i="22"/>
  <c r="F251" i="4"/>
  <c r="H368" i="13"/>
  <c r="L364" i="13"/>
  <c r="F32" i="22"/>
  <c r="F34" i="22"/>
  <c r="I867" i="4"/>
  <c r="I868" i="4" s="1"/>
  <c r="I309" i="15"/>
  <c r="I318" i="15" s="1"/>
  <c r="J326" i="15" s="1"/>
  <c r="F334" i="42" a="1"/>
  <c r="F104" i="58"/>
  <c r="N105" i="58"/>
  <c r="M105" i="58"/>
  <c r="L105" i="58"/>
  <c r="K105" i="58"/>
  <c r="J106" i="58"/>
  <c r="I106" i="58"/>
  <c r="H104" i="58"/>
  <c r="F6" i="22"/>
  <c r="F16" i="22"/>
  <c r="F11" i="22"/>
  <c r="F17" i="22"/>
  <c r="F21" i="22"/>
  <c r="F15" i="22"/>
  <c r="F30" i="22"/>
  <c r="F81" i="10"/>
  <c r="G183" i="10" s="1"/>
  <c r="F61" i="8"/>
  <c r="D156" i="8" s="1"/>
  <c r="N860" i="4"/>
  <c r="M587" i="4"/>
  <c r="G591" i="4"/>
  <c r="G162" i="10"/>
  <c r="F49" i="22"/>
  <c r="F52" i="22"/>
  <c r="F7" i="28" s="1"/>
  <c r="F48" i="22"/>
  <c r="L35" i="43"/>
  <c r="L46" i="43" s="1"/>
  <c r="L151" i="43" s="1"/>
  <c r="L212" i="43" s="1"/>
  <c r="L587" i="4"/>
  <c r="K588" i="4"/>
  <c r="M591" i="4"/>
  <c r="I591" i="4"/>
  <c r="M589" i="4"/>
  <c r="N403" i="42"/>
  <c r="J111" i="42"/>
  <c r="H159" i="10"/>
  <c r="M120" i="42"/>
  <c r="M328" i="42" s="1"/>
  <c r="L57" i="42"/>
  <c r="L321" i="42" s="1"/>
  <c r="L401" i="42" s="1"/>
  <c r="G257" i="10"/>
  <c r="K111" i="42"/>
  <c r="F159" i="10"/>
  <c r="F257" i="10" s="1"/>
  <c r="N37" i="42"/>
  <c r="N319" i="42" s="1"/>
  <c r="G120" i="42"/>
  <c r="G328" i="42" s="1"/>
  <c r="M48" i="42"/>
  <c r="M320" i="42" s="1"/>
  <c r="M416" i="42" s="1"/>
  <c r="M419" i="42" s="1"/>
  <c r="M560" i="42" s="1"/>
  <c r="G590" i="4"/>
  <c r="K591" i="4"/>
  <c r="L589" i="4"/>
  <c r="I587" i="4"/>
  <c r="F71" i="4"/>
  <c r="G860" i="4"/>
  <c r="G863" i="4" s="1"/>
  <c r="M860" i="4"/>
  <c r="H71" i="4"/>
  <c r="G588" i="4"/>
  <c r="K71" i="4"/>
  <c r="L71" i="4"/>
  <c r="L403" i="42"/>
  <c r="H37" i="42"/>
  <c r="H319" i="42" s="1"/>
  <c r="M20" i="32"/>
  <c r="M63" i="32" s="1"/>
  <c r="M68" i="32" s="1"/>
  <c r="M70" i="32" s="1"/>
  <c r="G20" i="32"/>
  <c r="G63" i="32" s="1"/>
  <c r="L84" i="32" s="1"/>
  <c r="F20" i="32"/>
  <c r="F63" i="32" s="1"/>
  <c r="F68" i="32" s="1"/>
  <c r="K590" i="4"/>
  <c r="I588" i="4"/>
  <c r="M71" i="4"/>
  <c r="I589" i="4"/>
  <c r="N71" i="4"/>
  <c r="G71" i="4"/>
  <c r="L588" i="4"/>
  <c r="I860" i="4"/>
  <c r="J587" i="4"/>
  <c r="L590" i="4"/>
  <c r="H586" i="4"/>
  <c r="M20" i="16"/>
  <c r="F20" i="16"/>
  <c r="H20" i="16"/>
  <c r="F470" i="14"/>
  <c r="F472" i="14" s="1"/>
  <c r="L591" i="4"/>
  <c r="M588" i="4"/>
  <c r="G586" i="4"/>
  <c r="M590" i="4"/>
  <c r="I586" i="4"/>
  <c r="M586" i="4"/>
  <c r="I590" i="4"/>
  <c r="J71" i="4"/>
  <c r="H588" i="4"/>
  <c r="L860" i="4"/>
  <c r="K587" i="4"/>
  <c r="J20" i="16"/>
  <c r="L20" i="16"/>
  <c r="G28" i="42"/>
  <c r="G318" i="42" s="1"/>
  <c r="E325" i="34"/>
  <c r="F403" i="42"/>
  <c r="K403" i="42"/>
  <c r="I111" i="42"/>
  <c r="G403" i="42"/>
  <c r="F120" i="42"/>
  <c r="F328" i="42" s="1"/>
  <c r="N120" i="42"/>
  <c r="N328" i="42" s="1"/>
  <c r="N19" i="42"/>
  <c r="N317" i="42" s="1"/>
  <c r="M28" i="42"/>
  <c r="M318" i="42" s="1"/>
  <c r="L37" i="42"/>
  <c r="L319" i="42" s="1"/>
  <c r="L19" i="42"/>
  <c r="L317" i="42" s="1"/>
  <c r="K28" i="42"/>
  <c r="K318" i="42" s="1"/>
  <c r="J37" i="42"/>
  <c r="J319" i="42" s="1"/>
  <c r="J19" i="42"/>
  <c r="J317" i="42" s="1"/>
  <c r="I28" i="42"/>
  <c r="I318" i="42" s="1"/>
  <c r="H120" i="42"/>
  <c r="H328" i="42" s="1"/>
  <c r="H19" i="42"/>
  <c r="H317" i="42" s="1"/>
  <c r="F327" i="42" a="1"/>
  <c r="F327" i="42" s="1"/>
  <c r="F48" i="42"/>
  <c r="F320" i="42" s="1"/>
  <c r="F416" i="42" s="1"/>
  <c r="F419" i="42" s="1"/>
  <c r="F560" i="42" s="1"/>
  <c r="M129" i="42"/>
  <c r="M329" i="42" s="1"/>
  <c r="M421" i="42" s="1"/>
  <c r="I48" i="42"/>
  <c r="I320" i="42" s="1"/>
  <c r="I416" i="42" s="1"/>
  <c r="I419" i="42" s="1"/>
  <c r="I560" i="42" s="1"/>
  <c r="G57" i="42"/>
  <c r="G321" i="42" s="1"/>
  <c r="G401" i="42" s="1"/>
  <c r="N111" i="42"/>
  <c r="M111" i="42"/>
  <c r="J403" i="42"/>
  <c r="I403" i="42"/>
  <c r="H111" i="42"/>
  <c r="F341" i="42" a="1"/>
  <c r="G341" i="42" s="1"/>
  <c r="F28" i="42"/>
  <c r="F318" i="42" s="1"/>
  <c r="M37" i="42"/>
  <c r="M319" i="42" s="1"/>
  <c r="L120" i="42"/>
  <c r="L328" i="42" s="1"/>
  <c r="K37" i="42"/>
  <c r="K319" i="42" s="1"/>
  <c r="J120" i="42"/>
  <c r="J328" i="42" s="1"/>
  <c r="I37" i="42"/>
  <c r="I319" i="42" s="1"/>
  <c r="I19" i="42"/>
  <c r="I317" i="42" s="1"/>
  <c r="G37" i="42"/>
  <c r="G319" i="42" s="1"/>
  <c r="G19" i="42"/>
  <c r="G317" i="42" s="1"/>
  <c r="F129" i="42"/>
  <c r="F329" i="42" s="1"/>
  <c r="F421" i="42" s="1"/>
  <c r="F57" i="42"/>
  <c r="F321" i="42" s="1"/>
  <c r="F401" i="42" s="1"/>
  <c r="N57" i="42"/>
  <c r="N321" i="42" s="1"/>
  <c r="N401" i="42" s="1"/>
  <c r="M57" i="42"/>
  <c r="M321" i="42" s="1"/>
  <c r="M401" i="42" s="1"/>
  <c r="F335" i="42" a="1"/>
  <c r="L111" i="42"/>
  <c r="H403" i="42"/>
  <c r="G111" i="42"/>
  <c r="F37" i="42"/>
  <c r="F319" i="42" s="1"/>
  <c r="F19" i="42"/>
  <c r="F317" i="42" s="1"/>
  <c r="N28" i="42"/>
  <c r="N318" i="42" s="1"/>
  <c r="M19" i="42"/>
  <c r="M317" i="42" s="1"/>
  <c r="K19" i="42"/>
  <c r="K317" i="42" s="1"/>
  <c r="J28" i="42"/>
  <c r="J318" i="42" s="1"/>
  <c r="I120" i="42"/>
  <c r="I328" i="42" s="1"/>
  <c r="H28" i="42"/>
  <c r="H318" i="42" s="1"/>
  <c r="F326" i="42" a="1"/>
  <c r="H57" i="42"/>
  <c r="H321" i="42" s="1"/>
  <c r="H401" i="42" s="1"/>
  <c r="J306" i="15"/>
  <c r="J315" i="15" s="1"/>
  <c r="K323" i="15" s="1"/>
  <c r="N98" i="12"/>
  <c r="G98" i="12" s="1"/>
  <c r="G139" i="12" s="1"/>
  <c r="N48" i="42"/>
  <c r="N320" i="42" s="1"/>
  <c r="N416" i="42" s="1"/>
  <c r="N419" i="42" s="1"/>
  <c r="N560" i="42" s="1"/>
  <c r="L48" i="42"/>
  <c r="L320" i="42" s="1"/>
  <c r="L416" i="42" s="1"/>
  <c r="L419" i="42" s="1"/>
  <c r="L560" i="42" s="1"/>
  <c r="K48" i="42"/>
  <c r="K320" i="42" s="1"/>
  <c r="K416" i="42" s="1"/>
  <c r="K419" i="42" s="1"/>
  <c r="K560" i="42" s="1"/>
  <c r="K57" i="42"/>
  <c r="K321" i="42" s="1"/>
  <c r="K401" i="42" s="1"/>
  <c r="J48" i="42"/>
  <c r="J320" i="42" s="1"/>
  <c r="J416" i="42" s="1"/>
  <c r="J419" i="42" s="1"/>
  <c r="J560" i="42" s="1"/>
  <c r="I129" i="42"/>
  <c r="I329" i="42" s="1"/>
  <c r="I421" i="42" s="1"/>
  <c r="H129" i="42"/>
  <c r="H329" i="42" s="1"/>
  <c r="H421" i="42" s="1"/>
  <c r="E22" i="17"/>
  <c r="I48" i="10"/>
  <c r="I168" i="10" s="1"/>
  <c r="I170" i="10" s="1"/>
  <c r="N129" i="42"/>
  <c r="N329" i="42" s="1"/>
  <c r="N421" i="42" s="1"/>
  <c r="L129" i="42"/>
  <c r="L329" i="42" s="1"/>
  <c r="L421" i="42" s="1"/>
  <c r="K129" i="42"/>
  <c r="K329" i="42" s="1"/>
  <c r="K421" i="42" s="1"/>
  <c r="K402" i="42"/>
  <c r="K406" i="42" s="1"/>
  <c r="J129" i="42"/>
  <c r="J329" i="42" s="1"/>
  <c r="J421" i="42" s="1"/>
  <c r="J57" i="42"/>
  <c r="J321" i="42" s="1"/>
  <c r="J401" i="42" s="1"/>
  <c r="I57" i="42"/>
  <c r="I321" i="42" s="1"/>
  <c r="I401" i="42" s="1"/>
  <c r="G48" i="42"/>
  <c r="G320" i="42" s="1"/>
  <c r="G416" i="42" s="1"/>
  <c r="G419" i="42" s="1"/>
  <c r="G560" i="42" s="1"/>
  <c r="M48" i="10"/>
  <c r="M168" i="10" s="1"/>
  <c r="I264" i="10"/>
  <c r="I189" i="10"/>
  <c r="I265" i="10" s="1"/>
  <c r="J39" i="10"/>
  <c r="J167" i="10" s="1"/>
  <c r="G48" i="10"/>
  <c r="G168" i="10" s="1"/>
  <c r="L39" i="10"/>
  <c r="L167" i="10" s="1"/>
  <c r="N28" i="9"/>
  <c r="F48" i="10"/>
  <c r="F168" i="10" s="1"/>
  <c r="M39" i="10"/>
  <c r="M167" i="10" s="1"/>
  <c r="N162" i="7"/>
  <c r="M35" i="43"/>
  <c r="M46" i="43" s="1"/>
  <c r="M151" i="43" s="1"/>
  <c r="M27" i="43"/>
  <c r="M45" i="43" s="1"/>
  <c r="M150" i="43" s="1"/>
  <c r="M19" i="43"/>
  <c r="M44" i="43" s="1"/>
  <c r="M144" i="43" s="1"/>
  <c r="N272" i="14"/>
  <c r="M272" i="14" s="1"/>
  <c r="M475" i="14" s="1"/>
  <c r="K306" i="15"/>
  <c r="K315" i="15" s="1"/>
  <c r="L323" i="15" s="1"/>
  <c r="G27" i="43"/>
  <c r="G45" i="43" s="1"/>
  <c r="G150" i="43" s="1"/>
  <c r="G214" i="43" s="1"/>
  <c r="J162" i="7"/>
  <c r="N19" i="9"/>
  <c r="M306" i="15"/>
  <c r="M315" i="15" s="1"/>
  <c r="N323" i="15" s="1"/>
  <c r="I27" i="43"/>
  <c r="I45" i="43" s="1"/>
  <c r="I150" i="43" s="1"/>
  <c r="I214" i="43" s="1"/>
  <c r="K19" i="43"/>
  <c r="K44" i="43" s="1"/>
  <c r="K144" i="43" s="1"/>
  <c r="K211" i="43" s="1"/>
  <c r="M162" i="7"/>
  <c r="E23" i="4"/>
  <c r="F612" i="4" s="1"/>
  <c r="N638" i="4" s="1"/>
  <c r="O638" i="4" s="1"/>
  <c r="G638" i="4" s="1"/>
  <c r="H638" i="4" s="1"/>
  <c r="I638" i="4" s="1"/>
  <c r="J638" i="4" s="1"/>
  <c r="K638" i="4" s="1"/>
  <c r="L638" i="4" s="1"/>
  <c r="M638" i="4" s="1"/>
  <c r="E338" i="34"/>
  <c r="F475" i="34"/>
  <c r="G422" i="34"/>
  <c r="N352" i="34"/>
  <c r="M422" i="34"/>
  <c r="K422" i="34"/>
  <c r="M363" i="34"/>
  <c r="E334" i="34"/>
  <c r="G28" i="8"/>
  <c r="J28" i="8"/>
  <c r="N28" i="8"/>
  <c r="F19" i="8"/>
  <c r="K28" i="8"/>
  <c r="F28" i="8"/>
  <c r="L28" i="8"/>
  <c r="G19" i="8"/>
  <c r="F20" i="33"/>
  <c r="F65" i="33" s="1"/>
  <c r="F114" i="33" s="1"/>
  <c r="F33" i="50"/>
  <c r="F109" i="50" s="1"/>
  <c r="N20" i="7"/>
  <c r="G28" i="6"/>
  <c r="H137" i="6" s="1"/>
  <c r="L37" i="6"/>
  <c r="N37" i="6"/>
  <c r="G37" i="6"/>
  <c r="M28" i="6"/>
  <c r="N137" i="6" s="1"/>
  <c r="N28" i="6"/>
  <c r="J28" i="6"/>
  <c r="K137" i="6" s="1"/>
  <c r="J37" i="6"/>
  <c r="G363" i="34"/>
  <c r="H351" i="34"/>
  <c r="J351" i="34"/>
  <c r="L351" i="34"/>
  <c r="E337" i="34"/>
  <c r="I337" i="34" s="1"/>
  <c r="I415" i="34"/>
  <c r="F422" i="34"/>
  <c r="F314" i="34"/>
  <c r="N351" i="34"/>
  <c r="F352" i="34"/>
  <c r="J352" i="34"/>
  <c r="H415" i="34"/>
  <c r="I422" i="34"/>
  <c r="J415" i="34"/>
  <c r="K415" i="34"/>
  <c r="L415" i="34"/>
  <c r="M415" i="34"/>
  <c r="N422" i="34"/>
  <c r="L422" i="34"/>
  <c r="E336" i="34"/>
  <c r="F415" i="34"/>
  <c r="N415" i="34"/>
  <c r="E335" i="34"/>
  <c r="N363" i="34"/>
  <c r="G53" i="4"/>
  <c r="K44" i="4"/>
  <c r="J286" i="15"/>
  <c r="H286" i="15"/>
  <c r="K286" i="15"/>
  <c r="N286" i="15"/>
  <c r="L309" i="15"/>
  <c r="L318" i="15" s="1"/>
  <c r="M326" i="15" s="1"/>
  <c r="H306" i="15"/>
  <c r="H315" i="15" s="1"/>
  <c r="G307" i="15"/>
  <c r="G316" i="15" s="1"/>
  <c r="H324" i="15" s="1"/>
  <c r="N307" i="15"/>
  <c r="N316" i="15" s="1"/>
  <c r="I307" i="15"/>
  <c r="I316" i="15" s="1"/>
  <c r="G309" i="15"/>
  <c r="G318" i="15" s="1"/>
  <c r="H326" i="15" s="1"/>
  <c r="J307" i="15"/>
  <c r="J316" i="15" s="1"/>
  <c r="M309" i="15"/>
  <c r="M318" i="15" s="1"/>
  <c r="N326" i="15" s="1"/>
  <c r="L307" i="15"/>
  <c r="L316" i="15" s="1"/>
  <c r="M324" i="15" s="1"/>
  <c r="J309" i="15"/>
  <c r="J318" i="15" s="1"/>
  <c r="K326" i="15" s="1"/>
  <c r="G286" i="15"/>
  <c r="I286" i="15"/>
  <c r="M286" i="15"/>
  <c r="K309" i="15"/>
  <c r="K318" i="15" s="1"/>
  <c r="N309" i="15"/>
  <c r="N318" i="15" s="1"/>
  <c r="N308" i="15"/>
  <c r="N317" i="15" s="1"/>
  <c r="F306" i="15"/>
  <c r="F315" i="15" s="1"/>
  <c r="G323" i="15" s="1"/>
  <c r="M307" i="15"/>
  <c r="M316" i="15" s="1"/>
  <c r="N324" i="15" s="1"/>
  <c r="G306" i="15"/>
  <c r="G315" i="15" s="1"/>
  <c r="I308" i="15"/>
  <c r="I317" i="15" s="1"/>
  <c r="I306" i="15"/>
  <c r="I315" i="15" s="1"/>
  <c r="J323" i="15" s="1"/>
  <c r="G308" i="15"/>
  <c r="G317" i="15" s="1"/>
  <c r="H325" i="15" s="1"/>
  <c r="K307" i="15"/>
  <c r="K316" i="15" s="1"/>
  <c r="J308" i="15"/>
  <c r="J317" i="15" s="1"/>
  <c r="K325" i="15" s="1"/>
  <c r="L308" i="15"/>
  <c r="L317" i="15" s="1"/>
  <c r="M325" i="15" s="1"/>
  <c r="H309" i="15"/>
  <c r="H318" i="15" s="1"/>
  <c r="F309" i="15"/>
  <c r="F318" i="15" s="1"/>
  <c r="G326" i="15" s="1"/>
  <c r="F290" i="15"/>
  <c r="F413" i="15" s="1"/>
  <c r="F308" i="15"/>
  <c r="F317" i="15" s="1"/>
  <c r="G325" i="15" s="1"/>
  <c r="L306" i="15"/>
  <c r="L315" i="15" s="1"/>
  <c r="M323" i="15" s="1"/>
  <c r="H308" i="15"/>
  <c r="H317" i="15" s="1"/>
  <c r="I325" i="15" s="1"/>
  <c r="M308" i="15"/>
  <c r="M317" i="15" s="1"/>
  <c r="N325" i="15" s="1"/>
  <c r="K308" i="15"/>
  <c r="K317" i="15" s="1"/>
  <c r="L325" i="15" s="1"/>
  <c r="L286" i="15"/>
  <c r="N306" i="15"/>
  <c r="N315" i="15" s="1"/>
  <c r="F307" i="15"/>
  <c r="F316" i="15" s="1"/>
  <c r="G324" i="15" s="1"/>
  <c r="H307" i="15"/>
  <c r="H316" i="15" s="1"/>
  <c r="F19" i="57"/>
  <c r="F59" i="57" s="1"/>
  <c r="H264" i="10"/>
  <c r="G19" i="57"/>
  <c r="G59" i="57" s="1"/>
  <c r="H19" i="57"/>
  <c r="H59" i="57" s="1"/>
  <c r="G174" i="13"/>
  <c r="H174" i="13" s="1"/>
  <c r="I174" i="13" s="1"/>
  <c r="J174" i="13" s="1"/>
  <c r="K174" i="13" s="1"/>
  <c r="L174" i="13" s="1"/>
  <c r="M174" i="13" s="1"/>
  <c r="N174" i="13" s="1"/>
  <c r="G175" i="13"/>
  <c r="G177" i="13"/>
  <c r="H177" i="13" s="1"/>
  <c r="H189" i="10"/>
  <c r="H265" i="10" s="1"/>
  <c r="F272" i="35"/>
  <c r="F299" i="35"/>
  <c r="F244" i="35"/>
  <c r="F295" i="35"/>
  <c r="F268" i="35"/>
  <c r="F236" i="35"/>
  <c r="F285" i="35"/>
  <c r="F281" i="35"/>
  <c r="F277" i="35"/>
  <c r="F254" i="35"/>
  <c r="N274" i="14"/>
  <c r="J274" i="14" s="1"/>
  <c r="J477" i="14" s="1"/>
  <c r="N275" i="14"/>
  <c r="J275" i="14" s="1"/>
  <c r="J478" i="14" s="1"/>
  <c r="N276" i="14"/>
  <c r="K276" i="14" s="1"/>
  <c r="K479" i="14" s="1"/>
  <c r="N277" i="14"/>
  <c r="H277" i="14" s="1"/>
  <c r="H480" i="14" s="1"/>
  <c r="J470" i="14"/>
  <c r="J472" i="14" s="1"/>
  <c r="K470" i="14"/>
  <c r="K472" i="14" s="1"/>
  <c r="M470" i="14"/>
  <c r="M472" i="14" s="1"/>
  <c r="N470" i="14"/>
  <c r="N472" i="14" s="1"/>
  <c r="G470" i="14"/>
  <c r="G472" i="14" s="1"/>
  <c r="H470" i="14"/>
  <c r="H472" i="14" s="1"/>
  <c r="I470" i="14"/>
  <c r="I472" i="14" s="1"/>
  <c r="L470" i="14"/>
  <c r="L472" i="14" s="1"/>
  <c r="N273" i="14"/>
  <c r="G273" i="14" s="1"/>
  <c r="G476" i="14" s="1"/>
  <c r="J860" i="4"/>
  <c r="H591" i="4"/>
  <c r="J589" i="4"/>
  <c r="H587" i="4"/>
  <c r="I71" i="4"/>
  <c r="H590" i="4"/>
  <c r="G587" i="4"/>
  <c r="H860" i="4"/>
  <c r="K589" i="4"/>
  <c r="J586" i="4"/>
  <c r="J590" i="4"/>
  <c r="L586" i="4"/>
  <c r="J591" i="4"/>
  <c r="J588" i="4"/>
  <c r="BH378" i="47"/>
  <c r="BI378" i="47" s="1"/>
  <c r="BH395" i="47"/>
  <c r="BI395" i="47" s="1"/>
  <c r="N20" i="52"/>
  <c r="N61" i="52" s="1"/>
  <c r="N63" i="52" s="1"/>
  <c r="K20" i="52"/>
  <c r="K61" i="52" s="1"/>
  <c r="K63" i="52" s="1"/>
  <c r="L20" i="52"/>
  <c r="L61" i="52" s="1"/>
  <c r="L63" i="52" s="1"/>
  <c r="G20" i="52"/>
  <c r="G61" i="52" s="1"/>
  <c r="G63" i="52" s="1"/>
  <c r="H20" i="52"/>
  <c r="H61" i="52" s="1"/>
  <c r="H63" i="52" s="1"/>
  <c r="M20" i="52"/>
  <c r="M61" i="52" s="1"/>
  <c r="M63" i="52" s="1"/>
  <c r="J20" i="52"/>
  <c r="J61" i="52" s="1"/>
  <c r="J63" i="52" s="1"/>
  <c r="F20" i="52"/>
  <c r="F61" i="52" s="1"/>
  <c r="F63" i="52" s="1"/>
  <c r="F27" i="43"/>
  <c r="F45" i="43" s="1"/>
  <c r="F150" i="43" s="1"/>
  <c r="H27" i="43"/>
  <c r="H45" i="43" s="1"/>
  <c r="H150" i="43" s="1"/>
  <c r="J27" i="43"/>
  <c r="J45" i="43" s="1"/>
  <c r="J150" i="43" s="1"/>
  <c r="J214" i="43" s="1"/>
  <c r="L27" i="43"/>
  <c r="L45" i="43" s="1"/>
  <c r="L150" i="43" s="1"/>
  <c r="L19" i="43"/>
  <c r="L44" i="43" s="1"/>
  <c r="L144" i="43" s="1"/>
  <c r="K27" i="43"/>
  <c r="K45" i="43" s="1"/>
  <c r="K150" i="43" s="1"/>
  <c r="K214" i="43" s="1"/>
  <c r="N27" i="43"/>
  <c r="N45" i="43" s="1"/>
  <c r="N150" i="43" s="1"/>
  <c r="G39" i="10"/>
  <c r="G167" i="10" s="1"/>
  <c r="J48" i="10"/>
  <c r="J168" i="10" s="1"/>
  <c r="K48" i="10"/>
  <c r="K168" i="10" s="1"/>
  <c r="H48" i="10"/>
  <c r="H168" i="10" s="1"/>
  <c r="H170" i="10" s="1"/>
  <c r="K39" i="10"/>
  <c r="K167" i="10" s="1"/>
  <c r="L48" i="10"/>
  <c r="L168" i="10" s="1"/>
  <c r="F39" i="10"/>
  <c r="F167" i="10" s="1"/>
  <c r="H28" i="6"/>
  <c r="I137" i="6" s="1"/>
  <c r="F37" i="6"/>
  <c r="K37" i="6"/>
  <c r="F28" i="6"/>
  <c r="G137" i="6" s="1"/>
  <c r="H37" i="6"/>
  <c r="K28" i="6"/>
  <c r="L137" i="6" s="1"/>
  <c r="L352" i="34"/>
  <c r="K363" i="34"/>
  <c r="H352" i="34"/>
  <c r="G20" i="7"/>
  <c r="F363" i="34"/>
  <c r="G368" i="34" s="1"/>
  <c r="G351" i="34"/>
  <c r="I351" i="34"/>
  <c r="K351" i="34"/>
  <c r="M351" i="34"/>
  <c r="G415" i="34"/>
  <c r="F351" i="34"/>
  <c r="G352" i="34"/>
  <c r="H363" i="34"/>
  <c r="I352" i="34"/>
  <c r="J363" i="34"/>
  <c r="K352" i="34"/>
  <c r="L363" i="34"/>
  <c r="M352" i="34"/>
  <c r="H422" i="34"/>
  <c r="J422" i="34"/>
  <c r="F21" i="10"/>
  <c r="F151" i="10" s="1"/>
  <c r="G20" i="33"/>
  <c r="G65" i="33" s="1"/>
  <c r="F30" i="7"/>
  <c r="I161" i="7" s="1"/>
  <c r="H48" i="42"/>
  <c r="H320" i="42" s="1"/>
  <c r="H416" i="42" s="1"/>
  <c r="L53" i="4"/>
  <c r="H44" i="4"/>
  <c r="N53" i="4"/>
  <c r="J44" i="4"/>
  <c r="I44" i="4"/>
  <c r="L44" i="4"/>
  <c r="N44" i="4"/>
  <c r="M44" i="4"/>
  <c r="N721" i="4"/>
  <c r="M53" i="4"/>
  <c r="F53" i="4"/>
  <c r="G44" i="4"/>
  <c r="I53" i="4"/>
  <c r="J53" i="4"/>
  <c r="F44" i="4"/>
  <c r="K53" i="4"/>
  <c r="H53" i="4"/>
  <c r="F37" i="24"/>
  <c r="I37" i="24"/>
  <c r="H37" i="24"/>
  <c r="J37" i="24"/>
  <c r="G37" i="24"/>
  <c r="H116" i="46"/>
  <c r="G116" i="46"/>
  <c r="BH387" i="47"/>
  <c r="BI387" i="47" s="1"/>
  <c r="J35" i="43"/>
  <c r="J46" i="43" s="1"/>
  <c r="J151" i="43" s="1"/>
  <c r="N35" i="43"/>
  <c r="N46" i="43" s="1"/>
  <c r="N151" i="43" s="1"/>
  <c r="K35" i="43"/>
  <c r="K46" i="43" s="1"/>
  <c r="K151" i="43" s="1"/>
  <c r="J19" i="43"/>
  <c r="J44" i="43" s="1"/>
  <c r="J144" i="43" s="1"/>
  <c r="N19" i="43"/>
  <c r="N44" i="43" s="1"/>
  <c r="N144" i="43" s="1"/>
  <c r="L162" i="7"/>
  <c r="K162" i="7"/>
  <c r="F20" i="7"/>
  <c r="H20" i="7"/>
  <c r="E324" i="34"/>
  <c r="N48" i="10"/>
  <c r="N168" i="10" s="1"/>
  <c r="N39" i="10"/>
  <c r="N167" i="10" s="1"/>
  <c r="G28" i="9"/>
  <c r="F28" i="9"/>
  <c r="M28" i="8"/>
  <c r="I28" i="8"/>
  <c r="M37" i="6"/>
  <c r="L28" i="6"/>
  <c r="M137" i="6" s="1"/>
  <c r="I37" i="6"/>
  <c r="F422" i="42" l="1"/>
  <c r="F457" i="42" s="1"/>
  <c r="M320" i="17"/>
  <c r="M324" i="17"/>
  <c r="O324" i="17" s="1"/>
  <c r="F324" i="17" s="1"/>
  <c r="G324" i="17" s="1"/>
  <c r="H324" i="17" s="1"/>
  <c r="I324" i="17" s="1"/>
  <c r="J324" i="17" s="1"/>
  <c r="K324" i="17" s="1"/>
  <c r="L324" i="17" s="1"/>
  <c r="M321" i="17"/>
  <c r="O321" i="17" s="1"/>
  <c r="F321" i="17" s="1"/>
  <c r="G321" i="17" s="1"/>
  <c r="H321" i="17" s="1"/>
  <c r="I321" i="17" s="1"/>
  <c r="J321" i="17" s="1"/>
  <c r="K321" i="17" s="1"/>
  <c r="L321" i="17" s="1"/>
  <c r="M325" i="17"/>
  <c r="O325" i="17" s="1"/>
  <c r="F325" i="17" s="1"/>
  <c r="G325" i="17" s="1"/>
  <c r="H325" i="17" s="1"/>
  <c r="I325" i="17" s="1"/>
  <c r="J325" i="17" s="1"/>
  <c r="K325" i="17" s="1"/>
  <c r="L325" i="17" s="1"/>
  <c r="M322" i="17"/>
  <c r="M326" i="17"/>
  <c r="M323" i="17"/>
  <c r="O323" i="17" s="1"/>
  <c r="F323" i="17" s="1"/>
  <c r="G323" i="17" s="1"/>
  <c r="H323" i="17" s="1"/>
  <c r="I323" i="17" s="1"/>
  <c r="J323" i="17" s="1"/>
  <c r="K323" i="17" s="1"/>
  <c r="L323" i="17" s="1"/>
  <c r="N48" i="34"/>
  <c r="J48" i="34"/>
  <c r="N47" i="34"/>
  <c r="J47" i="34"/>
  <c r="H48" i="34"/>
  <c r="H47" i="34"/>
  <c r="G48" i="34"/>
  <c r="G47" i="34"/>
  <c r="M48" i="34"/>
  <c r="I48" i="34"/>
  <c r="M47" i="34"/>
  <c r="I47" i="34"/>
  <c r="I314" i="34" s="1"/>
  <c r="L48" i="34"/>
  <c r="L47" i="34"/>
  <c r="K48" i="34"/>
  <c r="K47" i="34"/>
  <c r="N38" i="34"/>
  <c r="J38" i="34"/>
  <c r="F38" i="34"/>
  <c r="K37" i="34"/>
  <c r="G37" i="34"/>
  <c r="L36" i="34"/>
  <c r="H36" i="34"/>
  <c r="H38" i="34"/>
  <c r="N36" i="34"/>
  <c r="G38" i="34"/>
  <c r="H37" i="34"/>
  <c r="M38" i="34"/>
  <c r="I38" i="34"/>
  <c r="N37" i="34"/>
  <c r="J37" i="34"/>
  <c r="F37" i="34"/>
  <c r="K36" i="34"/>
  <c r="G36" i="34"/>
  <c r="M37" i="34"/>
  <c r="J36" i="34"/>
  <c r="K38" i="34"/>
  <c r="L37" i="34"/>
  <c r="I36" i="34"/>
  <c r="L38" i="34"/>
  <c r="I37" i="34"/>
  <c r="F36" i="34"/>
  <c r="M36" i="34"/>
  <c r="O327" i="17"/>
  <c r="F327" i="17" s="1"/>
  <c r="G327" i="17" s="1"/>
  <c r="H327" i="17" s="1"/>
  <c r="I327" i="17" s="1"/>
  <c r="J327" i="17" s="1"/>
  <c r="K327" i="17" s="1"/>
  <c r="L327" i="17" s="1"/>
  <c r="M319" i="17"/>
  <c r="O319" i="17" s="1"/>
  <c r="F319" i="17" s="1"/>
  <c r="G319" i="17" s="1"/>
  <c r="H319" i="17" s="1"/>
  <c r="I319" i="17" s="1"/>
  <c r="J319" i="17" s="1"/>
  <c r="K319" i="17" s="1"/>
  <c r="L319" i="17" s="1"/>
  <c r="O326" i="17"/>
  <c r="F326" i="17" s="1"/>
  <c r="G326" i="17" s="1"/>
  <c r="H326" i="17" s="1"/>
  <c r="I326" i="17" s="1"/>
  <c r="J326" i="17" s="1"/>
  <c r="K326" i="17" s="1"/>
  <c r="L326" i="17" s="1"/>
  <c r="O322" i="17"/>
  <c r="F322" i="17" s="1"/>
  <c r="G322" i="17" s="1"/>
  <c r="H322" i="17" s="1"/>
  <c r="I322" i="17" s="1"/>
  <c r="J322" i="17" s="1"/>
  <c r="K322" i="17" s="1"/>
  <c r="L322" i="17" s="1"/>
  <c r="M318" i="17"/>
  <c r="O318" i="17" s="1"/>
  <c r="F318" i="17" s="1"/>
  <c r="G318" i="17" s="1"/>
  <c r="H318" i="17" s="1"/>
  <c r="I318" i="17" s="1"/>
  <c r="J318" i="17" s="1"/>
  <c r="K318" i="17" s="1"/>
  <c r="L318" i="17" s="1"/>
  <c r="M328" i="17"/>
  <c r="O328" i="17" s="1"/>
  <c r="F328" i="17" s="1"/>
  <c r="G328" i="17" s="1"/>
  <c r="H328" i="17" s="1"/>
  <c r="I328" i="17" s="1"/>
  <c r="J328" i="17" s="1"/>
  <c r="K328" i="17" s="1"/>
  <c r="L328" i="17" s="1"/>
  <c r="O320" i="17"/>
  <c r="F320" i="17" s="1"/>
  <c r="G320" i="17" s="1"/>
  <c r="H320" i="17" s="1"/>
  <c r="I320" i="17" s="1"/>
  <c r="J320" i="17" s="1"/>
  <c r="K320" i="17" s="1"/>
  <c r="L320" i="17" s="1"/>
  <c r="M329" i="17"/>
  <c r="O329" i="17" s="1"/>
  <c r="F329" i="17" s="1"/>
  <c r="G329" i="17" s="1"/>
  <c r="H329" i="17" s="1"/>
  <c r="I329" i="17" s="1"/>
  <c r="J329" i="17" s="1"/>
  <c r="K329" i="17" s="1"/>
  <c r="L329" i="17" s="1"/>
  <c r="M317" i="17"/>
  <c r="O317" i="17" s="1"/>
  <c r="F317" i="17" s="1"/>
  <c r="G317" i="17" s="1"/>
  <c r="H317" i="17" s="1"/>
  <c r="I317" i="17" s="1"/>
  <c r="J317" i="17" s="1"/>
  <c r="K317" i="17" s="1"/>
  <c r="L317" i="17" s="1"/>
  <c r="N18" i="30"/>
  <c r="J18" i="30"/>
  <c r="N19" i="30"/>
  <c r="J19" i="30"/>
  <c r="H19" i="30"/>
  <c r="K19" i="30"/>
  <c r="M18" i="30"/>
  <c r="I18" i="30"/>
  <c r="M19" i="30"/>
  <c r="I19" i="30"/>
  <c r="H18" i="30"/>
  <c r="L19" i="30"/>
  <c r="L18" i="30"/>
  <c r="K18" i="30"/>
  <c r="Y27" i="31"/>
  <c r="C22" i="19"/>
  <c r="C27" i="19" s="1"/>
  <c r="M16" i="30"/>
  <c r="I16" i="30"/>
  <c r="H16" i="30"/>
  <c r="L16" i="30"/>
  <c r="K16" i="30"/>
  <c r="G16" i="30"/>
  <c r="J16" i="30"/>
  <c r="F16" i="30"/>
  <c r="F19" i="30"/>
  <c r="G18" i="30"/>
  <c r="L17" i="30"/>
  <c r="H17" i="30"/>
  <c r="F18" i="30"/>
  <c r="K17" i="30"/>
  <c r="G17" i="30"/>
  <c r="N17" i="30"/>
  <c r="J17" i="30"/>
  <c r="F17" i="30"/>
  <c r="G19" i="30"/>
  <c r="M17" i="30"/>
  <c r="I17" i="30"/>
  <c r="N51" i="34"/>
  <c r="J51" i="34"/>
  <c r="F51" i="34"/>
  <c r="K50" i="34"/>
  <c r="G50" i="34"/>
  <c r="L49" i="34"/>
  <c r="H49" i="34"/>
  <c r="N46" i="34"/>
  <c r="J46" i="34"/>
  <c r="F46" i="34"/>
  <c r="K45" i="34"/>
  <c r="G45" i="34"/>
  <c r="L44" i="34"/>
  <c r="H44" i="34"/>
  <c r="M43" i="34"/>
  <c r="I43" i="34"/>
  <c r="N42" i="34"/>
  <c r="J42" i="34"/>
  <c r="F42" i="34"/>
  <c r="K41" i="34"/>
  <c r="G41" i="34"/>
  <c r="L40" i="34"/>
  <c r="H40" i="34"/>
  <c r="M39" i="34"/>
  <c r="I39" i="34"/>
  <c r="L35" i="34"/>
  <c r="H35" i="34"/>
  <c r="M34" i="34"/>
  <c r="I34" i="34"/>
  <c r="N33" i="34"/>
  <c r="J33" i="34"/>
  <c r="F33" i="34"/>
  <c r="K32" i="34"/>
  <c r="G32" i="34"/>
  <c r="L31" i="34"/>
  <c r="H31" i="34"/>
  <c r="L30" i="34"/>
  <c r="H30" i="34"/>
  <c r="M29" i="34"/>
  <c r="I29" i="34"/>
  <c r="N28" i="34"/>
  <c r="J28" i="34"/>
  <c r="F28" i="34"/>
  <c r="K27" i="34"/>
  <c r="G27" i="34"/>
  <c r="L26" i="34"/>
  <c r="H26" i="34"/>
  <c r="M25" i="34"/>
  <c r="I25" i="34"/>
  <c r="N24" i="34"/>
  <c r="J24" i="34"/>
  <c r="F24" i="34"/>
  <c r="F177" i="34" s="1"/>
  <c r="K22" i="34"/>
  <c r="G22" i="34"/>
  <c r="L21" i="34"/>
  <c r="H21" i="34"/>
  <c r="M20" i="34"/>
  <c r="I20" i="34"/>
  <c r="H43" i="34"/>
  <c r="F41" i="34"/>
  <c r="G40" i="34"/>
  <c r="H39" i="34"/>
  <c r="G35" i="34"/>
  <c r="H34" i="34"/>
  <c r="M33" i="34"/>
  <c r="N32" i="34"/>
  <c r="F32" i="34"/>
  <c r="G31" i="34"/>
  <c r="G30" i="34"/>
  <c r="L29" i="34"/>
  <c r="M51" i="34"/>
  <c r="I51" i="34"/>
  <c r="N50" i="34"/>
  <c r="J50" i="34"/>
  <c r="F50" i="34"/>
  <c r="K49" i="34"/>
  <c r="G49" i="34"/>
  <c r="M46" i="34"/>
  <c r="I46" i="34"/>
  <c r="N45" i="34"/>
  <c r="J45" i="34"/>
  <c r="F45" i="34"/>
  <c r="K44" i="34"/>
  <c r="G44" i="34"/>
  <c r="L43" i="34"/>
  <c r="M42" i="34"/>
  <c r="I42" i="34"/>
  <c r="N41" i="34"/>
  <c r="J41" i="34"/>
  <c r="K40" i="34"/>
  <c r="L39" i="34"/>
  <c r="K35" i="34"/>
  <c r="L34" i="34"/>
  <c r="I33" i="34"/>
  <c r="J32" i="34"/>
  <c r="K31" i="34"/>
  <c r="K30" i="34"/>
  <c r="H29" i="34"/>
  <c r="L51" i="34"/>
  <c r="M50" i="34"/>
  <c r="N49" i="34"/>
  <c r="F49" i="34"/>
  <c r="H46" i="34"/>
  <c r="I45" i="34"/>
  <c r="J44" i="34"/>
  <c r="K43" i="34"/>
  <c r="L42" i="34"/>
  <c r="M41" i="34"/>
  <c r="N40" i="34"/>
  <c r="K51" i="34"/>
  <c r="L50" i="34"/>
  <c r="M49" i="34"/>
  <c r="F48" i="34"/>
  <c r="G46" i="34"/>
  <c r="H45" i="34"/>
  <c r="I44" i="34"/>
  <c r="J43" i="34"/>
  <c r="K42" i="34"/>
  <c r="L41" i="34"/>
  <c r="M40" i="34"/>
  <c r="N39" i="34"/>
  <c r="I35" i="34"/>
  <c r="J34" i="34"/>
  <c r="K33" i="34"/>
  <c r="L32" i="34"/>
  <c r="M31" i="34"/>
  <c r="M30" i="34"/>
  <c r="N29" i="34"/>
  <c r="F29" i="34"/>
  <c r="I28" i="34"/>
  <c r="M27" i="34"/>
  <c r="H27" i="34"/>
  <c r="K26" i="34"/>
  <c r="F26" i="34"/>
  <c r="E102" i="34" s="1"/>
  <c r="J25" i="34"/>
  <c r="M24" i="34"/>
  <c r="H24" i="34"/>
  <c r="L22" i="34"/>
  <c r="F22" i="34"/>
  <c r="J21" i="34"/>
  <c r="N20" i="34"/>
  <c r="H20" i="34"/>
  <c r="H51" i="34"/>
  <c r="I50" i="34"/>
  <c r="J49" i="34"/>
  <c r="L46" i="34"/>
  <c r="M45" i="34"/>
  <c r="N44" i="34"/>
  <c r="F44" i="34"/>
  <c r="G43" i="34"/>
  <c r="H42" i="34"/>
  <c r="I41" i="34"/>
  <c r="J40" i="34"/>
  <c r="K39" i="34"/>
  <c r="N35" i="34"/>
  <c r="F35" i="34"/>
  <c r="G34" i="34"/>
  <c r="H33" i="34"/>
  <c r="I32" i="34"/>
  <c r="J31" i="34"/>
  <c r="J30" i="34"/>
  <c r="K29" i="34"/>
  <c r="M28" i="34"/>
  <c r="H28" i="34"/>
  <c r="L27" i="34"/>
  <c r="F27" i="34"/>
  <c r="F183" i="34" s="1"/>
  <c r="J26" i="34"/>
  <c r="N25" i="34"/>
  <c r="H25" i="34"/>
  <c r="L24" i="34"/>
  <c r="G24" i="34"/>
  <c r="J22" i="34"/>
  <c r="N21" i="34"/>
  <c r="I21" i="34"/>
  <c r="L20" i="34"/>
  <c r="G20" i="34"/>
  <c r="G51" i="34"/>
  <c r="H50" i="34"/>
  <c r="I49" i="34"/>
  <c r="K46" i="34"/>
  <c r="L45" i="34"/>
  <c r="M44" i="34"/>
  <c r="H41" i="34"/>
  <c r="G39" i="34"/>
  <c r="J35" i="34"/>
  <c r="L33" i="34"/>
  <c r="N31" i="34"/>
  <c r="F30" i="34"/>
  <c r="K28" i="34"/>
  <c r="I27" i="34"/>
  <c r="G26" i="34"/>
  <c r="F25" i="34"/>
  <c r="F182" i="34" s="1"/>
  <c r="M22" i="34"/>
  <c r="K21" i="34"/>
  <c r="J20" i="34"/>
  <c r="M32" i="34"/>
  <c r="G29" i="34"/>
  <c r="M26" i="34"/>
  <c r="I24" i="34"/>
  <c r="F21" i="34"/>
  <c r="J39" i="34"/>
  <c r="F34" i="34"/>
  <c r="I30" i="34"/>
  <c r="J27" i="34"/>
  <c r="G25" i="34"/>
  <c r="M21" i="34"/>
  <c r="N43" i="34"/>
  <c r="I40" i="34"/>
  <c r="N34" i="34"/>
  <c r="G33" i="34"/>
  <c r="I31" i="34"/>
  <c r="J29" i="34"/>
  <c r="G28" i="34"/>
  <c r="N26" i="34"/>
  <c r="L25" i="34"/>
  <c r="K24" i="34"/>
  <c r="I22" i="34"/>
  <c r="G21" i="34"/>
  <c r="F20" i="34"/>
  <c r="F43" i="34"/>
  <c r="F40" i="34"/>
  <c r="K34" i="34"/>
  <c r="N30" i="34"/>
  <c r="N27" i="34"/>
  <c r="K25" i="34"/>
  <c r="H22" i="34"/>
  <c r="G42" i="34"/>
  <c r="M35" i="34"/>
  <c r="H32" i="34"/>
  <c r="L28" i="34"/>
  <c r="I26" i="34"/>
  <c r="N22" i="34"/>
  <c r="K20" i="34"/>
  <c r="L170" i="10"/>
  <c r="G336" i="34"/>
  <c r="F23" i="22"/>
  <c r="F5" i="22"/>
  <c r="F9" i="22"/>
  <c r="C25" i="23" s="1"/>
  <c r="F8" i="22"/>
  <c r="E24" i="22" s="1"/>
  <c r="F7" i="22"/>
  <c r="F191" i="34" s="1"/>
  <c r="F416" i="34" s="1"/>
  <c r="F13" i="22"/>
  <c r="F22" i="22"/>
  <c r="F14" i="22"/>
  <c r="F10" i="22"/>
  <c r="G159" i="14" s="1"/>
  <c r="G346" i="14" s="1"/>
  <c r="F20" i="22"/>
  <c r="F12" i="22"/>
  <c r="M92" i="43" s="1"/>
  <c r="F430" i="34"/>
  <c r="H326" i="34"/>
  <c r="H338" i="34"/>
  <c r="M326" i="34"/>
  <c r="N62" i="19"/>
  <c r="N62" i="31" s="1"/>
  <c r="G325" i="34"/>
  <c r="L326" i="34"/>
  <c r="J326" i="34"/>
  <c r="M334" i="34"/>
  <c r="G326" i="34"/>
  <c r="K326" i="34"/>
  <c r="M28" i="10"/>
  <c r="M30" i="10" s="1"/>
  <c r="N27" i="10"/>
  <c r="M27" i="10"/>
  <c r="N28" i="10"/>
  <c r="N30" i="10" s="1"/>
  <c r="L27" i="10"/>
  <c r="N326" i="34"/>
  <c r="O326" i="34" s="1"/>
  <c r="I326" i="34"/>
  <c r="F602" i="4"/>
  <c r="N628" i="4" s="1"/>
  <c r="O628" i="4" s="1"/>
  <c r="G628" i="4" s="1"/>
  <c r="H628" i="4" s="1"/>
  <c r="I628" i="4" s="1"/>
  <c r="J628" i="4" s="1"/>
  <c r="K628" i="4" s="1"/>
  <c r="L628" i="4" s="1"/>
  <c r="M628" i="4" s="1"/>
  <c r="F606" i="4"/>
  <c r="N632" i="4" s="1"/>
  <c r="O632" i="4" s="1"/>
  <c r="G632" i="4" s="1"/>
  <c r="H632" i="4" s="1"/>
  <c r="I632" i="4" s="1"/>
  <c r="J632" i="4" s="1"/>
  <c r="K632" i="4" s="1"/>
  <c r="L632" i="4" s="1"/>
  <c r="M632" i="4" s="1"/>
  <c r="F610" i="4"/>
  <c r="N636" i="4" s="1"/>
  <c r="O636" i="4" s="1"/>
  <c r="G636" i="4" s="1"/>
  <c r="H636" i="4" s="1"/>
  <c r="I636" i="4" s="1"/>
  <c r="J636" i="4" s="1"/>
  <c r="K636" i="4" s="1"/>
  <c r="L636" i="4" s="1"/>
  <c r="M636" i="4" s="1"/>
  <c r="F601" i="4"/>
  <c r="N627" i="4" s="1"/>
  <c r="F605" i="4"/>
  <c r="N631" i="4" s="1"/>
  <c r="O631" i="4" s="1"/>
  <c r="G631" i="4" s="1"/>
  <c r="H631" i="4" s="1"/>
  <c r="I631" i="4" s="1"/>
  <c r="J631" i="4" s="1"/>
  <c r="K631" i="4" s="1"/>
  <c r="L631" i="4" s="1"/>
  <c r="M631" i="4" s="1"/>
  <c r="F609" i="4"/>
  <c r="F600" i="4"/>
  <c r="N626" i="4" s="1"/>
  <c r="F604" i="4"/>
  <c r="F608" i="4"/>
  <c r="N666" i="4"/>
  <c r="F603" i="4"/>
  <c r="N629" i="4" s="1"/>
  <c r="O629" i="4" s="1"/>
  <c r="G629" i="4" s="1"/>
  <c r="H629" i="4" s="1"/>
  <c r="I629" i="4" s="1"/>
  <c r="J629" i="4" s="1"/>
  <c r="K629" i="4" s="1"/>
  <c r="L629" i="4" s="1"/>
  <c r="M629" i="4" s="1"/>
  <c r="F607" i="4"/>
  <c r="N633" i="4" s="1"/>
  <c r="O633" i="4" s="1"/>
  <c r="G633" i="4" s="1"/>
  <c r="H633" i="4" s="1"/>
  <c r="I633" i="4" s="1"/>
  <c r="J633" i="4" s="1"/>
  <c r="K633" i="4" s="1"/>
  <c r="L633" i="4" s="1"/>
  <c r="M633" i="4" s="1"/>
  <c r="F611" i="4"/>
  <c r="N637" i="4" s="1"/>
  <c r="O637" i="4" s="1"/>
  <c r="G637" i="4" s="1"/>
  <c r="N138" i="12"/>
  <c r="N145" i="12" s="1"/>
  <c r="G97" i="12"/>
  <c r="G138" i="12" s="1"/>
  <c r="M97" i="12"/>
  <c r="M138" i="12" s="1"/>
  <c r="M145" i="12" s="1"/>
  <c r="J97" i="12"/>
  <c r="J138" i="12" s="1"/>
  <c r="J145" i="12" s="1"/>
  <c r="I97" i="12"/>
  <c r="I138" i="12" s="1"/>
  <c r="I150" i="12" s="1"/>
  <c r="G97" i="18"/>
  <c r="K97" i="12"/>
  <c r="K138" i="12" s="1"/>
  <c r="K145" i="12" s="1"/>
  <c r="H8" i="19"/>
  <c r="H8" i="31" s="1"/>
  <c r="AC27" i="19"/>
  <c r="AC62" i="19" s="1"/>
  <c r="AC62" i="31" s="1"/>
  <c r="AE62" i="19"/>
  <c r="AE62" i="31" s="1"/>
  <c r="X8" i="19"/>
  <c r="X8" i="31" s="1"/>
  <c r="X27" i="31"/>
  <c r="X29" i="31"/>
  <c r="F363" i="13"/>
  <c r="F365" i="13" s="1"/>
  <c r="C8" i="19"/>
  <c r="C8" i="31" s="1"/>
  <c r="AA23" i="31"/>
  <c r="AK23" i="19"/>
  <c r="AM23" i="19" s="1"/>
  <c r="AA22" i="19"/>
  <c r="AA22" i="31" s="1"/>
  <c r="AM7" i="19"/>
  <c r="AM7" i="31" s="1"/>
  <c r="G62" i="19"/>
  <c r="G62" i="31" s="1"/>
  <c r="C7" i="31"/>
  <c r="F357" i="34"/>
  <c r="F469" i="34" s="1"/>
  <c r="F358" i="34"/>
  <c r="L97" i="12"/>
  <c r="L138" i="12" s="1"/>
  <c r="L145" i="12" s="1"/>
  <c r="AL62" i="19"/>
  <c r="AL62" i="31" s="1"/>
  <c r="K97" i="18"/>
  <c r="AD62" i="19"/>
  <c r="AD62" i="31" s="1"/>
  <c r="I97" i="18"/>
  <c r="J170" i="10"/>
  <c r="M97" i="18"/>
  <c r="J97" i="18"/>
  <c r="F850" i="4"/>
  <c r="F852" i="4" s="1"/>
  <c r="F854" i="4" s="1"/>
  <c r="Z62" i="19"/>
  <c r="Z62" i="31" s="1"/>
  <c r="L97" i="18"/>
  <c r="U62" i="19"/>
  <c r="U62" i="31" s="1"/>
  <c r="X62" i="19"/>
  <c r="X62" i="31" s="1"/>
  <c r="I62" i="19"/>
  <c r="I62" i="31" s="1"/>
  <c r="I27" i="31"/>
  <c r="I850" i="4"/>
  <c r="I852" i="4" s="1"/>
  <c r="I854" i="4" s="1"/>
  <c r="L850" i="4"/>
  <c r="L852" i="4" s="1"/>
  <c r="L854" i="4" s="1"/>
  <c r="N850" i="4"/>
  <c r="N852" i="4" s="1"/>
  <c r="N854" i="4" s="1"/>
  <c r="K850" i="4"/>
  <c r="K852" i="4" s="1"/>
  <c r="K854" i="4" s="1"/>
  <c r="J62" i="19"/>
  <c r="J62" i="31" s="1"/>
  <c r="V62" i="19"/>
  <c r="V62" i="31" s="1"/>
  <c r="V27" i="31"/>
  <c r="AM9" i="19"/>
  <c r="AM9" i="31" s="1"/>
  <c r="H850" i="4"/>
  <c r="H852" i="4" s="1"/>
  <c r="H854" i="4" s="1"/>
  <c r="R62" i="19"/>
  <c r="R62" i="31" s="1"/>
  <c r="R27" i="31"/>
  <c r="T27" i="31"/>
  <c r="T62" i="19"/>
  <c r="T62" i="31" s="1"/>
  <c r="M850" i="4"/>
  <c r="M852" i="4" s="1"/>
  <c r="M854" i="4" s="1"/>
  <c r="J850" i="4"/>
  <c r="J852" i="4" s="1"/>
  <c r="J854" i="4" s="1"/>
  <c r="K18" i="33"/>
  <c r="M19" i="33"/>
  <c r="I19" i="33"/>
  <c r="J18" i="33"/>
  <c r="K17" i="33"/>
  <c r="M18" i="33"/>
  <c r="L19" i="33"/>
  <c r="H19" i="33"/>
  <c r="N17" i="33"/>
  <c r="N20" i="33" s="1"/>
  <c r="N65" i="33" s="1"/>
  <c r="N70" i="33" s="1"/>
  <c r="N72" i="33" s="1"/>
  <c r="J17" i="33"/>
  <c r="N18" i="33"/>
  <c r="H18" i="33"/>
  <c r="L18" i="33"/>
  <c r="N19" i="33"/>
  <c r="J19" i="33"/>
  <c r="I18" i="33"/>
  <c r="L17" i="33"/>
  <c r="H17" i="33"/>
  <c r="H20" i="33" s="1"/>
  <c r="H65" i="33" s="1"/>
  <c r="H70" i="33" s="1"/>
  <c r="K19" i="33"/>
  <c r="M17" i="33"/>
  <c r="I17" i="33"/>
  <c r="I20" i="33" s="1"/>
  <c r="I65" i="33" s="1"/>
  <c r="I70" i="33" s="1"/>
  <c r="N19" i="10"/>
  <c r="J19" i="10"/>
  <c r="N18" i="10"/>
  <c r="J18" i="10"/>
  <c r="I19" i="10"/>
  <c r="M18" i="10"/>
  <c r="I18" i="10"/>
  <c r="H19" i="10"/>
  <c r="L18" i="10"/>
  <c r="G19" i="10"/>
  <c r="G18" i="10"/>
  <c r="M19" i="10"/>
  <c r="K18" i="10"/>
  <c r="L19" i="10"/>
  <c r="H18" i="10"/>
  <c r="K19" i="10"/>
  <c r="M343" i="34"/>
  <c r="K343" i="34"/>
  <c r="L343" i="34"/>
  <c r="J343" i="34"/>
  <c r="G343" i="34"/>
  <c r="H343" i="34"/>
  <c r="I343" i="34"/>
  <c r="N343" i="34"/>
  <c r="H341" i="34"/>
  <c r="J341" i="34"/>
  <c r="L341" i="34"/>
  <c r="K341" i="34"/>
  <c r="N341" i="34"/>
  <c r="G341" i="34"/>
  <c r="M341" i="34"/>
  <c r="I341" i="34"/>
  <c r="L58" i="31"/>
  <c r="L57" i="19"/>
  <c r="AM58" i="19"/>
  <c r="AM58" i="31" s="1"/>
  <c r="F62" i="19"/>
  <c r="F62" i="31" s="1"/>
  <c r="F27" i="31"/>
  <c r="AI27" i="31"/>
  <c r="AI62" i="19"/>
  <c r="AI62" i="31" s="1"/>
  <c r="E27" i="31"/>
  <c r="E62" i="19"/>
  <c r="E62" i="31" s="1"/>
  <c r="AA31" i="31"/>
  <c r="AA30" i="19"/>
  <c r="AA30" i="31" s="1"/>
  <c r="C45" i="31"/>
  <c r="AM45" i="19"/>
  <c r="AM45" i="31" s="1"/>
  <c r="AB30" i="31"/>
  <c r="AB62" i="19"/>
  <c r="AB62" i="31" s="1"/>
  <c r="S27" i="31"/>
  <c r="S62" i="19"/>
  <c r="S62" i="31" s="1"/>
  <c r="G850" i="4"/>
  <c r="G852" i="4" s="1"/>
  <c r="G854" i="4" s="1"/>
  <c r="C31" i="31"/>
  <c r="C30" i="19"/>
  <c r="AM31" i="19"/>
  <c r="AM31" i="31" s="1"/>
  <c r="W29" i="19"/>
  <c r="W27" i="31"/>
  <c r="AF27" i="31"/>
  <c r="AF62" i="19"/>
  <c r="AF62" i="31" s="1"/>
  <c r="L59" i="31"/>
  <c r="AM59" i="19"/>
  <c r="AM59" i="31" s="1"/>
  <c r="AG27" i="31"/>
  <c r="AG62" i="19"/>
  <c r="AG62" i="31" s="1"/>
  <c r="H31" i="31"/>
  <c r="H30" i="19"/>
  <c r="H30" i="31" s="1"/>
  <c r="L27" i="19"/>
  <c r="K27" i="31"/>
  <c r="K62" i="19"/>
  <c r="K62" i="31" s="1"/>
  <c r="O62" i="19"/>
  <c r="O62" i="31" s="1"/>
  <c r="G340" i="34"/>
  <c r="M340" i="34"/>
  <c r="N340" i="34"/>
  <c r="H340" i="34"/>
  <c r="L340" i="34"/>
  <c r="I340" i="34"/>
  <c r="K340" i="34"/>
  <c r="J340" i="34"/>
  <c r="M339" i="34"/>
  <c r="K339" i="34"/>
  <c r="I339" i="34"/>
  <c r="L339" i="34"/>
  <c r="G339" i="34"/>
  <c r="H339" i="34"/>
  <c r="N339" i="34"/>
  <c r="J339" i="34"/>
  <c r="Q62" i="19"/>
  <c r="Q62" i="31" s="1"/>
  <c r="Q27" i="31"/>
  <c r="P27" i="31"/>
  <c r="P62" i="19"/>
  <c r="P62" i="31" s="1"/>
  <c r="AJ27" i="31"/>
  <c r="AJ62" i="19"/>
  <c r="AJ62" i="31" s="1"/>
  <c r="AA8" i="19"/>
  <c r="AA8" i="31" s="1"/>
  <c r="AA7" i="31"/>
  <c r="E330" i="17"/>
  <c r="M62" i="19"/>
  <c r="M62" i="31" s="1"/>
  <c r="AH62" i="19"/>
  <c r="AH62" i="31" s="1"/>
  <c r="AH30" i="31"/>
  <c r="Y29" i="31"/>
  <c r="Y28" i="19"/>
  <c r="H15" i="31"/>
  <c r="AM15" i="19"/>
  <c r="AM15" i="31" s="1"/>
  <c r="D62" i="19"/>
  <c r="D62" i="31" s="1"/>
  <c r="D27" i="31"/>
  <c r="H27" i="19"/>
  <c r="M334" i="17"/>
  <c r="O334" i="17" s="1"/>
  <c r="G334" i="17" s="1"/>
  <c r="H334" i="17" s="1"/>
  <c r="I334" i="17" s="1"/>
  <c r="J334" i="17" s="1"/>
  <c r="K334" i="17" s="1"/>
  <c r="F74" i="59"/>
  <c r="L310" i="14"/>
  <c r="G310" i="14"/>
  <c r="F310" i="14"/>
  <c r="N148" i="14"/>
  <c r="G148" i="14"/>
  <c r="G338" i="14" s="1"/>
  <c r="H148" i="14"/>
  <c r="J148" i="14"/>
  <c r="L148" i="14"/>
  <c r="M311" i="14"/>
  <c r="M310" i="14"/>
  <c r="H311" i="14"/>
  <c r="H310" i="14"/>
  <c r="K310" i="14"/>
  <c r="J310" i="14"/>
  <c r="I311" i="14"/>
  <c r="I310" i="14"/>
  <c r="N310" i="14"/>
  <c r="L311" i="14"/>
  <c r="F311" i="14"/>
  <c r="G311" i="14"/>
  <c r="K311" i="14"/>
  <c r="J311" i="14"/>
  <c r="N311" i="14"/>
  <c r="G331" i="14"/>
  <c r="N307" i="14"/>
  <c r="J307" i="14"/>
  <c r="K309" i="14"/>
  <c r="G309" i="14"/>
  <c r="H309" i="14"/>
  <c r="M309" i="14"/>
  <c r="M307" i="14"/>
  <c r="K302" i="14"/>
  <c r="H302" i="14"/>
  <c r="F312" i="14"/>
  <c r="I314" i="14"/>
  <c r="M312" i="14"/>
  <c r="N313" i="14"/>
  <c r="J313" i="14"/>
  <c r="G314" i="14"/>
  <c r="L312" i="14"/>
  <c r="H312" i="14"/>
  <c r="F483" i="14"/>
  <c r="H121" i="8"/>
  <c r="H130" i="8" s="1"/>
  <c r="H166" i="8" s="1"/>
  <c r="G121" i="8"/>
  <c r="G130" i="8" s="1"/>
  <c r="G166" i="8" s="1"/>
  <c r="L195" i="13"/>
  <c r="J149" i="14"/>
  <c r="N149" i="14"/>
  <c r="H149" i="14"/>
  <c r="L149" i="14"/>
  <c r="I112" i="58"/>
  <c r="M113" i="58" s="1"/>
  <c r="M112" i="58"/>
  <c r="N322" i="14"/>
  <c r="H322" i="14" s="1"/>
  <c r="H320" i="14"/>
  <c r="N323" i="14"/>
  <c r="L323" i="14" s="1"/>
  <c r="G320" i="14"/>
  <c r="L320" i="14"/>
  <c r="M320" i="14"/>
  <c r="J272" i="14"/>
  <c r="J475" i="14" s="1"/>
  <c r="J483" i="14" s="1"/>
  <c r="I320" i="14"/>
  <c r="K320" i="14"/>
  <c r="J320" i="14"/>
  <c r="N321" i="14"/>
  <c r="L321" i="14" s="1"/>
  <c r="L272" i="14"/>
  <c r="L475" i="14" s="1"/>
  <c r="L483" i="14" s="1"/>
  <c r="N1116" i="4"/>
  <c r="H1116" i="4"/>
  <c r="K1116" i="4"/>
  <c r="L112" i="58"/>
  <c r="I1116" i="4"/>
  <c r="G1116" i="4"/>
  <c r="I59" i="4"/>
  <c r="H62" i="4"/>
  <c r="H754" i="4" s="1"/>
  <c r="H757" i="4" s="1"/>
  <c r="J193" i="13"/>
  <c r="K117" i="58"/>
  <c r="K119" i="58" s="1"/>
  <c r="N331" i="15"/>
  <c r="N259" i="4"/>
  <c r="L18" i="7"/>
  <c r="L19" i="7"/>
  <c r="K19" i="7"/>
  <c r="M18" i="7"/>
  <c r="M19" i="7"/>
  <c r="K107" i="58"/>
  <c r="K178" i="58" s="1"/>
  <c r="K179" i="58" s="1"/>
  <c r="L193" i="13"/>
  <c r="N112" i="58"/>
  <c r="L215" i="43"/>
  <c r="K273" i="14"/>
  <c r="K476" i="14" s="1"/>
  <c r="K484" i="14" s="1"/>
  <c r="L435" i="42"/>
  <c r="M367" i="42"/>
  <c r="M275" i="14"/>
  <c r="M478" i="14" s="1"/>
  <c r="M486" i="14" s="1"/>
  <c r="M503" i="14" s="1"/>
  <c r="K332" i="15"/>
  <c r="L191" i="13"/>
  <c r="J191" i="13"/>
  <c r="N107" i="58"/>
  <c r="N178" i="58" s="1"/>
  <c r="N179" i="58" s="1"/>
  <c r="M107" i="58"/>
  <c r="M178" i="58" s="1"/>
  <c r="M179" i="58" s="1"/>
  <c r="G862" i="4"/>
  <c r="G367" i="42"/>
  <c r="G864" i="4"/>
  <c r="G861" i="4"/>
  <c r="F487" i="14"/>
  <c r="N117" i="58"/>
  <c r="E184" i="13"/>
  <c r="E185" i="13"/>
  <c r="E183" i="13"/>
  <c r="M191" i="13"/>
  <c r="H332" i="15"/>
  <c r="F70" i="33"/>
  <c r="F72" i="33" s="1"/>
  <c r="J195" i="13"/>
  <c r="F3" i="28"/>
  <c r="F183" i="10"/>
  <c r="F258" i="10" s="1"/>
  <c r="I274" i="14"/>
  <c r="I477" i="14" s="1"/>
  <c r="I485" i="14" s="1"/>
  <c r="N330" i="15"/>
  <c r="K330" i="15"/>
  <c r="L18" i="57"/>
  <c r="F426" i="34"/>
  <c r="M335" i="17"/>
  <c r="O335" i="17" s="1"/>
  <c r="G335" i="17" s="1"/>
  <c r="M334" i="42"/>
  <c r="G334" i="42"/>
  <c r="L334" i="42"/>
  <c r="N334" i="42"/>
  <c r="H334" i="42"/>
  <c r="M212" i="43"/>
  <c r="M215" i="43"/>
  <c r="M117" i="58"/>
  <c r="L194" i="13"/>
  <c r="M194" i="13"/>
  <c r="M192" i="13"/>
  <c r="L192" i="13"/>
  <c r="E200" i="13"/>
  <c r="E203" i="13"/>
  <c r="G203" i="13" s="1"/>
  <c r="G211" i="13" s="1"/>
  <c r="E201" i="13"/>
  <c r="J201" i="13" s="1"/>
  <c r="N422" i="42"/>
  <c r="F334" i="42"/>
  <c r="M327" i="42"/>
  <c r="M361" i="42" s="1"/>
  <c r="K334" i="42"/>
  <c r="K18" i="57"/>
  <c r="L117" i="58"/>
  <c r="L107" i="58"/>
  <c r="L178" i="58" s="1"/>
  <c r="L179" i="58" s="1"/>
  <c r="K147" i="43"/>
  <c r="K145" i="43"/>
  <c r="K146" i="43"/>
  <c r="K209" i="43" s="1"/>
  <c r="N17" i="57"/>
  <c r="J18" i="57"/>
  <c r="J16" i="57"/>
  <c r="L16" i="57"/>
  <c r="M18" i="57"/>
  <c r="J17" i="57"/>
  <c r="K16" i="57"/>
  <c r="I16" i="57"/>
  <c r="N16" i="57"/>
  <c r="I18" i="57"/>
  <c r="H13" i="59"/>
  <c r="L17" i="57"/>
  <c r="N18" i="57"/>
  <c r="M17" i="57"/>
  <c r="M16" i="57"/>
  <c r="J335" i="42"/>
  <c r="H335" i="42"/>
  <c r="F335" i="42"/>
  <c r="N269" i="4"/>
  <c r="N261" i="4"/>
  <c r="I334" i="42"/>
  <c r="J334" i="42"/>
  <c r="L404" i="42"/>
  <c r="I17" i="57"/>
  <c r="K17" i="57"/>
  <c r="L422" i="42"/>
  <c r="L457" i="42" s="1"/>
  <c r="L407" i="42"/>
  <c r="M153" i="43"/>
  <c r="L185" i="10"/>
  <c r="G258" i="10"/>
  <c r="I60" i="57"/>
  <c r="J60" i="57"/>
  <c r="N60" i="57"/>
  <c r="H60" i="57"/>
  <c r="L60" i="57"/>
  <c r="F60" i="57"/>
  <c r="G60" i="57"/>
  <c r="F27" i="51"/>
  <c r="H10" i="23"/>
  <c r="F9" i="23"/>
  <c r="D75" i="23" s="1"/>
  <c r="F28" i="51"/>
  <c r="G9" i="23"/>
  <c r="E75" i="23" s="1"/>
  <c r="G10" i="23"/>
  <c r="F10" i="23"/>
  <c r="F25" i="51"/>
  <c r="H9" i="23"/>
  <c r="F75" i="23" s="1"/>
  <c r="F8" i="23"/>
  <c r="H8" i="23"/>
  <c r="F83" i="23" s="1"/>
  <c r="H11" i="23"/>
  <c r="F80" i="23" s="1"/>
  <c r="G11" i="23"/>
  <c r="N158" i="14"/>
  <c r="H147" i="14"/>
  <c r="L147" i="14"/>
  <c r="F147" i="14"/>
  <c r="F330" i="14" s="1"/>
  <c r="G8" i="23"/>
  <c r="H158" i="14"/>
  <c r="N147" i="14"/>
  <c r="G147" i="14"/>
  <c r="G330" i="14" s="1"/>
  <c r="F26" i="51"/>
  <c r="F11" i="23"/>
  <c r="D85" i="23" s="1"/>
  <c r="J158" i="14"/>
  <c r="L158" i="14"/>
  <c r="F158" i="14"/>
  <c r="J147" i="14"/>
  <c r="N367" i="42"/>
  <c r="L86" i="46"/>
  <c r="G87" i="46"/>
  <c r="M88" i="46"/>
  <c r="N88" i="46"/>
  <c r="L85" i="46"/>
  <c r="L88" i="46"/>
  <c r="K85" i="46"/>
  <c r="G88" i="46"/>
  <c r="F88" i="46"/>
  <c r="I87" i="46"/>
  <c r="I85" i="46"/>
  <c r="J86" i="46"/>
  <c r="I86" i="46"/>
  <c r="H87" i="46"/>
  <c r="K87" i="46"/>
  <c r="G85" i="46"/>
  <c r="L87" i="46"/>
  <c r="K88" i="46"/>
  <c r="J88" i="46"/>
  <c r="H86" i="46"/>
  <c r="K86" i="46"/>
  <c r="N86" i="46"/>
  <c r="M87" i="46"/>
  <c r="G86" i="46"/>
  <c r="J87" i="46"/>
  <c r="I88" i="46"/>
  <c r="M85" i="46"/>
  <c r="J85" i="46"/>
  <c r="F85" i="46"/>
  <c r="F89" i="46" s="1"/>
  <c r="F256" i="46" s="1"/>
  <c r="F87" i="46"/>
  <c r="M86" i="46"/>
  <c r="F86" i="46"/>
  <c r="M57" i="16"/>
  <c r="M47" i="16"/>
  <c r="J57" i="16"/>
  <c r="I62" i="16"/>
  <c r="N62" i="16"/>
  <c r="H57" i="16"/>
  <c r="L47" i="16"/>
  <c r="H52" i="16"/>
  <c r="K47" i="16"/>
  <c r="L56" i="18"/>
  <c r="F51" i="18"/>
  <c r="G63" i="12"/>
  <c r="G53" i="12"/>
  <c r="J230" i="17"/>
  <c r="J231" i="17" s="1"/>
  <c r="F66" i="18"/>
  <c r="G51" i="18"/>
  <c r="L63" i="12"/>
  <c r="F58" i="12"/>
  <c r="G68" i="12"/>
  <c r="K210" i="17"/>
  <c r="K211" i="17" s="1"/>
  <c r="J242" i="17"/>
  <c r="J243" i="17" s="1"/>
  <c r="N248" i="17"/>
  <c r="N249" i="17" s="1"/>
  <c r="N252" i="17"/>
  <c r="N253" i="17" s="1"/>
  <c r="M331" i="4"/>
  <c r="M332" i="4" s="1"/>
  <c r="M339" i="4"/>
  <c r="M340" i="4" s="1"/>
  <c r="I343" i="4"/>
  <c r="I344" i="4" s="1"/>
  <c r="F361" i="4"/>
  <c r="F362" i="4" s="1"/>
  <c r="L66" i="18"/>
  <c r="J53" i="12"/>
  <c r="I51" i="18"/>
  <c r="N53" i="12"/>
  <c r="M230" i="17"/>
  <c r="M231" i="17" s="1"/>
  <c r="G242" i="17"/>
  <c r="G243" i="17" s="1"/>
  <c r="K248" i="17"/>
  <c r="K249" i="17" s="1"/>
  <c r="K270" i="17"/>
  <c r="K271" i="17" s="1"/>
  <c r="N361" i="4"/>
  <c r="N362" i="4" s="1"/>
  <c r="J333" i="4"/>
  <c r="J334" i="4" s="1"/>
  <c r="N339" i="4"/>
  <c r="N340" i="4" s="1"/>
  <c r="N321" i="4"/>
  <c r="N322" i="4" s="1"/>
  <c r="J56" i="18"/>
  <c r="M242" i="17"/>
  <c r="M243" i="17" s="1"/>
  <c r="M252" i="17"/>
  <c r="M253" i="17" s="1"/>
  <c r="L331" i="4"/>
  <c r="L332" i="4" s="1"/>
  <c r="H240" i="17"/>
  <c r="H241" i="17" s="1"/>
  <c r="H248" i="17"/>
  <c r="H249" i="17" s="1"/>
  <c r="H252" i="17"/>
  <c r="H253" i="17" s="1"/>
  <c r="G331" i="4"/>
  <c r="G332" i="4" s="1"/>
  <c r="G339" i="4"/>
  <c r="G340" i="4" s="1"/>
  <c r="G343" i="4"/>
  <c r="G344" i="4" s="1"/>
  <c r="H230" i="17"/>
  <c r="H231" i="17" s="1"/>
  <c r="K339" i="4"/>
  <c r="K340" i="4" s="1"/>
  <c r="K68" i="12"/>
  <c r="F339" i="4"/>
  <c r="F340" i="4" s="1"/>
  <c r="M53" i="12"/>
  <c r="G321" i="4"/>
  <c r="G322" i="4" s="1"/>
  <c r="L248" i="17"/>
  <c r="L249" i="17" s="1"/>
  <c r="K333" i="4"/>
  <c r="K334" i="4" s="1"/>
  <c r="H85" i="46"/>
  <c r="G62" i="16"/>
  <c r="G52" i="16"/>
  <c r="H62" i="16"/>
  <c r="F47" i="16"/>
  <c r="M52" i="16"/>
  <c r="L57" i="16"/>
  <c r="F52" i="16"/>
  <c r="F57" i="16"/>
  <c r="I52" i="16"/>
  <c r="I66" i="18"/>
  <c r="J51" i="18"/>
  <c r="K63" i="12"/>
  <c r="K53" i="12"/>
  <c r="J66" i="18"/>
  <c r="K51" i="18"/>
  <c r="F68" i="12"/>
  <c r="J58" i="12"/>
  <c r="H210" i="17"/>
  <c r="H211" i="17" s="1"/>
  <c r="I230" i="17"/>
  <c r="I231" i="17" s="1"/>
  <c r="L51" i="18"/>
  <c r="I53" i="12"/>
  <c r="N240" i="17"/>
  <c r="N241" i="17" s="1"/>
  <c r="J252" i="17"/>
  <c r="J253" i="17" s="1"/>
  <c r="F210" i="17"/>
  <c r="F211" i="17" s="1"/>
  <c r="I331" i="4"/>
  <c r="I332" i="4" s="1"/>
  <c r="I339" i="4"/>
  <c r="I340" i="4" s="1"/>
  <c r="M341" i="4"/>
  <c r="M342" i="4" s="1"/>
  <c r="M321" i="4"/>
  <c r="M322" i="4" s="1"/>
  <c r="F333" i="4"/>
  <c r="F334" i="4" s="1"/>
  <c r="G58" i="12"/>
  <c r="I240" i="17"/>
  <c r="I241" i="17" s="1"/>
  <c r="I248" i="17"/>
  <c r="I249" i="17" s="1"/>
  <c r="I252" i="17"/>
  <c r="I253" i="17" s="1"/>
  <c r="F248" i="17"/>
  <c r="F249" i="17" s="1"/>
  <c r="H361" i="4"/>
  <c r="H362" i="4" s="1"/>
  <c r="H333" i="4"/>
  <c r="H334" i="4" s="1"/>
  <c r="L341" i="4"/>
  <c r="L342" i="4" s="1"/>
  <c r="L321" i="4"/>
  <c r="L322" i="4" s="1"/>
  <c r="F56" i="18"/>
  <c r="K58" i="12"/>
  <c r="G230" i="17"/>
  <c r="G231" i="17" s="1"/>
  <c r="K240" i="17"/>
  <c r="K241" i="17" s="1"/>
  <c r="G248" i="17"/>
  <c r="G249" i="17" s="1"/>
  <c r="G252" i="17"/>
  <c r="G253" i="17" s="1"/>
  <c r="J361" i="4"/>
  <c r="J362" i="4" s="1"/>
  <c r="N331" i="4"/>
  <c r="N332" i="4" s="1"/>
  <c r="J339" i="4"/>
  <c r="J340" i="4" s="1"/>
  <c r="J343" i="4"/>
  <c r="J344" i="4" s="1"/>
  <c r="F321" i="4"/>
  <c r="F322" i="4" s="1"/>
  <c r="M240" i="17"/>
  <c r="M241" i="17" s="1"/>
  <c r="L361" i="4"/>
  <c r="L362" i="4" s="1"/>
  <c r="H341" i="4"/>
  <c r="H342" i="4" s="1"/>
  <c r="H58" i="12"/>
  <c r="G210" i="17"/>
  <c r="G211" i="17" s="1"/>
  <c r="K331" i="4"/>
  <c r="K332" i="4" s="1"/>
  <c r="H51" i="18"/>
  <c r="K321" i="4"/>
  <c r="K322" i="4" s="1"/>
  <c r="F63" i="12"/>
  <c r="L270" i="17"/>
  <c r="L271" i="17" s="1"/>
  <c r="I86" i="35"/>
  <c r="I92" i="35" s="1"/>
  <c r="H88" i="46"/>
  <c r="N85" i="46"/>
  <c r="K62" i="16"/>
  <c r="K52" i="16"/>
  <c r="L62" i="16"/>
  <c r="N47" i="16"/>
  <c r="G57" i="16"/>
  <c r="F62" i="16"/>
  <c r="J52" i="16"/>
  <c r="N57" i="16"/>
  <c r="M62" i="16"/>
  <c r="M66" i="18"/>
  <c r="N51" i="18"/>
  <c r="I68" i="12"/>
  <c r="I58" i="12"/>
  <c r="M210" i="17"/>
  <c r="M211" i="17" s="1"/>
  <c r="N66" i="18"/>
  <c r="I56" i="18"/>
  <c r="J68" i="12"/>
  <c r="N58" i="12"/>
  <c r="H53" i="12"/>
  <c r="G56" i="18"/>
  <c r="L58" i="12"/>
  <c r="J240" i="17"/>
  <c r="J241" i="17" s="1"/>
  <c r="J248" i="17"/>
  <c r="J249" i="17" s="1"/>
  <c r="N250" i="17"/>
  <c r="N251" i="17" s="1"/>
  <c r="N270" i="17"/>
  <c r="N271" i="17" s="1"/>
  <c r="M361" i="4"/>
  <c r="M362" i="4" s="1"/>
  <c r="M333" i="4"/>
  <c r="M334" i="4" s="1"/>
  <c r="I341" i="4"/>
  <c r="I342" i="4" s="1"/>
  <c r="I321" i="4"/>
  <c r="I322" i="4" s="1"/>
  <c r="M63" i="12"/>
  <c r="N56" i="18"/>
  <c r="I63" i="12"/>
  <c r="N210" i="17"/>
  <c r="N211" i="17" s="1"/>
  <c r="K242" i="17"/>
  <c r="K243" i="17" s="1"/>
  <c r="K250" i="17"/>
  <c r="K251" i="17" s="1"/>
  <c r="G270" i="17"/>
  <c r="G271" i="17" s="1"/>
  <c r="F252" i="17"/>
  <c r="F253" i="17" s="1"/>
  <c r="N333" i="4"/>
  <c r="N334" i="4" s="1"/>
  <c r="N341" i="4"/>
  <c r="N342" i="4" s="1"/>
  <c r="J321" i="4"/>
  <c r="J322" i="4" s="1"/>
  <c r="F331" i="4"/>
  <c r="F332" i="4" s="1"/>
  <c r="K230" i="17"/>
  <c r="K231" i="17" s="1"/>
  <c r="M250" i="17"/>
  <c r="M251" i="17" s="1"/>
  <c r="F230" i="17"/>
  <c r="F231" i="17" s="1"/>
  <c r="H339" i="4"/>
  <c r="H340" i="4" s="1"/>
  <c r="H321" i="4"/>
  <c r="H322" i="4" s="1"/>
  <c r="H242" i="17"/>
  <c r="H243" i="17" s="1"/>
  <c r="H250" i="17"/>
  <c r="H251" i="17" s="1"/>
  <c r="H270" i="17"/>
  <c r="H271" i="17" s="1"/>
  <c r="G333" i="4"/>
  <c r="G334" i="4" s="1"/>
  <c r="G341" i="4"/>
  <c r="G342" i="4" s="1"/>
  <c r="N63" i="12"/>
  <c r="L250" i="17"/>
  <c r="L251" i="17" s="1"/>
  <c r="K343" i="4"/>
  <c r="K344" i="4" s="1"/>
  <c r="K361" i="4"/>
  <c r="K362" i="4" s="1"/>
  <c r="G66" i="18"/>
  <c r="G361" i="4"/>
  <c r="G362" i="4" s="1"/>
  <c r="L240" i="17"/>
  <c r="L241" i="17" s="1"/>
  <c r="N87" i="46"/>
  <c r="I57" i="16"/>
  <c r="I47" i="16"/>
  <c r="L52" i="16"/>
  <c r="K57" i="16"/>
  <c r="J62" i="16"/>
  <c r="N52" i="16"/>
  <c r="H47" i="16"/>
  <c r="J47" i="16"/>
  <c r="G47" i="16"/>
  <c r="H56" i="18"/>
  <c r="M68" i="12"/>
  <c r="M58" i="12"/>
  <c r="I210" i="17"/>
  <c r="I211" i="17" s="1"/>
  <c r="N230" i="17"/>
  <c r="N231" i="17" s="1"/>
  <c r="M56" i="18"/>
  <c r="N68" i="12"/>
  <c r="H63" i="12"/>
  <c r="L53" i="12"/>
  <c r="L210" i="17"/>
  <c r="L211" i="17" s="1"/>
  <c r="K66" i="18"/>
  <c r="J63" i="12"/>
  <c r="L230" i="17"/>
  <c r="L231" i="17" s="1"/>
  <c r="N242" i="17"/>
  <c r="N243" i="17" s="1"/>
  <c r="J250" i="17"/>
  <c r="J251" i="17" s="1"/>
  <c r="J270" i="17"/>
  <c r="J271" i="17" s="1"/>
  <c r="I361" i="4"/>
  <c r="I362" i="4" s="1"/>
  <c r="I333" i="4"/>
  <c r="I334" i="4" s="1"/>
  <c r="M343" i="4"/>
  <c r="M344" i="4" s="1"/>
  <c r="F343" i="4"/>
  <c r="F344" i="4" s="1"/>
  <c r="M51" i="18"/>
  <c r="J210" i="17"/>
  <c r="J211" i="17" s="1"/>
  <c r="I242" i="17"/>
  <c r="I243" i="17" s="1"/>
  <c r="I250" i="17"/>
  <c r="I251" i="17" s="1"/>
  <c r="I270" i="17"/>
  <c r="I271" i="17" s="1"/>
  <c r="F240" i="17"/>
  <c r="F241" i="17" s="1"/>
  <c r="H331" i="4"/>
  <c r="H332" i="4" s="1"/>
  <c r="L339" i="4"/>
  <c r="L340" i="4" s="1"/>
  <c r="L343" i="4"/>
  <c r="L344" i="4" s="1"/>
  <c r="H66" i="18"/>
  <c r="L68" i="12"/>
  <c r="F53" i="12"/>
  <c r="G240" i="17"/>
  <c r="G241" i="17" s="1"/>
  <c r="G250" i="17"/>
  <c r="G251" i="17" s="1"/>
  <c r="K252" i="17"/>
  <c r="K253" i="17" s="1"/>
  <c r="F270" i="17"/>
  <c r="F271" i="17" s="1"/>
  <c r="J331" i="4"/>
  <c r="J332" i="4" s="1"/>
  <c r="J341" i="4"/>
  <c r="J342" i="4" s="1"/>
  <c r="N343" i="4"/>
  <c r="N344" i="4" s="1"/>
  <c r="F341" i="4"/>
  <c r="F342" i="4" s="1"/>
  <c r="H68" i="12"/>
  <c r="M248" i="17"/>
  <c r="M249" i="17" s="1"/>
  <c r="M270" i="17"/>
  <c r="M271" i="17" s="1"/>
  <c r="L333" i="4"/>
  <c r="L334" i="4" s="1"/>
  <c r="H343" i="4"/>
  <c r="H344" i="4" s="1"/>
  <c r="L242" i="17"/>
  <c r="L243" i="17" s="1"/>
  <c r="F242" i="17"/>
  <c r="F243" i="17" s="1"/>
  <c r="F250" i="17"/>
  <c r="F251" i="17" s="1"/>
  <c r="K56" i="18"/>
  <c r="L252" i="17"/>
  <c r="L253" i="17" s="1"/>
  <c r="K341" i="4"/>
  <c r="K342" i="4" s="1"/>
  <c r="F43" i="24"/>
  <c r="I86" i="24"/>
  <c r="I213" i="24" s="1"/>
  <c r="I232" i="24" s="1"/>
  <c r="F119" i="47"/>
  <c r="I95" i="46"/>
  <c r="N95" i="46"/>
  <c r="M95" i="46"/>
  <c r="M78" i="46"/>
  <c r="F94" i="46"/>
  <c r="J96" i="46"/>
  <c r="F96" i="46"/>
  <c r="K96" i="46"/>
  <c r="M79" i="46"/>
  <c r="L76" i="46"/>
  <c r="L77" i="46"/>
  <c r="E86" i="17"/>
  <c r="F101" i="24"/>
  <c r="G78" i="46"/>
  <c r="I76" i="46"/>
  <c r="J19" i="32"/>
  <c r="L18" i="9"/>
  <c r="I17" i="9"/>
  <c r="L17" i="32"/>
  <c r="L20" i="32" s="1"/>
  <c r="L63" i="32" s="1"/>
  <c r="L68" i="32" s="1"/>
  <c r="L70" i="32" s="1"/>
  <c r="I19" i="32"/>
  <c r="I29" i="10"/>
  <c r="I17" i="10"/>
  <c r="H24" i="8"/>
  <c r="H28" i="8" s="1"/>
  <c r="F26" i="24"/>
  <c r="H24" i="9"/>
  <c r="J26" i="9"/>
  <c r="F25" i="24"/>
  <c r="H26" i="9"/>
  <c r="J16" i="7"/>
  <c r="J20" i="7" s="1"/>
  <c r="G16" i="9"/>
  <c r="M17" i="9"/>
  <c r="H27" i="24"/>
  <c r="F42" i="24"/>
  <c r="F86" i="24"/>
  <c r="F213" i="24" s="1"/>
  <c r="F232" i="24" s="1"/>
  <c r="F125" i="47"/>
  <c r="M94" i="46"/>
  <c r="J95" i="46"/>
  <c r="I94" i="46"/>
  <c r="L95" i="46"/>
  <c r="M76" i="46"/>
  <c r="K77" i="46"/>
  <c r="G95" i="46"/>
  <c r="J78" i="46"/>
  <c r="H94" i="46"/>
  <c r="H78" i="46"/>
  <c r="N77" i="46"/>
  <c r="H95" i="46"/>
  <c r="J28" i="10"/>
  <c r="J30" i="10" s="1"/>
  <c r="L36" i="24"/>
  <c r="L37" i="24" s="1"/>
  <c r="G77" i="46"/>
  <c r="F77" i="46"/>
  <c r="F17" i="9"/>
  <c r="K27" i="9"/>
  <c r="K17" i="32"/>
  <c r="K20" i="32" s="1"/>
  <c r="K63" i="32" s="1"/>
  <c r="K68" i="32" s="1"/>
  <c r="K70" i="32" s="1"/>
  <c r="J27" i="10"/>
  <c r="M29" i="10"/>
  <c r="I28" i="10"/>
  <c r="I30" i="10" s="1"/>
  <c r="I27" i="10"/>
  <c r="M26" i="9"/>
  <c r="L25" i="9"/>
  <c r="K16" i="7"/>
  <c r="M18" i="9"/>
  <c r="I25" i="9"/>
  <c r="G18" i="9"/>
  <c r="F97" i="24"/>
  <c r="F304" i="24" s="1"/>
  <c r="K18" i="9"/>
  <c r="M27" i="9"/>
  <c r="H86" i="24"/>
  <c r="H213" i="24" s="1"/>
  <c r="H232" i="24" s="1"/>
  <c r="I96" i="46"/>
  <c r="K94" i="46"/>
  <c r="M77" i="46"/>
  <c r="J77" i="46"/>
  <c r="I78" i="46"/>
  <c r="J76" i="46"/>
  <c r="I27" i="6"/>
  <c r="I28" i="6" s="1"/>
  <c r="J137" i="6" s="1"/>
  <c r="K16" i="9"/>
  <c r="J17" i="32"/>
  <c r="K17" i="10"/>
  <c r="I27" i="9"/>
  <c r="H18" i="9"/>
  <c r="F27" i="24"/>
  <c r="M25" i="9"/>
  <c r="G86" i="24"/>
  <c r="G213" i="24" s="1"/>
  <c r="G232" i="24" s="1"/>
  <c r="L97" i="46"/>
  <c r="N97" i="46"/>
  <c r="K79" i="46"/>
  <c r="J79" i="46"/>
  <c r="I77" i="46"/>
  <c r="K76" i="46"/>
  <c r="F87" i="7"/>
  <c r="I27" i="24"/>
  <c r="H76" i="46"/>
  <c r="L26" i="9"/>
  <c r="H25" i="9"/>
  <c r="H17" i="10"/>
  <c r="G17" i="10"/>
  <c r="I26" i="9"/>
  <c r="J18" i="9"/>
  <c r="G27" i="24"/>
  <c r="K17" i="9"/>
  <c r="F44" i="24"/>
  <c r="F118" i="47"/>
  <c r="I97" i="46"/>
  <c r="N94" i="46"/>
  <c r="N78" i="46"/>
  <c r="H77" i="46"/>
  <c r="F95" i="46"/>
  <c r="I79" i="46"/>
  <c r="K28" i="10"/>
  <c r="K30" i="10" s="1"/>
  <c r="F74" i="6"/>
  <c r="D179" i="6" s="1"/>
  <c r="F79" i="46"/>
  <c r="J27" i="9"/>
  <c r="M17" i="7"/>
  <c r="I18" i="9"/>
  <c r="J29" i="10"/>
  <c r="M21" i="10"/>
  <c r="M151" i="10" s="1"/>
  <c r="M250" i="10" s="1"/>
  <c r="K27" i="10"/>
  <c r="L17" i="10"/>
  <c r="L17" i="9"/>
  <c r="H27" i="9"/>
  <c r="F16" i="9"/>
  <c r="J17" i="9"/>
  <c r="G24" i="24"/>
  <c r="G42" i="24" s="1"/>
  <c r="L78" i="46"/>
  <c r="J94" i="46"/>
  <c r="G96" i="46"/>
  <c r="I17" i="32"/>
  <c r="G20" i="10"/>
  <c r="I16" i="9"/>
  <c r="M97" i="46"/>
  <c r="H96" i="46"/>
  <c r="H18" i="32"/>
  <c r="L29" i="10"/>
  <c r="G17" i="9"/>
  <c r="F123" i="47"/>
  <c r="H97" i="46"/>
  <c r="M36" i="24"/>
  <c r="M37" i="24" s="1"/>
  <c r="G76" i="46"/>
  <c r="G80" i="46" s="1"/>
  <c r="G246" i="46" s="1"/>
  <c r="J25" i="9"/>
  <c r="F15" i="9"/>
  <c r="C14" i="23"/>
  <c r="C15" i="23"/>
  <c r="C17" i="23"/>
  <c r="M150" i="14" s="1"/>
  <c r="C8" i="23"/>
  <c r="C18" i="23"/>
  <c r="I85" i="35" s="1"/>
  <c r="F36" i="51"/>
  <c r="H37" i="51"/>
  <c r="H34" i="51"/>
  <c r="F35" i="51"/>
  <c r="G35" i="51"/>
  <c r="F43" i="51"/>
  <c r="F168" i="42"/>
  <c r="F170" i="42"/>
  <c r="F430" i="42" s="1"/>
  <c r="F167" i="42"/>
  <c r="I277" i="14"/>
  <c r="I480" i="14" s="1"/>
  <c r="I488" i="14" s="1"/>
  <c r="K272" i="14"/>
  <c r="K475" i="14" s="1"/>
  <c r="K483" i="14" s="1"/>
  <c r="L334" i="34"/>
  <c r="K213" i="43"/>
  <c r="M336" i="17"/>
  <c r="O336" i="17" s="1"/>
  <c r="G336" i="17" s="1"/>
  <c r="H336" i="17" s="1"/>
  <c r="I336" i="17" s="1"/>
  <c r="N335" i="42"/>
  <c r="F486" i="14"/>
  <c r="F503" i="14" s="1"/>
  <c r="J422" i="42"/>
  <c r="G407" i="42"/>
  <c r="G435" i="42"/>
  <c r="H162" i="10"/>
  <c r="H183" i="10"/>
  <c r="F162" i="10"/>
  <c r="F120" i="32"/>
  <c r="F435" i="42"/>
  <c r="M422" i="42"/>
  <c r="M424" i="42" s="1"/>
  <c r="M426" i="42" s="1"/>
  <c r="H367" i="42"/>
  <c r="F406" i="42"/>
  <c r="F407" i="42" s="1"/>
  <c r="E203" i="42"/>
  <c r="I447" i="42" s="1"/>
  <c r="N475" i="14"/>
  <c r="N483" i="14" s="1"/>
  <c r="H272" i="14"/>
  <c r="H475" i="14" s="1"/>
  <c r="H483" i="14" s="1"/>
  <c r="G327" i="42"/>
  <c r="G361" i="42" s="1"/>
  <c r="G362" i="42" s="1" a="1"/>
  <c r="J327" i="42"/>
  <c r="J361" i="42" s="1"/>
  <c r="L327" i="42"/>
  <c r="L361" i="42" s="1"/>
  <c r="J435" i="42"/>
  <c r="M213" i="43"/>
  <c r="M211" i="43"/>
  <c r="I98" i="12"/>
  <c r="I139" i="12" s="1"/>
  <c r="I146" i="12" s="1"/>
  <c r="L98" i="12"/>
  <c r="L139" i="12" s="1"/>
  <c r="L146" i="12" s="1"/>
  <c r="H98" i="12"/>
  <c r="H139" i="12" s="1"/>
  <c r="H146" i="12" s="1"/>
  <c r="K335" i="42"/>
  <c r="L335" i="42"/>
  <c r="M335" i="42"/>
  <c r="I335" i="42"/>
  <c r="G335" i="42"/>
  <c r="I367" i="42"/>
  <c r="I368" i="42" s="1" a="1"/>
  <c r="L330" i="15"/>
  <c r="I435" i="42"/>
  <c r="G331" i="15"/>
  <c r="F367" i="42"/>
  <c r="N404" i="42"/>
  <c r="J367" i="42"/>
  <c r="G1298" i="4"/>
  <c r="G657" i="4"/>
  <c r="G659" i="4"/>
  <c r="F1116" i="4"/>
  <c r="F1119" i="4" s="1" a="1"/>
  <c r="J1116" i="4"/>
  <c r="E38" i="32"/>
  <c r="F83" i="32" s="1"/>
  <c r="F77" i="10"/>
  <c r="F177" i="10" s="1"/>
  <c r="F251" i="10" s="1"/>
  <c r="N268" i="4"/>
  <c r="N260" i="4"/>
  <c r="E35" i="22"/>
  <c r="F35" i="22" s="1"/>
  <c r="H40" i="61" s="1"/>
  <c r="G664" i="4"/>
  <c r="N273" i="4"/>
  <c r="G666" i="4"/>
  <c r="G37" i="51"/>
  <c r="G36" i="51"/>
  <c r="H35" i="51"/>
  <c r="F37" i="51"/>
  <c r="I34" i="51"/>
  <c r="H36" i="51"/>
  <c r="F34" i="51"/>
  <c r="G34" i="51"/>
  <c r="C10" i="23"/>
  <c r="C16" i="23"/>
  <c r="C11" i="23"/>
  <c r="C9" i="23"/>
  <c r="F36" i="57"/>
  <c r="F61" i="57" s="1"/>
  <c r="F166" i="42"/>
  <c r="F658" i="4"/>
  <c r="F678" i="4" s="1"/>
  <c r="F666" i="4"/>
  <c r="F686" i="4" s="1"/>
  <c r="F654" i="4"/>
  <c r="F674" i="4" s="1"/>
  <c r="F660" i="4"/>
  <c r="F680" i="4" s="1"/>
  <c r="F663" i="4"/>
  <c r="F683" i="4" s="1"/>
  <c r="F1298" i="4"/>
  <c r="F664" i="4"/>
  <c r="F684" i="4" s="1"/>
  <c r="F665" i="4"/>
  <c r="F659" i="4"/>
  <c r="F679" i="4" s="1"/>
  <c r="N265" i="4"/>
  <c r="G656" i="4"/>
  <c r="N257" i="4"/>
  <c r="N276" i="4"/>
  <c r="G661" i="4"/>
  <c r="N284" i="4"/>
  <c r="J194" i="13"/>
  <c r="M195" i="13"/>
  <c r="F46" i="43"/>
  <c r="F151" i="43" s="1"/>
  <c r="F152" i="43" s="1"/>
  <c r="M1116" i="4"/>
  <c r="I63" i="52"/>
  <c r="I75" i="32"/>
  <c r="M75" i="32"/>
  <c r="F75" i="32"/>
  <c r="J75" i="32"/>
  <c r="H75" i="32"/>
  <c r="L75" i="32"/>
  <c r="K75" i="32"/>
  <c r="G75" i="32"/>
  <c r="N75" i="32"/>
  <c r="F82" i="10"/>
  <c r="F80" i="10"/>
  <c r="L190" i="10" s="1"/>
  <c r="L263" i="10" s="1"/>
  <c r="F41" i="30"/>
  <c r="F37" i="33"/>
  <c r="D113" i="33" s="1"/>
  <c r="E39" i="52"/>
  <c r="F40" i="30"/>
  <c r="I84" i="24"/>
  <c r="I205" i="24" s="1"/>
  <c r="H85" i="24"/>
  <c r="L85" i="24"/>
  <c r="I85" i="24"/>
  <c r="H84" i="24"/>
  <c r="H205" i="24" s="1"/>
  <c r="G85" i="24"/>
  <c r="K85" i="24"/>
  <c r="J84" i="24"/>
  <c r="J205" i="24" s="1"/>
  <c r="G84" i="24"/>
  <c r="G205" i="24" s="1"/>
  <c r="F85" i="24"/>
  <c r="J85" i="24"/>
  <c r="N85" i="24"/>
  <c r="F84" i="24"/>
  <c r="F205" i="24" s="1"/>
  <c r="M85" i="24"/>
  <c r="H25" i="24"/>
  <c r="H43" i="24" s="1"/>
  <c r="J24" i="24"/>
  <c r="N26" i="24"/>
  <c r="J26" i="24"/>
  <c r="K18" i="8"/>
  <c r="K17" i="8"/>
  <c r="M16" i="8"/>
  <c r="M18" i="8"/>
  <c r="I25" i="24"/>
  <c r="I43" i="24" s="1"/>
  <c r="M17" i="8"/>
  <c r="J18" i="8"/>
  <c r="M26" i="24"/>
  <c r="J17" i="8"/>
  <c r="L18" i="8"/>
  <c r="I24" i="24"/>
  <c r="G25" i="24"/>
  <c r="G43" i="24" s="1"/>
  <c r="K26" i="24"/>
  <c r="G26" i="24"/>
  <c r="N17" i="8"/>
  <c r="N16" i="8"/>
  <c r="N18" i="8"/>
  <c r="I18" i="8"/>
  <c r="H24" i="24"/>
  <c r="L26" i="24"/>
  <c r="H26" i="24"/>
  <c r="I17" i="8"/>
  <c r="I16" i="8"/>
  <c r="J25" i="24"/>
  <c r="J43" i="24" s="1"/>
  <c r="I26" i="24"/>
  <c r="L17" i="8"/>
  <c r="K16" i="8"/>
  <c r="M20" i="33"/>
  <c r="M65" i="33" s="1"/>
  <c r="F24" i="24"/>
  <c r="J27" i="24"/>
  <c r="F45" i="24"/>
  <c r="J86" i="24"/>
  <c r="J213" i="24" s="1"/>
  <c r="J232" i="24" s="1"/>
  <c r="F124" i="47"/>
  <c r="F120" i="47"/>
  <c r="K95" i="46"/>
  <c r="L94" i="46"/>
  <c r="J97" i="46"/>
  <c r="K97" i="46"/>
  <c r="K78" i="46"/>
  <c r="G97" i="46"/>
  <c r="N96" i="46"/>
  <c r="N76" i="46"/>
  <c r="N79" i="46"/>
  <c r="H79" i="46"/>
  <c r="L79" i="46"/>
  <c r="L96" i="46"/>
  <c r="G94" i="46"/>
  <c r="M96" i="46"/>
  <c r="F97" i="46"/>
  <c r="L28" i="10"/>
  <c r="L30" i="10" s="1"/>
  <c r="K36" i="24"/>
  <c r="K37" i="24" s="1"/>
  <c r="N36" i="24"/>
  <c r="N37" i="24" s="1"/>
  <c r="F98" i="24"/>
  <c r="F78" i="46"/>
  <c r="F76" i="46"/>
  <c r="F45" i="9"/>
  <c r="F90" i="9" s="1"/>
  <c r="N17" i="32"/>
  <c r="K26" i="9"/>
  <c r="M16" i="9"/>
  <c r="J16" i="9"/>
  <c r="F99" i="24"/>
  <c r="H19" i="32"/>
  <c r="N29" i="10"/>
  <c r="J17" i="10"/>
  <c r="K29" i="10"/>
  <c r="F51" i="8"/>
  <c r="F110" i="8" s="1"/>
  <c r="G110" i="8" s="1"/>
  <c r="H110" i="8" s="1"/>
  <c r="L16" i="7"/>
  <c r="F18" i="9"/>
  <c r="H16" i="9"/>
  <c r="M16" i="7"/>
  <c r="L16" i="9"/>
  <c r="K25" i="9"/>
  <c r="F100" i="24"/>
  <c r="I24" i="9"/>
  <c r="L27" i="9"/>
  <c r="H17" i="9"/>
  <c r="J24" i="9"/>
  <c r="F39" i="30"/>
  <c r="F55" i="9"/>
  <c r="D136" i="9" s="1"/>
  <c r="N283" i="4"/>
  <c r="N267" i="4"/>
  <c r="N277" i="4"/>
  <c r="N285" i="4"/>
  <c r="L1116" i="4"/>
  <c r="F867" i="4"/>
  <c r="F868" i="4" s="1"/>
  <c r="F718" i="4"/>
  <c r="F721" i="4" s="1"/>
  <c r="G721" i="4" s="1"/>
  <c r="H721" i="4" s="1"/>
  <c r="I721" i="4" s="1"/>
  <c r="J721" i="4" s="1"/>
  <c r="K721" i="4" s="1"/>
  <c r="L721" i="4" s="1"/>
  <c r="M721" i="4" s="1"/>
  <c r="E250" i="4"/>
  <c r="J867" i="4"/>
  <c r="J868" i="4" s="1"/>
  <c r="J581" i="4"/>
  <c r="N867" i="4"/>
  <c r="N868" i="4" s="1"/>
  <c r="N581" i="4"/>
  <c r="F252" i="4"/>
  <c r="F248" i="4"/>
  <c r="J192" i="13"/>
  <c r="M193" i="13"/>
  <c r="H257" i="10"/>
  <c r="N96" i="18"/>
  <c r="M60" i="57"/>
  <c r="K60" i="57"/>
  <c r="F342" i="42" a="1"/>
  <c r="K120" i="42"/>
  <c r="K328" i="42" s="1"/>
  <c r="K367" i="42" s="1"/>
  <c r="F106" i="58"/>
  <c r="F107" i="58" s="1"/>
  <c r="F178" i="58" s="1"/>
  <c r="F179" i="58" s="1"/>
  <c r="J104" i="58"/>
  <c r="K112" i="58" s="1"/>
  <c r="K114" i="58" s="1"/>
  <c r="I105" i="58"/>
  <c r="H105" i="58"/>
  <c r="G104" i="58"/>
  <c r="G107" i="58" s="1"/>
  <c r="G178" i="58" s="1"/>
  <c r="I121" i="8"/>
  <c r="N20" i="32"/>
  <c r="N63" i="32" s="1"/>
  <c r="M74" i="32"/>
  <c r="G68" i="32"/>
  <c r="G70" i="32" s="1"/>
  <c r="M120" i="32"/>
  <c r="G120" i="32"/>
  <c r="M333" i="15"/>
  <c r="L341" i="42"/>
  <c r="L388" i="42" s="1"/>
  <c r="L389" i="42" s="1"/>
  <c r="F80" i="59"/>
  <c r="J276" i="14"/>
  <c r="J479" i="14" s="1"/>
  <c r="J487" i="14" s="1"/>
  <c r="F488" i="14"/>
  <c r="M331" i="15"/>
  <c r="N327" i="42"/>
  <c r="N361" i="42" s="1"/>
  <c r="N362" i="42" s="1" a="1"/>
  <c r="I327" i="42"/>
  <c r="I361" i="42" s="1"/>
  <c r="M145" i="43"/>
  <c r="J486" i="14"/>
  <c r="J503" i="14" s="1"/>
  <c r="F424" i="42"/>
  <c r="F426" i="42" s="1"/>
  <c r="M341" i="42"/>
  <c r="L367" i="42"/>
  <c r="N435" i="42"/>
  <c r="L332" i="15"/>
  <c r="F484" i="14"/>
  <c r="F485" i="14"/>
  <c r="F496" i="14" s="1"/>
  <c r="M330" i="15"/>
  <c r="M214" i="43"/>
  <c r="K327" i="42"/>
  <c r="K361" i="42" s="1"/>
  <c r="K362" i="42" s="1" a="1"/>
  <c r="H327" i="42"/>
  <c r="H361" i="42" s="1"/>
  <c r="H362" i="42" s="1" a="1"/>
  <c r="N333" i="15"/>
  <c r="H333" i="15"/>
  <c r="I422" i="42"/>
  <c r="K404" i="42"/>
  <c r="H435" i="42"/>
  <c r="G404" i="42"/>
  <c r="I341" i="42"/>
  <c r="I388" i="42" s="1"/>
  <c r="I389" i="42" s="1"/>
  <c r="G422" i="42"/>
  <c r="G457" i="42" s="1"/>
  <c r="M325" i="34"/>
  <c r="N325" i="34"/>
  <c r="O325" i="34" s="1"/>
  <c r="L325" i="34"/>
  <c r="J325" i="34"/>
  <c r="I325" i="34"/>
  <c r="H325" i="34"/>
  <c r="K325" i="34"/>
  <c r="G326" i="42"/>
  <c r="L326" i="42"/>
  <c r="L355" i="42" s="1"/>
  <c r="I326" i="42"/>
  <c r="M326" i="42"/>
  <c r="M355" i="42" s="1"/>
  <c r="M356" i="42" s="1" a="1"/>
  <c r="H326" i="42"/>
  <c r="H355" i="42" s="1"/>
  <c r="H356" i="42" s="1" a="1"/>
  <c r="J326" i="42"/>
  <c r="J355" i="42" s="1"/>
  <c r="N326" i="42"/>
  <c r="N355" i="42" s="1"/>
  <c r="F326" i="42"/>
  <c r="F355" i="42" s="1"/>
  <c r="K326" i="42"/>
  <c r="K355" i="42" s="1"/>
  <c r="K356" i="42" s="1" a="1"/>
  <c r="N334" i="34"/>
  <c r="I355" i="42"/>
  <c r="N341" i="42"/>
  <c r="N388" i="42" s="1"/>
  <c r="N389" i="42" s="1"/>
  <c r="I407" i="42"/>
  <c r="K435" i="42"/>
  <c r="M435" i="42"/>
  <c r="N407" i="42"/>
  <c r="K407" i="42"/>
  <c r="J341" i="42"/>
  <c r="F341" i="42"/>
  <c r="F388" i="42" s="1"/>
  <c r="F389" i="42" s="1"/>
  <c r="J407" i="42"/>
  <c r="F404" i="42"/>
  <c r="H341" i="42"/>
  <c r="I404" i="42"/>
  <c r="K341" i="42"/>
  <c r="I192" i="10"/>
  <c r="G338" i="34"/>
  <c r="M406" i="42"/>
  <c r="M407" i="42" s="1"/>
  <c r="J338" i="34"/>
  <c r="G275" i="14"/>
  <c r="G478" i="14" s="1"/>
  <c r="G486" i="14" s="1"/>
  <c r="G503" i="14" s="1"/>
  <c r="G276" i="14"/>
  <c r="G479" i="14" s="1"/>
  <c r="G487" i="14" s="1"/>
  <c r="G388" i="42"/>
  <c r="G389" i="42" s="1"/>
  <c r="H488" i="14"/>
  <c r="M404" i="42"/>
  <c r="N139" i="12"/>
  <c r="N146" i="12" s="1"/>
  <c r="K98" i="12"/>
  <c r="M338" i="34"/>
  <c r="M170" i="10"/>
  <c r="J404" i="42"/>
  <c r="K422" i="42"/>
  <c r="K424" i="42" s="1"/>
  <c r="K426" i="42" s="1"/>
  <c r="I275" i="14"/>
  <c r="I478" i="14" s="1"/>
  <c r="I486" i="14" s="1"/>
  <c r="I503" i="14" s="1"/>
  <c r="G333" i="15"/>
  <c r="G484" i="14"/>
  <c r="J485" i="14"/>
  <c r="J98" i="12"/>
  <c r="J139" i="12" s="1"/>
  <c r="J146" i="12" s="1"/>
  <c r="M98" i="12"/>
  <c r="M264" i="10"/>
  <c r="M189" i="10"/>
  <c r="L189" i="10"/>
  <c r="L265" i="10" s="1"/>
  <c r="L264" i="10"/>
  <c r="J264" i="10"/>
  <c r="J189" i="10"/>
  <c r="J152" i="43"/>
  <c r="M152" i="43"/>
  <c r="M147" i="43"/>
  <c r="M146" i="43"/>
  <c r="M209" i="43" s="1"/>
  <c r="F616" i="4"/>
  <c r="F617" i="4"/>
  <c r="F615" i="4"/>
  <c r="N718" i="4" s="1"/>
  <c r="G272" i="14"/>
  <c r="G475" i="14" s="1"/>
  <c r="G483" i="14" s="1"/>
  <c r="I272" i="14"/>
  <c r="I475" i="14" s="1"/>
  <c r="I483" i="14" s="1"/>
  <c r="K487" i="14"/>
  <c r="M274" i="14"/>
  <c r="M477" i="14" s="1"/>
  <c r="M485" i="14" s="1"/>
  <c r="H214" i="43"/>
  <c r="F154" i="10"/>
  <c r="M277" i="14"/>
  <c r="M480" i="14" s="1"/>
  <c r="M488" i="14" s="1"/>
  <c r="L273" i="14"/>
  <c r="L476" i="14" s="1"/>
  <c r="L484" i="14" s="1"/>
  <c r="J273" i="14"/>
  <c r="J476" i="14" s="1"/>
  <c r="J484" i="14" s="1"/>
  <c r="K336" i="34"/>
  <c r="I334" i="34"/>
  <c r="K337" i="34"/>
  <c r="K334" i="34"/>
  <c r="J337" i="34"/>
  <c r="F250" i="10"/>
  <c r="G334" i="34"/>
  <c r="M337" i="34"/>
  <c r="H334" i="34"/>
  <c r="I338" i="34"/>
  <c r="K338" i="34"/>
  <c r="N338" i="34"/>
  <c r="L338" i="34"/>
  <c r="J334" i="34"/>
  <c r="F70" i="32"/>
  <c r="I336" i="34"/>
  <c r="M336" i="34"/>
  <c r="H336" i="34"/>
  <c r="L336" i="34"/>
  <c r="G335" i="34"/>
  <c r="K335" i="34"/>
  <c r="M335" i="34"/>
  <c r="L335" i="34"/>
  <c r="H335" i="34"/>
  <c r="I335" i="34"/>
  <c r="J335" i="34"/>
  <c r="N335" i="34"/>
  <c r="N336" i="34"/>
  <c r="L337" i="34"/>
  <c r="N337" i="34"/>
  <c r="G118" i="6"/>
  <c r="H118" i="6" s="1"/>
  <c r="J336" i="34"/>
  <c r="H337" i="34"/>
  <c r="G337" i="34"/>
  <c r="H406" i="42"/>
  <c r="H407" i="42" s="1"/>
  <c r="H404" i="42"/>
  <c r="L214" i="43"/>
  <c r="L153" i="43"/>
  <c r="L152" i="43"/>
  <c r="L113" i="52"/>
  <c r="L64" i="52"/>
  <c r="F86" i="57"/>
  <c r="G264" i="10"/>
  <c r="G189" i="10"/>
  <c r="F113" i="52"/>
  <c r="F64" i="52"/>
  <c r="G113" i="52"/>
  <c r="G64" i="52"/>
  <c r="J277" i="14"/>
  <c r="J480" i="14" s="1"/>
  <c r="J488" i="14" s="1"/>
  <c r="G277" i="14"/>
  <c r="G480" i="14" s="1"/>
  <c r="G488" i="14" s="1"/>
  <c r="L277" i="14"/>
  <c r="L480" i="14" s="1"/>
  <c r="L488" i="14" s="1"/>
  <c r="K277" i="14"/>
  <c r="K480" i="14" s="1"/>
  <c r="K488" i="14" s="1"/>
  <c r="N480" i="14"/>
  <c r="N488" i="14" s="1"/>
  <c r="I324" i="15"/>
  <c r="I331" i="15" s="1"/>
  <c r="H331" i="15"/>
  <c r="J325" i="15"/>
  <c r="J332" i="15" s="1"/>
  <c r="I332" i="15"/>
  <c r="K324" i="15"/>
  <c r="K331" i="15" s="1"/>
  <c r="J202" i="13"/>
  <c r="J210" i="13" s="1"/>
  <c r="J284" i="13" s="1"/>
  <c r="N332" i="15"/>
  <c r="K202" i="13"/>
  <c r="K210" i="13" s="1"/>
  <c r="M202" i="13"/>
  <c r="M210" i="13" s="1"/>
  <c r="N202" i="13"/>
  <c r="N210" i="13" s="1"/>
  <c r="I202" i="13"/>
  <c r="I210" i="13" s="1"/>
  <c r="I326" i="13" s="1"/>
  <c r="L202" i="13"/>
  <c r="L210" i="13" s="1"/>
  <c r="N214" i="43"/>
  <c r="N153" i="43"/>
  <c r="N152" i="43"/>
  <c r="F214" i="43"/>
  <c r="J113" i="52"/>
  <c r="J64" i="52"/>
  <c r="G70" i="33"/>
  <c r="G114" i="33"/>
  <c r="K170" i="10"/>
  <c r="K264" i="10"/>
  <c r="K189" i="10"/>
  <c r="H86" i="57"/>
  <c r="M276" i="14"/>
  <c r="M479" i="14" s="1"/>
  <c r="M487" i="14" s="1"/>
  <c r="N479" i="14"/>
  <c r="N487" i="14" s="1"/>
  <c r="N278" i="14"/>
  <c r="I276" i="14"/>
  <c r="I479" i="14" s="1"/>
  <c r="I487" i="14" s="1"/>
  <c r="H276" i="14"/>
  <c r="H479" i="14" s="1"/>
  <c r="H487" i="14" s="1"/>
  <c r="L276" i="14"/>
  <c r="L479" i="14" s="1"/>
  <c r="L487" i="14" s="1"/>
  <c r="F431" i="15"/>
  <c r="F506" i="15"/>
  <c r="L324" i="15"/>
  <c r="L331" i="15" s="1"/>
  <c r="H323" i="15"/>
  <c r="H330" i="15" s="1"/>
  <c r="G330" i="15"/>
  <c r="I323" i="15"/>
  <c r="I330" i="15" s="1"/>
  <c r="G202" i="13"/>
  <c r="G210" i="13" s="1"/>
  <c r="G305" i="13" s="1"/>
  <c r="G170" i="10"/>
  <c r="H422" i="42"/>
  <c r="H419" i="42"/>
  <c r="H560" i="42" s="1"/>
  <c r="F170" i="10"/>
  <c r="F264" i="10"/>
  <c r="F189" i="10"/>
  <c r="F265" i="10" s="1"/>
  <c r="M64" i="52"/>
  <c r="M113" i="52"/>
  <c r="K113" i="52"/>
  <c r="K64" i="52"/>
  <c r="F361" i="42"/>
  <c r="F362" i="42" s="1" a="1"/>
  <c r="K275" i="14"/>
  <c r="K478" i="14" s="1"/>
  <c r="K486" i="14" s="1"/>
  <c r="K503" i="14" s="1"/>
  <c r="L275" i="14"/>
  <c r="L478" i="14" s="1"/>
  <c r="L486" i="14" s="1"/>
  <c r="L503" i="14" s="1"/>
  <c r="H275" i="14"/>
  <c r="H478" i="14" s="1"/>
  <c r="H486" i="14" s="1"/>
  <c r="H503" i="14" s="1"/>
  <c r="N478" i="14"/>
  <c r="N486" i="14" s="1"/>
  <c r="N503" i="14" s="1"/>
  <c r="I177" i="13"/>
  <c r="J177" i="13" s="1"/>
  <c r="G151" i="12"/>
  <c r="G146" i="12"/>
  <c r="I326" i="15"/>
  <c r="I333" i="15" s="1"/>
  <c r="K333" i="15"/>
  <c r="L326" i="15"/>
  <c r="L333" i="15" s="1"/>
  <c r="J324" i="15"/>
  <c r="J331" i="15" s="1"/>
  <c r="J333" i="15"/>
  <c r="M483" i="14"/>
  <c r="J330" i="15"/>
  <c r="G332" i="15"/>
  <c r="I160" i="7"/>
  <c r="L161" i="7"/>
  <c r="M161" i="7"/>
  <c r="J161" i="7"/>
  <c r="L160" i="7"/>
  <c r="M160" i="7"/>
  <c r="K161" i="7"/>
  <c r="K160" i="7"/>
  <c r="N160" i="7"/>
  <c r="N161" i="7"/>
  <c r="J160" i="7"/>
  <c r="G471" i="34"/>
  <c r="G582" i="34" s="1"/>
  <c r="H368" i="34"/>
  <c r="L213" i="43"/>
  <c r="L211" i="43"/>
  <c r="L147" i="43"/>
  <c r="L145" i="43"/>
  <c r="L146" i="43"/>
  <c r="L209" i="43" s="1"/>
  <c r="H66" i="52"/>
  <c r="H68" i="52" s="1"/>
  <c r="H64" i="52"/>
  <c r="H113" i="52"/>
  <c r="N64" i="52"/>
  <c r="N113" i="52"/>
  <c r="I273" i="14"/>
  <c r="I476" i="14" s="1"/>
  <c r="I484" i="14" s="1"/>
  <c r="M273" i="14"/>
  <c r="M476" i="14" s="1"/>
  <c r="M484" i="14" s="1"/>
  <c r="H273" i="14"/>
  <c r="H476" i="14" s="1"/>
  <c r="H484" i="14" s="1"/>
  <c r="N476" i="14"/>
  <c r="N484" i="14" s="1"/>
  <c r="K274" i="14"/>
  <c r="K477" i="14" s="1"/>
  <c r="K485" i="14" s="1"/>
  <c r="G274" i="14"/>
  <c r="G477" i="14" s="1"/>
  <c r="G485" i="14" s="1"/>
  <c r="H274" i="14"/>
  <c r="H477" i="14" s="1"/>
  <c r="H485" i="14" s="1"/>
  <c r="N477" i="14"/>
  <c r="N485" i="14" s="1"/>
  <c r="L274" i="14"/>
  <c r="L477" i="14" s="1"/>
  <c r="L485" i="14" s="1"/>
  <c r="H175" i="13"/>
  <c r="G86" i="57"/>
  <c r="M332" i="15"/>
  <c r="N211" i="43"/>
  <c r="N145" i="43"/>
  <c r="N146" i="43"/>
  <c r="N209" i="43" s="1"/>
  <c r="N213" i="43"/>
  <c r="N147" i="43"/>
  <c r="G313" i="14"/>
  <c r="H307" i="14"/>
  <c r="J309" i="14"/>
  <c r="J314" i="14"/>
  <c r="L307" i="14"/>
  <c r="I307" i="14"/>
  <c r="I312" i="14"/>
  <c r="K313" i="14"/>
  <c r="K314" i="14"/>
  <c r="M313" i="14"/>
  <c r="M314" i="14"/>
  <c r="I313" i="14"/>
  <c r="L314" i="14"/>
  <c r="N312" i="14"/>
  <c r="G312" i="14"/>
  <c r="H314" i="14"/>
  <c r="L313" i="14"/>
  <c r="I309" i="14"/>
  <c r="J312" i="14"/>
  <c r="K312" i="14"/>
  <c r="N309" i="14"/>
  <c r="N302" i="14"/>
  <c r="L302" i="14"/>
  <c r="G307" i="14"/>
  <c r="K307" i="14"/>
  <c r="M302" i="14"/>
  <c r="J302" i="14"/>
  <c r="H313" i="14"/>
  <c r="L309" i="14"/>
  <c r="G302" i="14"/>
  <c r="N314" i="14"/>
  <c r="I302" i="14"/>
  <c r="H291" i="13"/>
  <c r="H298" i="13"/>
  <c r="H305" i="13"/>
  <c r="H284" i="13"/>
  <c r="N170" i="10"/>
  <c r="N264" i="10"/>
  <c r="N189" i="10"/>
  <c r="J211" i="43"/>
  <c r="J213" i="43"/>
  <c r="J145" i="43"/>
  <c r="J146" i="43"/>
  <c r="J209" i="43" s="1"/>
  <c r="J147" i="43"/>
  <c r="N212" i="43"/>
  <c r="N215" i="43"/>
  <c r="G169" i="7"/>
  <c r="G167" i="7"/>
  <c r="G168" i="7"/>
  <c r="F314" i="14"/>
  <c r="F313" i="14"/>
  <c r="F309" i="14"/>
  <c r="F307" i="14"/>
  <c r="F302" i="14"/>
  <c r="G324" i="34"/>
  <c r="H324" i="34"/>
  <c r="J324" i="34"/>
  <c r="L324" i="34"/>
  <c r="K324" i="34"/>
  <c r="M324" i="34"/>
  <c r="I324" i="34"/>
  <c r="N324" i="34"/>
  <c r="K212" i="43"/>
  <c r="K215" i="43"/>
  <c r="K153" i="43"/>
  <c r="K152" i="43"/>
  <c r="J212" i="43"/>
  <c r="J215" i="43"/>
  <c r="J153" i="43"/>
  <c r="N657" i="4" l="1"/>
  <c r="N313" i="34"/>
  <c r="K312" i="34"/>
  <c r="O324" i="34"/>
  <c r="P324" i="34"/>
  <c r="N159" i="14"/>
  <c r="N635" i="4"/>
  <c r="O635" i="4" s="1"/>
  <c r="G635" i="4" s="1"/>
  <c r="E60" i="22"/>
  <c r="H637" i="4"/>
  <c r="I637" i="4" s="1"/>
  <c r="J637" i="4" s="1"/>
  <c r="K637" i="4" s="1"/>
  <c r="L637" i="4" s="1"/>
  <c r="M637" i="4" s="1"/>
  <c r="G665" i="4"/>
  <c r="G685" i="4" s="1"/>
  <c r="N634" i="4"/>
  <c r="O634" i="4" s="1"/>
  <c r="G634" i="4" s="1"/>
  <c r="O44" i="34"/>
  <c r="G660" i="4"/>
  <c r="E59" i="22"/>
  <c r="F19" i="53" s="1"/>
  <c r="N630" i="4"/>
  <c r="O630" i="4" s="1"/>
  <c r="G630" i="4" s="1"/>
  <c r="E70" i="59"/>
  <c r="O627" i="4"/>
  <c r="G627" i="4" s="1"/>
  <c r="N430" i="34"/>
  <c r="M66" i="52"/>
  <c r="M68" i="52" s="1"/>
  <c r="J66" i="52"/>
  <c r="J68" i="52" s="1"/>
  <c r="G66" i="52"/>
  <c r="F330" i="17"/>
  <c r="N654" i="4"/>
  <c r="O626" i="4"/>
  <c r="G626" i="4" s="1"/>
  <c r="C22" i="31"/>
  <c r="AA27" i="19"/>
  <c r="K159" i="14"/>
  <c r="I145" i="12"/>
  <c r="J150" i="12" s="1"/>
  <c r="L19" i="8"/>
  <c r="M121" i="8" s="1"/>
  <c r="M135" i="8" s="1"/>
  <c r="I159" i="14"/>
  <c r="F188" i="34"/>
  <c r="K159" i="10"/>
  <c r="K257" i="10" s="1"/>
  <c r="M148" i="14"/>
  <c r="L159" i="14"/>
  <c r="F159" i="14"/>
  <c r="F346" i="14" s="1"/>
  <c r="F190" i="34"/>
  <c r="F402" i="34" s="1"/>
  <c r="F189" i="34"/>
  <c r="F392" i="34" s="1"/>
  <c r="J159" i="14"/>
  <c r="M159" i="14"/>
  <c r="P43" i="34"/>
  <c r="F150" i="14"/>
  <c r="F332" i="14" s="1"/>
  <c r="H159" i="14"/>
  <c r="H202" i="14"/>
  <c r="F208" i="17"/>
  <c r="F209" i="17" s="1"/>
  <c r="J125" i="24"/>
  <c r="H98" i="34"/>
  <c r="L98" i="34"/>
  <c r="I99" i="34"/>
  <c r="M99" i="34"/>
  <c r="J100" i="34"/>
  <c r="N100" i="34"/>
  <c r="H97" i="34"/>
  <c r="L97" i="34"/>
  <c r="J98" i="34"/>
  <c r="N98" i="34"/>
  <c r="K99" i="34"/>
  <c r="H100" i="34"/>
  <c r="L100" i="34"/>
  <c r="J97" i="34"/>
  <c r="N97" i="34"/>
  <c r="K98" i="34"/>
  <c r="H99" i="34"/>
  <c r="I100" i="34"/>
  <c r="M100" i="34"/>
  <c r="K97" i="34"/>
  <c r="I98" i="34"/>
  <c r="M98" i="34"/>
  <c r="J99" i="34"/>
  <c r="N99" i="34"/>
  <c r="K100" i="34"/>
  <c r="G100" i="34"/>
  <c r="I97" i="34"/>
  <c r="M97" i="34"/>
  <c r="G99" i="34"/>
  <c r="L99" i="34"/>
  <c r="G98" i="34"/>
  <c r="G97" i="34"/>
  <c r="P34" i="34"/>
  <c r="F176" i="34"/>
  <c r="Q30" i="34"/>
  <c r="I430" i="34"/>
  <c r="I63" i="61"/>
  <c r="I29" i="12"/>
  <c r="I209" i="14"/>
  <c r="G358" i="34"/>
  <c r="H358" i="34" s="1"/>
  <c r="I358" i="34" s="1"/>
  <c r="J358" i="34" s="1"/>
  <c r="K358" i="34" s="1"/>
  <c r="L358" i="34" s="1"/>
  <c r="M358" i="34" s="1"/>
  <c r="N358" i="34" s="1"/>
  <c r="F470" i="34"/>
  <c r="G357" i="34"/>
  <c r="G469" i="34" s="1"/>
  <c r="K180" i="15"/>
  <c r="F69" i="13"/>
  <c r="I202" i="17"/>
  <c r="I203" i="17" s="1"/>
  <c r="J85" i="43"/>
  <c r="K108" i="24"/>
  <c r="H208" i="17"/>
  <c r="H209" i="17" s="1"/>
  <c r="L131" i="13"/>
  <c r="L430" i="34"/>
  <c r="I202" i="14"/>
  <c r="N183" i="15"/>
  <c r="M26" i="12"/>
  <c r="K122" i="24"/>
  <c r="J244" i="17"/>
  <c r="J245" i="17" s="1"/>
  <c r="H184" i="14"/>
  <c r="I183" i="15"/>
  <c r="J114" i="24"/>
  <c r="F159" i="15"/>
  <c r="G210" i="14"/>
  <c r="J430" i="34"/>
  <c r="I119" i="13"/>
  <c r="I188" i="15"/>
  <c r="G69" i="13"/>
  <c r="F226" i="14"/>
  <c r="K183" i="14"/>
  <c r="L202" i="17"/>
  <c r="L203" i="17" s="1"/>
  <c r="M27" i="51"/>
  <c r="J124" i="13"/>
  <c r="F29" i="12"/>
  <c r="Q44" i="34"/>
  <c r="Q22" i="34"/>
  <c r="P40" i="34"/>
  <c r="Q43" i="34"/>
  <c r="I436" i="34"/>
  <c r="P21" i="34"/>
  <c r="P23" i="34"/>
  <c r="P20" i="34"/>
  <c r="Q21" i="34"/>
  <c r="O20" i="34"/>
  <c r="P26" i="34"/>
  <c r="Q38" i="34"/>
  <c r="P49" i="34"/>
  <c r="Q50" i="34"/>
  <c r="Q36" i="34"/>
  <c r="Q28" i="34"/>
  <c r="O36" i="34"/>
  <c r="Q37" i="34"/>
  <c r="Q46" i="34"/>
  <c r="Q26" i="34"/>
  <c r="Q25" i="34"/>
  <c r="P35" i="34"/>
  <c r="Q23" i="34"/>
  <c r="Q20" i="34"/>
  <c r="P29" i="34"/>
  <c r="Q39" i="34"/>
  <c r="Q49" i="34"/>
  <c r="Q41" i="34"/>
  <c r="Q45" i="34"/>
  <c r="P41" i="34"/>
  <c r="P24" i="34"/>
  <c r="P33" i="34"/>
  <c r="P42" i="34"/>
  <c r="P51" i="34"/>
  <c r="Q27" i="34"/>
  <c r="Q34" i="34"/>
  <c r="P25" i="34"/>
  <c r="P30" i="34"/>
  <c r="Q35" i="34"/>
  <c r="Q29" i="34"/>
  <c r="O28" i="34"/>
  <c r="P48" i="34"/>
  <c r="P50" i="34"/>
  <c r="P32" i="34"/>
  <c r="P39" i="34"/>
  <c r="P31" i="34"/>
  <c r="P47" i="34"/>
  <c r="P28" i="34"/>
  <c r="P37" i="34"/>
  <c r="P46" i="34"/>
  <c r="Q47" i="34"/>
  <c r="Q31" i="34"/>
  <c r="P27" i="34"/>
  <c r="P44" i="34"/>
  <c r="P22" i="34"/>
  <c r="P38" i="34"/>
  <c r="Q48" i="34"/>
  <c r="Q40" i="34"/>
  <c r="P45" i="34"/>
  <c r="Q32" i="34"/>
  <c r="P36" i="34"/>
  <c r="Q24" i="34"/>
  <c r="Q33" i="34"/>
  <c r="Q42" i="34"/>
  <c r="Q51" i="34"/>
  <c r="J436" i="34"/>
  <c r="I213" i="14"/>
  <c r="F175" i="14"/>
  <c r="H213" i="14"/>
  <c r="J168" i="15"/>
  <c r="M183" i="15"/>
  <c r="L26" i="51"/>
  <c r="L58" i="61"/>
  <c r="G18" i="12"/>
  <c r="N51" i="61"/>
  <c r="F30" i="47"/>
  <c r="K19" i="12"/>
  <c r="C21" i="23"/>
  <c r="F182" i="42" s="1"/>
  <c r="M224" i="42"/>
  <c r="J107" i="24"/>
  <c r="M119" i="13"/>
  <c r="G219" i="42"/>
  <c r="F219" i="42" s="1"/>
  <c r="H139" i="15"/>
  <c r="H200" i="17"/>
  <c r="H201" i="17" s="1"/>
  <c r="K297" i="4"/>
  <c r="K298" i="4" s="1"/>
  <c r="I295" i="4"/>
  <c r="I296" i="4" s="1"/>
  <c r="J20" i="12"/>
  <c r="F126" i="13"/>
  <c r="F264" i="17"/>
  <c r="F265" i="17" s="1"/>
  <c r="L199" i="14"/>
  <c r="K196" i="14"/>
  <c r="K80" i="43"/>
  <c r="J68" i="13"/>
  <c r="I315" i="4"/>
  <c r="I316" i="4" s="1"/>
  <c r="N109" i="24"/>
  <c r="J118" i="13"/>
  <c r="L179" i="14"/>
  <c r="I30" i="50"/>
  <c r="G68" i="52"/>
  <c r="G102" i="52" s="1"/>
  <c r="I225" i="14"/>
  <c r="G183" i="14"/>
  <c r="H225" i="14"/>
  <c r="F193" i="15"/>
  <c r="N188" i="15"/>
  <c r="F57" i="61"/>
  <c r="G32" i="50"/>
  <c r="K20" i="12"/>
  <c r="K27" i="51"/>
  <c r="J29" i="12"/>
  <c r="G17" i="43"/>
  <c r="I228" i="34"/>
  <c r="J197" i="14"/>
  <c r="N201" i="14"/>
  <c r="I30" i="55"/>
  <c r="J46" i="58"/>
  <c r="J109" i="58" s="1"/>
  <c r="J168" i="58" s="1"/>
  <c r="I227" i="14"/>
  <c r="L31" i="50"/>
  <c r="K58" i="61"/>
  <c r="I232" i="14"/>
  <c r="K228" i="17"/>
  <c r="K229" i="17" s="1"/>
  <c r="G133" i="13"/>
  <c r="L104" i="7"/>
  <c r="J355" i="4"/>
  <c r="J356" i="4" s="1"/>
  <c r="F66" i="13"/>
  <c r="H18" i="12"/>
  <c r="H249" i="34"/>
  <c r="M45" i="61"/>
  <c r="G301" i="4"/>
  <c r="G302" i="4" s="1"/>
  <c r="J201" i="14"/>
  <c r="M185" i="14"/>
  <c r="G430" i="34"/>
  <c r="J233" i="14"/>
  <c r="G194" i="14"/>
  <c r="I233" i="14"/>
  <c r="G169" i="15"/>
  <c r="G163" i="15"/>
  <c r="M64" i="61"/>
  <c r="M28" i="51"/>
  <c r="I21" i="12"/>
  <c r="L27" i="51"/>
  <c r="L20" i="12"/>
  <c r="H224" i="17"/>
  <c r="H225" i="17" s="1"/>
  <c r="N170" i="14"/>
  <c r="G45" i="55"/>
  <c r="F45" i="55" s="1"/>
  <c r="F233" i="55" s="1"/>
  <c r="I262" i="17"/>
  <c r="I263" i="17" s="1"/>
  <c r="J99" i="7"/>
  <c r="N91" i="43"/>
  <c r="K295" i="4"/>
  <c r="K296" i="4" s="1"/>
  <c r="N64" i="61"/>
  <c r="H177" i="14"/>
  <c r="F359" i="4"/>
  <c r="F360" i="4" s="1"/>
  <c r="M133" i="24"/>
  <c r="K268" i="17"/>
  <c r="K269" i="17" s="1"/>
  <c r="K224" i="17"/>
  <c r="K225" i="17" s="1"/>
  <c r="H125" i="13"/>
  <c r="I243" i="34"/>
  <c r="I46" i="58"/>
  <c r="L208" i="17"/>
  <c r="L209" i="17" s="1"/>
  <c r="L204" i="17"/>
  <c r="L205" i="17" s="1"/>
  <c r="N138" i="15"/>
  <c r="L92" i="43"/>
  <c r="F45" i="47"/>
  <c r="F208" i="14"/>
  <c r="G216" i="14"/>
  <c r="G227" i="14"/>
  <c r="G110" i="13"/>
  <c r="F125" i="13"/>
  <c r="M176" i="14"/>
  <c r="N184" i="14"/>
  <c r="N195" i="14"/>
  <c r="N207" i="14"/>
  <c r="F216" i="14"/>
  <c r="F227" i="14"/>
  <c r="K160" i="15"/>
  <c r="F189" i="15"/>
  <c r="F173" i="15"/>
  <c r="N158" i="15"/>
  <c r="N170" i="15"/>
  <c r="K189" i="15"/>
  <c r="K159" i="15"/>
  <c r="J193" i="15"/>
  <c r="H169" i="15"/>
  <c r="G190" i="15"/>
  <c r="G26" i="51"/>
  <c r="J64" i="61"/>
  <c r="N45" i="61"/>
  <c r="L45" i="61"/>
  <c r="L46" i="61"/>
  <c r="M36" i="51"/>
  <c r="N28" i="51"/>
  <c r="J65" i="13"/>
  <c r="H29" i="12"/>
  <c r="I27" i="12"/>
  <c r="K28" i="12"/>
  <c r="G18" i="43"/>
  <c r="K57" i="61"/>
  <c r="I36" i="51"/>
  <c r="I28" i="51"/>
  <c r="G66" i="13"/>
  <c r="F35" i="47"/>
  <c r="J21" i="12"/>
  <c r="H27" i="12"/>
  <c r="G21" i="12"/>
  <c r="G26" i="12"/>
  <c r="F16" i="43"/>
  <c r="F19" i="43" s="1"/>
  <c r="F44" i="43" s="1"/>
  <c r="F144" i="43" s="1"/>
  <c r="C26" i="23"/>
  <c r="C22" i="23"/>
  <c r="G224" i="42"/>
  <c r="F224" i="42" s="1"/>
  <c r="I224" i="42"/>
  <c r="I568" i="42" s="1"/>
  <c r="K224" i="42"/>
  <c r="K568" i="42" s="1"/>
  <c r="K228" i="34"/>
  <c r="L130" i="24"/>
  <c r="H73" i="43"/>
  <c r="H211" i="14"/>
  <c r="M323" i="4"/>
  <c r="M324" i="4" s="1"/>
  <c r="N114" i="24"/>
  <c r="M351" i="4"/>
  <c r="M352" i="4" s="1"/>
  <c r="N236" i="34"/>
  <c r="K234" i="14"/>
  <c r="H345" i="4"/>
  <c r="H346" i="4" s="1"/>
  <c r="L131" i="24"/>
  <c r="K319" i="4"/>
  <c r="K320" i="4" s="1"/>
  <c r="F117" i="24"/>
  <c r="G249" i="34"/>
  <c r="F249" i="34" s="1"/>
  <c r="L295" i="4"/>
  <c r="L296" i="4" s="1"/>
  <c r="N345" i="4"/>
  <c r="N346" i="4" s="1"/>
  <c r="M229" i="14"/>
  <c r="M193" i="15"/>
  <c r="J297" i="4"/>
  <c r="J298" i="4" s="1"/>
  <c r="H234" i="17"/>
  <c r="H235" i="17" s="1"/>
  <c r="M79" i="43"/>
  <c r="M170" i="14"/>
  <c r="G208" i="14"/>
  <c r="I214" i="42"/>
  <c r="I566" i="42" s="1"/>
  <c r="N353" i="4"/>
  <c r="N354" i="4" s="1"/>
  <c r="J249" i="34"/>
  <c r="L117" i="13"/>
  <c r="M214" i="42"/>
  <c r="F111" i="13"/>
  <c r="M219" i="42"/>
  <c r="H264" i="17"/>
  <c r="H265" i="17" s="1"/>
  <c r="G180" i="15"/>
  <c r="K178" i="15"/>
  <c r="G189" i="15"/>
  <c r="I176" i="14"/>
  <c r="F186" i="14"/>
  <c r="L36" i="51"/>
  <c r="N228" i="17"/>
  <c r="N229" i="17" s="1"/>
  <c r="K233" i="14"/>
  <c r="I337" i="4"/>
  <c r="I338" i="4" s="1"/>
  <c r="L228" i="14"/>
  <c r="I20" i="12"/>
  <c r="M345" i="4"/>
  <c r="M346" i="4" s="1"/>
  <c r="N79" i="43"/>
  <c r="J315" i="4"/>
  <c r="J316" i="4" s="1"/>
  <c r="H194" i="14"/>
  <c r="N202" i="14"/>
  <c r="F106" i="24"/>
  <c r="L234" i="17"/>
  <c r="L235" i="17" s="1"/>
  <c r="G124" i="24"/>
  <c r="M244" i="17"/>
  <c r="M245" i="17" s="1"/>
  <c r="J122" i="24"/>
  <c r="L64" i="61"/>
  <c r="H52" i="61"/>
  <c r="K52" i="61"/>
  <c r="L213" i="14"/>
  <c r="M19" i="12"/>
  <c r="N200" i="17"/>
  <c r="N201" i="17" s="1"/>
  <c r="H208" i="14"/>
  <c r="I178" i="15"/>
  <c r="L117" i="24"/>
  <c r="L299" i="4"/>
  <c r="L300" i="4" s="1"/>
  <c r="G196" i="14"/>
  <c r="H237" i="34"/>
  <c r="N218" i="14"/>
  <c r="I19" i="12"/>
  <c r="N185" i="14"/>
  <c r="L178" i="15"/>
  <c r="G126" i="13"/>
  <c r="L185" i="14"/>
  <c r="G213" i="14"/>
  <c r="I212" i="17"/>
  <c r="I213" i="17" s="1"/>
  <c r="J57" i="61"/>
  <c r="M359" i="4"/>
  <c r="M360" i="4" s="1"/>
  <c r="K251" i="34"/>
  <c r="H232" i="17"/>
  <c r="H233" i="17" s="1"/>
  <c r="H32" i="43"/>
  <c r="H35" i="43" s="1"/>
  <c r="H46" i="43" s="1"/>
  <c r="H151" i="43" s="1"/>
  <c r="H215" i="43" s="1"/>
  <c r="N219" i="42"/>
  <c r="I264" i="17"/>
  <c r="I265" i="17" s="1"/>
  <c r="I114" i="15"/>
  <c r="I290" i="15" s="1"/>
  <c r="I431" i="15" s="1"/>
  <c r="I50" i="15"/>
  <c r="J52" i="15"/>
  <c r="H50" i="15"/>
  <c r="I52" i="15"/>
  <c r="G50" i="15"/>
  <c r="H52" i="15"/>
  <c r="N50" i="15"/>
  <c r="G52" i="15"/>
  <c r="F51" i="15"/>
  <c r="F145" i="14"/>
  <c r="L91" i="15"/>
  <c r="J89" i="15"/>
  <c r="L81" i="15"/>
  <c r="H81" i="15"/>
  <c r="K145" i="14"/>
  <c r="L328" i="14" s="1"/>
  <c r="H156" i="14"/>
  <c r="I164" i="14"/>
  <c r="I351" i="14" s="1"/>
  <c r="J75" i="15"/>
  <c r="L73" i="15"/>
  <c r="L67" i="15"/>
  <c r="H67" i="15"/>
  <c r="N91" i="15"/>
  <c r="K83" i="15"/>
  <c r="J145" i="14"/>
  <c r="K328" i="14" s="1"/>
  <c r="G164" i="14"/>
  <c r="G351" i="14" s="1"/>
  <c r="J73" i="15"/>
  <c r="H65" i="15"/>
  <c r="L92" i="15"/>
  <c r="I84" i="15"/>
  <c r="F146" i="14"/>
  <c r="H76" i="15"/>
  <c r="M66" i="15"/>
  <c r="H90" i="15"/>
  <c r="F92" i="15"/>
  <c r="G89" i="15"/>
  <c r="K82" i="15"/>
  <c r="G82" i="15"/>
  <c r="I146" i="14"/>
  <c r="N157" i="14"/>
  <c r="N344" i="14" s="1"/>
  <c r="N76" i="15"/>
  <c r="G75" i="15"/>
  <c r="I73" i="15"/>
  <c r="K68" i="15"/>
  <c r="G68" i="15"/>
  <c r="J91" i="15"/>
  <c r="L83" i="15"/>
  <c r="L145" i="14"/>
  <c r="M328" i="14" s="1"/>
  <c r="K164" i="14"/>
  <c r="N73" i="15"/>
  <c r="I65" i="15"/>
  <c r="I91" i="15"/>
  <c r="L84" i="15"/>
  <c r="L146" i="14"/>
  <c r="L164" i="14"/>
  <c r="F74" i="15"/>
  <c r="J66" i="15"/>
  <c r="J165" i="14"/>
  <c r="H165" i="14"/>
  <c r="J224" i="17"/>
  <c r="J225" i="17" s="1"/>
  <c r="L116" i="24"/>
  <c r="L226" i="17"/>
  <c r="L227" i="17" s="1"/>
  <c r="I246" i="17"/>
  <c r="I247" i="17" s="1"/>
  <c r="K353" i="4"/>
  <c r="K354" i="4" s="1"/>
  <c r="F209" i="14"/>
  <c r="K111" i="13"/>
  <c r="G160" i="15"/>
  <c r="N28" i="18"/>
  <c r="J25" i="18"/>
  <c r="L17" i="18"/>
  <c r="H25" i="18"/>
  <c r="K18" i="18"/>
  <c r="G18" i="18"/>
  <c r="L26" i="18"/>
  <c r="H26" i="18"/>
  <c r="M19" i="18"/>
  <c r="I19" i="18"/>
  <c r="N27" i="18"/>
  <c r="J27" i="18"/>
  <c r="F26" i="18"/>
  <c r="J20" i="18"/>
  <c r="F20" i="18"/>
  <c r="J28" i="18"/>
  <c r="K17" i="18"/>
  <c r="K25" i="18"/>
  <c r="I52" i="61"/>
  <c r="M50" i="15"/>
  <c r="N52" i="15"/>
  <c r="N283" i="15" s="1"/>
  <c r="L50" i="15"/>
  <c r="M52" i="15"/>
  <c r="K50" i="15"/>
  <c r="L52" i="15"/>
  <c r="J50" i="15"/>
  <c r="K52" i="15"/>
  <c r="F50" i="15"/>
  <c r="I90" i="15"/>
  <c r="G92" i="15"/>
  <c r="F89" i="15"/>
  <c r="K81" i="15"/>
  <c r="G81" i="15"/>
  <c r="I145" i="14"/>
  <c r="J328" i="14" s="1"/>
  <c r="M157" i="14"/>
  <c r="M344" i="14" s="1"/>
  <c r="M76" i="15"/>
  <c r="F75" i="15"/>
  <c r="H73" i="15"/>
  <c r="K67" i="15"/>
  <c r="G67" i="15"/>
  <c r="M92" i="15"/>
  <c r="I83" i="15"/>
  <c r="M156" i="14"/>
  <c r="G76" i="15"/>
  <c r="N65" i="15"/>
  <c r="F65" i="15"/>
  <c r="I89" i="15"/>
  <c r="G84" i="15"/>
  <c r="G156" i="14"/>
  <c r="I75" i="15"/>
  <c r="K66" i="15"/>
  <c r="L90" i="15"/>
  <c r="J92" i="15"/>
  <c r="N82" i="15"/>
  <c r="J82" i="15"/>
  <c r="F84" i="15"/>
  <c r="G146" i="14"/>
  <c r="J157" i="14"/>
  <c r="J344" i="14" s="1"/>
  <c r="J76" i="15"/>
  <c r="L74" i="15"/>
  <c r="N68" i="15"/>
  <c r="J68" i="15"/>
  <c r="F66" i="15"/>
  <c r="I92" i="15"/>
  <c r="J83" i="15"/>
  <c r="H145" i="14"/>
  <c r="K76" i="15"/>
  <c r="F73" i="15"/>
  <c r="G65" i="15"/>
  <c r="H92" i="15"/>
  <c r="J84" i="15"/>
  <c r="H146" i="14"/>
  <c r="L76" i="15"/>
  <c r="K73" i="15"/>
  <c r="H66" i="15"/>
  <c r="N165" i="14"/>
  <c r="L165" i="14"/>
  <c r="N53" i="15"/>
  <c r="M53" i="15"/>
  <c r="L53" i="15"/>
  <c r="K53" i="15"/>
  <c r="H91" i="15"/>
  <c r="M81" i="15"/>
  <c r="M145" i="14"/>
  <c r="M164" i="14"/>
  <c r="M351" i="14" s="1"/>
  <c r="G74" i="15"/>
  <c r="I67" i="15"/>
  <c r="M83" i="15"/>
  <c r="G157" i="14"/>
  <c r="G344" i="14" s="1"/>
  <c r="J65" i="15"/>
  <c r="J51" i="15"/>
  <c r="I51" i="15"/>
  <c r="H51" i="15"/>
  <c r="G51" i="15"/>
  <c r="F53" i="15"/>
  <c r="K92" i="15"/>
  <c r="J81" i="15"/>
  <c r="G145" i="14"/>
  <c r="H328" i="14" s="1"/>
  <c r="I76" i="15"/>
  <c r="N67" i="15"/>
  <c r="F67" i="15"/>
  <c r="G83" i="15"/>
  <c r="H75" i="15"/>
  <c r="J90" i="15"/>
  <c r="N146" i="14"/>
  <c r="J74" i="15"/>
  <c r="G91" i="15"/>
  <c r="M82" i="15"/>
  <c r="M146" i="14"/>
  <c r="N164" i="14"/>
  <c r="N351" i="14" s="1"/>
  <c r="H74" i="15"/>
  <c r="I68" i="15"/>
  <c r="L89" i="15"/>
  <c r="J156" i="14"/>
  <c r="M65" i="15"/>
  <c r="M89" i="15"/>
  <c r="K156" i="14"/>
  <c r="N66" i="15"/>
  <c r="I165" i="14"/>
  <c r="I193" i="14"/>
  <c r="N266" i="17"/>
  <c r="N267" i="17" s="1"/>
  <c r="H215" i="14"/>
  <c r="H214" i="17"/>
  <c r="H215" i="17" s="1"/>
  <c r="N311" i="4"/>
  <c r="N312" i="4" s="1"/>
  <c r="H27" i="51"/>
  <c r="I28" i="18"/>
  <c r="N17" i="18"/>
  <c r="L25" i="18"/>
  <c r="J18" i="18"/>
  <c r="N26" i="18"/>
  <c r="I26" i="18"/>
  <c r="L19" i="18"/>
  <c r="G19" i="18"/>
  <c r="K27" i="18"/>
  <c r="M20" i="18"/>
  <c r="H20" i="18"/>
  <c r="K28" i="18"/>
  <c r="H17" i="18"/>
  <c r="G25" i="18"/>
  <c r="I244" i="17"/>
  <c r="I245" i="17" s="1"/>
  <c r="L206" i="17"/>
  <c r="L207" i="17" s="1"/>
  <c r="L345" i="4"/>
  <c r="L346" i="4" s="1"/>
  <c r="I16" i="43"/>
  <c r="I19" i="43" s="1"/>
  <c r="I44" i="43" s="1"/>
  <c r="I144" i="43" s="1"/>
  <c r="I211" i="43" s="1"/>
  <c r="F53" i="47"/>
  <c r="L202" i="14"/>
  <c r="I303" i="4"/>
  <c r="I304" i="4" s="1"/>
  <c r="G186" i="14"/>
  <c r="I359" i="4"/>
  <c r="I360" i="4" s="1"/>
  <c r="M202" i="17"/>
  <c r="M203" i="17" s="1"/>
  <c r="L224" i="14"/>
  <c r="H218" i="14"/>
  <c r="H325" i="4"/>
  <c r="H326" i="4" s="1"/>
  <c r="M124" i="13"/>
  <c r="G16" i="43"/>
  <c r="G19" i="43" s="1"/>
  <c r="G44" i="43" s="1"/>
  <c r="G144" i="43" s="1"/>
  <c r="I345" i="4"/>
  <c r="I346" i="4" s="1"/>
  <c r="I234" i="14"/>
  <c r="L232" i="14"/>
  <c r="M190" i="15"/>
  <c r="H33" i="43"/>
  <c r="H246" i="17"/>
  <c r="H247" i="17" s="1"/>
  <c r="I118" i="13"/>
  <c r="I299" i="4"/>
  <c r="I300" i="4" s="1"/>
  <c r="M111" i="13"/>
  <c r="F293" i="4"/>
  <c r="F294" i="4" s="1"/>
  <c r="I179" i="14"/>
  <c r="N40" i="55"/>
  <c r="N51" i="15"/>
  <c r="P51" i="15" s="1"/>
  <c r="M51" i="15"/>
  <c r="L51" i="15"/>
  <c r="K51" i="15"/>
  <c r="F52" i="15"/>
  <c r="N89" i="15"/>
  <c r="I81" i="15"/>
  <c r="I275" i="15" s="1"/>
  <c r="I276" i="15" s="1"/>
  <c r="L156" i="14"/>
  <c r="N75" i="15"/>
  <c r="M67" i="15"/>
  <c r="K90" i="15"/>
  <c r="N145" i="14"/>
  <c r="I74" i="15"/>
  <c r="M91" i="15"/>
  <c r="J146" i="14"/>
  <c r="G73" i="15"/>
  <c r="K91" i="15"/>
  <c r="L82" i="15"/>
  <c r="K146" i="14"/>
  <c r="J164" i="14"/>
  <c r="J351" i="14" s="1"/>
  <c r="M73" i="15"/>
  <c r="H68" i="15"/>
  <c r="N83" i="15"/>
  <c r="K157" i="14"/>
  <c r="K65" i="15"/>
  <c r="K265" i="15" s="1"/>
  <c r="K266" i="15" s="1"/>
  <c r="N84" i="15"/>
  <c r="L157" i="14"/>
  <c r="L344" i="14" s="1"/>
  <c r="L66" i="15"/>
  <c r="M165" i="14"/>
  <c r="M352" i="14" s="1"/>
  <c r="N197" i="14"/>
  <c r="L229" i="14"/>
  <c r="N168" i="15"/>
  <c r="J345" i="4"/>
  <c r="J346" i="4" s="1"/>
  <c r="H176" i="14"/>
  <c r="L40" i="55"/>
  <c r="J17" i="18"/>
  <c r="M17" i="18"/>
  <c r="N18" i="18"/>
  <c r="I18" i="18"/>
  <c r="M26" i="18"/>
  <c r="G26" i="18"/>
  <c r="K19" i="18"/>
  <c r="F19" i="18"/>
  <c r="I27" i="18"/>
  <c r="L20" i="18"/>
  <c r="G20" i="18"/>
  <c r="H28" i="18"/>
  <c r="F17" i="18"/>
  <c r="F8" i="47"/>
  <c r="N303" i="4"/>
  <c r="N304" i="4" s="1"/>
  <c r="I197" i="14"/>
  <c r="J181" i="14"/>
  <c r="M179" i="15"/>
  <c r="H183" i="15"/>
  <c r="N242" i="34"/>
  <c r="L243" i="34"/>
  <c r="K244" i="17"/>
  <c r="K245" i="17" s="1"/>
  <c r="L224" i="17"/>
  <c r="L225" i="17" s="1"/>
  <c r="I170" i="15"/>
  <c r="H124" i="13"/>
  <c r="L159" i="15"/>
  <c r="K99" i="7"/>
  <c r="I104" i="7"/>
  <c r="F200" i="17"/>
  <c r="F201" i="17" s="1"/>
  <c r="N246" i="17"/>
  <c r="N247" i="17" s="1"/>
  <c r="H209" i="14"/>
  <c r="N208" i="14"/>
  <c r="H21" i="12"/>
  <c r="F63" i="61"/>
  <c r="K274" i="17"/>
  <c r="K275" i="17" s="1"/>
  <c r="M132" i="24"/>
  <c r="N122" i="24"/>
  <c r="H230" i="34"/>
  <c r="M110" i="7"/>
  <c r="M106" i="24"/>
  <c r="G125" i="24"/>
  <c r="H32" i="17"/>
  <c r="F34" i="17"/>
  <c r="K39" i="17"/>
  <c r="I41" i="17"/>
  <c r="G47" i="17"/>
  <c r="N48" i="17"/>
  <c r="L50" i="17"/>
  <c r="K41" i="17"/>
  <c r="N50" i="17"/>
  <c r="G53" i="15"/>
  <c r="I157" i="14"/>
  <c r="I344" i="14" s="1"/>
  <c r="F156" i="14"/>
  <c r="H157" i="14"/>
  <c r="H344" i="14" s="1"/>
  <c r="N92" i="15"/>
  <c r="N156" i="14"/>
  <c r="M68" i="15"/>
  <c r="H83" i="15"/>
  <c r="F90" i="15"/>
  <c r="M75" i="15"/>
  <c r="G165" i="14"/>
  <c r="G352" i="14" s="1"/>
  <c r="L196" i="14"/>
  <c r="F37" i="47"/>
  <c r="J191" i="14"/>
  <c r="L236" i="34"/>
  <c r="I17" i="18"/>
  <c r="H18" i="18"/>
  <c r="F27" i="18"/>
  <c r="M27" i="18"/>
  <c r="K20" i="18"/>
  <c r="G28" i="18"/>
  <c r="M303" i="4"/>
  <c r="M304" i="4" s="1"/>
  <c r="M133" i="13"/>
  <c r="M63" i="61"/>
  <c r="F315" i="4"/>
  <c r="F316" i="4" s="1"/>
  <c r="L313" i="4"/>
  <c r="L314" i="4" s="1"/>
  <c r="G183" i="15"/>
  <c r="K64" i="61"/>
  <c r="J170" i="15"/>
  <c r="F229" i="14"/>
  <c r="J195" i="14"/>
  <c r="K204" i="17"/>
  <c r="K205" i="17" s="1"/>
  <c r="I206" i="17"/>
  <c r="I207" i="17" s="1"/>
  <c r="G228" i="34"/>
  <c r="F228" i="34" s="1"/>
  <c r="J131" i="13"/>
  <c r="K91" i="43"/>
  <c r="M31" i="17"/>
  <c r="J34" i="17"/>
  <c r="J40" i="17"/>
  <c r="L42" i="17"/>
  <c r="I49" i="17"/>
  <c r="M33" i="17"/>
  <c r="K49" i="17"/>
  <c r="K32" i="17"/>
  <c r="I34" i="17"/>
  <c r="N39" i="17"/>
  <c r="N349" i="17" s="1"/>
  <c r="L41" i="17"/>
  <c r="J47" i="17"/>
  <c r="H49" i="17"/>
  <c r="G31" i="17"/>
  <c r="M39" i="17"/>
  <c r="G49" i="17"/>
  <c r="N31" i="17"/>
  <c r="L33" i="17"/>
  <c r="L39" i="17"/>
  <c r="J41" i="17"/>
  <c r="H47" i="17"/>
  <c r="F49" i="17"/>
  <c r="M50" i="17"/>
  <c r="I39" i="17"/>
  <c r="L48" i="17"/>
  <c r="G233" i="14"/>
  <c r="H115" i="24"/>
  <c r="J112" i="13"/>
  <c r="L30" i="55"/>
  <c r="K315" i="4"/>
  <c r="K316" i="4" s="1"/>
  <c r="I266" i="17"/>
  <c r="I267" i="17" s="1"/>
  <c r="N159" i="15"/>
  <c r="M214" i="17"/>
  <c r="M215" i="17" s="1"/>
  <c r="H206" i="17"/>
  <c r="H207" i="17" s="1"/>
  <c r="F202" i="17"/>
  <c r="F203" i="17" s="1"/>
  <c r="M274" i="17"/>
  <c r="M275" i="17" s="1"/>
  <c r="N214" i="17"/>
  <c r="N215" i="17" s="1"/>
  <c r="N295" i="4"/>
  <c r="N296" i="4" s="1"/>
  <c r="H319" i="4"/>
  <c r="H320" i="4" s="1"/>
  <c r="M226" i="14"/>
  <c r="F28" i="12"/>
  <c r="J30" i="55"/>
  <c r="H74" i="43"/>
  <c r="H228" i="34"/>
  <c r="G242" i="34"/>
  <c r="F242" i="34" s="1"/>
  <c r="J105" i="7"/>
  <c r="I123" i="24"/>
  <c r="F131" i="24"/>
  <c r="L107" i="24"/>
  <c r="J53" i="15"/>
  <c r="M90" i="15"/>
  <c r="K74" i="15"/>
  <c r="L65" i="15"/>
  <c r="H164" i="14"/>
  <c r="H351" i="14" s="1"/>
  <c r="K89" i="15"/>
  <c r="I156" i="14"/>
  <c r="L68" i="15"/>
  <c r="F83" i="15"/>
  <c r="N90" i="15"/>
  <c r="N74" i="15"/>
  <c r="J183" i="15"/>
  <c r="I323" i="4"/>
  <c r="I324" i="4" s="1"/>
  <c r="M168" i="15"/>
  <c r="N20" i="18"/>
  <c r="P20" i="18" s="1"/>
  <c r="G17" i="18"/>
  <c r="F18" i="18"/>
  <c r="N19" i="18"/>
  <c r="L27" i="18"/>
  <c r="I20" i="18"/>
  <c r="F25" i="18"/>
  <c r="F103" i="18" s="1"/>
  <c r="F105" i="18" s="1"/>
  <c r="F116" i="18" s="1"/>
  <c r="F155" i="18" s="1"/>
  <c r="N124" i="13"/>
  <c r="H51" i="61"/>
  <c r="G179" i="15"/>
  <c r="L115" i="24"/>
  <c r="G295" i="4"/>
  <c r="G296" i="4" s="1"/>
  <c r="M227" i="14"/>
  <c r="L18" i="12"/>
  <c r="L79" i="43"/>
  <c r="G132" i="13"/>
  <c r="I45" i="61"/>
  <c r="K230" i="34"/>
  <c r="M158" i="15"/>
  <c r="H228" i="17"/>
  <c r="H229" i="17" s="1"/>
  <c r="H124" i="24"/>
  <c r="F117" i="13"/>
  <c r="L32" i="17"/>
  <c r="N34" i="17"/>
  <c r="N40" i="17"/>
  <c r="K47" i="17"/>
  <c r="M49" i="17"/>
  <c r="H40" i="17"/>
  <c r="H31" i="17"/>
  <c r="F33" i="17"/>
  <c r="M34" i="17"/>
  <c r="I40" i="17"/>
  <c r="G42" i="17"/>
  <c r="N47" i="17"/>
  <c r="L49" i="17"/>
  <c r="J32" i="17"/>
  <c r="G41" i="17"/>
  <c r="J50" i="17"/>
  <c r="I32" i="17"/>
  <c r="G34" i="17"/>
  <c r="G40" i="17"/>
  <c r="N41" i="17"/>
  <c r="L47" i="17"/>
  <c r="J49" i="17"/>
  <c r="K31" i="17"/>
  <c r="L40" i="17"/>
  <c r="F50" i="17"/>
  <c r="J313" i="4"/>
  <c r="J314" i="4" s="1"/>
  <c r="G244" i="34"/>
  <c r="F244" i="34" s="1"/>
  <c r="M268" i="17"/>
  <c r="M269" i="17" s="1"/>
  <c r="I214" i="17"/>
  <c r="I215" i="17" s="1"/>
  <c r="H180" i="15"/>
  <c r="M218" i="14"/>
  <c r="I215" i="14"/>
  <c r="M317" i="4"/>
  <c r="M318" i="4" s="1"/>
  <c r="K218" i="14"/>
  <c r="K264" i="17"/>
  <c r="K265" i="17" s="1"/>
  <c r="M132" i="13"/>
  <c r="N181" i="14"/>
  <c r="K365" i="4"/>
  <c r="K366" i="4" s="1"/>
  <c r="K305" i="4"/>
  <c r="K306" i="4" s="1"/>
  <c r="F81" i="15"/>
  <c r="K84" i="15"/>
  <c r="H82" i="15"/>
  <c r="F91" i="15"/>
  <c r="F82" i="15"/>
  <c r="N180" i="15"/>
  <c r="N25" i="18"/>
  <c r="K26" i="18"/>
  <c r="H27" i="18"/>
  <c r="M25" i="18"/>
  <c r="M177" i="14"/>
  <c r="L230" i="34"/>
  <c r="M225" i="14"/>
  <c r="G225" i="14"/>
  <c r="K169" i="15"/>
  <c r="K114" i="15"/>
  <c r="K290" i="15" s="1"/>
  <c r="K431" i="15" s="1"/>
  <c r="G33" i="17"/>
  <c r="M41" i="17"/>
  <c r="H50" i="17"/>
  <c r="L31" i="17"/>
  <c r="F39" i="17"/>
  <c r="K42" i="17"/>
  <c r="G50" i="17"/>
  <c r="J42" i="17"/>
  <c r="I53" i="15"/>
  <c r="J67" i="15"/>
  <c r="I66" i="15"/>
  <c r="F76" i="15"/>
  <c r="L75" i="15"/>
  <c r="F68" i="15"/>
  <c r="G209" i="14"/>
  <c r="J226" i="14"/>
  <c r="F28" i="18"/>
  <c r="J26" i="18"/>
  <c r="G27" i="18"/>
  <c r="I25" i="18"/>
  <c r="I220" i="17"/>
  <c r="I221" i="17" s="1"/>
  <c r="K355" i="4"/>
  <c r="K356" i="4" s="1"/>
  <c r="M58" i="61"/>
  <c r="G27" i="12"/>
  <c r="H217" i="14"/>
  <c r="I46" i="61"/>
  <c r="F357" i="4"/>
  <c r="F358" i="4" s="1"/>
  <c r="K33" i="17"/>
  <c r="H42" i="17"/>
  <c r="F32" i="17"/>
  <c r="G32" i="17"/>
  <c r="J39" i="17"/>
  <c r="F47" i="17"/>
  <c r="K50" i="17"/>
  <c r="M47" i="17"/>
  <c r="H33" i="17"/>
  <c r="F41" i="17"/>
  <c r="K48" i="17"/>
  <c r="H34" i="17"/>
  <c r="J229" i="34"/>
  <c r="M311" i="4"/>
  <c r="M312" i="4" s="1"/>
  <c r="L222" i="17"/>
  <c r="L223" i="17" s="1"/>
  <c r="M180" i="14"/>
  <c r="K214" i="17"/>
  <c r="K215" i="17" s="1"/>
  <c r="H119" i="13"/>
  <c r="F274" i="17"/>
  <c r="F275" i="17" s="1"/>
  <c r="H305" i="4"/>
  <c r="H306" i="4" s="1"/>
  <c r="J74" i="43"/>
  <c r="H244" i="34"/>
  <c r="L105" i="7"/>
  <c r="N114" i="15"/>
  <c r="N290" i="15" s="1"/>
  <c r="N431" i="15" s="1"/>
  <c r="I122" i="24"/>
  <c r="I168" i="15"/>
  <c r="G185" i="14"/>
  <c r="J199" i="14"/>
  <c r="G291" i="4"/>
  <c r="G292" i="4" s="1"/>
  <c r="L244" i="17"/>
  <c r="L245" i="17" s="1"/>
  <c r="K92" i="43"/>
  <c r="G230" i="34"/>
  <c r="F230" i="34" s="1"/>
  <c r="H116" i="24"/>
  <c r="N28" i="12"/>
  <c r="J228" i="17"/>
  <c r="J229" i="17" s="1"/>
  <c r="H220" i="17"/>
  <c r="H221" i="17" s="1"/>
  <c r="M357" i="4"/>
  <c r="M358" i="4" s="1"/>
  <c r="H317" i="4"/>
  <c r="H318" i="4" s="1"/>
  <c r="N220" i="17"/>
  <c r="N221" i="17" s="1"/>
  <c r="F295" i="4"/>
  <c r="F296" i="4" s="1"/>
  <c r="H323" i="4"/>
  <c r="H324" i="4" s="1"/>
  <c r="G202" i="17"/>
  <c r="G203" i="17" s="1"/>
  <c r="F299" i="4"/>
  <c r="F300" i="4" s="1"/>
  <c r="L262" i="17"/>
  <c r="L263" i="17" s="1"/>
  <c r="H45" i="55"/>
  <c r="L85" i="43"/>
  <c r="L250" i="34"/>
  <c r="K235" i="34"/>
  <c r="K179" i="15"/>
  <c r="J208" i="14"/>
  <c r="H195" i="14"/>
  <c r="G218" i="14"/>
  <c r="G244" i="17"/>
  <c r="G245" i="17" s="1"/>
  <c r="I195" i="14"/>
  <c r="F260" i="17"/>
  <c r="F261" i="17" s="1"/>
  <c r="F268" i="17"/>
  <c r="F269" i="17" s="1"/>
  <c r="J218" i="14"/>
  <c r="M35" i="55"/>
  <c r="J86" i="43"/>
  <c r="H236" i="34"/>
  <c r="J250" i="34"/>
  <c r="F137" i="15"/>
  <c r="N130" i="24"/>
  <c r="H107" i="24"/>
  <c r="M122" i="24"/>
  <c r="H210" i="14"/>
  <c r="J194" i="14"/>
  <c r="J335" i="4"/>
  <c r="J336" i="4" s="1"/>
  <c r="H274" i="17"/>
  <c r="H275" i="17" s="1"/>
  <c r="F225" i="14"/>
  <c r="N92" i="43"/>
  <c r="J228" i="34"/>
  <c r="I131" i="24"/>
  <c r="L123" i="24"/>
  <c r="J111" i="13"/>
  <c r="L178" i="14"/>
  <c r="K180" i="14"/>
  <c r="M179" i="14"/>
  <c r="L126" i="13"/>
  <c r="M305" i="4"/>
  <c r="M306" i="4" s="1"/>
  <c r="M215" i="14"/>
  <c r="F232" i="17"/>
  <c r="F233" i="17" s="1"/>
  <c r="G224" i="14"/>
  <c r="H46" i="58"/>
  <c r="L73" i="43"/>
  <c r="L249" i="34"/>
  <c r="J235" i="34"/>
  <c r="K98" i="7"/>
  <c r="H170" i="14"/>
  <c r="F125" i="24"/>
  <c r="F108" i="24"/>
  <c r="N224" i="17"/>
  <c r="N225" i="17" s="1"/>
  <c r="M337" i="4"/>
  <c r="M338" i="4" s="1"/>
  <c r="K254" i="17"/>
  <c r="K255" i="17" s="1"/>
  <c r="L207" i="14"/>
  <c r="K176" i="14"/>
  <c r="N74" i="43"/>
  <c r="I250" i="34"/>
  <c r="I92" i="7"/>
  <c r="K106" i="24"/>
  <c r="I242" i="34"/>
  <c r="L112" i="13"/>
  <c r="G178" i="15"/>
  <c r="L93" i="7"/>
  <c r="K345" i="4"/>
  <c r="K346" i="4" s="1"/>
  <c r="G234" i="17"/>
  <c r="G235" i="17" s="1"/>
  <c r="J185" i="14"/>
  <c r="J175" i="14"/>
  <c r="I232" i="17"/>
  <c r="I233" i="17" s="1"/>
  <c r="N110" i="13"/>
  <c r="L357" i="4"/>
  <c r="L358" i="4" s="1"/>
  <c r="K325" i="4"/>
  <c r="K326" i="4" s="1"/>
  <c r="K35" i="55"/>
  <c r="H251" i="34"/>
  <c r="N93" i="7"/>
  <c r="H125" i="24"/>
  <c r="M363" i="4"/>
  <c r="M364" i="4" s="1"/>
  <c r="L317" i="4"/>
  <c r="L318" i="4" s="1"/>
  <c r="H40" i="55"/>
  <c r="F140" i="15"/>
  <c r="I169" i="15"/>
  <c r="K192" i="14"/>
  <c r="G202" i="14"/>
  <c r="L359" i="4"/>
  <c r="L360" i="4" s="1"/>
  <c r="J311" i="4"/>
  <c r="J312" i="4" s="1"/>
  <c r="N35" i="55"/>
  <c r="L235" i="34"/>
  <c r="J137" i="15"/>
  <c r="G117" i="24"/>
  <c r="N107" i="24"/>
  <c r="K132" i="13"/>
  <c r="J351" i="4"/>
  <c r="J352" i="4" s="1"/>
  <c r="F319" i="4"/>
  <c r="F320" i="4" s="1"/>
  <c r="G30" i="55"/>
  <c r="F30" i="55" s="1"/>
  <c r="F230" i="55" s="1"/>
  <c r="J230" i="34"/>
  <c r="N106" i="24"/>
  <c r="M93" i="7"/>
  <c r="I111" i="13"/>
  <c r="L92" i="7"/>
  <c r="G325" i="4"/>
  <c r="G326" i="4" s="1"/>
  <c r="I200" i="14"/>
  <c r="H91" i="43"/>
  <c r="H365" i="4"/>
  <c r="H366" i="4" s="1"/>
  <c r="L110" i="7"/>
  <c r="I85" i="43"/>
  <c r="I131" i="13"/>
  <c r="J268" i="17"/>
  <c r="J269" i="17" s="1"/>
  <c r="I26" i="51"/>
  <c r="L189" i="15"/>
  <c r="H16" i="43"/>
  <c r="H19" i="43" s="1"/>
  <c r="H44" i="43" s="1"/>
  <c r="H144" i="43" s="1"/>
  <c r="H145" i="43" s="1"/>
  <c r="G67" i="13"/>
  <c r="H53" i="15"/>
  <c r="H89" i="15"/>
  <c r="G66" i="15"/>
  <c r="K75" i="15"/>
  <c r="M74" i="15"/>
  <c r="K165" i="14"/>
  <c r="H19" i="12"/>
  <c r="J27" i="51"/>
  <c r="M18" i="18"/>
  <c r="J19" i="18"/>
  <c r="M28" i="18"/>
  <c r="F220" i="17"/>
  <c r="F221" i="17" s="1"/>
  <c r="G297" i="4"/>
  <c r="G298" i="4" s="1"/>
  <c r="M222" i="17"/>
  <c r="M223" i="17" s="1"/>
  <c r="J91" i="43"/>
  <c r="H28" i="12"/>
  <c r="M86" i="43"/>
  <c r="K351" i="4"/>
  <c r="K352" i="4" s="1"/>
  <c r="G345" i="4"/>
  <c r="G346" i="4" s="1"/>
  <c r="G39" i="17"/>
  <c r="F48" i="17"/>
  <c r="N42" i="17"/>
  <c r="J33" i="17"/>
  <c r="M40" i="17"/>
  <c r="I48" i="17"/>
  <c r="I33" i="17"/>
  <c r="F31" i="17"/>
  <c r="K34" i="17"/>
  <c r="I42" i="17"/>
  <c r="N49" i="17"/>
  <c r="F42" i="17"/>
  <c r="N105" i="7"/>
  <c r="J131" i="24"/>
  <c r="L194" i="14"/>
  <c r="M291" i="4"/>
  <c r="M292" i="4" s="1"/>
  <c r="J357" i="4"/>
  <c r="J358" i="4" s="1"/>
  <c r="H260" i="17"/>
  <c r="H261" i="17" s="1"/>
  <c r="M30" i="50"/>
  <c r="G74" i="43"/>
  <c r="F74" i="43" s="1"/>
  <c r="I237" i="34"/>
  <c r="K140" i="15"/>
  <c r="K170" i="14"/>
  <c r="N115" i="24"/>
  <c r="I126" i="13"/>
  <c r="F228" i="17"/>
  <c r="F229" i="17" s="1"/>
  <c r="F244" i="17"/>
  <c r="F245" i="17" s="1"/>
  <c r="G212" i="14"/>
  <c r="H31" i="50"/>
  <c r="K214" i="42"/>
  <c r="K566" i="42" s="1"/>
  <c r="J110" i="7"/>
  <c r="L106" i="24"/>
  <c r="G158" i="15"/>
  <c r="J212" i="14"/>
  <c r="L200" i="14"/>
  <c r="F353" i="4"/>
  <c r="F354" i="4" s="1"/>
  <c r="I211" i="14"/>
  <c r="K266" i="17"/>
  <c r="K267" i="17" s="1"/>
  <c r="I125" i="13"/>
  <c r="I178" i="14"/>
  <c r="F291" i="4"/>
  <c r="F292" i="4" s="1"/>
  <c r="L184" i="14"/>
  <c r="G29" i="50"/>
  <c r="G33" i="50" s="1"/>
  <c r="G109" i="50" s="1"/>
  <c r="G120" i="50" s="1"/>
  <c r="G174" i="50" s="1"/>
  <c r="M85" i="43"/>
  <c r="I229" i="42"/>
  <c r="M230" i="34"/>
  <c r="J98" i="7"/>
  <c r="F200" i="14"/>
  <c r="L183" i="14"/>
  <c r="J254" i="17"/>
  <c r="J255" i="17" s="1"/>
  <c r="F337" i="4"/>
  <c r="F338" i="4" s="1"/>
  <c r="F234" i="17"/>
  <c r="F235" i="17" s="1"/>
  <c r="M254" i="17"/>
  <c r="M255" i="17" s="1"/>
  <c r="G317" i="4"/>
  <c r="G318" i="4" s="1"/>
  <c r="N299" i="4"/>
  <c r="N300" i="4" s="1"/>
  <c r="L260" i="17"/>
  <c r="L261" i="17" s="1"/>
  <c r="L45" i="55"/>
  <c r="G86" i="43"/>
  <c r="F86" i="43" s="1"/>
  <c r="I249" i="34"/>
  <c r="K229" i="34"/>
  <c r="M137" i="15"/>
  <c r="M115" i="24"/>
  <c r="J123" i="24"/>
  <c r="F52" i="61"/>
  <c r="G125" i="13"/>
  <c r="J231" i="14"/>
  <c r="M200" i="14"/>
  <c r="L268" i="17"/>
  <c r="L269" i="17" s="1"/>
  <c r="N291" i="4"/>
  <c r="N292" i="4" s="1"/>
  <c r="L229" i="42"/>
  <c r="N92" i="7"/>
  <c r="G106" i="24"/>
  <c r="J25" i="51"/>
  <c r="I208" i="17"/>
  <c r="I209" i="17" s="1"/>
  <c r="F112" i="13"/>
  <c r="I200" i="17"/>
  <c r="I201" i="17" s="1"/>
  <c r="F266" i="17"/>
  <c r="F267" i="17" s="1"/>
  <c r="G246" i="17"/>
  <c r="G247" i="17" s="1"/>
  <c r="K193" i="14"/>
  <c r="M200" i="17"/>
  <c r="M201" i="17" s="1"/>
  <c r="F202" i="14"/>
  <c r="N301" i="4"/>
  <c r="N302" i="4" s="1"/>
  <c r="K45" i="55"/>
  <c r="M73" i="43"/>
  <c r="L229" i="34"/>
  <c r="K243" i="34"/>
  <c r="I111" i="7"/>
  <c r="L124" i="24"/>
  <c r="I132" i="24"/>
  <c r="I114" i="24"/>
  <c r="J192" i="14"/>
  <c r="N131" i="13"/>
  <c r="I311" i="4"/>
  <c r="I312" i="4" s="1"/>
  <c r="L297" i="4"/>
  <c r="L298" i="4" s="1"/>
  <c r="H200" i="14"/>
  <c r="L74" i="43"/>
  <c r="K242" i="34"/>
  <c r="K125" i="24"/>
  <c r="G116" i="24"/>
  <c r="I91" i="43"/>
  <c r="J262" i="17"/>
  <c r="J263" i="17" s="1"/>
  <c r="H109" i="24"/>
  <c r="I230" i="34"/>
  <c r="L264" i="17"/>
  <c r="L265" i="17" s="1"/>
  <c r="G234" i="14"/>
  <c r="F132" i="13"/>
  <c r="N226" i="17"/>
  <c r="N227" i="17" s="1"/>
  <c r="M325" i="4"/>
  <c r="M326" i="4" s="1"/>
  <c r="G272" i="17"/>
  <c r="G273" i="17" s="1"/>
  <c r="I117" i="13"/>
  <c r="G351" i="4"/>
  <c r="G352" i="4" s="1"/>
  <c r="I92" i="43"/>
  <c r="N243" i="34"/>
  <c r="G114" i="15"/>
  <c r="G290" i="15" s="1"/>
  <c r="G506" i="15" s="1"/>
  <c r="F124" i="24"/>
  <c r="L335" i="4"/>
  <c r="L336" i="4" s="1"/>
  <c r="K185" i="14"/>
  <c r="G79" i="43"/>
  <c r="F79" i="43" s="1"/>
  <c r="L108" i="24"/>
  <c r="G124" i="13"/>
  <c r="J260" i="17"/>
  <c r="J261" i="17" s="1"/>
  <c r="G274" i="17"/>
  <c r="G275" i="17" s="1"/>
  <c r="M110" i="13"/>
  <c r="K126" i="13"/>
  <c r="I80" i="43"/>
  <c r="M228" i="34"/>
  <c r="J93" i="7"/>
  <c r="K131" i="24"/>
  <c r="F133" i="24"/>
  <c r="J246" i="17"/>
  <c r="J247" i="17" s="1"/>
  <c r="G90" i="15"/>
  <c r="J264" i="17"/>
  <c r="J265" i="17" s="1"/>
  <c r="L28" i="18"/>
  <c r="K181" i="14"/>
  <c r="M220" i="17"/>
  <c r="M221" i="17" s="1"/>
  <c r="H48" i="17"/>
  <c r="H414" i="17" s="1"/>
  <c r="H415" i="17" s="1" a="1"/>
  <c r="H415" i="17" s="1"/>
  <c r="L34" i="17"/>
  <c r="K40" i="17"/>
  <c r="N32" i="17"/>
  <c r="L195" i="14"/>
  <c r="M111" i="7"/>
  <c r="H18" i="43"/>
  <c r="L192" i="14"/>
  <c r="L303" i="4"/>
  <c r="L304" i="4" s="1"/>
  <c r="I74" i="43"/>
  <c r="K92" i="7"/>
  <c r="G131" i="24"/>
  <c r="L293" i="4"/>
  <c r="L294" i="4" s="1"/>
  <c r="M301" i="4"/>
  <c r="M302" i="4" s="1"/>
  <c r="L251" i="34"/>
  <c r="N123" i="24"/>
  <c r="M186" i="14"/>
  <c r="J215" i="14"/>
  <c r="J359" i="4"/>
  <c r="J360" i="4" s="1"/>
  <c r="H262" i="17"/>
  <c r="H263" i="17" s="1"/>
  <c r="G363" i="4"/>
  <c r="G364" i="4" s="1"/>
  <c r="N85" i="43"/>
  <c r="J243" i="34"/>
  <c r="N125" i="13"/>
  <c r="M365" i="4"/>
  <c r="M366" i="4" s="1"/>
  <c r="J337" i="4"/>
  <c r="J338" i="4" s="1"/>
  <c r="L272" i="17"/>
  <c r="L273" i="17" s="1"/>
  <c r="G30" i="50"/>
  <c r="H214" i="42"/>
  <c r="J92" i="7"/>
  <c r="N132" i="24"/>
  <c r="M163" i="15"/>
  <c r="H133" i="13"/>
  <c r="G208" i="17"/>
  <c r="G209" i="17" s="1"/>
  <c r="L242" i="34"/>
  <c r="G108" i="24"/>
  <c r="L226" i="14"/>
  <c r="J266" i="17"/>
  <c r="J267" i="17" s="1"/>
  <c r="F226" i="17"/>
  <c r="F227" i="17" s="1"/>
  <c r="F214" i="17"/>
  <c r="F215" i="17" s="1"/>
  <c r="J299" i="4"/>
  <c r="J300" i="4" s="1"/>
  <c r="N73" i="43"/>
  <c r="K111" i="7"/>
  <c r="K109" i="24"/>
  <c r="L183" i="15"/>
  <c r="I223" i="14"/>
  <c r="I231" i="14"/>
  <c r="K229" i="42"/>
  <c r="M125" i="24"/>
  <c r="I199" i="14"/>
  <c r="F107" i="24"/>
  <c r="F234" i="14"/>
  <c r="J132" i="24"/>
  <c r="H126" i="13"/>
  <c r="M295" i="4"/>
  <c r="M296" i="4" s="1"/>
  <c r="G92" i="43"/>
  <c r="F92" i="43" s="1"/>
  <c r="K117" i="24"/>
  <c r="N212" i="17"/>
  <c r="N213" i="17" s="1"/>
  <c r="M243" i="34"/>
  <c r="K232" i="14"/>
  <c r="J325" i="4"/>
  <c r="J326" i="4" s="1"/>
  <c r="G192" i="14"/>
  <c r="K249" i="34"/>
  <c r="J117" i="24"/>
  <c r="N231" i="14"/>
  <c r="G232" i="17"/>
  <c r="G233" i="17" s="1"/>
  <c r="K74" i="43"/>
  <c r="L98" i="7"/>
  <c r="G107" i="24"/>
  <c r="L110" i="13"/>
  <c r="N214" i="42"/>
  <c r="N566" i="42" s="1"/>
  <c r="N365" i="4"/>
  <c r="N366" i="4" s="1"/>
  <c r="K232" i="17"/>
  <c r="K233" i="17" s="1"/>
  <c r="F115" i="24"/>
  <c r="I219" i="42"/>
  <c r="L119" i="13"/>
  <c r="K216" i="14"/>
  <c r="I159" i="15"/>
  <c r="N19" i="12"/>
  <c r="M57" i="61"/>
  <c r="M189" i="15"/>
  <c r="M170" i="15"/>
  <c r="M21" i="12"/>
  <c r="J58" i="61"/>
  <c r="H189" i="15"/>
  <c r="F183" i="15"/>
  <c r="N232" i="14"/>
  <c r="F24" i="47"/>
  <c r="F284" i="47" s="1"/>
  <c r="K170" i="15"/>
  <c r="G168" i="15"/>
  <c r="I133" i="13"/>
  <c r="N212" i="14"/>
  <c r="M355" i="4"/>
  <c r="M356" i="4" s="1"/>
  <c r="G228" i="17"/>
  <c r="G229" i="17" s="1"/>
  <c r="F345" i="4"/>
  <c r="F346" i="4" s="1"/>
  <c r="J209" i="14"/>
  <c r="H92" i="43"/>
  <c r="I235" i="34"/>
  <c r="M104" i="7"/>
  <c r="G114" i="24"/>
  <c r="I124" i="13"/>
  <c r="J212" i="17"/>
  <c r="J213" i="17" s="1"/>
  <c r="N46" i="58"/>
  <c r="N109" i="58" s="1"/>
  <c r="N169" i="58" s="1"/>
  <c r="I93" i="7"/>
  <c r="H178" i="15"/>
  <c r="J119" i="13"/>
  <c r="L176" i="14"/>
  <c r="M234" i="17"/>
  <c r="M235" i="17" s="1"/>
  <c r="J291" i="4"/>
  <c r="J292" i="4" s="1"/>
  <c r="H30" i="55"/>
  <c r="M244" i="34"/>
  <c r="L137" i="15"/>
  <c r="M107" i="24"/>
  <c r="G123" i="24"/>
  <c r="F177" i="14"/>
  <c r="G226" i="17"/>
  <c r="G227" i="17" s="1"/>
  <c r="F213" i="14"/>
  <c r="K86" i="43"/>
  <c r="N99" i="7"/>
  <c r="K114" i="24"/>
  <c r="I301" i="4"/>
  <c r="I302" i="4" s="1"/>
  <c r="I124" i="24"/>
  <c r="L80" i="43"/>
  <c r="N199" i="14"/>
  <c r="J109" i="24"/>
  <c r="G303" i="4"/>
  <c r="G304" i="4" s="1"/>
  <c r="G132" i="24"/>
  <c r="N228" i="34"/>
  <c r="I210" i="14"/>
  <c r="J319" i="4"/>
  <c r="J320" i="4" s="1"/>
  <c r="F133" i="13"/>
  <c r="F207" i="14"/>
  <c r="I33" i="43"/>
  <c r="J66" i="13"/>
  <c r="N63" i="61"/>
  <c r="M169" i="15"/>
  <c r="H229" i="14"/>
  <c r="M27" i="12"/>
  <c r="I64" i="61"/>
  <c r="N35" i="51"/>
  <c r="H173" i="15"/>
  <c r="M212" i="14"/>
  <c r="K46" i="61"/>
  <c r="M208" i="14"/>
  <c r="G200" i="17"/>
  <c r="G201" i="17" s="1"/>
  <c r="G200" i="14"/>
  <c r="N112" i="13"/>
  <c r="F19" i="12"/>
  <c r="N81" i="15"/>
  <c r="P81" i="15" s="1"/>
  <c r="H84" i="15"/>
  <c r="G131" i="13"/>
  <c r="H175" i="14"/>
  <c r="M204" i="17"/>
  <c r="M205" i="17" s="1"/>
  <c r="I31" i="17"/>
  <c r="N33" i="17"/>
  <c r="J31" i="17"/>
  <c r="J381" i="17" s="1"/>
  <c r="M42" i="17"/>
  <c r="I47" i="17"/>
  <c r="I414" i="17" s="1"/>
  <c r="J40" i="55"/>
  <c r="G231" i="14"/>
  <c r="H192" i="14"/>
  <c r="L227" i="14"/>
  <c r="G229" i="42"/>
  <c r="F229" i="42" s="1"/>
  <c r="N111" i="7"/>
  <c r="N133" i="24"/>
  <c r="I268" i="17"/>
  <c r="I269" i="17" s="1"/>
  <c r="G357" i="4"/>
  <c r="G358" i="4" s="1"/>
  <c r="J244" i="34"/>
  <c r="I117" i="24"/>
  <c r="N126" i="13"/>
  <c r="J204" i="17"/>
  <c r="J205" i="17" s="1"/>
  <c r="N317" i="4"/>
  <c r="N318" i="4" s="1"/>
  <c r="J301" i="4"/>
  <c r="J302" i="4" s="1"/>
  <c r="N213" i="14"/>
  <c r="K85" i="43"/>
  <c r="N251" i="34"/>
  <c r="F233" i="14"/>
  <c r="J303" i="4"/>
  <c r="J304" i="4" s="1"/>
  <c r="F313" i="4"/>
  <c r="F314" i="4" s="1"/>
  <c r="M183" i="14"/>
  <c r="J29" i="50"/>
  <c r="J33" i="50" s="1"/>
  <c r="J109" i="50" s="1"/>
  <c r="J120" i="50" s="1"/>
  <c r="J174" i="50" s="1"/>
  <c r="J229" i="42"/>
  <c r="M105" i="7"/>
  <c r="J133" i="24"/>
  <c r="N200" i="14"/>
  <c r="K234" i="17"/>
  <c r="K235" i="17" s="1"/>
  <c r="M194" i="14"/>
  <c r="M235" i="34"/>
  <c r="M108" i="24"/>
  <c r="H199" i="14"/>
  <c r="L311" i="4"/>
  <c r="L312" i="4" s="1"/>
  <c r="N337" i="4"/>
  <c r="N338" i="4" s="1"/>
  <c r="G323" i="4"/>
  <c r="G324" i="4" s="1"/>
  <c r="N31" i="50"/>
  <c r="K219" i="42"/>
  <c r="K567" i="42" s="1"/>
  <c r="G139" i="15"/>
  <c r="K123" i="24"/>
  <c r="N175" i="14"/>
  <c r="F124" i="13"/>
  <c r="K363" i="4"/>
  <c r="K364" i="4" s="1"/>
  <c r="L228" i="34"/>
  <c r="H133" i="24"/>
  <c r="F193" i="14"/>
  <c r="L99" i="7"/>
  <c r="K202" i="14"/>
  <c r="L139" i="15"/>
  <c r="H212" i="14"/>
  <c r="K208" i="14"/>
  <c r="G214" i="42"/>
  <c r="F214" i="42" s="1"/>
  <c r="I109" i="24"/>
  <c r="I297" i="4"/>
  <c r="I298" i="4" s="1"/>
  <c r="I110" i="7"/>
  <c r="H183" i="14"/>
  <c r="F20" i="12"/>
  <c r="H30" i="50"/>
  <c r="G137" i="15"/>
  <c r="G293" i="15" s="1"/>
  <c r="M124" i="24"/>
  <c r="F355" i="4"/>
  <c r="F356" i="4" s="1"/>
  <c r="K323" i="4"/>
  <c r="K324" i="4" s="1"/>
  <c r="L214" i="42"/>
  <c r="I170" i="14"/>
  <c r="H219" i="42"/>
  <c r="K124" i="24"/>
  <c r="J35" i="55"/>
  <c r="F254" i="17"/>
  <c r="F255" i="17" s="1"/>
  <c r="J293" i="4"/>
  <c r="J294" i="4" s="1"/>
  <c r="I107" i="24"/>
  <c r="L30" i="50"/>
  <c r="G222" i="17"/>
  <c r="G223" i="17" s="1"/>
  <c r="L225" i="14"/>
  <c r="F10" i="47"/>
  <c r="K27" i="12"/>
  <c r="J52" i="61"/>
  <c r="N169" i="15"/>
  <c r="L234" i="14"/>
  <c r="G20" i="12"/>
  <c r="L52" i="61"/>
  <c r="L169" i="15"/>
  <c r="N163" i="15"/>
  <c r="L218" i="14"/>
  <c r="L63" i="61"/>
  <c r="F188" i="15"/>
  <c r="F223" i="14"/>
  <c r="I112" i="13"/>
  <c r="H131" i="13"/>
  <c r="F231" i="14"/>
  <c r="N363" i="4"/>
  <c r="N364" i="4" s="1"/>
  <c r="H266" i="17"/>
  <c r="H267" i="17" s="1"/>
  <c r="K291" i="4"/>
  <c r="K292" i="4" s="1"/>
  <c r="J92" i="43"/>
  <c r="F215" i="34"/>
  <c r="L132" i="24"/>
  <c r="I130" i="24"/>
  <c r="M223" i="14"/>
  <c r="H254" i="17"/>
  <c r="H255" i="17" s="1"/>
  <c r="I79" i="43"/>
  <c r="G170" i="14"/>
  <c r="M196" i="14"/>
  <c r="M231" i="14"/>
  <c r="N232" i="17"/>
  <c r="N233" i="17" s="1"/>
  <c r="F325" i="4"/>
  <c r="F326" i="4" s="1"/>
  <c r="G319" i="4"/>
  <c r="G320" i="4" s="1"/>
  <c r="H80" i="43"/>
  <c r="J237" i="34"/>
  <c r="J111" i="7"/>
  <c r="J108" i="24"/>
  <c r="N117" i="24"/>
  <c r="M353" i="4"/>
  <c r="M354" i="4" s="1"/>
  <c r="N319" i="4"/>
  <c r="N320" i="4" s="1"/>
  <c r="G206" i="17"/>
  <c r="G207" i="17" s="1"/>
  <c r="L244" i="34"/>
  <c r="K105" i="7"/>
  <c r="G109" i="24"/>
  <c r="G262" i="17"/>
  <c r="G263" i="17" s="1"/>
  <c r="M131" i="24"/>
  <c r="G31" i="50"/>
  <c r="M131" i="13"/>
  <c r="K110" i="7"/>
  <c r="L315" i="4"/>
  <c r="L316" i="4" s="1"/>
  <c r="K116" i="24"/>
  <c r="H243" i="34"/>
  <c r="K359" i="4"/>
  <c r="K360" i="4" s="1"/>
  <c r="H180" i="14"/>
  <c r="J36" i="51"/>
  <c r="N160" i="15"/>
  <c r="G32" i="43"/>
  <c r="G35" i="43" s="1"/>
  <c r="G46" i="43" s="1"/>
  <c r="G151" i="43" s="1"/>
  <c r="K36" i="51"/>
  <c r="I35" i="51"/>
  <c r="I38" i="51" s="1"/>
  <c r="I75" i="51" s="1"/>
  <c r="I190" i="15"/>
  <c r="K215" i="14"/>
  <c r="M18" i="12"/>
  <c r="N52" i="61"/>
  <c r="F179" i="15"/>
  <c r="F158" i="15"/>
  <c r="N21" i="12"/>
  <c r="K190" i="15"/>
  <c r="H193" i="14"/>
  <c r="N222" i="17"/>
  <c r="N223" i="17" s="1"/>
  <c r="K191" i="14"/>
  <c r="G217" i="14"/>
  <c r="M232" i="14"/>
  <c r="F212" i="17"/>
  <c r="F213" i="17" s="1"/>
  <c r="F33" i="47"/>
  <c r="K163" i="15"/>
  <c r="G159" i="15"/>
  <c r="K131" i="13"/>
  <c r="J217" i="14"/>
  <c r="N133" i="13"/>
  <c r="M226" i="17"/>
  <c r="M227" i="17" s="1"/>
  <c r="L118" i="13"/>
  <c r="N268" i="17"/>
  <c r="N269" i="17" s="1"/>
  <c r="H311" i="4"/>
  <c r="H312" i="4" s="1"/>
  <c r="H293" i="4"/>
  <c r="H294" i="4" s="1"/>
  <c r="L337" i="4"/>
  <c r="L338" i="4" s="1"/>
  <c r="I132" i="13"/>
  <c r="J363" i="4"/>
  <c r="J364" i="4" s="1"/>
  <c r="H112" i="13"/>
  <c r="H64" i="61"/>
  <c r="F65" i="13"/>
  <c r="N313" i="4"/>
  <c r="N314" i="4" s="1"/>
  <c r="M84" i="15"/>
  <c r="L18" i="18"/>
  <c r="G130" i="24"/>
  <c r="K184" i="14"/>
  <c r="F40" i="17"/>
  <c r="F349" i="17" s="1"/>
  <c r="H41" i="17"/>
  <c r="M32" i="17"/>
  <c r="G48" i="17"/>
  <c r="K132" i="24"/>
  <c r="L109" i="24"/>
  <c r="K175" i="14"/>
  <c r="N315" i="4"/>
  <c r="N316" i="4" s="1"/>
  <c r="L46" i="58"/>
  <c r="L109" i="58" s="1"/>
  <c r="N249" i="34"/>
  <c r="H108" i="24"/>
  <c r="M234" i="14"/>
  <c r="F351" i="4"/>
  <c r="F352" i="4" s="1"/>
  <c r="K40" i="55"/>
  <c r="I137" i="15"/>
  <c r="F211" i="14"/>
  <c r="G112" i="13"/>
  <c r="F183" i="14"/>
  <c r="J220" i="17"/>
  <c r="J221" i="17" s="1"/>
  <c r="H118" i="13"/>
  <c r="F44" i="50"/>
  <c r="F120" i="50" s="1"/>
  <c r="J219" i="42"/>
  <c r="F52" i="47"/>
  <c r="N119" i="13"/>
  <c r="M207" i="14"/>
  <c r="H335" i="4"/>
  <c r="H336" i="4" s="1"/>
  <c r="H191" i="14"/>
  <c r="H86" i="43"/>
  <c r="I229" i="34"/>
  <c r="I98" i="7"/>
  <c r="I108" i="24"/>
  <c r="H227" i="14"/>
  <c r="M246" i="17"/>
  <c r="M247" i="17" s="1"/>
  <c r="G40" i="55"/>
  <c r="F40" i="55" s="1"/>
  <c r="F232" i="55" s="1"/>
  <c r="N140" i="15"/>
  <c r="H159" i="15"/>
  <c r="H202" i="17"/>
  <c r="H203" i="17" s="1"/>
  <c r="N226" i="14"/>
  <c r="I260" i="17"/>
  <c r="I261" i="17" s="1"/>
  <c r="G220" i="17"/>
  <c r="G221" i="17" s="1"/>
  <c r="M30" i="55"/>
  <c r="M242" i="34"/>
  <c r="I140" i="15"/>
  <c r="H117" i="24"/>
  <c r="H216" i="14"/>
  <c r="H185" i="14"/>
  <c r="H29" i="50"/>
  <c r="H33" i="50" s="1"/>
  <c r="H109" i="50" s="1"/>
  <c r="G138" i="15"/>
  <c r="M116" i="24"/>
  <c r="I177" i="14"/>
  <c r="N80" i="43"/>
  <c r="M313" i="4"/>
  <c r="M314" i="4" s="1"/>
  <c r="G191" i="14"/>
  <c r="J323" i="4"/>
  <c r="J324" i="4" s="1"/>
  <c r="G214" i="17"/>
  <c r="G215" i="17" s="1"/>
  <c r="G236" i="34"/>
  <c r="F236" i="34" s="1"/>
  <c r="J224" i="14"/>
  <c r="H232" i="14"/>
  <c r="I116" i="24"/>
  <c r="L301" i="4"/>
  <c r="L302" i="4" s="1"/>
  <c r="N293" i="4"/>
  <c r="N294" i="4" s="1"/>
  <c r="G80" i="43"/>
  <c r="F80" i="43" s="1"/>
  <c r="K93" i="7"/>
  <c r="K194" i="14"/>
  <c r="G293" i="4"/>
  <c r="G294" i="4" s="1"/>
  <c r="G313" i="4"/>
  <c r="G314" i="4" s="1"/>
  <c r="M249" i="34"/>
  <c r="L125" i="24"/>
  <c r="K228" i="14"/>
  <c r="K107" i="24"/>
  <c r="L216" i="14"/>
  <c r="L122" i="24"/>
  <c r="H299" i="4"/>
  <c r="H300" i="4" s="1"/>
  <c r="J104" i="7"/>
  <c r="G180" i="14"/>
  <c r="L319" i="4"/>
  <c r="L320" i="4" s="1"/>
  <c r="M192" i="14"/>
  <c r="H34" i="43"/>
  <c r="I18" i="12"/>
  <c r="F17" i="61"/>
  <c r="M17" i="61" s="1"/>
  <c r="M122" i="61" s="1"/>
  <c r="N190" i="15"/>
  <c r="I224" i="14"/>
  <c r="F29" i="47"/>
  <c r="F289" i="47" s="1"/>
  <c r="F22" i="61"/>
  <c r="L170" i="15"/>
  <c r="N173" i="15"/>
  <c r="I208" i="14"/>
  <c r="F45" i="61"/>
  <c r="K168" i="15"/>
  <c r="G199" i="14"/>
  <c r="N193" i="15"/>
  <c r="I226" i="17"/>
  <c r="I227" i="17" s="1"/>
  <c r="H355" i="4"/>
  <c r="H356" i="4" s="1"/>
  <c r="L291" i="4"/>
  <c r="L292" i="4" s="1"/>
  <c r="L246" i="17"/>
  <c r="L247" i="17" s="1"/>
  <c r="F15" i="50"/>
  <c r="F142" i="50" s="1"/>
  <c r="H229" i="42"/>
  <c r="N98" i="7"/>
  <c r="J106" i="24"/>
  <c r="L158" i="15"/>
  <c r="M184" i="14"/>
  <c r="H132" i="13"/>
  <c r="K250" i="34"/>
  <c r="H123" i="24"/>
  <c r="K200" i="17"/>
  <c r="K201" i="17" s="1"/>
  <c r="M335" i="4"/>
  <c r="M336" i="4" s="1"/>
  <c r="J365" i="4"/>
  <c r="J366" i="4" s="1"/>
  <c r="H268" i="17"/>
  <c r="H269" i="17" s="1"/>
  <c r="K337" i="4"/>
  <c r="K338" i="4" s="1"/>
  <c r="J80" i="43"/>
  <c r="G229" i="34"/>
  <c r="F229" i="34" s="1"/>
  <c r="L114" i="15"/>
  <c r="L290" i="15" s="1"/>
  <c r="L506" i="15" s="1"/>
  <c r="I106" i="24"/>
  <c r="H179" i="15"/>
  <c r="I234" i="17"/>
  <c r="I235" i="17" s="1"/>
  <c r="F363" i="4"/>
  <c r="F364" i="4" s="1"/>
  <c r="G46" i="58"/>
  <c r="G109" i="58" s="1"/>
  <c r="G169" i="58" s="1"/>
  <c r="M229" i="34"/>
  <c r="F122" i="24"/>
  <c r="N230" i="34"/>
  <c r="M208" i="17"/>
  <c r="M209" i="17" s="1"/>
  <c r="N110" i="7"/>
  <c r="K313" i="4"/>
  <c r="K314" i="4" s="1"/>
  <c r="L210" i="14"/>
  <c r="H229" i="34"/>
  <c r="N206" i="17"/>
  <c r="N207" i="17" s="1"/>
  <c r="K133" i="24"/>
  <c r="G85" i="43"/>
  <c r="F85" i="43" s="1"/>
  <c r="K299" i="4"/>
  <c r="K300" i="4" s="1"/>
  <c r="K213" i="14"/>
  <c r="G68" i="13"/>
  <c r="L193" i="15"/>
  <c r="K21" i="12"/>
  <c r="F58" i="61"/>
  <c r="M26" i="51"/>
  <c r="M29" i="51" s="1"/>
  <c r="M74" i="51" s="1"/>
  <c r="F163" i="15"/>
  <c r="F18" i="43"/>
  <c r="H66" i="13"/>
  <c r="G45" i="61"/>
  <c r="J159" i="15"/>
  <c r="H158" i="15"/>
  <c r="K37" i="51"/>
  <c r="J190" i="15"/>
  <c r="F179" i="14"/>
  <c r="F228" i="14"/>
  <c r="K179" i="14"/>
  <c r="F197" i="14"/>
  <c r="M211" i="14"/>
  <c r="L325" i="4"/>
  <c r="L326" i="4" s="1"/>
  <c r="G64" i="61"/>
  <c r="J173" i="15"/>
  <c r="G215" i="14"/>
  <c r="K110" i="13"/>
  <c r="G207" i="14"/>
  <c r="F119" i="13"/>
  <c r="J225" i="14"/>
  <c r="K220" i="17"/>
  <c r="K221" i="17" s="1"/>
  <c r="F246" i="17"/>
  <c r="F247" i="17" s="1"/>
  <c r="I319" i="4"/>
  <c r="I320" i="4" s="1"/>
  <c r="K225" i="14"/>
  <c r="H233" i="14"/>
  <c r="N208" i="17"/>
  <c r="N209" i="17" s="1"/>
  <c r="J317" i="4"/>
  <c r="J318" i="4" s="1"/>
  <c r="J26" i="12"/>
  <c r="F11" i="47"/>
  <c r="I28" i="12"/>
  <c r="H19" i="18"/>
  <c r="K46" i="58"/>
  <c r="K109" i="58" s="1"/>
  <c r="K169" i="58" s="1"/>
  <c r="M48" i="17"/>
  <c r="G176" i="14"/>
  <c r="N116" i="24"/>
  <c r="M114" i="15"/>
  <c r="M290" i="15" s="1"/>
  <c r="M431" i="15" s="1"/>
  <c r="F204" i="17"/>
  <c r="F205" i="17" s="1"/>
  <c r="F42" i="16"/>
  <c r="N89" i="16" s="1"/>
  <c r="G359" i="4"/>
  <c r="G360" i="4" s="1"/>
  <c r="J116" i="24"/>
  <c r="M98" i="7"/>
  <c r="H337" i="4"/>
  <c r="H338" i="4" s="1"/>
  <c r="L138" i="15"/>
  <c r="N30" i="55"/>
  <c r="I45" i="55"/>
  <c r="I29" i="50"/>
  <c r="I33" i="50" s="1"/>
  <c r="I109" i="50" s="1"/>
  <c r="I120" i="50" s="1"/>
  <c r="G27" i="51"/>
  <c r="F151" i="14"/>
  <c r="H151" i="14" s="1"/>
  <c r="M99" i="7"/>
  <c r="L363" i="4"/>
  <c r="L364" i="4" s="1"/>
  <c r="N234" i="14"/>
  <c r="J37" i="51"/>
  <c r="I27" i="51"/>
  <c r="M29" i="12"/>
  <c r="N211" i="14"/>
  <c r="G212" i="17"/>
  <c r="G213" i="17" s="1"/>
  <c r="M114" i="24"/>
  <c r="J236" i="34"/>
  <c r="F210" i="14"/>
  <c r="L111" i="7"/>
  <c r="F194" i="14"/>
  <c r="M130" i="24"/>
  <c r="H272" i="17"/>
  <c r="H273" i="17" s="1"/>
  <c r="N137" i="15"/>
  <c r="G178" i="14"/>
  <c r="M180" i="15"/>
  <c r="H26" i="51"/>
  <c r="M233" i="14"/>
  <c r="N177" i="14"/>
  <c r="F18" i="12"/>
  <c r="J158" i="15"/>
  <c r="G232" i="14"/>
  <c r="L214" i="17"/>
  <c r="L215" i="17" s="1"/>
  <c r="N260" i="17"/>
  <c r="N261" i="17" s="1"/>
  <c r="M299" i="4"/>
  <c r="M300" i="4" s="1"/>
  <c r="G193" i="14"/>
  <c r="G197" i="14"/>
  <c r="J46" i="61"/>
  <c r="K262" i="17"/>
  <c r="K263" i="17" s="1"/>
  <c r="L217" i="14"/>
  <c r="L212" i="14"/>
  <c r="I313" i="4"/>
  <c r="I314" i="4" s="1"/>
  <c r="N254" i="17"/>
  <c r="N255" i="17" s="1"/>
  <c r="I194" i="14"/>
  <c r="F27" i="12"/>
  <c r="F212" i="14"/>
  <c r="I185" i="14"/>
  <c r="F178" i="15"/>
  <c r="K32" i="50"/>
  <c r="M118" i="13"/>
  <c r="G228" i="14"/>
  <c r="M202" i="14"/>
  <c r="F191" i="14"/>
  <c r="L57" i="61"/>
  <c r="M46" i="61"/>
  <c r="I212" i="14"/>
  <c r="I25" i="51"/>
  <c r="N18" i="12"/>
  <c r="O18" i="12" s="1"/>
  <c r="F184" i="14"/>
  <c r="J210" i="14"/>
  <c r="J214" i="42"/>
  <c r="J208" i="17"/>
  <c r="J209" i="17" s="1"/>
  <c r="I222" i="17"/>
  <c r="I223" i="17" s="1"/>
  <c r="H114" i="15"/>
  <c r="H290" i="15" s="1"/>
  <c r="H431" i="15" s="1"/>
  <c r="G122" i="24"/>
  <c r="N86" i="43"/>
  <c r="N117" i="13"/>
  <c r="L215" i="14"/>
  <c r="I115" i="24"/>
  <c r="F213" i="34"/>
  <c r="G305" i="4"/>
  <c r="G306" i="4" s="1"/>
  <c r="N204" i="17"/>
  <c r="N205" i="17" s="1"/>
  <c r="I218" i="14"/>
  <c r="F214" i="34"/>
  <c r="G264" i="17"/>
  <c r="G265" i="17" s="1"/>
  <c r="F114" i="24"/>
  <c r="K79" i="43"/>
  <c r="F301" i="4"/>
  <c r="F302" i="4" s="1"/>
  <c r="J274" i="17"/>
  <c r="J275" i="17" s="1"/>
  <c r="F44" i="47"/>
  <c r="F131" i="13"/>
  <c r="G266" i="17"/>
  <c r="G267" i="17" s="1"/>
  <c r="K209" i="14"/>
  <c r="L233" i="14"/>
  <c r="I335" i="4"/>
  <c r="I336" i="4" s="1"/>
  <c r="M232" i="17"/>
  <c r="M233" i="17" s="1"/>
  <c r="J213" i="14"/>
  <c r="L124" i="13"/>
  <c r="H226" i="14"/>
  <c r="K199" i="14"/>
  <c r="N26" i="51"/>
  <c r="N29" i="51" s="1"/>
  <c r="N74" i="51" s="1"/>
  <c r="F317" i="4"/>
  <c r="F318" i="4" s="1"/>
  <c r="J193" i="14"/>
  <c r="G184" i="14"/>
  <c r="I204" i="17"/>
  <c r="I205" i="17" s="1"/>
  <c r="H170" i="15"/>
  <c r="J216" i="14"/>
  <c r="G25" i="51"/>
  <c r="K29" i="12"/>
  <c r="M188" i="15"/>
  <c r="M20" i="12"/>
  <c r="H197" i="14"/>
  <c r="K293" i="4"/>
  <c r="K294" i="4" s="1"/>
  <c r="G237" i="34"/>
  <c r="F237" i="34" s="1"/>
  <c r="G355" i="4"/>
  <c r="G356" i="4" s="1"/>
  <c r="M266" i="17"/>
  <c r="M267" i="17" s="1"/>
  <c r="N139" i="15"/>
  <c r="G91" i="43"/>
  <c r="F91" i="43" s="1"/>
  <c r="J138" i="15"/>
  <c r="F224" i="17"/>
  <c r="F225" i="17" s="1"/>
  <c r="L351" i="4"/>
  <c r="L352" i="4" s="1"/>
  <c r="K130" i="24"/>
  <c r="N104" i="7"/>
  <c r="K30" i="50"/>
  <c r="L180" i="14"/>
  <c r="L211" i="14"/>
  <c r="M123" i="24"/>
  <c r="L305" i="4"/>
  <c r="L306" i="4" s="1"/>
  <c r="J124" i="24"/>
  <c r="N229" i="42"/>
  <c r="M293" i="4"/>
  <c r="M294" i="4" s="1"/>
  <c r="K229" i="14"/>
  <c r="N191" i="14"/>
  <c r="I32" i="50"/>
  <c r="N335" i="4"/>
  <c r="N336" i="4" s="1"/>
  <c r="H201" i="14"/>
  <c r="I184" i="14"/>
  <c r="I317" i="4"/>
  <c r="I318" i="4" s="1"/>
  <c r="N264" i="17"/>
  <c r="N265" i="17" s="1"/>
  <c r="N209" i="14"/>
  <c r="H117" i="13"/>
  <c r="F224" i="14"/>
  <c r="L193" i="14"/>
  <c r="G58" i="61"/>
  <c r="H363" i="4"/>
  <c r="H364" i="4" s="1"/>
  <c r="M117" i="13"/>
  <c r="I181" i="14"/>
  <c r="M212" i="17"/>
  <c r="M213" i="17" s="1"/>
  <c r="L180" i="15"/>
  <c r="K210" i="14"/>
  <c r="H69" i="13"/>
  <c r="N178" i="15"/>
  <c r="M37" i="51"/>
  <c r="L51" i="61"/>
  <c r="K183" i="15"/>
  <c r="G268" i="17"/>
  <c r="G269" i="17" s="1"/>
  <c r="N244" i="34"/>
  <c r="L175" i="14"/>
  <c r="N325" i="4"/>
  <c r="N326" i="4" s="1"/>
  <c r="F109" i="24"/>
  <c r="L170" i="14"/>
  <c r="N250" i="34"/>
  <c r="N193" i="14"/>
  <c r="J272" i="17"/>
  <c r="J273" i="17" s="1"/>
  <c r="F123" i="24"/>
  <c r="F138" i="15"/>
  <c r="N30" i="50"/>
  <c r="J206" i="17"/>
  <c r="J207" i="17" s="1"/>
  <c r="L132" i="13"/>
  <c r="G140" i="15"/>
  <c r="I82" i="15"/>
  <c r="H39" i="17"/>
  <c r="H349" i="17" s="1"/>
  <c r="I105" i="7"/>
  <c r="J214" i="17"/>
  <c r="J215" i="17" s="1"/>
  <c r="F185" i="14"/>
  <c r="N132" i="13"/>
  <c r="K357" i="4"/>
  <c r="K358" i="4" s="1"/>
  <c r="J234" i="14"/>
  <c r="I86" i="43"/>
  <c r="M315" i="4"/>
  <c r="M316" i="4" s="1"/>
  <c r="H186" i="14"/>
  <c r="K317" i="4"/>
  <c r="K318" i="4" s="1"/>
  <c r="I133" i="24"/>
  <c r="F139" i="15"/>
  <c r="F293" i="15" s="1"/>
  <c r="M210" i="14"/>
  <c r="H140" i="15"/>
  <c r="M260" i="17"/>
  <c r="M261" i="17" s="1"/>
  <c r="I229" i="14"/>
  <c r="M109" i="24"/>
  <c r="G243" i="34"/>
  <c r="F243" i="34" s="1"/>
  <c r="H212" i="17"/>
  <c r="H213" i="17" s="1"/>
  <c r="L35" i="51"/>
  <c r="H45" i="61"/>
  <c r="K25" i="51"/>
  <c r="K119" i="13"/>
  <c r="H35" i="55"/>
  <c r="N176" i="14"/>
  <c r="H106" i="24"/>
  <c r="L254" i="17"/>
  <c r="L255" i="17" s="1"/>
  <c r="J130" i="24"/>
  <c r="H303" i="4"/>
  <c r="H304" i="4" s="1"/>
  <c r="M45" i="55"/>
  <c r="L168" i="15"/>
  <c r="J45" i="55"/>
  <c r="K63" i="61"/>
  <c r="N189" i="15"/>
  <c r="L190" i="15"/>
  <c r="K124" i="13"/>
  <c r="L133" i="13"/>
  <c r="J45" i="61"/>
  <c r="I196" i="14"/>
  <c r="M193" i="14"/>
  <c r="J202" i="14"/>
  <c r="I355" i="4"/>
  <c r="I356" i="4" s="1"/>
  <c r="F199" i="14"/>
  <c r="G254" i="17"/>
  <c r="G255" i="17" s="1"/>
  <c r="F26" i="12"/>
  <c r="N178" i="14"/>
  <c r="N202" i="17"/>
  <c r="N203" i="17" s="1"/>
  <c r="L323" i="4"/>
  <c r="L324" i="4" s="1"/>
  <c r="I291" i="4"/>
  <c r="I292" i="4" s="1"/>
  <c r="I363" i="4"/>
  <c r="I364" i="4" s="1"/>
  <c r="L228" i="17"/>
  <c r="L229" i="17" s="1"/>
  <c r="F218" i="14"/>
  <c r="J126" i="13"/>
  <c r="J228" i="14"/>
  <c r="M201" i="14"/>
  <c r="I173" i="15"/>
  <c r="H17" i="43"/>
  <c r="I216" i="14"/>
  <c r="K118" i="13"/>
  <c r="G223" i="14"/>
  <c r="N227" i="14"/>
  <c r="J32" i="50"/>
  <c r="H28" i="51"/>
  <c r="M159" i="15"/>
  <c r="G52" i="61"/>
  <c r="I34" i="43"/>
  <c r="L26" i="12"/>
  <c r="K222" i="17"/>
  <c r="K223" i="17" s="1"/>
  <c r="J140" i="15"/>
  <c r="K31" i="50"/>
  <c r="M175" i="14"/>
  <c r="N229" i="14"/>
  <c r="G133" i="24"/>
  <c r="J30" i="50"/>
  <c r="L200" i="17"/>
  <c r="L201" i="17" s="1"/>
  <c r="H188" i="15"/>
  <c r="J114" i="15"/>
  <c r="J290" i="15" s="1"/>
  <c r="J431" i="15" s="1"/>
  <c r="L91" i="43"/>
  <c r="H297" i="4"/>
  <c r="H298" i="4" s="1"/>
  <c r="H357" i="4"/>
  <c r="H358" i="4" s="1"/>
  <c r="G226" i="14"/>
  <c r="J79" i="43"/>
  <c r="J305" i="4"/>
  <c r="J306" i="4" s="1"/>
  <c r="M139" i="15"/>
  <c r="M293" i="15" s="1"/>
  <c r="L35" i="55"/>
  <c r="K311" i="4"/>
  <c r="K312" i="4" s="1"/>
  <c r="J200" i="17"/>
  <c r="J201" i="17" s="1"/>
  <c r="G51" i="61"/>
  <c r="J295" i="4"/>
  <c r="J296" i="4" s="1"/>
  <c r="G224" i="17"/>
  <c r="G225" i="17" s="1"/>
  <c r="F335" i="4"/>
  <c r="F336" i="4" s="1"/>
  <c r="N297" i="4"/>
  <c r="N298" i="4" s="1"/>
  <c r="I353" i="4"/>
  <c r="I354" i="4" s="1"/>
  <c r="K206" i="17"/>
  <c r="K207" i="17" s="1"/>
  <c r="M228" i="17"/>
  <c r="M229" i="17" s="1"/>
  <c r="H178" i="14"/>
  <c r="J222" i="17"/>
  <c r="J223" i="17" s="1"/>
  <c r="I228" i="14"/>
  <c r="G63" i="61"/>
  <c r="M272" i="17"/>
  <c r="M273" i="17" s="1"/>
  <c r="K224" i="14"/>
  <c r="N196" i="14"/>
  <c r="F21" i="12"/>
  <c r="M160" i="15"/>
  <c r="I50" i="17"/>
  <c r="I35" i="55"/>
  <c r="L365" i="4"/>
  <c r="L366" i="4" s="1"/>
  <c r="J234" i="17"/>
  <c r="J235" i="17" s="1"/>
  <c r="N45" i="55"/>
  <c r="J178" i="14"/>
  <c r="N237" i="34"/>
  <c r="J229" i="14"/>
  <c r="L223" i="14"/>
  <c r="K73" i="43"/>
  <c r="K208" i="17"/>
  <c r="K209" i="17" s="1"/>
  <c r="M140" i="15"/>
  <c r="H207" i="14"/>
  <c r="I224" i="17"/>
  <c r="I225" i="17" s="1"/>
  <c r="H223" i="14"/>
  <c r="L355" i="4"/>
  <c r="L356" i="4" s="1"/>
  <c r="I272" i="17"/>
  <c r="I273" i="17" s="1"/>
  <c r="H204" i="17"/>
  <c r="H205" i="17" s="1"/>
  <c r="F232" i="14"/>
  <c r="H190" i="15"/>
  <c r="G193" i="15"/>
  <c r="I189" i="15"/>
  <c r="N183" i="14"/>
  <c r="H242" i="34"/>
  <c r="N355" i="4"/>
  <c r="N356" i="4" s="1"/>
  <c r="K207" i="14"/>
  <c r="F46" i="58"/>
  <c r="F109" i="58" s="1"/>
  <c r="J115" i="24"/>
  <c r="L86" i="43"/>
  <c r="K188" i="15"/>
  <c r="K30" i="55"/>
  <c r="H353" i="4"/>
  <c r="H354" i="4" s="1"/>
  <c r="L28" i="12"/>
  <c r="I26" i="12"/>
  <c r="J227" i="14"/>
  <c r="M213" i="14"/>
  <c r="L232" i="17"/>
  <c r="L233" i="17" s="1"/>
  <c r="L25" i="51"/>
  <c r="L181" i="14"/>
  <c r="M181" i="14"/>
  <c r="I183" i="14"/>
  <c r="I365" i="4"/>
  <c r="I366" i="4" s="1"/>
  <c r="M262" i="17"/>
  <c r="M263" i="17" s="1"/>
  <c r="F262" i="17"/>
  <c r="F263" i="17" s="1"/>
  <c r="N36" i="51"/>
  <c r="M297" i="4"/>
  <c r="M298" i="4" s="1"/>
  <c r="J117" i="13"/>
  <c r="F222" i="17"/>
  <c r="F223" i="17" s="1"/>
  <c r="F303" i="4"/>
  <c r="F304" i="4" s="1"/>
  <c r="I351" i="4"/>
  <c r="I352" i="4" s="1"/>
  <c r="K202" i="17"/>
  <c r="K203" i="17" s="1"/>
  <c r="M224" i="17"/>
  <c r="M225" i="17" s="1"/>
  <c r="F180" i="14"/>
  <c r="M206" i="17"/>
  <c r="M207" i="17" s="1"/>
  <c r="H234" i="14"/>
  <c r="I51" i="61"/>
  <c r="H315" i="4"/>
  <c r="H316" i="4" s="1"/>
  <c r="K133" i="13"/>
  <c r="F176" i="14"/>
  <c r="J226" i="17"/>
  <c r="J227" i="17" s="1"/>
  <c r="J189" i="15"/>
  <c r="M224" i="14"/>
  <c r="M32" i="50"/>
  <c r="M33" i="50" s="1"/>
  <c r="M109" i="50" s="1"/>
  <c r="M120" i="50" s="1"/>
  <c r="J160" i="15"/>
  <c r="F51" i="61"/>
  <c r="G33" i="43"/>
  <c r="L177" i="14"/>
  <c r="L111" i="13"/>
  <c r="G115" i="24"/>
  <c r="K139" i="15"/>
  <c r="F181" i="14"/>
  <c r="F365" i="4"/>
  <c r="F366" i="4" s="1"/>
  <c r="H138" i="15"/>
  <c r="H295" i="4"/>
  <c r="H296" i="4" s="1"/>
  <c r="N210" i="14"/>
  <c r="H130" i="24"/>
  <c r="J139" i="15"/>
  <c r="J293" i="15" s="1"/>
  <c r="J438" i="15" s="1"/>
  <c r="G35" i="55"/>
  <c r="F35" i="55" s="1"/>
  <c r="F231" i="55" s="1"/>
  <c r="H313" i="4"/>
  <c r="H314" i="4" s="1"/>
  <c r="F272" i="17"/>
  <c r="F273" i="17" s="1"/>
  <c r="F132" i="24"/>
  <c r="K112" i="13"/>
  <c r="F196" i="14"/>
  <c r="I99" i="7"/>
  <c r="F206" i="17"/>
  <c r="F207" i="17" s="1"/>
  <c r="K301" i="4"/>
  <c r="K302" i="4" s="1"/>
  <c r="K227" i="14"/>
  <c r="J28" i="51"/>
  <c r="N323" i="4"/>
  <c r="N324" i="4" s="1"/>
  <c r="F110" i="13"/>
  <c r="L353" i="4"/>
  <c r="L354" i="4" s="1"/>
  <c r="F305" i="4"/>
  <c r="F306" i="4" s="1"/>
  <c r="N274" i="17"/>
  <c r="N275" i="17" s="1"/>
  <c r="I110" i="13"/>
  <c r="L212" i="17"/>
  <c r="L213" i="17" s="1"/>
  <c r="F192" i="14"/>
  <c r="N118" i="13"/>
  <c r="H168" i="15"/>
  <c r="G65" i="13"/>
  <c r="I207" i="14"/>
  <c r="G111" i="13"/>
  <c r="F217" i="14"/>
  <c r="H181" i="14"/>
  <c r="F46" i="61"/>
  <c r="L163" i="15"/>
  <c r="J51" i="61"/>
  <c r="J232" i="14"/>
  <c r="F64" i="61"/>
  <c r="H25" i="51"/>
  <c r="F190" i="15"/>
  <c r="L266" i="17"/>
  <c r="L267" i="17" s="1"/>
  <c r="N224" i="14"/>
  <c r="L29" i="12"/>
  <c r="G119" i="13"/>
  <c r="J196" i="14"/>
  <c r="N124" i="24"/>
  <c r="M74" i="43"/>
  <c r="K226" i="17"/>
  <c r="K227" i="17" s="1"/>
  <c r="N216" i="14"/>
  <c r="J170" i="14"/>
  <c r="L219" i="42"/>
  <c r="L567" i="42" s="1"/>
  <c r="K303" i="4"/>
  <c r="K304" i="4" s="1"/>
  <c r="M216" i="14"/>
  <c r="N179" i="14"/>
  <c r="H79" i="43"/>
  <c r="H110" i="13"/>
  <c r="K138" i="15"/>
  <c r="I31" i="50"/>
  <c r="J183" i="14"/>
  <c r="I226" i="14"/>
  <c r="F41" i="47"/>
  <c r="F43" i="47" s="1"/>
  <c r="F294" i="47" s="1"/>
  <c r="H291" i="4"/>
  <c r="H292" i="4" s="1"/>
  <c r="J232" i="17"/>
  <c r="J233" i="17" s="1"/>
  <c r="H359" i="4"/>
  <c r="H360" i="4" s="1"/>
  <c r="F297" i="4"/>
  <c r="F298" i="4" s="1"/>
  <c r="I357" i="4"/>
  <c r="I358" i="4" s="1"/>
  <c r="K212" i="17"/>
  <c r="K213" i="17" s="1"/>
  <c r="L220" i="17"/>
  <c r="L221" i="17" s="1"/>
  <c r="I186" i="14"/>
  <c r="M112" i="13"/>
  <c r="G188" i="15"/>
  <c r="J27" i="12"/>
  <c r="H196" i="14"/>
  <c r="K212" i="14"/>
  <c r="G211" i="14"/>
  <c r="I201" i="14"/>
  <c r="N27" i="51"/>
  <c r="N57" i="61"/>
  <c r="K226" i="14"/>
  <c r="K26" i="51"/>
  <c r="N26" i="12"/>
  <c r="I217" i="14"/>
  <c r="N192" i="14"/>
  <c r="G365" i="4"/>
  <c r="G366" i="4" s="1"/>
  <c r="I125" i="24"/>
  <c r="N131" i="24"/>
  <c r="M80" i="43"/>
  <c r="N215" i="14"/>
  <c r="H114" i="24"/>
  <c r="I40" i="55"/>
  <c r="N359" i="4"/>
  <c r="N360" i="4" s="1"/>
  <c r="F118" i="13"/>
  <c r="H132" i="24"/>
  <c r="M229" i="42"/>
  <c r="H179" i="14"/>
  <c r="I191" i="14"/>
  <c r="N179" i="15"/>
  <c r="M31" i="50"/>
  <c r="M197" i="14"/>
  <c r="M209" i="14"/>
  <c r="N217" i="14"/>
  <c r="N228" i="14"/>
  <c r="N111" i="13"/>
  <c r="M126" i="13"/>
  <c r="K178" i="14"/>
  <c r="L186" i="14"/>
  <c r="L197" i="14"/>
  <c r="L209" i="14"/>
  <c r="M217" i="14"/>
  <c r="M228" i="14"/>
  <c r="F169" i="15"/>
  <c r="K193" i="15"/>
  <c r="F180" i="15"/>
  <c r="L160" i="15"/>
  <c r="L173" i="15"/>
  <c r="J169" i="15"/>
  <c r="F168" i="15"/>
  <c r="K158" i="15"/>
  <c r="M173" i="15"/>
  <c r="J35" i="51"/>
  <c r="J38" i="51" s="1"/>
  <c r="J75" i="51" s="1"/>
  <c r="J26" i="51"/>
  <c r="N46" i="61"/>
  <c r="K51" i="61"/>
  <c r="I58" i="61"/>
  <c r="M52" i="61"/>
  <c r="K28" i="51"/>
  <c r="F67" i="13"/>
  <c r="F25" i="47"/>
  <c r="F285" i="47" s="1"/>
  <c r="L21" i="12"/>
  <c r="N27" i="12"/>
  <c r="J19" i="12"/>
  <c r="J63" i="61"/>
  <c r="H63" i="61"/>
  <c r="I37" i="51"/>
  <c r="L37" i="51"/>
  <c r="H67" i="13"/>
  <c r="N32" i="50"/>
  <c r="N33" i="50" s="1"/>
  <c r="N109" i="50" s="1"/>
  <c r="J28" i="12"/>
  <c r="L27" i="12"/>
  <c r="G28" i="12"/>
  <c r="K26" i="12"/>
  <c r="C23" i="23"/>
  <c r="C24" i="23"/>
  <c r="H224" i="42"/>
  <c r="H568" i="42" s="1"/>
  <c r="J224" i="42"/>
  <c r="L224" i="42"/>
  <c r="G73" i="43"/>
  <c r="F73" i="43" s="1"/>
  <c r="M92" i="7"/>
  <c r="M46" i="58"/>
  <c r="M109" i="58" s="1"/>
  <c r="M169" i="58" s="1"/>
  <c r="M191" i="14"/>
  <c r="M199" i="14"/>
  <c r="I244" i="34"/>
  <c r="F195" i="14"/>
  <c r="I73" i="43"/>
  <c r="G118" i="13"/>
  <c r="H351" i="4"/>
  <c r="H352" i="4" s="1"/>
  <c r="K104" i="7"/>
  <c r="N194" i="14"/>
  <c r="L133" i="24"/>
  <c r="H235" i="34"/>
  <c r="K217" i="14"/>
  <c r="M125" i="13"/>
  <c r="G117" i="13"/>
  <c r="K197" i="14"/>
  <c r="L125" i="13"/>
  <c r="G250" i="34"/>
  <c r="F250" i="34" s="1"/>
  <c r="N125" i="24"/>
  <c r="F215" i="14"/>
  <c r="M117" i="24"/>
  <c r="H244" i="17"/>
  <c r="H245" i="17" s="1"/>
  <c r="I138" i="15"/>
  <c r="L208" i="14"/>
  <c r="I139" i="15"/>
  <c r="G235" i="34"/>
  <c r="F235" i="34" s="1"/>
  <c r="K186" i="14"/>
  <c r="H301" i="4"/>
  <c r="H302" i="4" s="1"/>
  <c r="I32" i="43"/>
  <c r="I35" i="43" s="1"/>
  <c r="I46" i="43" s="1"/>
  <c r="I151" i="43" s="1"/>
  <c r="I215" i="43" s="1"/>
  <c r="L179" i="15"/>
  <c r="L19" i="12"/>
  <c r="L124" i="12" s="1"/>
  <c r="L126" i="12" s="1"/>
  <c r="L127" i="12" s="1"/>
  <c r="H231" i="14"/>
  <c r="H228" i="14"/>
  <c r="I193" i="15"/>
  <c r="F201" i="14"/>
  <c r="M178" i="14"/>
  <c r="N305" i="4"/>
  <c r="N306" i="4" s="1"/>
  <c r="K177" i="14"/>
  <c r="H58" i="61"/>
  <c r="G260" i="17"/>
  <c r="G261" i="17" s="1"/>
  <c r="M251" i="34"/>
  <c r="J177" i="14"/>
  <c r="M319" i="4"/>
  <c r="M320" i="4" s="1"/>
  <c r="M91" i="43"/>
  <c r="K115" i="24"/>
  <c r="M40" i="55"/>
  <c r="G177" i="14"/>
  <c r="K125" i="13"/>
  <c r="H85" i="43"/>
  <c r="J178" i="15"/>
  <c r="L188" i="15"/>
  <c r="H160" i="15"/>
  <c r="N233" i="14"/>
  <c r="G173" i="15"/>
  <c r="N186" i="14"/>
  <c r="G181" i="14"/>
  <c r="I254" i="17"/>
  <c r="I255" i="17" s="1"/>
  <c r="J186" i="14"/>
  <c r="H226" i="17"/>
  <c r="H227" i="17" s="1"/>
  <c r="G337" i="4"/>
  <c r="G338" i="4" s="1"/>
  <c r="H163" i="15"/>
  <c r="G170" i="15"/>
  <c r="F170" i="15"/>
  <c r="K201" i="14"/>
  <c r="J125" i="13"/>
  <c r="N272" i="17"/>
  <c r="N273" i="17" s="1"/>
  <c r="J353" i="4"/>
  <c r="J354" i="4" s="1"/>
  <c r="F323" i="4"/>
  <c r="F324" i="4" s="1"/>
  <c r="H193" i="15"/>
  <c r="N37" i="51"/>
  <c r="H250" i="34"/>
  <c r="L201" i="14"/>
  <c r="J184" i="14"/>
  <c r="I236" i="34"/>
  <c r="L274" i="17"/>
  <c r="L275" i="17" s="1"/>
  <c r="I251" i="34"/>
  <c r="N225" i="14"/>
  <c r="N229" i="34"/>
  <c r="I274" i="17"/>
  <c r="I275" i="17" s="1"/>
  <c r="M430" i="34"/>
  <c r="L436" i="34"/>
  <c r="F38" i="47"/>
  <c r="K200" i="14"/>
  <c r="K211" i="14"/>
  <c r="K223" i="14"/>
  <c r="L231" i="14"/>
  <c r="K117" i="13"/>
  <c r="J132" i="13"/>
  <c r="I180" i="14"/>
  <c r="I192" i="14"/>
  <c r="J200" i="14"/>
  <c r="J211" i="14"/>
  <c r="J223" i="14"/>
  <c r="K231" i="14"/>
  <c r="K173" i="15"/>
  <c r="F160" i="15"/>
  <c r="J188" i="15"/>
  <c r="J163" i="15"/>
  <c r="I179" i="15"/>
  <c r="M178" i="15"/>
  <c r="J180" i="15"/>
  <c r="I160" i="15"/>
  <c r="J179" i="15"/>
  <c r="M35" i="51"/>
  <c r="M38" i="51" s="1"/>
  <c r="M75" i="51" s="1"/>
  <c r="G46" i="61"/>
  <c r="I57" i="61"/>
  <c r="H57" i="61"/>
  <c r="K45" i="61"/>
  <c r="N58" i="61"/>
  <c r="L28" i="51"/>
  <c r="H68" i="13"/>
  <c r="L32" i="50"/>
  <c r="L33" i="50" s="1"/>
  <c r="L109" i="50" s="1"/>
  <c r="L120" i="50" s="1"/>
  <c r="M28" i="12"/>
  <c r="G29" i="12"/>
  <c r="H26" i="12"/>
  <c r="H115" i="12" s="1"/>
  <c r="H117" i="12" s="1"/>
  <c r="H118" i="12" s="1"/>
  <c r="H46" i="61"/>
  <c r="H32" i="50"/>
  <c r="G28" i="51"/>
  <c r="H65" i="13"/>
  <c r="J67" i="13"/>
  <c r="K18" i="12"/>
  <c r="K124" i="12" s="1"/>
  <c r="K126" i="12" s="1"/>
  <c r="K127" i="12" s="1"/>
  <c r="H20" i="12"/>
  <c r="J18" i="12"/>
  <c r="G19" i="12"/>
  <c r="F17" i="43"/>
  <c r="F7" i="47"/>
  <c r="N224" i="42"/>
  <c r="N568" i="42" s="1"/>
  <c r="I305" i="4"/>
  <c r="I306" i="4" s="1"/>
  <c r="K137" i="15"/>
  <c r="G299" i="4"/>
  <c r="G300" i="4" s="1"/>
  <c r="K246" i="17"/>
  <c r="K247" i="17" s="1"/>
  <c r="N180" i="14"/>
  <c r="J31" i="50"/>
  <c r="L114" i="24"/>
  <c r="G335" i="4"/>
  <c r="G336" i="4" s="1"/>
  <c r="M138" i="15"/>
  <c r="I228" i="17"/>
  <c r="I229" i="17" s="1"/>
  <c r="G251" i="34"/>
  <c r="F251" i="34" s="1"/>
  <c r="H111" i="13"/>
  <c r="F130" i="24"/>
  <c r="J73" i="43"/>
  <c r="K335" i="4"/>
  <c r="K336" i="4" s="1"/>
  <c r="F178" i="14"/>
  <c r="G179" i="14"/>
  <c r="N351" i="4"/>
  <c r="N352" i="4" s="1"/>
  <c r="G315" i="4"/>
  <c r="G316" i="4" s="1"/>
  <c r="N235" i="34"/>
  <c r="N108" i="24"/>
  <c r="I175" i="14"/>
  <c r="G175" i="14"/>
  <c r="G353" i="4"/>
  <c r="G354" i="4" s="1"/>
  <c r="F116" i="24"/>
  <c r="G311" i="4"/>
  <c r="G312" i="4" s="1"/>
  <c r="H131" i="24"/>
  <c r="G204" i="17"/>
  <c r="G205" i="17" s="1"/>
  <c r="F170" i="14"/>
  <c r="G57" i="61"/>
  <c r="N29" i="12"/>
  <c r="N20" i="12"/>
  <c r="K35" i="51"/>
  <c r="K38" i="51" s="1"/>
  <c r="K75" i="51" s="1"/>
  <c r="G195" i="14"/>
  <c r="J202" i="17"/>
  <c r="J203" i="17" s="1"/>
  <c r="N223" i="14"/>
  <c r="J176" i="14"/>
  <c r="N244" i="17"/>
  <c r="N245" i="17" s="1"/>
  <c r="G229" i="14"/>
  <c r="K272" i="17"/>
  <c r="K273" i="17" s="1"/>
  <c r="G201" i="14"/>
  <c r="H137" i="15"/>
  <c r="K244" i="34"/>
  <c r="K260" i="17"/>
  <c r="K261" i="17" s="1"/>
  <c r="M236" i="34"/>
  <c r="J180" i="14"/>
  <c r="J242" i="34"/>
  <c r="H122" i="24"/>
  <c r="M250" i="34"/>
  <c r="H222" i="17"/>
  <c r="H223" i="17" s="1"/>
  <c r="G34" i="43"/>
  <c r="J207" i="14"/>
  <c r="I158" i="15"/>
  <c r="J133" i="13"/>
  <c r="J179" i="14"/>
  <c r="N262" i="17"/>
  <c r="N263" i="17" s="1"/>
  <c r="N357" i="4"/>
  <c r="N358" i="4" s="1"/>
  <c r="I293" i="4"/>
  <c r="I294" i="4" s="1"/>
  <c r="L140" i="15"/>
  <c r="K237" i="34"/>
  <c r="M237" i="34"/>
  <c r="L191" i="14"/>
  <c r="F68" i="13"/>
  <c r="I180" i="15"/>
  <c r="M264" i="17"/>
  <c r="M265" i="17" s="1"/>
  <c r="K195" i="14"/>
  <c r="I325" i="4"/>
  <c r="I326" i="4" s="1"/>
  <c r="N234" i="17"/>
  <c r="N235" i="17" s="1"/>
  <c r="H224" i="14"/>
  <c r="M51" i="61"/>
  <c r="K236" i="34"/>
  <c r="F311" i="4"/>
  <c r="F312" i="4" s="1"/>
  <c r="I163" i="15"/>
  <c r="J251" i="34"/>
  <c r="J110" i="13"/>
  <c r="M195" i="14"/>
  <c r="L237" i="34"/>
  <c r="J48" i="17"/>
  <c r="F14" i="47"/>
  <c r="F13" i="47"/>
  <c r="N436" i="34"/>
  <c r="E58" i="22"/>
  <c r="K1042" i="4" s="1"/>
  <c r="M314" i="34"/>
  <c r="H430" i="34"/>
  <c r="L66" i="52"/>
  <c r="L68" i="52" s="1"/>
  <c r="K436" i="34"/>
  <c r="K430" i="34"/>
  <c r="H436" i="34"/>
  <c r="G436" i="34"/>
  <c r="N66" i="52"/>
  <c r="N68" i="52" s="1"/>
  <c r="N73" i="52" s="1"/>
  <c r="K66" i="52"/>
  <c r="K68" i="52" s="1"/>
  <c r="K71" i="52" s="1"/>
  <c r="F66" i="52"/>
  <c r="F68" i="52" s="1"/>
  <c r="F73" i="52" s="1"/>
  <c r="M436" i="34"/>
  <c r="F193" i="34"/>
  <c r="F192" i="34"/>
  <c r="N150" i="12"/>
  <c r="AC27" i="31"/>
  <c r="H313" i="34"/>
  <c r="N311" i="34"/>
  <c r="K316" i="34"/>
  <c r="I315" i="34"/>
  <c r="L318" i="34"/>
  <c r="J318" i="34"/>
  <c r="H318" i="34"/>
  <c r="H311" i="34"/>
  <c r="H317" i="34"/>
  <c r="H605" i="34" s="1"/>
  <c r="N19" i="57"/>
  <c r="N59" i="57" s="1"/>
  <c r="N86" i="57" s="1"/>
  <c r="L150" i="12"/>
  <c r="I316" i="34"/>
  <c r="J28" i="9"/>
  <c r="H314" i="34"/>
  <c r="K318" i="34"/>
  <c r="H315" i="34"/>
  <c r="M20" i="7"/>
  <c r="M19" i="8"/>
  <c r="N121" i="8" s="1"/>
  <c r="N135" i="8" s="1"/>
  <c r="N164" i="8" s="1"/>
  <c r="M265" i="15"/>
  <c r="M266" i="15" s="1"/>
  <c r="M507" i="15" s="1"/>
  <c r="K150" i="12"/>
  <c r="M315" i="34"/>
  <c r="G311" i="34"/>
  <c r="L317" i="34"/>
  <c r="L605" i="34" s="1"/>
  <c r="M150" i="12"/>
  <c r="L120" i="32"/>
  <c r="N89" i="46"/>
  <c r="N256" i="46" s="1"/>
  <c r="G410" i="46"/>
  <c r="G19" i="9"/>
  <c r="H101" i="9" s="1"/>
  <c r="K120" i="32"/>
  <c r="AM22" i="19"/>
  <c r="AM22" i="31" s="1"/>
  <c r="AM23" i="31"/>
  <c r="J19" i="9"/>
  <c r="K101" i="9" s="1"/>
  <c r="I159" i="10"/>
  <c r="I257" i="10" s="1"/>
  <c r="J20" i="33"/>
  <c r="J65" i="33" s="1"/>
  <c r="J114" i="33" s="1"/>
  <c r="N586" i="4"/>
  <c r="I20" i="32"/>
  <c r="I63" i="32" s="1"/>
  <c r="I120" i="32" s="1"/>
  <c r="J20" i="32"/>
  <c r="J63" i="32" s="1"/>
  <c r="J68" i="32" s="1"/>
  <c r="J70" i="32" s="1"/>
  <c r="J71" i="32" s="1"/>
  <c r="J109" i="32" s="1"/>
  <c r="M89" i="46"/>
  <c r="M256" i="46" s="1"/>
  <c r="G314" i="34"/>
  <c r="H19" i="9"/>
  <c r="I101" i="9" s="1"/>
  <c r="I110" i="9" s="1"/>
  <c r="I146" i="9" s="1"/>
  <c r="G89" i="46"/>
  <c r="G256" i="46" s="1"/>
  <c r="F311" i="34"/>
  <c r="K33" i="50"/>
  <c r="K109" i="50" s="1"/>
  <c r="I19" i="9"/>
  <c r="J101" i="9" s="1"/>
  <c r="J115" i="9" s="1"/>
  <c r="J144" i="9" s="1"/>
  <c r="M28" i="9"/>
  <c r="L19" i="9"/>
  <c r="M101" i="9" s="1"/>
  <c r="M105" i="9" s="1"/>
  <c r="M148" i="9" s="1"/>
  <c r="M19" i="57"/>
  <c r="M59" i="57" s="1"/>
  <c r="M86" i="57" s="1"/>
  <c r="L314" i="34"/>
  <c r="N19" i="8"/>
  <c r="K19" i="9"/>
  <c r="L101" i="9" s="1"/>
  <c r="M19" i="9"/>
  <c r="N101" i="9" s="1"/>
  <c r="N105" i="9" s="1"/>
  <c r="N148" i="9" s="1"/>
  <c r="K20" i="33"/>
  <c r="K65" i="33" s="1"/>
  <c r="K114" i="33" s="1"/>
  <c r="L20" i="33"/>
  <c r="L65" i="33" s="1"/>
  <c r="L114" i="33" s="1"/>
  <c r="L28" i="9"/>
  <c r="K19" i="8"/>
  <c r="L121" i="8" s="1"/>
  <c r="L130" i="8" s="1"/>
  <c r="L166" i="8" s="1"/>
  <c r="J159" i="10"/>
  <c r="J183" i="10" s="1"/>
  <c r="J258" i="10" s="1"/>
  <c r="K28" i="9"/>
  <c r="N314" i="34"/>
  <c r="N401" i="34" s="1"/>
  <c r="J20" i="30"/>
  <c r="J71" i="30" s="1"/>
  <c r="J75" i="30" s="1"/>
  <c r="J77" i="30" s="1"/>
  <c r="J79" i="30" s="1"/>
  <c r="J112" i="30" s="1"/>
  <c r="L316" i="34"/>
  <c r="I280" i="15"/>
  <c r="I281" i="15" s="1"/>
  <c r="I422" i="15" s="1"/>
  <c r="I20" i="30"/>
  <c r="I71" i="30" s="1"/>
  <c r="I75" i="30" s="1"/>
  <c r="I77" i="30" s="1"/>
  <c r="I79" i="30" s="1"/>
  <c r="I112" i="30" s="1"/>
  <c r="F20" i="30"/>
  <c r="F71" i="30" s="1"/>
  <c r="F75" i="30" s="1"/>
  <c r="F77" i="30" s="1"/>
  <c r="F79" i="30" s="1"/>
  <c r="F112" i="30" s="1"/>
  <c r="M20" i="30"/>
  <c r="M71" i="30" s="1"/>
  <c r="M75" i="30" s="1"/>
  <c r="M121" i="30" s="1"/>
  <c r="J315" i="34"/>
  <c r="M316" i="34"/>
  <c r="M317" i="34"/>
  <c r="M605" i="34" s="1"/>
  <c r="G315" i="34"/>
  <c r="J312" i="34"/>
  <c r="J391" i="34" s="1"/>
  <c r="J393" i="34" s="1"/>
  <c r="J396" i="34" s="1"/>
  <c r="L20" i="30"/>
  <c r="L71" i="30" s="1"/>
  <c r="L75" i="30" s="1"/>
  <c r="L77" i="30" s="1"/>
  <c r="L79" i="30" s="1"/>
  <c r="L111" i="30" s="1"/>
  <c r="G856" i="4"/>
  <c r="M312" i="34"/>
  <c r="M391" i="34" s="1"/>
  <c r="M393" i="34" s="1"/>
  <c r="M396" i="34" s="1"/>
  <c r="N20" i="30"/>
  <c r="N71" i="30" s="1"/>
  <c r="N75" i="30" s="1"/>
  <c r="N84" i="30" s="1"/>
  <c r="N124" i="30" s="1"/>
  <c r="G20" i="30"/>
  <c r="G71" i="30" s="1"/>
  <c r="G75" i="30" s="1"/>
  <c r="G83" i="30" s="1"/>
  <c r="G123" i="30" s="1"/>
  <c r="K20" i="30"/>
  <c r="K71" i="30" s="1"/>
  <c r="K75" i="30" s="1"/>
  <c r="K84" i="30" s="1"/>
  <c r="K124" i="30" s="1"/>
  <c r="AK22" i="19"/>
  <c r="AK23" i="31"/>
  <c r="F98" i="46"/>
  <c r="F244" i="46" s="1"/>
  <c r="I89" i="46"/>
  <c r="I256" i="46" s="1"/>
  <c r="K89" i="46"/>
  <c r="K256" i="46" s="1"/>
  <c r="J280" i="15"/>
  <c r="J281" i="15" s="1"/>
  <c r="J422" i="15" s="1"/>
  <c r="H275" i="15"/>
  <c r="H276" i="15" s="1"/>
  <c r="K190" i="10"/>
  <c r="K263" i="10" s="1"/>
  <c r="L414" i="17"/>
  <c r="L265" i="15"/>
  <c r="L266" i="15" s="1"/>
  <c r="L507" i="15" s="1"/>
  <c r="J368" i="42" a="1"/>
  <c r="J370" i="42" s="1"/>
  <c r="I356" i="42" a="1"/>
  <c r="I359" i="42" s="1"/>
  <c r="N356" i="42" a="1"/>
  <c r="N356" i="42" s="1"/>
  <c r="F368" i="42" a="1"/>
  <c r="F369" i="42" s="1"/>
  <c r="L362" i="42" a="1"/>
  <c r="L364" i="42" s="1"/>
  <c r="M362" i="42" a="1"/>
  <c r="M363" i="42" s="1"/>
  <c r="C30" i="31"/>
  <c r="I362" i="42" a="1"/>
  <c r="I362" i="42" s="1"/>
  <c r="F153" i="43"/>
  <c r="F159" i="43" s="1"/>
  <c r="F226" i="43" s="1"/>
  <c r="F356" i="42" a="1"/>
  <c r="F356" i="42" s="1"/>
  <c r="J356" i="42" a="1"/>
  <c r="J356" i="42" s="1"/>
  <c r="L356" i="42" a="1"/>
  <c r="L359" i="42" s="1"/>
  <c r="L368" i="42" a="1"/>
  <c r="L368" i="42" s="1"/>
  <c r="K368" i="42" a="1"/>
  <c r="K368" i="42" s="1"/>
  <c r="J362" i="42" a="1"/>
  <c r="J365" i="42" s="1"/>
  <c r="C27" i="31"/>
  <c r="C62" i="19"/>
  <c r="AM57" i="19"/>
  <c r="AM57" i="31" s="1"/>
  <c r="F15" i="47" s="1"/>
  <c r="L57" i="31"/>
  <c r="L30" i="19"/>
  <c r="L30" i="31" s="1"/>
  <c r="H27" i="31"/>
  <c r="H62" i="19"/>
  <c r="H62" i="31" s="1"/>
  <c r="W29" i="31"/>
  <c r="L29" i="19"/>
  <c r="W28" i="19"/>
  <c r="H368" i="42" a="1"/>
  <c r="H369" i="42" s="1"/>
  <c r="N368" i="42" a="1"/>
  <c r="N370" i="42" s="1"/>
  <c r="G368" i="42" a="1"/>
  <c r="G370" i="42" s="1"/>
  <c r="M368" i="42" a="1"/>
  <c r="M368" i="42" s="1"/>
  <c r="Y28" i="31"/>
  <c r="Y8" i="19"/>
  <c r="Y8" i="31" s="1"/>
  <c r="Y62" i="19"/>
  <c r="Y62" i="31" s="1"/>
  <c r="AA62" i="19"/>
  <c r="AA62" i="31" s="1"/>
  <c r="AA27" i="31"/>
  <c r="L27" i="31"/>
  <c r="H135" i="8"/>
  <c r="H164" i="8" s="1"/>
  <c r="H125" i="8"/>
  <c r="H168" i="8" s="1"/>
  <c r="N655" i="4"/>
  <c r="N675" i="4" s="1"/>
  <c r="I94" i="35"/>
  <c r="J270" i="15"/>
  <c r="J271" i="15" s="1"/>
  <c r="J424" i="15" s="1"/>
  <c r="P82" i="15"/>
  <c r="Q84" i="15"/>
  <c r="P84" i="15"/>
  <c r="F78" i="10"/>
  <c r="G158" i="14"/>
  <c r="G345" i="14" s="1"/>
  <c r="I270" i="15"/>
  <c r="I271" i="15" s="1"/>
  <c r="I424" i="15" s="1"/>
  <c r="M338" i="14"/>
  <c r="M158" i="14"/>
  <c r="M345" i="14" s="1"/>
  <c r="F422" i="15"/>
  <c r="G135" i="8"/>
  <c r="G164" i="8" s="1"/>
  <c r="K148" i="14"/>
  <c r="N381" i="17"/>
  <c r="I148" i="14"/>
  <c r="K504" i="14"/>
  <c r="L521" i="14"/>
  <c r="L539" i="14" s="1"/>
  <c r="F521" i="14"/>
  <c r="F539" i="14" s="1"/>
  <c r="N521" i="14"/>
  <c r="N539" i="14" s="1"/>
  <c r="Q483" i="14"/>
  <c r="H89" i="46"/>
  <c r="H256" i="46" s="1"/>
  <c r="J89" i="46"/>
  <c r="J256" i="46" s="1"/>
  <c r="F110" i="18"/>
  <c r="F129" i="18" s="1"/>
  <c r="H293" i="15"/>
  <c r="H439" i="15" s="1"/>
  <c r="D51" i="55"/>
  <c r="F143" i="55" s="1"/>
  <c r="F62" i="8"/>
  <c r="D154" i="8" s="1"/>
  <c r="D50" i="55"/>
  <c r="F142" i="55" s="1"/>
  <c r="I98" i="35"/>
  <c r="F56" i="9"/>
  <c r="D134" i="9" s="1"/>
  <c r="I89" i="35"/>
  <c r="F567" i="42"/>
  <c r="O28" i="12"/>
  <c r="K172" i="10"/>
  <c r="K238" i="10" s="1"/>
  <c r="D77" i="23"/>
  <c r="F312" i="34"/>
  <c r="F391" i="34" s="1"/>
  <c r="F393" i="34" s="1"/>
  <c r="F396" i="34" s="1"/>
  <c r="F564" i="34" s="1"/>
  <c r="G125" i="8"/>
  <c r="G168" i="8" s="1"/>
  <c r="N190" i="10"/>
  <c r="N263" i="10" s="1"/>
  <c r="J150" i="14"/>
  <c r="F77" i="23"/>
  <c r="G172" i="10"/>
  <c r="G238" i="10" s="1"/>
  <c r="N856" i="4"/>
  <c r="H856" i="4"/>
  <c r="M172" i="10"/>
  <c r="M238" i="10" s="1"/>
  <c r="K21" i="10"/>
  <c r="K151" i="10" s="1"/>
  <c r="K154" i="10" s="1"/>
  <c r="K156" i="10" s="1"/>
  <c r="P31" i="17"/>
  <c r="M149" i="14"/>
  <c r="M331" i="14" s="1"/>
  <c r="L322" i="14"/>
  <c r="M346" i="14" s="1"/>
  <c r="M71" i="32"/>
  <c r="M109" i="32" s="1"/>
  <c r="G164" i="10"/>
  <c r="G230" i="10" s="1"/>
  <c r="F856" i="4"/>
  <c r="I149" i="14"/>
  <c r="M330" i="17"/>
  <c r="M203" i="13"/>
  <c r="G186" i="10"/>
  <c r="J437" i="42"/>
  <c r="J442" i="42" s="1"/>
  <c r="L21" i="10"/>
  <c r="L151" i="10" s="1"/>
  <c r="L154" i="10" s="1"/>
  <c r="L156" i="10" s="1"/>
  <c r="L223" i="10" s="1"/>
  <c r="K351" i="14"/>
  <c r="K20" i="7"/>
  <c r="F46" i="24"/>
  <c r="F206" i="24" s="1"/>
  <c r="G227" i="24" s="1"/>
  <c r="H28" i="9"/>
  <c r="H21" i="10"/>
  <c r="H151" i="10" s="1"/>
  <c r="H250" i="10" s="1"/>
  <c r="M114" i="58"/>
  <c r="P41" i="17"/>
  <c r="P47" i="17"/>
  <c r="K149" i="14"/>
  <c r="I114" i="58"/>
  <c r="J322" i="14"/>
  <c r="K346" i="14" s="1"/>
  <c r="I322" i="14"/>
  <c r="J346" i="14" s="1"/>
  <c r="K322" i="14"/>
  <c r="L346" i="14" s="1"/>
  <c r="M322" i="14"/>
  <c r="N346" i="14" s="1"/>
  <c r="G322" i="14"/>
  <c r="H346" i="14" s="1"/>
  <c r="G321" i="14"/>
  <c r="I323" i="14"/>
  <c r="K323" i="14"/>
  <c r="G323" i="14"/>
  <c r="J323" i="14"/>
  <c r="K321" i="14"/>
  <c r="H321" i="14"/>
  <c r="I321" i="14"/>
  <c r="H323" i="14"/>
  <c r="M323" i="14"/>
  <c r="M321" i="14"/>
  <c r="J321" i="14"/>
  <c r="M147" i="14"/>
  <c r="M330" i="14" s="1"/>
  <c r="N328" i="14"/>
  <c r="I328" i="14"/>
  <c r="F328" i="14"/>
  <c r="K344" i="14"/>
  <c r="L351" i="14"/>
  <c r="E72" i="59"/>
  <c r="M159" i="10"/>
  <c r="M257" i="10" s="1"/>
  <c r="L159" i="10"/>
  <c r="L184" i="10" s="1"/>
  <c r="L256" i="10" s="1"/>
  <c r="F190" i="10"/>
  <c r="F263" i="10" s="1"/>
  <c r="G190" i="10"/>
  <c r="G263" i="10" s="1"/>
  <c r="F411" i="42"/>
  <c r="F549" i="42" s="1"/>
  <c r="L311" i="34"/>
  <c r="G312" i="34"/>
  <c r="G391" i="34" s="1"/>
  <c r="G393" i="34" s="1"/>
  <c r="G396" i="34" s="1"/>
  <c r="H20" i="32"/>
  <c r="H63" i="32" s="1"/>
  <c r="H120" i="32" s="1"/>
  <c r="I21" i="10"/>
  <c r="I151" i="10" s="1"/>
  <c r="I154" i="10" s="1"/>
  <c r="I156" i="10" s="1"/>
  <c r="I222" i="10" s="1"/>
  <c r="I19" i="8"/>
  <c r="J121" i="8" s="1"/>
  <c r="J135" i="8" s="1"/>
  <c r="J164" i="8" s="1"/>
  <c r="G124" i="12"/>
  <c r="G126" i="12" s="1"/>
  <c r="G127" i="12" s="1"/>
  <c r="F138" i="6"/>
  <c r="F85" i="23"/>
  <c r="H277" i="7" s="1"/>
  <c r="H20" i="30"/>
  <c r="H71" i="30" s="1"/>
  <c r="H75" i="30" s="1"/>
  <c r="H77" i="30" s="1"/>
  <c r="H79" i="30" s="1"/>
  <c r="H111" i="30" s="1"/>
  <c r="N21" i="10"/>
  <c r="N151" i="10" s="1"/>
  <c r="N154" i="10" s="1"/>
  <c r="N156" i="10" s="1"/>
  <c r="N222" i="10" s="1"/>
  <c r="H98" i="46"/>
  <c r="H244" i="46" s="1"/>
  <c r="M98" i="46"/>
  <c r="M406" i="46" s="1"/>
  <c r="L89" i="46"/>
  <c r="L256" i="46" s="1"/>
  <c r="L411" i="42"/>
  <c r="L549" i="42" s="1"/>
  <c r="H312" i="34"/>
  <c r="H391" i="34" s="1"/>
  <c r="H393" i="34" s="1"/>
  <c r="H396" i="34" s="1"/>
  <c r="J313" i="34"/>
  <c r="I311" i="34"/>
  <c r="N316" i="34"/>
  <c r="J19" i="57"/>
  <c r="J59" i="57" s="1"/>
  <c r="J86" i="57" s="1"/>
  <c r="K19" i="57"/>
  <c r="K59" i="57" s="1"/>
  <c r="K86" i="57" s="1"/>
  <c r="L19" i="57"/>
  <c r="L59" i="57" s="1"/>
  <c r="L86" i="57" s="1"/>
  <c r="N38" i="51"/>
  <c r="N75" i="51" s="1"/>
  <c r="K414" i="17"/>
  <c r="M566" i="42"/>
  <c r="K317" i="34"/>
  <c r="K605" i="34" s="1"/>
  <c r="I313" i="34"/>
  <c r="I401" i="34" s="1"/>
  <c r="N159" i="10"/>
  <c r="N183" i="10" s="1"/>
  <c r="N258" i="10" s="1"/>
  <c r="F80" i="46"/>
  <c r="F405" i="46" s="1"/>
  <c r="J19" i="8"/>
  <c r="K121" i="8" s="1"/>
  <c r="K130" i="8" s="1"/>
  <c r="K166" i="8" s="1"/>
  <c r="L38" i="51"/>
  <c r="L75" i="51" s="1"/>
  <c r="J430" i="42"/>
  <c r="I19" i="57"/>
  <c r="I59" i="57" s="1"/>
  <c r="I86" i="57" s="1"/>
  <c r="K314" i="34"/>
  <c r="J314" i="34"/>
  <c r="J316" i="34"/>
  <c r="G110" i="18"/>
  <c r="G111" i="18" s="1"/>
  <c r="J29" i="51"/>
  <c r="J74" i="51" s="1"/>
  <c r="F414" i="17"/>
  <c r="H666" i="4"/>
  <c r="E81" i="59"/>
  <c r="N1119" i="4" a="1"/>
  <c r="N1123" i="4" s="1"/>
  <c r="J59" i="4"/>
  <c r="I62" i="4"/>
  <c r="I754" i="4" s="1"/>
  <c r="I757" i="4" s="1"/>
  <c r="E79" i="59"/>
  <c r="I507" i="14"/>
  <c r="H203" i="13"/>
  <c r="H211" i="13" s="1"/>
  <c r="H306" i="13" s="1"/>
  <c r="N203" i="13"/>
  <c r="E69" i="59"/>
  <c r="J203" i="13"/>
  <c r="J211" i="13" s="1"/>
  <c r="N588" i="4"/>
  <c r="J501" i="14"/>
  <c r="F317" i="34"/>
  <c r="F376" i="34" s="1"/>
  <c r="F421" i="34" s="1"/>
  <c r="N172" i="10"/>
  <c r="N238" i="10" s="1"/>
  <c r="F172" i="10"/>
  <c r="F240" i="10" s="1"/>
  <c r="L856" i="4"/>
  <c r="F19" i="9"/>
  <c r="G101" i="9" s="1"/>
  <c r="G105" i="9" s="1"/>
  <c r="N73" i="33"/>
  <c r="N103" i="33" s="1"/>
  <c r="F193" i="7"/>
  <c r="F196" i="7" s="1"/>
  <c r="F195" i="7" s="1"/>
  <c r="I856" i="4"/>
  <c r="F164" i="10"/>
  <c r="F232" i="10" s="1"/>
  <c r="H164" i="10"/>
  <c r="H232" i="10" s="1"/>
  <c r="K158" i="14"/>
  <c r="F29" i="51"/>
  <c r="F74" i="51" s="1"/>
  <c r="I318" i="34"/>
  <c r="M318" i="34"/>
  <c r="L313" i="34"/>
  <c r="N430" i="42"/>
  <c r="J172" i="10"/>
  <c r="F73" i="33"/>
  <c r="F104" i="33" s="1"/>
  <c r="F156" i="10"/>
  <c r="F222" i="10" s="1"/>
  <c r="J21" i="10"/>
  <c r="J151" i="10" s="1"/>
  <c r="J177" i="10" s="1"/>
  <c r="J251" i="10" s="1"/>
  <c r="F125" i="6"/>
  <c r="F130" i="6" s="1"/>
  <c r="F131" i="6" s="1"/>
  <c r="F168" i="6" s="1"/>
  <c r="M235" i="24"/>
  <c r="M236" i="24" s="1"/>
  <c r="M237" i="24" s="1"/>
  <c r="M239" i="24" s="1"/>
  <c r="M338" i="24" s="1"/>
  <c r="N235" i="24"/>
  <c r="N236" i="24" s="1"/>
  <c r="N237" i="24" s="1"/>
  <c r="N239" i="24" s="1"/>
  <c r="N338" i="24" s="1"/>
  <c r="J856" i="4"/>
  <c r="F222" i="7"/>
  <c r="F225" i="7" s="1"/>
  <c r="F224" i="7" s="1"/>
  <c r="K235" i="24"/>
  <c r="K236" i="24" s="1"/>
  <c r="K237" i="24" s="1"/>
  <c r="K239" i="24" s="1"/>
  <c r="K338" i="24" s="1"/>
  <c r="K278" i="24" s="1"/>
  <c r="H38" i="51"/>
  <c r="H75" i="51" s="1"/>
  <c r="K315" i="34"/>
  <c r="M311" i="34"/>
  <c r="F318" i="34"/>
  <c r="I172" i="10"/>
  <c r="M856" i="4"/>
  <c r="F208" i="7"/>
  <c r="F211" i="7" s="1"/>
  <c r="K856" i="4"/>
  <c r="L235" i="24"/>
  <c r="L236" i="24" s="1"/>
  <c r="L237" i="24" s="1"/>
  <c r="L239" i="24" s="1"/>
  <c r="L338" i="24" s="1"/>
  <c r="L278" i="24" s="1"/>
  <c r="G21" i="10"/>
  <c r="G151" i="10" s="1"/>
  <c r="G250" i="10" s="1"/>
  <c r="G28" i="24"/>
  <c r="G207" i="24" s="1"/>
  <c r="L312" i="34"/>
  <c r="F505" i="14"/>
  <c r="N76" i="33"/>
  <c r="N115" i="33" s="1"/>
  <c r="M437" i="42"/>
  <c r="M442" i="42" s="1"/>
  <c r="F437" i="42"/>
  <c r="E78" i="59"/>
  <c r="F75" i="59"/>
  <c r="N457" i="42"/>
  <c r="Q486" i="14"/>
  <c r="F73" i="59"/>
  <c r="N424" i="42"/>
  <c r="N426" i="42" s="1"/>
  <c r="N559" i="42" s="1"/>
  <c r="M125" i="8"/>
  <c r="M168" i="8" s="1"/>
  <c r="N589" i="4"/>
  <c r="N590" i="4"/>
  <c r="H864" i="4"/>
  <c r="H863" i="4"/>
  <c r="H861" i="4"/>
  <c r="H862" i="4"/>
  <c r="N114" i="33"/>
  <c r="G869" i="4"/>
  <c r="G870" i="4" s="1"/>
  <c r="N658" i="4"/>
  <c r="N678" i="4" s="1"/>
  <c r="M130" i="8"/>
  <c r="M166" i="8" s="1"/>
  <c r="L203" i="13"/>
  <c r="I203" i="13"/>
  <c r="I211" i="13" s="1"/>
  <c r="G405" i="46"/>
  <c r="K185" i="10"/>
  <c r="N664" i="4"/>
  <c r="N684" i="4" s="1"/>
  <c r="N656" i="4"/>
  <c r="N676" i="4" s="1"/>
  <c r="I291" i="13"/>
  <c r="N507" i="14"/>
  <c r="K203" i="13"/>
  <c r="L430" i="42"/>
  <c r="K437" i="42"/>
  <c r="K442" i="42" s="1"/>
  <c r="H364" i="42"/>
  <c r="H363" i="42"/>
  <c r="F506" i="14"/>
  <c r="I298" i="13"/>
  <c r="Q487" i="14"/>
  <c r="M154" i="10"/>
  <c r="M156" i="10" s="1"/>
  <c r="M215" i="10" s="1"/>
  <c r="L437" i="42"/>
  <c r="L442" i="42" s="1"/>
  <c r="I312" i="13"/>
  <c r="I319" i="13"/>
  <c r="J457" i="42"/>
  <c r="I114" i="33"/>
  <c r="G437" i="42"/>
  <c r="G442" i="42" s="1"/>
  <c r="G443" i="42" s="1"/>
  <c r="H444" i="42" s="1"/>
  <c r="I445" i="42" s="1"/>
  <c r="F1042" i="4"/>
  <c r="F81" i="59"/>
  <c r="F79" i="59"/>
  <c r="I333" i="13"/>
  <c r="I496" i="14"/>
  <c r="L83" i="32"/>
  <c r="L201" i="13"/>
  <c r="F76" i="33"/>
  <c r="F115" i="33" s="1"/>
  <c r="I317" i="34"/>
  <c r="I605" i="34" s="1"/>
  <c r="N312" i="34"/>
  <c r="N391" i="34" s="1"/>
  <c r="N393" i="34" s="1"/>
  <c r="J311" i="34"/>
  <c r="N437" i="42"/>
  <c r="N442" i="42" s="1"/>
  <c r="G317" i="34"/>
  <c r="G605" i="34" s="1"/>
  <c r="G313" i="34"/>
  <c r="I28" i="9"/>
  <c r="F78" i="23"/>
  <c r="H437" i="42"/>
  <c r="H442" i="42" s="1"/>
  <c r="H172" i="10"/>
  <c r="N495" i="14"/>
  <c r="N513" i="14" s="1"/>
  <c r="N531" i="14" s="1"/>
  <c r="N639" i="14" s="1"/>
  <c r="I497" i="14"/>
  <c r="H114" i="33"/>
  <c r="H365" i="42"/>
  <c r="G430" i="42"/>
  <c r="M159" i="43"/>
  <c r="M226" i="43" s="1"/>
  <c r="L172" i="10"/>
  <c r="K201" i="13"/>
  <c r="I201" i="13"/>
  <c r="M83" i="32"/>
  <c r="N315" i="34"/>
  <c r="H316" i="34"/>
  <c r="N317" i="34"/>
  <c r="N605" i="34" s="1"/>
  <c r="L20" i="7"/>
  <c r="G139" i="6"/>
  <c r="E71" i="59"/>
  <c r="F500" i="14"/>
  <c r="E74" i="59"/>
  <c r="O721" i="4"/>
  <c r="N665" i="4"/>
  <c r="N685" i="4" s="1"/>
  <c r="E80" i="59"/>
  <c r="H362" i="42"/>
  <c r="N201" i="13"/>
  <c r="L365" i="42"/>
  <c r="F77" i="33"/>
  <c r="F113" i="33" s="1"/>
  <c r="N77" i="33"/>
  <c r="N113" i="33" s="1"/>
  <c r="L424" i="42"/>
  <c r="L426" i="42" s="1"/>
  <c r="L559" i="42" s="1"/>
  <c r="L561" i="42" s="1"/>
  <c r="I567" i="42"/>
  <c r="H335" i="17"/>
  <c r="M76" i="32"/>
  <c r="M79" i="32" s="1"/>
  <c r="K313" i="34"/>
  <c r="N318" i="34"/>
  <c r="J317" i="34"/>
  <c r="J605" i="34" s="1"/>
  <c r="F179" i="6"/>
  <c r="D80" i="23"/>
  <c r="M168" i="58"/>
  <c r="K200" i="13"/>
  <c r="K208" i="13" s="1"/>
  <c r="K296" i="13" s="1"/>
  <c r="N200" i="13"/>
  <c r="N208" i="13" s="1"/>
  <c r="G200" i="13"/>
  <c r="G208" i="13" s="1"/>
  <c r="F317" i="13" s="1"/>
  <c r="L200" i="13"/>
  <c r="L208" i="13" s="1"/>
  <c r="L289" i="13" s="1"/>
  <c r="I200" i="13"/>
  <c r="I208" i="13" s="1"/>
  <c r="I331" i="13" s="1"/>
  <c r="H200" i="13"/>
  <c r="H208" i="13" s="1"/>
  <c r="H282" i="13" s="1"/>
  <c r="M200" i="13"/>
  <c r="M208" i="13" s="1"/>
  <c r="M296" i="13" s="1"/>
  <c r="J200" i="13"/>
  <c r="J208" i="13" s="1"/>
  <c r="J303" i="13" s="1"/>
  <c r="F69" i="59"/>
  <c r="H201" i="13"/>
  <c r="H209" i="13" s="1"/>
  <c r="G201" i="13"/>
  <c r="G209" i="13" s="1"/>
  <c r="G297" i="13" s="1"/>
  <c r="F28" i="24"/>
  <c r="F139" i="6"/>
  <c r="L139" i="6"/>
  <c r="M139" i="6"/>
  <c r="F501" i="14"/>
  <c r="N659" i="4"/>
  <c r="N679" i="4" s="1"/>
  <c r="J424" i="42"/>
  <c r="J426" i="42" s="1"/>
  <c r="J559" i="42" s="1"/>
  <c r="J561" i="42" s="1"/>
  <c r="M201" i="13"/>
  <c r="N120" i="50"/>
  <c r="M210" i="43"/>
  <c r="J151" i="12"/>
  <c r="G568" i="42"/>
  <c r="G316" i="34"/>
  <c r="G318" i="34"/>
  <c r="K311" i="34"/>
  <c r="F313" i="34"/>
  <c r="F401" i="34" s="1"/>
  <c r="M313" i="34"/>
  <c r="I312" i="34"/>
  <c r="L315" i="34"/>
  <c r="F117" i="47"/>
  <c r="N411" i="42"/>
  <c r="N549" i="42" s="1"/>
  <c r="I437" i="42"/>
  <c r="I442" i="42" s="1"/>
  <c r="M430" i="42"/>
  <c r="K139" i="6"/>
  <c r="I139" i="6"/>
  <c r="I158" i="14"/>
  <c r="G424" i="42"/>
  <c r="G426" i="42" s="1"/>
  <c r="G559" i="42" s="1"/>
  <c r="G561" i="42" s="1"/>
  <c r="J139" i="6"/>
  <c r="G38" i="51"/>
  <c r="G75" i="51" s="1"/>
  <c r="M114" i="33"/>
  <c r="M70" i="33"/>
  <c r="E77" i="23"/>
  <c r="E85" i="23"/>
  <c r="E80" i="23"/>
  <c r="K326" i="13"/>
  <c r="K430" i="42"/>
  <c r="G75" i="23"/>
  <c r="I91" i="35"/>
  <c r="I88" i="35"/>
  <c r="H80" i="46"/>
  <c r="H410" i="46"/>
  <c r="K80" i="46"/>
  <c r="K410" i="46"/>
  <c r="J80" i="46"/>
  <c r="J410" i="46"/>
  <c r="K98" i="46"/>
  <c r="K411" i="46"/>
  <c r="M80" i="46"/>
  <c r="M410" i="46"/>
  <c r="I80" i="46"/>
  <c r="I410" i="46"/>
  <c r="D78" i="23"/>
  <c r="D83" i="23"/>
  <c r="E76" i="23"/>
  <c r="E79" i="23"/>
  <c r="E84" i="23"/>
  <c r="F84" i="23"/>
  <c r="F76" i="23"/>
  <c r="F79" i="23"/>
  <c r="M319" i="13"/>
  <c r="M436" i="42"/>
  <c r="I151" i="12"/>
  <c r="N139" i="6"/>
  <c r="K147" i="14"/>
  <c r="L410" i="46"/>
  <c r="L80" i="46"/>
  <c r="D84" i="23"/>
  <c r="D79" i="23"/>
  <c r="D76" i="23"/>
  <c r="F38" i="51"/>
  <c r="F75" i="51" s="1"/>
  <c r="L85" i="32"/>
  <c r="H139" i="6"/>
  <c r="I147" i="14"/>
  <c r="F287" i="15"/>
  <c r="G150" i="14"/>
  <c r="G332" i="14" s="1"/>
  <c r="N150" i="14"/>
  <c r="H150" i="14"/>
  <c r="I150" i="14"/>
  <c r="I332" i="14" s="1"/>
  <c r="L150" i="14"/>
  <c r="K150" i="14"/>
  <c r="J98" i="46"/>
  <c r="J411" i="46"/>
  <c r="N98" i="46"/>
  <c r="N411" i="46"/>
  <c r="F233" i="7"/>
  <c r="F245" i="7"/>
  <c r="C236" i="7"/>
  <c r="F239" i="7"/>
  <c r="D337" i="7"/>
  <c r="F337" i="7"/>
  <c r="G234" i="24"/>
  <c r="G235" i="24" s="1"/>
  <c r="G236" i="24" s="1"/>
  <c r="G237" i="24" s="1"/>
  <c r="G239" i="24" s="1"/>
  <c r="G338" i="24" s="1"/>
  <c r="G278" i="24" s="1"/>
  <c r="G292" i="24"/>
  <c r="G369" i="24" s="1"/>
  <c r="G371" i="24" s="1"/>
  <c r="H292" i="24"/>
  <c r="H369" i="24" s="1"/>
  <c r="H371" i="24" s="1"/>
  <c r="H234" i="24"/>
  <c r="H235" i="24" s="1"/>
  <c r="I411" i="46"/>
  <c r="I98" i="46"/>
  <c r="F292" i="24"/>
  <c r="F369" i="24" s="1"/>
  <c r="F371" i="24" s="1"/>
  <c r="F234" i="24"/>
  <c r="F235" i="24" s="1"/>
  <c r="F236" i="24" s="1"/>
  <c r="F237" i="24" s="1"/>
  <c r="F239" i="24" s="1"/>
  <c r="F338" i="24" s="1"/>
  <c r="F278" i="24" s="1"/>
  <c r="I292" i="24"/>
  <c r="I369" i="24" s="1"/>
  <c r="I371" i="24" s="1"/>
  <c r="I234" i="24"/>
  <c r="I235" i="24" s="1"/>
  <c r="I236" i="24" s="1"/>
  <c r="I237" i="24" s="1"/>
  <c r="I239" i="24" s="1"/>
  <c r="I338" i="24" s="1"/>
  <c r="I278" i="24" s="1"/>
  <c r="E83" i="23"/>
  <c r="E78" i="23"/>
  <c r="F132" i="47"/>
  <c r="H258" i="10"/>
  <c r="H186" i="10"/>
  <c r="M185" i="10"/>
  <c r="G284" i="13"/>
  <c r="E77" i="59"/>
  <c r="F72" i="59"/>
  <c r="K496" i="14"/>
  <c r="G495" i="14"/>
  <c r="G513" i="14" s="1"/>
  <c r="G531" i="14" s="1"/>
  <c r="F447" i="42"/>
  <c r="M457" i="42"/>
  <c r="G363" i="42"/>
  <c r="G362" i="42"/>
  <c r="K177" i="13"/>
  <c r="N364" i="42"/>
  <c r="N363" i="42"/>
  <c r="I369" i="42"/>
  <c r="I371" i="42"/>
  <c r="I368" i="42"/>
  <c r="I370" i="42"/>
  <c r="K357" i="42"/>
  <c r="K356" i="42"/>
  <c r="K359" i="42"/>
  <c r="H358" i="42"/>
  <c r="H356" i="42"/>
  <c r="H459" i="42"/>
  <c r="H577" i="42" s="1"/>
  <c r="F70" i="59"/>
  <c r="M388" i="42"/>
  <c r="M389" i="42" s="1"/>
  <c r="G272" i="7"/>
  <c r="F272" i="7"/>
  <c r="H272" i="7"/>
  <c r="L447" i="42"/>
  <c r="K447" i="42"/>
  <c r="F316" i="34"/>
  <c r="H109" i="58"/>
  <c r="H107" i="58"/>
  <c r="H178" i="58" s="1"/>
  <c r="H117" i="58"/>
  <c r="N410" i="46"/>
  <c r="N80" i="46"/>
  <c r="H42" i="24"/>
  <c r="H28" i="24"/>
  <c r="H207" i="24" s="1"/>
  <c r="I42" i="24"/>
  <c r="I28" i="24"/>
  <c r="I207" i="24" s="1"/>
  <c r="J44" i="24"/>
  <c r="J45" i="24"/>
  <c r="I190" i="10"/>
  <c r="I263" i="10" s="1"/>
  <c r="H190" i="10"/>
  <c r="H263" i="10" s="1"/>
  <c r="M190" i="10"/>
  <c r="M263" i="10" s="1"/>
  <c r="J190" i="10"/>
  <c r="J263" i="10" s="1"/>
  <c r="L505" i="14"/>
  <c r="G497" i="14"/>
  <c r="M177" i="10"/>
  <c r="M251" i="10" s="1"/>
  <c r="N447" i="42"/>
  <c r="M447" i="42"/>
  <c r="H112" i="58"/>
  <c r="I424" i="42"/>
  <c r="I426" i="42" s="1"/>
  <c r="I559" i="42" s="1"/>
  <c r="I457" i="42"/>
  <c r="N68" i="32"/>
  <c r="N120" i="32"/>
  <c r="N110" i="18"/>
  <c r="F685" i="4"/>
  <c r="F687" i="4" s="1"/>
  <c r="F62" i="57"/>
  <c r="H62" i="57"/>
  <c r="H77" i="57" s="1"/>
  <c r="G62" i="57"/>
  <c r="F1129" i="4"/>
  <c r="F1127" i="4"/>
  <c r="F1130" i="4"/>
  <c r="F1128" i="4"/>
  <c r="F1119" i="4"/>
  <c r="F1122" i="4"/>
  <c r="F1131" i="4"/>
  <c r="F1126" i="4"/>
  <c r="F1121" i="4"/>
  <c r="F1120" i="4"/>
  <c r="F1125" i="4"/>
  <c r="F1124" i="4"/>
  <c r="F1123" i="4"/>
  <c r="L298" i="13"/>
  <c r="L284" i="13"/>
  <c r="F71" i="59"/>
  <c r="G179" i="58"/>
  <c r="H342" i="42"/>
  <c r="H391" i="42" s="1"/>
  <c r="H392" i="42" s="1"/>
  <c r="M342" i="42"/>
  <c r="M391" i="42" s="1"/>
  <c r="M392" i="42" s="1"/>
  <c r="N342" i="42"/>
  <c r="N391" i="42" s="1"/>
  <c r="N392" i="42" s="1"/>
  <c r="N440" i="42" s="1"/>
  <c r="G342" i="42"/>
  <c r="J342" i="42"/>
  <c r="J391" i="42" s="1"/>
  <c r="J392" i="42" s="1"/>
  <c r="K342" i="42"/>
  <c r="K391" i="42" s="1"/>
  <c r="K392" i="42" s="1"/>
  <c r="L342" i="42"/>
  <c r="F342" i="42"/>
  <c r="F391" i="42" s="1"/>
  <c r="F392" i="42" s="1"/>
  <c r="F395" i="42" s="1"/>
  <c r="F548" i="42" s="1"/>
  <c r="I342" i="42"/>
  <c r="I391" i="42" s="1"/>
  <c r="I392" i="42" s="1"/>
  <c r="I440" i="42" s="1"/>
  <c r="N278" i="4"/>
  <c r="N270" i="4"/>
  <c r="N262" i="4"/>
  <c r="N286" i="4"/>
  <c r="F135" i="9"/>
  <c r="F94" i="9"/>
  <c r="G98" i="46"/>
  <c r="H411" i="46"/>
  <c r="G411" i="46"/>
  <c r="I45" i="24"/>
  <c r="I44" i="24"/>
  <c r="L44" i="24"/>
  <c r="L45" i="24"/>
  <c r="L27" i="24"/>
  <c r="L28" i="24" s="1"/>
  <c r="L207" i="24" s="1"/>
  <c r="L304" i="24" s="1"/>
  <c r="I113" i="52"/>
  <c r="I64" i="52"/>
  <c r="I66" i="52"/>
  <c r="I68" i="52" s="1"/>
  <c r="F290" i="47"/>
  <c r="G684" i="4"/>
  <c r="G702" i="4"/>
  <c r="K85" i="32"/>
  <c r="J85" i="32"/>
  <c r="K83" i="32"/>
  <c r="G698" i="4"/>
  <c r="G680" i="4"/>
  <c r="G298" i="13"/>
  <c r="J505" i="14"/>
  <c r="J447" i="42"/>
  <c r="G447" i="42"/>
  <c r="H447" i="42"/>
  <c r="L168" i="58"/>
  <c r="L169" i="58"/>
  <c r="I125" i="8"/>
  <c r="I168" i="8" s="1"/>
  <c r="I135" i="8"/>
  <c r="I164" i="8" s="1"/>
  <c r="I130" i="8"/>
  <c r="I166" i="8" s="1"/>
  <c r="I109" i="58"/>
  <c r="I117" i="58"/>
  <c r="I107" i="58"/>
  <c r="I178" i="58" s="1"/>
  <c r="J117" i="58"/>
  <c r="J96" i="18"/>
  <c r="G96" i="18"/>
  <c r="I96" i="18"/>
  <c r="K96" i="18"/>
  <c r="L96" i="18"/>
  <c r="H96" i="18"/>
  <c r="M96" i="18"/>
  <c r="F169" i="58"/>
  <c r="F168" i="58"/>
  <c r="G45" i="24"/>
  <c r="G44" i="24"/>
  <c r="M45" i="24"/>
  <c r="M44" i="24"/>
  <c r="M27" i="24"/>
  <c r="M28" i="24" s="1"/>
  <c r="M207" i="24" s="1"/>
  <c r="N44" i="24"/>
  <c r="N27" i="24"/>
  <c r="N28" i="24" s="1"/>
  <c r="N207" i="24" s="1"/>
  <c r="N304" i="24" s="1"/>
  <c r="N45" i="24"/>
  <c r="H184" i="10"/>
  <c r="H256" i="10" s="1"/>
  <c r="F184" i="10"/>
  <c r="F256" i="10" s="1"/>
  <c r="G184" i="10"/>
  <c r="G256" i="10" s="1"/>
  <c r="F215" i="43"/>
  <c r="F212" i="43"/>
  <c r="G676" i="4"/>
  <c r="G694" i="4"/>
  <c r="G697" i="4"/>
  <c r="G679" i="4"/>
  <c r="H275" i="7"/>
  <c r="F275" i="7"/>
  <c r="G275" i="7"/>
  <c r="F497" i="14"/>
  <c r="J500" i="14"/>
  <c r="L495" i="14"/>
  <c r="L513" i="14" s="1"/>
  <c r="L531" i="14" s="1"/>
  <c r="M549" i="14" s="1"/>
  <c r="H151" i="12"/>
  <c r="F315" i="34"/>
  <c r="N168" i="58"/>
  <c r="J112" i="58"/>
  <c r="J107" i="58"/>
  <c r="J178" i="58" s="1"/>
  <c r="N274" i="4"/>
  <c r="N258" i="4"/>
  <c r="N266" i="4"/>
  <c r="N282" i="4"/>
  <c r="F869" i="4"/>
  <c r="F870" i="4" s="1"/>
  <c r="F114" i="8"/>
  <c r="F155" i="8"/>
  <c r="N371" i="24"/>
  <c r="K371" i="24"/>
  <c r="M371" i="24"/>
  <c r="L371" i="24"/>
  <c r="L411" i="46"/>
  <c r="M411" i="46"/>
  <c r="L98" i="46"/>
  <c r="J234" i="24"/>
  <c r="J235" i="24" s="1"/>
  <c r="J292" i="24"/>
  <c r="J369" i="24" s="1"/>
  <c r="H44" i="24"/>
  <c r="H45" i="24"/>
  <c r="K45" i="24"/>
  <c r="K44" i="24"/>
  <c r="K27" i="24"/>
  <c r="K28" i="24" s="1"/>
  <c r="K207" i="24" s="1"/>
  <c r="K304" i="24" s="1"/>
  <c r="J42" i="24"/>
  <c r="J28" i="24"/>
  <c r="J207" i="24" s="1"/>
  <c r="G681" i="4"/>
  <c r="G699" i="4"/>
  <c r="G686" i="4"/>
  <c r="G704" i="4"/>
  <c r="G677" i="4"/>
  <c r="G695" i="4"/>
  <c r="Q485" i="14"/>
  <c r="K391" i="34"/>
  <c r="K393" i="34" s="1"/>
  <c r="K396" i="34" s="1"/>
  <c r="I436" i="42"/>
  <c r="F489" i="14"/>
  <c r="M208" i="43"/>
  <c r="G83" i="32"/>
  <c r="G86" i="32" s="1"/>
  <c r="G87" i="32" s="1"/>
  <c r="K365" i="42"/>
  <c r="K364" i="42"/>
  <c r="K362" i="42"/>
  <c r="K363" i="42"/>
  <c r="K459" i="42"/>
  <c r="K577" i="42" s="1"/>
  <c r="M507" i="14"/>
  <c r="I505" i="14"/>
  <c r="M559" i="42"/>
  <c r="M561" i="42" s="1"/>
  <c r="J489" i="14"/>
  <c r="F78" i="59"/>
  <c r="F312" i="13"/>
  <c r="L501" i="14"/>
  <c r="L500" i="14"/>
  <c r="J506" i="14"/>
  <c r="F77" i="59"/>
  <c r="F76" i="59"/>
  <c r="M501" i="14"/>
  <c r="Q484" i="14"/>
  <c r="G364" i="42"/>
  <c r="I489" i="14"/>
  <c r="G506" i="14"/>
  <c r="F507" i="14"/>
  <c r="G365" i="42"/>
  <c r="L357" i="42"/>
  <c r="J333" i="13"/>
  <c r="G177" i="6"/>
  <c r="G179" i="6" s="1"/>
  <c r="F495" i="14"/>
  <c r="F333" i="13"/>
  <c r="I500" i="14"/>
  <c r="G496" i="14"/>
  <c r="I430" i="42"/>
  <c r="J495" i="14"/>
  <c r="J513" i="14" s="1"/>
  <c r="J531" i="14" s="1"/>
  <c r="J639" i="14" s="1"/>
  <c r="F559" i="42"/>
  <c r="K358" i="42"/>
  <c r="H357" i="42"/>
  <c r="F436" i="42"/>
  <c r="K559" i="42"/>
  <c r="K561" i="42" s="1"/>
  <c r="N365" i="42"/>
  <c r="H359" i="42"/>
  <c r="K457" i="42"/>
  <c r="H436" i="42"/>
  <c r="K436" i="42"/>
  <c r="M357" i="42"/>
  <c r="M358" i="42"/>
  <c r="M356" i="42"/>
  <c r="M459" i="42"/>
  <c r="M577" i="42" s="1"/>
  <c r="M359" i="42"/>
  <c r="J459" i="42"/>
  <c r="J577" i="42" s="1"/>
  <c r="H388" i="42"/>
  <c r="H389" i="42" s="1"/>
  <c r="L436" i="42"/>
  <c r="J388" i="42"/>
  <c r="J389" i="42" s="1"/>
  <c r="G355" i="42"/>
  <c r="G356" i="42" s="1" a="1"/>
  <c r="G436" i="42"/>
  <c r="L459" i="42"/>
  <c r="L577" i="42" s="1"/>
  <c r="L358" i="42"/>
  <c r="E204" i="42"/>
  <c r="M452" i="42" s="1"/>
  <c r="J436" i="42"/>
  <c r="N436" i="42"/>
  <c r="K388" i="42"/>
  <c r="K389" i="42" s="1"/>
  <c r="M175" i="7"/>
  <c r="M336" i="7" s="1"/>
  <c r="K139" i="12"/>
  <c r="K151" i="12" s="1"/>
  <c r="K319" i="13"/>
  <c r="H507" i="14"/>
  <c r="H497" i="14"/>
  <c r="L326" i="13"/>
  <c r="N489" i="14"/>
  <c r="J278" i="14"/>
  <c r="J298" i="13"/>
  <c r="K312" i="13"/>
  <c r="G500" i="14"/>
  <c r="G505" i="14"/>
  <c r="L305" i="13"/>
  <c r="I459" i="42"/>
  <c r="I577" i="42" s="1"/>
  <c r="N362" i="42"/>
  <c r="I363" i="42"/>
  <c r="I501" i="14"/>
  <c r="M139" i="12"/>
  <c r="L291" i="13"/>
  <c r="I364" i="42"/>
  <c r="J497" i="14"/>
  <c r="N496" i="14"/>
  <c r="G501" i="14"/>
  <c r="I506" i="14"/>
  <c r="M506" i="14"/>
  <c r="K507" i="14"/>
  <c r="J507" i="14"/>
  <c r="J496" i="14"/>
  <c r="H500" i="14"/>
  <c r="L319" i="13"/>
  <c r="N459" i="42"/>
  <c r="N577" i="42" s="1"/>
  <c r="G489" i="14"/>
  <c r="M192" i="10"/>
  <c r="M265" i="10"/>
  <c r="J192" i="10"/>
  <c r="J265" i="10"/>
  <c r="G155" i="8"/>
  <c r="M207" i="43"/>
  <c r="J720" i="4"/>
  <c r="K720" i="4"/>
  <c r="M728" i="4" s="1"/>
  <c r="H720" i="4"/>
  <c r="I720" i="4"/>
  <c r="N646" i="4"/>
  <c r="P646" i="4" s="1"/>
  <c r="G720" i="4"/>
  <c r="M720" i="4"/>
  <c r="L720" i="4"/>
  <c r="E75" i="59"/>
  <c r="N660" i="4"/>
  <c r="N680" i="4" s="1"/>
  <c r="M278" i="14"/>
  <c r="J305" i="13"/>
  <c r="K278" i="14"/>
  <c r="I495" i="14"/>
  <c r="I513" i="14" s="1"/>
  <c r="I531" i="14" s="1"/>
  <c r="I657" i="14" s="1"/>
  <c r="M495" i="14"/>
  <c r="M513" i="14" s="1"/>
  <c r="M531" i="14" s="1"/>
  <c r="N549" i="14" s="1"/>
  <c r="N505" i="14"/>
  <c r="H496" i="14"/>
  <c r="H489" i="14"/>
  <c r="K500" i="14"/>
  <c r="L333" i="13"/>
  <c r="I719" i="4"/>
  <c r="K727" i="4" s="1"/>
  <c r="K719" i="4"/>
  <c r="M719" i="4"/>
  <c r="G719" i="4"/>
  <c r="H719" i="4"/>
  <c r="L719" i="4"/>
  <c r="J719" i="4"/>
  <c r="N645" i="4"/>
  <c r="P645" i="4" s="1"/>
  <c r="H718" i="4"/>
  <c r="J718" i="4"/>
  <c r="K718" i="4"/>
  <c r="L718" i="4"/>
  <c r="N644" i="4"/>
  <c r="M718" i="4"/>
  <c r="I718" i="4"/>
  <c r="K726" i="4" s="1"/>
  <c r="G718" i="4"/>
  <c r="E76" i="59"/>
  <c r="N661" i="4"/>
  <c r="N681" i="4" s="1"/>
  <c r="J291" i="13"/>
  <c r="N719" i="4"/>
  <c r="J312" i="13"/>
  <c r="N720" i="4"/>
  <c r="K497" i="14"/>
  <c r="K495" i="14"/>
  <c r="K513" i="14" s="1"/>
  <c r="K531" i="14" s="1"/>
  <c r="L549" i="14" s="1"/>
  <c r="H501" i="14"/>
  <c r="K505" i="14"/>
  <c r="M505" i="14"/>
  <c r="L506" i="14"/>
  <c r="N506" i="14"/>
  <c r="L507" i="14"/>
  <c r="G507" i="14"/>
  <c r="K506" i="14"/>
  <c r="M500" i="14"/>
  <c r="L210" i="43"/>
  <c r="J175" i="7"/>
  <c r="J336" i="7" s="1"/>
  <c r="K175" i="7"/>
  <c r="K336" i="7" s="1"/>
  <c r="G114" i="8"/>
  <c r="G120" i="8" s="1"/>
  <c r="I72" i="33"/>
  <c r="I73" i="33" s="1"/>
  <c r="I76" i="33"/>
  <c r="I77" i="33"/>
  <c r="I113" i="33" s="1"/>
  <c r="F71" i="32"/>
  <c r="F74" i="32"/>
  <c r="F76" i="32" s="1"/>
  <c r="M173" i="50"/>
  <c r="M174" i="50"/>
  <c r="F173" i="50"/>
  <c r="F174" i="50"/>
  <c r="G122" i="6"/>
  <c r="G124" i="6" s="1"/>
  <c r="G125" i="6" s="1"/>
  <c r="G130" i="6" s="1"/>
  <c r="N175" i="7"/>
  <c r="N336" i="7" s="1"/>
  <c r="L175" i="7"/>
  <c r="L336" i="7" s="1"/>
  <c r="L208" i="43"/>
  <c r="L207" i="43"/>
  <c r="K71" i="32"/>
  <c r="K74" i="32"/>
  <c r="K76" i="32" s="1"/>
  <c r="N159" i="43"/>
  <c r="N226" i="43" s="1"/>
  <c r="N284" i="13"/>
  <c r="N305" i="13"/>
  <c r="N291" i="13"/>
  <c r="N298" i="13"/>
  <c r="G145" i="12"/>
  <c r="H150" i="12" s="1"/>
  <c r="G150" i="12"/>
  <c r="L74" i="32"/>
  <c r="L76" i="32" s="1"/>
  <c r="L71" i="32"/>
  <c r="H102" i="52"/>
  <c r="H101" i="52"/>
  <c r="H73" i="52"/>
  <c r="H71" i="52"/>
  <c r="I368" i="34"/>
  <c r="H471" i="34"/>
  <c r="H582" i="34" s="1"/>
  <c r="G77" i="33"/>
  <c r="G113" i="33" s="1"/>
  <c r="G76" i="33"/>
  <c r="G72" i="33"/>
  <c r="G73" i="33" s="1"/>
  <c r="J101" i="52"/>
  <c r="J73" i="52"/>
  <c r="J71" i="52"/>
  <c r="J102" i="52"/>
  <c r="H192" i="10"/>
  <c r="G192" i="10"/>
  <c r="G265" i="10"/>
  <c r="G71" i="32"/>
  <c r="G74" i="32"/>
  <c r="G76" i="32" s="1"/>
  <c r="H72" i="33"/>
  <c r="H73" i="33" s="1"/>
  <c r="H77" i="33"/>
  <c r="H113" i="33" s="1"/>
  <c r="H76" i="33"/>
  <c r="M73" i="52"/>
  <c r="M101" i="52"/>
  <c r="M102" i="52"/>
  <c r="M71" i="52"/>
  <c r="M291" i="13"/>
  <c r="M305" i="13"/>
  <c r="M298" i="13"/>
  <c r="M284" i="13"/>
  <c r="L159" i="43"/>
  <c r="L226" i="43" s="1"/>
  <c r="H278" i="14"/>
  <c r="J326" i="13"/>
  <c r="F326" i="13"/>
  <c r="G291" i="13"/>
  <c r="L278" i="14"/>
  <c r="K501" i="14"/>
  <c r="K333" i="13"/>
  <c r="N319" i="13"/>
  <c r="N312" i="13"/>
  <c r="N326" i="13"/>
  <c r="I284" i="13"/>
  <c r="I278" i="14"/>
  <c r="N497" i="14"/>
  <c r="L496" i="14"/>
  <c r="L497" i="14"/>
  <c r="L312" i="13"/>
  <c r="N101" i="52"/>
  <c r="F320" i="13"/>
  <c r="F313" i="13"/>
  <c r="F327" i="13"/>
  <c r="F334" i="13"/>
  <c r="G299" i="13"/>
  <c r="G292" i="13"/>
  <c r="G285" i="13"/>
  <c r="G306" i="13"/>
  <c r="H430" i="42"/>
  <c r="H457" i="42"/>
  <c r="I110" i="8"/>
  <c r="H155" i="8"/>
  <c r="H114" i="8"/>
  <c r="L102" i="52"/>
  <c r="L71" i="52"/>
  <c r="L101" i="52"/>
  <c r="L73" i="52"/>
  <c r="I175" i="13"/>
  <c r="G73" i="52"/>
  <c r="F363" i="42"/>
  <c r="F364" i="42"/>
  <c r="F362" i="42"/>
  <c r="F459" i="42"/>
  <c r="F577" i="42" s="1"/>
  <c r="F365" i="42"/>
  <c r="K265" i="10"/>
  <c r="K192" i="10"/>
  <c r="L192" i="10"/>
  <c r="K298" i="13"/>
  <c r="K305" i="13"/>
  <c r="K291" i="13"/>
  <c r="K284" i="13"/>
  <c r="N500" i="14"/>
  <c r="H424" i="42"/>
  <c r="H426" i="42" s="1"/>
  <c r="H559" i="42" s="1"/>
  <c r="G278" i="14"/>
  <c r="J319" i="13"/>
  <c r="F319" i="13"/>
  <c r="L489" i="14"/>
  <c r="M312" i="13"/>
  <c r="N333" i="13"/>
  <c r="M326" i="13"/>
  <c r="M333" i="13"/>
  <c r="I305" i="13"/>
  <c r="K489" i="14"/>
  <c r="H495" i="14"/>
  <c r="H513" i="14" s="1"/>
  <c r="H531" i="14" s="1"/>
  <c r="H657" i="14" s="1"/>
  <c r="N501" i="14"/>
  <c r="N210" i="43"/>
  <c r="J159" i="43"/>
  <c r="J226" i="43" s="1"/>
  <c r="K159" i="43"/>
  <c r="K226" i="43" s="1"/>
  <c r="K210" i="43"/>
  <c r="L498" i="34"/>
  <c r="H656" i="4"/>
  <c r="H167" i="7"/>
  <c r="G170" i="7"/>
  <c r="G335" i="7" s="1"/>
  <c r="G188" i="7"/>
  <c r="G236" i="7"/>
  <c r="N686" i="4"/>
  <c r="G498" i="14"/>
  <c r="G306" i="14"/>
  <c r="G499" i="14" s="1"/>
  <c r="J306" i="14"/>
  <c r="J499" i="14" s="1"/>
  <c r="J498" i="14"/>
  <c r="M504" i="14"/>
  <c r="M502" i="14"/>
  <c r="N208" i="43"/>
  <c r="N207" i="43"/>
  <c r="M497" i="14"/>
  <c r="M496" i="14"/>
  <c r="M489" i="14"/>
  <c r="K208" i="43"/>
  <c r="K207" i="43"/>
  <c r="G498" i="34"/>
  <c r="H665" i="4"/>
  <c r="N504" i="14"/>
  <c r="N522" i="14" s="1"/>
  <c r="N502" i="14"/>
  <c r="N306" i="14"/>
  <c r="N499" i="14" s="1"/>
  <c r="N498" i="14"/>
  <c r="L334" i="17"/>
  <c r="M498" i="34"/>
  <c r="H498" i="34"/>
  <c r="I346" i="14"/>
  <c r="H659" i="4"/>
  <c r="L504" i="14"/>
  <c r="L502" i="14"/>
  <c r="K502" i="14"/>
  <c r="M164" i="8"/>
  <c r="J210" i="43"/>
  <c r="H506" i="14"/>
  <c r="H505" i="14"/>
  <c r="N498" i="34"/>
  <c r="I118" i="6"/>
  <c r="H122" i="6"/>
  <c r="H177" i="6"/>
  <c r="I498" i="14"/>
  <c r="I306" i="14"/>
  <c r="I499" i="14" s="1"/>
  <c r="K498" i="34"/>
  <c r="N674" i="4"/>
  <c r="H168" i="7"/>
  <c r="G242" i="7"/>
  <c r="G203" i="7"/>
  <c r="N677" i="4"/>
  <c r="J336" i="17"/>
  <c r="I498" i="34"/>
  <c r="J498" i="34"/>
  <c r="F498" i="14"/>
  <c r="F306" i="14"/>
  <c r="F499" i="14" s="1"/>
  <c r="F504" i="14"/>
  <c r="F502" i="14"/>
  <c r="H169" i="7"/>
  <c r="G217" i="7"/>
  <c r="G248" i="7"/>
  <c r="J207" i="43"/>
  <c r="J208" i="43"/>
  <c r="N265" i="10"/>
  <c r="N192" i="10"/>
  <c r="K498" i="14"/>
  <c r="K306" i="14"/>
  <c r="K499" i="14" s="1"/>
  <c r="J502" i="14"/>
  <c r="J504" i="14"/>
  <c r="H498" i="14"/>
  <c r="H306" i="14"/>
  <c r="H499" i="14" s="1"/>
  <c r="I502" i="14"/>
  <c r="I504" i="14"/>
  <c r="L498" i="14"/>
  <c r="L306" i="14"/>
  <c r="L499" i="14" s="1"/>
  <c r="G502" i="14"/>
  <c r="G504" i="14"/>
  <c r="M306" i="14"/>
  <c r="M499" i="14" s="1"/>
  <c r="M498" i="14"/>
  <c r="H504" i="14"/>
  <c r="H502" i="14"/>
  <c r="F115" i="12" l="1"/>
  <c r="F117" i="12" s="1"/>
  <c r="F119" i="12" s="1"/>
  <c r="F132" i="12" s="1"/>
  <c r="F184" i="12" s="1"/>
  <c r="H254" i="46"/>
  <c r="N115" i="50"/>
  <c r="K293" i="15"/>
  <c r="K412" i="15" s="1"/>
  <c r="K115" i="12"/>
  <c r="K117" i="12" s="1"/>
  <c r="K118" i="12" s="1"/>
  <c r="N414" i="17"/>
  <c r="F283" i="15"/>
  <c r="I265" i="15"/>
  <c r="I266" i="15" s="1"/>
  <c r="I507" i="15" s="1"/>
  <c r="K162" i="10"/>
  <c r="K164" i="10" s="1"/>
  <c r="I403" i="34"/>
  <c r="I409" i="34" s="1"/>
  <c r="I565" i="34" s="1"/>
  <c r="F254" i="46"/>
  <c r="L115" i="12"/>
  <c r="L117" i="12" s="1"/>
  <c r="L118" i="12" s="1"/>
  <c r="L131" i="12" s="1"/>
  <c r="L183" i="12" s="1"/>
  <c r="M381" i="17"/>
  <c r="N639" i="4"/>
  <c r="E73" i="59"/>
  <c r="G115" i="12"/>
  <c r="G117" i="12" s="1"/>
  <c r="G118" i="12" s="1"/>
  <c r="G131" i="12" s="1"/>
  <c r="N663" i="4"/>
  <c r="N683" i="4" s="1"/>
  <c r="H627" i="4"/>
  <c r="G655" i="4"/>
  <c r="H634" i="4"/>
  <c r="H1119" i="4" s="1" a="1"/>
  <c r="H1122" i="4" s="1"/>
  <c r="G662" i="4"/>
  <c r="H626" i="4"/>
  <c r="G639" i="4"/>
  <c r="G654" i="4"/>
  <c r="G1119" i="4" a="1"/>
  <c r="N662" i="4"/>
  <c r="N682" i="4" s="1"/>
  <c r="H635" i="4"/>
  <c r="I635" i="4" s="1"/>
  <c r="J635" i="4" s="1"/>
  <c r="K635" i="4" s="1"/>
  <c r="L635" i="4" s="1"/>
  <c r="M635" i="4" s="1"/>
  <c r="G663" i="4"/>
  <c r="H630" i="4"/>
  <c r="I630" i="4" s="1"/>
  <c r="J630" i="4" s="1"/>
  <c r="K630" i="4" s="1"/>
  <c r="L630" i="4" s="1"/>
  <c r="M630" i="4" s="1"/>
  <c r="G658" i="4"/>
  <c r="G101" i="52"/>
  <c r="J475" i="34"/>
  <c r="K475" i="34"/>
  <c r="L475" i="34"/>
  <c r="H381" i="17"/>
  <c r="H590" i="17" s="1"/>
  <c r="K381" i="17"/>
  <c r="J169" i="58"/>
  <c r="K183" i="10"/>
  <c r="K258" i="10" s="1"/>
  <c r="M124" i="12"/>
  <c r="M126" i="12" s="1"/>
  <c r="M127" i="12" s="1"/>
  <c r="G280" i="15"/>
  <c r="G281" i="15" s="1"/>
  <c r="G422" i="15" s="1"/>
  <c r="G71" i="52"/>
  <c r="L356" i="42"/>
  <c r="I365" i="42"/>
  <c r="K184" i="10"/>
  <c r="K256" i="10" s="1"/>
  <c r="N403" i="34"/>
  <c r="N409" i="34" s="1"/>
  <c r="N565" i="34" s="1"/>
  <c r="F124" i="12"/>
  <c r="F126" i="12" s="1"/>
  <c r="F127" i="12" s="1"/>
  <c r="G349" i="17"/>
  <c r="G350" i="17" s="1" a="1"/>
  <c r="G352" i="17" s="1"/>
  <c r="H265" i="15"/>
  <c r="H266" i="15" s="1"/>
  <c r="H507" i="15" s="1"/>
  <c r="G475" i="34"/>
  <c r="F403" i="34"/>
  <c r="F409" i="34" s="1"/>
  <c r="F568" i="34" s="1"/>
  <c r="I475" i="34"/>
  <c r="N475" i="34"/>
  <c r="H475" i="34"/>
  <c r="L293" i="15"/>
  <c r="L439" i="15" s="1"/>
  <c r="L29" i="51"/>
  <c r="L74" i="51" s="1"/>
  <c r="K29" i="51"/>
  <c r="K74" i="51" s="1"/>
  <c r="J115" i="12"/>
  <c r="J117" i="12" s="1"/>
  <c r="J118" i="12" s="1"/>
  <c r="P42" i="17"/>
  <c r="J414" i="17"/>
  <c r="G414" i="17"/>
  <c r="G415" i="17" s="1" a="1"/>
  <c r="G415" i="17" s="1"/>
  <c r="M110" i="18"/>
  <c r="M111" i="18" s="1"/>
  <c r="M280" i="15"/>
  <c r="M281" i="15" s="1"/>
  <c r="M422" i="15" s="1"/>
  <c r="M275" i="15"/>
  <c r="M276" i="15" s="1"/>
  <c r="F280" i="15"/>
  <c r="N280" i="15"/>
  <c r="N281" i="15" s="1"/>
  <c r="N422" i="15" s="1"/>
  <c r="L275" i="15"/>
  <c r="L276" i="15" s="1"/>
  <c r="G168" i="58"/>
  <c r="G170" i="58" s="1"/>
  <c r="Q81" i="15"/>
  <c r="I124" i="12"/>
  <c r="I126" i="12" s="1"/>
  <c r="I127" i="12" s="1"/>
  <c r="I293" i="15"/>
  <c r="I509" i="15" s="1"/>
  <c r="P33" i="17"/>
  <c r="P48" i="17"/>
  <c r="M414" i="17"/>
  <c r="P34" i="17"/>
  <c r="L349" i="17"/>
  <c r="H110" i="18"/>
  <c r="H111" i="18" s="1"/>
  <c r="Q82" i="15"/>
  <c r="H280" i="15"/>
  <c r="H281" i="15" s="1"/>
  <c r="H422" i="15" s="1"/>
  <c r="Q76" i="15"/>
  <c r="F39" i="47"/>
  <c r="F293" i="47" s="1"/>
  <c r="O27" i="12"/>
  <c r="G29" i="51"/>
  <c r="G74" i="51" s="1"/>
  <c r="P18" i="18"/>
  <c r="G381" i="17"/>
  <c r="G590" i="17" s="1"/>
  <c r="G593" i="17" s="1" a="1"/>
  <c r="G265" i="15"/>
  <c r="G266" i="15" s="1"/>
  <c r="G507" i="15" s="1"/>
  <c r="N265" i="15"/>
  <c r="N266" i="15" s="1"/>
  <c r="G275" i="15"/>
  <c r="G276" i="15" s="1"/>
  <c r="L270" i="15"/>
  <c r="L271" i="15" s="1"/>
  <c r="L508" i="15" s="1"/>
  <c r="H124" i="12"/>
  <c r="H126" i="12" s="1"/>
  <c r="H127" i="12" s="1"/>
  <c r="M475" i="34"/>
  <c r="H566" i="42"/>
  <c r="G77" i="30"/>
  <c r="G79" i="30" s="1"/>
  <c r="G111" i="30" s="1"/>
  <c r="K411" i="42"/>
  <c r="K549" i="42" s="1"/>
  <c r="G567" i="42"/>
  <c r="F568" i="42"/>
  <c r="N130" i="8"/>
  <c r="N166" i="8" s="1"/>
  <c r="J411" i="42"/>
  <c r="J549" i="42" s="1"/>
  <c r="J568" i="42"/>
  <c r="G328" i="14"/>
  <c r="I506" i="15"/>
  <c r="G411" i="42"/>
  <c r="G549" i="42" s="1"/>
  <c r="H270" i="15"/>
  <c r="H271" i="15" s="1"/>
  <c r="H424" i="15" s="1"/>
  <c r="I68" i="13"/>
  <c r="J567" i="42"/>
  <c r="M115" i="12"/>
  <c r="M117" i="12" s="1"/>
  <c r="M118" i="12" s="1"/>
  <c r="M349" i="17"/>
  <c r="K280" i="15"/>
  <c r="K281" i="15" s="1"/>
  <c r="K422" i="15" s="1"/>
  <c r="J265" i="15"/>
  <c r="J266" i="15" s="1"/>
  <c r="J507" i="15" s="1"/>
  <c r="F265" i="15"/>
  <c r="F266" i="15" s="1"/>
  <c r="K102" i="52"/>
  <c r="H411" i="42"/>
  <c r="H549" i="42" s="1"/>
  <c r="G121" i="30"/>
  <c r="M169" i="43"/>
  <c r="M271" i="43" s="1"/>
  <c r="I411" i="42"/>
  <c r="I549" i="42" s="1"/>
  <c r="M567" i="42"/>
  <c r="N125" i="8"/>
  <c r="N168" i="8" s="1"/>
  <c r="G566" i="42"/>
  <c r="N506" i="15"/>
  <c r="M411" i="42"/>
  <c r="M549" i="42" s="1"/>
  <c r="J566" i="42"/>
  <c r="N567" i="42"/>
  <c r="F566" i="42"/>
  <c r="G270" i="15"/>
  <c r="G271" i="15" s="1"/>
  <c r="G424" i="15" s="1"/>
  <c r="L566" i="42"/>
  <c r="P76" i="15"/>
  <c r="P53" i="15"/>
  <c r="G369" i="42"/>
  <c r="L280" i="15"/>
  <c r="L281" i="15" s="1"/>
  <c r="L422" i="15" s="1"/>
  <c r="F124" i="50"/>
  <c r="J89" i="16"/>
  <c r="J1042" i="4"/>
  <c r="I1045" i="4"/>
  <c r="H90" i="16"/>
  <c r="M90" i="16"/>
  <c r="I90" i="16"/>
  <c r="P32" i="17"/>
  <c r="P75" i="15"/>
  <c r="J70" i="33"/>
  <c r="J72" i="33" s="1"/>
  <c r="J73" i="33" s="1"/>
  <c r="J104" i="33" s="1"/>
  <c r="L91" i="16"/>
  <c r="F89" i="16"/>
  <c r="J91" i="16"/>
  <c r="F88" i="16"/>
  <c r="O20" i="12"/>
  <c r="K349" i="17"/>
  <c r="H357" i="34"/>
  <c r="H469" i="34" s="1"/>
  <c r="F297" i="47"/>
  <c r="P40" i="17"/>
  <c r="P17" i="18"/>
  <c r="Q66" i="15"/>
  <c r="M568" i="42"/>
  <c r="F270" i="15"/>
  <c r="F271" i="15" s="1"/>
  <c r="F424" i="15" s="1"/>
  <c r="J257" i="10"/>
  <c r="N151" i="14"/>
  <c r="K506" i="15"/>
  <c r="P73" i="15"/>
  <c r="F101" i="52"/>
  <c r="L363" i="42"/>
  <c r="J184" i="10"/>
  <c r="J256" i="10" s="1"/>
  <c r="K168" i="58"/>
  <c r="K170" i="58" s="1"/>
  <c r="F46" i="47"/>
  <c r="F295" i="47" s="1"/>
  <c r="F333" i="14"/>
  <c r="F693" i="14" s="1" a="1"/>
  <c r="O29" i="12"/>
  <c r="F275" i="15"/>
  <c r="F276" i="15" s="1"/>
  <c r="J110" i="18"/>
  <c r="J111" i="18" s="1"/>
  <c r="L362" i="42"/>
  <c r="M98" i="61"/>
  <c r="L431" i="15"/>
  <c r="P66" i="15"/>
  <c r="F71" i="52"/>
  <c r="F82" i="30"/>
  <c r="F122" i="30" s="1"/>
  <c r="L17" i="61"/>
  <c r="L122" i="61" s="1"/>
  <c r="K17" i="61"/>
  <c r="K98" i="61" s="1"/>
  <c r="K103" i="61" s="1"/>
  <c r="K123" i="61" s="1"/>
  <c r="J151" i="14"/>
  <c r="G151" i="14"/>
  <c r="G333" i="14" s="1"/>
  <c r="H333" i="14"/>
  <c r="I146" i="43"/>
  <c r="I209" i="43" s="1"/>
  <c r="Q73" i="15"/>
  <c r="N293" i="15"/>
  <c r="N439" i="15" s="1"/>
  <c r="AZ456" i="47" s="1"/>
  <c r="BG401" i="47" s="1"/>
  <c r="BH401" i="47" s="1"/>
  <c r="BI401" i="47" s="1"/>
  <c r="I349" i="17"/>
  <c r="J17" i="61"/>
  <c r="J98" i="61" s="1"/>
  <c r="J103" i="61" s="1"/>
  <c r="J123" i="61" s="1"/>
  <c r="F98" i="61"/>
  <c r="F103" i="61" s="1"/>
  <c r="F123" i="61" s="1"/>
  <c r="G17" i="61"/>
  <c r="G122" i="61" s="1"/>
  <c r="H17" i="61"/>
  <c r="H98" i="61" s="1"/>
  <c r="J82" i="30"/>
  <c r="J122" i="30" s="1"/>
  <c r="L151" i="14"/>
  <c r="I151" i="14"/>
  <c r="K151" i="14"/>
  <c r="K333" i="14" s="1"/>
  <c r="N17" i="61"/>
  <c r="N98" i="61" s="1"/>
  <c r="N103" i="61" s="1"/>
  <c r="N123" i="61" s="1"/>
  <c r="I147" i="43"/>
  <c r="H506" i="15"/>
  <c r="L110" i="18"/>
  <c r="L111" i="18" s="1"/>
  <c r="P50" i="17"/>
  <c r="L381" i="17"/>
  <c r="L590" i="17" s="1"/>
  <c r="M270" i="15"/>
  <c r="M271" i="15" s="1"/>
  <c r="M415" i="15" s="1"/>
  <c r="I110" i="18"/>
  <c r="I111" i="18" s="1"/>
  <c r="F102" i="52"/>
  <c r="J358" i="42"/>
  <c r="J84" i="30"/>
  <c r="J124" i="30" s="1"/>
  <c r="J357" i="42"/>
  <c r="J83" i="30"/>
  <c r="J123" i="30" s="1"/>
  <c r="N359" i="42"/>
  <c r="N270" i="15"/>
  <c r="N271" i="15" s="1"/>
  <c r="N424" i="15" s="1"/>
  <c r="M506" i="15"/>
  <c r="M151" i="14"/>
  <c r="M333" i="14" s="1"/>
  <c r="I17" i="61"/>
  <c r="I98" i="61" s="1"/>
  <c r="F122" i="61"/>
  <c r="J124" i="12"/>
  <c r="J126" i="12" s="1"/>
  <c r="J127" i="12" s="1"/>
  <c r="J131" i="12" s="1"/>
  <c r="J183" i="12" s="1"/>
  <c r="H29" i="51"/>
  <c r="H74" i="51" s="1"/>
  <c r="I65" i="13"/>
  <c r="I29" i="51"/>
  <c r="I74" i="51" s="1"/>
  <c r="J349" i="17"/>
  <c r="F381" i="17"/>
  <c r="F382" i="17" s="1" a="1"/>
  <c r="F387" i="17" s="1"/>
  <c r="I381" i="17"/>
  <c r="I590" i="17" s="1"/>
  <c r="N275" i="15"/>
  <c r="N276" i="15" s="1"/>
  <c r="J275" i="15"/>
  <c r="J276" i="15" s="1"/>
  <c r="K110" i="18"/>
  <c r="K275" i="15"/>
  <c r="K276" i="15" s="1"/>
  <c r="I115" i="12"/>
  <c r="I117" i="12" s="1"/>
  <c r="I118" i="12" s="1"/>
  <c r="I131" i="12" s="1"/>
  <c r="J121" i="30"/>
  <c r="K70" i="33"/>
  <c r="K72" i="33" s="1"/>
  <c r="K73" i="33" s="1"/>
  <c r="K103" i="33" s="1"/>
  <c r="I213" i="43"/>
  <c r="I145" i="43"/>
  <c r="M362" i="42"/>
  <c r="M376" i="42" s="1"/>
  <c r="K73" i="52"/>
  <c r="I357" i="42"/>
  <c r="I358" i="42"/>
  <c r="I378" i="42" s="1"/>
  <c r="I382" i="42" s="1"/>
  <c r="I546" i="42" s="1"/>
  <c r="I356" i="42"/>
  <c r="I376" i="42" s="1"/>
  <c r="M365" i="42"/>
  <c r="M364" i="42"/>
  <c r="K371" i="42"/>
  <c r="K101" i="52"/>
  <c r="F31" i="47"/>
  <c r="F47" i="47" s="1"/>
  <c r="F296" i="47" s="1"/>
  <c r="H370" i="42"/>
  <c r="M84" i="30"/>
  <c r="M124" i="30" s="1"/>
  <c r="M82" i="30"/>
  <c r="M122" i="30" s="1"/>
  <c r="J369" i="42"/>
  <c r="O26" i="12"/>
  <c r="F70" i="13"/>
  <c r="F182" i="13" s="1"/>
  <c r="I182" i="13" s="1"/>
  <c r="I233" i="13" s="1"/>
  <c r="O21" i="12"/>
  <c r="O19" i="12"/>
  <c r="Q65" i="15"/>
  <c r="P39" i="17"/>
  <c r="F581" i="34"/>
  <c r="M401" i="34"/>
  <c r="M403" i="34" s="1"/>
  <c r="M409" i="34" s="1"/>
  <c r="M565" i="34" s="1"/>
  <c r="G147" i="43"/>
  <c r="G213" i="43"/>
  <c r="N371" i="42"/>
  <c r="J173" i="50"/>
  <c r="L568" i="42"/>
  <c r="F451" i="34" a="1"/>
  <c r="F452" i="34" s="1"/>
  <c r="H452" i="34" s="1"/>
  <c r="H70" i="13"/>
  <c r="F184" i="13" s="1"/>
  <c r="F235" i="13" s="1"/>
  <c r="H567" i="42"/>
  <c r="J70" i="13"/>
  <c r="K67" i="13" s="1"/>
  <c r="G70" i="13"/>
  <c r="F183" i="13" s="1"/>
  <c r="K183" i="13" s="1"/>
  <c r="P49" i="17"/>
  <c r="Q68" i="15"/>
  <c r="P65" i="15"/>
  <c r="Q74" i="15"/>
  <c r="P50" i="15"/>
  <c r="N369" i="42"/>
  <c r="N368" i="42"/>
  <c r="N376" i="42" s="1"/>
  <c r="N124" i="12"/>
  <c r="N126" i="12" s="1"/>
  <c r="N127" i="12" s="1"/>
  <c r="G431" i="15"/>
  <c r="J506" i="15"/>
  <c r="G153" i="43"/>
  <c r="F178" i="43"/>
  <c r="G152" i="43"/>
  <c r="F147" i="43"/>
  <c r="F210" i="43" s="1"/>
  <c r="F213" i="43"/>
  <c r="F146" i="43"/>
  <c r="F209" i="43" s="1"/>
  <c r="F211" i="43"/>
  <c r="F145" i="43"/>
  <c r="F208" i="43" s="1"/>
  <c r="N71" i="52"/>
  <c r="N103" i="52" s="1"/>
  <c r="J363" i="42"/>
  <c r="I67" i="13"/>
  <c r="G1045" i="4"/>
  <c r="G1048" i="4" s="1" a="1"/>
  <c r="G1049" i="4" s="1"/>
  <c r="F1045" i="4"/>
  <c r="F1048" i="4" s="1" a="1"/>
  <c r="F1051" i="4" s="1"/>
  <c r="H368" i="42"/>
  <c r="H1045" i="4"/>
  <c r="K91" i="16"/>
  <c r="J88" i="16"/>
  <c r="I89" i="16"/>
  <c r="H89" i="16"/>
  <c r="G90" i="16"/>
  <c r="M1042" i="4"/>
  <c r="F115" i="50"/>
  <c r="I91" i="16"/>
  <c r="K89" i="16"/>
  <c r="K88" i="16"/>
  <c r="N91" i="16"/>
  <c r="N1042" i="4"/>
  <c r="G88" i="16"/>
  <c r="P83" i="15"/>
  <c r="P74" i="15"/>
  <c r="P68" i="15"/>
  <c r="F18" i="47"/>
  <c r="F299" i="47" s="1"/>
  <c r="J359" i="42"/>
  <c r="J170" i="43"/>
  <c r="J272" i="43" s="1"/>
  <c r="J362" i="42"/>
  <c r="L115" i="50"/>
  <c r="H1042" i="4"/>
  <c r="N115" i="12"/>
  <c r="N117" i="12" s="1"/>
  <c r="N118" i="12" s="1"/>
  <c r="H88" i="16"/>
  <c r="L89" i="16"/>
  <c r="L88" i="16"/>
  <c r="F114" i="50"/>
  <c r="G91" i="16"/>
  <c r="J90" i="16"/>
  <c r="M91" i="16"/>
  <c r="M115" i="50"/>
  <c r="F90" i="16"/>
  <c r="I88" i="16"/>
  <c r="M89" i="16"/>
  <c r="Q83" i="15"/>
  <c r="P67" i="15"/>
  <c r="K115" i="50"/>
  <c r="K479" i="34"/>
  <c r="N169" i="43"/>
  <c r="N271" i="43" s="1"/>
  <c r="N102" i="52"/>
  <c r="M124" i="50"/>
  <c r="I66" i="13"/>
  <c r="N62" i="57"/>
  <c r="N64" i="57" s="1"/>
  <c r="N124" i="50"/>
  <c r="L1042" i="4"/>
  <c r="G1042" i="4"/>
  <c r="J364" i="42"/>
  <c r="J371" i="42"/>
  <c r="J124" i="50"/>
  <c r="H371" i="42"/>
  <c r="M77" i="30"/>
  <c r="M79" i="30" s="1"/>
  <c r="M111" i="30" s="1"/>
  <c r="F91" i="16"/>
  <c r="N88" i="16"/>
  <c r="G89" i="16"/>
  <c r="K90" i="16"/>
  <c r="N90" i="16"/>
  <c r="M88" i="16"/>
  <c r="L90" i="16"/>
  <c r="I1042" i="4"/>
  <c r="J368" i="42"/>
  <c r="H91" i="16"/>
  <c r="G145" i="43"/>
  <c r="G208" i="43" s="1"/>
  <c r="Q67" i="15"/>
  <c r="K270" i="15"/>
  <c r="K271" i="15" s="1"/>
  <c r="K424" i="15" s="1"/>
  <c r="P52" i="15"/>
  <c r="F423" i="34"/>
  <c r="F424" i="34" s="1"/>
  <c r="F427" i="34"/>
  <c r="F428" i="34" s="1"/>
  <c r="J115" i="50"/>
  <c r="F433" i="34"/>
  <c r="F434" i="34" s="1"/>
  <c r="F439" i="34"/>
  <c r="H414" i="34"/>
  <c r="H417" i="34" s="1"/>
  <c r="I479" i="34"/>
  <c r="L414" i="34"/>
  <c r="L417" i="34" s="1"/>
  <c r="F414" i="34"/>
  <c r="F417" i="34" s="1"/>
  <c r="F472" i="34"/>
  <c r="N414" i="34"/>
  <c r="N417" i="34" s="1"/>
  <c r="I414" i="34"/>
  <c r="I417" i="34" s="1"/>
  <c r="G414" i="34"/>
  <c r="G417" i="34" s="1"/>
  <c r="F479" i="34"/>
  <c r="J414" i="34"/>
  <c r="J417" i="34" s="1"/>
  <c r="M414" i="34"/>
  <c r="M417" i="34" s="1"/>
  <c r="K414" i="34"/>
  <c r="K417" i="34" s="1"/>
  <c r="N479" i="34"/>
  <c r="H479" i="34"/>
  <c r="G479" i="34"/>
  <c r="M479" i="34"/>
  <c r="L479" i="34"/>
  <c r="F175" i="43"/>
  <c r="G84" i="30"/>
  <c r="G124" i="30" s="1"/>
  <c r="G212" i="43"/>
  <c r="F176" i="43"/>
  <c r="G371" i="42"/>
  <c r="M83" i="30"/>
  <c r="M123" i="30" s="1"/>
  <c r="G146" i="43"/>
  <c r="G209" i="43" s="1"/>
  <c r="N358" i="42"/>
  <c r="N378" i="42" s="1"/>
  <c r="N382" i="42" s="1"/>
  <c r="N546" i="42" s="1"/>
  <c r="AZ380" i="47" s="1"/>
  <c r="N357" i="42"/>
  <c r="L369" i="42"/>
  <c r="L377" i="42" s="1"/>
  <c r="G215" i="43"/>
  <c r="F177" i="43"/>
  <c r="G368" i="42"/>
  <c r="L371" i="42"/>
  <c r="G82" i="30"/>
  <c r="L370" i="42"/>
  <c r="L378" i="42" s="1"/>
  <c r="L382" i="42" s="1"/>
  <c r="L546" i="42" s="1"/>
  <c r="N1119" i="4"/>
  <c r="J479" i="34"/>
  <c r="H401" i="34"/>
  <c r="H403" i="34" s="1"/>
  <c r="H409" i="34" s="1"/>
  <c r="H565" i="34" s="1"/>
  <c r="I478" i="34"/>
  <c r="F359" i="42"/>
  <c r="F370" i="42"/>
  <c r="M370" i="42"/>
  <c r="F357" i="42"/>
  <c r="F377" i="42" s="1"/>
  <c r="F358" i="42"/>
  <c r="H416" i="17"/>
  <c r="I184" i="10"/>
  <c r="I256" i="10" s="1"/>
  <c r="H92" i="16"/>
  <c r="H101" i="16" s="1"/>
  <c r="H127" i="16" s="1"/>
  <c r="I84" i="30"/>
  <c r="I124" i="30" s="1"/>
  <c r="K82" i="30"/>
  <c r="K122" i="30" s="1"/>
  <c r="F449" i="46"/>
  <c r="I83" i="30"/>
  <c r="I123" i="30" s="1"/>
  <c r="H212" i="43"/>
  <c r="M62" i="57"/>
  <c r="M77" i="57" s="1"/>
  <c r="F118" i="12"/>
  <c r="H417" i="17"/>
  <c r="N84" i="32"/>
  <c r="N85" i="32" s="1"/>
  <c r="I121" i="30"/>
  <c r="L70" i="33"/>
  <c r="L72" i="33" s="1"/>
  <c r="L73" i="33" s="1"/>
  <c r="L103" i="33" s="1"/>
  <c r="H152" i="43"/>
  <c r="H208" i="43" s="1"/>
  <c r="I82" i="30"/>
  <c r="I68" i="32"/>
  <c r="I70" i="32" s="1"/>
  <c r="I74" i="32" s="1"/>
  <c r="I76" i="32" s="1"/>
  <c r="I78" i="32" s="1"/>
  <c r="H147" i="43"/>
  <c r="H211" i="43"/>
  <c r="H146" i="43"/>
  <c r="H209" i="43" s="1"/>
  <c r="K77" i="30"/>
  <c r="K79" i="30" s="1"/>
  <c r="K111" i="30" s="1"/>
  <c r="K120" i="50"/>
  <c r="K124" i="50" s="1"/>
  <c r="H213" i="43"/>
  <c r="K83" i="30"/>
  <c r="K123" i="30" s="1"/>
  <c r="G401" i="34"/>
  <c r="G403" i="34" s="1"/>
  <c r="G409" i="34" s="1"/>
  <c r="G565" i="34" s="1"/>
  <c r="K121" i="30"/>
  <c r="J476" i="34"/>
  <c r="F406" i="46"/>
  <c r="H664" i="4"/>
  <c r="H684" i="4" s="1"/>
  <c r="J162" i="10"/>
  <c r="J164" i="10" s="1"/>
  <c r="J232" i="10" s="1"/>
  <c r="L46" i="24"/>
  <c r="L206" i="24" s="1"/>
  <c r="L212" i="24" s="1"/>
  <c r="L219" i="24" s="1"/>
  <c r="L246" i="24" s="1"/>
  <c r="M46" i="24"/>
  <c r="M206" i="24" s="1"/>
  <c r="M212" i="24" s="1"/>
  <c r="M219" i="24" s="1"/>
  <c r="M377" i="24" s="1"/>
  <c r="I183" i="10"/>
  <c r="I186" i="10" s="1"/>
  <c r="J83" i="32"/>
  <c r="J86" i="32" s="1"/>
  <c r="N82" i="30"/>
  <c r="N122" i="30" s="1"/>
  <c r="J120" i="32"/>
  <c r="J74" i="32"/>
  <c r="J76" i="32" s="1"/>
  <c r="J119" i="32" s="1"/>
  <c r="N121" i="30"/>
  <c r="K131" i="12"/>
  <c r="K183" i="12" s="1"/>
  <c r="I162" i="10"/>
  <c r="I164" i="10" s="1"/>
  <c r="I232" i="10" s="1"/>
  <c r="F83" i="30"/>
  <c r="F123" i="30" s="1"/>
  <c r="F84" i="30"/>
  <c r="F124" i="30" s="1"/>
  <c r="N83" i="30"/>
  <c r="N123" i="30" s="1"/>
  <c r="I413" i="15"/>
  <c r="F121" i="30"/>
  <c r="L125" i="8"/>
  <c r="L168" i="8" s="1"/>
  <c r="L135" i="8"/>
  <c r="L164" i="8" s="1"/>
  <c r="L401" i="34"/>
  <c r="L403" i="34" s="1"/>
  <c r="L409" i="34" s="1"/>
  <c r="L565" i="34" s="1"/>
  <c r="H131" i="12"/>
  <c r="H183" i="12" s="1"/>
  <c r="N77" i="30"/>
  <c r="N79" i="30" s="1"/>
  <c r="N112" i="30" s="1"/>
  <c r="H153" i="43"/>
  <c r="H160" i="43" s="1"/>
  <c r="H227" i="43" s="1"/>
  <c r="G211" i="43"/>
  <c r="K46" i="24"/>
  <c r="K206" i="24" s="1"/>
  <c r="K212" i="24" s="1"/>
  <c r="K219" i="24" s="1"/>
  <c r="K246" i="24" s="1"/>
  <c r="G46" i="24"/>
  <c r="G206" i="24" s="1"/>
  <c r="G212" i="24" s="1"/>
  <c r="G219" i="24" s="1"/>
  <c r="G246" i="24" s="1"/>
  <c r="N46" i="24"/>
  <c r="N206" i="24" s="1"/>
  <c r="N212" i="24" s="1"/>
  <c r="N219" i="24" s="1"/>
  <c r="N246" i="24" s="1"/>
  <c r="M476" i="34"/>
  <c r="L121" i="30"/>
  <c r="L82" i="30"/>
  <c r="L122" i="30" s="1"/>
  <c r="J46" i="24"/>
  <c r="J206" i="24" s="1"/>
  <c r="L83" i="30"/>
  <c r="L123" i="30" s="1"/>
  <c r="I212" i="43"/>
  <c r="I153" i="43"/>
  <c r="I161" i="43" s="1"/>
  <c r="I228" i="43" s="1"/>
  <c r="L84" i="30"/>
  <c r="L124" i="30" s="1"/>
  <c r="I115" i="50"/>
  <c r="M478" i="34"/>
  <c r="I152" i="43"/>
  <c r="AK22" i="31"/>
  <c r="F109" i="47" s="1"/>
  <c r="F111" i="47" s="1"/>
  <c r="AK27" i="19"/>
  <c r="F368" i="42"/>
  <c r="F376" i="42" s="1"/>
  <c r="K370" i="42"/>
  <c r="F371" i="42"/>
  <c r="K369" i="42"/>
  <c r="K377" i="42" s="1"/>
  <c r="F92" i="16"/>
  <c r="F101" i="16" s="1"/>
  <c r="F127" i="16" s="1"/>
  <c r="M371" i="42"/>
  <c r="M369" i="42"/>
  <c r="M377" i="42" s="1"/>
  <c r="J413" i="15"/>
  <c r="J590" i="17"/>
  <c r="H659" i="17"/>
  <c r="K590" i="17"/>
  <c r="W8" i="19"/>
  <c r="W8" i="31" s="1"/>
  <c r="W28" i="31"/>
  <c r="W62" i="19"/>
  <c r="W62" i="31" s="1"/>
  <c r="N350" i="17" a="1"/>
  <c r="N353" i="17" s="1"/>
  <c r="H350" i="17" a="1"/>
  <c r="H354" i="17" s="1"/>
  <c r="N415" i="17" a="1"/>
  <c r="N417" i="17" s="1"/>
  <c r="M590" i="17"/>
  <c r="N382" i="17" a="1"/>
  <c r="N384" i="17" s="1"/>
  <c r="L28" i="19"/>
  <c r="L29" i="31"/>
  <c r="AM29" i="19"/>
  <c r="C62" i="31"/>
  <c r="F415" i="17" a="1"/>
  <c r="F416" i="17" s="1"/>
  <c r="I415" i="17" a="1"/>
  <c r="I417" i="17" s="1"/>
  <c r="AM30" i="19"/>
  <c r="AM30" i="31" s="1"/>
  <c r="F350" i="17" a="1"/>
  <c r="F358" i="17" s="1"/>
  <c r="H382" i="17" a="1"/>
  <c r="H386" i="17" s="1"/>
  <c r="G225" i="24"/>
  <c r="F212" i="24"/>
  <c r="F219" i="24" s="1"/>
  <c r="F246" i="24" s="1"/>
  <c r="G226" i="24"/>
  <c r="F476" i="34"/>
  <c r="K250" i="10"/>
  <c r="G283" i="15"/>
  <c r="G423" i="15" s="1"/>
  <c r="L424" i="15"/>
  <c r="N413" i="15"/>
  <c r="J415" i="15"/>
  <c r="I508" i="15"/>
  <c r="I415" i="15"/>
  <c r="J508" i="15"/>
  <c r="K119" i="12"/>
  <c r="K132" i="12" s="1"/>
  <c r="M183" i="10"/>
  <c r="M258" i="10" s="1"/>
  <c r="F709" i="14" a="1"/>
  <c r="F423" i="15"/>
  <c r="K439" i="15"/>
  <c r="G415" i="15"/>
  <c r="F104" i="18"/>
  <c r="H412" i="15"/>
  <c r="N590" i="17"/>
  <c r="K338" i="14"/>
  <c r="K709" i="14" s="1" a="1"/>
  <c r="G232" i="10"/>
  <c r="G233" i="10" s="1"/>
  <c r="G115" i="50"/>
  <c r="H438" i="15"/>
  <c r="H440" i="15" s="1"/>
  <c r="H509" i="15"/>
  <c r="D53" i="55"/>
  <c r="F130" i="18"/>
  <c r="F507" i="15"/>
  <c r="K521" i="14"/>
  <c r="K539" i="14" s="1"/>
  <c r="L338" i="14"/>
  <c r="L709" i="14" s="1" a="1"/>
  <c r="H521" i="14"/>
  <c r="H539" i="14" s="1"/>
  <c r="I338" i="14"/>
  <c r="I709" i="14" s="1" a="1"/>
  <c r="F741" i="14" a="1"/>
  <c r="M741" i="14" a="1"/>
  <c r="G741" i="14" a="1"/>
  <c r="G709" i="14" a="1"/>
  <c r="G716" i="14" s="1"/>
  <c r="I521" i="14"/>
  <c r="I539" i="14" s="1"/>
  <c r="J338" i="14"/>
  <c r="J709" i="14" s="1" a="1"/>
  <c r="M521" i="14"/>
  <c r="M539" i="14" s="1"/>
  <c r="N338" i="14"/>
  <c r="N709" i="14" s="1" a="1"/>
  <c r="G521" i="14"/>
  <c r="G539" i="14" s="1"/>
  <c r="H338" i="14"/>
  <c r="H709" i="14" s="1" a="1"/>
  <c r="M709" i="14" a="1"/>
  <c r="F725" i="14" a="1"/>
  <c r="N519" i="14"/>
  <c r="N537" i="14" s="1"/>
  <c r="N518" i="14"/>
  <c r="N536" i="14" s="1"/>
  <c r="K525" i="14"/>
  <c r="K543" i="14" s="1"/>
  <c r="K668" i="14" s="1"/>
  <c r="I515" i="14"/>
  <c r="I533" i="14" s="1"/>
  <c r="I659" i="14" s="1"/>
  <c r="M525" i="14"/>
  <c r="M543" i="14" s="1"/>
  <c r="N560" i="14" s="1"/>
  <c r="I524" i="14"/>
  <c r="I542" i="14" s="1"/>
  <c r="I685" i="14" s="1"/>
  <c r="J524" i="14"/>
  <c r="J542" i="14" s="1"/>
  <c r="J685" i="14" s="1"/>
  <c r="J523" i="14"/>
  <c r="J541" i="14" s="1"/>
  <c r="J666" i="14" s="1"/>
  <c r="L523" i="14"/>
  <c r="L541" i="14" s="1"/>
  <c r="M558" i="14" s="1"/>
  <c r="N525" i="14"/>
  <c r="N543" i="14" s="1"/>
  <c r="N668" i="14" s="1"/>
  <c r="M524" i="14"/>
  <c r="M542" i="14" s="1"/>
  <c r="M649" i="14" s="1"/>
  <c r="I525" i="14"/>
  <c r="I543" i="14" s="1"/>
  <c r="J560" i="14" s="1"/>
  <c r="N331" i="14"/>
  <c r="H331" i="14"/>
  <c r="K352" i="14"/>
  <c r="K741" i="14" s="1" a="1"/>
  <c r="L352" i="14"/>
  <c r="L741" i="14" s="1" a="1"/>
  <c r="I352" i="14"/>
  <c r="I741" i="14" s="1" a="1"/>
  <c r="J352" i="14"/>
  <c r="J741" i="14" s="1" a="1"/>
  <c r="J521" i="14"/>
  <c r="J539" i="14" s="1"/>
  <c r="M332" i="14"/>
  <c r="F111" i="18"/>
  <c r="F91" i="18"/>
  <c r="G124" i="50"/>
  <c r="L303" i="13"/>
  <c r="L112" i="30"/>
  <c r="L113" i="30" s="1"/>
  <c r="K161" i="43"/>
  <c r="K228" i="43" s="1"/>
  <c r="D52" i="55"/>
  <c r="D54" i="55" s="1"/>
  <c r="F146" i="55" s="1"/>
  <c r="G85" i="23"/>
  <c r="J111" i="30"/>
  <c r="J113" i="30" s="1"/>
  <c r="G173" i="50"/>
  <c r="G121" i="50" s="1"/>
  <c r="F165" i="6"/>
  <c r="K240" i="10"/>
  <c r="K241" i="10" s="1"/>
  <c r="L161" i="43"/>
  <c r="L228" i="43" s="1"/>
  <c r="J110" i="32"/>
  <c r="J111" i="32" s="1"/>
  <c r="F160" i="43"/>
  <c r="F227" i="43" s="1"/>
  <c r="M240" i="10"/>
  <c r="M241" i="10" s="1"/>
  <c r="J160" i="43"/>
  <c r="J227" i="43" s="1"/>
  <c r="G240" i="10"/>
  <c r="G241" i="10" s="1"/>
  <c r="G216" i="10"/>
  <c r="K216" i="10"/>
  <c r="J122" i="61"/>
  <c r="K160" i="43"/>
  <c r="K227" i="43" s="1"/>
  <c r="L160" i="43"/>
  <c r="L227" i="43" s="1"/>
  <c r="N160" i="43"/>
  <c r="N227" i="43" s="1"/>
  <c r="I122" i="61"/>
  <c r="G77" i="23"/>
  <c r="K223" i="10"/>
  <c r="K215" i="10"/>
  <c r="J161" i="43"/>
  <c r="J228" i="43" s="1"/>
  <c r="N161" i="43"/>
  <c r="N228" i="43" s="1"/>
  <c r="F277" i="7"/>
  <c r="F317" i="7" s="1"/>
  <c r="N240" i="10"/>
  <c r="N241" i="10" s="1"/>
  <c r="G277" i="7"/>
  <c r="G317" i="7" s="1"/>
  <c r="J518" i="14"/>
  <c r="J536" i="14" s="1"/>
  <c r="K554" i="14" s="1"/>
  <c r="F302" i="7"/>
  <c r="K86" i="32"/>
  <c r="I177" i="10"/>
  <c r="I251" i="10" s="1"/>
  <c r="M161" i="43"/>
  <c r="M228" i="43" s="1"/>
  <c r="F161" i="43"/>
  <c r="F228" i="43" s="1"/>
  <c r="M110" i="32"/>
  <c r="M111" i="32" s="1"/>
  <c r="H230" i="10"/>
  <c r="H233" i="10" s="1"/>
  <c r="K177" i="10"/>
  <c r="K251" i="10" s="1"/>
  <c r="N333" i="14"/>
  <c r="J250" i="10"/>
  <c r="K222" i="10"/>
  <c r="I215" i="10"/>
  <c r="G177" i="10"/>
  <c r="G251" i="10" s="1"/>
  <c r="G154" i="10"/>
  <c r="G156" i="10" s="1"/>
  <c r="G178" i="10" s="1"/>
  <c r="G249" i="10" s="1"/>
  <c r="N177" i="10"/>
  <c r="N251" i="10" s="1"/>
  <c r="I600" i="34"/>
  <c r="K178" i="10"/>
  <c r="K249" i="10" s="1"/>
  <c r="L250" i="10"/>
  <c r="F111" i="30"/>
  <c r="F113" i="30" s="1"/>
  <c r="G330" i="17"/>
  <c r="G91" i="18"/>
  <c r="H332" i="14"/>
  <c r="H600" i="34"/>
  <c r="H177" i="10"/>
  <c r="H251" i="10" s="1"/>
  <c r="H82" i="30"/>
  <c r="H122" i="30" s="1"/>
  <c r="H84" i="30"/>
  <c r="H124" i="30" s="1"/>
  <c r="F246" i="46"/>
  <c r="H319" i="34"/>
  <c r="G476" i="34"/>
  <c r="N250" i="10"/>
  <c r="J332" i="14"/>
  <c r="J62" i="57"/>
  <c r="J77" i="57" s="1"/>
  <c r="L162" i="10"/>
  <c r="L164" i="10" s="1"/>
  <c r="L216" i="10" s="1"/>
  <c r="H476" i="34"/>
  <c r="H121" i="30"/>
  <c r="N215" i="10"/>
  <c r="F223" i="10"/>
  <c r="F225" i="10" s="1"/>
  <c r="H154" i="10"/>
  <c r="H156" i="10" s="1"/>
  <c r="H222" i="10" s="1"/>
  <c r="H83" i="30"/>
  <c r="H123" i="30" s="1"/>
  <c r="L177" i="10"/>
  <c r="L251" i="10" s="1"/>
  <c r="J600" i="34"/>
  <c r="N178" i="10"/>
  <c r="N249" i="10" s="1"/>
  <c r="N223" i="10"/>
  <c r="N225" i="10" s="1"/>
  <c r="F216" i="10"/>
  <c r="G376" i="34"/>
  <c r="H376" i="34" s="1"/>
  <c r="G129" i="18"/>
  <c r="L332" i="14"/>
  <c r="J519" i="14"/>
  <c r="J537" i="14" s="1"/>
  <c r="J681" i="14" s="1"/>
  <c r="L476" i="34"/>
  <c r="F178" i="10"/>
  <c r="F249" i="10" s="1"/>
  <c r="K62" i="57"/>
  <c r="K64" i="57" s="1"/>
  <c r="J401" i="34"/>
  <c r="J403" i="34" s="1"/>
  <c r="J409" i="34" s="1"/>
  <c r="J565" i="34" s="1"/>
  <c r="H406" i="46"/>
  <c r="J330" i="14"/>
  <c r="H352" i="14"/>
  <c r="H741" i="14" s="1" a="1"/>
  <c r="J345" i="14"/>
  <c r="H345" i="14"/>
  <c r="H330" i="14"/>
  <c r="N330" i="14"/>
  <c r="K332" i="14"/>
  <c r="N332" i="14"/>
  <c r="F518" i="14"/>
  <c r="F536" i="14" s="1"/>
  <c r="G554" i="14" s="1"/>
  <c r="I331" i="14"/>
  <c r="I333" i="14"/>
  <c r="L333" i="14"/>
  <c r="I345" i="14"/>
  <c r="L330" i="14"/>
  <c r="L345" i="14"/>
  <c r="I330" i="14"/>
  <c r="L331" i="14"/>
  <c r="K331" i="14"/>
  <c r="J333" i="14"/>
  <c r="K330" i="14"/>
  <c r="K345" i="14"/>
  <c r="I519" i="14"/>
  <c r="I537" i="14" s="1"/>
  <c r="I681" i="14" s="1"/>
  <c r="J331" i="14"/>
  <c r="N345" i="14"/>
  <c r="N352" i="14"/>
  <c r="N741" i="14" s="1" a="1"/>
  <c r="K514" i="14"/>
  <c r="K532" i="14" s="1"/>
  <c r="K640" i="14" s="1"/>
  <c r="F514" i="14"/>
  <c r="F532" i="14" s="1"/>
  <c r="G550" i="14" s="1"/>
  <c r="H356" i="17"/>
  <c r="J412" i="15"/>
  <c r="H285" i="13"/>
  <c r="I223" i="10"/>
  <c r="I225" i="10" s="1"/>
  <c r="J119" i="12"/>
  <c r="J132" i="12" s="1"/>
  <c r="L183" i="10"/>
  <c r="L258" i="10" s="1"/>
  <c r="I62" i="57"/>
  <c r="I77" i="57" s="1"/>
  <c r="F605" i="34"/>
  <c r="I91" i="18"/>
  <c r="H216" i="10"/>
  <c r="I178" i="10"/>
  <c r="I249" i="10" s="1"/>
  <c r="K211" i="13"/>
  <c r="K334" i="13" s="1"/>
  <c r="M119" i="12"/>
  <c r="M132" i="12" s="1"/>
  <c r="L257" i="10"/>
  <c r="I250" i="10"/>
  <c r="H91" i="18"/>
  <c r="N104" i="33"/>
  <c r="N105" i="33" s="1"/>
  <c r="H449" i="46"/>
  <c r="J509" i="15"/>
  <c r="L509" i="15"/>
  <c r="J439" i="15"/>
  <c r="J440" i="15" s="1"/>
  <c r="F523" i="14"/>
  <c r="F541" i="14" s="1"/>
  <c r="G558" i="14" s="1"/>
  <c r="K111" i="18"/>
  <c r="F439" i="15"/>
  <c r="F412" i="15"/>
  <c r="F509" i="15"/>
  <c r="F438" i="15"/>
  <c r="H120" i="50"/>
  <c r="H115" i="50"/>
  <c r="M184" i="10"/>
  <c r="M256" i="10" s="1"/>
  <c r="I103" i="61"/>
  <c r="I123" i="61" s="1"/>
  <c r="I184" i="13"/>
  <c r="I235" i="13" s="1"/>
  <c r="I272" i="13" s="1"/>
  <c r="N162" i="10"/>
  <c r="N164" i="10" s="1"/>
  <c r="N216" i="10" s="1"/>
  <c r="G478" i="34"/>
  <c r="K600" i="34"/>
  <c r="F215" i="10"/>
  <c r="K125" i="8"/>
  <c r="K168" i="8" s="1"/>
  <c r="F360" i="17"/>
  <c r="I160" i="43"/>
  <c r="I227" i="43" s="1"/>
  <c r="H68" i="32"/>
  <c r="M84" i="32"/>
  <c r="M85" i="32" s="1"/>
  <c r="M86" i="32" s="1"/>
  <c r="M87" i="32" s="1"/>
  <c r="H119" i="12"/>
  <c r="H132" i="12" s="1"/>
  <c r="N257" i="10"/>
  <c r="M244" i="46"/>
  <c r="M254" i="46" s="1"/>
  <c r="M449" i="46"/>
  <c r="J125" i="8"/>
  <c r="J168" i="8" s="1"/>
  <c r="J130" i="8"/>
  <c r="J166" i="8" s="1"/>
  <c r="L600" i="34"/>
  <c r="M438" i="15"/>
  <c r="M439" i="15"/>
  <c r="M412" i="15"/>
  <c r="M509" i="15"/>
  <c r="G412" i="15"/>
  <c r="G509" i="15"/>
  <c r="G438" i="15"/>
  <c r="G439" i="15"/>
  <c r="G416" i="17"/>
  <c r="K507" i="15"/>
  <c r="M162" i="10"/>
  <c r="M164" i="10" s="1"/>
  <c r="M230" i="10" s="1"/>
  <c r="N184" i="10"/>
  <c r="N256" i="10" s="1"/>
  <c r="L62" i="57"/>
  <c r="L76" i="57" s="1"/>
  <c r="G80" i="23"/>
  <c r="L319" i="34"/>
  <c r="L391" i="34"/>
  <c r="L393" i="34" s="1"/>
  <c r="L396" i="34" s="1"/>
  <c r="L222" i="10"/>
  <c r="L225" i="10" s="1"/>
  <c r="K135" i="8"/>
  <c r="K164" i="8" s="1"/>
  <c r="F230" i="10"/>
  <c r="F233" i="10" s="1"/>
  <c r="F417" i="17"/>
  <c r="F415" i="17"/>
  <c r="H658" i="4"/>
  <c r="N1126" i="4"/>
  <c r="J62" i="4"/>
  <c r="J754" i="4" s="1"/>
  <c r="J757" i="4" s="1"/>
  <c r="J1045" i="4" s="1"/>
  <c r="K59" i="4"/>
  <c r="N1129" i="4"/>
  <c r="N1127" i="4"/>
  <c r="N1128" i="4"/>
  <c r="N1121" i="4"/>
  <c r="N1124" i="4"/>
  <c r="N1131" i="4"/>
  <c r="N1120" i="4"/>
  <c r="F1139" i="4" a="1"/>
  <c r="F1139" i="4" s="1"/>
  <c r="F1137" i="4" a="1"/>
  <c r="F1137" i="4" s="1"/>
  <c r="F1135" i="4" a="1"/>
  <c r="F1135" i="4" s="1"/>
  <c r="F1136" i="4" a="1"/>
  <c r="F1136" i="4" s="1"/>
  <c r="F1142" i="4" a="1"/>
  <c r="F1142" i="4" s="1"/>
  <c r="F1140" i="4" a="1"/>
  <c r="F1140" i="4" s="1"/>
  <c r="F1141" i="4" a="1"/>
  <c r="F1141" i="4" s="1"/>
  <c r="F1138" i="4" a="1"/>
  <c r="F1138" i="4" s="1"/>
  <c r="F1143" i="4" a="1"/>
  <c r="F1143" i="4" s="1"/>
  <c r="N1125" i="4"/>
  <c r="N1122" i="4"/>
  <c r="N1130" i="4"/>
  <c r="N591" i="4"/>
  <c r="N587" i="4"/>
  <c r="M78" i="32"/>
  <c r="J292" i="13"/>
  <c r="J285" i="13"/>
  <c r="H292" i="13"/>
  <c r="H112" i="30"/>
  <c r="H113" i="30" s="1"/>
  <c r="K331" i="13"/>
  <c r="M178" i="10"/>
  <c r="M249" i="10" s="1"/>
  <c r="L215" i="10"/>
  <c r="H299" i="13"/>
  <c r="K477" i="34"/>
  <c r="G518" i="14"/>
  <c r="G536" i="14" s="1"/>
  <c r="F524" i="14"/>
  <c r="F542" i="14" s="1"/>
  <c r="G559" i="14" s="1"/>
  <c r="I240" i="10"/>
  <c r="I238" i="10"/>
  <c r="H361" i="17"/>
  <c r="H657" i="4"/>
  <c r="H695" i="4" s="1"/>
  <c r="N173" i="50"/>
  <c r="AZ409" i="47" s="1"/>
  <c r="BF382" i="47" s="1"/>
  <c r="BH382" i="47" s="1"/>
  <c r="BI382" i="47" s="1"/>
  <c r="J154" i="10"/>
  <c r="J156" i="10" s="1"/>
  <c r="K122" i="61"/>
  <c r="J331" i="13"/>
  <c r="L178" i="10"/>
  <c r="L249" i="10" s="1"/>
  <c r="G307" i="24"/>
  <c r="G304" i="24"/>
  <c r="J240" i="10"/>
  <c r="J238" i="10"/>
  <c r="L639" i="14"/>
  <c r="H357" i="17"/>
  <c r="F214" i="10"/>
  <c r="F238" i="10"/>
  <c r="F241" i="10" s="1"/>
  <c r="F103" i="33"/>
  <c r="F105" i="33" s="1"/>
  <c r="G514" i="14"/>
  <c r="G532" i="14" s="1"/>
  <c r="G658" i="14" s="1"/>
  <c r="M110" i="9"/>
  <c r="M146" i="9" s="1"/>
  <c r="G90" i="9"/>
  <c r="H90" i="9" s="1"/>
  <c r="H135" i="9" s="1"/>
  <c r="K76" i="33"/>
  <c r="K115" i="33" s="1"/>
  <c r="N174" i="50"/>
  <c r="M600" i="34"/>
  <c r="I664" i="4"/>
  <c r="M170" i="43"/>
  <c r="M272" i="43" s="1"/>
  <c r="K310" i="13"/>
  <c r="K282" i="13"/>
  <c r="N324" i="13"/>
  <c r="G115" i="9"/>
  <c r="G144" i="9" s="1"/>
  <c r="L310" i="13"/>
  <c r="N289" i="13"/>
  <c r="J310" i="13"/>
  <c r="H303" i="13"/>
  <c r="I296" i="13"/>
  <c r="N476" i="34"/>
  <c r="I303" i="13"/>
  <c r="L86" i="32"/>
  <c r="L87" i="32" s="1"/>
  <c r="M167" i="43"/>
  <c r="M269" i="43" s="1"/>
  <c r="G110" i="9"/>
  <c r="G146" i="9" s="1"/>
  <c r="N675" i="14"/>
  <c r="N303" i="13"/>
  <c r="K214" i="10"/>
  <c r="K317" i="13"/>
  <c r="K289" i="13"/>
  <c r="I115" i="9"/>
  <c r="I144" i="9" s="1"/>
  <c r="H377" i="42"/>
  <c r="K376" i="42"/>
  <c r="H376" i="42"/>
  <c r="F440" i="42"/>
  <c r="M307" i="24"/>
  <c r="N657" i="14"/>
  <c r="L519" i="14"/>
  <c r="L537" i="14" s="1"/>
  <c r="L645" i="14" s="1"/>
  <c r="L675" i="14"/>
  <c r="F378" i="42"/>
  <c r="F382" i="42" s="1"/>
  <c r="F546" i="42" s="1"/>
  <c r="K401" i="34"/>
  <c r="K403" i="34" s="1"/>
  <c r="K409" i="34" s="1"/>
  <c r="K565" i="34" s="1"/>
  <c r="J175" i="50"/>
  <c r="I105" i="9"/>
  <c r="I148" i="9" s="1"/>
  <c r="I663" i="4"/>
  <c r="N331" i="13"/>
  <c r="H296" i="13"/>
  <c r="H289" i="13"/>
  <c r="M569" i="42"/>
  <c r="M395" i="42"/>
  <c r="M548" i="42" s="1"/>
  <c r="N317" i="13"/>
  <c r="M304" i="24"/>
  <c r="I863" i="4"/>
  <c r="I861" i="4"/>
  <c r="I862" i="4"/>
  <c r="H869" i="4"/>
  <c r="I864" i="4"/>
  <c r="J282" i="13"/>
  <c r="M222" i="10"/>
  <c r="F600" i="34"/>
  <c r="H654" i="4"/>
  <c r="H674" i="4" s="1"/>
  <c r="H352" i="17"/>
  <c r="I282" i="13"/>
  <c r="M168" i="43"/>
  <c r="M270" i="43" s="1"/>
  <c r="J299" i="13"/>
  <c r="N310" i="13"/>
  <c r="K303" i="13"/>
  <c r="L282" i="13"/>
  <c r="L296" i="13"/>
  <c r="I317" i="13"/>
  <c r="H378" i="42"/>
  <c r="H382" i="42" s="1"/>
  <c r="H546" i="42" s="1"/>
  <c r="N600" i="34"/>
  <c r="M170" i="58"/>
  <c r="M119" i="32"/>
  <c r="I310" i="13"/>
  <c r="I111" i="30"/>
  <c r="I113" i="30" s="1"/>
  <c r="K324" i="13"/>
  <c r="M223" i="10"/>
  <c r="G871" i="4"/>
  <c r="M319" i="34"/>
  <c r="F513" i="14"/>
  <c r="F531" i="14" s="1"/>
  <c r="I514" i="14"/>
  <c r="I532" i="14" s="1"/>
  <c r="I676" i="14" s="1"/>
  <c r="L657" i="14"/>
  <c r="L566" i="14"/>
  <c r="L621" i="14" s="1"/>
  <c r="N566" i="14"/>
  <c r="N602" i="14" s="1"/>
  <c r="M331" i="13"/>
  <c r="F311" i="13"/>
  <c r="F325" i="13"/>
  <c r="J317" i="13"/>
  <c r="H443" i="42"/>
  <c r="I444" i="42" s="1"/>
  <c r="J445" i="42" s="1"/>
  <c r="M518" i="14"/>
  <c r="M536" i="14" s="1"/>
  <c r="M680" i="14" s="1"/>
  <c r="G600" i="34"/>
  <c r="N396" i="34"/>
  <c r="AZ376" i="47" s="1"/>
  <c r="N405" i="34"/>
  <c r="N406" i="34" s="1"/>
  <c r="M289" i="13"/>
  <c r="F318" i="13"/>
  <c r="F321" i="13" s="1"/>
  <c r="F473" i="13" s="1"/>
  <c r="F332" i="13"/>
  <c r="K319" i="34"/>
  <c r="K476" i="34"/>
  <c r="I391" i="34"/>
  <c r="I393" i="34" s="1"/>
  <c r="L240" i="10"/>
  <c r="L238" i="10"/>
  <c r="F1060" i="4"/>
  <c r="F1050" i="4"/>
  <c r="F1055" i="4"/>
  <c r="M310" i="13"/>
  <c r="F525" i="14"/>
  <c r="F543" i="14" s="1"/>
  <c r="G560" i="14" s="1"/>
  <c r="N524" i="14"/>
  <c r="N542" i="14" s="1"/>
  <c r="N667" i="14" s="1"/>
  <c r="I549" i="14"/>
  <c r="I566" i="14" s="1"/>
  <c r="M324" i="13"/>
  <c r="G282" i="13"/>
  <c r="G290" i="13"/>
  <c r="N319" i="34"/>
  <c r="G283" i="13"/>
  <c r="G78" i="23"/>
  <c r="H238" i="10"/>
  <c r="H240" i="10"/>
  <c r="G1051" i="4"/>
  <c r="H360" i="17"/>
  <c r="G304" i="13"/>
  <c r="F871" i="4"/>
  <c r="G319" i="34"/>
  <c r="I324" i="13"/>
  <c r="I289" i="13"/>
  <c r="H639" i="14"/>
  <c r="M282" i="13"/>
  <c r="H64" i="57"/>
  <c r="G303" i="13"/>
  <c r="J110" i="9"/>
  <c r="J146" i="9" s="1"/>
  <c r="H663" i="4"/>
  <c r="H76" i="57"/>
  <c r="H78" i="57" s="1"/>
  <c r="J306" i="13"/>
  <c r="L307" i="24"/>
  <c r="F331" i="13"/>
  <c r="N438" i="42"/>
  <c r="K307" i="24"/>
  <c r="L478" i="34"/>
  <c r="J319" i="34"/>
  <c r="F310" i="13"/>
  <c r="I319" i="34"/>
  <c r="I335" i="17"/>
  <c r="J289" i="13"/>
  <c r="J296" i="13"/>
  <c r="N296" i="13"/>
  <c r="N282" i="13"/>
  <c r="F519" i="14"/>
  <c r="F537" i="14" s="1"/>
  <c r="G555" i="14" s="1"/>
  <c r="G138" i="6"/>
  <c r="H358" i="17"/>
  <c r="G524" i="14"/>
  <c r="G542" i="14" s="1"/>
  <c r="M303" i="13"/>
  <c r="H525" i="14"/>
  <c r="H543" i="14" s="1"/>
  <c r="H650" i="14" s="1"/>
  <c r="L331" i="13"/>
  <c r="M317" i="13"/>
  <c r="N307" i="24"/>
  <c r="N395" i="42"/>
  <c r="N548" i="42" s="1"/>
  <c r="F324" i="13"/>
  <c r="L317" i="13"/>
  <c r="L324" i="13"/>
  <c r="K478" i="34"/>
  <c r="G296" i="13"/>
  <c r="G300" i="13" s="1"/>
  <c r="G456" i="13" s="1"/>
  <c r="H478" i="34"/>
  <c r="G289" i="13"/>
  <c r="J324" i="13"/>
  <c r="I476" i="34"/>
  <c r="G477" i="34"/>
  <c r="M115" i="9"/>
  <c r="M144" i="9" s="1"/>
  <c r="F132" i="6"/>
  <c r="F134" i="6" s="1"/>
  <c r="F166" i="6" s="1"/>
  <c r="H353" i="17"/>
  <c r="F271" i="7"/>
  <c r="H271" i="7"/>
  <c r="G271" i="7"/>
  <c r="J244" i="46"/>
  <c r="J254" i="46" s="1"/>
  <c r="J406" i="46"/>
  <c r="J449" i="46"/>
  <c r="H270" i="7"/>
  <c r="H315" i="7" s="1"/>
  <c r="G270" i="7"/>
  <c r="G280" i="7" s="1"/>
  <c r="G318" i="7" s="1"/>
  <c r="F270" i="7"/>
  <c r="F315" i="7" s="1"/>
  <c r="G83" i="23"/>
  <c r="N167" i="43"/>
  <c r="N269" i="43" s="1"/>
  <c r="J514" i="14"/>
  <c r="J532" i="14" s="1"/>
  <c r="J640" i="14" s="1"/>
  <c r="H515" i="14"/>
  <c r="H533" i="14" s="1"/>
  <c r="I551" i="14" s="1"/>
  <c r="J477" i="34"/>
  <c r="I46" i="24"/>
  <c r="I206" i="24" s="1"/>
  <c r="I212" i="24" s="1"/>
  <c r="I219" i="24" s="1"/>
  <c r="J105" i="9"/>
  <c r="J148" i="9" s="1"/>
  <c r="G76" i="23"/>
  <c r="H236" i="24"/>
  <c r="H237" i="24" s="1"/>
  <c r="H239" i="24" s="1"/>
  <c r="H338" i="24" s="1"/>
  <c r="H278" i="24" s="1"/>
  <c r="K232" i="10"/>
  <c r="K230" i="10"/>
  <c r="L405" i="46"/>
  <c r="L246" i="46"/>
  <c r="I405" i="46"/>
  <c r="I246" i="46"/>
  <c r="K406" i="46"/>
  <c r="K449" i="46"/>
  <c r="K244" i="46"/>
  <c r="K254" i="46" s="1"/>
  <c r="K246" i="46"/>
  <c r="K405" i="46"/>
  <c r="H477" i="34"/>
  <c r="N449" i="46"/>
  <c r="N244" i="46"/>
  <c r="N254" i="46" s="1"/>
  <c r="N406" i="46"/>
  <c r="K288" i="15"/>
  <c r="F288" i="15"/>
  <c r="N288" i="15"/>
  <c r="G288" i="15"/>
  <c r="I288" i="15"/>
  <c r="J288" i="15"/>
  <c r="H288" i="15"/>
  <c r="L288" i="15"/>
  <c r="M288" i="15"/>
  <c r="F113" i="16"/>
  <c r="G113" i="16"/>
  <c r="I113" i="16"/>
  <c r="M113" i="16"/>
  <c r="K113" i="16"/>
  <c r="H113" i="16"/>
  <c r="L113" i="16"/>
  <c r="G84" i="23"/>
  <c r="J113" i="16"/>
  <c r="N113" i="16"/>
  <c r="H276" i="7"/>
  <c r="F276" i="7"/>
  <c r="F316" i="7" s="1"/>
  <c r="G276" i="7"/>
  <c r="G316" i="7" s="1"/>
  <c r="M160" i="43"/>
  <c r="M227" i="43" s="1"/>
  <c r="M76" i="33"/>
  <c r="M72" i="33"/>
  <c r="M73" i="33" s="1"/>
  <c r="M77" i="33"/>
  <c r="M113" i="33" s="1"/>
  <c r="F438" i="42"/>
  <c r="M477" i="34"/>
  <c r="N477" i="34"/>
  <c r="H46" i="24"/>
  <c r="H206" i="24" s="1"/>
  <c r="H212" i="24" s="1"/>
  <c r="H219" i="24" s="1"/>
  <c r="G79" i="23"/>
  <c r="I244" i="46"/>
  <c r="I254" i="46" s="1"/>
  <c r="I449" i="46"/>
  <c r="I406" i="46"/>
  <c r="N115" i="9"/>
  <c r="N144" i="9" s="1"/>
  <c r="N110" i="9"/>
  <c r="N146" i="9" s="1"/>
  <c r="L174" i="50"/>
  <c r="L173" i="50"/>
  <c r="M121" i="50" s="1"/>
  <c r="L124" i="50"/>
  <c r="M246" i="46"/>
  <c r="M405" i="46"/>
  <c r="J405" i="46"/>
  <c r="J246" i="46"/>
  <c r="H405" i="46"/>
  <c r="H246" i="46"/>
  <c r="L477" i="34"/>
  <c r="AZ398" i="47"/>
  <c r="N278" i="24"/>
  <c r="J179" i="58"/>
  <c r="N183" i="13"/>
  <c r="I179" i="58"/>
  <c r="I174" i="50"/>
  <c r="I173" i="50"/>
  <c r="I124" i="50"/>
  <c r="J170" i="58"/>
  <c r="I304" i="24"/>
  <c r="I307" i="24"/>
  <c r="N405" i="46"/>
  <c r="N246" i="46"/>
  <c r="H119" i="58"/>
  <c r="L118" i="58"/>
  <c r="L119" i="58" s="1"/>
  <c r="L244" i="46"/>
  <c r="L254" i="46" s="1"/>
  <c r="L449" i="46"/>
  <c r="L406" i="46"/>
  <c r="F116" i="8"/>
  <c r="F117" i="8" s="1"/>
  <c r="F120" i="8"/>
  <c r="N170" i="58"/>
  <c r="AZ459" i="47"/>
  <c r="BG386" i="47" s="1"/>
  <c r="BH386" i="47" s="1"/>
  <c r="BI386" i="47" s="1"/>
  <c r="F1132" i="4"/>
  <c r="N111" i="18"/>
  <c r="N129" i="18"/>
  <c r="N70" i="32"/>
  <c r="N83" i="32"/>
  <c r="J307" i="24"/>
  <c r="J304" i="24"/>
  <c r="J236" i="24"/>
  <c r="J237" i="24" s="1"/>
  <c r="J239" i="24" s="1"/>
  <c r="J338" i="24" s="1"/>
  <c r="F170" i="58"/>
  <c r="I168" i="58"/>
  <c r="I169" i="58"/>
  <c r="M278" i="24"/>
  <c r="F195" i="13"/>
  <c r="F193" i="13"/>
  <c r="L391" i="42"/>
  <c r="L392" i="42" s="1"/>
  <c r="L438" i="42"/>
  <c r="H304" i="24"/>
  <c r="H307" i="24"/>
  <c r="H168" i="58"/>
  <c r="H169" i="58"/>
  <c r="J478" i="34"/>
  <c r="N478" i="34"/>
  <c r="G161" i="43"/>
  <c r="G228" i="43" s="1"/>
  <c r="L177" i="13"/>
  <c r="I523" i="14"/>
  <c r="I541" i="14" s="1"/>
  <c r="I666" i="14" s="1"/>
  <c r="K515" i="14"/>
  <c r="K533" i="14" s="1"/>
  <c r="K659" i="14" s="1"/>
  <c r="K519" i="14"/>
  <c r="K537" i="14" s="1"/>
  <c r="K681" i="14" s="1"/>
  <c r="G515" i="14"/>
  <c r="G533" i="14" s="1"/>
  <c r="I395" i="42"/>
  <c r="I548" i="42" s="1"/>
  <c r="H440" i="42"/>
  <c r="H438" i="42"/>
  <c r="G703" i="4"/>
  <c r="M438" i="42"/>
  <c r="M675" i="14"/>
  <c r="G519" i="14"/>
  <c r="G537" i="14" s="1"/>
  <c r="H392" i="17"/>
  <c r="L518" i="14"/>
  <c r="L536" i="14" s="1"/>
  <c r="L644" i="14" s="1"/>
  <c r="K549" i="14"/>
  <c r="K566" i="14" s="1"/>
  <c r="K602" i="14" s="1"/>
  <c r="M519" i="14"/>
  <c r="M537" i="14" s="1"/>
  <c r="M681" i="14" s="1"/>
  <c r="I518" i="14"/>
  <c r="I536" i="14" s="1"/>
  <c r="I644" i="14" s="1"/>
  <c r="I438" i="42"/>
  <c r="F82" i="59"/>
  <c r="H317" i="7"/>
  <c r="I477" i="34"/>
  <c r="N91" i="18"/>
  <c r="M440" i="42"/>
  <c r="L113" i="58"/>
  <c r="L114" i="58" s="1"/>
  <c r="H114" i="58"/>
  <c r="H115" i="9"/>
  <c r="H144" i="9" s="1"/>
  <c r="H105" i="9"/>
  <c r="H148" i="9" s="1"/>
  <c r="H110" i="9"/>
  <c r="H146" i="9" s="1"/>
  <c r="F210" i="7"/>
  <c r="F306" i="7" s="1"/>
  <c r="F305" i="7"/>
  <c r="N118" i="58"/>
  <c r="N119" i="58" s="1"/>
  <c r="J119" i="58"/>
  <c r="L170" i="58"/>
  <c r="G449" i="46"/>
  <c r="G406" i="46"/>
  <c r="G244" i="46"/>
  <c r="G254" i="46" s="1"/>
  <c r="F96" i="9"/>
  <c r="F97" i="9" s="1"/>
  <c r="F100" i="9"/>
  <c r="L110" i="9"/>
  <c r="L146" i="9" s="1"/>
  <c r="L105" i="9"/>
  <c r="L148" i="9" s="1"/>
  <c r="L115" i="9"/>
  <c r="L144" i="9" s="1"/>
  <c r="J371" i="24"/>
  <c r="N113" i="58"/>
  <c r="N114" i="58" s="1"/>
  <c r="N122" i="58" s="1"/>
  <c r="J114" i="58"/>
  <c r="F477" i="34"/>
  <c r="F319" i="34"/>
  <c r="K105" i="9"/>
  <c r="K148" i="9" s="1"/>
  <c r="K115" i="9"/>
  <c r="K144" i="9" s="1"/>
  <c r="K110" i="9"/>
  <c r="K146" i="9" s="1"/>
  <c r="M118" i="58"/>
  <c r="M119" i="58" s="1"/>
  <c r="I119" i="58"/>
  <c r="I71" i="52"/>
  <c r="I101" i="52"/>
  <c r="I73" i="52"/>
  <c r="J74" i="52" s="1"/>
  <c r="I102" i="52"/>
  <c r="G438" i="42"/>
  <c r="G391" i="42"/>
  <c r="G392" i="42" s="1"/>
  <c r="H179" i="58"/>
  <c r="G525" i="14"/>
  <c r="G543" i="14" s="1"/>
  <c r="G686" i="14" s="1"/>
  <c r="J320" i="13"/>
  <c r="J452" i="42"/>
  <c r="J438" i="42"/>
  <c r="F478" i="34"/>
  <c r="F561" i="42"/>
  <c r="F569" i="42"/>
  <c r="J169" i="43"/>
  <c r="J271" i="43" s="1"/>
  <c r="H514" i="14"/>
  <c r="H532" i="14" s="1"/>
  <c r="H658" i="14" s="1"/>
  <c r="H518" i="14"/>
  <c r="H536" i="14" s="1"/>
  <c r="K524" i="14"/>
  <c r="K542" i="14" s="1"/>
  <c r="K649" i="14" s="1"/>
  <c r="I569" i="42"/>
  <c r="J515" i="14"/>
  <c r="J533" i="14" s="1"/>
  <c r="J677" i="14" s="1"/>
  <c r="L524" i="14"/>
  <c r="L542" i="14" s="1"/>
  <c r="L667" i="14" s="1"/>
  <c r="I561" i="42"/>
  <c r="L569" i="42"/>
  <c r="J549" i="14"/>
  <c r="J566" i="14" s="1"/>
  <c r="J583" i="14" s="1"/>
  <c r="K639" i="14"/>
  <c r="J569" i="42"/>
  <c r="G569" i="42"/>
  <c r="E82" i="59"/>
  <c r="H452" i="42"/>
  <c r="H395" i="42"/>
  <c r="H548" i="42" s="1"/>
  <c r="J440" i="42"/>
  <c r="J395" i="42"/>
  <c r="J548" i="42" s="1"/>
  <c r="K440" i="42"/>
  <c r="K395" i="42"/>
  <c r="K548" i="42" s="1"/>
  <c r="G452" i="42"/>
  <c r="K452" i="42"/>
  <c r="F452" i="42"/>
  <c r="I452" i="42"/>
  <c r="L452" i="42"/>
  <c r="N452" i="42"/>
  <c r="G459" i="42"/>
  <c r="G577" i="42" s="1"/>
  <c r="G356" i="42"/>
  <c r="G376" i="42" s="1"/>
  <c r="G357" i="42"/>
  <c r="G359" i="42"/>
  <c r="G358" i="42"/>
  <c r="G378" i="42" s="1"/>
  <c r="G382" i="42" s="1"/>
  <c r="G546" i="42" s="1"/>
  <c r="N561" i="42"/>
  <c r="N569" i="42"/>
  <c r="M146" i="12"/>
  <c r="N151" i="12" s="1"/>
  <c r="K146" i="12"/>
  <c r="L151" i="12" s="1"/>
  <c r="M566" i="14"/>
  <c r="L525" i="14"/>
  <c r="L543" i="14" s="1"/>
  <c r="L167" i="43"/>
  <c r="L269" i="43" s="1"/>
  <c r="L515" i="14"/>
  <c r="L533" i="14" s="1"/>
  <c r="M551" i="14" s="1"/>
  <c r="N523" i="14"/>
  <c r="N541" i="14" s="1"/>
  <c r="N666" i="14" s="1"/>
  <c r="M639" i="14"/>
  <c r="M523" i="14"/>
  <c r="M541" i="14" s="1"/>
  <c r="M648" i="14" s="1"/>
  <c r="J313" i="13"/>
  <c r="L170" i="43"/>
  <c r="L272" i="43" s="1"/>
  <c r="M151" i="12"/>
  <c r="J334" i="13"/>
  <c r="J327" i="13"/>
  <c r="M216" i="43"/>
  <c r="N170" i="43"/>
  <c r="N272" i="43" s="1"/>
  <c r="I728" i="4"/>
  <c r="I736" i="4" s="1"/>
  <c r="G736" i="4"/>
  <c r="L726" i="4"/>
  <c r="L734" i="4" s="1"/>
  <c r="J727" i="4"/>
  <c r="J735" i="4" s="1"/>
  <c r="H735" i="4"/>
  <c r="L646" i="4"/>
  <c r="J646" i="4"/>
  <c r="I646" i="4"/>
  <c r="H646" i="4"/>
  <c r="K646" i="4"/>
  <c r="M646" i="4"/>
  <c r="L728" i="4"/>
  <c r="L736" i="4" s="1"/>
  <c r="I675" i="14"/>
  <c r="K675" i="14"/>
  <c r="L514" i="14"/>
  <c r="L532" i="14" s="1"/>
  <c r="L640" i="14" s="1"/>
  <c r="I639" i="14"/>
  <c r="M657" i="14"/>
  <c r="N168" i="43"/>
  <c r="N270" i="43" s="1"/>
  <c r="H675" i="14"/>
  <c r="K518" i="14"/>
  <c r="K536" i="14" s="1"/>
  <c r="K662" i="14" s="1"/>
  <c r="K657" i="14"/>
  <c r="M726" i="4"/>
  <c r="M734" i="4" s="1"/>
  <c r="K734" i="4"/>
  <c r="N727" i="4"/>
  <c r="N735" i="4" s="1"/>
  <c r="K735" i="4"/>
  <c r="M727" i="4"/>
  <c r="M735" i="4" s="1"/>
  <c r="H661" i="4"/>
  <c r="G734" i="4"/>
  <c r="I726" i="4"/>
  <c r="N726" i="4"/>
  <c r="L727" i="4"/>
  <c r="L735" i="4" s="1"/>
  <c r="H660" i="4"/>
  <c r="J728" i="4"/>
  <c r="J736" i="4" s="1"/>
  <c r="H736" i="4"/>
  <c r="P644" i="4"/>
  <c r="N647" i="4"/>
  <c r="J726" i="4"/>
  <c r="J734" i="4" s="1"/>
  <c r="H734" i="4"/>
  <c r="J645" i="4"/>
  <c r="K645" i="4"/>
  <c r="H645" i="4"/>
  <c r="M645" i="4"/>
  <c r="L645" i="4"/>
  <c r="I645" i="4"/>
  <c r="G735" i="4"/>
  <c r="I727" i="4"/>
  <c r="I735" i="4" s="1"/>
  <c r="N728" i="4"/>
  <c r="N736" i="4" s="1"/>
  <c r="K728" i="4"/>
  <c r="K736" i="4" s="1"/>
  <c r="M736" i="4"/>
  <c r="G116" i="8"/>
  <c r="G117" i="8" s="1"/>
  <c r="G144" i="8" s="1"/>
  <c r="N80" i="33"/>
  <c r="I115" i="33"/>
  <c r="I104" i="33"/>
  <c r="I103" i="33"/>
  <c r="M175" i="50"/>
  <c r="F79" i="32"/>
  <c r="F119" i="32"/>
  <c r="F78" i="32"/>
  <c r="F175" i="50"/>
  <c r="F109" i="32"/>
  <c r="F110" i="32"/>
  <c r="H561" i="42"/>
  <c r="H569" i="42"/>
  <c r="L76" i="52"/>
  <c r="L74" i="52"/>
  <c r="L114" i="52"/>
  <c r="G119" i="32"/>
  <c r="G78" i="32"/>
  <c r="G79" i="32"/>
  <c r="L110" i="32"/>
  <c r="L109" i="32"/>
  <c r="N114" i="52"/>
  <c r="N74" i="52"/>
  <c r="N76" i="52"/>
  <c r="H564" i="34"/>
  <c r="K104" i="52"/>
  <c r="K103" i="52"/>
  <c r="H116" i="8"/>
  <c r="H117" i="8" s="1"/>
  <c r="H120" i="8"/>
  <c r="N104" i="52"/>
  <c r="I327" i="13"/>
  <c r="I313" i="13"/>
  <c r="I320" i="13"/>
  <c r="I334" i="13"/>
  <c r="I299" i="13"/>
  <c r="I285" i="13"/>
  <c r="I306" i="13"/>
  <c r="I292" i="13"/>
  <c r="M114" i="52"/>
  <c r="M76" i="52"/>
  <c r="M74" i="52"/>
  <c r="G110" i="32"/>
  <c r="G109" i="32"/>
  <c r="J103" i="52"/>
  <c r="J104" i="52"/>
  <c r="G115" i="33"/>
  <c r="G79" i="33"/>
  <c r="G81" i="33" s="1"/>
  <c r="L80" i="33"/>
  <c r="L119" i="32"/>
  <c r="L79" i="32"/>
  <c r="L78" i="32"/>
  <c r="N515" i="14"/>
  <c r="N533" i="14" s="1"/>
  <c r="N677" i="14" s="1"/>
  <c r="H297" i="13"/>
  <c r="H304" i="13"/>
  <c r="H290" i="13"/>
  <c r="H283" i="13"/>
  <c r="F103" i="52"/>
  <c r="F104" i="52"/>
  <c r="K564" i="34"/>
  <c r="G114" i="52"/>
  <c r="G76" i="52"/>
  <c r="G74" i="52"/>
  <c r="J175" i="13"/>
  <c r="I209" i="13"/>
  <c r="AZ388" i="47"/>
  <c r="H79" i="33"/>
  <c r="H81" i="33" s="1"/>
  <c r="I79" i="33"/>
  <c r="I81" i="33" s="1"/>
  <c r="H115" i="33"/>
  <c r="M80" i="33"/>
  <c r="G103" i="33"/>
  <c r="G104" i="33"/>
  <c r="I114" i="8"/>
  <c r="I155" i="8"/>
  <c r="J110" i="8"/>
  <c r="G564" i="34"/>
  <c r="I471" i="34"/>
  <c r="I582" i="34" s="1"/>
  <c r="J368" i="34"/>
  <c r="H76" i="52"/>
  <c r="H74" i="52"/>
  <c r="H114" i="52"/>
  <c r="K110" i="32"/>
  <c r="K109" i="32"/>
  <c r="F76" i="52"/>
  <c r="F114" i="52"/>
  <c r="K114" i="52"/>
  <c r="K76" i="52"/>
  <c r="K74" i="52"/>
  <c r="J564" i="34"/>
  <c r="AZ412" i="47"/>
  <c r="BF419" i="47" s="1"/>
  <c r="BH419" i="47" s="1"/>
  <c r="BI419" i="47" s="1"/>
  <c r="G103" i="52"/>
  <c r="G104" i="52"/>
  <c r="L104" i="52"/>
  <c r="L103" i="52"/>
  <c r="G156" i="8"/>
  <c r="G131" i="8"/>
  <c r="G126" i="8"/>
  <c r="G136" i="8"/>
  <c r="M103" i="52"/>
  <c r="M104" i="52"/>
  <c r="H104" i="33"/>
  <c r="H103" i="33"/>
  <c r="L104" i="33"/>
  <c r="J114" i="52"/>
  <c r="J76" i="52"/>
  <c r="H104" i="52"/>
  <c r="H103" i="52"/>
  <c r="K119" i="32"/>
  <c r="K79" i="32"/>
  <c r="K78" i="32"/>
  <c r="L216" i="43"/>
  <c r="M517" i="14"/>
  <c r="M535" i="14" s="1"/>
  <c r="M516" i="14"/>
  <c r="M534" i="14" s="1"/>
  <c r="J520" i="14"/>
  <c r="J538" i="14" s="1"/>
  <c r="F517" i="14"/>
  <c r="F535" i="14" s="1"/>
  <c r="G553" i="14" s="1"/>
  <c r="J470" i="34"/>
  <c r="G239" i="7"/>
  <c r="G204" i="7"/>
  <c r="G206" i="7" s="1"/>
  <c r="G208" i="7" s="1"/>
  <c r="J118" i="6"/>
  <c r="I122" i="6"/>
  <c r="I177" i="6"/>
  <c r="H524" i="14"/>
  <c r="H542" i="14" s="1"/>
  <c r="K522" i="14"/>
  <c r="K540" i="14" s="1"/>
  <c r="I659" i="4"/>
  <c r="M470" i="34"/>
  <c r="M514" i="14"/>
  <c r="M532" i="14" s="1"/>
  <c r="I656" i="4"/>
  <c r="H522" i="14"/>
  <c r="H540" i="14" s="1"/>
  <c r="J522" i="14"/>
  <c r="J540" i="14" s="1"/>
  <c r="F522" i="14"/>
  <c r="F540" i="14" s="1"/>
  <c r="G557" i="14" s="1"/>
  <c r="H523" i="14"/>
  <c r="H541" i="14" s="1"/>
  <c r="H679" i="4"/>
  <c r="H697" i="4"/>
  <c r="K216" i="43"/>
  <c r="L516" i="14"/>
  <c r="L534" i="14" s="1"/>
  <c r="H516" i="14"/>
  <c r="H534" i="14" s="1"/>
  <c r="K517" i="14"/>
  <c r="K535" i="14" s="1"/>
  <c r="G148" i="9"/>
  <c r="J216" i="43"/>
  <c r="F516" i="14"/>
  <c r="F534" i="14" s="1"/>
  <c r="G552" i="14" s="1"/>
  <c r="I470" i="34"/>
  <c r="I516" i="14"/>
  <c r="I534" i="14" s="1"/>
  <c r="N470" i="34"/>
  <c r="K520" i="14"/>
  <c r="K538" i="14" s="1"/>
  <c r="N516" i="14"/>
  <c r="N534" i="14" s="1"/>
  <c r="M515" i="14"/>
  <c r="M533" i="14" s="1"/>
  <c r="M520" i="14"/>
  <c r="M538" i="14" s="1"/>
  <c r="G517" i="14"/>
  <c r="G535" i="14" s="1"/>
  <c r="H694" i="4"/>
  <c r="H676" i="4"/>
  <c r="L470" i="34"/>
  <c r="L517" i="14"/>
  <c r="L535" i="14" s="1"/>
  <c r="H517" i="14"/>
  <c r="H535" i="14" s="1"/>
  <c r="I169" i="7"/>
  <c r="H217" i="7"/>
  <c r="H248" i="7"/>
  <c r="K470" i="34"/>
  <c r="I517" i="14"/>
  <c r="I535" i="14" s="1"/>
  <c r="N540" i="14"/>
  <c r="H685" i="4"/>
  <c r="H703" i="4"/>
  <c r="I658" i="4"/>
  <c r="J517" i="14"/>
  <c r="J535" i="14" s="1"/>
  <c r="I167" i="7"/>
  <c r="H188" i="7"/>
  <c r="H236" i="7"/>
  <c r="H170" i="7"/>
  <c r="H335" i="7" s="1"/>
  <c r="K169" i="43"/>
  <c r="K271" i="43" s="1"/>
  <c r="K168" i="43"/>
  <c r="K270" i="43" s="1"/>
  <c r="K170" i="43"/>
  <c r="K272" i="43" s="1"/>
  <c r="K167" i="43"/>
  <c r="K269" i="43" s="1"/>
  <c r="G520" i="14"/>
  <c r="G538" i="14" s="1"/>
  <c r="I520" i="14"/>
  <c r="I538" i="14" s="1"/>
  <c r="G218" i="7"/>
  <c r="G220" i="7" s="1"/>
  <c r="G222" i="7" s="1"/>
  <c r="G225" i="7" s="1"/>
  <c r="G224" i="7" s="1"/>
  <c r="G245" i="7"/>
  <c r="G229" i="7"/>
  <c r="H124" i="6"/>
  <c r="H125" i="6" s="1"/>
  <c r="H130" i="6" s="1"/>
  <c r="H138" i="6"/>
  <c r="L522" i="14"/>
  <c r="L540" i="14" s="1"/>
  <c r="H470" i="34"/>
  <c r="H434" i="34"/>
  <c r="N520" i="14"/>
  <c r="N538" i="14" s="1"/>
  <c r="I665" i="4"/>
  <c r="H686" i="4"/>
  <c r="H704" i="4"/>
  <c r="J516" i="14"/>
  <c r="J534" i="14" s="1"/>
  <c r="G337" i="7"/>
  <c r="H520" i="14"/>
  <c r="H538" i="14" s="1"/>
  <c r="G522" i="14"/>
  <c r="G540" i="14" s="1"/>
  <c r="I522" i="14"/>
  <c r="I540" i="14" s="1"/>
  <c r="K516" i="14"/>
  <c r="K534" i="14" s="1"/>
  <c r="F520" i="14"/>
  <c r="F538" i="14" s="1"/>
  <c r="G556" i="14" s="1"/>
  <c r="K336" i="17"/>
  <c r="I168" i="7"/>
  <c r="H203" i="7"/>
  <c r="H242" i="7"/>
  <c r="G131" i="6"/>
  <c r="G168" i="6" s="1"/>
  <c r="G165" i="6"/>
  <c r="H179" i="6"/>
  <c r="L520" i="14"/>
  <c r="L538" i="14" s="1"/>
  <c r="N517" i="14"/>
  <c r="N535" i="14" s="1"/>
  <c r="G470" i="34"/>
  <c r="G581" i="34" s="1"/>
  <c r="N216" i="43"/>
  <c r="M522" i="14"/>
  <c r="M540" i="14" s="1"/>
  <c r="G516" i="14"/>
  <c r="G534" i="14" s="1"/>
  <c r="G189" i="7"/>
  <c r="G191" i="7" s="1"/>
  <c r="G193" i="7" s="1"/>
  <c r="G196" i="7" s="1"/>
  <c r="G195" i="7" s="1"/>
  <c r="G233" i="7"/>
  <c r="N687" i="4"/>
  <c r="J168" i="43"/>
  <c r="J270" i="43" s="1"/>
  <c r="J167" i="43"/>
  <c r="J269" i="43" s="1"/>
  <c r="G1058" i="4" l="1"/>
  <c r="G112" i="30"/>
  <c r="G113" i="30" s="1"/>
  <c r="G417" i="17"/>
  <c r="K91" i="18"/>
  <c r="G119" i="12"/>
  <c r="G132" i="12" s="1"/>
  <c r="G184" i="12" s="1"/>
  <c r="H168" i="16"/>
  <c r="N122" i="61"/>
  <c r="L415" i="15"/>
  <c r="F590" i="17"/>
  <c r="F593" i="17" s="1" a="1"/>
  <c r="J87" i="30"/>
  <c r="G413" i="15"/>
  <c r="M378" i="42"/>
  <c r="M382" i="42" s="1"/>
  <c r="M546" i="42" s="1"/>
  <c r="H1048" i="4" a="1"/>
  <c r="G1055" i="4"/>
  <c r="K129" i="18"/>
  <c r="K509" i="15"/>
  <c r="L413" i="15"/>
  <c r="K158" i="12" a="1"/>
  <c r="G1054" i="4"/>
  <c r="K77" i="33"/>
  <c r="K113" i="33" s="1"/>
  <c r="K104" i="33"/>
  <c r="K105" i="33" s="1"/>
  <c r="H129" i="18"/>
  <c r="L119" i="12"/>
  <c r="L132" i="12" s="1"/>
  <c r="K438" i="15"/>
  <c r="G382" i="17" a="1"/>
  <c r="G385" i="17" s="1"/>
  <c r="M92" i="16"/>
  <c r="M101" i="16" s="1"/>
  <c r="M168" i="16" s="1"/>
  <c r="G1122" i="4"/>
  <c r="G1121" i="4"/>
  <c r="G1123" i="4"/>
  <c r="G1125" i="4"/>
  <c r="G1119" i="4"/>
  <c r="G1129" i="4"/>
  <c r="G1128" i="4"/>
  <c r="G1131" i="4"/>
  <c r="G1127" i="4"/>
  <c r="G1124" i="4"/>
  <c r="G1120" i="4"/>
  <c r="G1130" i="4"/>
  <c r="G1126" i="4"/>
  <c r="G700" i="4"/>
  <c r="G682" i="4"/>
  <c r="G683" i="4"/>
  <c r="G701" i="4"/>
  <c r="G710" i="4"/>
  <c r="G692" i="4"/>
  <c r="G674" i="4"/>
  <c r="H692" i="4" s="1"/>
  <c r="I634" i="4"/>
  <c r="H662" i="4"/>
  <c r="G675" i="4"/>
  <c r="G693" i="4"/>
  <c r="G678" i="4"/>
  <c r="H696" i="4" s="1"/>
  <c r="G696" i="4"/>
  <c r="I626" i="4"/>
  <c r="H639" i="4"/>
  <c r="I627" i="4"/>
  <c r="J627" i="4" s="1"/>
  <c r="K627" i="4" s="1"/>
  <c r="L627" i="4" s="1"/>
  <c r="M627" i="4" s="1"/>
  <c r="H655" i="4"/>
  <c r="L376" i="42"/>
  <c r="L381" i="42" s="1"/>
  <c r="L547" i="42" s="1"/>
  <c r="I119" i="12"/>
  <c r="I132" i="12" s="1"/>
  <c r="I184" i="12" s="1"/>
  <c r="N412" i="15"/>
  <c r="I439" i="15"/>
  <c r="M508" i="15"/>
  <c r="H413" i="15"/>
  <c r="K186" i="10"/>
  <c r="F405" i="34"/>
  <c r="F406" i="34" s="1"/>
  <c r="M131" i="12"/>
  <c r="M183" i="12" s="1"/>
  <c r="H389" i="17"/>
  <c r="J415" i="17" a="1"/>
  <c r="H391" i="17"/>
  <c r="L184" i="13"/>
  <c r="L235" i="13" s="1"/>
  <c r="L272" i="13" s="1"/>
  <c r="N119" i="12"/>
  <c r="N132" i="12" s="1"/>
  <c r="N184" i="12" s="1"/>
  <c r="AZ440" i="47" s="1"/>
  <c r="L77" i="33"/>
  <c r="L113" i="33" s="1"/>
  <c r="M103" i="61"/>
  <c r="M123" i="61" s="1"/>
  <c r="N423" i="15"/>
  <c r="J184" i="13"/>
  <c r="J235" i="13" s="1"/>
  <c r="J270" i="13" s="1"/>
  <c r="K184" i="13"/>
  <c r="K235" i="13" s="1"/>
  <c r="K271" i="13" s="1"/>
  <c r="L76" i="33"/>
  <c r="K173" i="50"/>
  <c r="K121" i="50" s="1"/>
  <c r="K174" i="50"/>
  <c r="F508" i="15"/>
  <c r="I92" i="16"/>
  <c r="I101" i="16" s="1"/>
  <c r="I127" i="16" s="1"/>
  <c r="H702" i="4"/>
  <c r="H184" i="13"/>
  <c r="H235" i="13" s="1"/>
  <c r="N184" i="13"/>
  <c r="N235" i="13" s="1"/>
  <c r="N268" i="13" s="1"/>
  <c r="M91" i="18"/>
  <c r="M184" i="13"/>
  <c r="M235" i="13" s="1"/>
  <c r="M268" i="13" s="1"/>
  <c r="M275" i="13" s="1"/>
  <c r="G184" i="13"/>
  <c r="G235" i="13" s="1"/>
  <c r="J378" i="42"/>
  <c r="J382" i="42" s="1"/>
  <c r="J546" i="42" s="1"/>
  <c r="J103" i="33"/>
  <c r="I438" i="15"/>
  <c r="I440" i="15" s="1"/>
  <c r="K87" i="32"/>
  <c r="J77" i="33"/>
  <c r="J113" i="33" s="1"/>
  <c r="N509" i="15"/>
  <c r="N415" i="15"/>
  <c r="M424" i="15"/>
  <c r="I208" i="43"/>
  <c r="N434" i="34"/>
  <c r="I434" i="34"/>
  <c r="J434" i="34"/>
  <c r="H104" i="16"/>
  <c r="H136" i="16" s="1"/>
  <c r="I412" i="15"/>
  <c r="N131" i="12"/>
  <c r="N156" i="12" s="1" a="1"/>
  <c r="H171" i="16"/>
  <c r="L438" i="15"/>
  <c r="L440" i="15" s="1"/>
  <c r="J76" i="33"/>
  <c r="J115" i="33" s="1"/>
  <c r="H415" i="15"/>
  <c r="N508" i="15"/>
  <c r="N410" i="15"/>
  <c r="N421" i="15" s="1"/>
  <c r="N452" i="34"/>
  <c r="G434" i="34"/>
  <c r="K434" i="34"/>
  <c r="L434" i="34"/>
  <c r="M434" i="34"/>
  <c r="M183" i="13"/>
  <c r="H106" i="16"/>
  <c r="H138" i="16" s="1"/>
  <c r="L412" i="15"/>
  <c r="H110" i="16"/>
  <c r="G98" i="61"/>
  <c r="G103" i="61" s="1"/>
  <c r="G123" i="61" s="1"/>
  <c r="H508" i="15"/>
  <c r="N438" i="15"/>
  <c r="N440" i="15" s="1"/>
  <c r="N507" i="15"/>
  <c r="M413" i="15"/>
  <c r="F131" i="12"/>
  <c r="F183" i="12" s="1"/>
  <c r="F700" i="14"/>
  <c r="F693" i="14"/>
  <c r="F702" i="14"/>
  <c r="F697" i="14"/>
  <c r="F696" i="14"/>
  <c r="F699" i="14"/>
  <c r="F703" i="14"/>
  <c r="F704" i="14"/>
  <c r="F701" i="14"/>
  <c r="F694" i="14"/>
  <c r="F698" i="14"/>
  <c r="F695" i="14"/>
  <c r="J92" i="16"/>
  <c r="J101" i="16" s="1"/>
  <c r="J126" i="16" s="1"/>
  <c r="G384" i="17"/>
  <c r="G629" i="17" s="1"/>
  <c r="M112" i="30"/>
  <c r="M113" i="30" s="1"/>
  <c r="F385" i="17"/>
  <c r="G383" i="17"/>
  <c r="G207" i="43"/>
  <c r="J377" i="42"/>
  <c r="H103" i="61"/>
  <c r="H123" i="61" s="1"/>
  <c r="I70" i="13"/>
  <c r="F185" i="13" s="1"/>
  <c r="F236" i="13" s="1"/>
  <c r="G605" i="17"/>
  <c r="G597" i="17"/>
  <c r="G593" i="17"/>
  <c r="G604" i="17"/>
  <c r="G596" i="17"/>
  <c r="G594" i="17"/>
  <c r="G603" i="17"/>
  <c r="G595" i="17"/>
  <c r="G600" i="17"/>
  <c r="G602" i="17"/>
  <c r="G599" i="17"/>
  <c r="G601" i="17"/>
  <c r="G598" i="17"/>
  <c r="J186" i="10"/>
  <c r="H183" i="13"/>
  <c r="I183" i="13"/>
  <c r="I234" i="13" s="1"/>
  <c r="I122" i="30"/>
  <c r="F1053" i="4"/>
  <c r="F1049" i="4"/>
  <c r="F1054" i="4"/>
  <c r="L91" i="18"/>
  <c r="I129" i="18"/>
  <c r="G160" i="43"/>
  <c r="G227" i="43" s="1"/>
  <c r="G508" i="15"/>
  <c r="F410" i="15"/>
  <c r="F421" i="15" s="1"/>
  <c r="F425" i="15" s="1"/>
  <c r="K415" i="15"/>
  <c r="G452" i="34"/>
  <c r="F415" i="15"/>
  <c r="G391" i="17"/>
  <c r="G390" i="17"/>
  <c r="G389" i="17"/>
  <c r="K92" i="16"/>
  <c r="K101" i="16" s="1"/>
  <c r="K126" i="16" s="1"/>
  <c r="G210" i="43"/>
  <c r="G170" i="43" s="1"/>
  <c r="G272" i="43" s="1"/>
  <c r="G183" i="13"/>
  <c r="G234" i="13" s="1"/>
  <c r="J183" i="13"/>
  <c r="F234" i="13"/>
  <c r="G159" i="43"/>
  <c r="G226" i="43" s="1"/>
  <c r="F1056" i="4"/>
  <c r="F1058" i="4"/>
  <c r="F1057" i="4"/>
  <c r="L98" i="61"/>
  <c r="L103" i="61" s="1"/>
  <c r="L123" i="61" s="1"/>
  <c r="L129" i="18"/>
  <c r="H122" i="61"/>
  <c r="J129" i="18"/>
  <c r="K508" i="15"/>
  <c r="F451" i="34"/>
  <c r="L451" i="34" s="1"/>
  <c r="F453" i="34"/>
  <c r="G453" i="34" s="1"/>
  <c r="G392" i="17"/>
  <c r="G387" i="17"/>
  <c r="G386" i="17"/>
  <c r="K413" i="15"/>
  <c r="G377" i="42"/>
  <c r="L183" i="13"/>
  <c r="F1052" i="4"/>
  <c r="F1072" i="4" s="1" a="1"/>
  <c r="F1072" i="4" s="1"/>
  <c r="F1059" i="4"/>
  <c r="F1048" i="4"/>
  <c r="M129" i="18"/>
  <c r="J91" i="18"/>
  <c r="G382" i="17"/>
  <c r="I357" i="34"/>
  <c r="I469" i="34" s="1"/>
  <c r="H472" i="34"/>
  <c r="L92" i="16"/>
  <c r="L101" i="16" s="1"/>
  <c r="L171" i="16" s="1"/>
  <c r="H430" i="17" a="1"/>
  <c r="H430" i="17" s="1"/>
  <c r="H443" i="17" s="1"/>
  <c r="J376" i="42"/>
  <c r="G92" i="16"/>
  <c r="G101" i="16" s="1"/>
  <c r="G110" i="16" s="1"/>
  <c r="N76" i="57"/>
  <c r="I159" i="43"/>
  <c r="I226" i="43" s="1"/>
  <c r="I207" i="43"/>
  <c r="I210" i="43"/>
  <c r="I168" i="43" s="1"/>
  <c r="I270" i="43" s="1"/>
  <c r="F167" i="43"/>
  <c r="F269" i="43" s="1"/>
  <c r="F168" i="43"/>
  <c r="F270" i="43" s="1"/>
  <c r="K65" i="13"/>
  <c r="L156" i="12" a="1"/>
  <c r="K68" i="13"/>
  <c r="K69" i="13"/>
  <c r="K156" i="12" a="1"/>
  <c r="G1052" i="4"/>
  <c r="G1056" i="4"/>
  <c r="G1048" i="4"/>
  <c r="AZ377" i="47"/>
  <c r="BF400" i="47" s="1"/>
  <c r="BH400" i="47" s="1"/>
  <c r="BI400" i="47" s="1"/>
  <c r="G1050" i="4"/>
  <c r="G1057" i="4"/>
  <c r="G1059" i="4"/>
  <c r="N352" i="17"/>
  <c r="N629" i="17" s="1"/>
  <c r="N355" i="17"/>
  <c r="N360" i="17"/>
  <c r="F383" i="17"/>
  <c r="I657" i="4"/>
  <c r="F207" i="43"/>
  <c r="F216" i="43" s="1"/>
  <c r="K66" i="13"/>
  <c r="F191" i="13"/>
  <c r="H191" i="13" s="1"/>
  <c r="L158" i="12" a="1"/>
  <c r="F192" i="13"/>
  <c r="F194" i="13"/>
  <c r="H194" i="13" s="1"/>
  <c r="G1053" i="4"/>
  <c r="G1060" i="4"/>
  <c r="N77" i="57"/>
  <c r="J157" i="12" a="1"/>
  <c r="J157" i="12" s="1"/>
  <c r="J194" i="12" s="1"/>
  <c r="N111" i="30"/>
  <c r="AZ414" i="47" s="1"/>
  <c r="BF392" i="47" s="1"/>
  <c r="BH392" i="47" s="1"/>
  <c r="BI392" i="47" s="1"/>
  <c r="K87" i="30"/>
  <c r="M87" i="30"/>
  <c r="L87" i="30"/>
  <c r="N382" i="17"/>
  <c r="J452" i="34"/>
  <c r="M452" i="34"/>
  <c r="K452" i="34"/>
  <c r="L452" i="34"/>
  <c r="M405" i="34"/>
  <c r="M406" i="34" s="1"/>
  <c r="I452" i="34"/>
  <c r="N393" i="17"/>
  <c r="N92" i="16"/>
  <c r="N101" i="16" s="1"/>
  <c r="F445" i="34"/>
  <c r="G388" i="17"/>
  <c r="G393" i="17"/>
  <c r="G394" i="17"/>
  <c r="L440" i="34"/>
  <c r="N440" i="34"/>
  <c r="F440" i="34"/>
  <c r="H440" i="34"/>
  <c r="H446" i="34" s="1"/>
  <c r="H567" i="34" s="1"/>
  <c r="I440" i="34"/>
  <c r="K440" i="34"/>
  <c r="K446" i="34" s="1"/>
  <c r="K567" i="34" s="1"/>
  <c r="M440" i="34"/>
  <c r="J440" i="34"/>
  <c r="G440" i="34"/>
  <c r="H424" i="17" a="1"/>
  <c r="H424" i="17" s="1"/>
  <c r="H437" i="17" s="1"/>
  <c r="H359" i="17"/>
  <c r="H355" i="17"/>
  <c r="H362" i="17"/>
  <c r="H350" i="17"/>
  <c r="G182" i="13"/>
  <c r="G233" i="13" s="1"/>
  <c r="H405" i="34"/>
  <c r="H406" i="34" s="1"/>
  <c r="H568" i="34"/>
  <c r="G568" i="34"/>
  <c r="G405" i="34"/>
  <c r="G406" i="34" s="1"/>
  <c r="H427" i="17" a="1"/>
  <c r="H427" i="17" s="1"/>
  <c r="H440" i="17" s="1"/>
  <c r="F352" i="17"/>
  <c r="N359" i="17"/>
  <c r="N357" i="17"/>
  <c r="N388" i="17"/>
  <c r="N387" i="17"/>
  <c r="N389" i="17"/>
  <c r="N385" i="17"/>
  <c r="N630" i="17" s="1"/>
  <c r="H422" i="17" a="1"/>
  <c r="H422" i="17" s="1"/>
  <c r="H435" i="17" s="1"/>
  <c r="H536" i="17" s="1"/>
  <c r="H429" i="17" a="1"/>
  <c r="H429" i="17" s="1"/>
  <c r="F393" i="17"/>
  <c r="F392" i="17"/>
  <c r="F637" i="17" s="1"/>
  <c r="F382" i="17"/>
  <c r="N362" i="17"/>
  <c r="N356" i="17"/>
  <c r="H158" i="12" a="1"/>
  <c r="H158" i="12" s="1"/>
  <c r="H195" i="12" s="1"/>
  <c r="N358" i="17"/>
  <c r="H418" i="17"/>
  <c r="N392" i="17"/>
  <c r="N386" i="17"/>
  <c r="L157" i="12" a="1"/>
  <c r="N394" i="17"/>
  <c r="H426" i="17" a="1"/>
  <c r="H426" i="17" s="1"/>
  <c r="H439" i="17" s="1"/>
  <c r="H423" i="17" a="1"/>
  <c r="H423" i="17" s="1"/>
  <c r="H436" i="17" s="1"/>
  <c r="F386" i="17"/>
  <c r="N361" i="17"/>
  <c r="F354" i="17"/>
  <c r="N351" i="17"/>
  <c r="N354" i="17"/>
  <c r="N350" i="17"/>
  <c r="N383" i="17"/>
  <c r="N390" i="17"/>
  <c r="N391" i="17"/>
  <c r="H425" i="17" a="1"/>
  <c r="H425" i="17" s="1"/>
  <c r="H438" i="17" s="1"/>
  <c r="H428" i="17" a="1"/>
  <c r="H428" i="17" s="1"/>
  <c r="F391" i="17"/>
  <c r="F596" i="17"/>
  <c r="H126" i="16"/>
  <c r="H128" i="16" s="1"/>
  <c r="H207" i="43"/>
  <c r="H170" i="16"/>
  <c r="M182" i="13"/>
  <c r="M233" i="13" s="1"/>
  <c r="M256" i="13" s="1"/>
  <c r="K157" i="12" a="1"/>
  <c r="K157" i="12" s="1"/>
  <c r="K194" i="12" s="1"/>
  <c r="J182" i="13"/>
  <c r="J233" i="13" s="1"/>
  <c r="J254" i="13" s="1"/>
  <c r="J274" i="13" s="1"/>
  <c r="L182" i="13"/>
  <c r="L233" i="13" s="1"/>
  <c r="L254" i="13" s="1"/>
  <c r="L274" i="13" s="1"/>
  <c r="H105" i="16"/>
  <c r="H137" i="16" s="1"/>
  <c r="H169" i="16"/>
  <c r="H161" i="43"/>
  <c r="H228" i="43" s="1"/>
  <c r="I230" i="10"/>
  <c r="I233" i="10" s="1"/>
  <c r="J230" i="10"/>
  <c r="J214" i="10"/>
  <c r="F594" i="17"/>
  <c r="F595" i="17"/>
  <c r="F604" i="17"/>
  <c r="I79" i="32"/>
  <c r="N86" i="32"/>
  <c r="N87" i="32" s="1"/>
  <c r="I216" i="10"/>
  <c r="I214" i="10"/>
  <c r="N185" i="10"/>
  <c r="N186" i="10" s="1"/>
  <c r="I119" i="32"/>
  <c r="J106" i="16"/>
  <c r="J138" i="16" s="1"/>
  <c r="J78" i="32"/>
  <c r="H159" i="43"/>
  <c r="H226" i="43" s="1"/>
  <c r="H210" i="43"/>
  <c r="H167" i="43" s="1"/>
  <c r="H269" i="43" s="1"/>
  <c r="J171" i="16"/>
  <c r="N87" i="30"/>
  <c r="I83" i="32"/>
  <c r="I86" i="32" s="1"/>
  <c r="J79" i="32"/>
  <c r="K112" i="30"/>
  <c r="K113" i="30" s="1"/>
  <c r="I71" i="32"/>
  <c r="I109" i="32" s="1"/>
  <c r="H710" i="4"/>
  <c r="H711" i="4" s="1"/>
  <c r="L568" i="34"/>
  <c r="J216" i="10"/>
  <c r="I258" i="10"/>
  <c r="F602" i="17"/>
  <c r="F390" i="17"/>
  <c r="F635" i="17" s="1"/>
  <c r="F389" i="17"/>
  <c r="F388" i="17"/>
  <c r="F384" i="17"/>
  <c r="F394" i="17"/>
  <c r="F169" i="43"/>
  <c r="F271" i="43" s="1"/>
  <c r="F170" i="43"/>
  <c r="F272" i="43" s="1"/>
  <c r="M480" i="34"/>
  <c r="M583" i="34" s="1"/>
  <c r="F605" i="17"/>
  <c r="F593" i="17"/>
  <c r="F601" i="17"/>
  <c r="F599" i="17"/>
  <c r="F598" i="17"/>
  <c r="F603" i="17"/>
  <c r="F597" i="17"/>
  <c r="F600" i="17"/>
  <c r="F170" i="16"/>
  <c r="F105" i="16"/>
  <c r="F137" i="16" s="1"/>
  <c r="F110" i="16"/>
  <c r="K170" i="16"/>
  <c r="G156" i="12" a="1"/>
  <c r="G156" i="12" s="1"/>
  <c r="G193" i="12" s="1"/>
  <c r="J170" i="16"/>
  <c r="J110" i="16"/>
  <c r="G354" i="17"/>
  <c r="H387" i="17"/>
  <c r="H390" i="17"/>
  <c r="H635" i="17" s="1"/>
  <c r="H388" i="17"/>
  <c r="H633" i="17" s="1"/>
  <c r="H393" i="17"/>
  <c r="H638" i="17" s="1"/>
  <c r="N416" i="17"/>
  <c r="G351" i="17"/>
  <c r="G350" i="17"/>
  <c r="G627" i="17" s="1"/>
  <c r="K127" i="16"/>
  <c r="K128" i="16" s="1"/>
  <c r="N415" i="17"/>
  <c r="N659" i="17" s="1"/>
  <c r="J169" i="16"/>
  <c r="K104" i="16"/>
  <c r="K136" i="16" s="1"/>
  <c r="F233" i="13"/>
  <c r="N182" i="13"/>
  <c r="N233" i="13" s="1"/>
  <c r="N257" i="13" s="1"/>
  <c r="K182" i="13"/>
  <c r="K233" i="13" s="1"/>
  <c r="K257" i="13" s="1"/>
  <c r="H182" i="13"/>
  <c r="H233" i="13" s="1"/>
  <c r="K110" i="16"/>
  <c r="G359" i="17"/>
  <c r="H394" i="17"/>
  <c r="AK27" i="31"/>
  <c r="F18" i="48" s="1"/>
  <c r="AK62" i="19"/>
  <c r="AK62" i="31" s="1"/>
  <c r="AM27" i="19"/>
  <c r="AM27" i="31" s="1"/>
  <c r="G126" i="16"/>
  <c r="G361" i="17"/>
  <c r="G357" i="17"/>
  <c r="G634" i="17" s="1"/>
  <c r="G362" i="17"/>
  <c r="H385" i="17"/>
  <c r="H630" i="17" s="1"/>
  <c r="G358" i="17"/>
  <c r="G355" i="17"/>
  <c r="H382" i="17"/>
  <c r="G356" i="17"/>
  <c r="G353" i="17"/>
  <c r="G630" i="17" s="1"/>
  <c r="G360" i="17"/>
  <c r="G637" i="17" s="1"/>
  <c r="J158" i="12" a="1"/>
  <c r="F362" i="17"/>
  <c r="F350" i="17"/>
  <c r="F168" i="16"/>
  <c r="F171" i="16"/>
  <c r="I415" i="17"/>
  <c r="I659" i="17" s="1"/>
  <c r="I660" i="17" s="1"/>
  <c r="F106" i="16"/>
  <c r="F138" i="16" s="1"/>
  <c r="F355" i="17"/>
  <c r="F632" i="17" s="1"/>
  <c r="F359" i="17"/>
  <c r="F361" i="17"/>
  <c r="F126" i="16"/>
  <c r="F128" i="16" s="1"/>
  <c r="F169" i="16"/>
  <c r="J156" i="12" a="1"/>
  <c r="I416" i="17"/>
  <c r="F104" i="16"/>
  <c r="F136" i="16" s="1"/>
  <c r="F356" i="17"/>
  <c r="F353" i="17"/>
  <c r="F630" i="17" s="1"/>
  <c r="F351" i="17"/>
  <c r="F357" i="17"/>
  <c r="H631" i="17"/>
  <c r="I254" i="13"/>
  <c r="I274" i="13" s="1"/>
  <c r="I258" i="13"/>
  <c r="I257" i="13"/>
  <c r="I256" i="13"/>
  <c r="I255" i="13"/>
  <c r="J415" i="17"/>
  <c r="J417" i="17"/>
  <c r="H593" i="17" a="1"/>
  <c r="H593" i="17" s="1"/>
  <c r="L28" i="31"/>
  <c r="L8" i="19"/>
  <c r="L62" i="19"/>
  <c r="F426" i="17" a="1"/>
  <c r="F426" i="17" s="1"/>
  <c r="F439" i="17" s="1"/>
  <c r="F430" i="17" a="1"/>
  <c r="F430" i="17" s="1"/>
  <c r="F443" i="17" s="1"/>
  <c r="F423" i="17" a="1"/>
  <c r="F423" i="17" s="1"/>
  <c r="F436" i="17" s="1"/>
  <c r="F427" i="17" a="1"/>
  <c r="F427" i="17" s="1"/>
  <c r="F440" i="17" s="1"/>
  <c r="F422" i="17" a="1"/>
  <c r="F422" i="17" s="1"/>
  <c r="F424" i="17" a="1"/>
  <c r="F424" i="17" s="1"/>
  <c r="F437" i="17" s="1"/>
  <c r="F428" i="17" a="1"/>
  <c r="F428" i="17" s="1"/>
  <c r="F425" i="17" a="1"/>
  <c r="F425" i="17" s="1"/>
  <c r="F438" i="17" s="1"/>
  <c r="F429" i="17" a="1"/>
  <c r="F429" i="17" s="1"/>
  <c r="G429" i="17" a="1"/>
  <c r="G429" i="17" s="1"/>
  <c r="G426" i="17" a="1"/>
  <c r="G426" i="17" s="1"/>
  <c r="G439" i="17" s="1"/>
  <c r="G422" i="17" a="1"/>
  <c r="G422" i="17" s="1"/>
  <c r="G428" i="17" a="1"/>
  <c r="G428" i="17" s="1"/>
  <c r="G424" i="17" a="1"/>
  <c r="G430" i="17" a="1"/>
  <c r="G430" i="17" s="1"/>
  <c r="G443" i="17" s="1"/>
  <c r="G425" i="17" a="1"/>
  <c r="G425" i="17" s="1"/>
  <c r="G438" i="17" s="1"/>
  <c r="G427" i="17" a="1"/>
  <c r="G427" i="17" s="1"/>
  <c r="G440" i="17" s="1"/>
  <c r="G423" i="17" a="1"/>
  <c r="G423" i="17" s="1"/>
  <c r="G436" i="17" s="1"/>
  <c r="G157" i="12" a="1"/>
  <c r="G157" i="12" s="1"/>
  <c r="G194" i="12" s="1"/>
  <c r="N593" i="17" a="1"/>
  <c r="N602" i="17" s="1"/>
  <c r="H384" i="17"/>
  <c r="H629" i="17" s="1"/>
  <c r="AM29" i="31"/>
  <c r="AM28" i="19"/>
  <c r="AM28" i="31" s="1"/>
  <c r="F377" i="24"/>
  <c r="I655" i="4"/>
  <c r="J79" i="33"/>
  <c r="J81" i="33" s="1"/>
  <c r="G410" i="15"/>
  <c r="G421" i="15" s="1"/>
  <c r="G425" i="15" s="1"/>
  <c r="H283" i="15"/>
  <c r="K182" i="12"/>
  <c r="K158" i="12"/>
  <c r="K195" i="12" s="1"/>
  <c r="K184" i="12"/>
  <c r="K156" i="12"/>
  <c r="K193" i="12" s="1"/>
  <c r="N502" i="17"/>
  <c r="N559" i="14"/>
  <c r="N576" i="14" s="1"/>
  <c r="N612" i="14" s="1"/>
  <c r="L560" i="14"/>
  <c r="L577" i="14" s="1"/>
  <c r="L632" i="14" s="1"/>
  <c r="G714" i="14"/>
  <c r="N639" i="17"/>
  <c r="G377" i="34"/>
  <c r="G426" i="34" s="1"/>
  <c r="G428" i="34" s="1"/>
  <c r="N636" i="17"/>
  <c r="G713" i="14"/>
  <c r="G719" i="14"/>
  <c r="G709" i="14"/>
  <c r="G710" i="14"/>
  <c r="G718" i="14"/>
  <c r="G715" i="14"/>
  <c r="K710" i="14"/>
  <c r="K714" i="14"/>
  <c r="K718" i="14"/>
  <c r="K709" i="14"/>
  <c r="K713" i="14"/>
  <c r="K717" i="14"/>
  <c r="K712" i="14"/>
  <c r="K716" i="14"/>
  <c r="K720" i="14"/>
  <c r="K711" i="14"/>
  <c r="K715" i="14"/>
  <c r="K719" i="14"/>
  <c r="F709" i="14"/>
  <c r="F713" i="14"/>
  <c r="F717" i="14"/>
  <c r="F712" i="14"/>
  <c r="F716" i="14"/>
  <c r="F720" i="14"/>
  <c r="F711" i="14"/>
  <c r="F715" i="14"/>
  <c r="F719" i="14"/>
  <c r="F710" i="14"/>
  <c r="F714" i="14"/>
  <c r="F718" i="14"/>
  <c r="G717" i="14"/>
  <c r="H299" i="15"/>
  <c r="H300" i="15"/>
  <c r="H298" i="15"/>
  <c r="N298" i="15"/>
  <c r="N299" i="15"/>
  <c r="N414" i="15"/>
  <c r="N300" i="15"/>
  <c r="L299" i="15"/>
  <c r="L300" i="15"/>
  <c r="L298" i="15"/>
  <c r="G299" i="15"/>
  <c r="G300" i="15"/>
  <c r="G414" i="15"/>
  <c r="G298" i="15"/>
  <c r="M299" i="15"/>
  <c r="M298" i="15"/>
  <c r="M300" i="15"/>
  <c r="I299" i="15"/>
  <c r="I298" i="15"/>
  <c r="I300" i="15"/>
  <c r="K299" i="15"/>
  <c r="K300" i="15"/>
  <c r="K298" i="15"/>
  <c r="J298" i="15"/>
  <c r="J299" i="15"/>
  <c r="J300" i="15"/>
  <c r="F298" i="15"/>
  <c r="F414" i="15"/>
  <c r="F299" i="15"/>
  <c r="F300" i="15"/>
  <c r="K440" i="15"/>
  <c r="F411" i="15"/>
  <c r="F115" i="18"/>
  <c r="F153" i="18" s="1"/>
  <c r="H598" i="17"/>
  <c r="H596" i="17"/>
  <c r="M104" i="16"/>
  <c r="M136" i="16" s="1"/>
  <c r="M106" i="16"/>
  <c r="M138" i="16" s="1"/>
  <c r="M169" i="16"/>
  <c r="J182" i="12"/>
  <c r="M110" i="16"/>
  <c r="L157" i="12"/>
  <c r="L194" i="12" s="1"/>
  <c r="L158" i="12"/>
  <c r="L195" i="12" s="1"/>
  <c r="L156" i="12"/>
  <c r="L193" i="12" s="1"/>
  <c r="F144" i="55"/>
  <c r="I105" i="16"/>
  <c r="I137" i="16" s="1"/>
  <c r="L229" i="43"/>
  <c r="J684" i="14"/>
  <c r="H749" i="14"/>
  <c r="H745" i="14"/>
  <c r="H741" i="14"/>
  <c r="H751" i="14"/>
  <c r="H747" i="14"/>
  <c r="H743" i="14"/>
  <c r="H750" i="14"/>
  <c r="H746" i="14"/>
  <c r="H742" i="14"/>
  <c r="H752" i="14"/>
  <c r="H748" i="14"/>
  <c r="H744" i="14"/>
  <c r="I752" i="14"/>
  <c r="I748" i="14"/>
  <c r="I744" i="14"/>
  <c r="I750" i="14"/>
  <c r="I746" i="14"/>
  <c r="I742" i="14"/>
  <c r="I749" i="14"/>
  <c r="I745" i="14"/>
  <c r="I741" i="14"/>
  <c r="I751" i="14"/>
  <c r="I747" i="14"/>
  <c r="I743" i="14"/>
  <c r="N751" i="14"/>
  <c r="N747" i="14"/>
  <c r="AZ422" i="47" s="1"/>
  <c r="BF388" i="47" s="1"/>
  <c r="N743" i="14"/>
  <c r="N749" i="14"/>
  <c r="N750" i="14"/>
  <c r="N742" i="14"/>
  <c r="N752" i="14"/>
  <c r="N748" i="14"/>
  <c r="N744" i="14"/>
  <c r="N745" i="14"/>
  <c r="N741" i="14"/>
  <c r="N746" i="14"/>
  <c r="J751" i="14"/>
  <c r="J747" i="14"/>
  <c r="J743" i="14"/>
  <c r="J749" i="14"/>
  <c r="J745" i="14"/>
  <c r="J741" i="14"/>
  <c r="J752" i="14"/>
  <c r="J748" i="14"/>
  <c r="J744" i="14"/>
  <c r="J750" i="14"/>
  <c r="J746" i="14"/>
  <c r="J742" i="14"/>
  <c r="L749" i="14"/>
  <c r="L745" i="14"/>
  <c r="L741" i="14"/>
  <c r="L747" i="14"/>
  <c r="L748" i="14"/>
  <c r="L750" i="14"/>
  <c r="L746" i="14"/>
  <c r="L742" i="14"/>
  <c r="L751" i="14"/>
  <c r="L743" i="14"/>
  <c r="L752" i="14"/>
  <c r="L744" i="14"/>
  <c r="K750" i="14"/>
  <c r="K746" i="14"/>
  <c r="K742" i="14"/>
  <c r="K752" i="14"/>
  <c r="K744" i="14"/>
  <c r="K751" i="14"/>
  <c r="K747" i="14"/>
  <c r="K743" i="14"/>
  <c r="K748" i="14"/>
  <c r="K749" i="14"/>
  <c r="K745" i="14"/>
  <c r="K741" i="14"/>
  <c r="G750" i="14"/>
  <c r="G746" i="14"/>
  <c r="G742" i="14"/>
  <c r="G752" i="14"/>
  <c r="G748" i="14"/>
  <c r="G744" i="14"/>
  <c r="G749" i="14"/>
  <c r="G745" i="14"/>
  <c r="G741" i="14"/>
  <c r="G751" i="14"/>
  <c r="G747" i="14"/>
  <c r="G743" i="14"/>
  <c r="M752" i="14"/>
  <c r="M748" i="14"/>
  <c r="M744" i="14"/>
  <c r="M742" i="14"/>
  <c r="M743" i="14"/>
  <c r="M749" i="14"/>
  <c r="M745" i="14"/>
  <c r="M741" i="14"/>
  <c r="M750" i="14"/>
  <c r="M746" i="14"/>
  <c r="M751" i="14"/>
  <c r="M747" i="14"/>
  <c r="G711" i="14"/>
  <c r="G712" i="14"/>
  <c r="F741" i="14"/>
  <c r="F745" i="14"/>
  <c r="F749" i="14"/>
  <c r="F742" i="14"/>
  <c r="F746" i="14"/>
  <c r="F744" i="14"/>
  <c r="F748" i="14"/>
  <c r="F752" i="14"/>
  <c r="F743" i="14"/>
  <c r="F747" i="14"/>
  <c r="F751" i="14"/>
  <c r="F750" i="14"/>
  <c r="G720" i="14"/>
  <c r="N717" i="14"/>
  <c r="N713" i="14"/>
  <c r="N709" i="14"/>
  <c r="N718" i="14"/>
  <c r="N714" i="14"/>
  <c r="N710" i="14"/>
  <c r="N719" i="14"/>
  <c r="N715" i="14"/>
  <c r="N711" i="14"/>
  <c r="N720" i="14"/>
  <c r="N716" i="14"/>
  <c r="N712" i="14"/>
  <c r="L719" i="14"/>
  <c r="L715" i="14"/>
  <c r="L711" i="14"/>
  <c r="L720" i="14"/>
  <c r="L716" i="14"/>
  <c r="L712" i="14"/>
  <c r="L717" i="14"/>
  <c r="L713" i="14"/>
  <c r="L709" i="14"/>
  <c r="L718" i="14"/>
  <c r="L714" i="14"/>
  <c r="L710" i="14"/>
  <c r="I718" i="14"/>
  <c r="I714" i="14"/>
  <c r="I710" i="14"/>
  <c r="I719" i="14"/>
  <c r="I715" i="14"/>
  <c r="I711" i="14"/>
  <c r="I720" i="14"/>
  <c r="I716" i="14"/>
  <c r="I712" i="14"/>
  <c r="I717" i="14"/>
  <c r="I713" i="14"/>
  <c r="I709" i="14"/>
  <c r="M718" i="14"/>
  <c r="M714" i="14"/>
  <c r="M710" i="14"/>
  <c r="M719" i="14"/>
  <c r="M715" i="14"/>
  <c r="M711" i="14"/>
  <c r="M720" i="14"/>
  <c r="M716" i="14"/>
  <c r="M712" i="14"/>
  <c r="M717" i="14"/>
  <c r="M713" i="14"/>
  <c r="M709" i="14"/>
  <c r="J717" i="14"/>
  <c r="J713" i="14"/>
  <c r="J709" i="14"/>
  <c r="J718" i="14"/>
  <c r="J714" i="14"/>
  <c r="J710" i="14"/>
  <c r="J719" i="14"/>
  <c r="J715" i="14"/>
  <c r="J711" i="14"/>
  <c r="J720" i="14"/>
  <c r="J716" i="14"/>
  <c r="J712" i="14"/>
  <c r="H719" i="14"/>
  <c r="H715" i="14"/>
  <c r="H711" i="14"/>
  <c r="H720" i="14"/>
  <c r="H716" i="14"/>
  <c r="H712" i="14"/>
  <c r="H717" i="14"/>
  <c r="H713" i="14"/>
  <c r="H709" i="14"/>
  <c r="H718" i="14"/>
  <c r="H714" i="14"/>
  <c r="H710" i="14"/>
  <c r="J649" i="14"/>
  <c r="I667" i="14"/>
  <c r="F973" i="14"/>
  <c r="N650" i="14"/>
  <c r="F727" i="14"/>
  <c r="F856" i="14" s="1"/>
  <c r="F731" i="14"/>
  <c r="F735" i="14"/>
  <c r="F726" i="14"/>
  <c r="F851" i="14" s="1"/>
  <c r="F730" i="14"/>
  <c r="F734" i="14"/>
  <c r="F725" i="14"/>
  <c r="F729" i="14"/>
  <c r="F733" i="14"/>
  <c r="F728" i="14"/>
  <c r="F732" i="14"/>
  <c r="F736" i="14"/>
  <c r="M686" i="14"/>
  <c r="I677" i="14"/>
  <c r="I641" i="14"/>
  <c r="I568" i="14"/>
  <c r="I585" i="14" s="1"/>
  <c r="I668" i="14"/>
  <c r="J551" i="14"/>
  <c r="J568" i="14" s="1"/>
  <c r="J623" i="14" s="1"/>
  <c r="I686" i="14"/>
  <c r="J648" i="14"/>
  <c r="J559" i="14"/>
  <c r="J576" i="14" s="1"/>
  <c r="J612" i="14" s="1"/>
  <c r="L684" i="14"/>
  <c r="M667" i="14"/>
  <c r="I649" i="14"/>
  <c r="L648" i="14"/>
  <c r="K558" i="14"/>
  <c r="N577" i="14"/>
  <c r="N632" i="14" s="1"/>
  <c r="M685" i="14"/>
  <c r="L666" i="14"/>
  <c r="K559" i="14"/>
  <c r="K576" i="14" s="1"/>
  <c r="K612" i="14" s="1"/>
  <c r="J644" i="14"/>
  <c r="J667" i="14"/>
  <c r="I650" i="14"/>
  <c r="K650" i="14"/>
  <c r="M668" i="14"/>
  <c r="K686" i="14"/>
  <c r="N686" i="14"/>
  <c r="M650" i="14"/>
  <c r="M105" i="16"/>
  <c r="M137" i="16" s="1"/>
  <c r="M127" i="16"/>
  <c r="M171" i="16"/>
  <c r="M126" i="16"/>
  <c r="M170" i="16"/>
  <c r="K229" i="43"/>
  <c r="I104" i="16"/>
  <c r="I136" i="16" s="1"/>
  <c r="J229" i="43"/>
  <c r="I126" i="16"/>
  <c r="I128" i="16" s="1"/>
  <c r="I110" i="16"/>
  <c r="I106" i="16"/>
  <c r="I138" i="16" s="1"/>
  <c r="I168" i="16"/>
  <c r="J645" i="14"/>
  <c r="K180" i="10"/>
  <c r="G175" i="50"/>
  <c r="F229" i="43"/>
  <c r="N229" i="43"/>
  <c r="N185" i="13"/>
  <c r="F54" i="47"/>
  <c r="H214" i="10"/>
  <c r="J680" i="14"/>
  <c r="F158" i="12" a="1"/>
  <c r="F158" i="12" s="1"/>
  <c r="F195" i="12" s="1"/>
  <c r="J662" i="14"/>
  <c r="F280" i="7"/>
  <c r="F318" i="7" s="1"/>
  <c r="AY262" i="47" s="1"/>
  <c r="AY272" i="47" s="1"/>
  <c r="M229" i="43"/>
  <c r="K225" i="10"/>
  <c r="J180" i="10"/>
  <c r="N179" i="10"/>
  <c r="N180" i="10" s="1"/>
  <c r="J663" i="14"/>
  <c r="K555" i="14"/>
  <c r="K572" i="14" s="1"/>
  <c r="K608" i="14" s="1"/>
  <c r="K327" i="13"/>
  <c r="G158" i="12" a="1"/>
  <c r="G158" i="12" s="1"/>
  <c r="G195" i="12" s="1"/>
  <c r="K268" i="13"/>
  <c r="K276" i="13" s="1"/>
  <c r="M254" i="13"/>
  <c r="M274" i="13" s="1"/>
  <c r="I87" i="30"/>
  <c r="K217" i="10"/>
  <c r="F157" i="12" a="1"/>
  <c r="F157" i="12" s="1"/>
  <c r="F194" i="12" s="1"/>
  <c r="H180" i="10"/>
  <c r="K269" i="13"/>
  <c r="I180" i="10"/>
  <c r="I157" i="12" a="1"/>
  <c r="I157" i="12" s="1"/>
  <c r="I194" i="12" s="1"/>
  <c r="F156" i="12" a="1"/>
  <c r="F156" i="12" s="1"/>
  <c r="F193" i="12" s="1"/>
  <c r="H87" i="30"/>
  <c r="L77" i="57"/>
  <c r="L78" i="57" s="1"/>
  <c r="H223" i="10"/>
  <c r="H225" i="10" s="1"/>
  <c r="I270" i="13"/>
  <c r="H215" i="10"/>
  <c r="G215" i="10"/>
  <c r="F182" i="12"/>
  <c r="F185" i="12" s="1"/>
  <c r="G223" i="10"/>
  <c r="H178" i="10"/>
  <c r="H249" i="10" s="1"/>
  <c r="K76" i="57"/>
  <c r="G222" i="10"/>
  <c r="G214" i="10"/>
  <c r="G216" i="43"/>
  <c r="J568" i="34"/>
  <c r="J76" i="57"/>
  <c r="J78" i="57" s="1"/>
  <c r="L214" i="10"/>
  <c r="L217" i="10" s="1"/>
  <c r="G182" i="12"/>
  <c r="G421" i="34"/>
  <c r="G424" i="34" s="1"/>
  <c r="M179" i="10"/>
  <c r="M180" i="10" s="1"/>
  <c r="L232" i="10"/>
  <c r="L230" i="10"/>
  <c r="K320" i="13"/>
  <c r="M184" i="12"/>
  <c r="K306" i="13"/>
  <c r="I229" i="43"/>
  <c r="G183" i="12"/>
  <c r="K272" i="13"/>
  <c r="K270" i="13"/>
  <c r="M232" i="10"/>
  <c r="M233" i="10" s="1"/>
  <c r="L64" i="57"/>
  <c r="K285" i="13"/>
  <c r="F217" i="10"/>
  <c r="K313" i="13"/>
  <c r="J405" i="34"/>
  <c r="J406" i="34" s="1"/>
  <c r="H286" i="13"/>
  <c r="H363" i="13" s="1"/>
  <c r="H365" i="13" s="1"/>
  <c r="N121" i="50"/>
  <c r="I271" i="13"/>
  <c r="N269" i="13"/>
  <c r="M381" i="42"/>
  <c r="M547" i="42" s="1"/>
  <c r="J64" i="57"/>
  <c r="F440" i="15"/>
  <c r="L79" i="33"/>
  <c r="L81" i="33" s="1"/>
  <c r="H280" i="7"/>
  <c r="H318" i="7" s="1"/>
  <c r="BA262" i="47" s="1"/>
  <c r="BA272" i="47" s="1"/>
  <c r="H157" i="12" a="1"/>
  <c r="H157" i="12" s="1"/>
  <c r="H194" i="12" s="1"/>
  <c r="I156" i="12" a="1"/>
  <c r="I156" i="12" s="1"/>
  <c r="I193" i="12" s="1"/>
  <c r="I182" i="12"/>
  <c r="F565" i="34"/>
  <c r="M186" i="10"/>
  <c r="M79" i="33"/>
  <c r="M81" i="33" s="1"/>
  <c r="L186" i="10"/>
  <c r="L115" i="33"/>
  <c r="K77" i="57"/>
  <c r="J222" i="10"/>
  <c r="I663" i="14"/>
  <c r="G571" i="14"/>
  <c r="G626" i="14" s="1"/>
  <c r="J555" i="14"/>
  <c r="J572" i="14" s="1"/>
  <c r="J589" i="14" s="1"/>
  <c r="I645" i="14"/>
  <c r="K658" i="14"/>
  <c r="L550" i="14"/>
  <c r="L567" i="14" s="1"/>
  <c r="L603" i="14" s="1"/>
  <c r="N583" i="14"/>
  <c r="K676" i="14"/>
  <c r="M662" i="14"/>
  <c r="N632" i="17"/>
  <c r="J184" i="12"/>
  <c r="J158" i="12"/>
  <c r="J195" i="12" s="1"/>
  <c r="I76" i="57"/>
  <c r="I78" i="57" s="1"/>
  <c r="I64" i="57"/>
  <c r="J156" i="12"/>
  <c r="J193" i="12" s="1"/>
  <c r="K79" i="33"/>
  <c r="K81" i="33" s="1"/>
  <c r="H678" i="4"/>
  <c r="I696" i="4" s="1"/>
  <c r="F418" i="17"/>
  <c r="F659" i="17"/>
  <c r="H70" i="32"/>
  <c r="H83" i="32"/>
  <c r="H86" i="32" s="1"/>
  <c r="H87" i="32" s="1"/>
  <c r="K377" i="24"/>
  <c r="N271" i="13"/>
  <c r="K381" i="42"/>
  <c r="K547" i="42" s="1"/>
  <c r="L405" i="34"/>
  <c r="L406" i="34" s="1"/>
  <c r="I158" i="12" a="1"/>
  <c r="I158" i="12" s="1"/>
  <c r="I195" i="12" s="1"/>
  <c r="I183" i="12"/>
  <c r="N272" i="13"/>
  <c r="J268" i="13"/>
  <c r="J276" i="13" s="1"/>
  <c r="N175" i="50"/>
  <c r="J269" i="13"/>
  <c r="J271" i="13"/>
  <c r="G659" i="17"/>
  <c r="H660" i="17" s="1"/>
  <c r="G418" i="17"/>
  <c r="G424" i="17"/>
  <c r="G437" i="17" s="1"/>
  <c r="N232" i="10"/>
  <c r="N214" i="10"/>
  <c r="N217" i="10" s="1"/>
  <c r="N230" i="10"/>
  <c r="H174" i="50"/>
  <c r="H173" i="50"/>
  <c r="I121" i="50" s="1"/>
  <c r="H124" i="50"/>
  <c r="G640" i="14"/>
  <c r="L564" i="34"/>
  <c r="H182" i="12"/>
  <c r="N270" i="13"/>
  <c r="J272" i="13"/>
  <c r="J241" i="10"/>
  <c r="G440" i="15"/>
  <c r="M440" i="15"/>
  <c r="I666" i="4"/>
  <c r="I704" i="4" s="1"/>
  <c r="H870" i="4"/>
  <c r="H871" i="4" s="1"/>
  <c r="H874" i="4" s="1" a="1"/>
  <c r="N1132" i="4"/>
  <c r="H1125" i="4"/>
  <c r="H1126" i="4"/>
  <c r="H1128" i="4"/>
  <c r="N1142" i="4" a="1"/>
  <c r="N1142" i="4" s="1"/>
  <c r="H1119" i="4"/>
  <c r="H1129" i="4"/>
  <c r="G874" i="4" a="1"/>
  <c r="G880" i="4" s="1"/>
  <c r="G896" i="4" s="1"/>
  <c r="H1050" i="4"/>
  <c r="H1053" i="4"/>
  <c r="H1049" i="4"/>
  <c r="H1060" i="4"/>
  <c r="H1059" i="4"/>
  <c r="H1052" i="4"/>
  <c r="K62" i="4"/>
  <c r="K754" i="4" s="1"/>
  <c r="K757" i="4" s="1"/>
  <c r="K1045" i="4" s="1"/>
  <c r="L59" i="4"/>
  <c r="H1057" i="4"/>
  <c r="N1141" i="4" a="1"/>
  <c r="N1141" i="4" s="1"/>
  <c r="H1055" i="4"/>
  <c r="H1058" i="4"/>
  <c r="N1138" i="4" a="1"/>
  <c r="N1138" i="4" s="1"/>
  <c r="H1054" i="4"/>
  <c r="H1051" i="4"/>
  <c r="H1048" i="4"/>
  <c r="N1143" i="4" a="1"/>
  <c r="N1143" i="4" s="1"/>
  <c r="N1137" i="4" a="1"/>
  <c r="N1137" i="4" s="1"/>
  <c r="F874" i="4" a="1"/>
  <c r="F883" i="4" s="1"/>
  <c r="F899" i="4" s="1"/>
  <c r="H1130" i="4"/>
  <c r="H1120" i="4"/>
  <c r="H1121" i="4"/>
  <c r="H1124" i="4"/>
  <c r="H1123" i="4"/>
  <c r="H1127" i="4"/>
  <c r="H1131" i="4"/>
  <c r="N1140" i="4" a="1"/>
  <c r="N1140" i="4" s="1"/>
  <c r="N1135" i="4" a="1"/>
  <c r="N1135" i="4" s="1"/>
  <c r="N1136" i="4" a="1"/>
  <c r="N1136" i="4" s="1"/>
  <c r="H1056" i="4"/>
  <c r="N1139" i="4" a="1"/>
  <c r="N1139" i="4" s="1"/>
  <c r="N554" i="14"/>
  <c r="N571" i="14" s="1"/>
  <c r="N626" i="14" s="1"/>
  <c r="M555" i="14"/>
  <c r="M572" i="14" s="1"/>
  <c r="M589" i="14" s="1"/>
  <c r="N621" i="14"/>
  <c r="M644" i="14"/>
  <c r="K645" i="14"/>
  <c r="L663" i="14"/>
  <c r="G377" i="24"/>
  <c r="G676" i="14"/>
  <c r="H550" i="14"/>
  <c r="H567" i="14" s="1"/>
  <c r="H603" i="14" s="1"/>
  <c r="I662" i="14"/>
  <c r="H293" i="13"/>
  <c r="H455" i="13" s="1"/>
  <c r="J223" i="10"/>
  <c r="J215" i="10"/>
  <c r="J178" i="10"/>
  <c r="J249" i="10" s="1"/>
  <c r="I560" i="14"/>
  <c r="I577" i="14" s="1"/>
  <c r="I613" i="14" s="1"/>
  <c r="H677" i="4"/>
  <c r="I695" i="4" s="1"/>
  <c r="H554" i="14"/>
  <c r="H571" i="14" s="1"/>
  <c r="L602" i="14"/>
  <c r="G680" i="14"/>
  <c r="G662" i="14"/>
  <c r="G644" i="14"/>
  <c r="G576" i="14"/>
  <c r="G631" i="14" s="1"/>
  <c r="G94" i="9"/>
  <c r="G135" i="9"/>
  <c r="H300" i="13"/>
  <c r="H456" i="13" s="1"/>
  <c r="F328" i="13"/>
  <c r="F474" i="13" s="1"/>
  <c r="H241" i="10"/>
  <c r="I241" i="10"/>
  <c r="J664" i="4"/>
  <c r="F335" i="13"/>
  <c r="F475" i="13" s="1"/>
  <c r="H659" i="14"/>
  <c r="J550" i="14"/>
  <c r="J567" i="14" s="1"/>
  <c r="J584" i="14" s="1"/>
  <c r="H668" i="14"/>
  <c r="H307" i="13"/>
  <c r="H457" i="13" s="1"/>
  <c r="H381" i="42"/>
  <c r="H547" i="42" s="1"/>
  <c r="K568" i="34"/>
  <c r="N568" i="34"/>
  <c r="I480" i="34"/>
  <c r="I583" i="34" s="1"/>
  <c r="K480" i="34"/>
  <c r="K583" i="34" s="1"/>
  <c r="L583" i="14"/>
  <c r="L681" i="14"/>
  <c r="M225" i="10"/>
  <c r="G685" i="14"/>
  <c r="F381" i="42"/>
  <c r="F545" i="42" s="1"/>
  <c r="J861" i="4"/>
  <c r="I869" i="4"/>
  <c r="J864" i="4"/>
  <c r="J863" i="4"/>
  <c r="J862" i="4"/>
  <c r="G549" i="14"/>
  <c r="G566" i="14" s="1"/>
  <c r="N685" i="14"/>
  <c r="H686" i="14"/>
  <c r="J480" i="34"/>
  <c r="J583" i="34" s="1"/>
  <c r="H683" i="4"/>
  <c r="I701" i="4" s="1"/>
  <c r="F314" i="13"/>
  <c r="F472" i="13" s="1"/>
  <c r="G286" i="13"/>
  <c r="G454" i="13" s="1"/>
  <c r="I443" i="42"/>
  <c r="J444" i="42" s="1"/>
  <c r="I658" i="14"/>
  <c r="I640" i="14"/>
  <c r="H559" i="14"/>
  <c r="H576" i="14" s="1"/>
  <c r="J676" i="14"/>
  <c r="H677" i="14"/>
  <c r="L555" i="14"/>
  <c r="L572" i="14" s="1"/>
  <c r="L627" i="14" s="1"/>
  <c r="G649" i="14"/>
  <c r="H114" i="16"/>
  <c r="H117" i="16" s="1"/>
  <c r="I396" i="34"/>
  <c r="I405" i="34"/>
  <c r="I406" i="34" s="1"/>
  <c r="L185" i="13"/>
  <c r="I680" i="14"/>
  <c r="H701" i="4"/>
  <c r="G667" i="14"/>
  <c r="N564" i="34"/>
  <c r="L241" i="10"/>
  <c r="N649" i="14"/>
  <c r="J554" i="14"/>
  <c r="J571" i="14" s="1"/>
  <c r="J626" i="14" s="1"/>
  <c r="K685" i="14"/>
  <c r="G293" i="13"/>
  <c r="G455" i="13" s="1"/>
  <c r="G307" i="13"/>
  <c r="G457" i="13" s="1"/>
  <c r="J416" i="17"/>
  <c r="J335" i="17"/>
  <c r="K415" i="17" s="1" a="1"/>
  <c r="K550" i="14"/>
  <c r="K567" i="14" s="1"/>
  <c r="K622" i="14" s="1"/>
  <c r="I90" i="9"/>
  <c r="I135" i="9" s="1"/>
  <c r="J658" i="14"/>
  <c r="M684" i="14"/>
  <c r="H641" i="14"/>
  <c r="H94" i="9"/>
  <c r="H96" i="9" s="1"/>
  <c r="H97" i="9" s="1"/>
  <c r="L377" i="24"/>
  <c r="G315" i="7"/>
  <c r="G319" i="7" s="1"/>
  <c r="N480" i="34"/>
  <c r="N583" i="34" s="1"/>
  <c r="F167" i="6"/>
  <c r="F169" i="6" s="1"/>
  <c r="N641" i="14"/>
  <c r="K621" i="14"/>
  <c r="F186" i="13"/>
  <c r="H480" i="34"/>
  <c r="H583" i="34" s="1"/>
  <c r="J641" i="14"/>
  <c r="M185" i="13"/>
  <c r="J185" i="13"/>
  <c r="J236" i="13" s="1"/>
  <c r="J250" i="13" s="1"/>
  <c r="J233" i="10"/>
  <c r="H185" i="13"/>
  <c r="H236" i="13" s="1"/>
  <c r="I185" i="13"/>
  <c r="I236" i="13" s="1"/>
  <c r="I251" i="13" s="1"/>
  <c r="K667" i="14"/>
  <c r="K644" i="14"/>
  <c r="G185" i="13"/>
  <c r="G236" i="13" s="1"/>
  <c r="K185" i="13"/>
  <c r="K236" i="13" s="1"/>
  <c r="K247" i="13" s="1"/>
  <c r="K277" i="13" s="1"/>
  <c r="L677" i="14"/>
  <c r="L641" i="14"/>
  <c r="L686" i="14"/>
  <c r="L650" i="14"/>
  <c r="M560" i="14"/>
  <c r="M577" i="14" s="1"/>
  <c r="M632" i="14" s="1"/>
  <c r="L649" i="14"/>
  <c r="M559" i="14"/>
  <c r="M576" i="14" s="1"/>
  <c r="M612" i="14" s="1"/>
  <c r="H680" i="14"/>
  <c r="H644" i="14"/>
  <c r="I583" i="14"/>
  <c r="I621" i="14"/>
  <c r="H637" i="17"/>
  <c r="H507" i="17"/>
  <c r="G677" i="14"/>
  <c r="L559" i="14"/>
  <c r="L576" i="14" s="1"/>
  <c r="L631" i="14" s="1"/>
  <c r="N684" i="14"/>
  <c r="M645" i="14"/>
  <c r="K641" i="14"/>
  <c r="J558" i="14"/>
  <c r="J575" i="14" s="1"/>
  <c r="J611" i="14" s="1"/>
  <c r="L662" i="14"/>
  <c r="H555" i="14"/>
  <c r="G567" i="14"/>
  <c r="G584" i="14" s="1"/>
  <c r="H383" i="17"/>
  <c r="H351" i="17"/>
  <c r="F449" i="42"/>
  <c r="G450" i="42" s="1"/>
  <c r="F448" i="42"/>
  <c r="G449" i="42" s="1"/>
  <c r="F450" i="42"/>
  <c r="H549" i="14"/>
  <c r="H566" i="14" s="1"/>
  <c r="G639" i="14"/>
  <c r="G675" i="14"/>
  <c r="G657" i="14"/>
  <c r="L169" i="43"/>
  <c r="L271" i="43" s="1"/>
  <c r="L168" i="43"/>
  <c r="L270" i="43" s="1"/>
  <c r="K523" i="14"/>
  <c r="K541" i="14" s="1"/>
  <c r="J657" i="14"/>
  <c r="J675" i="14"/>
  <c r="G87" i="30"/>
  <c r="G122" i="30"/>
  <c r="G64" i="57"/>
  <c r="G77" i="57"/>
  <c r="G76" i="57"/>
  <c r="F76" i="57"/>
  <c r="F77" i="57"/>
  <c r="H156" i="12" a="1"/>
  <c r="H156" i="12" s="1"/>
  <c r="H193" i="12" s="1"/>
  <c r="H184" i="12"/>
  <c r="F64" i="57"/>
  <c r="L184" i="12"/>
  <c r="L182" i="12"/>
  <c r="K405" i="34"/>
  <c r="K406" i="34" s="1"/>
  <c r="J525" i="14"/>
  <c r="J543" i="14" s="1"/>
  <c r="M216" i="10"/>
  <c r="M214" i="10"/>
  <c r="M564" i="34"/>
  <c r="M568" i="34"/>
  <c r="F515" i="14"/>
  <c r="F533" i="14" s="1"/>
  <c r="G551" i="14" s="1"/>
  <c r="N377" i="42"/>
  <c r="N381" i="42" s="1"/>
  <c r="N547" i="42" s="1"/>
  <c r="AZ379" i="47" s="1"/>
  <c r="BF407" i="47" s="1"/>
  <c r="BH407" i="47" s="1"/>
  <c r="BI407" i="47" s="1"/>
  <c r="H139" i="16"/>
  <c r="N514" i="14"/>
  <c r="N532" i="14" s="1"/>
  <c r="K292" i="13"/>
  <c r="K299" i="13"/>
  <c r="M258" i="13"/>
  <c r="M255" i="13"/>
  <c r="M257" i="13"/>
  <c r="H246" i="24"/>
  <c r="H377" i="24"/>
  <c r="M64" i="57"/>
  <c r="M76" i="57"/>
  <c r="I268" i="13"/>
  <c r="I269" i="13"/>
  <c r="J212" i="24"/>
  <c r="J219" i="24" s="1"/>
  <c r="G523" i="14"/>
  <c r="G541" i="14" s="1"/>
  <c r="L179" i="10"/>
  <c r="L180" i="10" s="1"/>
  <c r="G180" i="10"/>
  <c r="H519" i="14"/>
  <c r="H537" i="14" s="1"/>
  <c r="K378" i="42"/>
  <c r="K382" i="42" s="1"/>
  <c r="K546" i="42" s="1"/>
  <c r="K438" i="42"/>
  <c r="I377" i="42"/>
  <c r="I381" i="42" s="1"/>
  <c r="I545" i="42" s="1"/>
  <c r="K569" i="42"/>
  <c r="L480" i="34"/>
  <c r="L583" i="34" s="1"/>
  <c r="G480" i="34"/>
  <c r="G583" i="34" s="1"/>
  <c r="I74" i="52"/>
  <c r="L440" i="42"/>
  <c r="L395" i="42"/>
  <c r="H192" i="13"/>
  <c r="G192" i="13"/>
  <c r="G269" i="13" s="1"/>
  <c r="J278" i="24"/>
  <c r="N71" i="32"/>
  <c r="N74" i="32"/>
  <c r="N76" i="32" s="1"/>
  <c r="G440" i="42"/>
  <c r="G395" i="42"/>
  <c r="G548" i="42" s="1"/>
  <c r="F102" i="9"/>
  <c r="F134" i="9" s="1"/>
  <c r="F125" i="9"/>
  <c r="F124" i="9"/>
  <c r="K258" i="13"/>
  <c r="M177" i="13"/>
  <c r="L211" i="13"/>
  <c r="I170" i="58"/>
  <c r="N275" i="13"/>
  <c r="N276" i="13"/>
  <c r="F122" i="8"/>
  <c r="F154" i="8" s="1"/>
  <c r="F144" i="8"/>
  <c r="F145" i="8"/>
  <c r="F262" i="13"/>
  <c r="F265" i="13"/>
  <c r="F263" i="13"/>
  <c r="I377" i="24"/>
  <c r="I246" i="24"/>
  <c r="I114" i="52"/>
  <c r="I76" i="52"/>
  <c r="J122" i="58"/>
  <c r="J124" i="58" s="1"/>
  <c r="K122" i="58"/>
  <c r="K124" i="58" s="1"/>
  <c r="F116" i="9"/>
  <c r="F106" i="9"/>
  <c r="F111" i="9"/>
  <c r="F136" i="9"/>
  <c r="M122" i="58"/>
  <c r="L122" i="58"/>
  <c r="L124" i="58" s="1"/>
  <c r="F1146" i="4"/>
  <c r="F1300" i="4" s="1"/>
  <c r="F1144" i="4"/>
  <c r="F136" i="8"/>
  <c r="F156" i="8"/>
  <c r="F131" i="8"/>
  <c r="F126" i="8"/>
  <c r="J121" i="50"/>
  <c r="I175" i="50"/>
  <c r="H234" i="13"/>
  <c r="H640" i="14"/>
  <c r="L680" i="14"/>
  <c r="G572" i="14"/>
  <c r="G589" i="14" s="1"/>
  <c r="N644" i="14"/>
  <c r="G650" i="14"/>
  <c r="F269" i="13"/>
  <c r="H634" i="17"/>
  <c r="M554" i="14"/>
  <c r="M571" i="14" s="1"/>
  <c r="M588" i="14" s="1"/>
  <c r="G645" i="14"/>
  <c r="L685" i="14"/>
  <c r="L668" i="14"/>
  <c r="G577" i="14"/>
  <c r="G594" i="14" s="1"/>
  <c r="K663" i="14"/>
  <c r="G659" i="14"/>
  <c r="N648" i="14"/>
  <c r="M583" i="14"/>
  <c r="K729" i="4"/>
  <c r="I103" i="52"/>
  <c r="I104" i="52"/>
  <c r="F248" i="13"/>
  <c r="F251" i="13"/>
  <c r="F249" i="13"/>
  <c r="AZ262" i="47"/>
  <c r="AZ272" i="47" s="1"/>
  <c r="H122" i="58"/>
  <c r="I122" i="58"/>
  <c r="G168" i="43"/>
  <c r="G270" i="43" s="1"/>
  <c r="H170" i="58"/>
  <c r="G193" i="13"/>
  <c r="G270" i="13" s="1"/>
  <c r="H193" i="13"/>
  <c r="G195" i="13"/>
  <c r="G272" i="13" s="1"/>
  <c r="H195" i="13"/>
  <c r="L257" i="13"/>
  <c r="L258" i="13"/>
  <c r="F307" i="7"/>
  <c r="G641" i="14"/>
  <c r="H551" i="14"/>
  <c r="H568" i="14" s="1"/>
  <c r="H604" i="14" s="1"/>
  <c r="G381" i="42"/>
  <c r="G547" i="42" s="1"/>
  <c r="I554" i="14"/>
  <c r="I571" i="14" s="1"/>
  <c r="I607" i="14" s="1"/>
  <c r="J621" i="14"/>
  <c r="I602" i="14"/>
  <c r="M575" i="14"/>
  <c r="M630" i="14" s="1"/>
  <c r="F480" i="34"/>
  <c r="F583" i="34" s="1"/>
  <c r="H676" i="14"/>
  <c r="J659" i="14"/>
  <c r="K551" i="14"/>
  <c r="K568" i="14" s="1"/>
  <c r="K585" i="14" s="1"/>
  <c r="I550" i="14"/>
  <c r="I567" i="14" s="1"/>
  <c r="I622" i="14" s="1"/>
  <c r="H662" i="14"/>
  <c r="J602" i="14"/>
  <c r="K583" i="14"/>
  <c r="N558" i="14"/>
  <c r="N575" i="14" s="1"/>
  <c r="N592" i="14" s="1"/>
  <c r="N105" i="52"/>
  <c r="F453" i="42"/>
  <c r="G454" i="42" s="1"/>
  <c r="F454" i="42"/>
  <c r="G455" i="42" s="1"/>
  <c r="F455" i="42"/>
  <c r="H737" i="4"/>
  <c r="L659" i="14"/>
  <c r="M666" i="14"/>
  <c r="G737" i="4"/>
  <c r="H105" i="52"/>
  <c r="J105" i="52"/>
  <c r="M729" i="4"/>
  <c r="L737" i="4"/>
  <c r="H681" i="4"/>
  <c r="H699" i="4"/>
  <c r="L658" i="14"/>
  <c r="K680" i="14"/>
  <c r="N681" i="14"/>
  <c r="M550" i="14"/>
  <c r="M567" i="14" s="1"/>
  <c r="J729" i="4"/>
  <c r="K737" i="4"/>
  <c r="L729" i="4"/>
  <c r="L644" i="4"/>
  <c r="L647" i="4" s="1"/>
  <c r="K644" i="4"/>
  <c r="K647" i="4" s="1"/>
  <c r="M644" i="4"/>
  <c r="M647" i="4" s="1"/>
  <c r="J644" i="4"/>
  <c r="J647" i="4" s="1"/>
  <c r="H644" i="4"/>
  <c r="H647" i="4" s="1"/>
  <c r="I644" i="4"/>
  <c r="I647" i="4" s="1"/>
  <c r="I660" i="4"/>
  <c r="I734" i="4"/>
  <c r="I737" i="4" s="1"/>
  <c r="I729" i="4"/>
  <c r="H698" i="4"/>
  <c r="H680" i="4"/>
  <c r="N729" i="4"/>
  <c r="N734" i="4"/>
  <c r="N737" i="4" s="1"/>
  <c r="I661" i="4"/>
  <c r="J737" i="4"/>
  <c r="L105" i="52"/>
  <c r="M737" i="4"/>
  <c r="L554" i="14"/>
  <c r="L571" i="14" s="1"/>
  <c r="L588" i="14" s="1"/>
  <c r="N645" i="14"/>
  <c r="N377" i="24"/>
  <c r="M246" i="24"/>
  <c r="G122" i="8"/>
  <c r="G154" i="8" s="1"/>
  <c r="G145" i="8"/>
  <c r="G146" i="8" s="1"/>
  <c r="I105" i="33"/>
  <c r="F111" i="32"/>
  <c r="H581" i="34"/>
  <c r="H145" i="8"/>
  <c r="H144" i="8"/>
  <c r="H122" i="8"/>
  <c r="H154" i="8" s="1"/>
  <c r="H156" i="8"/>
  <c r="H126" i="8"/>
  <c r="H131" i="8"/>
  <c r="H136" i="8"/>
  <c r="G132" i="8"/>
  <c r="G167" i="8"/>
  <c r="I116" i="8"/>
  <c r="I117" i="8" s="1"/>
  <c r="I120" i="8"/>
  <c r="I264" i="13"/>
  <c r="I261" i="13"/>
  <c r="I263" i="13"/>
  <c r="I265" i="13"/>
  <c r="I262" i="13"/>
  <c r="N659" i="14"/>
  <c r="N663" i="14"/>
  <c r="L105" i="33"/>
  <c r="G169" i="8"/>
  <c r="G127" i="8"/>
  <c r="BG414" i="47"/>
  <c r="BH414" i="47" s="1"/>
  <c r="BI414" i="47" s="1"/>
  <c r="K175" i="13"/>
  <c r="J234" i="13"/>
  <c r="J209" i="13"/>
  <c r="G165" i="8"/>
  <c r="G137" i="8"/>
  <c r="K368" i="34"/>
  <c r="J471" i="34"/>
  <c r="J582" i="34" s="1"/>
  <c r="K110" i="8"/>
  <c r="J155" i="8"/>
  <c r="J114" i="8"/>
  <c r="I297" i="13"/>
  <c r="I300" i="13" s="1"/>
  <c r="I456" i="13" s="1"/>
  <c r="I311" i="13"/>
  <c r="I314" i="13" s="1"/>
  <c r="I472" i="13" s="1"/>
  <c r="I325" i="13"/>
  <c r="I328" i="13" s="1"/>
  <c r="I474" i="13" s="1"/>
  <c r="I304" i="13"/>
  <c r="I307" i="13" s="1"/>
  <c r="I457" i="13" s="1"/>
  <c r="I332" i="13"/>
  <c r="I335" i="13" s="1"/>
  <c r="I475" i="13" s="1"/>
  <c r="I290" i="13"/>
  <c r="I293" i="13" s="1"/>
  <c r="I455" i="13" s="1"/>
  <c r="I318" i="13"/>
  <c r="I321" i="13" s="1"/>
  <c r="I473" i="13" s="1"/>
  <c r="I283" i="13"/>
  <c r="I286" i="13" s="1"/>
  <c r="F105" i="52"/>
  <c r="G111" i="32"/>
  <c r="N77" i="52"/>
  <c r="N78" i="52" s="1"/>
  <c r="N79" i="52" s="1"/>
  <c r="J78" i="52"/>
  <c r="J79" i="52" s="1"/>
  <c r="H105" i="33"/>
  <c r="K111" i="32"/>
  <c r="L77" i="52"/>
  <c r="L78" i="52" s="1"/>
  <c r="L79" i="52" s="1"/>
  <c r="H78" i="52"/>
  <c r="H79" i="52" s="1"/>
  <c r="G105" i="33"/>
  <c r="J105" i="33"/>
  <c r="K77" i="52"/>
  <c r="K78" i="52" s="1"/>
  <c r="K79" i="52" s="1"/>
  <c r="G78" i="52"/>
  <c r="G79" i="52" s="1"/>
  <c r="H421" i="34"/>
  <c r="H424" i="34" s="1"/>
  <c r="I376" i="34"/>
  <c r="H377" i="34"/>
  <c r="L111" i="32"/>
  <c r="M105" i="52"/>
  <c r="K105" i="52"/>
  <c r="G105" i="52"/>
  <c r="L336" i="17"/>
  <c r="I702" i="4"/>
  <c r="I684" i="4"/>
  <c r="J169" i="7"/>
  <c r="I217" i="7"/>
  <c r="I248" i="7"/>
  <c r="M664" i="14"/>
  <c r="N556" i="14"/>
  <c r="N573" i="14" s="1"/>
  <c r="M646" i="14"/>
  <c r="M682" i="14"/>
  <c r="I678" i="14"/>
  <c r="J552" i="14"/>
  <c r="J569" i="14" s="1"/>
  <c r="I642" i="14"/>
  <c r="I660" i="14"/>
  <c r="K683" i="14"/>
  <c r="L557" i="14"/>
  <c r="L574" i="14" s="1"/>
  <c r="K647" i="14"/>
  <c r="K665" i="14"/>
  <c r="G302" i="7"/>
  <c r="G211" i="7"/>
  <c r="J664" i="14"/>
  <c r="K556" i="14"/>
  <c r="K573" i="14" s="1"/>
  <c r="J646" i="14"/>
  <c r="J682" i="14"/>
  <c r="N557" i="14"/>
  <c r="N574" i="14" s="1"/>
  <c r="M665" i="14"/>
  <c r="M647" i="14"/>
  <c r="M683" i="14"/>
  <c r="K660" i="14"/>
  <c r="K642" i="14"/>
  <c r="K678" i="14"/>
  <c r="L552" i="14"/>
  <c r="L569" i="14" s="1"/>
  <c r="H664" i="14"/>
  <c r="I556" i="14"/>
  <c r="I573" i="14" s="1"/>
  <c r="H646" i="14"/>
  <c r="H682" i="14"/>
  <c r="N646" i="14"/>
  <c r="N664" i="14"/>
  <c r="N682" i="14"/>
  <c r="H337" i="7"/>
  <c r="H643" i="14"/>
  <c r="H679" i="14"/>
  <c r="I553" i="14"/>
  <c r="I570" i="14" s="1"/>
  <c r="H661" i="14"/>
  <c r="M553" i="14"/>
  <c r="M570" i="14" s="1"/>
  <c r="L661" i="14"/>
  <c r="L643" i="14"/>
  <c r="L679" i="14"/>
  <c r="G679" i="14"/>
  <c r="G643" i="14"/>
  <c r="H553" i="14"/>
  <c r="H570" i="14" s="1"/>
  <c r="G570" i="14"/>
  <c r="G661" i="14"/>
  <c r="J659" i="4"/>
  <c r="N553" i="14"/>
  <c r="N570" i="14" s="1"/>
  <c r="M661" i="14"/>
  <c r="M643" i="14"/>
  <c r="M679" i="14"/>
  <c r="L646" i="14"/>
  <c r="L664" i="14"/>
  <c r="L682" i="14"/>
  <c r="M556" i="14"/>
  <c r="M573" i="14" s="1"/>
  <c r="I203" i="7"/>
  <c r="J168" i="7"/>
  <c r="I242" i="7"/>
  <c r="J665" i="4"/>
  <c r="I683" i="4"/>
  <c r="H131" i="6"/>
  <c r="H168" i="6" s="1"/>
  <c r="H165" i="6"/>
  <c r="I664" i="14"/>
  <c r="I682" i="14"/>
  <c r="I646" i="14"/>
  <c r="J556" i="14"/>
  <c r="J573" i="14" s="1"/>
  <c r="H556" i="14"/>
  <c r="H573" i="14" s="1"/>
  <c r="G646" i="14"/>
  <c r="G573" i="14"/>
  <c r="G664" i="14"/>
  <c r="G682" i="14"/>
  <c r="I188" i="7"/>
  <c r="J167" i="7"/>
  <c r="I170" i="7"/>
  <c r="I335" i="7" s="1"/>
  <c r="I236" i="7"/>
  <c r="I677" i="4"/>
  <c r="K682" i="14"/>
  <c r="K646" i="14"/>
  <c r="K664" i="14"/>
  <c r="L556" i="14"/>
  <c r="L573" i="14" s="1"/>
  <c r="I676" i="4"/>
  <c r="I694" i="4"/>
  <c r="M658" i="14"/>
  <c r="M676" i="14"/>
  <c r="M640" i="14"/>
  <c r="N550" i="14"/>
  <c r="I679" i="4"/>
  <c r="I697" i="4"/>
  <c r="I124" i="6"/>
  <c r="I125" i="6" s="1"/>
  <c r="I130" i="6" s="1"/>
  <c r="I138" i="6"/>
  <c r="G132" i="6"/>
  <c r="G134" i="6" s="1"/>
  <c r="G472" i="34"/>
  <c r="N665" i="14"/>
  <c r="N683" i="14"/>
  <c r="N647" i="14"/>
  <c r="H684" i="14"/>
  <c r="I558" i="14"/>
  <c r="I575" i="14" s="1"/>
  <c r="H648" i="14"/>
  <c r="H666" i="14"/>
  <c r="J683" i="14"/>
  <c r="K557" i="14"/>
  <c r="K574" i="14" s="1"/>
  <c r="J665" i="14"/>
  <c r="J647" i="14"/>
  <c r="J656" i="4"/>
  <c r="M660" i="14"/>
  <c r="N552" i="14"/>
  <c r="N569" i="14" s="1"/>
  <c r="M642" i="14"/>
  <c r="M678" i="14"/>
  <c r="H552" i="14"/>
  <c r="H569" i="14" s="1"/>
  <c r="G569" i="14"/>
  <c r="G678" i="14"/>
  <c r="G642" i="14"/>
  <c r="G660" i="14"/>
  <c r="I665" i="14"/>
  <c r="I647" i="14"/>
  <c r="I683" i="14"/>
  <c r="J557" i="14"/>
  <c r="J574" i="14" s="1"/>
  <c r="G665" i="14"/>
  <c r="H557" i="14"/>
  <c r="H574" i="14" s="1"/>
  <c r="G647" i="14"/>
  <c r="G683" i="14"/>
  <c r="G574" i="14"/>
  <c r="J661" i="14"/>
  <c r="K553" i="14"/>
  <c r="K570" i="14" s="1"/>
  <c r="J643" i="14"/>
  <c r="J679" i="14"/>
  <c r="J658" i="4"/>
  <c r="H218" i="7"/>
  <c r="H220" i="7" s="1"/>
  <c r="H222" i="7" s="1"/>
  <c r="H225" i="7" s="1"/>
  <c r="H224" i="7" s="1"/>
  <c r="H229" i="7"/>
  <c r="H245" i="7"/>
  <c r="M677" i="14"/>
  <c r="N551" i="14"/>
  <c r="N568" i="14" s="1"/>
  <c r="M641" i="14"/>
  <c r="M568" i="14"/>
  <c r="M659" i="14"/>
  <c r="I557" i="14"/>
  <c r="I574" i="14" s="1"/>
  <c r="H665" i="14"/>
  <c r="H683" i="14"/>
  <c r="H647" i="14"/>
  <c r="K118" i="6"/>
  <c r="J122" i="6"/>
  <c r="J177" i="6"/>
  <c r="N679" i="14"/>
  <c r="N643" i="14"/>
  <c r="N661" i="14"/>
  <c r="H204" i="7"/>
  <c r="H206" i="7" s="1"/>
  <c r="H208" i="7" s="1"/>
  <c r="H239" i="7"/>
  <c r="K552" i="14"/>
  <c r="K569" i="14" s="1"/>
  <c r="J660" i="14"/>
  <c r="J678" i="14"/>
  <c r="J642" i="14"/>
  <c r="I685" i="4"/>
  <c r="I703" i="4"/>
  <c r="J655" i="4"/>
  <c r="L647" i="14"/>
  <c r="L683" i="14"/>
  <c r="M557" i="14"/>
  <c r="M574" i="14" s="1"/>
  <c r="L665" i="14"/>
  <c r="H189" i="7"/>
  <c r="H191" i="7" s="1"/>
  <c r="H193" i="7" s="1"/>
  <c r="H196" i="7" s="1"/>
  <c r="H195" i="7" s="1"/>
  <c r="H233" i="7"/>
  <c r="I678" i="4"/>
  <c r="I679" i="14"/>
  <c r="I661" i="14"/>
  <c r="I643" i="14"/>
  <c r="J553" i="14"/>
  <c r="J570" i="14" s="1"/>
  <c r="N660" i="14"/>
  <c r="N642" i="14"/>
  <c r="N678" i="14"/>
  <c r="J657" i="4"/>
  <c r="K679" i="14"/>
  <c r="K661" i="14"/>
  <c r="L553" i="14"/>
  <c r="L570" i="14" s="1"/>
  <c r="K643" i="14"/>
  <c r="I552" i="14"/>
  <c r="I569" i="14" s="1"/>
  <c r="H642" i="14"/>
  <c r="H678" i="14"/>
  <c r="H660" i="14"/>
  <c r="M552" i="14"/>
  <c r="M569" i="14" s="1"/>
  <c r="L642" i="14"/>
  <c r="L678" i="14"/>
  <c r="L660" i="14"/>
  <c r="J666" i="4"/>
  <c r="H667" i="14"/>
  <c r="I559" i="14"/>
  <c r="I576" i="14" s="1"/>
  <c r="H685" i="14"/>
  <c r="H649" i="14"/>
  <c r="I179" i="6"/>
  <c r="G229" i="43" l="1"/>
  <c r="L255" i="13"/>
  <c r="K255" i="13"/>
  <c r="K256" i="13"/>
  <c r="N451" i="34"/>
  <c r="L256" i="13"/>
  <c r="K254" i="13"/>
  <c r="K274" i="13" s="1"/>
  <c r="G194" i="13"/>
  <c r="G271" i="13" s="1"/>
  <c r="F264" i="13"/>
  <c r="M156" i="12" a="1"/>
  <c r="N635" i="17"/>
  <c r="N78" i="57"/>
  <c r="F446" i="34"/>
  <c r="F567" i="34" s="1"/>
  <c r="M446" i="34"/>
  <c r="M567" i="34" s="1"/>
  <c r="I1048" i="4" a="1"/>
  <c r="I1049" i="4" s="1"/>
  <c r="G705" i="4"/>
  <c r="N634" i="17"/>
  <c r="F1061" i="4"/>
  <c r="I1119" i="4" a="1"/>
  <c r="I1129" i="4" s="1"/>
  <c r="L269" i="13"/>
  <c r="M158" i="12" a="1"/>
  <c r="M158" i="12" s="1"/>
  <c r="M195" i="12" s="1"/>
  <c r="J451" i="34"/>
  <c r="F634" i="17"/>
  <c r="F250" i="13"/>
  <c r="N157" i="12" a="1"/>
  <c r="N157" i="12" s="1"/>
  <c r="N194" i="12" s="1"/>
  <c r="I451" i="34"/>
  <c r="H451" i="34"/>
  <c r="F455" i="34"/>
  <c r="F563" i="34" s="1"/>
  <c r="F271" i="13"/>
  <c r="M182" i="12"/>
  <c r="K451" i="34"/>
  <c r="M451" i="34"/>
  <c r="M157" i="12" a="1"/>
  <c r="M157" i="12" s="1"/>
  <c r="M194" i="12" s="1"/>
  <c r="N156" i="12"/>
  <c r="N193" i="12" s="1"/>
  <c r="H653" i="17"/>
  <c r="N371" i="17" a="1"/>
  <c r="H693" i="4"/>
  <c r="H675" i="4"/>
  <c r="I693" i="4" s="1"/>
  <c r="H700" i="4"/>
  <c r="H682" i="4"/>
  <c r="G1068" i="4" a="1"/>
  <c r="G1068" i="4" s="1"/>
  <c r="J634" i="4"/>
  <c r="K634" i="4" s="1"/>
  <c r="L634" i="4" s="1"/>
  <c r="M634" i="4" s="1"/>
  <c r="I662" i="4"/>
  <c r="N425" i="17" a="1"/>
  <c r="F1064" i="4" a="1"/>
  <c r="J626" i="4"/>
  <c r="I639" i="4"/>
  <c r="I654" i="4"/>
  <c r="G687" i="4"/>
  <c r="G1135" i="4" a="1"/>
  <c r="G1135" i="4" s="1"/>
  <c r="G1139" i="4" a="1"/>
  <c r="G1139" i="4" s="1"/>
  <c r="G1132" i="4"/>
  <c r="G1136" i="4" a="1"/>
  <c r="G1136" i="4" s="1"/>
  <c r="G1140" i="4" a="1"/>
  <c r="G1140" i="4" s="1"/>
  <c r="G1138" i="4" a="1"/>
  <c r="G1138" i="4" s="1"/>
  <c r="G1137" i="4" a="1"/>
  <c r="G1137" i="4" s="1"/>
  <c r="G1143" i="4" a="1"/>
  <c r="G1143" i="4" s="1"/>
  <c r="G1141" i="4" a="1"/>
  <c r="G1141" i="4" s="1"/>
  <c r="G1142" i="4" a="1"/>
  <c r="G1142" i="4" s="1"/>
  <c r="N183" i="12"/>
  <c r="AZ439" i="47" s="1"/>
  <c r="BG397" i="47" s="1"/>
  <c r="BH397" i="47" s="1"/>
  <c r="BI397" i="47" s="1"/>
  <c r="H170" i="43"/>
  <c r="H272" i="43" s="1"/>
  <c r="G631" i="17"/>
  <c r="N446" i="34"/>
  <c r="N567" i="34" s="1"/>
  <c r="G635" i="17"/>
  <c r="N637" i="17"/>
  <c r="L168" i="16"/>
  <c r="G237" i="13"/>
  <c r="G241" i="13" s="1"/>
  <c r="G439" i="13" s="1"/>
  <c r="L270" i="13"/>
  <c r="M156" i="12"/>
  <c r="M193" i="12" s="1"/>
  <c r="M196" i="12" s="1"/>
  <c r="L110" i="16"/>
  <c r="H216" i="43"/>
  <c r="H645" i="17"/>
  <c r="K171" i="16"/>
  <c r="K106" i="16"/>
  <c r="K138" i="16" s="1"/>
  <c r="K169" i="16"/>
  <c r="N508" i="17"/>
  <c r="N507" i="17"/>
  <c r="I169" i="16"/>
  <c r="I171" i="16"/>
  <c r="I170" i="16"/>
  <c r="F237" i="13"/>
  <c r="F243" i="13" s="1"/>
  <c r="F441" i="13" s="1"/>
  <c r="K168" i="16"/>
  <c r="K105" i="16"/>
  <c r="K137" i="16" s="1"/>
  <c r="H636" i="17"/>
  <c r="F1064" i="4"/>
  <c r="G606" i="17"/>
  <c r="J381" i="42"/>
  <c r="J547" i="42" s="1"/>
  <c r="N425" i="15"/>
  <c r="F257" i="13"/>
  <c r="G169" i="43"/>
  <c r="G271" i="43" s="1"/>
  <c r="L186" i="13"/>
  <c r="L121" i="50"/>
  <c r="F1068" i="4" a="1"/>
  <c r="F1068" i="4" s="1"/>
  <c r="N182" i="12"/>
  <c r="L271" i="13"/>
  <c r="M271" i="13"/>
  <c r="M269" i="13"/>
  <c r="N430" i="17" a="1"/>
  <c r="N430" i="17" s="1"/>
  <c r="N443" i="17" s="1"/>
  <c r="L453" i="34"/>
  <c r="L455" i="34" s="1"/>
  <c r="L563" i="34" s="1"/>
  <c r="F255" i="13"/>
  <c r="M276" i="13"/>
  <c r="N158" i="12" a="1"/>
  <c r="N158" i="12" s="1"/>
  <c r="N195" i="12" s="1"/>
  <c r="N196" i="12" s="1"/>
  <c r="L268" i="13"/>
  <c r="L275" i="13" s="1"/>
  <c r="M270" i="13"/>
  <c r="G609" i="17" a="1"/>
  <c r="G609" i="17" s="1"/>
  <c r="G612" i="17" a="1"/>
  <c r="G612" i="17" s="1"/>
  <c r="G167" i="43"/>
  <c r="G269" i="43" s="1"/>
  <c r="K175" i="50"/>
  <c r="M272" i="13"/>
  <c r="G105" i="16"/>
  <c r="G137" i="16" s="1"/>
  <c r="G106" i="16"/>
  <c r="G138" i="16" s="1"/>
  <c r="G446" i="34"/>
  <c r="G567" i="34" s="1"/>
  <c r="I446" i="34"/>
  <c r="I567" i="34" s="1"/>
  <c r="H453" i="34"/>
  <c r="H455" i="34" s="1"/>
  <c r="H563" i="34" s="1"/>
  <c r="L446" i="34"/>
  <c r="L567" i="34" s="1"/>
  <c r="H603" i="17"/>
  <c r="H597" i="17"/>
  <c r="H602" i="17"/>
  <c r="F456" i="34" a="1"/>
  <c r="G451" i="34"/>
  <c r="G503" i="17"/>
  <c r="G628" i="17"/>
  <c r="J127" i="16"/>
  <c r="M453" i="34"/>
  <c r="M455" i="34" s="1"/>
  <c r="M563" i="34" s="1"/>
  <c r="I453" i="34"/>
  <c r="K453" i="34"/>
  <c r="K455" i="34" s="1"/>
  <c r="K563" i="34" s="1"/>
  <c r="J446" i="34"/>
  <c r="J567" i="34" s="1"/>
  <c r="H627" i="17"/>
  <c r="H502" i="17"/>
  <c r="J168" i="16"/>
  <c r="J105" i="16"/>
  <c r="J137" i="16" s="1"/>
  <c r="F636" i="17"/>
  <c r="N547" i="17" a="1"/>
  <c r="N547" i="17" s="1"/>
  <c r="J104" i="16"/>
  <c r="J114" i="16" s="1"/>
  <c r="J128" i="16"/>
  <c r="F1070" i="4" a="1"/>
  <c r="F1070" i="4" s="1"/>
  <c r="N423" i="17" a="1"/>
  <c r="G1064" i="4" a="1"/>
  <c r="G1064" i="4" s="1"/>
  <c r="G614" i="17" a="1"/>
  <c r="G614" i="17" s="1"/>
  <c r="F757" i="14"/>
  <c r="N256" i="13"/>
  <c r="G1067" i="4" a="1"/>
  <c r="G1067" i="4" s="1"/>
  <c r="F1069" i="4" a="1"/>
  <c r="F1069" i="4" s="1"/>
  <c r="F1071" i="4" a="1"/>
  <c r="F1071" i="4" s="1"/>
  <c r="I167" i="43"/>
  <c r="I269" i="43" s="1"/>
  <c r="G615" i="17" a="1"/>
  <c r="G615" i="17" s="1"/>
  <c r="G617" i="17" a="1"/>
  <c r="G617" i="17" s="1"/>
  <c r="F508" i="17"/>
  <c r="G171" i="16"/>
  <c r="G169" i="16"/>
  <c r="N638" i="17"/>
  <c r="H544" i="17" a="1"/>
  <c r="I170" i="43"/>
  <c r="I272" i="43" s="1"/>
  <c r="F1065" i="4" a="1"/>
  <c r="F1065" i="4" s="1"/>
  <c r="F1066" i="4" a="1"/>
  <c r="F1066" i="4" s="1"/>
  <c r="I169" i="43"/>
  <c r="I271" i="43" s="1"/>
  <c r="G610" i="17" a="1"/>
  <c r="G610" i="17" s="1"/>
  <c r="G611" i="17" a="1"/>
  <c r="G611" i="17" s="1"/>
  <c r="G613" i="17" a="1"/>
  <c r="G613" i="17" s="1"/>
  <c r="G104" i="16"/>
  <c r="G136" i="16" s="1"/>
  <c r="G127" i="16"/>
  <c r="G128" i="16" s="1"/>
  <c r="H639" i="17"/>
  <c r="J453" i="34"/>
  <c r="J455" i="34" s="1"/>
  <c r="J563" i="34" s="1"/>
  <c r="N453" i="34"/>
  <c r="N455" i="34" s="1"/>
  <c r="F114" i="16"/>
  <c r="F118" i="16" s="1"/>
  <c r="F1067" i="4" a="1"/>
  <c r="F1067" i="4" s="1"/>
  <c r="I216" i="43"/>
  <c r="G616" i="17" a="1"/>
  <c r="G616" i="17" s="1"/>
  <c r="G632" i="17"/>
  <c r="G648" i="17" s="1"/>
  <c r="G168" i="16"/>
  <c r="G636" i="17"/>
  <c r="G170" i="16"/>
  <c r="N567" i="17" a="1"/>
  <c r="N567" i="17" s="1"/>
  <c r="N542" i="17" a="1"/>
  <c r="N542" i="17" s="1"/>
  <c r="L104" i="16"/>
  <c r="L136" i="16" s="1"/>
  <c r="N374" i="17" a="1"/>
  <c r="N374" i="17" s="1"/>
  <c r="N540" i="17" a="1"/>
  <c r="N540" i="17" s="1"/>
  <c r="L169" i="16"/>
  <c r="G570" i="17" a="1"/>
  <c r="G570" i="17" s="1"/>
  <c r="J357" i="34"/>
  <c r="J469" i="34" s="1"/>
  <c r="L127" i="16"/>
  <c r="L126" i="16"/>
  <c r="K114" i="16"/>
  <c r="K118" i="16" s="1"/>
  <c r="L106" i="16"/>
  <c r="L138" i="16" s="1"/>
  <c r="N258" i="13"/>
  <c r="L105" i="16"/>
  <c r="L137" i="16" s="1"/>
  <c r="L170" i="16"/>
  <c r="G407" i="17" a="1"/>
  <c r="G407" i="17" s="1"/>
  <c r="F613" i="17" a="1"/>
  <c r="N405" i="17" a="1"/>
  <c r="N405" i="17" s="1"/>
  <c r="F254" i="13"/>
  <c r="F274" i="13" s="1"/>
  <c r="G1072" i="4" a="1"/>
  <c r="G1072" i="4" s="1"/>
  <c r="N543" i="17" a="1"/>
  <c r="N543" i="17" s="1"/>
  <c r="G400" i="17" a="1"/>
  <c r="G400" i="17" s="1"/>
  <c r="F627" i="17"/>
  <c r="N371" i="17"/>
  <c r="F628" i="17"/>
  <c r="H172" i="16"/>
  <c r="N503" i="17"/>
  <c r="N510" i="17" s="1"/>
  <c r="F247" i="13"/>
  <c r="F277" i="13" s="1"/>
  <c r="F268" i="13"/>
  <c r="F261" i="13"/>
  <c r="G191" i="13"/>
  <c r="G268" i="13" s="1"/>
  <c r="G1071" i="4" a="1"/>
  <c r="G1071" i="4" s="1"/>
  <c r="G1065" i="4" a="1"/>
  <c r="G1065" i="4" s="1"/>
  <c r="N633" i="17"/>
  <c r="N627" i="17"/>
  <c r="I429" i="17" a="1"/>
  <c r="N565" i="17" a="1"/>
  <c r="N565" i="17" s="1"/>
  <c r="N373" i="17" a="1"/>
  <c r="N373" i="17" s="1"/>
  <c r="N367" i="17" a="1"/>
  <c r="N367" i="17" s="1"/>
  <c r="N544" i="17" a="1"/>
  <c r="N544" i="17" s="1"/>
  <c r="N546" i="17" a="1"/>
  <c r="N546" i="17" s="1"/>
  <c r="G639" i="17"/>
  <c r="G1066" i="4" a="1"/>
  <c r="G1066" i="4" s="1"/>
  <c r="G1070" i="4" a="1"/>
  <c r="G1070" i="4" s="1"/>
  <c r="N363" i="17"/>
  <c r="N113" i="30"/>
  <c r="I422" i="17" a="1"/>
  <c r="I422" i="17" s="1"/>
  <c r="I435" i="17" s="1"/>
  <c r="I536" i="17" s="1"/>
  <c r="N406" i="17" a="1"/>
  <c r="N406" i="17" s="1"/>
  <c r="N375" i="17" a="1"/>
  <c r="N375" i="17" s="1"/>
  <c r="N368" i="17" a="1"/>
  <c r="N368" i="17" s="1"/>
  <c r="N541" i="17" a="1"/>
  <c r="N541" i="17" s="1"/>
  <c r="N539" i="17" a="1"/>
  <c r="N539" i="17" s="1"/>
  <c r="G1061" i="4"/>
  <c r="G1069" i="4" a="1"/>
  <c r="G1069" i="4" s="1"/>
  <c r="N372" i="17" a="1"/>
  <c r="N372" i="17" s="1"/>
  <c r="N369" i="17" a="1"/>
  <c r="N369" i="17" s="1"/>
  <c r="N553" i="17" s="1"/>
  <c r="N370" i="17" a="1"/>
  <c r="N370" i="17" s="1"/>
  <c r="N545" i="17" a="1"/>
  <c r="N545" i="17" s="1"/>
  <c r="N426" i="17" a="1"/>
  <c r="F616" i="17" a="1"/>
  <c r="F616" i="17" s="1"/>
  <c r="G565" i="17" a="1"/>
  <c r="G565" i="17" s="1"/>
  <c r="N570" i="17" a="1"/>
  <c r="N570" i="17" s="1"/>
  <c r="F631" i="17"/>
  <c r="G647" i="17" s="1"/>
  <c r="N631" i="17"/>
  <c r="H652" i="17"/>
  <c r="J255" i="13"/>
  <c r="N395" i="17"/>
  <c r="H601" i="17"/>
  <c r="F610" i="17" a="1"/>
  <c r="N427" i="17" a="1"/>
  <c r="N427" i="17" s="1"/>
  <c r="N440" i="17" s="1"/>
  <c r="N429" i="17" a="1"/>
  <c r="N399" i="17" a="1"/>
  <c r="N399" i="17" s="1"/>
  <c r="N407" i="17" a="1"/>
  <c r="N407" i="17" s="1"/>
  <c r="N571" i="17" a="1"/>
  <c r="N571" i="17" s="1"/>
  <c r="N569" i="17" a="1"/>
  <c r="N569" i="17" s="1"/>
  <c r="G638" i="17"/>
  <c r="H654" i="17" s="1"/>
  <c r="G406" i="17" a="1"/>
  <c r="G406" i="17" s="1"/>
  <c r="G568" i="17" a="1"/>
  <c r="G568" i="17" s="1"/>
  <c r="G404" i="17" a="1"/>
  <c r="G404" i="17" s="1"/>
  <c r="H594" i="17"/>
  <c r="F502" i="17"/>
  <c r="F507" i="17"/>
  <c r="J258" i="13"/>
  <c r="J256" i="13"/>
  <c r="J257" i="13"/>
  <c r="H595" i="17"/>
  <c r="H604" i="17"/>
  <c r="F615" i="17" a="1"/>
  <c r="F615" i="17" s="1"/>
  <c r="N424" i="17" a="1"/>
  <c r="N424" i="17" s="1"/>
  <c r="N437" i="17" s="1"/>
  <c r="N422" i="17" a="1"/>
  <c r="N422" i="17" s="1"/>
  <c r="N435" i="17" s="1"/>
  <c r="N536" i="17" s="1"/>
  <c r="N404" i="17" a="1"/>
  <c r="N404" i="17" s="1"/>
  <c r="N402" i="17" a="1"/>
  <c r="N402" i="17" s="1"/>
  <c r="N403" i="17" a="1"/>
  <c r="N403" i="17" s="1"/>
  <c r="N564" i="17" a="1"/>
  <c r="N564" i="17" s="1"/>
  <c r="N566" i="17" a="1"/>
  <c r="N566" i="17" s="1"/>
  <c r="G567" i="17" a="1"/>
  <c r="G567" i="17" s="1"/>
  <c r="G563" i="17" a="1"/>
  <c r="G563" i="17" s="1"/>
  <c r="G405" i="17" a="1"/>
  <c r="G405" i="17" s="1"/>
  <c r="F569" i="34"/>
  <c r="N628" i="17"/>
  <c r="H600" i="17"/>
  <c r="H599" i="17"/>
  <c r="H605" i="17"/>
  <c r="G545" i="17" a="1"/>
  <c r="G545" i="17" s="1"/>
  <c r="N428" i="17" a="1"/>
  <c r="N428" i="17" s="1"/>
  <c r="N400" i="17" a="1"/>
  <c r="N400" i="17" s="1"/>
  <c r="N401" i="17" a="1"/>
  <c r="N401" i="17" s="1"/>
  <c r="N563" i="17" a="1"/>
  <c r="N563" i="17" s="1"/>
  <c r="N575" i="17" s="1"/>
  <c r="N568" i="17" a="1"/>
  <c r="N568" i="17" s="1"/>
  <c r="G401" i="17" a="1"/>
  <c r="G401" i="17" s="1"/>
  <c r="G399" i="17" a="1"/>
  <c r="G399" i="17" s="1"/>
  <c r="G564" i="17" a="1"/>
  <c r="G564" i="17" s="1"/>
  <c r="F566" i="34"/>
  <c r="H426" i="34"/>
  <c r="H428" i="34" s="1"/>
  <c r="H445" i="34" s="1"/>
  <c r="H378" i="34"/>
  <c r="G571" i="17" a="1"/>
  <c r="G571" i="17" s="1"/>
  <c r="G566" i="17" a="1"/>
  <c r="G566" i="17" s="1"/>
  <c r="G402" i="17" a="1"/>
  <c r="G402" i="17" s="1"/>
  <c r="G569" i="17" a="1"/>
  <c r="G569" i="17" s="1"/>
  <c r="G403" i="17" a="1"/>
  <c r="G403" i="17" s="1"/>
  <c r="G395" i="17"/>
  <c r="N171" i="16"/>
  <c r="N104" i="16"/>
  <c r="N106" i="16"/>
  <c r="N138" i="16" s="1"/>
  <c r="N169" i="16"/>
  <c r="N127" i="16"/>
  <c r="AZ457" i="47" s="1"/>
  <c r="BG394" i="47" s="1"/>
  <c r="BH394" i="47" s="1"/>
  <c r="BI394" i="47" s="1"/>
  <c r="N110" i="16"/>
  <c r="N126" i="16"/>
  <c r="N168" i="16"/>
  <c r="N105" i="16"/>
  <c r="N137" i="16" s="1"/>
  <c r="N170" i="16"/>
  <c r="I429" i="17"/>
  <c r="I455" i="34"/>
  <c r="I456" i="34" s="1" a="1"/>
  <c r="I458" i="34" s="1"/>
  <c r="F459" i="34"/>
  <c r="F487" i="34" s="1"/>
  <c r="G455" i="34"/>
  <c r="G563" i="34" s="1"/>
  <c r="J172" i="16"/>
  <c r="F400" i="17" a="1"/>
  <c r="F400" i="17" s="1"/>
  <c r="F568" i="17" a="1"/>
  <c r="F404" i="17" a="1"/>
  <c r="F404" i="17" s="1"/>
  <c r="N600" i="17"/>
  <c r="F614" i="17" a="1"/>
  <c r="F614" i="17" s="1"/>
  <c r="F566" i="17" a="1"/>
  <c r="F566" i="17" s="1"/>
  <c r="F612" i="17" a="1"/>
  <c r="F612" i="17" s="1"/>
  <c r="F617" i="17" a="1"/>
  <c r="F617" i="17" s="1"/>
  <c r="F546" i="17" a="1"/>
  <c r="F546" i="17" s="1"/>
  <c r="F569" i="17" a="1"/>
  <c r="F569" i="17" s="1"/>
  <c r="F570" i="17" a="1"/>
  <c r="F570" i="17" s="1"/>
  <c r="F563" i="17" a="1"/>
  <c r="F563" i="17" s="1"/>
  <c r="H229" i="43"/>
  <c r="F571" i="17" a="1"/>
  <c r="F571" i="17" s="1"/>
  <c r="F565" i="17" a="1"/>
  <c r="F565" i="17" s="1"/>
  <c r="F611" i="17" a="1"/>
  <c r="F611" i="17" s="1"/>
  <c r="F609" i="17" a="1"/>
  <c r="F609" i="17" s="1"/>
  <c r="F407" i="17" a="1"/>
  <c r="F407" i="17" s="1"/>
  <c r="F567" i="17" a="1"/>
  <c r="F567" i="17" s="1"/>
  <c r="N418" i="17"/>
  <c r="G646" i="17"/>
  <c r="F639" i="17"/>
  <c r="H442" i="17"/>
  <c r="H444" i="17" s="1"/>
  <c r="H431" i="17"/>
  <c r="H650" i="17"/>
  <c r="G507" i="17"/>
  <c r="J87" i="32"/>
  <c r="J217" i="10"/>
  <c r="H885" i="4"/>
  <c r="H881" i="4"/>
  <c r="H880" i="4"/>
  <c r="H876" i="4"/>
  <c r="H875" i="4"/>
  <c r="H874" i="4"/>
  <c r="H878" i="4"/>
  <c r="H882" i="4"/>
  <c r="H879" i="4"/>
  <c r="H886" i="4"/>
  <c r="H883" i="4"/>
  <c r="H899" i="4" s="1"/>
  <c r="H884" i="4"/>
  <c r="H877" i="4"/>
  <c r="F568" i="17"/>
  <c r="F503" i="17"/>
  <c r="N423" i="17"/>
  <c r="N436" i="17" s="1"/>
  <c r="H503" i="17"/>
  <c r="N255" i="13"/>
  <c r="H169" i="43"/>
  <c r="H271" i="43" s="1"/>
  <c r="H168" i="43"/>
  <c r="H270" i="43" s="1"/>
  <c r="I110" i="32"/>
  <c r="I111" i="32" s="1"/>
  <c r="H651" i="17"/>
  <c r="H632" i="17"/>
  <c r="F401" i="17" a="1"/>
  <c r="F401" i="17" s="1"/>
  <c r="F629" i="17"/>
  <c r="G645" i="17" s="1"/>
  <c r="G651" i="17"/>
  <c r="F564" i="17" a="1"/>
  <c r="F564" i="17" s="1"/>
  <c r="F403" i="17" a="1"/>
  <c r="F403" i="17" s="1"/>
  <c r="F399" i="17" a="1"/>
  <c r="F399" i="17" s="1"/>
  <c r="F402" i="17" a="1"/>
  <c r="F402" i="17" s="1"/>
  <c r="F405" i="17" a="1"/>
  <c r="F405" i="17" s="1"/>
  <c r="F395" i="17"/>
  <c r="F406" i="17" a="1"/>
  <c r="F406" i="17" s="1"/>
  <c r="F610" i="17"/>
  <c r="F606" i="17"/>
  <c r="F613" i="17"/>
  <c r="F139" i="16"/>
  <c r="G547" i="17" a="1"/>
  <c r="G547" i="17" s="1"/>
  <c r="N426" i="17"/>
  <c r="N439" i="17" s="1"/>
  <c r="N429" i="17"/>
  <c r="N425" i="17"/>
  <c r="N438" i="17" s="1"/>
  <c r="H647" i="17"/>
  <c r="G371" i="17" a="1"/>
  <c r="G371" i="17" s="1"/>
  <c r="F373" i="17" a="1"/>
  <c r="F373" i="17" s="1"/>
  <c r="F367" i="17" a="1"/>
  <c r="F367" i="17" s="1"/>
  <c r="H508" i="17"/>
  <c r="N601" i="17"/>
  <c r="G372" i="17" a="1"/>
  <c r="G372" i="17" s="1"/>
  <c r="F375" i="17" a="1"/>
  <c r="F375" i="17" s="1"/>
  <c r="N254" i="13"/>
  <c r="N274" i="13" s="1"/>
  <c r="F544" i="17" a="1"/>
  <c r="F544" i="17" s="1"/>
  <c r="I418" i="17"/>
  <c r="N605" i="17"/>
  <c r="N598" i="17"/>
  <c r="N186" i="13"/>
  <c r="O186" i="13" s="1"/>
  <c r="G508" i="17"/>
  <c r="I1050" i="4"/>
  <c r="I1048" i="4"/>
  <c r="I426" i="17" a="1"/>
  <c r="I426" i="17" s="1"/>
  <c r="I439" i="17" s="1"/>
  <c r="M18" i="48"/>
  <c r="N18" i="48"/>
  <c r="I18" i="48"/>
  <c r="F68" i="48"/>
  <c r="F66" i="48"/>
  <c r="G18" i="48"/>
  <c r="H18" i="48"/>
  <c r="L18" i="48"/>
  <c r="K18" i="48"/>
  <c r="J18" i="48"/>
  <c r="F172" i="16"/>
  <c r="G650" i="17"/>
  <c r="F633" i="17"/>
  <c r="G653" i="17"/>
  <c r="G502" i="17"/>
  <c r="N603" i="17"/>
  <c r="N595" i="17"/>
  <c r="N597" i="17"/>
  <c r="G633" i="17"/>
  <c r="H649" i="17" s="1"/>
  <c r="G370" i="17" a="1"/>
  <c r="G370" i="17" s="1"/>
  <c r="G369" i="17" a="1"/>
  <c r="G369" i="17" s="1"/>
  <c r="G368" i="17" a="1"/>
  <c r="G368" i="17" s="1"/>
  <c r="G540" i="17" a="1"/>
  <c r="G540" i="17" s="1"/>
  <c r="G542" i="17" a="1"/>
  <c r="G542" i="17" s="1"/>
  <c r="G554" i="17" s="1"/>
  <c r="I423" i="17" a="1"/>
  <c r="I423" i="17" s="1"/>
  <c r="I436" i="17" s="1"/>
  <c r="I428" i="17" a="1"/>
  <c r="I428" i="17" s="1"/>
  <c r="F368" i="17" a="1"/>
  <c r="F368" i="17" s="1"/>
  <c r="F374" i="17" a="1"/>
  <c r="F374" i="17" s="1"/>
  <c r="F541" i="17" a="1"/>
  <c r="F541" i="17" s="1"/>
  <c r="F539" i="17" a="1"/>
  <c r="F539" i="17" s="1"/>
  <c r="G884" i="4"/>
  <c r="G900" i="4" s="1"/>
  <c r="G363" i="17"/>
  <c r="N599" i="17"/>
  <c r="N604" i="17"/>
  <c r="N596" i="17"/>
  <c r="G367" i="17" a="1"/>
  <c r="G367" i="17" s="1"/>
  <c r="G375" i="17" a="1"/>
  <c r="G375" i="17" s="1"/>
  <c r="G539" i="17" a="1"/>
  <c r="G539" i="17" s="1"/>
  <c r="G544" i="17" a="1"/>
  <c r="G544" i="17" s="1"/>
  <c r="G546" i="17" a="1"/>
  <c r="G546" i="17" s="1"/>
  <c r="I430" i="17" a="1"/>
  <c r="I430" i="17" s="1"/>
  <c r="I443" i="17" s="1"/>
  <c r="I425" i="17" a="1"/>
  <c r="I425" i="17" s="1"/>
  <c r="I438" i="17" s="1"/>
  <c r="F371" i="17" a="1"/>
  <c r="F371" i="17" s="1"/>
  <c r="F370" i="17" a="1"/>
  <c r="F370" i="17" s="1"/>
  <c r="F545" i="17" a="1"/>
  <c r="F545" i="17" s="1"/>
  <c r="F543" i="17" a="1"/>
  <c r="F543" i="17" s="1"/>
  <c r="H564" i="17" a="1"/>
  <c r="F638" i="17"/>
  <c r="G877" i="4"/>
  <c r="G893" i="4" s="1"/>
  <c r="G879" i="4"/>
  <c r="G895" i="4" s="1"/>
  <c r="F363" i="17"/>
  <c r="G374" i="17" a="1"/>
  <c r="G374" i="17" s="1"/>
  <c r="G373" i="17" a="1"/>
  <c r="G373" i="17" s="1"/>
  <c r="G543" i="17" a="1"/>
  <c r="G543" i="17" s="1"/>
  <c r="G541" i="17" a="1"/>
  <c r="G541" i="17" s="1"/>
  <c r="I424" i="17" a="1"/>
  <c r="I424" i="17" s="1"/>
  <c r="I437" i="17" s="1"/>
  <c r="I427" i="17" a="1"/>
  <c r="I427" i="17" s="1"/>
  <c r="I440" i="17" s="1"/>
  <c r="F369" i="17" a="1"/>
  <c r="F369" i="17" s="1"/>
  <c r="F372" i="17" a="1"/>
  <c r="F372" i="17" s="1"/>
  <c r="F540" i="17" a="1"/>
  <c r="F540" i="17" s="1"/>
  <c r="F542" i="17" a="1"/>
  <c r="F542" i="17" s="1"/>
  <c r="F547" i="17" a="1"/>
  <c r="F547" i="17" s="1"/>
  <c r="N594" i="17"/>
  <c r="N593" i="17"/>
  <c r="F120" i="18" a="1"/>
  <c r="F120" i="18" s="1"/>
  <c r="F164" i="18" s="1"/>
  <c r="H614" i="17" a="1"/>
  <c r="H403" i="17" a="1"/>
  <c r="H401" i="17" a="1"/>
  <c r="H401" i="17" s="1"/>
  <c r="H566" i="17" a="1"/>
  <c r="H566" i="17" s="1"/>
  <c r="H571" i="17" a="1"/>
  <c r="H571" i="17" s="1"/>
  <c r="L62" i="31"/>
  <c r="AM62" i="19"/>
  <c r="AM62" i="31" s="1"/>
  <c r="H374" i="17" a="1"/>
  <c r="H374" i="17" s="1"/>
  <c r="H373" i="17" a="1"/>
  <c r="H373" i="17" s="1"/>
  <c r="H375" i="17" a="1"/>
  <c r="H543" i="17" a="1"/>
  <c r="H543" i="17" s="1"/>
  <c r="H541" i="17" a="1"/>
  <c r="H541" i="17" s="1"/>
  <c r="H330" i="17"/>
  <c r="I593" i="17" a="1"/>
  <c r="I594" i="17" s="1"/>
  <c r="I350" i="17" a="1"/>
  <c r="I351" i="17" s="1"/>
  <c r="I382" i="17" a="1"/>
  <c r="I383" i="17" s="1"/>
  <c r="G883" i="4"/>
  <c r="G899" i="4" s="1"/>
  <c r="F879" i="4"/>
  <c r="F895" i="4" s="1"/>
  <c r="G874" i="4"/>
  <c r="G890" i="4" s="1"/>
  <c r="N520" i="17" a="1"/>
  <c r="N520" i="17" s="1"/>
  <c r="N724" i="17" s="1"/>
  <c r="N523" i="17" a="1"/>
  <c r="N523" i="17" s="1"/>
  <c r="N727" i="17" s="1"/>
  <c r="N519" i="17" a="1"/>
  <c r="N522" i="17" a="1"/>
  <c r="N516" i="17" a="1"/>
  <c r="N516" i="17" s="1"/>
  <c r="N720" i="17" s="1"/>
  <c r="N515" i="17" a="1"/>
  <c r="N515" i="17" s="1"/>
  <c r="N521" i="17" a="1"/>
  <c r="N517" i="17" a="1"/>
  <c r="N518" i="17" a="1"/>
  <c r="N518" i="17" s="1"/>
  <c r="N722" i="17" s="1"/>
  <c r="H404" i="17" a="1"/>
  <c r="H404" i="17" s="1"/>
  <c r="H406" i="17" a="1"/>
  <c r="H406" i="17" s="1"/>
  <c r="H407" i="17" a="1"/>
  <c r="H407" i="17" s="1"/>
  <c r="H570" i="17" a="1"/>
  <c r="L8" i="31"/>
  <c r="AM8" i="19"/>
  <c r="AM8" i="31" s="1"/>
  <c r="H370" i="17" a="1"/>
  <c r="H370" i="17" s="1"/>
  <c r="H368" i="17" a="1"/>
  <c r="H368" i="17" s="1"/>
  <c r="H542" i="17" a="1"/>
  <c r="H542" i="17" s="1"/>
  <c r="H547" i="17" a="1"/>
  <c r="H547" i="17" s="1"/>
  <c r="H545" i="17" a="1"/>
  <c r="J659" i="17"/>
  <c r="J660" i="17" s="1"/>
  <c r="J426" i="17" a="1"/>
  <c r="J426" i="17" s="1"/>
  <c r="J439" i="17" s="1"/>
  <c r="J430" i="17" a="1"/>
  <c r="J430" i="17" s="1"/>
  <c r="J443" i="17" s="1"/>
  <c r="J429" i="17" a="1"/>
  <c r="J429" i="17" s="1"/>
  <c r="J423" i="17" a="1"/>
  <c r="J423" i="17" s="1"/>
  <c r="J436" i="17" s="1"/>
  <c r="J422" i="17" a="1"/>
  <c r="J422" i="17" s="1"/>
  <c r="J424" i="17" a="1"/>
  <c r="J424" i="17" s="1"/>
  <c r="J437" i="17" s="1"/>
  <c r="J427" i="17" a="1"/>
  <c r="J427" i="17" s="1"/>
  <c r="J440" i="17" s="1"/>
  <c r="J428" i="17" a="1"/>
  <c r="J428" i="17" s="1"/>
  <c r="J425" i="17" a="1"/>
  <c r="J425" i="17" s="1"/>
  <c r="J438" i="17" s="1"/>
  <c r="H403" i="17"/>
  <c r="G876" i="4"/>
  <c r="G892" i="4" s="1"/>
  <c r="H399" i="17" a="1"/>
  <c r="H399" i="17" s="1"/>
  <c r="H405" i="17" a="1"/>
  <c r="H405" i="17" s="1"/>
  <c r="H565" i="17" a="1"/>
  <c r="H565" i="17" s="1"/>
  <c r="H563" i="17" a="1"/>
  <c r="H568" i="17" a="1"/>
  <c r="H568" i="17" s="1"/>
  <c r="H367" i="17" a="1"/>
  <c r="H367" i="17" s="1"/>
  <c r="H369" i="17" a="1"/>
  <c r="H369" i="17" s="1"/>
  <c r="H546" i="17" a="1"/>
  <c r="H540" i="17" a="1"/>
  <c r="H540" i="17" s="1"/>
  <c r="K415" i="17"/>
  <c r="K417" i="17"/>
  <c r="G875" i="4"/>
  <c r="G891" i="4" s="1"/>
  <c r="F122" i="18" a="1"/>
  <c r="F122" i="18" s="1"/>
  <c r="F166" i="18" s="1"/>
  <c r="F121" i="18" a="1"/>
  <c r="F121" i="18" s="1"/>
  <c r="F165" i="18" s="1"/>
  <c r="F457" i="34"/>
  <c r="F458" i="34"/>
  <c r="F456" i="34"/>
  <c r="H402" i="17" a="1"/>
  <c r="H402" i="17" s="1"/>
  <c r="H400" i="17" a="1"/>
  <c r="H400" i="17" s="1"/>
  <c r="H569" i="17" a="1"/>
  <c r="H567" i="17" a="1"/>
  <c r="H567" i="17" s="1"/>
  <c r="H372" i="17" a="1"/>
  <c r="H372" i="17" s="1"/>
  <c r="H371" i="17" a="1"/>
  <c r="H539" i="17" a="1"/>
  <c r="I675" i="4"/>
  <c r="J693" i="4" s="1"/>
  <c r="K185" i="12"/>
  <c r="I283" i="15"/>
  <c r="H423" i="15"/>
  <c r="H410" i="15"/>
  <c r="H421" i="15" s="1"/>
  <c r="H414" i="15"/>
  <c r="J185" i="12"/>
  <c r="G445" i="34"/>
  <c r="G566" i="34" s="1"/>
  <c r="K196" i="12"/>
  <c r="J545" i="42"/>
  <c r="J550" i="42" s="1"/>
  <c r="M128" i="16"/>
  <c r="N577" i="17"/>
  <c r="F154" i="18"/>
  <c r="F156" i="18" s="1"/>
  <c r="G787" i="14"/>
  <c r="M172" i="16"/>
  <c r="G721" i="14"/>
  <c r="G777" i="14" s="1"/>
  <c r="J787" i="14"/>
  <c r="J721" i="14"/>
  <c r="J777" i="14" s="1"/>
  <c r="F787" i="14"/>
  <c r="F721" i="14"/>
  <c r="F777" i="14" s="1"/>
  <c r="M787" i="14"/>
  <c r="M721" i="14"/>
  <c r="M777" i="14" s="1"/>
  <c r="H721" i="14"/>
  <c r="H777" i="14" s="1"/>
  <c r="H787" i="14"/>
  <c r="L721" i="14"/>
  <c r="L777" i="14" s="1"/>
  <c r="L787" i="14"/>
  <c r="F772" i="14"/>
  <c r="I787" i="14"/>
  <c r="I721" i="14"/>
  <c r="I777" i="14" s="1"/>
  <c r="K787" i="14"/>
  <c r="K721" i="14"/>
  <c r="K777" i="14" s="1"/>
  <c r="N787" i="14"/>
  <c r="N721" i="14"/>
  <c r="N777" i="14" s="1"/>
  <c r="I623" i="14"/>
  <c r="G788" i="14"/>
  <c r="I604" i="14"/>
  <c r="N594" i="14"/>
  <c r="J593" i="14"/>
  <c r="N613" i="14"/>
  <c r="J631" i="14"/>
  <c r="F796" i="14"/>
  <c r="I139" i="16"/>
  <c r="I114" i="16"/>
  <c r="I117" i="16" s="1"/>
  <c r="I185" i="12"/>
  <c r="G225" i="10"/>
  <c r="F244" i="13"/>
  <c r="F442" i="13" s="1"/>
  <c r="M545" i="42"/>
  <c r="M550" i="42" s="1"/>
  <c r="F319" i="7"/>
  <c r="F437" i="13"/>
  <c r="F240" i="13"/>
  <c r="F438" i="13" s="1"/>
  <c r="F242" i="13"/>
  <c r="F440" i="13" s="1"/>
  <c r="F241" i="13"/>
  <c r="F439" i="13" s="1"/>
  <c r="G196" i="12"/>
  <c r="G217" i="10"/>
  <c r="I247" i="13"/>
  <c r="I277" i="13" s="1"/>
  <c r="H185" i="12"/>
  <c r="H217" i="10"/>
  <c r="J225" i="10"/>
  <c r="M185" i="12"/>
  <c r="K275" i="13"/>
  <c r="L233" i="10"/>
  <c r="G185" i="12"/>
  <c r="F196" i="12"/>
  <c r="K78" i="57"/>
  <c r="I248" i="13"/>
  <c r="L276" i="13"/>
  <c r="H454" i="13"/>
  <c r="J248" i="13"/>
  <c r="I87" i="32"/>
  <c r="J275" i="13"/>
  <c r="J196" i="12"/>
  <c r="I94" i="9"/>
  <c r="I100" i="9" s="1"/>
  <c r="K119" i="16"/>
  <c r="J251" i="13"/>
  <c r="I196" i="12"/>
  <c r="G588" i="14"/>
  <c r="G607" i="14"/>
  <c r="F965" i="14"/>
  <c r="J627" i="14"/>
  <c r="F947" i="14"/>
  <c r="J608" i="14"/>
  <c r="F705" i="14"/>
  <c r="F955" i="14"/>
  <c r="F945" i="14"/>
  <c r="F759" i="14"/>
  <c r="F774" i="14" s="1"/>
  <c r="F785" i="14"/>
  <c r="F964" i="14"/>
  <c r="N753" i="14"/>
  <c r="N778" i="14" s="1"/>
  <c r="F946" i="14"/>
  <c r="F804" i="14"/>
  <c r="F953" i="14"/>
  <c r="F972" i="14"/>
  <c r="F963" i="14"/>
  <c r="F971" i="14"/>
  <c r="F954" i="14"/>
  <c r="F944" i="14"/>
  <c r="F956" i="14"/>
  <c r="F962" i="14"/>
  <c r="F795" i="14"/>
  <c r="F974" i="14"/>
  <c r="J788" i="14"/>
  <c r="I788" i="14"/>
  <c r="F788" i="14"/>
  <c r="N788" i="14"/>
  <c r="H788" i="14"/>
  <c r="F753" i="14"/>
  <c r="F778" i="14" s="1"/>
  <c r="F758" i="14"/>
  <c r="F794" i="14" s="1"/>
  <c r="H753" i="14"/>
  <c r="H778" i="14" s="1"/>
  <c r="K788" i="14"/>
  <c r="K753" i="14"/>
  <c r="K778" i="14" s="1"/>
  <c r="L788" i="14"/>
  <c r="I753" i="14"/>
  <c r="I778" i="14" s="1"/>
  <c r="L753" i="14"/>
  <c r="L778" i="14" s="1"/>
  <c r="N558" i="17"/>
  <c r="N557" i="17"/>
  <c r="J662" i="4"/>
  <c r="I632" i="14"/>
  <c r="G612" i="14"/>
  <c r="I686" i="4"/>
  <c r="J704" i="4" s="1"/>
  <c r="M613" i="14"/>
  <c r="F435" i="17"/>
  <c r="F431" i="17"/>
  <c r="H175" i="50"/>
  <c r="H121" i="50"/>
  <c r="G435" i="17"/>
  <c r="G442" i="17" s="1"/>
  <c r="G431" i="17"/>
  <c r="H71" i="32"/>
  <c r="H74" i="32"/>
  <c r="H76" i="32" s="1"/>
  <c r="I237" i="13"/>
  <c r="I241" i="13" s="1"/>
  <c r="I439" i="13" s="1"/>
  <c r="I250" i="13"/>
  <c r="I186" i="13"/>
  <c r="J249" i="13"/>
  <c r="J247" i="13"/>
  <c r="J277" i="13" s="1"/>
  <c r="J186" i="13"/>
  <c r="G660" i="17"/>
  <c r="N233" i="10"/>
  <c r="AZ411" i="47"/>
  <c r="BF417" i="47" s="1"/>
  <c r="BH417" i="47" s="1"/>
  <c r="BI417" i="47" s="1"/>
  <c r="H247" i="13"/>
  <c r="H277" i="13" s="1"/>
  <c r="I710" i="4"/>
  <c r="I711" i="4" s="1"/>
  <c r="J663" i="4"/>
  <c r="J701" i="4" s="1"/>
  <c r="I870" i="4"/>
  <c r="I871" i="4" s="1"/>
  <c r="I874" i="4" s="1" a="1"/>
  <c r="F886" i="4"/>
  <c r="F902" i="4" s="1"/>
  <c r="H1061" i="4"/>
  <c r="I1052" i="4"/>
  <c r="I1051" i="4"/>
  <c r="I1060" i="4"/>
  <c r="I1054" i="4"/>
  <c r="F885" i="4"/>
  <c r="F901" i="4" s="1"/>
  <c r="F884" i="4"/>
  <c r="F900" i="4" s="1"/>
  <c r="I1059" i="4"/>
  <c r="I1058" i="4"/>
  <c r="I1057" i="4"/>
  <c r="I1055" i="4"/>
  <c r="J1119" i="4" a="1"/>
  <c r="J1119" i="4" s="1"/>
  <c r="F874" i="4"/>
  <c r="F882" i="4"/>
  <c r="F898" i="4" s="1"/>
  <c r="H1136" i="4" a="1"/>
  <c r="H1136" i="4" s="1"/>
  <c r="F880" i="4"/>
  <c r="F896" i="4" s="1"/>
  <c r="J1048" i="4" a="1"/>
  <c r="J1052" i="4" s="1"/>
  <c r="I1053" i="4"/>
  <c r="I1056" i="4"/>
  <c r="N1146" i="4"/>
  <c r="N1300" i="4" s="1"/>
  <c r="H1066" i="4" a="1"/>
  <c r="H1066" i="4" s="1"/>
  <c r="H1072" i="4" a="1"/>
  <c r="H1072" i="4" s="1"/>
  <c r="H1070" i="4" a="1"/>
  <c r="H1070" i="4" s="1"/>
  <c r="H1071" i="4" a="1"/>
  <c r="H1071" i="4" s="1"/>
  <c r="H1068" i="4" a="1"/>
  <c r="H1068" i="4" s="1"/>
  <c r="H1067" i="4" a="1"/>
  <c r="H1067" i="4" s="1"/>
  <c r="H1065" i="4" a="1"/>
  <c r="H1065" i="4" s="1"/>
  <c r="H1069" i="4" a="1"/>
  <c r="H1069" i="4" s="1"/>
  <c r="H1064" i="4" a="1"/>
  <c r="H1064" i="4" s="1"/>
  <c r="L62" i="4"/>
  <c r="L754" i="4" s="1"/>
  <c r="L757" i="4" s="1"/>
  <c r="L1045" i="4" s="1"/>
  <c r="M59" i="4"/>
  <c r="H1142" i="4" a="1"/>
  <c r="H1142" i="4" s="1"/>
  <c r="H1137" i="4" a="1"/>
  <c r="H1137" i="4" s="1"/>
  <c r="H1141" i="4" a="1"/>
  <c r="H1141" i="4" s="1"/>
  <c r="H1132" i="4"/>
  <c r="G885" i="4"/>
  <c r="G881" i="4"/>
  <c r="G897" i="4" s="1"/>
  <c r="G882" i="4"/>
  <c r="G898" i="4" s="1"/>
  <c r="G886" i="4"/>
  <c r="G902" i="4" s="1"/>
  <c r="F875" i="4"/>
  <c r="F891" i="4" s="1"/>
  <c r="F877" i="4"/>
  <c r="F893" i="4" s="1"/>
  <c r="F878" i="4"/>
  <c r="F894" i="4" s="1"/>
  <c r="F881" i="4"/>
  <c r="F897" i="4" s="1"/>
  <c r="H1139" i="4" a="1"/>
  <c r="H1139" i="4" s="1"/>
  <c r="H1143" i="4" a="1"/>
  <c r="H1143" i="4" s="1"/>
  <c r="I1119" i="4"/>
  <c r="I1127" i="4"/>
  <c r="I1124" i="4"/>
  <c r="I1128" i="4"/>
  <c r="I1130" i="4"/>
  <c r="I1122" i="4"/>
  <c r="I1123" i="4"/>
  <c r="I1120" i="4"/>
  <c r="I1131" i="4"/>
  <c r="I1121" i="4"/>
  <c r="H1140" i="4" a="1"/>
  <c r="H1140" i="4" s="1"/>
  <c r="I1125" i="4"/>
  <c r="H1138" i="4" a="1"/>
  <c r="H1138" i="4" s="1"/>
  <c r="I1126" i="4"/>
  <c r="G878" i="4"/>
  <c r="F876" i="4"/>
  <c r="F892" i="4" s="1"/>
  <c r="H1135" i="4" a="1"/>
  <c r="H1135" i="4" s="1"/>
  <c r="I594" i="14"/>
  <c r="K117" i="16"/>
  <c r="L612" i="14"/>
  <c r="J90" i="9"/>
  <c r="J94" i="9" s="1"/>
  <c r="H545" i="42"/>
  <c r="H550" i="42" s="1"/>
  <c r="G593" i="14"/>
  <c r="K631" i="14"/>
  <c r="G100" i="9"/>
  <c r="G96" i="9"/>
  <c r="G97" i="9" s="1"/>
  <c r="G753" i="14"/>
  <c r="G778" i="14" s="1"/>
  <c r="L236" i="13"/>
  <c r="L247" i="13" s="1"/>
  <c r="L277" i="13" s="1"/>
  <c r="N545" i="42"/>
  <c r="N550" i="42" s="1"/>
  <c r="F547" i="42"/>
  <c r="F550" i="42" s="1"/>
  <c r="J603" i="14"/>
  <c r="N631" i="14"/>
  <c r="K627" i="14"/>
  <c r="H118" i="16"/>
  <c r="G363" i="13"/>
  <c r="G365" i="13" s="1"/>
  <c r="N593" i="14"/>
  <c r="K589" i="14"/>
  <c r="K863" i="4"/>
  <c r="J869" i="4"/>
  <c r="K862" i="4"/>
  <c r="K864" i="4"/>
  <c r="K861" i="4"/>
  <c r="G621" i="14"/>
  <c r="G583" i="14"/>
  <c r="G602" i="14"/>
  <c r="J443" i="42"/>
  <c r="K444" i="42" s="1"/>
  <c r="K445" i="42"/>
  <c r="L589" i="14"/>
  <c r="K545" i="42"/>
  <c r="K550" i="42" s="1"/>
  <c r="H119" i="16"/>
  <c r="K250" i="13"/>
  <c r="L608" i="14"/>
  <c r="H100" i="9"/>
  <c r="H116" i="9" s="1"/>
  <c r="G622" i="14"/>
  <c r="I547" i="42"/>
  <c r="I550" i="42" s="1"/>
  <c r="J622" i="14"/>
  <c r="J607" i="14"/>
  <c r="L593" i="14"/>
  <c r="H585" i="14"/>
  <c r="N567" i="14"/>
  <c r="N584" i="14" s="1"/>
  <c r="M594" i="14"/>
  <c r="K584" i="14"/>
  <c r="J588" i="14"/>
  <c r="J753" i="14"/>
  <c r="J778" i="14" s="1"/>
  <c r="F117" i="16"/>
  <c r="L594" i="14"/>
  <c r="H570" i="17"/>
  <c r="H186" i="13"/>
  <c r="G627" i="14"/>
  <c r="I564" i="34"/>
  <c r="I568" i="34"/>
  <c r="L613" i="14"/>
  <c r="I603" i="14"/>
  <c r="G186" i="13"/>
  <c r="I584" i="14"/>
  <c r="H196" i="12"/>
  <c r="H250" i="13"/>
  <c r="J630" i="14"/>
  <c r="J418" i="17"/>
  <c r="K335" i="17"/>
  <c r="L415" i="17" s="1" a="1"/>
  <c r="K416" i="17"/>
  <c r="F737" i="14"/>
  <c r="F776" i="14" s="1"/>
  <c r="F786" i="14"/>
  <c r="G608" i="14"/>
  <c r="M626" i="14"/>
  <c r="J592" i="14"/>
  <c r="K251" i="13"/>
  <c r="N1144" i="4"/>
  <c r="H623" i="14"/>
  <c r="G603" i="14"/>
  <c r="K603" i="14"/>
  <c r="M607" i="14"/>
  <c r="M631" i="14"/>
  <c r="K593" i="14"/>
  <c r="H622" i="14"/>
  <c r="H249" i="13"/>
  <c r="H248" i="13"/>
  <c r="K248" i="13"/>
  <c r="K186" i="13"/>
  <c r="G632" i="14"/>
  <c r="M593" i="14"/>
  <c r="I249" i="13"/>
  <c r="K249" i="13"/>
  <c r="G262" i="13"/>
  <c r="G255" i="13"/>
  <c r="H646" i="17"/>
  <c r="H563" i="17"/>
  <c r="H564" i="17"/>
  <c r="H395" i="17"/>
  <c r="L622" i="14"/>
  <c r="L584" i="14"/>
  <c r="H588" i="14"/>
  <c r="H607" i="14"/>
  <c r="I626" i="14"/>
  <c r="I588" i="14"/>
  <c r="M788" i="14"/>
  <c r="M753" i="14"/>
  <c r="M778" i="14" s="1"/>
  <c r="H572" i="14"/>
  <c r="N662" i="14"/>
  <c r="N680" i="14"/>
  <c r="H560" i="14"/>
  <c r="H577" i="14" s="1"/>
  <c r="G668" i="14"/>
  <c r="M602" i="14"/>
  <c r="M621" i="14"/>
  <c r="M663" i="14"/>
  <c r="M669" i="14" s="1"/>
  <c r="N555" i="14"/>
  <c r="N572" i="14" s="1"/>
  <c r="G663" i="14"/>
  <c r="G681" i="14"/>
  <c r="L551" i="14"/>
  <c r="L568" i="14" s="1"/>
  <c r="L604" i="14" s="1"/>
  <c r="K677" i="14"/>
  <c r="I648" i="14"/>
  <c r="I651" i="14" s="1"/>
  <c r="I684" i="14"/>
  <c r="I687" i="14" s="1"/>
  <c r="F256" i="13"/>
  <c r="F270" i="13"/>
  <c r="F272" i="13"/>
  <c r="F258" i="13"/>
  <c r="H432" i="15"/>
  <c r="H505" i="15"/>
  <c r="H411" i="15"/>
  <c r="N432" i="15"/>
  <c r="N411" i="15"/>
  <c r="N505" i="15"/>
  <c r="L196" i="12"/>
  <c r="L114" i="16"/>
  <c r="G114" i="16"/>
  <c r="M115" i="33"/>
  <c r="N79" i="33"/>
  <c r="N81" i="33" s="1"/>
  <c r="L411" i="15"/>
  <c r="L505" i="15"/>
  <c r="L432" i="15"/>
  <c r="G432" i="15"/>
  <c r="G411" i="15"/>
  <c r="G505" i="15"/>
  <c r="K571" i="14"/>
  <c r="M139" i="16"/>
  <c r="M103" i="33"/>
  <c r="M104" i="33"/>
  <c r="M505" i="15"/>
  <c r="M411" i="15"/>
  <c r="M432" i="15"/>
  <c r="I432" i="15"/>
  <c r="I411" i="15"/>
  <c r="I505" i="15"/>
  <c r="K505" i="15"/>
  <c r="K432" i="15"/>
  <c r="K411" i="15"/>
  <c r="L676" i="14"/>
  <c r="L687" i="14" s="1"/>
  <c r="I217" i="10"/>
  <c r="M186" i="13"/>
  <c r="L175" i="50"/>
  <c r="M114" i="16"/>
  <c r="K233" i="10"/>
  <c r="H316" i="7"/>
  <c r="J411" i="15"/>
  <c r="J505" i="15"/>
  <c r="J432" i="15"/>
  <c r="F432" i="15"/>
  <c r="F505" i="15"/>
  <c r="G648" i="14"/>
  <c r="G651" i="14" s="1"/>
  <c r="G666" i="14"/>
  <c r="G575" i="14"/>
  <c r="G684" i="14"/>
  <c r="H558" i="14"/>
  <c r="H575" i="14" s="1"/>
  <c r="J650" i="14"/>
  <c r="J651" i="14" s="1"/>
  <c r="K560" i="14"/>
  <c r="K577" i="14" s="1"/>
  <c r="J668" i="14"/>
  <c r="J669" i="14" s="1"/>
  <c r="J686" i="14"/>
  <c r="J687" i="14" s="1"/>
  <c r="F78" i="57"/>
  <c r="M78" i="57"/>
  <c r="I275" i="13"/>
  <c r="I276" i="13"/>
  <c r="K666" i="14"/>
  <c r="K669" i="14" s="1"/>
  <c r="K575" i="14"/>
  <c r="L558" i="14"/>
  <c r="L575" i="14" s="1"/>
  <c r="K684" i="14"/>
  <c r="K648" i="14"/>
  <c r="K651" i="14" s="1"/>
  <c r="H628" i="17"/>
  <c r="M627" i="14"/>
  <c r="G254" i="13"/>
  <c r="G274" i="13" s="1"/>
  <c r="G613" i="14"/>
  <c r="M608" i="14"/>
  <c r="M592" i="14"/>
  <c r="N607" i="14"/>
  <c r="N630" i="14"/>
  <c r="G248" i="13"/>
  <c r="G263" i="13"/>
  <c r="N640" i="14"/>
  <c r="N651" i="14" s="1"/>
  <c r="N676" i="14"/>
  <c r="N658" i="14"/>
  <c r="H602" i="14"/>
  <c r="H621" i="14"/>
  <c r="H583" i="14"/>
  <c r="I555" i="14"/>
  <c r="I572" i="14" s="1"/>
  <c r="H681" i="14"/>
  <c r="H687" i="14" s="1"/>
  <c r="H663" i="14"/>
  <c r="H669" i="14" s="1"/>
  <c r="H645" i="14"/>
  <c r="H651" i="14" s="1"/>
  <c r="J246" i="24"/>
  <c r="J377" i="24"/>
  <c r="M217" i="10"/>
  <c r="L185" i="12"/>
  <c r="G78" i="57"/>
  <c r="H450" i="42"/>
  <c r="G448" i="42"/>
  <c r="H449" i="42" s="1"/>
  <c r="H546" i="17"/>
  <c r="H363" i="17"/>
  <c r="H545" i="17"/>
  <c r="H371" i="17"/>
  <c r="H375" i="17"/>
  <c r="H544" i="17"/>
  <c r="H539" i="17"/>
  <c r="J577" i="14"/>
  <c r="N588" i="14"/>
  <c r="G249" i="13"/>
  <c r="H569" i="17"/>
  <c r="G568" i="14"/>
  <c r="H258" i="13"/>
  <c r="H272" i="13"/>
  <c r="I105" i="52"/>
  <c r="F167" i="8"/>
  <c r="F132" i="8"/>
  <c r="N79" i="32"/>
  <c r="N78" i="32"/>
  <c r="N119" i="32"/>
  <c r="H257" i="13"/>
  <c r="H271" i="13"/>
  <c r="L548" i="42"/>
  <c r="L545" i="42"/>
  <c r="M123" i="58"/>
  <c r="M124" i="58" s="1"/>
  <c r="H124" i="58"/>
  <c r="F127" i="8"/>
  <c r="F169" i="8"/>
  <c r="F117" i="9"/>
  <c r="F145" i="9"/>
  <c r="H269" i="13"/>
  <c r="H255" i="13"/>
  <c r="J585" i="14"/>
  <c r="H705" i="4"/>
  <c r="L607" i="14"/>
  <c r="J604" i="14"/>
  <c r="M611" i="14"/>
  <c r="H626" i="14"/>
  <c r="H584" i="14"/>
  <c r="G545" i="42"/>
  <c r="G550" i="42" s="1"/>
  <c r="H251" i="13"/>
  <c r="G250" i="13"/>
  <c r="G264" i="13"/>
  <c r="G265" i="13"/>
  <c r="G258" i="13"/>
  <c r="G256" i="13"/>
  <c r="F276" i="13"/>
  <c r="F275" i="13"/>
  <c r="F147" i="9"/>
  <c r="F112" i="9"/>
  <c r="F146" i="8"/>
  <c r="L334" i="13"/>
  <c r="L292" i="13"/>
  <c r="L313" i="13"/>
  <c r="L306" i="13"/>
  <c r="L327" i="13"/>
  <c r="L285" i="13"/>
  <c r="L320" i="13"/>
  <c r="L299" i="13"/>
  <c r="F126" i="9"/>
  <c r="N109" i="32"/>
  <c r="N110" i="32"/>
  <c r="H256" i="13"/>
  <c r="H270" i="13"/>
  <c r="I124" i="58"/>
  <c r="N123" i="58"/>
  <c r="N124" i="58" s="1"/>
  <c r="H263" i="13"/>
  <c r="H265" i="13"/>
  <c r="H262" i="13"/>
  <c r="H264" i="13"/>
  <c r="H261" i="13"/>
  <c r="H237" i="13"/>
  <c r="F165" i="8"/>
  <c r="F137" i="8"/>
  <c r="F107" i="9"/>
  <c r="F149" i="9"/>
  <c r="M77" i="52"/>
  <c r="M78" i="52" s="1"/>
  <c r="M79" i="52" s="1"/>
  <c r="I78" i="52"/>
  <c r="I79" i="52" s="1"/>
  <c r="G243" i="13"/>
  <c r="G441" i="13" s="1"/>
  <c r="H254" i="13"/>
  <c r="H274" i="13" s="1"/>
  <c r="H268" i="13"/>
  <c r="M211" i="13"/>
  <c r="N177" i="13"/>
  <c r="M236" i="13"/>
  <c r="G251" i="13"/>
  <c r="L626" i="14"/>
  <c r="G257" i="13"/>
  <c r="K604" i="14"/>
  <c r="K623" i="14"/>
  <c r="N611" i="14"/>
  <c r="H687" i="4"/>
  <c r="H455" i="42"/>
  <c r="G453" i="42"/>
  <c r="H454" i="42" s="1"/>
  <c r="I699" i="4"/>
  <c r="I681" i="4"/>
  <c r="J660" i="4"/>
  <c r="J661" i="4"/>
  <c r="I669" i="14"/>
  <c r="I698" i="4"/>
  <c r="I680" i="4"/>
  <c r="H132" i="6"/>
  <c r="H134" i="6" s="1"/>
  <c r="H166" i="6" s="1"/>
  <c r="I377" i="34"/>
  <c r="I421" i="34"/>
  <c r="I424" i="34" s="1"/>
  <c r="J376" i="34"/>
  <c r="I131" i="8"/>
  <c r="I156" i="8"/>
  <c r="I126" i="8"/>
  <c r="I136" i="8"/>
  <c r="H165" i="8"/>
  <c r="H137" i="8"/>
  <c r="L110" i="8"/>
  <c r="K155" i="8"/>
  <c r="K114" i="8"/>
  <c r="J263" i="13"/>
  <c r="J261" i="13"/>
  <c r="J262" i="13"/>
  <c r="J264" i="13"/>
  <c r="J265" i="13"/>
  <c r="J237" i="13"/>
  <c r="H169" i="8"/>
  <c r="H127" i="8"/>
  <c r="H146" i="8"/>
  <c r="M651" i="14"/>
  <c r="J304" i="13"/>
  <c r="J307" i="13" s="1"/>
  <c r="J457" i="13" s="1"/>
  <c r="J325" i="13"/>
  <c r="J328" i="13" s="1"/>
  <c r="J474" i="13" s="1"/>
  <c r="J297" i="13"/>
  <c r="J300" i="13" s="1"/>
  <c r="J456" i="13" s="1"/>
  <c r="J290" i="13"/>
  <c r="J293" i="13" s="1"/>
  <c r="J455" i="13" s="1"/>
  <c r="J283" i="13"/>
  <c r="J286" i="13" s="1"/>
  <c r="J332" i="13"/>
  <c r="J335" i="13" s="1"/>
  <c r="J475" i="13" s="1"/>
  <c r="J318" i="13"/>
  <c r="J321" i="13" s="1"/>
  <c r="J473" i="13" s="1"/>
  <c r="J311" i="13"/>
  <c r="J314" i="13" s="1"/>
  <c r="J472" i="13" s="1"/>
  <c r="I145" i="8"/>
  <c r="I144" i="8"/>
  <c r="I122" i="8"/>
  <c r="I154" i="8" s="1"/>
  <c r="H167" i="8"/>
  <c r="H132" i="8"/>
  <c r="I454" i="13"/>
  <c r="I363" i="13"/>
  <c r="I365" i="13" s="1"/>
  <c r="J116" i="8"/>
  <c r="J117" i="8" s="1"/>
  <c r="L368" i="34"/>
  <c r="K471" i="34"/>
  <c r="L175" i="13"/>
  <c r="K209" i="13"/>
  <c r="K234" i="13"/>
  <c r="L669" i="14"/>
  <c r="L651" i="14"/>
  <c r="H302" i="7"/>
  <c r="H211" i="7"/>
  <c r="J590" i="14"/>
  <c r="J628" i="14"/>
  <c r="J609" i="14"/>
  <c r="N590" i="14"/>
  <c r="N628" i="14"/>
  <c r="N609" i="14"/>
  <c r="M591" i="14"/>
  <c r="M610" i="14"/>
  <c r="M629" i="14"/>
  <c r="H606" i="14"/>
  <c r="H587" i="14"/>
  <c r="H625" i="14"/>
  <c r="N591" i="14"/>
  <c r="N610" i="14"/>
  <c r="N629" i="14"/>
  <c r="K590" i="14"/>
  <c r="K628" i="14"/>
  <c r="K609" i="14"/>
  <c r="M586" i="14"/>
  <c r="M624" i="14"/>
  <c r="M605" i="14"/>
  <c r="L606" i="14"/>
  <c r="L587" i="14"/>
  <c r="L625" i="14"/>
  <c r="K605" i="14"/>
  <c r="K624" i="14"/>
  <c r="K586" i="14"/>
  <c r="H629" i="14"/>
  <c r="H591" i="14"/>
  <c r="H610" i="14"/>
  <c r="M628" i="14"/>
  <c r="M609" i="14"/>
  <c r="M590" i="14"/>
  <c r="N587" i="14"/>
  <c r="N606" i="14"/>
  <c r="N625" i="14"/>
  <c r="L609" i="14"/>
  <c r="L628" i="14"/>
  <c r="L590" i="14"/>
  <c r="H628" i="14"/>
  <c r="H609" i="14"/>
  <c r="H590" i="14"/>
  <c r="I606" i="14"/>
  <c r="I625" i="14"/>
  <c r="I587" i="14"/>
  <c r="I609" i="14"/>
  <c r="I628" i="14"/>
  <c r="I590" i="14"/>
  <c r="H593" i="14"/>
  <c r="H631" i="14"/>
  <c r="H612" i="14"/>
  <c r="J686" i="4"/>
  <c r="L624" i="14"/>
  <c r="L586" i="14"/>
  <c r="L605" i="14"/>
  <c r="H605" i="14"/>
  <c r="H586" i="14"/>
  <c r="H624" i="14"/>
  <c r="J694" i="4"/>
  <c r="J676" i="4"/>
  <c r="I131" i="6"/>
  <c r="I168" i="6" s="1"/>
  <c r="I165" i="6"/>
  <c r="J697" i="4"/>
  <c r="J679" i="4"/>
  <c r="G210" i="7"/>
  <c r="G306" i="7" s="1"/>
  <c r="G305" i="7"/>
  <c r="K591" i="14"/>
  <c r="K610" i="14"/>
  <c r="K629" i="14"/>
  <c r="I624" i="14"/>
  <c r="I586" i="14"/>
  <c r="I605" i="14"/>
  <c r="K587" i="14"/>
  <c r="K625" i="14"/>
  <c r="K606" i="14"/>
  <c r="N624" i="14"/>
  <c r="N605" i="14"/>
  <c r="N586" i="14"/>
  <c r="L610" i="14"/>
  <c r="L591" i="14"/>
  <c r="L629" i="14"/>
  <c r="K655" i="4"/>
  <c r="J124" i="6"/>
  <c r="J125" i="6" s="1"/>
  <c r="J130" i="6" s="1"/>
  <c r="J138" i="6"/>
  <c r="M587" i="14"/>
  <c r="M625" i="14"/>
  <c r="M606" i="14"/>
  <c r="K169" i="7"/>
  <c r="J217" i="7"/>
  <c r="J248" i="7"/>
  <c r="I593" i="14"/>
  <c r="I612" i="14"/>
  <c r="I631" i="14"/>
  <c r="H125" i="9"/>
  <c r="H124" i="9"/>
  <c r="H102" i="9"/>
  <c r="H134" i="9" s="1"/>
  <c r="K657" i="4"/>
  <c r="J586" i="14"/>
  <c r="J624" i="14"/>
  <c r="J605" i="14"/>
  <c r="M585" i="14"/>
  <c r="M623" i="14"/>
  <c r="M604" i="14"/>
  <c r="K663" i="4"/>
  <c r="K656" i="4"/>
  <c r="G166" i="6"/>
  <c r="G167" i="6"/>
  <c r="M603" i="14"/>
  <c r="M584" i="14"/>
  <c r="M622" i="14"/>
  <c r="K167" i="7"/>
  <c r="J188" i="7"/>
  <c r="J170" i="7"/>
  <c r="J335" i="7" s="1"/>
  <c r="J236" i="7"/>
  <c r="G590" i="14"/>
  <c r="G609" i="14"/>
  <c r="G628" i="14"/>
  <c r="J685" i="4"/>
  <c r="J703" i="4"/>
  <c r="K168" i="7"/>
  <c r="J203" i="7"/>
  <c r="J242" i="7"/>
  <c r="M687" i="14"/>
  <c r="J677" i="4"/>
  <c r="J695" i="4"/>
  <c r="L118" i="6"/>
  <c r="K122" i="6"/>
  <c r="K177" i="6"/>
  <c r="J696" i="4"/>
  <c r="J678" i="4"/>
  <c r="J587" i="14"/>
  <c r="J606" i="14"/>
  <c r="J625" i="14"/>
  <c r="G610" i="14"/>
  <c r="G591" i="14"/>
  <c r="G629" i="14"/>
  <c r="I610" i="14"/>
  <c r="I629" i="14"/>
  <c r="I591" i="14"/>
  <c r="I337" i="7"/>
  <c r="G625" i="14"/>
  <c r="G606" i="14"/>
  <c r="G587" i="14"/>
  <c r="K666" i="4"/>
  <c r="N623" i="14"/>
  <c r="N604" i="14"/>
  <c r="N585" i="14"/>
  <c r="I592" i="14"/>
  <c r="I630" i="14"/>
  <c r="I611" i="14"/>
  <c r="K665" i="4"/>
  <c r="J684" i="4"/>
  <c r="J702" i="4"/>
  <c r="K662" i="4"/>
  <c r="J675" i="4"/>
  <c r="J179" i="6"/>
  <c r="K658" i="4"/>
  <c r="G624" i="14"/>
  <c r="G586" i="14"/>
  <c r="G605" i="14"/>
  <c r="J610" i="14"/>
  <c r="J591" i="14"/>
  <c r="J629" i="14"/>
  <c r="I189" i="7"/>
  <c r="I191" i="7" s="1"/>
  <c r="I193" i="7" s="1"/>
  <c r="I196" i="7" s="1"/>
  <c r="I233" i="7"/>
  <c r="I204" i="7"/>
  <c r="I206" i="7" s="1"/>
  <c r="I208" i="7" s="1"/>
  <c r="I239" i="7"/>
  <c r="K659" i="4"/>
  <c r="I218" i="7"/>
  <c r="I220" i="7" s="1"/>
  <c r="I222" i="7" s="1"/>
  <c r="I225" i="7" s="1"/>
  <c r="I245" i="7"/>
  <c r="I229" i="7"/>
  <c r="F464" i="34" l="1" a="1"/>
  <c r="F464" i="34" s="1"/>
  <c r="N579" i="17"/>
  <c r="H616" i="17" a="1"/>
  <c r="N185" i="12"/>
  <c r="N552" i="17"/>
  <c r="K456" i="34" a="1"/>
  <c r="H609" i="17" a="1"/>
  <c r="G640" i="17"/>
  <c r="G520" i="17" a="1"/>
  <c r="F1073" i="4"/>
  <c r="G1144" i="4"/>
  <c r="G1146" i="4"/>
  <c r="G1300" i="4" s="1"/>
  <c r="K626" i="4"/>
  <c r="K1048" i="4" s="1" a="1"/>
  <c r="J639" i="4"/>
  <c r="J654" i="4"/>
  <c r="I700" i="4"/>
  <c r="I682" i="4"/>
  <c r="J700" i="4" s="1"/>
  <c r="I674" i="4"/>
  <c r="I692" i="4"/>
  <c r="G139" i="16"/>
  <c r="G1073" i="4"/>
  <c r="G644" i="17"/>
  <c r="I172" i="16"/>
  <c r="K172" i="16"/>
  <c r="N640" i="17"/>
  <c r="N641" i="17" s="1"/>
  <c r="H644" i="17"/>
  <c r="G654" i="17"/>
  <c r="G451" i="17"/>
  <c r="G736" i="17" s="1"/>
  <c r="N578" i="17"/>
  <c r="N559" i="17"/>
  <c r="G620" i="17"/>
  <c r="G785" i="17" s="1"/>
  <c r="K139" i="16"/>
  <c r="G242" i="13"/>
  <c r="G440" i="13" s="1"/>
  <c r="G244" i="13"/>
  <c r="G442" i="13" s="1"/>
  <c r="G437" i="13"/>
  <c r="J136" i="16"/>
  <c r="J139" i="16" s="1"/>
  <c r="G579" i="17"/>
  <c r="H655" i="17"/>
  <c r="G652" i="17"/>
  <c r="N451" i="17"/>
  <c r="N736" i="17" s="1"/>
  <c r="N708" i="17" s="1"/>
  <c r="N517" i="17"/>
  <c r="N721" i="17" s="1"/>
  <c r="N522" i="17"/>
  <c r="N726" i="17" s="1"/>
  <c r="G172" i="16"/>
  <c r="G261" i="13"/>
  <c r="F119" i="16"/>
  <c r="G240" i="13"/>
  <c r="H648" i="17"/>
  <c r="G247" i="13"/>
  <c r="G277" i="13" s="1"/>
  <c r="G618" i="17"/>
  <c r="N521" i="17"/>
  <c r="N725" i="17" s="1"/>
  <c r="N519" i="17"/>
  <c r="N723" i="17" s="1"/>
  <c r="G577" i="17"/>
  <c r="L128" i="16"/>
  <c r="F558" i="17"/>
  <c r="N452" i="17"/>
  <c r="N737" i="17" s="1"/>
  <c r="G456" i="34" a="1"/>
  <c r="G456" i="34" s="1"/>
  <c r="F453" i="17"/>
  <c r="F738" i="17" s="1"/>
  <c r="N456" i="17"/>
  <c r="G655" i="17"/>
  <c r="F562" i="34"/>
  <c r="G583" i="17"/>
  <c r="N554" i="17"/>
  <c r="N456" i="34" a="1"/>
  <c r="N563" i="34"/>
  <c r="L172" i="16"/>
  <c r="N128" i="16"/>
  <c r="H456" i="34" a="1"/>
  <c r="H456" i="34" s="1"/>
  <c r="N454" i="17"/>
  <c r="N739" i="17" s="1"/>
  <c r="AZ424" i="47" s="1"/>
  <c r="N581" i="17"/>
  <c r="N582" i="17"/>
  <c r="G582" i="17"/>
  <c r="I472" i="34"/>
  <c r="I581" i="34"/>
  <c r="K357" i="34"/>
  <c r="K469" i="34" s="1"/>
  <c r="N555" i="17"/>
  <c r="L139" i="16"/>
  <c r="F452" i="17"/>
  <c r="F737" i="17" s="1"/>
  <c r="G453" i="17"/>
  <c r="G738" i="17" s="1"/>
  <c r="N450" i="17"/>
  <c r="N735" i="17" s="1"/>
  <c r="N580" i="17"/>
  <c r="H522" i="17" a="1"/>
  <c r="H522" i="17" s="1"/>
  <c r="H726" i="17" s="1"/>
  <c r="N408" i="17"/>
  <c r="G580" i="17"/>
  <c r="N583" i="17"/>
  <c r="G522" i="17" a="1"/>
  <c r="G522" i="17" s="1"/>
  <c r="G726" i="17" s="1"/>
  <c r="H612" i="17" a="1"/>
  <c r="H612" i="17" s="1"/>
  <c r="F519" i="17" a="1"/>
  <c r="H609" i="17"/>
  <c r="G449" i="17"/>
  <c r="G734" i="17" s="1"/>
  <c r="G572" i="17"/>
  <c r="G576" i="17"/>
  <c r="H614" i="17"/>
  <c r="H616" i="17"/>
  <c r="N572" i="17"/>
  <c r="N453" i="17"/>
  <c r="N738" i="17" s="1"/>
  <c r="AZ428" i="47" s="1"/>
  <c r="N376" i="17"/>
  <c r="N548" i="17"/>
  <c r="N551" i="17"/>
  <c r="N576" i="17"/>
  <c r="F516" i="17" a="1"/>
  <c r="F516" i="17" s="1"/>
  <c r="F720" i="17" s="1"/>
  <c r="H518" i="17" a="1"/>
  <c r="H613" i="17" a="1"/>
  <c r="H613" i="17" s="1"/>
  <c r="H611" i="17" a="1"/>
  <c r="H611" i="17" s="1"/>
  <c r="J456" i="34" a="1"/>
  <c r="J458" i="34" s="1"/>
  <c r="N449" i="17"/>
  <c r="N734" i="17" s="1"/>
  <c r="N706" i="17" s="1"/>
  <c r="G581" i="17"/>
  <c r="N556" i="17"/>
  <c r="F521" i="17" a="1"/>
  <c r="F521" i="17" s="1"/>
  <c r="F725" i="17" s="1"/>
  <c r="H519" i="17" a="1"/>
  <c r="H519" i="17" s="1"/>
  <c r="H723" i="17" s="1"/>
  <c r="H617" i="17" a="1"/>
  <c r="H617" i="17" s="1"/>
  <c r="H615" i="17" a="1"/>
  <c r="H615" i="17" s="1"/>
  <c r="F582" i="17"/>
  <c r="F522" i="17" a="1"/>
  <c r="F522" i="17" s="1"/>
  <c r="F726" i="17" s="1"/>
  <c r="H606" i="17"/>
  <c r="H610" i="17" a="1"/>
  <c r="H610" i="17" s="1"/>
  <c r="L456" i="34" a="1"/>
  <c r="L457" i="34" s="1"/>
  <c r="G454" i="17"/>
  <c r="G739" i="17" s="1"/>
  <c r="G450" i="17"/>
  <c r="G735" i="17" s="1"/>
  <c r="I459" i="34"/>
  <c r="G575" i="17"/>
  <c r="I563" i="34"/>
  <c r="I456" i="34"/>
  <c r="I559" i="34" s="1"/>
  <c r="I457" i="34"/>
  <c r="I426" i="34"/>
  <c r="I428" i="34" s="1"/>
  <c r="I445" i="34" s="1"/>
  <c r="I569" i="34" s="1"/>
  <c r="I378" i="34"/>
  <c r="N136" i="16"/>
  <c r="N139" i="16" s="1"/>
  <c r="N114" i="16"/>
  <c r="G408" i="17"/>
  <c r="N172" i="16"/>
  <c r="G578" i="17"/>
  <c r="F575" i="17"/>
  <c r="F515" i="17" a="1"/>
  <c r="F515" i="17" s="1"/>
  <c r="F719" i="17" s="1"/>
  <c r="F523" i="17" a="1"/>
  <c r="F523" i="17" s="1"/>
  <c r="F727" i="17" s="1"/>
  <c r="M456" i="34" a="1"/>
  <c r="M456" i="34" s="1"/>
  <c r="M559" i="34" s="1"/>
  <c r="F517" i="17" a="1"/>
  <c r="F517" i="17" s="1"/>
  <c r="F721" i="17" s="1"/>
  <c r="F518" i="17" a="1"/>
  <c r="F518" i="17" s="1"/>
  <c r="F722" i="17" s="1"/>
  <c r="F520" i="17" a="1"/>
  <c r="F520" i="17" s="1"/>
  <c r="F724" i="17" s="1"/>
  <c r="F710" i="17" s="1"/>
  <c r="F449" i="17"/>
  <c r="F734" i="17" s="1"/>
  <c r="G552" i="17"/>
  <c r="F579" i="17"/>
  <c r="F456" i="17"/>
  <c r="F572" i="17"/>
  <c r="F580" i="17"/>
  <c r="F581" i="17"/>
  <c r="F450" i="17"/>
  <c r="F735" i="17" s="1"/>
  <c r="F555" i="17"/>
  <c r="F408" i="17"/>
  <c r="F618" i="17"/>
  <c r="F620" i="17"/>
  <c r="F785" i="17" s="1"/>
  <c r="F578" i="17"/>
  <c r="F640" i="17"/>
  <c r="F641" i="17" s="1"/>
  <c r="F577" i="17"/>
  <c r="H518" i="17"/>
  <c r="H722" i="17" s="1"/>
  <c r="F510" i="17"/>
  <c r="F451" i="17"/>
  <c r="F736" i="17" s="1"/>
  <c r="G641" i="17"/>
  <c r="F576" i="17"/>
  <c r="F583" i="17"/>
  <c r="F519" i="17"/>
  <c r="F723" i="17" s="1"/>
  <c r="G559" i="17"/>
  <c r="H510" i="17"/>
  <c r="N448" i="17"/>
  <c r="N733" i="17" s="1"/>
  <c r="G555" i="17"/>
  <c r="G452" i="17"/>
  <c r="G737" i="17" s="1"/>
  <c r="H515" i="17" a="1"/>
  <c r="H520" i="17" a="1"/>
  <c r="H520" i="17" s="1"/>
  <c r="H724" i="17" s="1"/>
  <c r="H523" i="17" a="1"/>
  <c r="H523" i="17" s="1"/>
  <c r="H727" i="17" s="1"/>
  <c r="H517" i="17" a="1"/>
  <c r="H517" i="17" s="1"/>
  <c r="H721" i="17" s="1"/>
  <c r="H516" i="17" a="1"/>
  <c r="H516" i="17" s="1"/>
  <c r="H521" i="17" a="1"/>
  <c r="H521" i="17" s="1"/>
  <c r="H725" i="17" s="1"/>
  <c r="G510" i="17"/>
  <c r="F454" i="17"/>
  <c r="F739" i="17" s="1"/>
  <c r="H515" i="17"/>
  <c r="H719" i="17" s="1"/>
  <c r="N442" i="17"/>
  <c r="N455" i="17" s="1"/>
  <c r="N617" i="17" a="1"/>
  <c r="N617" i="17" s="1"/>
  <c r="G515" i="17" a="1"/>
  <c r="G515" i="17" s="1"/>
  <c r="G719" i="17" s="1"/>
  <c r="G519" i="17" a="1"/>
  <c r="G523" i="17" a="1"/>
  <c r="G523" i="17" s="1"/>
  <c r="G727" i="17" s="1"/>
  <c r="N613" i="17" a="1"/>
  <c r="N613" i="17" s="1"/>
  <c r="N612" i="17" a="1"/>
  <c r="N612" i="17" s="1"/>
  <c r="G516" i="17" a="1"/>
  <c r="G516" i="17" s="1"/>
  <c r="G720" i="17" s="1"/>
  <c r="G521" i="17" a="1"/>
  <c r="G521" i="17" s="1"/>
  <c r="G725" i="17" s="1"/>
  <c r="J1055" i="4"/>
  <c r="J1051" i="4"/>
  <c r="G517" i="17" a="1"/>
  <c r="G517" i="17" s="1"/>
  <c r="G721" i="17" s="1"/>
  <c r="G518" i="17" a="1"/>
  <c r="G518" i="17" s="1"/>
  <c r="G722" i="17" s="1"/>
  <c r="N431" i="17"/>
  <c r="F551" i="17"/>
  <c r="G551" i="17"/>
  <c r="F556" i="17"/>
  <c r="G456" i="17"/>
  <c r="N616" i="17" a="1"/>
  <c r="N616" i="17" s="1"/>
  <c r="N610" i="17" a="1"/>
  <c r="N610" i="17" s="1"/>
  <c r="G556" i="17"/>
  <c r="N611" i="17" a="1"/>
  <c r="N611" i="17" s="1"/>
  <c r="N609" i="17" a="1"/>
  <c r="N609" i="17" s="1"/>
  <c r="N614" i="17" a="1"/>
  <c r="N614" i="17" s="1"/>
  <c r="F559" i="17"/>
  <c r="F341" i="13" a="1"/>
  <c r="F341" i="13" s="1"/>
  <c r="F451" i="13" s="1"/>
  <c r="H579" i="17"/>
  <c r="I431" i="17"/>
  <c r="N615" i="17" a="1"/>
  <c r="N615" i="17" s="1"/>
  <c r="F557" i="17"/>
  <c r="F553" i="17"/>
  <c r="G376" i="17"/>
  <c r="G520" i="17"/>
  <c r="G724" i="17" s="1"/>
  <c r="F548" i="17"/>
  <c r="I442" i="17"/>
  <c r="I444" i="17" s="1"/>
  <c r="G553" i="17"/>
  <c r="G519" i="17"/>
  <c r="G723" i="17" s="1"/>
  <c r="G558" i="17"/>
  <c r="G649" i="17"/>
  <c r="G557" i="17"/>
  <c r="J1049" i="4"/>
  <c r="H894" i="4"/>
  <c r="H452" i="17"/>
  <c r="H737" i="17" s="1"/>
  <c r="F552" i="17"/>
  <c r="F554" i="17"/>
  <c r="G548" i="17"/>
  <c r="G455" i="17"/>
  <c r="I1071" i="4" a="1"/>
  <c r="I1071" i="4" s="1"/>
  <c r="K68" i="48"/>
  <c r="K66" i="48"/>
  <c r="M68" i="48"/>
  <c r="M66" i="48"/>
  <c r="L66" i="48"/>
  <c r="L68" i="48"/>
  <c r="H68" i="48"/>
  <c r="H66" i="48"/>
  <c r="I68" i="48"/>
  <c r="I66" i="48"/>
  <c r="J66" i="48"/>
  <c r="J68" i="48"/>
  <c r="G66" i="48"/>
  <c r="G68" i="48"/>
  <c r="N66" i="48"/>
  <c r="N68" i="48"/>
  <c r="F376" i="17"/>
  <c r="N606" i="17"/>
  <c r="J1121" i="4"/>
  <c r="H898" i="4"/>
  <c r="J1124" i="4"/>
  <c r="H895" i="4"/>
  <c r="H891" i="4"/>
  <c r="H900" i="4"/>
  <c r="G457" i="34"/>
  <c r="H457" i="34"/>
  <c r="H459" i="34"/>
  <c r="H458" i="34"/>
  <c r="H896" i="4"/>
  <c r="H897" i="4"/>
  <c r="J1131" i="4"/>
  <c r="I1068" i="4" a="1"/>
  <c r="I1068" i="4" s="1"/>
  <c r="H902" i="4"/>
  <c r="H901" i="4"/>
  <c r="K459" i="34"/>
  <c r="K456" i="34"/>
  <c r="K458" i="34"/>
  <c r="K457" i="34"/>
  <c r="I330" i="17"/>
  <c r="J382" i="17" a="1"/>
  <c r="J383" i="17" s="1"/>
  <c r="J350" i="17" a="1"/>
  <c r="J351" i="17" s="1"/>
  <c r="J593" i="17" a="1"/>
  <c r="L415" i="17"/>
  <c r="L417" i="17"/>
  <c r="J1125" i="4"/>
  <c r="F343" i="13" a="1"/>
  <c r="F343" i="13" s="1"/>
  <c r="F453" i="13" s="1"/>
  <c r="F1090" i="4" a="1"/>
  <c r="F1090" i="4" s="1"/>
  <c r="J1120" i="4"/>
  <c r="J1128" i="4"/>
  <c r="J1129" i="4"/>
  <c r="I1072" i="4" a="1"/>
  <c r="I1072" i="4" s="1"/>
  <c r="H893" i="4"/>
  <c r="H892" i="4"/>
  <c r="F559" i="34"/>
  <c r="F465" i="34" a="1"/>
  <c r="F465" i="34" s="1"/>
  <c r="F579" i="34" s="1"/>
  <c r="F466" i="34" a="1"/>
  <c r="F466" i="34" s="1"/>
  <c r="F580" i="34" s="1"/>
  <c r="F578" i="34"/>
  <c r="I605" i="17"/>
  <c r="I593" i="17"/>
  <c r="I600" i="17"/>
  <c r="I597" i="17"/>
  <c r="I598" i="17"/>
  <c r="I602" i="17"/>
  <c r="I601" i="17"/>
  <c r="I595" i="17"/>
  <c r="I604" i="17"/>
  <c r="I599" i="17"/>
  <c r="I603" i="17"/>
  <c r="I596" i="17"/>
  <c r="J1123" i="4"/>
  <c r="J1122" i="4"/>
  <c r="J1130" i="4"/>
  <c r="J1126" i="4"/>
  <c r="F342" i="13" a="1"/>
  <c r="F342" i="13" s="1"/>
  <c r="F452" i="13" s="1"/>
  <c r="J1127" i="4"/>
  <c r="I1069" i="4" a="1"/>
  <c r="I1069" i="4" s="1"/>
  <c r="F561" i="34"/>
  <c r="F486" i="34"/>
  <c r="K659" i="17"/>
  <c r="K660" i="17" s="1"/>
  <c r="K429" i="17" a="1"/>
  <c r="K429" i="17" s="1"/>
  <c r="K428" i="17" a="1"/>
  <c r="K428" i="17" s="1"/>
  <c r="K424" i="17" a="1"/>
  <c r="K424" i="17" s="1"/>
  <c r="K437" i="17" s="1"/>
  <c r="K426" i="17" a="1"/>
  <c r="K426" i="17" s="1"/>
  <c r="K439" i="17" s="1"/>
  <c r="K423" i="17" a="1"/>
  <c r="K423" i="17" s="1"/>
  <c r="K436" i="17" s="1"/>
  <c r="K427" i="17" a="1"/>
  <c r="K427" i="17" s="1"/>
  <c r="K440" i="17" s="1"/>
  <c r="K425" i="17" a="1"/>
  <c r="K425" i="17" s="1"/>
  <c r="K438" i="17" s="1"/>
  <c r="K430" i="17" a="1"/>
  <c r="K430" i="17" s="1"/>
  <c r="K443" i="17" s="1"/>
  <c r="K422" i="17" a="1"/>
  <c r="K422" i="17" s="1"/>
  <c r="F560" i="34"/>
  <c r="F485" i="34"/>
  <c r="I389" i="17"/>
  <c r="I394" i="17"/>
  <c r="I382" i="17"/>
  <c r="I386" i="17"/>
  <c r="I393" i="17"/>
  <c r="I384" i="17"/>
  <c r="I390" i="17"/>
  <c r="I388" i="17"/>
  <c r="I385" i="17"/>
  <c r="I391" i="17"/>
  <c r="I392" i="17"/>
  <c r="I387" i="17"/>
  <c r="I350" i="17"/>
  <c r="I354" i="17"/>
  <c r="I357" i="17"/>
  <c r="I362" i="17"/>
  <c r="I355" i="17"/>
  <c r="I361" i="17"/>
  <c r="I360" i="17"/>
  <c r="I507" i="17" s="1"/>
  <c r="I356" i="17"/>
  <c r="I503" i="17" s="1"/>
  <c r="I352" i="17"/>
  <c r="I353" i="17"/>
  <c r="I359" i="17"/>
  <c r="I358" i="17"/>
  <c r="I96" i="9"/>
  <c r="I97" i="9" s="1"/>
  <c r="I125" i="9" s="1"/>
  <c r="H425" i="15"/>
  <c r="I423" i="15"/>
  <c r="I410" i="15"/>
  <c r="I421" i="15" s="1"/>
  <c r="I414" i="15"/>
  <c r="J283" i="15"/>
  <c r="G569" i="34"/>
  <c r="F763" i="14"/>
  <c r="F815" i="14" s="1"/>
  <c r="N584" i="17"/>
  <c r="F764" i="14"/>
  <c r="F816" i="14" s="1"/>
  <c r="F765" i="14"/>
  <c r="F817" i="14" s="1"/>
  <c r="I119" i="16"/>
  <c r="I118" i="16"/>
  <c r="F443" i="13"/>
  <c r="I243" i="13"/>
  <c r="I441" i="13" s="1"/>
  <c r="N707" i="17"/>
  <c r="AZ436" i="47" s="1"/>
  <c r="J135" i="9"/>
  <c r="K664" i="4"/>
  <c r="K702" i="4" s="1"/>
  <c r="F775" i="14"/>
  <c r="I437" i="13"/>
  <c r="N709" i="17"/>
  <c r="AZ438" i="47" s="1"/>
  <c r="F798" i="14"/>
  <c r="F803" i="14"/>
  <c r="F807" i="14" s="1"/>
  <c r="F760" i="14"/>
  <c r="F773" i="14"/>
  <c r="N710" i="17"/>
  <c r="J682" i="4"/>
  <c r="K700" i="4" s="1"/>
  <c r="H556" i="17"/>
  <c r="I244" i="13"/>
  <c r="I442" i="13" s="1"/>
  <c r="I240" i="13"/>
  <c r="I438" i="13" s="1"/>
  <c r="K90" i="9"/>
  <c r="L90" i="9" s="1"/>
  <c r="I242" i="13"/>
  <c r="I440" i="13" s="1"/>
  <c r="J683" i="4"/>
  <c r="K701" i="4" s="1"/>
  <c r="F1088" i="4" a="1"/>
  <c r="F1088" i="4" s="1"/>
  <c r="F890" i="4"/>
  <c r="F913" i="4" s="1" a="1"/>
  <c r="H109" i="32"/>
  <c r="H110" i="32"/>
  <c r="H78" i="32"/>
  <c r="H119" i="32"/>
  <c r="H79" i="32"/>
  <c r="G536" i="17"/>
  <c r="G444" i="17"/>
  <c r="G448" i="17"/>
  <c r="F442" i="17"/>
  <c r="F536" i="17"/>
  <c r="F448" i="17"/>
  <c r="F733" i="17" s="1"/>
  <c r="J710" i="4"/>
  <c r="J711" i="4" s="1"/>
  <c r="J870" i="4"/>
  <c r="J871" i="4" s="1"/>
  <c r="J874" i="4" s="1" a="1"/>
  <c r="I883" i="4"/>
  <c r="I899" i="4" s="1"/>
  <c r="H1073" i="4"/>
  <c r="J1054" i="4"/>
  <c r="I879" i="4"/>
  <c r="I895" i="4" s="1"/>
  <c r="J1050" i="4"/>
  <c r="J1048" i="4"/>
  <c r="I1066" i="4" a="1"/>
  <c r="I1066" i="4" s="1"/>
  <c r="J1059" i="4"/>
  <c r="I875" i="4"/>
  <c r="I891" i="4" s="1"/>
  <c r="J1058" i="4"/>
  <c r="J1057" i="4"/>
  <c r="I1061" i="4"/>
  <c r="I881" i="4"/>
  <c r="I897" i="4" s="1"/>
  <c r="J1056" i="4"/>
  <c r="I1065" i="4" a="1"/>
  <c r="I1065" i="4" s="1"/>
  <c r="I1064" i="4" a="1"/>
  <c r="I1064" i="4" s="1"/>
  <c r="I1067" i="4" a="1"/>
  <c r="I1067" i="4" s="1"/>
  <c r="J1060" i="4"/>
  <c r="G1088" i="4" a="1"/>
  <c r="G1088" i="4" s="1"/>
  <c r="J1053" i="4"/>
  <c r="I1070" i="4" a="1"/>
  <c r="I1070" i="4" s="1"/>
  <c r="G1095" i="4" a="1"/>
  <c r="G1095" i="4" s="1"/>
  <c r="G887" i="4"/>
  <c r="G894" i="4"/>
  <c r="I1132" i="4"/>
  <c r="N59" i="4"/>
  <c r="M62" i="4"/>
  <c r="M754" i="4" s="1"/>
  <c r="M757" i="4" s="1"/>
  <c r="M1045" i="4" s="1"/>
  <c r="G1091" i="4" a="1"/>
  <c r="G1091" i="4" s="1"/>
  <c r="G901" i="4"/>
  <c r="I877" i="4"/>
  <c r="I893" i="4" s="1"/>
  <c r="I884" i="4"/>
  <c r="I900" i="4" s="1"/>
  <c r="I886" i="4"/>
  <c r="I902" i="4" s="1"/>
  <c r="I874" i="4"/>
  <c r="I890" i="4" s="1"/>
  <c r="F1089" i="4" a="1"/>
  <c r="F1089" i="4" s="1"/>
  <c r="G1096" i="4" a="1"/>
  <c r="G1096" i="4" s="1"/>
  <c r="G1090" i="4" a="1"/>
  <c r="G1090" i="4" s="1"/>
  <c r="I882" i="4"/>
  <c r="I898" i="4" s="1"/>
  <c r="I880" i="4"/>
  <c r="I896" i="4" s="1"/>
  <c r="I878" i="4"/>
  <c r="I894" i="4" s="1"/>
  <c r="F1095" i="4" a="1"/>
  <c r="F1095" i="4" s="1"/>
  <c r="F1096" i="4" a="1"/>
  <c r="F1096" i="4" s="1"/>
  <c r="G1094" i="4" a="1"/>
  <c r="G1094" i="4" s="1"/>
  <c r="G1089" i="4" a="1"/>
  <c r="G1089" i="4" s="1"/>
  <c r="I1139" i="4" a="1"/>
  <c r="I1139" i="4" s="1"/>
  <c r="I1137" i="4" a="1"/>
  <c r="I1137" i="4" s="1"/>
  <c r="I1135" i="4" a="1"/>
  <c r="I1135" i="4" s="1"/>
  <c r="I1141" i="4" a="1"/>
  <c r="I1141" i="4" s="1"/>
  <c r="I1143" i="4" a="1"/>
  <c r="I1143" i="4" s="1"/>
  <c r="I1142" i="4" a="1"/>
  <c r="I1142" i="4" s="1"/>
  <c r="I1138" i="4" a="1"/>
  <c r="I1138" i="4" s="1"/>
  <c r="I1140" i="4" a="1"/>
  <c r="I1140" i="4" s="1"/>
  <c r="I1136" i="4" a="1"/>
  <c r="I1136" i="4" s="1"/>
  <c r="F1091" i="4" a="1"/>
  <c r="F1091" i="4" s="1"/>
  <c r="I876" i="4"/>
  <c r="I892" i="4" s="1"/>
  <c r="I885" i="4"/>
  <c r="I901" i="4" s="1"/>
  <c r="F887" i="4"/>
  <c r="F1092" i="4" a="1"/>
  <c r="F1092" i="4" s="1"/>
  <c r="F1093" i="4" a="1"/>
  <c r="F1093" i="4" s="1"/>
  <c r="F1094" i="4" a="1"/>
  <c r="F1094" i="4" s="1"/>
  <c r="G1093" i="4" a="1"/>
  <c r="G1093" i="4" s="1"/>
  <c r="G1092" i="4" a="1"/>
  <c r="G1092" i="4" s="1"/>
  <c r="N687" i="14"/>
  <c r="L249" i="13"/>
  <c r="G116" i="9"/>
  <c r="G106" i="9"/>
  <c r="G136" i="9"/>
  <c r="G111" i="9"/>
  <c r="G125" i="9"/>
  <c r="G102" i="9"/>
  <c r="G134" i="9" s="1"/>
  <c r="G124" i="9"/>
  <c r="L251" i="13"/>
  <c r="H449" i="17"/>
  <c r="H734" i="17" s="1"/>
  <c r="H450" i="17"/>
  <c r="H735" i="17" s="1"/>
  <c r="L250" i="13"/>
  <c r="L248" i="13"/>
  <c r="H640" i="17"/>
  <c r="H656" i="17" s="1"/>
  <c r="H657" i="17" s="1"/>
  <c r="N603" i="14"/>
  <c r="H111" i="9"/>
  <c r="H112" i="9" s="1"/>
  <c r="L864" i="4"/>
  <c r="L861" i="4"/>
  <c r="L863" i="4"/>
  <c r="K869" i="4"/>
  <c r="L862" i="4"/>
  <c r="G275" i="13"/>
  <c r="G276" i="13"/>
  <c r="H106" i="9"/>
  <c r="H136" i="9"/>
  <c r="H576" i="17"/>
  <c r="H577" i="17"/>
  <c r="L445" i="42"/>
  <c r="K443" i="42"/>
  <c r="L444" i="42" s="1"/>
  <c r="H581" i="17"/>
  <c r="N622" i="14"/>
  <c r="F784" i="14"/>
  <c r="F789" i="14" s="1"/>
  <c r="N669" i="14"/>
  <c r="H582" i="17"/>
  <c r="K687" i="14"/>
  <c r="H453" i="17"/>
  <c r="H738" i="17" s="1"/>
  <c r="N560" i="17"/>
  <c r="H611" i="14"/>
  <c r="H592" i="14"/>
  <c r="N589" i="14"/>
  <c r="N595" i="14" s="1"/>
  <c r="N608" i="14"/>
  <c r="N627" i="14"/>
  <c r="G687" i="14"/>
  <c r="J431" i="17"/>
  <c r="J435" i="17"/>
  <c r="K418" i="17"/>
  <c r="H1146" i="4"/>
  <c r="H1300" i="4" s="1"/>
  <c r="H1144" i="4"/>
  <c r="L335" i="17"/>
  <c r="L416" i="17"/>
  <c r="H451" i="17"/>
  <c r="H736" i="17" s="1"/>
  <c r="G669" i="14"/>
  <c r="H578" i="17"/>
  <c r="H575" i="17"/>
  <c r="H553" i="17"/>
  <c r="H455" i="17"/>
  <c r="H583" i="17"/>
  <c r="H454" i="17"/>
  <c r="H739" i="17" s="1"/>
  <c r="H580" i="17"/>
  <c r="F473" i="15"/>
  <c r="F465" i="15"/>
  <c r="F449" i="15"/>
  <c r="F457" i="15"/>
  <c r="J449" i="15"/>
  <c r="J457" i="15"/>
  <c r="J465" i="15"/>
  <c r="J473" i="15"/>
  <c r="K465" i="15"/>
  <c r="K473" i="15"/>
  <c r="K457" i="15"/>
  <c r="K449" i="15"/>
  <c r="I467" i="15"/>
  <c r="I475" i="15"/>
  <c r="I451" i="15"/>
  <c r="I459" i="15"/>
  <c r="M466" i="15"/>
  <c r="M474" i="15"/>
  <c r="M450" i="15"/>
  <c r="M458" i="15"/>
  <c r="G450" i="15"/>
  <c r="G474" i="15"/>
  <c r="G466" i="15"/>
  <c r="G458" i="15"/>
  <c r="L457" i="15"/>
  <c r="L473" i="15"/>
  <c r="L449" i="15"/>
  <c r="L465" i="15"/>
  <c r="L117" i="16"/>
  <c r="L119" i="16"/>
  <c r="L118" i="16"/>
  <c r="N451" i="15"/>
  <c r="N475" i="15"/>
  <c r="N467" i="15"/>
  <c r="N459" i="15"/>
  <c r="H613" i="14"/>
  <c r="H632" i="14"/>
  <c r="H594" i="14"/>
  <c r="H589" i="14"/>
  <c r="H627" i="14"/>
  <c r="H608" i="14"/>
  <c r="H408" i="17"/>
  <c r="H456" i="17"/>
  <c r="L623" i="14"/>
  <c r="N527" i="17" a="1"/>
  <c r="N527" i="17" s="1"/>
  <c r="N757" i="17" s="1"/>
  <c r="N529" i="17" a="1"/>
  <c r="N529" i="17" s="1"/>
  <c r="N759" i="17" s="1"/>
  <c r="N528" i="17" a="1"/>
  <c r="N528" i="17" s="1"/>
  <c r="N758" i="17" s="1"/>
  <c r="F451" i="15"/>
  <c r="F467" i="15"/>
  <c r="F459" i="15"/>
  <c r="F475" i="15"/>
  <c r="H319" i="7"/>
  <c r="K458" i="15"/>
  <c r="K450" i="15"/>
  <c r="K474" i="15"/>
  <c r="K466" i="15"/>
  <c r="K430" i="15"/>
  <c r="K433" i="15" s="1"/>
  <c r="I466" i="15"/>
  <c r="I450" i="15"/>
  <c r="I458" i="15"/>
  <c r="I474" i="15"/>
  <c r="M465" i="15"/>
  <c r="M473" i="15"/>
  <c r="M457" i="15"/>
  <c r="M449" i="15"/>
  <c r="M105" i="33"/>
  <c r="G467" i="15"/>
  <c r="G475" i="15"/>
  <c r="G459" i="15"/>
  <c r="G451" i="15"/>
  <c r="G430" i="15"/>
  <c r="G433" i="15" s="1"/>
  <c r="G416" i="15"/>
  <c r="L466" i="15"/>
  <c r="L458" i="15"/>
  <c r="L450" i="15"/>
  <c r="L474" i="15"/>
  <c r="L430" i="15"/>
  <c r="L433" i="15" s="1"/>
  <c r="H467" i="15"/>
  <c r="H451" i="15"/>
  <c r="H475" i="15"/>
  <c r="H459" i="15"/>
  <c r="H430" i="15"/>
  <c r="H433" i="15" s="1"/>
  <c r="H416" i="15"/>
  <c r="F474" i="15"/>
  <c r="F466" i="15"/>
  <c r="F458" i="15"/>
  <c r="F450" i="15"/>
  <c r="F430" i="15"/>
  <c r="F433" i="15" s="1"/>
  <c r="F416" i="15"/>
  <c r="J474" i="15"/>
  <c r="J450" i="15"/>
  <c r="J458" i="15"/>
  <c r="J466" i="15"/>
  <c r="J430" i="15"/>
  <c r="J433" i="15" s="1"/>
  <c r="I449" i="15"/>
  <c r="I465" i="15"/>
  <c r="I473" i="15"/>
  <c r="I457" i="15"/>
  <c r="I430" i="15"/>
  <c r="I433" i="15" s="1"/>
  <c r="M430" i="15"/>
  <c r="M433" i="15" s="1"/>
  <c r="L451" i="15"/>
  <c r="L467" i="15"/>
  <c r="L459" i="15"/>
  <c r="L475" i="15"/>
  <c r="G118" i="16"/>
  <c r="G117" i="16"/>
  <c r="G119" i="16"/>
  <c r="N450" i="15"/>
  <c r="N474" i="15"/>
  <c r="N466" i="15"/>
  <c r="N458" i="15"/>
  <c r="AZ454" i="47"/>
  <c r="H458" i="15"/>
  <c r="H466" i="15"/>
  <c r="H474" i="15"/>
  <c r="H450" i="15"/>
  <c r="L585" i="14"/>
  <c r="N711" i="17"/>
  <c r="I464" i="34" a="1"/>
  <c r="I464" i="34" s="1"/>
  <c r="I578" i="34" s="1"/>
  <c r="I466" i="34" a="1"/>
  <c r="I465" i="34" a="1"/>
  <c r="J467" i="15"/>
  <c r="J475" i="15"/>
  <c r="J459" i="15"/>
  <c r="J451" i="15"/>
  <c r="M118" i="16"/>
  <c r="M119" i="16"/>
  <c r="M117" i="16"/>
  <c r="K451" i="15"/>
  <c r="K467" i="15"/>
  <c r="K475" i="15"/>
  <c r="K459" i="15"/>
  <c r="M459" i="15"/>
  <c r="M475" i="15"/>
  <c r="M451" i="15"/>
  <c r="M467" i="15"/>
  <c r="J118" i="16"/>
  <c r="J117" i="16"/>
  <c r="J119" i="16"/>
  <c r="K607" i="14"/>
  <c r="K626" i="14"/>
  <c r="K588" i="14"/>
  <c r="G457" i="15"/>
  <c r="G449" i="15"/>
  <c r="G465" i="15"/>
  <c r="G473" i="15"/>
  <c r="N449" i="15"/>
  <c r="N473" i="15"/>
  <c r="N465" i="15"/>
  <c r="N457" i="15"/>
  <c r="N430" i="15"/>
  <c r="N433" i="15" s="1"/>
  <c r="N416" i="15"/>
  <c r="H465" i="15"/>
  <c r="H473" i="15"/>
  <c r="H457" i="15"/>
  <c r="H449" i="15"/>
  <c r="G630" i="14"/>
  <c r="G592" i="14"/>
  <c r="G611" i="14"/>
  <c r="H448" i="17"/>
  <c r="H376" i="17"/>
  <c r="AZ426" i="47"/>
  <c r="I628" i="17"/>
  <c r="I644" i="17" s="1"/>
  <c r="K592" i="14"/>
  <c r="K630" i="14"/>
  <c r="K611" i="14"/>
  <c r="K594" i="14"/>
  <c r="K632" i="14"/>
  <c r="K613" i="14"/>
  <c r="I562" i="34"/>
  <c r="I487" i="34"/>
  <c r="I486" i="34"/>
  <c r="I561" i="34"/>
  <c r="G623" i="14"/>
  <c r="G585" i="14"/>
  <c r="G604" i="14"/>
  <c r="J632" i="14"/>
  <c r="J633" i="14" s="1"/>
  <c r="J594" i="14"/>
  <c r="J595" i="14" s="1"/>
  <c r="J613" i="14"/>
  <c r="J614" i="14" s="1"/>
  <c r="L630" i="14"/>
  <c r="L611" i="14"/>
  <c r="L614" i="14" s="1"/>
  <c r="L592" i="14"/>
  <c r="I560" i="34"/>
  <c r="I485" i="34"/>
  <c r="H630" i="14"/>
  <c r="H554" i="17"/>
  <c r="H552" i="17"/>
  <c r="H557" i="17"/>
  <c r="H558" i="17"/>
  <c r="H551" i="17"/>
  <c r="H548" i="17"/>
  <c r="I589" i="14"/>
  <c r="I595" i="14" s="1"/>
  <c r="I627" i="14"/>
  <c r="I633" i="14" s="1"/>
  <c r="I608" i="14"/>
  <c r="I614" i="14" s="1"/>
  <c r="I450" i="42"/>
  <c r="H448" i="42"/>
  <c r="I449" i="42" s="1"/>
  <c r="N719" i="17"/>
  <c r="N524" i="17"/>
  <c r="J594" i="17"/>
  <c r="H555" i="17"/>
  <c r="H559" i="17"/>
  <c r="H572" i="17"/>
  <c r="M299" i="13"/>
  <c r="M320" i="13"/>
  <c r="M292" i="13"/>
  <c r="M313" i="13"/>
  <c r="M285" i="13"/>
  <c r="M334" i="13"/>
  <c r="M306" i="13"/>
  <c r="M327" i="13"/>
  <c r="AZ386" i="47"/>
  <c r="H276" i="13"/>
  <c r="H275" i="13"/>
  <c r="N236" i="13"/>
  <c r="N211" i="13"/>
  <c r="H437" i="13"/>
  <c r="H244" i="13"/>
  <c r="H442" i="13" s="1"/>
  <c r="H241" i="13"/>
  <c r="H439" i="13" s="1"/>
  <c r="H243" i="13"/>
  <c r="H441" i="13" s="1"/>
  <c r="H242" i="13"/>
  <c r="H440" i="13" s="1"/>
  <c r="H240" i="13"/>
  <c r="N111" i="32"/>
  <c r="M251" i="13"/>
  <c r="M248" i="13"/>
  <c r="M247" i="13"/>
  <c r="M277" i="13" s="1"/>
  <c r="M250" i="13"/>
  <c r="M249" i="13"/>
  <c r="G341" i="13" a="1"/>
  <c r="G341" i="13" s="1"/>
  <c r="G343" i="13" a="1"/>
  <c r="G343" i="13" s="1"/>
  <c r="G453" i="13" s="1"/>
  <c r="G342" i="13" a="1"/>
  <c r="G342" i="13" s="1"/>
  <c r="G452" i="13" s="1"/>
  <c r="G438" i="13"/>
  <c r="G443" i="13" s="1"/>
  <c r="L550" i="42"/>
  <c r="I705" i="4"/>
  <c r="I455" i="42"/>
  <c r="H453" i="42"/>
  <c r="I454" i="42" s="1"/>
  <c r="K660" i="4"/>
  <c r="K661" i="4"/>
  <c r="J698" i="4"/>
  <c r="J680" i="4"/>
  <c r="J681" i="4"/>
  <c r="J699" i="4"/>
  <c r="G307" i="7"/>
  <c r="H167" i="6"/>
  <c r="H169" i="6" s="1"/>
  <c r="K283" i="13"/>
  <c r="K286" i="13" s="1"/>
  <c r="K311" i="13"/>
  <c r="K314" i="13" s="1"/>
  <c r="K472" i="13" s="1"/>
  <c r="K332" i="13"/>
  <c r="K335" i="13" s="1"/>
  <c r="K475" i="13" s="1"/>
  <c r="K318" i="13"/>
  <c r="K321" i="13" s="1"/>
  <c r="K473" i="13" s="1"/>
  <c r="K290" i="13"/>
  <c r="K293" i="13" s="1"/>
  <c r="K455" i="13" s="1"/>
  <c r="K325" i="13"/>
  <c r="K328" i="13" s="1"/>
  <c r="K474" i="13" s="1"/>
  <c r="K304" i="13"/>
  <c r="K307" i="13" s="1"/>
  <c r="K457" i="13" s="1"/>
  <c r="K297" i="13"/>
  <c r="K300" i="13" s="1"/>
  <c r="K456" i="13" s="1"/>
  <c r="J122" i="8"/>
  <c r="J154" i="8" s="1"/>
  <c r="J145" i="8"/>
  <c r="J144" i="8"/>
  <c r="H566" i="34"/>
  <c r="H569" i="34"/>
  <c r="K265" i="13"/>
  <c r="K264" i="13"/>
  <c r="K263" i="13"/>
  <c r="K261" i="13"/>
  <c r="K262" i="13"/>
  <c r="K237" i="13"/>
  <c r="M368" i="34"/>
  <c r="L471" i="34"/>
  <c r="J454" i="13"/>
  <c r="J363" i="13"/>
  <c r="J365" i="13" s="1"/>
  <c r="L155" i="8"/>
  <c r="L114" i="8"/>
  <c r="M110" i="8"/>
  <c r="I169" i="8"/>
  <c r="I127" i="8"/>
  <c r="K582" i="34"/>
  <c r="I165" i="8"/>
  <c r="I137" i="8"/>
  <c r="K376" i="34"/>
  <c r="J421" i="34"/>
  <c r="J424" i="34" s="1"/>
  <c r="J377" i="34"/>
  <c r="J243" i="13"/>
  <c r="J441" i="13" s="1"/>
  <c r="J240" i="13"/>
  <c r="J244" i="13"/>
  <c r="J442" i="13" s="1"/>
  <c r="J437" i="13"/>
  <c r="J241" i="13"/>
  <c r="J439" i="13" s="1"/>
  <c r="J242" i="13"/>
  <c r="J440" i="13" s="1"/>
  <c r="M175" i="13"/>
  <c r="L234" i="13"/>
  <c r="L209" i="13"/>
  <c r="J136" i="8"/>
  <c r="J131" i="8"/>
  <c r="J126" i="8"/>
  <c r="J156" i="8"/>
  <c r="I146" i="8"/>
  <c r="K120" i="8"/>
  <c r="K116" i="8"/>
  <c r="K117" i="8" s="1"/>
  <c r="I167" i="8"/>
  <c r="I132" i="8"/>
  <c r="I227" i="7"/>
  <c r="I224" i="7"/>
  <c r="K682" i="4"/>
  <c r="K179" i="6"/>
  <c r="K677" i="4"/>
  <c r="K695" i="4"/>
  <c r="H126" i="9"/>
  <c r="K217" i="7"/>
  <c r="L169" i="7"/>
  <c r="K248" i="7"/>
  <c r="H210" i="7"/>
  <c r="H306" i="7" s="1"/>
  <c r="H305" i="7"/>
  <c r="I116" i="9"/>
  <c r="I111" i="9"/>
  <c r="I106" i="9"/>
  <c r="I136" i="9"/>
  <c r="L662" i="4"/>
  <c r="L664" i="4"/>
  <c r="J204" i="7"/>
  <c r="J206" i="7" s="1"/>
  <c r="J208" i="7" s="1"/>
  <c r="J239" i="7"/>
  <c r="J189" i="7"/>
  <c r="J191" i="7" s="1"/>
  <c r="J193" i="7" s="1"/>
  <c r="J196" i="7" s="1"/>
  <c r="J233" i="7"/>
  <c r="G169" i="6"/>
  <c r="J218" i="7"/>
  <c r="J220" i="7" s="1"/>
  <c r="J222" i="7" s="1"/>
  <c r="J225" i="7" s="1"/>
  <c r="J229" i="7"/>
  <c r="J245" i="7"/>
  <c r="J131" i="6"/>
  <c r="J168" i="6" s="1"/>
  <c r="J165" i="6"/>
  <c r="I211" i="7"/>
  <c r="I302" i="7"/>
  <c r="L658" i="4"/>
  <c r="K685" i="4"/>
  <c r="K703" i="4"/>
  <c r="K124" i="6"/>
  <c r="K125" i="6" s="1"/>
  <c r="K130" i="6" s="1"/>
  <c r="K138" i="6"/>
  <c r="H145" i="9"/>
  <c r="H117" i="9"/>
  <c r="K676" i="4"/>
  <c r="K694" i="4"/>
  <c r="K683" i="4"/>
  <c r="L657" i="4"/>
  <c r="K675" i="4"/>
  <c r="K693" i="4"/>
  <c r="M614" i="14"/>
  <c r="M633" i="14"/>
  <c r="L659" i="4"/>
  <c r="I198" i="7"/>
  <c r="I195" i="7"/>
  <c r="L665" i="4"/>
  <c r="J96" i="9"/>
  <c r="J97" i="9" s="1"/>
  <c r="J100" i="9"/>
  <c r="L666" i="4"/>
  <c r="L168" i="7"/>
  <c r="K203" i="7"/>
  <c r="K242" i="7"/>
  <c r="L167" i="7"/>
  <c r="K188" i="7"/>
  <c r="K170" i="7"/>
  <c r="K335" i="7" s="1"/>
  <c r="K236" i="7"/>
  <c r="K679" i="4"/>
  <c r="K697" i="4"/>
  <c r="K696" i="4"/>
  <c r="K678" i="4"/>
  <c r="K686" i="4"/>
  <c r="K704" i="4"/>
  <c r="M118" i="6"/>
  <c r="L122" i="6"/>
  <c r="L177" i="6"/>
  <c r="J337" i="7"/>
  <c r="L656" i="4"/>
  <c r="L663" i="4"/>
  <c r="L655" i="4"/>
  <c r="M595" i="14"/>
  <c r="I132" i="6"/>
  <c r="I134" i="6" s="1"/>
  <c r="N586" i="17" l="1"/>
  <c r="N784" i="17" s="1"/>
  <c r="F909" i="4" a="1"/>
  <c r="K1050" i="4"/>
  <c r="K1055" i="4"/>
  <c r="G458" i="34"/>
  <c r="I687" i="4"/>
  <c r="K1119" i="4" a="1"/>
  <c r="K1121" i="4" s="1"/>
  <c r="G459" i="34"/>
  <c r="G464" i="34" s="1" a="1"/>
  <c r="G464" i="34" s="1"/>
  <c r="G578" i="34" s="1"/>
  <c r="F914" i="4" a="1"/>
  <c r="M458" i="34"/>
  <c r="J692" i="4"/>
  <c r="J674" i="4"/>
  <c r="M459" i="34"/>
  <c r="G710" i="17"/>
  <c r="N740" i="17"/>
  <c r="N712" i="17" s="1"/>
  <c r="G707" i="17"/>
  <c r="L626" i="4"/>
  <c r="K639" i="4"/>
  <c r="K654" i="4"/>
  <c r="F706" i="17"/>
  <c r="H620" i="17"/>
  <c r="H785" i="17" s="1"/>
  <c r="F912" i="4" a="1"/>
  <c r="F911" i="4" a="1"/>
  <c r="G711" i="17"/>
  <c r="K1054" i="4"/>
  <c r="F910" i="4" a="1"/>
  <c r="F906" i="4" a="1"/>
  <c r="F907" i="4" a="1"/>
  <c r="F709" i="17"/>
  <c r="L458" i="34"/>
  <c r="J456" i="34"/>
  <c r="L456" i="34"/>
  <c r="L559" i="34" s="1"/>
  <c r="J459" i="34"/>
  <c r="J562" i="34" s="1"/>
  <c r="G656" i="17"/>
  <c r="G706" i="17"/>
  <c r="N456" i="34"/>
  <c r="N458" i="34"/>
  <c r="N459" i="34"/>
  <c r="N457" i="34"/>
  <c r="L459" i="34"/>
  <c r="L487" i="34" s="1"/>
  <c r="J457" i="34"/>
  <c r="J581" i="34"/>
  <c r="J472" i="34"/>
  <c r="L357" i="34"/>
  <c r="L469" i="34" s="1"/>
  <c r="F711" i="17"/>
  <c r="H618" i="17"/>
  <c r="G584" i="17"/>
  <c r="I465" i="34"/>
  <c r="I579" i="34" s="1"/>
  <c r="I466" i="34"/>
  <c r="I580" i="34" s="1"/>
  <c r="J426" i="34"/>
  <c r="J428" i="34" s="1"/>
  <c r="J378" i="34"/>
  <c r="N117" i="16"/>
  <c r="N119" i="16"/>
  <c r="N118" i="16"/>
  <c r="M457" i="34"/>
  <c r="F708" i="17"/>
  <c r="F707" i="17"/>
  <c r="N464" i="17" a="1"/>
  <c r="F529" i="17" a="1"/>
  <c r="F529" i="17" s="1"/>
  <c r="F759" i="17" s="1"/>
  <c r="G709" i="17"/>
  <c r="J1138" i="4" a="1"/>
  <c r="J1138" i="4" s="1"/>
  <c r="F584" i="17"/>
  <c r="F528" i="17" a="1"/>
  <c r="F528" i="17" s="1"/>
  <c r="F758" i="17" s="1"/>
  <c r="F527" i="17" a="1"/>
  <c r="F527" i="17" s="1"/>
  <c r="F757" i="17" s="1"/>
  <c r="H709" i="17"/>
  <c r="H708" i="17"/>
  <c r="F524" i="17"/>
  <c r="G586" i="17"/>
  <c r="G784" i="17" s="1"/>
  <c r="H707" i="17"/>
  <c r="F705" i="17"/>
  <c r="N444" i="17"/>
  <c r="H720" i="17"/>
  <c r="H728" i="17" s="1"/>
  <c r="H528" i="17" a="1"/>
  <c r="H528" i="17" s="1"/>
  <c r="H758" i="17" s="1"/>
  <c r="H527" i="17" a="1"/>
  <c r="H527" i="17" s="1"/>
  <c r="H757" i="17" s="1"/>
  <c r="H524" i="17"/>
  <c r="H529" i="17" a="1"/>
  <c r="H529" i="17" s="1"/>
  <c r="H759" i="17" s="1"/>
  <c r="H710" i="17"/>
  <c r="J1142" i="4" a="1"/>
  <c r="J1142" i="4" s="1"/>
  <c r="K1059" i="4"/>
  <c r="H706" i="17"/>
  <c r="N462" i="17" a="1"/>
  <c r="H711" i="17"/>
  <c r="F560" i="17"/>
  <c r="K1053" i="4"/>
  <c r="J1143" i="4" a="1"/>
  <c r="J1143" i="4" s="1"/>
  <c r="G740" i="17"/>
  <c r="G712" i="17" s="1"/>
  <c r="G728" i="17"/>
  <c r="G560" i="17"/>
  <c r="K1126" i="4"/>
  <c r="K1125" i="4"/>
  <c r="J1139" i="4" a="1"/>
  <c r="J1139" i="4" s="1"/>
  <c r="K1056" i="4"/>
  <c r="F586" i="17"/>
  <c r="F784" i="17" s="1"/>
  <c r="G524" i="17"/>
  <c r="G529" i="17" a="1"/>
  <c r="G529" i="17" s="1"/>
  <c r="G759" i="17" s="1"/>
  <c r="G528" i="17" a="1"/>
  <c r="G528" i="17" s="1"/>
  <c r="G758" i="17" s="1"/>
  <c r="G657" i="17"/>
  <c r="G708" i="17"/>
  <c r="G527" i="17" a="1"/>
  <c r="G527" i="17" s="1"/>
  <c r="G757" i="17" s="1"/>
  <c r="N618" i="17"/>
  <c r="K1130" i="4"/>
  <c r="J1132" i="4"/>
  <c r="N620" i="17"/>
  <c r="N785" i="17" s="1"/>
  <c r="J1067" i="4" a="1"/>
  <c r="J1067" i="4" s="1"/>
  <c r="I363" i="17"/>
  <c r="I629" i="17"/>
  <c r="I645" i="17" s="1"/>
  <c r="K1128" i="4"/>
  <c r="H887" i="4"/>
  <c r="I395" i="17"/>
  <c r="I640" i="17" s="1"/>
  <c r="I606" i="17"/>
  <c r="K1119" i="4"/>
  <c r="K1122" i="4"/>
  <c r="J1140" i="4" a="1"/>
  <c r="J1140" i="4" s="1"/>
  <c r="K1120" i="4"/>
  <c r="K1129" i="4"/>
  <c r="K1131" i="4"/>
  <c r="K1127" i="4"/>
  <c r="I635" i="17"/>
  <c r="I651" i="17" s="1"/>
  <c r="K1057" i="4"/>
  <c r="K1048" i="4"/>
  <c r="J1072" i="4" a="1"/>
  <c r="J1072" i="4" s="1"/>
  <c r="I631" i="17"/>
  <c r="I647" i="17" s="1"/>
  <c r="K485" i="34"/>
  <c r="K560" i="34"/>
  <c r="M561" i="34"/>
  <c r="M486" i="34"/>
  <c r="L561" i="34"/>
  <c r="L486" i="34"/>
  <c r="H486" i="34"/>
  <c r="H561" i="34"/>
  <c r="G561" i="34"/>
  <c r="G486" i="34"/>
  <c r="J465" i="34" a="1"/>
  <c r="J465" i="34" s="1"/>
  <c r="J579" i="34" s="1"/>
  <c r="J464" i="34" a="1"/>
  <c r="J559" i="34"/>
  <c r="N463" i="17" a="1"/>
  <c r="N463" i="17" s="1"/>
  <c r="N766" i="17" s="1"/>
  <c r="N750" i="17" s="1"/>
  <c r="J1135" i="4" a="1"/>
  <c r="J1135" i="4" s="1"/>
  <c r="J1136" i="4" a="1"/>
  <c r="J1136" i="4" s="1"/>
  <c r="K1052" i="4"/>
  <c r="K1051" i="4"/>
  <c r="K1049" i="4"/>
  <c r="K486" i="34"/>
  <c r="K561" i="34"/>
  <c r="M562" i="34"/>
  <c r="M487" i="34"/>
  <c r="H559" i="34"/>
  <c r="H465" i="34" a="1"/>
  <c r="H465" i="34" s="1"/>
  <c r="H579" i="34" s="1"/>
  <c r="H466" i="34" a="1"/>
  <c r="H466" i="34" s="1"/>
  <c r="H580" i="34" s="1"/>
  <c r="H464" i="34" a="1"/>
  <c r="H464" i="34" s="1"/>
  <c r="H578" i="34" s="1"/>
  <c r="G487" i="34"/>
  <c r="J487" i="34"/>
  <c r="K464" i="34" a="1"/>
  <c r="K464" i="34" s="1"/>
  <c r="K578" i="34" s="1"/>
  <c r="K559" i="34"/>
  <c r="K466" i="34" a="1"/>
  <c r="K466" i="34" s="1"/>
  <c r="K580" i="34" s="1"/>
  <c r="K465" i="34" a="1"/>
  <c r="K465" i="34" s="1"/>
  <c r="K579" i="34" s="1"/>
  <c r="H487" i="34"/>
  <c r="H562" i="34"/>
  <c r="G559" i="34"/>
  <c r="J1141" i="4" a="1"/>
  <c r="J1141" i="4" s="1"/>
  <c r="J1137" i="4" a="1"/>
  <c r="J1137" i="4" s="1"/>
  <c r="K1058" i="4"/>
  <c r="K1060" i="4"/>
  <c r="K487" i="34"/>
  <c r="K562" i="34"/>
  <c r="L560" i="34"/>
  <c r="L485" i="34"/>
  <c r="H560" i="34"/>
  <c r="H485" i="34"/>
  <c r="G485" i="34"/>
  <c r="G560" i="34"/>
  <c r="J486" i="34"/>
  <c r="J561" i="34"/>
  <c r="J1071" i="4" a="1"/>
  <c r="I544" i="17" a="1"/>
  <c r="I544" i="17" s="1"/>
  <c r="I540" i="17" a="1"/>
  <c r="I540" i="17" s="1"/>
  <c r="I547" i="17" a="1"/>
  <c r="I547" i="17" s="1"/>
  <c r="I543" i="17" a="1"/>
  <c r="I543" i="17" s="1"/>
  <c r="I539" i="17" a="1"/>
  <c r="I539" i="17" s="1"/>
  <c r="I546" i="17" a="1"/>
  <c r="I546" i="17" s="1"/>
  <c r="I542" i="17" a="1"/>
  <c r="I542" i="17" s="1"/>
  <c r="I545" i="17" a="1"/>
  <c r="I545" i="17" s="1"/>
  <c r="I541" i="17" a="1"/>
  <c r="I541" i="17" s="1"/>
  <c r="I373" i="17" a="1"/>
  <c r="I373" i="17" s="1"/>
  <c r="I369" i="17" a="1"/>
  <c r="I369" i="17" s="1"/>
  <c r="I370" i="17" a="1"/>
  <c r="I370" i="17" s="1"/>
  <c r="I374" i="17" a="1"/>
  <c r="I374" i="17" s="1"/>
  <c r="I375" i="17" a="1"/>
  <c r="I375" i="17" s="1"/>
  <c r="I371" i="17" a="1"/>
  <c r="I371" i="17" s="1"/>
  <c r="I368" i="17" a="1"/>
  <c r="I368" i="17" s="1"/>
  <c r="I367" i="17" a="1"/>
  <c r="I367" i="17" s="1"/>
  <c r="I372" i="17" a="1"/>
  <c r="I372" i="17" s="1"/>
  <c r="I630" i="17"/>
  <c r="I646" i="17" s="1"/>
  <c r="I634" i="17"/>
  <c r="I650" i="17" s="1"/>
  <c r="F584" i="34"/>
  <c r="L428" i="17" a="1"/>
  <c r="L428" i="17" s="1"/>
  <c r="L427" i="17" a="1"/>
  <c r="L427" i="17" s="1"/>
  <c r="L440" i="17" s="1"/>
  <c r="L423" i="17" a="1"/>
  <c r="L423" i="17" s="1"/>
  <c r="L436" i="17" s="1"/>
  <c r="L425" i="17" a="1"/>
  <c r="L425" i="17" s="1"/>
  <c r="L438" i="17" s="1"/>
  <c r="L426" i="17" a="1"/>
  <c r="L426" i="17" s="1"/>
  <c r="L439" i="17" s="1"/>
  <c r="L429" i="17" a="1"/>
  <c r="L429" i="17" s="1"/>
  <c r="L422" i="17" a="1"/>
  <c r="L422" i="17" s="1"/>
  <c r="L430" i="17" a="1"/>
  <c r="L430" i="17" s="1"/>
  <c r="L443" i="17" s="1"/>
  <c r="L424" i="17" a="1"/>
  <c r="L424" i="17" s="1"/>
  <c r="L437" i="17" s="1"/>
  <c r="L659" i="17"/>
  <c r="L660" i="17" s="1"/>
  <c r="J330" i="17"/>
  <c r="K382" i="17" a="1"/>
  <c r="K383" i="17" s="1"/>
  <c r="K350" i="17" a="1"/>
  <c r="K351" i="17" s="1"/>
  <c r="K593" i="17" a="1"/>
  <c r="K594" i="17" s="1"/>
  <c r="I502" i="17"/>
  <c r="I632" i="17"/>
  <c r="I648" i="17" s="1"/>
  <c r="I633" i="17"/>
  <c r="I649" i="17" s="1"/>
  <c r="J605" i="17"/>
  <c r="J597" i="17"/>
  <c r="J593" i="17"/>
  <c r="J602" i="17"/>
  <c r="J600" i="17"/>
  <c r="J601" i="17"/>
  <c r="J599" i="17"/>
  <c r="J596" i="17"/>
  <c r="J595" i="17"/>
  <c r="J604" i="17"/>
  <c r="J603" i="17"/>
  <c r="J598" i="17"/>
  <c r="M415" i="17" a="1"/>
  <c r="M416" i="17" s="1"/>
  <c r="I637" i="17"/>
  <c r="I653" i="17" s="1"/>
  <c r="I571" i="17" a="1"/>
  <c r="I571" i="17" s="1"/>
  <c r="I567" i="17" a="1"/>
  <c r="I567" i="17" s="1"/>
  <c r="I563" i="17" a="1"/>
  <c r="I563" i="17" s="1"/>
  <c r="I570" i="17" a="1"/>
  <c r="I570" i="17" s="1"/>
  <c r="I566" i="17" a="1"/>
  <c r="I566" i="17" s="1"/>
  <c r="I569" i="17" a="1"/>
  <c r="I569" i="17" s="1"/>
  <c r="I565" i="17" a="1"/>
  <c r="I565" i="17" s="1"/>
  <c r="I568" i="17" a="1"/>
  <c r="I568" i="17" s="1"/>
  <c r="I564" i="17" a="1"/>
  <c r="I564" i="17" s="1"/>
  <c r="I403" i="17" a="1"/>
  <c r="I403" i="17" s="1"/>
  <c r="I404" i="17" a="1"/>
  <c r="I404" i="17" s="1"/>
  <c r="I406" i="17" a="1"/>
  <c r="I406" i="17" s="1"/>
  <c r="I582" i="17" s="1"/>
  <c r="I401" i="17" a="1"/>
  <c r="I401" i="17" s="1"/>
  <c r="I402" i="17" a="1"/>
  <c r="I402" i="17" s="1"/>
  <c r="I405" i="17" a="1"/>
  <c r="I405" i="17" s="1"/>
  <c r="I407" i="17" a="1"/>
  <c r="I407" i="17" s="1"/>
  <c r="I399" i="17" a="1"/>
  <c r="I399" i="17" s="1"/>
  <c r="I400" i="17" a="1"/>
  <c r="I400" i="17" s="1"/>
  <c r="I627" i="17"/>
  <c r="I611" i="17" a="1"/>
  <c r="I611" i="17" s="1"/>
  <c r="I615" i="17" a="1"/>
  <c r="I615" i="17" s="1"/>
  <c r="I612" i="17" a="1"/>
  <c r="I612" i="17" s="1"/>
  <c r="I617" i="17" a="1"/>
  <c r="I617" i="17" s="1"/>
  <c r="I610" i="17" a="1"/>
  <c r="I610" i="17" s="1"/>
  <c r="I613" i="17" a="1"/>
  <c r="I613" i="17" s="1"/>
  <c r="I616" i="17" a="1"/>
  <c r="I616" i="17" s="1"/>
  <c r="I609" i="17" a="1"/>
  <c r="I609" i="17" s="1"/>
  <c r="I614" i="17" a="1"/>
  <c r="I614" i="17" s="1"/>
  <c r="H890" i="4"/>
  <c r="H1096" i="4" a="1"/>
  <c r="H1096" i="4" s="1"/>
  <c r="H1090" i="4" a="1"/>
  <c r="H1090" i="4" s="1"/>
  <c r="H1092" i="4" a="1"/>
  <c r="H1092" i="4" s="1"/>
  <c r="H1093" i="4" a="1"/>
  <c r="H1093" i="4" s="1"/>
  <c r="H1091" i="4" a="1"/>
  <c r="H1091" i="4" s="1"/>
  <c r="H1088" i="4" a="1"/>
  <c r="H1088" i="4" s="1"/>
  <c r="H1094" i="4" a="1"/>
  <c r="H1094" i="4" s="1"/>
  <c r="H1095" i="4" a="1"/>
  <c r="H1095" i="4" s="1"/>
  <c r="H1089" i="4" a="1"/>
  <c r="H1089" i="4" s="1"/>
  <c r="J359" i="17"/>
  <c r="J354" i="17"/>
  <c r="J357" i="17"/>
  <c r="J350" i="17"/>
  <c r="J362" i="17"/>
  <c r="J355" i="17"/>
  <c r="J360" i="17"/>
  <c r="J352" i="17"/>
  <c r="J358" i="17"/>
  <c r="J353" i="17"/>
  <c r="J361" i="17"/>
  <c r="J356" i="17"/>
  <c r="K1124" i="4"/>
  <c r="K1123" i="4"/>
  <c r="I638" i="17"/>
  <c r="I654" i="17" s="1"/>
  <c r="I508" i="17"/>
  <c r="I636" i="17"/>
  <c r="I652" i="17" s="1"/>
  <c r="I639" i="17"/>
  <c r="I655" i="17" s="1"/>
  <c r="F570" i="34"/>
  <c r="J382" i="17"/>
  <c r="J389" i="17"/>
  <c r="J391" i="17"/>
  <c r="J386" i="17"/>
  <c r="J394" i="17"/>
  <c r="J393" i="17"/>
  <c r="J385" i="17"/>
  <c r="J630" i="17" s="1"/>
  <c r="J392" i="17"/>
  <c r="J637" i="17" s="1"/>
  <c r="J387" i="17"/>
  <c r="J384" i="17"/>
  <c r="J390" i="17"/>
  <c r="J388" i="17"/>
  <c r="I124" i="9"/>
  <c r="I126" i="9" s="1"/>
  <c r="I102" i="9"/>
  <c r="I134" i="9" s="1"/>
  <c r="I416" i="15"/>
  <c r="J423" i="15"/>
  <c r="J410" i="15"/>
  <c r="J414" i="15"/>
  <c r="K283" i="15"/>
  <c r="I425" i="15"/>
  <c r="K684" i="4"/>
  <c r="L702" i="4" s="1"/>
  <c r="F824" i="14"/>
  <c r="F841" i="14"/>
  <c r="F831" i="14"/>
  <c r="F839" i="14"/>
  <c r="F823" i="14"/>
  <c r="F825" i="14"/>
  <c r="F367" i="13"/>
  <c r="F369" i="13" s="1"/>
  <c r="F458" i="13" s="1"/>
  <c r="F459" i="13" s="1"/>
  <c r="N457" i="17"/>
  <c r="I341" i="13" a="1"/>
  <c r="I341" i="13" s="1"/>
  <c r="I451" i="13" s="1"/>
  <c r="K710" i="4"/>
  <c r="K711" i="4" s="1"/>
  <c r="I342" i="13" a="1"/>
  <c r="I342" i="13" s="1"/>
  <c r="I452" i="13" s="1"/>
  <c r="I343" i="13" a="1"/>
  <c r="I343" i="13" s="1"/>
  <c r="I453" i="13" s="1"/>
  <c r="I443" i="13"/>
  <c r="F833" i="14"/>
  <c r="K94" i="9"/>
  <c r="K100" i="9" s="1"/>
  <c r="F840" i="14"/>
  <c r="N464" i="17"/>
  <c r="N767" i="17" s="1"/>
  <c r="N751" i="17" s="1"/>
  <c r="N462" i="17"/>
  <c r="N765" i="17" s="1"/>
  <c r="N749" i="17" s="1"/>
  <c r="F913" i="4"/>
  <c r="F1107" i="4" s="1"/>
  <c r="F818" i="14"/>
  <c r="F832" i="14"/>
  <c r="F779" i="14"/>
  <c r="F728" i="17"/>
  <c r="K135" i="9"/>
  <c r="H641" i="17"/>
  <c r="G733" i="17"/>
  <c r="G457" i="17"/>
  <c r="G464" i="17" a="1"/>
  <c r="G464" i="17" s="1"/>
  <c r="G767" i="17" s="1"/>
  <c r="G463" i="17" a="1"/>
  <c r="G463" i="17" s="1"/>
  <c r="G766" i="17" s="1"/>
  <c r="G462" i="17" a="1"/>
  <c r="G462" i="17" s="1"/>
  <c r="G765" i="17" s="1"/>
  <c r="F444" i="17"/>
  <c r="F455" i="17"/>
  <c r="F740" i="17" s="1"/>
  <c r="H740" i="17"/>
  <c r="H712" i="17" s="1"/>
  <c r="H111" i="32"/>
  <c r="F909" i="4"/>
  <c r="F1103" i="4" s="1"/>
  <c r="F912" i="4"/>
  <c r="F1106" i="4" s="1"/>
  <c r="F904" i="4"/>
  <c r="F908" i="4" a="1"/>
  <c r="F908" i="4" s="1"/>
  <c r="F1102" i="4" s="1"/>
  <c r="F914" i="4"/>
  <c r="F1108" i="4" s="1"/>
  <c r="J876" i="4"/>
  <c r="J892" i="4" s="1"/>
  <c r="J882" i="4"/>
  <c r="J898" i="4" s="1"/>
  <c r="J879" i="4"/>
  <c r="J895" i="4" s="1"/>
  <c r="J881" i="4"/>
  <c r="J897" i="4" s="1"/>
  <c r="J880" i="4"/>
  <c r="J896" i="4" s="1"/>
  <c r="J883" i="4"/>
  <c r="J899" i="4" s="1"/>
  <c r="J884" i="4"/>
  <c r="J900" i="4" s="1"/>
  <c r="K870" i="4"/>
  <c r="K871" i="4" s="1"/>
  <c r="K874" i="4" s="1" a="1"/>
  <c r="J878" i="4"/>
  <c r="J894" i="4" s="1"/>
  <c r="J1071" i="4"/>
  <c r="I1073" i="4"/>
  <c r="F910" i="4"/>
  <c r="F1104" i="4" s="1"/>
  <c r="F911" i="4"/>
  <c r="F1105" i="4" s="1"/>
  <c r="G904" i="4"/>
  <c r="F907" i="4"/>
  <c r="F1101" i="4" s="1"/>
  <c r="F906" i="4"/>
  <c r="F1100" i="4" s="1"/>
  <c r="I1146" i="4"/>
  <c r="I1300" i="4" s="1"/>
  <c r="J1061" i="4"/>
  <c r="J1064" i="4" a="1"/>
  <c r="J1064" i="4" s="1"/>
  <c r="G907" i="4" a="1"/>
  <c r="G907" i="4" s="1"/>
  <c r="G1101" i="4" s="1"/>
  <c r="L1048" i="4" a="1"/>
  <c r="L1052" i="4" s="1"/>
  <c r="J875" i="4"/>
  <c r="J886" i="4"/>
  <c r="J902" i="4" s="1"/>
  <c r="G909" i="4" a="1"/>
  <c r="G909" i="4" s="1"/>
  <c r="G1103" i="4" s="1"/>
  <c r="J1070" i="4" a="1"/>
  <c r="J1070" i="4" s="1"/>
  <c r="J1066" i="4" a="1"/>
  <c r="J1066" i="4" s="1"/>
  <c r="J1069" i="4" a="1"/>
  <c r="J1069" i="4" s="1"/>
  <c r="G906" i="4" a="1"/>
  <c r="G906" i="4" s="1"/>
  <c r="G1100" i="4" s="1"/>
  <c r="G908" i="4" a="1"/>
  <c r="G908" i="4" s="1"/>
  <c r="G1102" i="4" s="1"/>
  <c r="J1065" i="4" a="1"/>
  <c r="J1065" i="4" s="1"/>
  <c r="G911" i="4" a="1"/>
  <c r="G911" i="4" s="1"/>
  <c r="G1105" i="4" s="1"/>
  <c r="G913" i="4" a="1"/>
  <c r="G913" i="4" s="1"/>
  <c r="G1107" i="4" s="1"/>
  <c r="J874" i="4"/>
  <c r="J890" i="4" s="1"/>
  <c r="J885" i="4"/>
  <c r="J901" i="4" s="1"/>
  <c r="J877" i="4"/>
  <c r="J893" i="4" s="1"/>
  <c r="G912" i="4" a="1"/>
  <c r="G912" i="4" s="1"/>
  <c r="G1106" i="4" s="1"/>
  <c r="J1068" i="4" a="1"/>
  <c r="J1068" i="4" s="1"/>
  <c r="G910" i="4" a="1"/>
  <c r="G910" i="4" s="1"/>
  <c r="G1104" i="4" s="1"/>
  <c r="G914" i="4" a="1"/>
  <c r="G914" i="4" s="1"/>
  <c r="G1108" i="4" s="1"/>
  <c r="G1097" i="4"/>
  <c r="F1097" i="4"/>
  <c r="L1119" i="4" a="1"/>
  <c r="L1126" i="4" s="1"/>
  <c r="I1093" i="4" a="1"/>
  <c r="I1093" i="4" s="1"/>
  <c r="I1092" i="4" a="1"/>
  <c r="I1092" i="4" s="1"/>
  <c r="I1091" i="4" a="1"/>
  <c r="I1091" i="4" s="1"/>
  <c r="I1089" i="4" a="1"/>
  <c r="I1089" i="4" s="1"/>
  <c r="I1095" i="4" a="1"/>
  <c r="I1095" i="4" s="1"/>
  <c r="I1096" i="4" a="1"/>
  <c r="I1096" i="4" s="1"/>
  <c r="I1090" i="4" a="1"/>
  <c r="I1090" i="4" s="1"/>
  <c r="I1094" i="4" a="1"/>
  <c r="I1094" i="4" s="1"/>
  <c r="I1088" i="4" a="1"/>
  <c r="I1088" i="4" s="1"/>
  <c r="N62" i="4"/>
  <c r="N754" i="4" s="1"/>
  <c r="N757" i="4" s="1"/>
  <c r="N1045" i="4" s="1"/>
  <c r="P59" i="4"/>
  <c r="I1144" i="4"/>
  <c r="I887" i="4"/>
  <c r="H147" i="9"/>
  <c r="G117" i="9"/>
  <c r="G145" i="9"/>
  <c r="G107" i="9"/>
  <c r="G149" i="9"/>
  <c r="G126" i="9"/>
  <c r="G147" i="9"/>
  <c r="G112" i="9"/>
  <c r="N614" i="14"/>
  <c r="H149" i="9"/>
  <c r="H107" i="9"/>
  <c r="M863" i="4"/>
  <c r="M864" i="4"/>
  <c r="M861" i="4"/>
  <c r="L869" i="4"/>
  <c r="M862" i="4"/>
  <c r="G595" i="14"/>
  <c r="N633" i="14"/>
  <c r="L443" i="42"/>
  <c r="M444" i="42" s="1"/>
  <c r="M445" i="42"/>
  <c r="G633" i="14"/>
  <c r="I460" i="15"/>
  <c r="L633" i="14"/>
  <c r="N741" i="17"/>
  <c r="H595" i="14"/>
  <c r="H633" i="14"/>
  <c r="J442" i="17"/>
  <c r="J444" i="17" s="1"/>
  <c r="J536" i="17"/>
  <c r="G468" i="15"/>
  <c r="F476" i="15"/>
  <c r="H614" i="14"/>
  <c r="H584" i="17"/>
  <c r="L418" i="17"/>
  <c r="K431" i="17"/>
  <c r="K435" i="17"/>
  <c r="I476" i="15"/>
  <c r="M468" i="15"/>
  <c r="H468" i="15"/>
  <c r="L468" i="15"/>
  <c r="K633" i="14"/>
  <c r="G614" i="14"/>
  <c r="H476" i="15"/>
  <c r="G476" i="15"/>
  <c r="K595" i="14"/>
  <c r="H452" i="15"/>
  <c r="G452" i="15"/>
  <c r="I452" i="15"/>
  <c r="F452" i="15"/>
  <c r="M460" i="15"/>
  <c r="F468" i="15"/>
  <c r="N468" i="15"/>
  <c r="L476" i="15"/>
  <c r="K460" i="15"/>
  <c r="J468" i="15"/>
  <c r="M452" i="15"/>
  <c r="L452" i="15"/>
  <c r="K452" i="15"/>
  <c r="K468" i="15"/>
  <c r="I468" i="15"/>
  <c r="F460" i="15"/>
  <c r="N460" i="15"/>
  <c r="J476" i="15"/>
  <c r="J452" i="15"/>
  <c r="H463" i="17" a="1"/>
  <c r="H463" i="17" s="1"/>
  <c r="H766" i="17" s="1"/>
  <c r="H464" i="17" a="1"/>
  <c r="H464" i="17" s="1"/>
  <c r="H767" i="17" s="1"/>
  <c r="H462" i="17" a="1"/>
  <c r="H462" i="17" s="1"/>
  <c r="H765" i="17" s="1"/>
  <c r="N452" i="15"/>
  <c r="L595" i="14"/>
  <c r="K614" i="14"/>
  <c r="H460" i="15"/>
  <c r="G460" i="15"/>
  <c r="M476" i="15"/>
  <c r="N476" i="15"/>
  <c r="L460" i="15"/>
  <c r="K476" i="15"/>
  <c r="J460" i="15"/>
  <c r="J628" i="17"/>
  <c r="N728" i="17"/>
  <c r="N705" i="17"/>
  <c r="N760" i="17"/>
  <c r="AZ437" i="47"/>
  <c r="H586" i="17"/>
  <c r="H784" i="17" s="1"/>
  <c r="H560" i="17"/>
  <c r="H457" i="17"/>
  <c r="H733" i="17"/>
  <c r="J450" i="42"/>
  <c r="I448" i="42"/>
  <c r="J449" i="42" s="1"/>
  <c r="N320" i="13"/>
  <c r="N292" i="13"/>
  <c r="N306" i="13"/>
  <c r="N334" i="13"/>
  <c r="N285" i="13"/>
  <c r="N327" i="13"/>
  <c r="N299" i="13"/>
  <c r="N313" i="13"/>
  <c r="J343" i="13" a="1"/>
  <c r="J343" i="13" s="1"/>
  <c r="J453" i="13" s="1"/>
  <c r="J342" i="13" a="1"/>
  <c r="J342" i="13" s="1"/>
  <c r="J452" i="13" s="1"/>
  <c r="J341" i="13" a="1"/>
  <c r="J341" i="13" s="1"/>
  <c r="H341" i="13" a="1"/>
  <c r="H341" i="13" s="1"/>
  <c r="H342" i="13" a="1"/>
  <c r="H342" i="13" s="1"/>
  <c r="H452" i="13" s="1"/>
  <c r="H343" i="13" a="1"/>
  <c r="H343" i="13" s="1"/>
  <c r="H453" i="13" s="1"/>
  <c r="H438" i="13"/>
  <c r="BG413" i="47"/>
  <c r="AZ387" i="47"/>
  <c r="BF413" i="47" s="1"/>
  <c r="BF412" i="47"/>
  <c r="BH412" i="47" s="1"/>
  <c r="BI412" i="47" s="1"/>
  <c r="G367" i="13"/>
  <c r="G369" i="13" s="1"/>
  <c r="G458" i="13" s="1"/>
  <c r="G451" i="13"/>
  <c r="N249" i="13"/>
  <c r="N248" i="13"/>
  <c r="N250" i="13"/>
  <c r="N247" i="13"/>
  <c r="N277" i="13" s="1"/>
  <c r="N251" i="13"/>
  <c r="J705" i="4"/>
  <c r="I453" i="42"/>
  <c r="J454" i="42" s="1"/>
  <c r="J455" i="42"/>
  <c r="J687" i="4"/>
  <c r="K698" i="4"/>
  <c r="K680" i="4"/>
  <c r="L661" i="4"/>
  <c r="L660" i="4"/>
  <c r="K699" i="4"/>
  <c r="K681" i="4"/>
  <c r="I566" i="34"/>
  <c r="I570" i="34" s="1"/>
  <c r="J132" i="6"/>
  <c r="J134" i="6" s="1"/>
  <c r="J167" i="6" s="1"/>
  <c r="K145" i="8"/>
  <c r="K122" i="8"/>
  <c r="K154" i="8" s="1"/>
  <c r="K144" i="8"/>
  <c r="J438" i="13"/>
  <c r="J443" i="13" s="1"/>
  <c r="M471" i="34"/>
  <c r="N368" i="34"/>
  <c r="N471" i="34" s="1"/>
  <c r="N175" i="13"/>
  <c r="M234" i="13"/>
  <c r="M209" i="13"/>
  <c r="L116" i="8"/>
  <c r="L117" i="8" s="1"/>
  <c r="L120" i="8"/>
  <c r="L582" i="34"/>
  <c r="K437" i="13"/>
  <c r="K243" i="13"/>
  <c r="K441" i="13" s="1"/>
  <c r="K244" i="13"/>
  <c r="K442" i="13" s="1"/>
  <c r="K240" i="13"/>
  <c r="K242" i="13"/>
  <c r="K440" i="13" s="1"/>
  <c r="K241" i="13"/>
  <c r="K439" i="13" s="1"/>
  <c r="J146" i="8"/>
  <c r="J137" i="8"/>
  <c r="J165" i="8"/>
  <c r="L263" i="13"/>
  <c r="L265" i="13"/>
  <c r="L262" i="13"/>
  <c r="L261" i="13"/>
  <c r="L264" i="13"/>
  <c r="L237" i="13"/>
  <c r="M114" i="8"/>
  <c r="M155" i="8"/>
  <c r="N110" i="8"/>
  <c r="J445" i="34"/>
  <c r="J169" i="8"/>
  <c r="J127" i="8"/>
  <c r="K421" i="34"/>
  <c r="K424" i="34" s="1"/>
  <c r="K377" i="34"/>
  <c r="L376" i="34"/>
  <c r="K156" i="8"/>
  <c r="K126" i="8"/>
  <c r="K131" i="8"/>
  <c r="K136" i="8"/>
  <c r="J167" i="8"/>
  <c r="J132" i="8"/>
  <c r="L283" i="13"/>
  <c r="L286" i="13" s="1"/>
  <c r="L297" i="13"/>
  <c r="L300" i="13" s="1"/>
  <c r="L456" i="13" s="1"/>
  <c r="L290" i="13"/>
  <c r="L293" i="13" s="1"/>
  <c r="L455" i="13" s="1"/>
  <c r="L304" i="13"/>
  <c r="L307" i="13" s="1"/>
  <c r="L457" i="13" s="1"/>
  <c r="L332" i="13"/>
  <c r="L335" i="13" s="1"/>
  <c r="L475" i="13" s="1"/>
  <c r="L311" i="13"/>
  <c r="L314" i="13" s="1"/>
  <c r="L472" i="13" s="1"/>
  <c r="L318" i="13"/>
  <c r="L321" i="13" s="1"/>
  <c r="L473" i="13" s="1"/>
  <c r="L325" i="13"/>
  <c r="L328" i="13" s="1"/>
  <c r="L474" i="13" s="1"/>
  <c r="K454" i="13"/>
  <c r="K363" i="13"/>
  <c r="K365" i="13" s="1"/>
  <c r="J198" i="7"/>
  <c r="J195" i="7"/>
  <c r="J227" i="7"/>
  <c r="J224" i="7"/>
  <c r="K189" i="7"/>
  <c r="K191" i="7" s="1"/>
  <c r="K193" i="7" s="1"/>
  <c r="K196" i="7" s="1"/>
  <c r="K233" i="7"/>
  <c r="L203" i="7"/>
  <c r="M168" i="7"/>
  <c r="L242" i="7"/>
  <c r="J125" i="9"/>
  <c r="J124" i="9"/>
  <c r="J102" i="9"/>
  <c r="J134" i="9" s="1"/>
  <c r="L685" i="4"/>
  <c r="L703" i="4"/>
  <c r="L697" i="4"/>
  <c r="L679" i="4"/>
  <c r="L684" i="4"/>
  <c r="L682" i="4"/>
  <c r="L700" i="4"/>
  <c r="N118" i="6"/>
  <c r="M122" i="6"/>
  <c r="M177" i="6"/>
  <c r="K337" i="7"/>
  <c r="K204" i="7"/>
  <c r="K206" i="7" s="1"/>
  <c r="K208" i="7" s="1"/>
  <c r="K239" i="7"/>
  <c r="L704" i="4"/>
  <c r="L686" i="4"/>
  <c r="M659" i="4"/>
  <c r="I145" i="9"/>
  <c r="I117" i="9"/>
  <c r="I275" i="7"/>
  <c r="I276" i="7"/>
  <c r="I304" i="7"/>
  <c r="I277" i="7"/>
  <c r="M663" i="4"/>
  <c r="L124" i="6"/>
  <c r="L125" i="6" s="1"/>
  <c r="L130" i="6" s="1"/>
  <c r="L138" i="6"/>
  <c r="M666" i="4"/>
  <c r="M657" i="4"/>
  <c r="M658" i="4"/>
  <c r="I147" i="9"/>
  <c r="I112" i="9"/>
  <c r="M655" i="4"/>
  <c r="L676" i="4"/>
  <c r="L694" i="4"/>
  <c r="K131" i="6"/>
  <c r="K168" i="6" s="1"/>
  <c r="K165" i="6"/>
  <c r="M90" i="9"/>
  <c r="L94" i="9"/>
  <c r="L135" i="9"/>
  <c r="L678" i="4"/>
  <c r="L696" i="4"/>
  <c r="I213" i="7"/>
  <c r="I272" i="7" s="1"/>
  <c r="I210" i="7"/>
  <c r="I306" i="7" s="1"/>
  <c r="J211" i="7"/>
  <c r="J302" i="7"/>
  <c r="K218" i="7"/>
  <c r="K220" i="7" s="1"/>
  <c r="K222" i="7" s="1"/>
  <c r="K225" i="7" s="1"/>
  <c r="K229" i="7"/>
  <c r="K245" i="7"/>
  <c r="I166" i="6"/>
  <c r="I167" i="6"/>
  <c r="J116" i="9"/>
  <c r="J106" i="9"/>
  <c r="J136" i="9"/>
  <c r="J111" i="9"/>
  <c r="L695" i="4"/>
  <c r="L677" i="4"/>
  <c r="L217" i="7"/>
  <c r="M169" i="7"/>
  <c r="L248" i="7"/>
  <c r="L693" i="4"/>
  <c r="L675" i="4"/>
  <c r="L701" i="4"/>
  <c r="L683" i="4"/>
  <c r="L710" i="4"/>
  <c r="M656" i="4"/>
  <c r="L179" i="6"/>
  <c r="L188" i="7"/>
  <c r="M167" i="7"/>
  <c r="L170" i="7"/>
  <c r="L335" i="7" s="1"/>
  <c r="L236" i="7"/>
  <c r="M665" i="4"/>
  <c r="M664" i="4"/>
  <c r="M662" i="4"/>
  <c r="I149" i="9"/>
  <c r="I107" i="9"/>
  <c r="H307" i="7"/>
  <c r="G466" i="34" l="1" a="1"/>
  <c r="G466" i="34" s="1"/>
  <c r="G580" i="34" s="1"/>
  <c r="G562" i="34"/>
  <c r="G465" i="34" a="1"/>
  <c r="G465" i="34" s="1"/>
  <c r="G579" i="34" s="1"/>
  <c r="L466" i="34" a="1"/>
  <c r="M464" i="34" a="1"/>
  <c r="M464" i="34" s="1"/>
  <c r="M578" i="34" s="1"/>
  <c r="K674" i="4"/>
  <c r="K692" i="4"/>
  <c r="J466" i="34" a="1"/>
  <c r="M626" i="4"/>
  <c r="L639" i="4"/>
  <c r="L654" i="4"/>
  <c r="J466" i="34"/>
  <c r="J580" i="34" s="1"/>
  <c r="L466" i="34"/>
  <c r="L580" i="34" s="1"/>
  <c r="J560" i="34"/>
  <c r="J485" i="34"/>
  <c r="J464" i="34"/>
  <c r="J578" i="34" s="1"/>
  <c r="J584" i="34" s="1"/>
  <c r="I584" i="34"/>
  <c r="L464" i="34" a="1"/>
  <c r="L464" i="34" s="1"/>
  <c r="L578" i="34" s="1"/>
  <c r="L1054" i="4"/>
  <c r="L1055" i="4"/>
  <c r="L562" i="34"/>
  <c r="L465" i="34" a="1"/>
  <c r="L465" i="34" s="1"/>
  <c r="L579" i="34" s="1"/>
  <c r="N485" i="34"/>
  <c r="N560" i="34"/>
  <c r="AZ448" i="47" s="1"/>
  <c r="N487" i="34"/>
  <c r="N562" i="34"/>
  <c r="AZ450" i="47" s="1"/>
  <c r="N486" i="34"/>
  <c r="N561" i="34"/>
  <c r="AZ449" i="47" s="1"/>
  <c r="N466" i="34" a="1"/>
  <c r="N466" i="34" s="1"/>
  <c r="N580" i="34" s="1"/>
  <c r="N559" i="34"/>
  <c r="AZ447" i="47" s="1"/>
  <c r="N464" i="34" a="1"/>
  <c r="N464" i="34" s="1"/>
  <c r="N578" i="34" s="1"/>
  <c r="N465" i="34" a="1"/>
  <c r="N465" i="34" s="1"/>
  <c r="N579" i="34" s="1"/>
  <c r="M466" i="34" a="1"/>
  <c r="M466" i="34" s="1"/>
  <c r="M580" i="34" s="1"/>
  <c r="M465" i="34" a="1"/>
  <c r="M465" i="34" s="1"/>
  <c r="M579" i="34" s="1"/>
  <c r="K581" i="34"/>
  <c r="K584" i="34" s="1"/>
  <c r="K472" i="34"/>
  <c r="M357" i="34"/>
  <c r="M469" i="34" s="1"/>
  <c r="K426" i="34"/>
  <c r="K428" i="34" s="1"/>
  <c r="K445" i="34" s="1"/>
  <c r="K378" i="34"/>
  <c r="M485" i="34"/>
  <c r="M560" i="34"/>
  <c r="K1140" i="4" a="1"/>
  <c r="I448" i="17"/>
  <c r="I733" i="17" s="1"/>
  <c r="F760" i="17"/>
  <c r="G750" i="17"/>
  <c r="I579" i="17"/>
  <c r="H760" i="17"/>
  <c r="K1067" i="4" a="1"/>
  <c r="K1067" i="4" s="1"/>
  <c r="G751" i="17"/>
  <c r="K1064" i="4" a="1"/>
  <c r="K1064" i="4" s="1"/>
  <c r="K1138" i="4" a="1"/>
  <c r="K1138" i="4" s="1"/>
  <c r="L1125" i="4"/>
  <c r="L1049" i="4"/>
  <c r="L1057" i="4"/>
  <c r="I454" i="17"/>
  <c r="I739" i="17" s="1"/>
  <c r="I453" i="17"/>
  <c r="I738" i="17" s="1"/>
  <c r="G760" i="17"/>
  <c r="L1058" i="4"/>
  <c r="I581" i="17"/>
  <c r="I456" i="17"/>
  <c r="I580" i="17"/>
  <c r="I555" i="17"/>
  <c r="L1060" i="4"/>
  <c r="I552" i="17"/>
  <c r="I557" i="17"/>
  <c r="K1142" i="4" a="1"/>
  <c r="K1142" i="4" s="1"/>
  <c r="K1065" i="4" a="1"/>
  <c r="K1065" i="4" s="1"/>
  <c r="J653" i="17"/>
  <c r="J631" i="17"/>
  <c r="J647" i="17" s="1"/>
  <c r="I449" i="17"/>
  <c r="I734" i="17" s="1"/>
  <c r="I451" i="17"/>
  <c r="I736" i="17" s="1"/>
  <c r="J363" i="17"/>
  <c r="I620" i="17"/>
  <c r="I785" i="17" s="1"/>
  <c r="I452" i="17"/>
  <c r="I737" i="17" s="1"/>
  <c r="I554" i="17"/>
  <c r="I559" i="17"/>
  <c r="J1146" i="4"/>
  <c r="J1300" i="4" s="1"/>
  <c r="H570" i="34"/>
  <c r="K1070" i="4" a="1"/>
  <c r="K1070" i="4" s="1"/>
  <c r="K1136" i="4" a="1"/>
  <c r="K1066" i="4" a="1"/>
  <c r="K1066" i="4" s="1"/>
  <c r="K1068" i="4" a="1"/>
  <c r="K1068" i="4" s="1"/>
  <c r="K1069" i="4" a="1"/>
  <c r="K1069" i="4" s="1"/>
  <c r="K1072" i="4" a="1"/>
  <c r="K1072" i="4" s="1"/>
  <c r="K1135" i="4" a="1"/>
  <c r="K1135" i="4" s="1"/>
  <c r="K1139" i="4" a="1"/>
  <c r="K1139" i="4" s="1"/>
  <c r="L1059" i="4"/>
  <c r="L1048" i="4"/>
  <c r="I450" i="17"/>
  <c r="I735" i="17" s="1"/>
  <c r="K1141" i="4" a="1"/>
  <c r="K1141" i="4" s="1"/>
  <c r="K1071" i="4" a="1"/>
  <c r="K1071" i="4" s="1"/>
  <c r="K1137" i="4" a="1"/>
  <c r="K1137" i="4" s="1"/>
  <c r="K1143" i="4" a="1"/>
  <c r="K1143" i="4" s="1"/>
  <c r="L1050" i="4"/>
  <c r="L1051" i="4"/>
  <c r="I575" i="17"/>
  <c r="I572" i="17"/>
  <c r="I548" i="17"/>
  <c r="J632" i="17"/>
  <c r="J648" i="17" s="1"/>
  <c r="K1132" i="4"/>
  <c r="J646" i="17"/>
  <c r="I408" i="17"/>
  <c r="K1140" i="4"/>
  <c r="K1136" i="4"/>
  <c r="J1144" i="4"/>
  <c r="L1053" i="4"/>
  <c r="L1056" i="4"/>
  <c r="J1088" i="4" a="1"/>
  <c r="J1088" i="4" s="1"/>
  <c r="J508" i="17"/>
  <c r="H1097" i="4"/>
  <c r="I618" i="17"/>
  <c r="I576" i="17"/>
  <c r="I578" i="17"/>
  <c r="I583" i="17"/>
  <c r="J606" i="17"/>
  <c r="I376" i="17"/>
  <c r="I558" i="17"/>
  <c r="I553" i="17"/>
  <c r="I551" i="17"/>
  <c r="I556" i="17"/>
  <c r="G584" i="34"/>
  <c r="K1061" i="4"/>
  <c r="I455" i="17"/>
  <c r="G570" i="34"/>
  <c r="J395" i="17"/>
  <c r="I577" i="17"/>
  <c r="H584" i="34"/>
  <c r="J633" i="17"/>
  <c r="J649" i="17" s="1"/>
  <c r="M1048" i="4" a="1"/>
  <c r="M1051" i="4" s="1"/>
  <c r="J635" i="17"/>
  <c r="J651" i="17" s="1"/>
  <c r="J636" i="17"/>
  <c r="J652" i="17" s="1"/>
  <c r="J629" i="17"/>
  <c r="J645" i="17" s="1"/>
  <c r="K330" i="17"/>
  <c r="L350" i="17" a="1"/>
  <c r="L382" i="17" a="1"/>
  <c r="L383" i="17" s="1"/>
  <c r="L593" i="17" a="1"/>
  <c r="L594" i="17" s="1"/>
  <c r="J638" i="17"/>
  <c r="J654" i="17" s="1"/>
  <c r="J634" i="17"/>
  <c r="J650" i="17" s="1"/>
  <c r="J503" i="17"/>
  <c r="J547" i="17" a="1"/>
  <c r="J547" i="17" s="1"/>
  <c r="J543" i="17" a="1"/>
  <c r="J543" i="17" s="1"/>
  <c r="J539" i="17" a="1"/>
  <c r="J539" i="17" s="1"/>
  <c r="J546" i="17" a="1"/>
  <c r="J546" i="17" s="1"/>
  <c r="J542" i="17" a="1"/>
  <c r="J542" i="17" s="1"/>
  <c r="J545" i="17" a="1"/>
  <c r="J545" i="17" s="1"/>
  <c r="J541" i="17" a="1"/>
  <c r="J541" i="17" s="1"/>
  <c r="J544" i="17" a="1"/>
  <c r="J544" i="17" s="1"/>
  <c r="J540" i="17" a="1"/>
  <c r="J540" i="17" s="1"/>
  <c r="J374" i="17" a="1"/>
  <c r="J374" i="17" s="1"/>
  <c r="J368" i="17" a="1"/>
  <c r="J368" i="17" s="1"/>
  <c r="J370" i="17" a="1"/>
  <c r="J370" i="17" s="1"/>
  <c r="J373" i="17" a="1"/>
  <c r="J373" i="17" s="1"/>
  <c r="J375" i="17" a="1"/>
  <c r="J375" i="17" s="1"/>
  <c r="J369" i="17" a="1"/>
  <c r="J369" i="17" s="1"/>
  <c r="J367" i="17" a="1"/>
  <c r="J367" i="17" s="1"/>
  <c r="J372" i="17" a="1"/>
  <c r="J372" i="17" s="1"/>
  <c r="J371" i="17" a="1"/>
  <c r="J371" i="17" s="1"/>
  <c r="J555" i="17" s="1"/>
  <c r="K600" i="17"/>
  <c r="K593" i="17"/>
  <c r="K595" i="17"/>
  <c r="K605" i="17"/>
  <c r="K599" i="17"/>
  <c r="K602" i="17"/>
  <c r="K603" i="17"/>
  <c r="K601" i="17"/>
  <c r="K597" i="17"/>
  <c r="K598" i="17"/>
  <c r="K596" i="17"/>
  <c r="K604" i="17"/>
  <c r="J639" i="17"/>
  <c r="J655" i="17" s="1"/>
  <c r="J570" i="17" a="1"/>
  <c r="J570" i="17" s="1"/>
  <c r="J566" i="17" a="1"/>
  <c r="J566" i="17" s="1"/>
  <c r="J569" i="17" a="1"/>
  <c r="J569" i="17" s="1"/>
  <c r="J565" i="17" a="1"/>
  <c r="J565" i="17" s="1"/>
  <c r="J568" i="17" a="1"/>
  <c r="J568" i="17" s="1"/>
  <c r="J564" i="17" a="1"/>
  <c r="J564" i="17" s="1"/>
  <c r="J571" i="17" a="1"/>
  <c r="J571" i="17" s="1"/>
  <c r="J567" i="17" a="1"/>
  <c r="J567" i="17" s="1"/>
  <c r="J563" i="17" a="1"/>
  <c r="J563" i="17" s="1"/>
  <c r="J400" i="17" a="1"/>
  <c r="J400" i="17" s="1"/>
  <c r="J402" i="17" a="1"/>
  <c r="J402" i="17" s="1"/>
  <c r="J399" i="17" a="1"/>
  <c r="J399" i="17" s="1"/>
  <c r="J401" i="17" a="1"/>
  <c r="J401" i="17" s="1"/>
  <c r="J405" i="17" a="1"/>
  <c r="J405" i="17" s="1"/>
  <c r="J404" i="17" a="1"/>
  <c r="J404" i="17" s="1"/>
  <c r="J406" i="17" a="1"/>
  <c r="J406" i="17" s="1"/>
  <c r="J407" i="17" a="1"/>
  <c r="J407" i="17" s="1"/>
  <c r="J403" i="17" a="1"/>
  <c r="J403" i="17" s="1"/>
  <c r="J627" i="17"/>
  <c r="J507" i="17"/>
  <c r="H906" i="4" a="1"/>
  <c r="H906" i="4" s="1"/>
  <c r="H912" i="4" a="1"/>
  <c r="H912" i="4" s="1"/>
  <c r="H1106" i="4" s="1"/>
  <c r="H907" i="4" a="1"/>
  <c r="H907" i="4" s="1"/>
  <c r="H1101" i="4" s="1"/>
  <c r="H911" i="4" a="1"/>
  <c r="H911" i="4" s="1"/>
  <c r="H1105" i="4" s="1"/>
  <c r="H908" i="4" a="1"/>
  <c r="H908" i="4" s="1"/>
  <c r="H1102" i="4" s="1"/>
  <c r="H910" i="4" a="1"/>
  <c r="H910" i="4" s="1"/>
  <c r="H1104" i="4" s="1"/>
  <c r="H914" i="4" a="1"/>
  <c r="H914" i="4" s="1"/>
  <c r="H1108" i="4" s="1"/>
  <c r="H904" i="4"/>
  <c r="H909" i="4" a="1"/>
  <c r="H909" i="4" s="1"/>
  <c r="H1103" i="4" s="1"/>
  <c r="H913" i="4" a="1"/>
  <c r="H913" i="4" s="1"/>
  <c r="H1107" i="4" s="1"/>
  <c r="K352" i="17"/>
  <c r="K359" i="17"/>
  <c r="K357" i="17"/>
  <c r="K358" i="17"/>
  <c r="K354" i="17"/>
  <c r="K350" i="17"/>
  <c r="K356" i="17"/>
  <c r="K362" i="17"/>
  <c r="K360" i="17"/>
  <c r="K353" i="17"/>
  <c r="K355" i="17"/>
  <c r="K361" i="17"/>
  <c r="J1093" i="4" a="1"/>
  <c r="J1093" i="4" s="1"/>
  <c r="K880" i="4"/>
  <c r="K896" i="4" s="1"/>
  <c r="J502" i="17"/>
  <c r="J614" i="17" a="1"/>
  <c r="J614" i="17" s="1"/>
  <c r="J610" i="17" a="1"/>
  <c r="J610" i="17" s="1"/>
  <c r="J617" i="17" a="1"/>
  <c r="J617" i="17" s="1"/>
  <c r="J613" i="17" a="1"/>
  <c r="J613" i="17" s="1"/>
  <c r="J609" i="17" a="1"/>
  <c r="J609" i="17" s="1"/>
  <c r="J616" i="17" a="1"/>
  <c r="J616" i="17" s="1"/>
  <c r="J612" i="17" a="1"/>
  <c r="J612" i="17" s="1"/>
  <c r="J615" i="17" a="1"/>
  <c r="J615" i="17" s="1"/>
  <c r="J611" i="17" a="1"/>
  <c r="J611" i="17" s="1"/>
  <c r="K382" i="17"/>
  <c r="K391" i="17"/>
  <c r="K636" i="17" s="1"/>
  <c r="K652" i="17" s="1"/>
  <c r="K394" i="17"/>
  <c r="K384" i="17"/>
  <c r="K389" i="17"/>
  <c r="K388" i="17"/>
  <c r="K392" i="17"/>
  <c r="K390" i="17"/>
  <c r="K635" i="17" s="1"/>
  <c r="K386" i="17"/>
  <c r="K631" i="17" s="1"/>
  <c r="K393" i="17"/>
  <c r="K387" i="17"/>
  <c r="K632" i="17" s="1"/>
  <c r="K385" i="17"/>
  <c r="M415" i="17"/>
  <c r="M417" i="17"/>
  <c r="I521" i="17" a="1"/>
  <c r="I521" i="17" s="1"/>
  <c r="I725" i="17" s="1"/>
  <c r="I520" i="17" a="1"/>
  <c r="I520" i="17" s="1"/>
  <c r="I724" i="17" s="1"/>
  <c r="I523" i="17" a="1"/>
  <c r="I523" i="17" s="1"/>
  <c r="I727" i="17" s="1"/>
  <c r="I522" i="17" a="1"/>
  <c r="I522" i="17" s="1"/>
  <c r="I726" i="17" s="1"/>
  <c r="I516" i="17" a="1"/>
  <c r="I516" i="17" s="1"/>
  <c r="I720" i="17" s="1"/>
  <c r="I517" i="17" a="1"/>
  <c r="I517" i="17" s="1"/>
  <c r="I721" i="17" s="1"/>
  <c r="I515" i="17" a="1"/>
  <c r="I515" i="17" s="1"/>
  <c r="I518" i="17" a="1"/>
  <c r="I518" i="17" s="1"/>
  <c r="I722" i="17" s="1"/>
  <c r="I519" i="17" a="1"/>
  <c r="I519" i="17" s="1"/>
  <c r="I723" i="17" s="1"/>
  <c r="I510" i="17"/>
  <c r="K423" i="15"/>
  <c r="K410" i="15"/>
  <c r="K414" i="15"/>
  <c r="J421" i="15"/>
  <c r="J425" i="15" s="1"/>
  <c r="J416" i="15"/>
  <c r="M283" i="15"/>
  <c r="L283" i="15"/>
  <c r="L711" i="4"/>
  <c r="K96" i="9"/>
  <c r="K97" i="9" s="1"/>
  <c r="K124" i="9" s="1"/>
  <c r="F842" i="14"/>
  <c r="N768" i="17"/>
  <c r="I367" i="13"/>
  <c r="I369" i="13" s="1"/>
  <c r="I458" i="13" s="1"/>
  <c r="I459" i="13" s="1"/>
  <c r="F826" i="14"/>
  <c r="F834" i="14"/>
  <c r="G768" i="17"/>
  <c r="G749" i="17"/>
  <c r="G741" i="17"/>
  <c r="G705" i="17"/>
  <c r="G713" i="17" s="1"/>
  <c r="F462" i="17" a="1"/>
  <c r="F462" i="17" s="1"/>
  <c r="F765" i="17" s="1"/>
  <c r="F463" i="17" a="1"/>
  <c r="F463" i="17" s="1"/>
  <c r="F766" i="17" s="1"/>
  <c r="F750" i="17" s="1"/>
  <c r="F464" i="17" a="1"/>
  <c r="F464" i="17" s="1"/>
  <c r="F767" i="17" s="1"/>
  <c r="F751" i="17" s="1"/>
  <c r="F457" i="17"/>
  <c r="J891" i="4"/>
  <c r="J913" i="4" s="1" a="1"/>
  <c r="J1073" i="4"/>
  <c r="K878" i="4"/>
  <c r="K894" i="4" s="1"/>
  <c r="K884" i="4"/>
  <c r="K900" i="4" s="1"/>
  <c r="K875" i="4"/>
  <c r="K891" i="4" s="1"/>
  <c r="L870" i="4"/>
  <c r="L871" i="4" s="1"/>
  <c r="L874" i="4" s="1" a="1"/>
  <c r="F915" i="4"/>
  <c r="F1109" i="4"/>
  <c r="J1091" i="4" a="1"/>
  <c r="J1091" i="4" s="1"/>
  <c r="J1096" i="4" a="1"/>
  <c r="J1096" i="4" s="1"/>
  <c r="J1095" i="4" a="1"/>
  <c r="J1095" i="4" s="1"/>
  <c r="J1094" i="4" a="1"/>
  <c r="J1094" i="4" s="1"/>
  <c r="J1092" i="4" a="1"/>
  <c r="J1092" i="4" s="1"/>
  <c r="M1119" i="4" a="1"/>
  <c r="M1121" i="4" s="1"/>
  <c r="K874" i="4"/>
  <c r="K890" i="4" s="1"/>
  <c r="K881" i="4"/>
  <c r="K897" i="4" s="1"/>
  <c r="K876" i="4"/>
  <c r="K892" i="4" s="1"/>
  <c r="J887" i="4"/>
  <c r="K885" i="4"/>
  <c r="K901" i="4" s="1"/>
  <c r="J1089" i="4" a="1"/>
  <c r="J1089" i="4" s="1"/>
  <c r="J1090" i="4" a="1"/>
  <c r="J1090" i="4" s="1"/>
  <c r="G915" i="4"/>
  <c r="G1109" i="4"/>
  <c r="L1124" i="4"/>
  <c r="L1130" i="4"/>
  <c r="L1128" i="4"/>
  <c r="L1120" i="4"/>
  <c r="L1123" i="4"/>
  <c r="L1127" i="4"/>
  <c r="L1129" i="4"/>
  <c r="L1122" i="4"/>
  <c r="L1131" i="4"/>
  <c r="L1119" i="4"/>
  <c r="L1121" i="4"/>
  <c r="K886" i="4"/>
  <c r="K902" i="4" s="1"/>
  <c r="K883" i="4"/>
  <c r="K899" i="4" s="1"/>
  <c r="I1097" i="4"/>
  <c r="I910" i="4" a="1"/>
  <c r="I910" i="4" s="1"/>
  <c r="I1104" i="4" s="1"/>
  <c r="I909" i="4" a="1"/>
  <c r="I909" i="4" s="1"/>
  <c r="I1103" i="4" s="1"/>
  <c r="I908" i="4" a="1"/>
  <c r="I908" i="4" s="1"/>
  <c r="I1102" i="4" s="1"/>
  <c r="I906" i="4" a="1"/>
  <c r="I906" i="4" s="1"/>
  <c r="I914" i="4" a="1"/>
  <c r="I914" i="4" s="1"/>
  <c r="I1108" i="4" s="1"/>
  <c r="I913" i="4" a="1"/>
  <c r="I913" i="4" s="1"/>
  <c r="I1107" i="4" s="1"/>
  <c r="I912" i="4" a="1"/>
  <c r="I912" i="4" s="1"/>
  <c r="I1106" i="4" s="1"/>
  <c r="I907" i="4" a="1"/>
  <c r="I907" i="4" s="1"/>
  <c r="I1101" i="4" s="1"/>
  <c r="I911" i="4" a="1"/>
  <c r="I911" i="4" s="1"/>
  <c r="I1105" i="4" s="1"/>
  <c r="I904" i="4"/>
  <c r="N1048" i="4" a="1"/>
  <c r="N1059" i="4" s="1"/>
  <c r="K882" i="4"/>
  <c r="K898" i="4" s="1"/>
  <c r="K879" i="4"/>
  <c r="K895" i="4" s="1"/>
  <c r="K877" i="4"/>
  <c r="K893" i="4" s="1"/>
  <c r="K705" i="4"/>
  <c r="N861" i="4"/>
  <c r="N862" i="4"/>
  <c r="N863" i="4"/>
  <c r="N864" i="4"/>
  <c r="M869" i="4"/>
  <c r="M443" i="42"/>
  <c r="N444" i="42" s="1"/>
  <c r="N445" i="42"/>
  <c r="K442" i="17"/>
  <c r="K444" i="17" s="1"/>
  <c r="K536" i="17"/>
  <c r="L431" i="17"/>
  <c r="L435" i="17"/>
  <c r="N752" i="17"/>
  <c r="H751" i="17"/>
  <c r="J448" i="42"/>
  <c r="K449" i="42" s="1"/>
  <c r="K450" i="42"/>
  <c r="K628" i="17"/>
  <c r="K644" i="17" s="1"/>
  <c r="H705" i="17"/>
  <c r="H741" i="17"/>
  <c r="L351" i="17"/>
  <c r="H750" i="17"/>
  <c r="AZ435" i="47"/>
  <c r="BG390" i="47" s="1"/>
  <c r="BH390" i="47" s="1"/>
  <c r="BI390" i="47" s="1"/>
  <c r="N713" i="17"/>
  <c r="I656" i="17"/>
  <c r="I657" i="17" s="1"/>
  <c r="I641" i="17"/>
  <c r="J644" i="17"/>
  <c r="H749" i="17"/>
  <c r="H768" i="17"/>
  <c r="K687" i="4"/>
  <c r="G459" i="13"/>
  <c r="K341" i="13" a="1"/>
  <c r="K341" i="13" s="1"/>
  <c r="K342" i="13" a="1"/>
  <c r="K342" i="13" s="1"/>
  <c r="K452" i="13" s="1"/>
  <c r="K343" i="13" a="1"/>
  <c r="K343" i="13" s="1"/>
  <c r="K453" i="13" s="1"/>
  <c r="BH413" i="47"/>
  <c r="BI413" i="47" s="1"/>
  <c r="H367" i="13"/>
  <c r="H369" i="13" s="1"/>
  <c r="H458" i="13" s="1"/>
  <c r="H451" i="13"/>
  <c r="H443" i="13"/>
  <c r="J453" i="42"/>
  <c r="K454" i="42" s="1"/>
  <c r="K455" i="42"/>
  <c r="M661" i="4"/>
  <c r="M660" i="4"/>
  <c r="M1054" i="4"/>
  <c r="L698" i="4"/>
  <c r="L680" i="4"/>
  <c r="L699" i="4"/>
  <c r="L681" i="4"/>
  <c r="J166" i="6"/>
  <c r="J169" i="6" s="1"/>
  <c r="I271" i="7"/>
  <c r="I316" i="7" s="1"/>
  <c r="K132" i="8"/>
  <c r="K167" i="8"/>
  <c r="J566" i="34"/>
  <c r="J569" i="34"/>
  <c r="J367" i="13"/>
  <c r="J369" i="13" s="1"/>
  <c r="J458" i="13" s="1"/>
  <c r="J451" i="13"/>
  <c r="L363" i="13"/>
  <c r="L365" i="13" s="1"/>
  <c r="L454" i="13"/>
  <c r="K165" i="8"/>
  <c r="K137" i="8"/>
  <c r="L156" i="8"/>
  <c r="L131" i="8"/>
  <c r="L136" i="8"/>
  <c r="L126" i="8"/>
  <c r="N234" i="13"/>
  <c r="N209" i="13"/>
  <c r="M582" i="34"/>
  <c r="L244" i="13"/>
  <c r="L442" i="13" s="1"/>
  <c r="L240" i="13"/>
  <c r="L243" i="13"/>
  <c r="L441" i="13" s="1"/>
  <c r="L437" i="13"/>
  <c r="L242" i="13"/>
  <c r="L440" i="13" s="1"/>
  <c r="L241" i="13"/>
  <c r="L439" i="13" s="1"/>
  <c r="K438" i="13"/>
  <c r="K443" i="13" s="1"/>
  <c r="M283" i="13"/>
  <c r="M286" i="13" s="1"/>
  <c r="M304" i="13"/>
  <c r="M307" i="13" s="1"/>
  <c r="M457" i="13" s="1"/>
  <c r="M297" i="13"/>
  <c r="M300" i="13" s="1"/>
  <c r="M456" i="13" s="1"/>
  <c r="M290" i="13"/>
  <c r="M293" i="13" s="1"/>
  <c r="M455" i="13" s="1"/>
  <c r="M311" i="13"/>
  <c r="M314" i="13" s="1"/>
  <c r="M472" i="13" s="1"/>
  <c r="M325" i="13"/>
  <c r="M328" i="13" s="1"/>
  <c r="M474" i="13" s="1"/>
  <c r="M332" i="13"/>
  <c r="M335" i="13" s="1"/>
  <c r="M475" i="13" s="1"/>
  <c r="M318" i="13"/>
  <c r="M321" i="13" s="1"/>
  <c r="M473" i="13" s="1"/>
  <c r="L377" i="34"/>
  <c r="L421" i="34"/>
  <c r="L424" i="34" s="1"/>
  <c r="M376" i="34"/>
  <c r="M116" i="8"/>
  <c r="M117" i="8" s="1"/>
  <c r="M120" i="8"/>
  <c r="L144" i="8"/>
  <c r="L145" i="8"/>
  <c r="L122" i="8"/>
  <c r="L154" i="8" s="1"/>
  <c r="K127" i="8"/>
  <c r="K169" i="8"/>
  <c r="N155" i="8"/>
  <c r="N114" i="8"/>
  <c r="M261" i="13"/>
  <c r="M265" i="13"/>
  <c r="M263" i="13"/>
  <c r="M262" i="13"/>
  <c r="M264" i="13"/>
  <c r="M237" i="13"/>
  <c r="N582" i="34"/>
  <c r="K146" i="8"/>
  <c r="K132" i="6"/>
  <c r="K134" i="6" s="1"/>
  <c r="K166" i="6" s="1"/>
  <c r="K227" i="7"/>
  <c r="K224" i="7"/>
  <c r="L337" i="7"/>
  <c r="M701" i="4"/>
  <c r="M710" i="4"/>
  <c r="M711" i="4" s="1"/>
  <c r="M683" i="4"/>
  <c r="N701" i="4" s="1"/>
  <c r="N710" i="4"/>
  <c r="K211" i="7"/>
  <c r="K302" i="7"/>
  <c r="J126" i="9"/>
  <c r="L204" i="7"/>
  <c r="L206" i="7" s="1"/>
  <c r="L208" i="7" s="1"/>
  <c r="L239" i="7"/>
  <c r="J275" i="7"/>
  <c r="J304" i="7"/>
  <c r="J277" i="7"/>
  <c r="J276" i="7"/>
  <c r="M696" i="4"/>
  <c r="M678" i="4"/>
  <c r="N696" i="4" s="1"/>
  <c r="L131" i="6"/>
  <c r="L168" i="6" s="1"/>
  <c r="L165" i="6"/>
  <c r="I284" i="7"/>
  <c r="N122" i="6"/>
  <c r="N177" i="6"/>
  <c r="M188" i="7"/>
  <c r="N167" i="7"/>
  <c r="M170" i="7"/>
  <c r="M335" i="7" s="1"/>
  <c r="M236" i="7"/>
  <c r="L218" i="7"/>
  <c r="L220" i="7" s="1"/>
  <c r="L222" i="7" s="1"/>
  <c r="L225" i="7" s="1"/>
  <c r="L245" i="7"/>
  <c r="L229" i="7"/>
  <c r="J149" i="9"/>
  <c r="J107" i="9"/>
  <c r="J213" i="7"/>
  <c r="J271" i="7" s="1"/>
  <c r="J210" i="7"/>
  <c r="J306" i="7" s="1"/>
  <c r="M179" i="6"/>
  <c r="M702" i="4"/>
  <c r="M684" i="4"/>
  <c r="N702" i="4" s="1"/>
  <c r="M685" i="4"/>
  <c r="N703" i="4" s="1"/>
  <c r="M703" i="4"/>
  <c r="N169" i="7"/>
  <c r="M217" i="7"/>
  <c r="M248" i="7"/>
  <c r="M700" i="4"/>
  <c r="M682" i="4"/>
  <c r="N700" i="4" s="1"/>
  <c r="J147" i="9"/>
  <c r="J112" i="9"/>
  <c r="I169" i="6"/>
  <c r="N90" i="9"/>
  <c r="M94" i="9"/>
  <c r="M135" i="9"/>
  <c r="M203" i="7"/>
  <c r="N168" i="7"/>
  <c r="M242" i="7"/>
  <c r="K198" i="7"/>
  <c r="K195" i="7"/>
  <c r="L189" i="7"/>
  <c r="L191" i="7" s="1"/>
  <c r="L193" i="7" s="1"/>
  <c r="L196" i="7" s="1"/>
  <c r="L233" i="7"/>
  <c r="M676" i="4"/>
  <c r="N694" i="4" s="1"/>
  <c r="M694" i="4"/>
  <c r="K116" i="9"/>
  <c r="K106" i="9"/>
  <c r="K136" i="9"/>
  <c r="K111" i="9"/>
  <c r="J145" i="9"/>
  <c r="J117" i="9"/>
  <c r="I305" i="7"/>
  <c r="I303" i="7"/>
  <c r="L96" i="9"/>
  <c r="L97" i="9" s="1"/>
  <c r="L100" i="9"/>
  <c r="M693" i="4"/>
  <c r="M675" i="4"/>
  <c r="N693" i="4" s="1"/>
  <c r="M677" i="4"/>
  <c r="N695" i="4" s="1"/>
  <c r="M695" i="4"/>
  <c r="M704" i="4"/>
  <c r="M686" i="4"/>
  <c r="N704" i="4" s="1"/>
  <c r="M697" i="4"/>
  <c r="M679" i="4"/>
  <c r="N697" i="4" s="1"/>
  <c r="M124" i="6"/>
  <c r="M125" i="6" s="1"/>
  <c r="M130" i="6" s="1"/>
  <c r="M138" i="6"/>
  <c r="I270" i="7"/>
  <c r="I280" i="7" s="1"/>
  <c r="I318" i="7" s="1"/>
  <c r="I317" i="7"/>
  <c r="M639" i="4" l="1"/>
  <c r="M654" i="4"/>
  <c r="L692" i="4"/>
  <c r="L674" i="4"/>
  <c r="L687" i="4" s="1"/>
  <c r="BG371" i="47"/>
  <c r="BH371" i="47" s="1"/>
  <c r="BI371" i="47" s="1"/>
  <c r="M1059" i="4"/>
  <c r="L581" i="34"/>
  <c r="L584" i="34" s="1"/>
  <c r="L472" i="34"/>
  <c r="N357" i="34"/>
  <c r="N469" i="34" s="1"/>
  <c r="M1057" i="4"/>
  <c r="M1058" i="4"/>
  <c r="M1055" i="4"/>
  <c r="I463" i="17" a="1"/>
  <c r="I463" i="17" s="1"/>
  <c r="I766" i="17" s="1"/>
  <c r="M1049" i="4"/>
  <c r="M1048" i="4"/>
  <c r="M1060" i="4"/>
  <c r="L426" i="34"/>
  <c r="L428" i="34" s="1"/>
  <c r="L445" i="34" s="1"/>
  <c r="L378" i="34"/>
  <c r="G752" i="17"/>
  <c r="M1125" i="4"/>
  <c r="L1068" i="4" a="1"/>
  <c r="L1068" i="4" s="1"/>
  <c r="L1066" i="4" a="1"/>
  <c r="L1065" i="4" a="1"/>
  <c r="L1065" i="4" s="1"/>
  <c r="M1129" i="4"/>
  <c r="L1072" i="4" a="1"/>
  <c r="L1072" i="4" s="1"/>
  <c r="L1070" i="4" a="1"/>
  <c r="L1067" i="4" a="1"/>
  <c r="L1067" i="4" s="1"/>
  <c r="L1064" i="4" a="1"/>
  <c r="L1064" i="4" s="1"/>
  <c r="L1071" i="4" a="1"/>
  <c r="L1071" i="4" s="1"/>
  <c r="L1069" i="4" a="1"/>
  <c r="J455" i="17"/>
  <c r="J553" i="17"/>
  <c r="J640" i="17"/>
  <c r="J656" i="17" s="1"/>
  <c r="J657" i="17" s="1"/>
  <c r="I586" i="17"/>
  <c r="I784" i="17" s="1"/>
  <c r="I711" i="17"/>
  <c r="K1146" i="4"/>
  <c r="K1300" i="4" s="1"/>
  <c r="I710" i="17"/>
  <c r="J452" i="17"/>
  <c r="J737" i="17" s="1"/>
  <c r="J581" i="17"/>
  <c r="I740" i="17"/>
  <c r="I712" i="17" s="1"/>
  <c r="I708" i="17"/>
  <c r="J557" i="17"/>
  <c r="J558" i="17"/>
  <c r="K1144" i="4"/>
  <c r="K647" i="17"/>
  <c r="J449" i="17"/>
  <c r="J734" i="17" s="1"/>
  <c r="J376" i="17"/>
  <c r="J575" i="17"/>
  <c r="M1052" i="4"/>
  <c r="I462" i="17" a="1"/>
  <c r="I462" i="17" s="1"/>
  <c r="I765" i="17" s="1"/>
  <c r="I457" i="17"/>
  <c r="I464" i="17" a="1"/>
  <c r="I464" i="17" s="1"/>
  <c r="I767" i="17" s="1"/>
  <c r="I709" i="17"/>
  <c r="I706" i="17"/>
  <c r="J583" i="17"/>
  <c r="M1124" i="4"/>
  <c r="M1131" i="4"/>
  <c r="I707" i="17"/>
  <c r="J579" i="17"/>
  <c r="M1126" i="4"/>
  <c r="J577" i="17"/>
  <c r="M1119" i="4"/>
  <c r="J620" i="17"/>
  <c r="J785" i="17" s="1"/>
  <c r="J576" i="17"/>
  <c r="J578" i="17"/>
  <c r="J453" i="17"/>
  <c r="J738" i="17" s="1"/>
  <c r="J552" i="17"/>
  <c r="J554" i="17"/>
  <c r="J559" i="17"/>
  <c r="I560" i="17"/>
  <c r="L1061" i="4"/>
  <c r="K637" i="17"/>
  <c r="K653" i="17" s="1"/>
  <c r="L1069" i="4"/>
  <c r="L1066" i="4"/>
  <c r="K648" i="17"/>
  <c r="K639" i="17"/>
  <c r="K655" i="17" s="1"/>
  <c r="J582" i="17"/>
  <c r="J454" i="17"/>
  <c r="J739" i="17" s="1"/>
  <c r="L1070" i="4"/>
  <c r="K1073" i="4"/>
  <c r="K630" i="17"/>
  <c r="K646" i="17" s="1"/>
  <c r="K629" i="17"/>
  <c r="K645" i="17" s="1"/>
  <c r="M1123" i="4"/>
  <c r="J911" i="4" a="1"/>
  <c r="J910" i="4" a="1"/>
  <c r="K363" i="17"/>
  <c r="M1050" i="4"/>
  <c r="J618" i="17"/>
  <c r="J572" i="17"/>
  <c r="J580" i="17"/>
  <c r="K606" i="17"/>
  <c r="J448" i="17"/>
  <c r="J733" i="17" s="1"/>
  <c r="J451" i="17"/>
  <c r="J736" i="17" s="1"/>
  <c r="J556" i="17"/>
  <c r="I584" i="17"/>
  <c r="M1127" i="4"/>
  <c r="J548" i="17"/>
  <c r="K395" i="17"/>
  <c r="K640" i="17" s="1"/>
  <c r="J450" i="17"/>
  <c r="J735" i="17" s="1"/>
  <c r="J408" i="17"/>
  <c r="J551" i="17"/>
  <c r="J456" i="17"/>
  <c r="K651" i="17"/>
  <c r="M1056" i="4"/>
  <c r="M1053" i="4"/>
  <c r="J912" i="4" a="1"/>
  <c r="K638" i="17"/>
  <c r="K654" i="17" s="1"/>
  <c r="K633" i="17"/>
  <c r="K649" i="17" s="1"/>
  <c r="J906" i="4" a="1"/>
  <c r="J914" i="4" a="1"/>
  <c r="J914" i="4" s="1"/>
  <c r="J1108" i="4" s="1"/>
  <c r="K502" i="17"/>
  <c r="K503" i="17"/>
  <c r="H1100" i="4"/>
  <c r="H1109" i="4" s="1"/>
  <c r="H915" i="4"/>
  <c r="K617" i="17" a="1"/>
  <c r="K617" i="17" s="1"/>
  <c r="K613" i="17" a="1"/>
  <c r="K613" i="17" s="1"/>
  <c r="K609" i="17" a="1"/>
  <c r="K609" i="17" s="1"/>
  <c r="K614" i="17" a="1"/>
  <c r="K614" i="17" s="1"/>
  <c r="K615" i="17" a="1"/>
  <c r="K615" i="17" s="1"/>
  <c r="K611" i="17" a="1"/>
  <c r="K611" i="17" s="1"/>
  <c r="K616" i="17" a="1"/>
  <c r="K616" i="17" s="1"/>
  <c r="K612" i="17" a="1"/>
  <c r="K612" i="17" s="1"/>
  <c r="K610" i="17" a="1"/>
  <c r="K610" i="17" s="1"/>
  <c r="L387" i="17"/>
  <c r="L390" i="17"/>
  <c r="L389" i="17"/>
  <c r="L388" i="17"/>
  <c r="L382" i="17"/>
  <c r="L386" i="17"/>
  <c r="L392" i="17"/>
  <c r="L384" i="17"/>
  <c r="L393" i="17"/>
  <c r="L394" i="17"/>
  <c r="L391" i="17"/>
  <c r="L385" i="17"/>
  <c r="L330" i="17"/>
  <c r="M350" i="17" a="1"/>
  <c r="M351" i="17" s="1"/>
  <c r="M382" i="17" a="1"/>
  <c r="M383" i="17" s="1"/>
  <c r="M593" i="17" a="1"/>
  <c r="M594" i="17" s="1"/>
  <c r="M1120" i="4"/>
  <c r="M1128" i="4"/>
  <c r="M1122" i="4"/>
  <c r="J907" i="4" a="1"/>
  <c r="I719" i="17"/>
  <c r="I728" i="17" s="1"/>
  <c r="I529" i="17" a="1"/>
  <c r="I529" i="17" s="1"/>
  <c r="I759" i="17" s="1"/>
  <c r="I527" i="17" a="1"/>
  <c r="I527" i="17" s="1"/>
  <c r="I757" i="17" s="1"/>
  <c r="I524" i="17"/>
  <c r="I528" i="17" a="1"/>
  <c r="I528" i="17" s="1"/>
  <c r="I758" i="17" s="1"/>
  <c r="M659" i="17"/>
  <c r="M429" i="17" a="1"/>
  <c r="M429" i="17" s="1"/>
  <c r="M425" i="17" a="1"/>
  <c r="M425" i="17" s="1"/>
  <c r="M438" i="17" s="1"/>
  <c r="M428" i="17" a="1"/>
  <c r="M428" i="17" s="1"/>
  <c r="M424" i="17" a="1"/>
  <c r="M424" i="17" s="1"/>
  <c r="M437" i="17" s="1"/>
  <c r="M426" i="17" a="1"/>
  <c r="M426" i="17" s="1"/>
  <c r="M439" i="17" s="1"/>
  <c r="M422" i="17" a="1"/>
  <c r="M422" i="17" s="1"/>
  <c r="M430" i="17" a="1"/>
  <c r="M430" i="17" s="1"/>
  <c r="M443" i="17" s="1"/>
  <c r="M427" i="17" a="1"/>
  <c r="M427" i="17" s="1"/>
  <c r="M440" i="17" s="1"/>
  <c r="M423" i="17" a="1"/>
  <c r="M423" i="17" s="1"/>
  <c r="M436" i="17" s="1"/>
  <c r="M418" i="17"/>
  <c r="K634" i="17"/>
  <c r="K650" i="17" s="1"/>
  <c r="K569" i="17" a="1"/>
  <c r="K569" i="17" s="1"/>
  <c r="K565" i="17" a="1"/>
  <c r="K565" i="17" s="1"/>
  <c r="K568" i="17" a="1"/>
  <c r="K568" i="17" s="1"/>
  <c r="K564" i="17" a="1"/>
  <c r="K564" i="17" s="1"/>
  <c r="K571" i="17" a="1"/>
  <c r="K571" i="17" s="1"/>
  <c r="K567" i="17" a="1"/>
  <c r="K567" i="17" s="1"/>
  <c r="K563" i="17" a="1"/>
  <c r="K563" i="17" s="1"/>
  <c r="K570" i="17" a="1"/>
  <c r="K570" i="17" s="1"/>
  <c r="K566" i="17" a="1"/>
  <c r="K566" i="17" s="1"/>
  <c r="K406" i="17" a="1"/>
  <c r="K406" i="17" s="1"/>
  <c r="K402" i="17" a="1"/>
  <c r="K402" i="17" s="1"/>
  <c r="K403" i="17" a="1"/>
  <c r="K403" i="17" s="1"/>
  <c r="K399" i="17" a="1"/>
  <c r="K399" i="17" s="1"/>
  <c r="K404" i="17" a="1"/>
  <c r="K404" i="17" s="1"/>
  <c r="K400" i="17" a="1"/>
  <c r="K400" i="17" s="1"/>
  <c r="K401" i="17" a="1"/>
  <c r="K401" i="17" s="1"/>
  <c r="K405" i="17" a="1"/>
  <c r="K405" i="17" s="1"/>
  <c r="K407" i="17" a="1"/>
  <c r="K407" i="17" s="1"/>
  <c r="K627" i="17"/>
  <c r="K546" i="17" a="1"/>
  <c r="K546" i="17" s="1"/>
  <c r="K542" i="17" a="1"/>
  <c r="K542" i="17" s="1"/>
  <c r="K545" i="17" a="1"/>
  <c r="K545" i="17" s="1"/>
  <c r="K541" i="17" a="1"/>
  <c r="K541" i="17" s="1"/>
  <c r="K544" i="17" a="1"/>
  <c r="K544" i="17" s="1"/>
  <c r="K540" i="17" a="1"/>
  <c r="K540" i="17" s="1"/>
  <c r="K547" i="17" a="1"/>
  <c r="K547" i="17" s="1"/>
  <c r="K543" i="17" a="1"/>
  <c r="K543" i="17" s="1"/>
  <c r="K539" i="17" a="1"/>
  <c r="K539" i="17" s="1"/>
  <c r="K368" i="17" a="1"/>
  <c r="K368" i="17" s="1"/>
  <c r="K369" i="17" a="1"/>
  <c r="K369" i="17" s="1"/>
  <c r="K374" i="17" a="1"/>
  <c r="K374" i="17" s="1"/>
  <c r="K370" i="17" a="1"/>
  <c r="K370" i="17" s="1"/>
  <c r="K367" i="17" a="1"/>
  <c r="K367" i="17" s="1"/>
  <c r="K448" i="17" s="1"/>
  <c r="K372" i="17" a="1"/>
  <c r="K372" i="17" s="1"/>
  <c r="K453" i="17" s="1"/>
  <c r="K738" i="17" s="1"/>
  <c r="K375" i="17" a="1"/>
  <c r="K375" i="17" s="1"/>
  <c r="K371" i="17" a="1"/>
  <c r="K371" i="17" s="1"/>
  <c r="K452" i="17" s="1"/>
  <c r="K737" i="17" s="1"/>
  <c r="K373" i="17" a="1"/>
  <c r="K373" i="17" s="1"/>
  <c r="K454" i="17" s="1"/>
  <c r="K739" i="17" s="1"/>
  <c r="L354" i="17"/>
  <c r="L359" i="17"/>
  <c r="L362" i="17"/>
  <c r="L356" i="17"/>
  <c r="L358" i="17"/>
  <c r="L352" i="17"/>
  <c r="L350" i="17"/>
  <c r="L360" i="17"/>
  <c r="L355" i="17"/>
  <c r="L361" i="17"/>
  <c r="L357" i="17"/>
  <c r="L353" i="17"/>
  <c r="K507" i="17"/>
  <c r="M1130" i="4"/>
  <c r="J908" i="4" a="1"/>
  <c r="J909" i="4" a="1"/>
  <c r="L880" i="4"/>
  <c r="L896" i="4" s="1"/>
  <c r="J523" i="17" a="1"/>
  <c r="J523" i="17" s="1"/>
  <c r="J727" i="17" s="1"/>
  <c r="J519" i="17" a="1"/>
  <c r="J519" i="17" s="1"/>
  <c r="J723" i="17" s="1"/>
  <c r="J522" i="17" a="1"/>
  <c r="J522" i="17" s="1"/>
  <c r="J726" i="17" s="1"/>
  <c r="J517" i="17" a="1"/>
  <c r="J517" i="17" s="1"/>
  <c r="J721" i="17" s="1"/>
  <c r="J515" i="17" a="1"/>
  <c r="J515" i="17" s="1"/>
  <c r="J520" i="17" a="1"/>
  <c r="J520" i="17" s="1"/>
  <c r="J724" i="17" s="1"/>
  <c r="J518" i="17" a="1"/>
  <c r="J518" i="17" s="1"/>
  <c r="J722" i="17" s="1"/>
  <c r="J708" i="17" s="1"/>
  <c r="J521" i="17" a="1"/>
  <c r="J521" i="17" s="1"/>
  <c r="J725" i="17" s="1"/>
  <c r="J516" i="17" a="1"/>
  <c r="J516" i="17" s="1"/>
  <c r="J720" i="17" s="1"/>
  <c r="J510" i="17"/>
  <c r="K508" i="17"/>
  <c r="L603" i="17"/>
  <c r="L604" i="17"/>
  <c r="L605" i="17"/>
  <c r="L595" i="17"/>
  <c r="L598" i="17"/>
  <c r="L599" i="17"/>
  <c r="L597" i="17"/>
  <c r="L593" i="17"/>
  <c r="L600" i="17"/>
  <c r="L602" i="17"/>
  <c r="L601" i="17"/>
  <c r="L596" i="17"/>
  <c r="M423" i="15"/>
  <c r="M410" i="15"/>
  <c r="M414" i="15"/>
  <c r="K421" i="15"/>
  <c r="K425" i="15" s="1"/>
  <c r="K416" i="15"/>
  <c r="L423" i="15"/>
  <c r="L410" i="15"/>
  <c r="L414" i="15"/>
  <c r="K125" i="9"/>
  <c r="K126" i="9" s="1"/>
  <c r="K102" i="9"/>
  <c r="K134" i="9" s="1"/>
  <c r="F712" i="17"/>
  <c r="F713" i="17" s="1"/>
  <c r="F741" i="17"/>
  <c r="F768" i="17"/>
  <c r="F749" i="17"/>
  <c r="F752" i="17" s="1"/>
  <c r="L886" i="4"/>
  <c r="L902" i="4" s="1"/>
  <c r="L878" i="4"/>
  <c r="L894" i="4" s="1"/>
  <c r="L876" i="4"/>
  <c r="L892" i="4" s="1"/>
  <c r="M870" i="4"/>
  <c r="M871" i="4" s="1"/>
  <c r="M874" i="4" s="1" a="1"/>
  <c r="J1097" i="4"/>
  <c r="L874" i="4"/>
  <c r="L890" i="4" s="1"/>
  <c r="L885" i="4"/>
  <c r="L901" i="4" s="1"/>
  <c r="L884" i="4"/>
  <c r="L900" i="4" s="1"/>
  <c r="L882" i="4"/>
  <c r="L898" i="4" s="1"/>
  <c r="L883" i="4"/>
  <c r="L899" i="4" s="1"/>
  <c r="L877" i="4"/>
  <c r="L893" i="4" s="1"/>
  <c r="L881" i="4"/>
  <c r="L897" i="4" s="1"/>
  <c r="L879" i="4"/>
  <c r="L895" i="4" s="1"/>
  <c r="L875" i="4"/>
  <c r="L891" i="4" s="1"/>
  <c r="L1141" i="4" a="1"/>
  <c r="L1141" i="4" s="1"/>
  <c r="L1138" i="4" a="1"/>
  <c r="L1138" i="4" s="1"/>
  <c r="L1143" i="4" a="1"/>
  <c r="L1143" i="4" s="1"/>
  <c r="L1135" i="4" a="1"/>
  <c r="L1135" i="4" s="1"/>
  <c r="L1136" i="4" a="1"/>
  <c r="L1136" i="4" s="1"/>
  <c r="L1137" i="4" a="1"/>
  <c r="L1137" i="4" s="1"/>
  <c r="L1140" i="4" a="1"/>
  <c r="L1140" i="4" s="1"/>
  <c r="L1139" i="4" a="1"/>
  <c r="L1139" i="4" s="1"/>
  <c r="L1142" i="4" a="1"/>
  <c r="L1142" i="4" s="1"/>
  <c r="I1100" i="4"/>
  <c r="I1109" i="4" s="1"/>
  <c r="I915" i="4"/>
  <c r="K1092" i="4" a="1"/>
  <c r="K1092" i="4" s="1"/>
  <c r="K1088" i="4" a="1"/>
  <c r="K1088" i="4" s="1"/>
  <c r="K1091" i="4" a="1"/>
  <c r="K1091" i="4" s="1"/>
  <c r="L1132" i="4"/>
  <c r="K887" i="4"/>
  <c r="K1093" i="4" a="1"/>
  <c r="K1093" i="4" s="1"/>
  <c r="K1089" i="4" a="1"/>
  <c r="K1089" i="4" s="1"/>
  <c r="K908" i="4" a="1"/>
  <c r="K908" i="4" s="1"/>
  <c r="K911" i="4" a="1"/>
  <c r="K911" i="4" s="1"/>
  <c r="K914" i="4" a="1"/>
  <c r="K914" i="4" s="1"/>
  <c r="K913" i="4" a="1"/>
  <c r="K913" i="4" s="1"/>
  <c r="K912" i="4" a="1"/>
  <c r="K912" i="4" s="1"/>
  <c r="K906" i="4" a="1"/>
  <c r="K906" i="4" s="1"/>
  <c r="K910" i="4" a="1"/>
  <c r="K910" i="4" s="1"/>
  <c r="K909" i="4" a="1"/>
  <c r="K909" i="4" s="1"/>
  <c r="K907" i="4" a="1"/>
  <c r="K907" i="4" s="1"/>
  <c r="N1056" i="4"/>
  <c r="N1058" i="4"/>
  <c r="N1051" i="4"/>
  <c r="N1050" i="4"/>
  <c r="N1053" i="4"/>
  <c r="N1057" i="4"/>
  <c r="N1048" i="4"/>
  <c r="N1054" i="4"/>
  <c r="N1049" i="4"/>
  <c r="N1055" i="4"/>
  <c r="N1060" i="4"/>
  <c r="N1052" i="4"/>
  <c r="K1095" i="4" a="1"/>
  <c r="K1095" i="4" s="1"/>
  <c r="K1090" i="4" a="1"/>
  <c r="K1090" i="4" s="1"/>
  <c r="K1096" i="4" a="1"/>
  <c r="K1096" i="4" s="1"/>
  <c r="K1094" i="4" a="1"/>
  <c r="K1094" i="4" s="1"/>
  <c r="N869" i="4"/>
  <c r="N870" i="4" s="1"/>
  <c r="N871" i="4" s="1"/>
  <c r="K904" i="4"/>
  <c r="N443" i="42"/>
  <c r="L536" i="17"/>
  <c r="L442" i="17"/>
  <c r="L444" i="17" s="1"/>
  <c r="H713" i="17"/>
  <c r="H752" i="17"/>
  <c r="L628" i="17"/>
  <c r="L644" i="17" s="1"/>
  <c r="K448" i="42"/>
  <c r="L449" i="42" s="1"/>
  <c r="L450" i="42"/>
  <c r="L343" i="13" a="1"/>
  <c r="L343" i="13" s="1"/>
  <c r="L453" i="13" s="1"/>
  <c r="L341" i="13" a="1"/>
  <c r="L341" i="13" s="1"/>
  <c r="L342" i="13" a="1"/>
  <c r="L342" i="13" s="1"/>
  <c r="L452" i="13" s="1"/>
  <c r="H459" i="13"/>
  <c r="L705" i="4"/>
  <c r="L455" i="42"/>
  <c r="K453" i="42"/>
  <c r="L454" i="42" s="1"/>
  <c r="M681" i="4"/>
  <c r="N699" i="4" s="1"/>
  <c r="M699" i="4"/>
  <c r="M698" i="4"/>
  <c r="M680" i="4"/>
  <c r="N698" i="4" s="1"/>
  <c r="K167" i="6"/>
  <c r="K169" i="6" s="1"/>
  <c r="N120" i="8"/>
  <c r="N116" i="8"/>
  <c r="N117" i="8" s="1"/>
  <c r="L146" i="8"/>
  <c r="N376" i="34"/>
  <c r="M421" i="34"/>
  <c r="M424" i="34" s="1"/>
  <c r="M377" i="34"/>
  <c r="N297" i="13"/>
  <c r="N300" i="13" s="1"/>
  <c r="N456" i="13" s="1"/>
  <c r="N290" i="13"/>
  <c r="N293" i="13" s="1"/>
  <c r="N455" i="13" s="1"/>
  <c r="N283" i="13"/>
  <c r="N286" i="13" s="1"/>
  <c r="N304" i="13"/>
  <c r="N307" i="13" s="1"/>
  <c r="N457" i="13" s="1"/>
  <c r="N332" i="13"/>
  <c r="N335" i="13" s="1"/>
  <c r="N475" i="13" s="1"/>
  <c r="N318" i="13"/>
  <c r="N321" i="13" s="1"/>
  <c r="N473" i="13" s="1"/>
  <c r="N325" i="13"/>
  <c r="N328" i="13" s="1"/>
  <c r="N474" i="13" s="1"/>
  <c r="N311" i="13"/>
  <c r="N314" i="13" s="1"/>
  <c r="N472" i="13" s="1"/>
  <c r="L167" i="8"/>
  <c r="L132" i="8"/>
  <c r="M437" i="13"/>
  <c r="M244" i="13"/>
  <c r="M442" i="13" s="1"/>
  <c r="M240" i="13"/>
  <c r="M241" i="13"/>
  <c r="M439" i="13" s="1"/>
  <c r="M242" i="13"/>
  <c r="M440" i="13" s="1"/>
  <c r="M243" i="13"/>
  <c r="M441" i="13" s="1"/>
  <c r="L438" i="13"/>
  <c r="N264" i="13"/>
  <c r="N263" i="13"/>
  <c r="N261" i="13"/>
  <c r="N265" i="13"/>
  <c r="N262" i="13"/>
  <c r="N237" i="13"/>
  <c r="J459" i="13"/>
  <c r="J270" i="7"/>
  <c r="J315" i="7" s="1"/>
  <c r="J272" i="7"/>
  <c r="J317" i="7" s="1"/>
  <c r="J570" i="34"/>
  <c r="M145" i="8"/>
  <c r="M122" i="8"/>
  <c r="M154" i="8" s="1"/>
  <c r="M144" i="8"/>
  <c r="K367" i="13"/>
  <c r="K369" i="13" s="1"/>
  <c r="K458" i="13" s="1"/>
  <c r="K451" i="13"/>
  <c r="L165" i="8"/>
  <c r="L137" i="8"/>
  <c r="K566" i="34"/>
  <c r="K569" i="34"/>
  <c r="M136" i="8"/>
  <c r="M131" i="8"/>
  <c r="M156" i="8"/>
  <c r="M126" i="8"/>
  <c r="M454" i="13"/>
  <c r="M363" i="13"/>
  <c r="M365" i="13" s="1"/>
  <c r="L127" i="8"/>
  <c r="L169" i="8"/>
  <c r="J316" i="7"/>
  <c r="L211" i="7"/>
  <c r="L302" i="7"/>
  <c r="L198" i="7"/>
  <c r="L195" i="7"/>
  <c r="BB262" i="47"/>
  <c r="BB272" i="47" s="1"/>
  <c r="M96" i="9"/>
  <c r="M97" i="9" s="1"/>
  <c r="M100" i="9"/>
  <c r="L227" i="7"/>
  <c r="L224" i="7"/>
  <c r="K213" i="7"/>
  <c r="K270" i="7" s="1"/>
  <c r="K210" i="7"/>
  <c r="K306" i="7" s="1"/>
  <c r="M189" i="7"/>
  <c r="M191" i="7" s="1"/>
  <c r="M193" i="7" s="1"/>
  <c r="M196" i="7" s="1"/>
  <c r="M233" i="7"/>
  <c r="K145" i="9"/>
  <c r="K117" i="9"/>
  <c r="N203" i="7"/>
  <c r="N242" i="7"/>
  <c r="N94" i="9"/>
  <c r="N135" i="9"/>
  <c r="M218" i="7"/>
  <c r="M220" i="7" s="1"/>
  <c r="M222" i="7" s="1"/>
  <c r="M225" i="7" s="1"/>
  <c r="M245" i="7"/>
  <c r="M229" i="7"/>
  <c r="J303" i="7"/>
  <c r="J305" i="7"/>
  <c r="M337" i="7"/>
  <c r="N179" i="6"/>
  <c r="J284" i="7"/>
  <c r="I315" i="7"/>
  <c r="N711" i="4"/>
  <c r="M131" i="6"/>
  <c r="M168" i="6" s="1"/>
  <c r="M165" i="6"/>
  <c r="I283" i="7"/>
  <c r="I307" i="7"/>
  <c r="K149" i="9"/>
  <c r="K107" i="9"/>
  <c r="L125" i="9"/>
  <c r="L124" i="9"/>
  <c r="L102" i="9"/>
  <c r="L134" i="9" s="1"/>
  <c r="L111" i="9"/>
  <c r="L136" i="9"/>
  <c r="L106" i="9"/>
  <c r="L116" i="9"/>
  <c r="K147" i="9"/>
  <c r="K112" i="9"/>
  <c r="M204" i="7"/>
  <c r="M206" i="7" s="1"/>
  <c r="M208" i="7" s="1"/>
  <c r="M239" i="7"/>
  <c r="N217" i="7"/>
  <c r="N218" i="7" s="1"/>
  <c r="N248" i="7"/>
  <c r="N188" i="7"/>
  <c r="N170" i="7"/>
  <c r="N335" i="7" s="1"/>
  <c r="N236" i="7"/>
  <c r="N124" i="6"/>
  <c r="N125" i="6" s="1"/>
  <c r="N130" i="6" s="1"/>
  <c r="N138" i="6"/>
  <c r="K275" i="7"/>
  <c r="K276" i="7"/>
  <c r="K304" i="7"/>
  <c r="K277" i="7"/>
  <c r="L132" i="6"/>
  <c r="L134" i="6" s="1"/>
  <c r="M674" i="4" l="1"/>
  <c r="N692" i="4" s="1"/>
  <c r="M692" i="4"/>
  <c r="M581" i="34"/>
  <c r="M584" i="34" s="1"/>
  <c r="M472" i="34"/>
  <c r="N581" i="34"/>
  <c r="N584" i="34" s="1"/>
  <c r="N472" i="34"/>
  <c r="M426" i="34"/>
  <c r="M428" i="34" s="1"/>
  <c r="M445" i="34" s="1"/>
  <c r="M378" i="34"/>
  <c r="M1065" i="4" a="1"/>
  <c r="M1139" i="4" a="1"/>
  <c r="M1139" i="4" s="1"/>
  <c r="J641" i="17"/>
  <c r="J740" i="17"/>
  <c r="J712" i="17" s="1"/>
  <c r="J706" i="17"/>
  <c r="J709" i="17"/>
  <c r="I750" i="17"/>
  <c r="I768" i="17"/>
  <c r="I749" i="17"/>
  <c r="I741" i="17"/>
  <c r="K580" i="17"/>
  <c r="M1066" i="4" a="1"/>
  <c r="M1066" i="4" s="1"/>
  <c r="M1142" i="4" a="1"/>
  <c r="M1142" i="4" s="1"/>
  <c r="K455" i="17"/>
  <c r="K548" i="17"/>
  <c r="K578" i="17"/>
  <c r="K620" i="17"/>
  <c r="K785" i="17" s="1"/>
  <c r="J707" i="17"/>
  <c r="J586" i="17"/>
  <c r="J784" i="17" s="1"/>
  <c r="J711" i="17"/>
  <c r="J584" i="17"/>
  <c r="L503" i="17"/>
  <c r="K449" i="17"/>
  <c r="K734" i="17" s="1"/>
  <c r="K575" i="17"/>
  <c r="I751" i="17"/>
  <c r="M1061" i="4"/>
  <c r="J462" i="17" a="1"/>
  <c r="J462" i="17" s="1"/>
  <c r="J765" i="17" s="1"/>
  <c r="K583" i="17"/>
  <c r="K552" i="17"/>
  <c r="K581" i="17"/>
  <c r="M1064" i="4" a="1"/>
  <c r="M1064" i="4" s="1"/>
  <c r="J710" i="17"/>
  <c r="K554" i="17"/>
  <c r="M1135" i="4" a="1"/>
  <c r="M1135" i="4" s="1"/>
  <c r="J464" i="17" a="1"/>
  <c r="J464" i="17" s="1"/>
  <c r="J767" i="17" s="1"/>
  <c r="L1073" i="4"/>
  <c r="J560" i="17"/>
  <c r="M1141" i="4" a="1"/>
  <c r="M1141" i="4" s="1"/>
  <c r="M1138" i="4" a="1"/>
  <c r="M1138" i="4" s="1"/>
  <c r="M1068" i="4" a="1"/>
  <c r="M1067" i="4" a="1"/>
  <c r="M1067" i="4" s="1"/>
  <c r="M1069" i="4" a="1"/>
  <c r="M1069" i="4" s="1"/>
  <c r="J457" i="17"/>
  <c r="I705" i="17"/>
  <c r="I713" i="17" s="1"/>
  <c r="M1136" i="4" a="1"/>
  <c r="M1136" i="4" s="1"/>
  <c r="M1143" i="4" a="1"/>
  <c r="M1143" i="4" s="1"/>
  <c r="M1140" i="4" a="1"/>
  <c r="M1140" i="4" s="1"/>
  <c r="M1071" i="4" a="1"/>
  <c r="M1071" i="4" s="1"/>
  <c r="M1070" i="4" a="1"/>
  <c r="M1070" i="4" s="1"/>
  <c r="J463" i="17" a="1"/>
  <c r="J463" i="17" s="1"/>
  <c r="J766" i="17" s="1"/>
  <c r="M1137" i="4" a="1"/>
  <c r="M1137" i="4" s="1"/>
  <c r="M1072" i="4" a="1"/>
  <c r="M1072" i="4" s="1"/>
  <c r="K450" i="17"/>
  <c r="K735" i="17" s="1"/>
  <c r="L363" i="17"/>
  <c r="K559" i="17"/>
  <c r="K557" i="17"/>
  <c r="K456" i="17"/>
  <c r="K555" i="17"/>
  <c r="K451" i="17"/>
  <c r="K736" i="17" s="1"/>
  <c r="K553" i="17"/>
  <c r="L507" i="17"/>
  <c r="K577" i="17"/>
  <c r="L606" i="17"/>
  <c r="K551" i="17"/>
  <c r="K556" i="17"/>
  <c r="K558" i="17"/>
  <c r="K579" i="17"/>
  <c r="K572" i="17"/>
  <c r="M1132" i="4"/>
  <c r="L395" i="17"/>
  <c r="K618" i="17"/>
  <c r="M1068" i="4"/>
  <c r="L508" i="17"/>
  <c r="K408" i="17"/>
  <c r="K376" i="17"/>
  <c r="K576" i="17"/>
  <c r="M1065" i="4"/>
  <c r="L502" i="17"/>
  <c r="I760" i="17"/>
  <c r="K641" i="17"/>
  <c r="L1089" i="4" a="1"/>
  <c r="L1089" i="4" s="1"/>
  <c r="J719" i="17"/>
  <c r="J728" i="17" s="1"/>
  <c r="J529" i="17" a="1"/>
  <c r="J529" i="17" s="1"/>
  <c r="J759" i="17" s="1"/>
  <c r="J528" i="17" a="1"/>
  <c r="J528" i="17" s="1"/>
  <c r="J758" i="17" s="1"/>
  <c r="J527" i="17" a="1"/>
  <c r="J527" i="17" s="1"/>
  <c r="J757" i="17" s="1"/>
  <c r="J524" i="17"/>
  <c r="L545" i="17" a="1"/>
  <c r="L545" i="17" s="1"/>
  <c r="L541" i="17" a="1"/>
  <c r="L541" i="17" s="1"/>
  <c r="L544" i="17" a="1"/>
  <c r="L544" i="17" s="1"/>
  <c r="L540" i="17" a="1"/>
  <c r="L540" i="17" s="1"/>
  <c r="L547" i="17" a="1"/>
  <c r="L547" i="17" s="1"/>
  <c r="L543" i="17" a="1"/>
  <c r="L543" i="17" s="1"/>
  <c r="L539" i="17" a="1"/>
  <c r="L539" i="17" s="1"/>
  <c r="L546" i="17" a="1"/>
  <c r="L546" i="17" s="1"/>
  <c r="L542" i="17" a="1"/>
  <c r="L542" i="17" s="1"/>
  <c r="L374" i="17" a="1"/>
  <c r="L374" i="17" s="1"/>
  <c r="L369" i="17" a="1"/>
  <c r="L369" i="17" s="1"/>
  <c r="L371" i="17" a="1"/>
  <c r="L371" i="17" s="1"/>
  <c r="L373" i="17" a="1"/>
  <c r="L373" i="17" s="1"/>
  <c r="L367" i="17" a="1"/>
  <c r="L367" i="17" s="1"/>
  <c r="L370" i="17" a="1"/>
  <c r="L370" i="17" s="1"/>
  <c r="L368" i="17" a="1"/>
  <c r="L368" i="17" s="1"/>
  <c r="L552" i="17" s="1"/>
  <c r="L372" i="17" a="1"/>
  <c r="L372" i="17" s="1"/>
  <c r="L375" i="17" a="1"/>
  <c r="L375" i="17" s="1"/>
  <c r="K582" i="17"/>
  <c r="L638" i="17"/>
  <c r="L654" i="17" s="1"/>
  <c r="L568" i="17" a="1"/>
  <c r="L568" i="17" s="1"/>
  <c r="L564" i="17" a="1"/>
  <c r="L564" i="17" s="1"/>
  <c r="L571" i="17" a="1"/>
  <c r="L571" i="17" s="1"/>
  <c r="L567" i="17" a="1"/>
  <c r="L567" i="17" s="1"/>
  <c r="L563" i="17" a="1"/>
  <c r="L563" i="17" s="1"/>
  <c r="L570" i="17" a="1"/>
  <c r="L570" i="17" s="1"/>
  <c r="L566" i="17" a="1"/>
  <c r="L566" i="17" s="1"/>
  <c r="L569" i="17" a="1"/>
  <c r="L569" i="17" s="1"/>
  <c r="L565" i="17" a="1"/>
  <c r="L565" i="17" s="1"/>
  <c r="L405" i="17" a="1"/>
  <c r="L405" i="17" s="1"/>
  <c r="L401" i="17" a="1"/>
  <c r="L401" i="17" s="1"/>
  <c r="L407" i="17" a="1"/>
  <c r="L407" i="17" s="1"/>
  <c r="L406" i="17" a="1"/>
  <c r="L406" i="17" s="1"/>
  <c r="L404" i="17" a="1"/>
  <c r="L404" i="17" s="1"/>
  <c r="L403" i="17" a="1"/>
  <c r="L403" i="17" s="1"/>
  <c r="L402" i="17" a="1"/>
  <c r="L402" i="17" s="1"/>
  <c r="L400" i="17" a="1"/>
  <c r="L400" i="17" s="1"/>
  <c r="L399" i="17" a="1"/>
  <c r="L399" i="17" s="1"/>
  <c r="L627" i="17"/>
  <c r="L632" i="17"/>
  <c r="L648" i="17" s="1"/>
  <c r="M431" i="17"/>
  <c r="M435" i="17"/>
  <c r="M599" i="17"/>
  <c r="M597" i="17"/>
  <c r="M602" i="17"/>
  <c r="M604" i="17"/>
  <c r="M605" i="17"/>
  <c r="M603" i="17"/>
  <c r="M601" i="17"/>
  <c r="M598" i="17"/>
  <c r="M600" i="17"/>
  <c r="M595" i="17"/>
  <c r="M593" i="17"/>
  <c r="M596" i="17"/>
  <c r="L630" i="17"/>
  <c r="L646" i="17" s="1"/>
  <c r="L629" i="17"/>
  <c r="L645" i="17" s="1"/>
  <c r="L633" i="17"/>
  <c r="L649" i="17" s="1"/>
  <c r="K523" i="17" a="1"/>
  <c r="K523" i="17" s="1"/>
  <c r="K727" i="17" s="1"/>
  <c r="K522" i="17" a="1"/>
  <c r="K522" i="17" s="1"/>
  <c r="K726" i="17" s="1"/>
  <c r="K518" i="17" a="1"/>
  <c r="K518" i="17" s="1"/>
  <c r="K722" i="17" s="1"/>
  <c r="K521" i="17" a="1"/>
  <c r="K521" i="17" s="1"/>
  <c r="K725" i="17" s="1"/>
  <c r="K711" i="17" s="1"/>
  <c r="K520" i="17" a="1"/>
  <c r="K520" i="17" s="1"/>
  <c r="K724" i="17" s="1"/>
  <c r="K710" i="17" s="1"/>
  <c r="K519" i="17" a="1"/>
  <c r="K519" i="17" s="1"/>
  <c r="K723" i="17" s="1"/>
  <c r="K709" i="17" s="1"/>
  <c r="K516" i="17" a="1"/>
  <c r="K516" i="17" s="1"/>
  <c r="K720" i="17" s="1"/>
  <c r="K517" i="17" a="1"/>
  <c r="K517" i="17" s="1"/>
  <c r="K721" i="17" s="1"/>
  <c r="K515" i="17" a="1"/>
  <c r="K515" i="17" s="1"/>
  <c r="K510" i="17"/>
  <c r="L616" i="17" a="1"/>
  <c r="L616" i="17" s="1"/>
  <c r="L612" i="17" a="1"/>
  <c r="L612" i="17" s="1"/>
  <c r="L615" i="17" a="1"/>
  <c r="L615" i="17" s="1"/>
  <c r="L611" i="17" a="1"/>
  <c r="L611" i="17" s="1"/>
  <c r="L614" i="17" a="1"/>
  <c r="L614" i="17" s="1"/>
  <c r="L610" i="17" a="1"/>
  <c r="L610" i="17" s="1"/>
  <c r="L617" i="17" a="1"/>
  <c r="L617" i="17" s="1"/>
  <c r="L613" i="17" a="1"/>
  <c r="L613" i="17" s="1"/>
  <c r="L609" i="17" a="1"/>
  <c r="L609" i="17" s="1"/>
  <c r="M389" i="17"/>
  <c r="M386" i="17"/>
  <c r="M392" i="17"/>
  <c r="M390" i="17"/>
  <c r="M387" i="17"/>
  <c r="M393" i="17"/>
  <c r="M384" i="17"/>
  <c r="M391" i="17"/>
  <c r="M394" i="17"/>
  <c r="M382" i="17"/>
  <c r="M388" i="17"/>
  <c r="M385" i="17"/>
  <c r="L636" i="17"/>
  <c r="L652" i="17" s="1"/>
  <c r="L637" i="17"/>
  <c r="L653" i="17" s="1"/>
  <c r="L634" i="17"/>
  <c r="L650" i="17" s="1"/>
  <c r="L1090" i="4" a="1"/>
  <c r="L1090" i="4" s="1"/>
  <c r="M660" i="17"/>
  <c r="N660" i="17"/>
  <c r="M360" i="17"/>
  <c r="M507" i="17" s="1"/>
  <c r="M357" i="17"/>
  <c r="M352" i="17"/>
  <c r="M354" i="17"/>
  <c r="M358" i="17"/>
  <c r="M359" i="17"/>
  <c r="M350" i="17"/>
  <c r="M362" i="17"/>
  <c r="M356" i="17"/>
  <c r="M503" i="17" s="1"/>
  <c r="M361" i="17"/>
  <c r="M355" i="17"/>
  <c r="M502" i="17" s="1"/>
  <c r="M353" i="17"/>
  <c r="L639" i="17"/>
  <c r="L655" i="17" s="1"/>
  <c r="L631" i="17"/>
  <c r="L647" i="17" s="1"/>
  <c r="L635" i="17"/>
  <c r="L651" i="17" s="1"/>
  <c r="M421" i="15"/>
  <c r="M425" i="15" s="1"/>
  <c r="M416" i="15"/>
  <c r="L421" i="15"/>
  <c r="L425" i="15" s="1"/>
  <c r="L416" i="15"/>
  <c r="J906" i="4"/>
  <c r="J904" i="4"/>
  <c r="J907" i="4"/>
  <c r="J1101" i="4" s="1"/>
  <c r="J913" i="4"/>
  <c r="J1107" i="4" s="1"/>
  <c r="J910" i="4"/>
  <c r="J1104" i="4" s="1"/>
  <c r="J908" i="4"/>
  <c r="J1102" i="4" s="1"/>
  <c r="J909" i="4"/>
  <c r="J1103" i="4" s="1"/>
  <c r="J912" i="4"/>
  <c r="J1106" i="4" s="1"/>
  <c r="J911" i="4"/>
  <c r="J1105" i="4" s="1"/>
  <c r="M883" i="4"/>
  <c r="M899" i="4" s="1"/>
  <c r="M879" i="4"/>
  <c r="M895" i="4" s="1"/>
  <c r="M876" i="4"/>
  <c r="M892" i="4" s="1"/>
  <c r="M881" i="4"/>
  <c r="M897" i="4" s="1"/>
  <c r="M882" i="4"/>
  <c r="M898" i="4" s="1"/>
  <c r="M886" i="4"/>
  <c r="M902" i="4" s="1"/>
  <c r="M874" i="4"/>
  <c r="M890" i="4" s="1"/>
  <c r="M877" i="4"/>
  <c r="M893" i="4" s="1"/>
  <c r="M875" i="4"/>
  <c r="M891" i="4" s="1"/>
  <c r="M880" i="4"/>
  <c r="M896" i="4" s="1"/>
  <c r="M884" i="4"/>
  <c r="M900" i="4" s="1"/>
  <c r="M885" i="4"/>
  <c r="M901" i="4" s="1"/>
  <c r="M878" i="4"/>
  <c r="M894" i="4" s="1"/>
  <c r="L904" i="4"/>
  <c r="L887" i="4"/>
  <c r="K1104" i="4"/>
  <c r="K1108" i="4"/>
  <c r="L1096" i="4" a="1"/>
  <c r="L1096" i="4" s="1"/>
  <c r="L1095" i="4" a="1"/>
  <c r="L1095" i="4" s="1"/>
  <c r="L1094" i="4" a="1"/>
  <c r="L1094" i="4" s="1"/>
  <c r="L1093" i="4" a="1"/>
  <c r="L1093" i="4" s="1"/>
  <c r="L1092" i="4" a="1"/>
  <c r="L1092" i="4" s="1"/>
  <c r="L1091" i="4" a="1"/>
  <c r="L1091" i="4" s="1"/>
  <c r="L1088" i="4" a="1"/>
  <c r="L1088" i="4" s="1"/>
  <c r="L1144" i="4"/>
  <c r="K1106" i="4"/>
  <c r="K1102" i="4"/>
  <c r="K1097" i="4"/>
  <c r="K1107" i="4"/>
  <c r="K1103" i="4"/>
  <c r="L907" i="4" a="1"/>
  <c r="L907" i="4" s="1"/>
  <c r="L910" i="4" a="1"/>
  <c r="L910" i="4" s="1"/>
  <c r="L908" i="4" a="1"/>
  <c r="L908" i="4" s="1"/>
  <c r="L912" i="4" a="1"/>
  <c r="L912" i="4" s="1"/>
  <c r="L911" i="4" a="1"/>
  <c r="L911" i="4" s="1"/>
  <c r="L914" i="4" a="1"/>
  <c r="L914" i="4" s="1"/>
  <c r="L909" i="4" a="1"/>
  <c r="L909" i="4" s="1"/>
  <c r="L913" i="4" a="1"/>
  <c r="L913" i="4" s="1"/>
  <c r="L906" i="4" a="1"/>
  <c r="L906" i="4" s="1"/>
  <c r="K1105" i="4"/>
  <c r="K1100" i="4"/>
  <c r="N1067" i="4" a="1"/>
  <c r="N1067" i="4" s="1"/>
  <c r="N1069" i="4" a="1"/>
  <c r="N1069" i="4" s="1"/>
  <c r="N1068" i="4" a="1"/>
  <c r="N1068" i="4" s="1"/>
  <c r="N1064" i="4" a="1"/>
  <c r="N1064" i="4" s="1"/>
  <c r="N1065" i="4" a="1"/>
  <c r="N1065" i="4" s="1"/>
  <c r="N1072" i="4" a="1"/>
  <c r="N1072" i="4" s="1"/>
  <c r="N1070" i="4" a="1"/>
  <c r="N1070" i="4" s="1"/>
  <c r="N1071" i="4" a="1"/>
  <c r="N1071" i="4" s="1"/>
  <c r="N1066" i="4" a="1"/>
  <c r="N1066" i="4" s="1"/>
  <c r="N1061" i="4"/>
  <c r="N874" i="4" a="1"/>
  <c r="N886" i="4" s="1"/>
  <c r="N902" i="4" s="1"/>
  <c r="L1146" i="4"/>
  <c r="L1300" i="4" s="1"/>
  <c r="K915" i="4"/>
  <c r="K1101" i="4"/>
  <c r="K656" i="17"/>
  <c r="K657" i="17" s="1"/>
  <c r="M628" i="17"/>
  <c r="M450" i="42"/>
  <c r="L448" i="42"/>
  <c r="M449" i="42" s="1"/>
  <c r="K733" i="17"/>
  <c r="M343" i="13" a="1"/>
  <c r="M343" i="13" s="1"/>
  <c r="M453" i="13" s="1"/>
  <c r="M342" i="13" a="1"/>
  <c r="M342" i="13" s="1"/>
  <c r="M452" i="13" s="1"/>
  <c r="M341" i="13" a="1"/>
  <c r="M341" i="13" s="1"/>
  <c r="M687" i="4"/>
  <c r="M455" i="42"/>
  <c r="L453" i="42"/>
  <c r="M454" i="42" s="1"/>
  <c r="M705" i="4"/>
  <c r="N705" i="4"/>
  <c r="K271" i="7"/>
  <c r="K316" i="7" s="1"/>
  <c r="K272" i="7"/>
  <c r="K317" i="7" s="1"/>
  <c r="M132" i="6"/>
  <c r="M134" i="6" s="1"/>
  <c r="M166" i="6" s="1"/>
  <c r="M127" i="8"/>
  <c r="M169" i="8"/>
  <c r="M146" i="8"/>
  <c r="L566" i="34"/>
  <c r="L569" i="34"/>
  <c r="N136" i="8"/>
  <c r="N131" i="8"/>
  <c r="N156" i="8"/>
  <c r="N126" i="8"/>
  <c r="N241" i="13"/>
  <c r="N439" i="13" s="1"/>
  <c r="N240" i="13"/>
  <c r="N243" i="13"/>
  <c r="N441" i="13" s="1"/>
  <c r="N242" i="13"/>
  <c r="N440" i="13" s="1"/>
  <c r="N437" i="13"/>
  <c r="N244" i="13"/>
  <c r="N442" i="13" s="1"/>
  <c r="N377" i="34"/>
  <c r="N421" i="34"/>
  <c r="N424" i="34" s="1"/>
  <c r="N122" i="8"/>
  <c r="N154" i="8" s="1"/>
  <c r="N144" i="8"/>
  <c r="N145" i="8"/>
  <c r="M132" i="8"/>
  <c r="M167" i="8"/>
  <c r="K459" i="13"/>
  <c r="L451" i="13"/>
  <c r="L367" i="13"/>
  <c r="L369" i="13" s="1"/>
  <c r="L458" i="13" s="1"/>
  <c r="M165" i="8"/>
  <c r="M137" i="8"/>
  <c r="M438" i="13"/>
  <c r="M443" i="13" s="1"/>
  <c r="K570" i="34"/>
  <c r="N454" i="13"/>
  <c r="N363" i="13"/>
  <c r="N365" i="13" s="1"/>
  <c r="N458" i="13" s="1"/>
  <c r="J280" i="7"/>
  <c r="J318" i="7" s="1"/>
  <c r="BC262" i="47" s="1"/>
  <c r="BC272" i="47" s="1"/>
  <c r="L443" i="13"/>
  <c r="M211" i="7"/>
  <c r="M302" i="7"/>
  <c r="M227" i="7"/>
  <c r="M224" i="7"/>
  <c r="M198" i="7"/>
  <c r="M195" i="7"/>
  <c r="K284" i="7"/>
  <c r="L149" i="9"/>
  <c r="L107" i="9"/>
  <c r="M125" i="9"/>
  <c r="M124" i="9"/>
  <c r="M102" i="9"/>
  <c r="M134" i="9" s="1"/>
  <c r="N189" i="7"/>
  <c r="N191" i="7" s="1"/>
  <c r="N193" i="7" s="1"/>
  <c r="N196" i="7" s="1"/>
  <c r="N233" i="7"/>
  <c r="I319" i="7"/>
  <c r="N220" i="7"/>
  <c r="N222" i="7" s="1"/>
  <c r="N225" i="7" s="1"/>
  <c r="N229" i="7"/>
  <c r="N245" i="7"/>
  <c r="L126" i="9"/>
  <c r="N96" i="9"/>
  <c r="N97" i="9" s="1"/>
  <c r="N100" i="9"/>
  <c r="N204" i="7"/>
  <c r="N206" i="7" s="1"/>
  <c r="N208" i="7" s="1"/>
  <c r="N239" i="7"/>
  <c r="L213" i="7"/>
  <c r="L271" i="7" s="1"/>
  <c r="L210" i="7"/>
  <c r="L306" i="7" s="1"/>
  <c r="L145" i="9"/>
  <c r="L117" i="9"/>
  <c r="L275" i="7"/>
  <c r="L304" i="7"/>
  <c r="L276" i="7"/>
  <c r="L277" i="7"/>
  <c r="M111" i="9"/>
  <c r="M106" i="9"/>
  <c r="M116" i="9"/>
  <c r="M136" i="9"/>
  <c r="L166" i="6"/>
  <c r="L167" i="6"/>
  <c r="K280" i="7"/>
  <c r="K318" i="7" s="1"/>
  <c r="K315" i="7"/>
  <c r="N131" i="6"/>
  <c r="N168" i="6" s="1"/>
  <c r="N165" i="6"/>
  <c r="N337" i="7"/>
  <c r="L147" i="9"/>
  <c r="L112" i="9"/>
  <c r="J283" i="7"/>
  <c r="J307" i="7"/>
  <c r="K303" i="7"/>
  <c r="K305" i="7"/>
  <c r="N426" i="34" l="1"/>
  <c r="N428" i="34" s="1"/>
  <c r="N445" i="34" s="1"/>
  <c r="N378" i="34"/>
  <c r="L515" i="17" a="1"/>
  <c r="L515" i="17" s="1"/>
  <c r="L719" i="17" s="1"/>
  <c r="L522" i="17" a="1"/>
  <c r="L522" i="17" s="1"/>
  <c r="L726" i="17" s="1"/>
  <c r="L523" i="17" a="1"/>
  <c r="J741" i="17"/>
  <c r="K707" i="17"/>
  <c r="I752" i="17"/>
  <c r="L640" i="17"/>
  <c r="L656" i="17" s="1"/>
  <c r="L657" i="17" s="1"/>
  <c r="K740" i="17"/>
  <c r="K712" i="17" s="1"/>
  <c r="J705" i="17"/>
  <c r="J713" i="17" s="1"/>
  <c r="L449" i="17"/>
  <c r="L734" i="17" s="1"/>
  <c r="K706" i="17"/>
  <c r="L558" i="17"/>
  <c r="L578" i="17"/>
  <c r="J751" i="17"/>
  <c r="J768" i="17"/>
  <c r="L555" i="17"/>
  <c r="L556" i="17"/>
  <c r="K560" i="17"/>
  <c r="L521" i="17" a="1"/>
  <c r="L521" i="17" s="1"/>
  <c r="L725" i="17" s="1"/>
  <c r="K457" i="17"/>
  <c r="K463" i="17" a="1"/>
  <c r="K463" i="17" s="1"/>
  <c r="K766" i="17" s="1"/>
  <c r="K708" i="17"/>
  <c r="L454" i="17"/>
  <c r="L739" i="17" s="1"/>
  <c r="M1073" i="4"/>
  <c r="K586" i="17"/>
  <c r="K784" i="17" s="1"/>
  <c r="M1146" i="4"/>
  <c r="M1300" i="4" s="1"/>
  <c r="N882" i="4"/>
  <c r="N898" i="4" s="1"/>
  <c r="M1144" i="4"/>
  <c r="K464" i="17" a="1"/>
  <c r="K464" i="17" s="1"/>
  <c r="K767" i="17" s="1"/>
  <c r="L516" i="17" a="1"/>
  <c r="L516" i="17" s="1"/>
  <c r="L720" i="17" s="1"/>
  <c r="L520" i="17" a="1"/>
  <c r="L520" i="17" s="1"/>
  <c r="L519" i="17" a="1"/>
  <c r="L519" i="17" s="1"/>
  <c r="L723" i="17" s="1"/>
  <c r="L517" i="17" a="1"/>
  <c r="L517" i="17" s="1"/>
  <c r="L721" i="17" s="1"/>
  <c r="K462" i="17" a="1"/>
  <c r="K462" i="17" s="1"/>
  <c r="K765" i="17" s="1"/>
  <c r="L510" i="17"/>
  <c r="L518" i="17" a="1"/>
  <c r="L518" i="17" s="1"/>
  <c r="L722" i="17" s="1"/>
  <c r="L575" i="17"/>
  <c r="L453" i="17"/>
  <c r="L738" i="17" s="1"/>
  <c r="L582" i="17"/>
  <c r="J750" i="17"/>
  <c r="L448" i="17"/>
  <c r="L733" i="17" s="1"/>
  <c r="M629" i="17"/>
  <c r="N645" i="17" s="1"/>
  <c r="L523" i="17"/>
  <c r="L727" i="17" s="1"/>
  <c r="L576" i="17"/>
  <c r="L455" i="17"/>
  <c r="L456" i="17"/>
  <c r="L581" i="17"/>
  <c r="L583" i="17"/>
  <c r="L579" i="17"/>
  <c r="K584" i="17"/>
  <c r="M508" i="17"/>
  <c r="M510" i="17" s="1"/>
  <c r="M630" i="17"/>
  <c r="M646" i="17" s="1"/>
  <c r="L620" i="17"/>
  <c r="L785" i="17" s="1"/>
  <c r="M395" i="17"/>
  <c r="L580" i="17"/>
  <c r="L559" i="17"/>
  <c r="L557" i="17"/>
  <c r="M1091" i="4" a="1"/>
  <c r="M1091" i="4" s="1"/>
  <c r="L554" i="17"/>
  <c r="J760" i="17"/>
  <c r="M635" i="17"/>
  <c r="N651" i="17" s="1"/>
  <c r="M606" i="17"/>
  <c r="M363" i="17"/>
  <c r="L618" i="17"/>
  <c r="N880" i="4"/>
  <c r="N896" i="4" s="1"/>
  <c r="N885" i="4"/>
  <c r="N901" i="4" s="1"/>
  <c r="N874" i="4"/>
  <c r="N890" i="4" s="1"/>
  <c r="M1088" i="4" a="1"/>
  <c r="M1088" i="4" s="1"/>
  <c r="N883" i="4"/>
  <c r="N899" i="4" s="1"/>
  <c r="L408" i="17"/>
  <c r="L572" i="17"/>
  <c r="L450" i="17"/>
  <c r="L735" i="17" s="1"/>
  <c r="L548" i="17"/>
  <c r="M536" i="17"/>
  <c r="M442" i="17"/>
  <c r="M444" i="17" s="1"/>
  <c r="L451" i="17"/>
  <c r="L736" i="17" s="1"/>
  <c r="L376" i="17"/>
  <c r="L452" i="17"/>
  <c r="L737" i="17" s="1"/>
  <c r="M1089" i="4" a="1"/>
  <c r="M1089" i="4" s="1"/>
  <c r="M1096" i="4" a="1"/>
  <c r="M1096" i="4" s="1"/>
  <c r="M633" i="17"/>
  <c r="M637" i="17"/>
  <c r="M615" i="17" a="1"/>
  <c r="M615" i="17" s="1"/>
  <c r="M611" i="17" a="1"/>
  <c r="M611" i="17" s="1"/>
  <c r="M616" i="17" a="1"/>
  <c r="M616" i="17" s="1"/>
  <c r="M612" i="17" a="1"/>
  <c r="M612" i="17" s="1"/>
  <c r="M610" i="17" a="1"/>
  <c r="M610" i="17" s="1"/>
  <c r="M617" i="17" a="1"/>
  <c r="M617" i="17" s="1"/>
  <c r="M613" i="17" a="1"/>
  <c r="M613" i="17" s="1"/>
  <c r="M609" i="17" a="1"/>
  <c r="M609" i="17" s="1"/>
  <c r="M614" i="17" a="1"/>
  <c r="M614" i="17" s="1"/>
  <c r="K719" i="17"/>
  <c r="K728" i="17" s="1"/>
  <c r="K524" i="17"/>
  <c r="K529" i="17" a="1"/>
  <c r="K529" i="17" s="1"/>
  <c r="K759" i="17" s="1"/>
  <c r="K527" i="17" a="1"/>
  <c r="K527" i="17" s="1"/>
  <c r="K757" i="17" s="1"/>
  <c r="K528" i="17" a="1"/>
  <c r="K528" i="17" s="1"/>
  <c r="K758" i="17" s="1"/>
  <c r="L553" i="17"/>
  <c r="J749" i="17"/>
  <c r="L551" i="17"/>
  <c r="M1092" i="4" a="1"/>
  <c r="M1092" i="4" s="1"/>
  <c r="M1094" i="4" a="1"/>
  <c r="M1094" i="4" s="1"/>
  <c r="M1090" i="4" a="1"/>
  <c r="M1090" i="4" s="1"/>
  <c r="M571" i="17" a="1"/>
  <c r="M571" i="17" s="1"/>
  <c r="M567" i="17" a="1"/>
  <c r="M567" i="17" s="1"/>
  <c r="M563" i="17" a="1"/>
  <c r="M563" i="17" s="1"/>
  <c r="M570" i="17" a="1"/>
  <c r="M570" i="17" s="1"/>
  <c r="M566" i="17" a="1"/>
  <c r="M566" i="17" s="1"/>
  <c r="M569" i="17" a="1"/>
  <c r="M569" i="17" s="1"/>
  <c r="M565" i="17" a="1"/>
  <c r="M565" i="17" s="1"/>
  <c r="M568" i="17" a="1"/>
  <c r="M568" i="17" s="1"/>
  <c r="M564" i="17" a="1"/>
  <c r="M564" i="17" s="1"/>
  <c r="M407" i="17" a="1"/>
  <c r="M407" i="17" s="1"/>
  <c r="M402" i="17" a="1"/>
  <c r="M402" i="17" s="1"/>
  <c r="M405" i="17" a="1"/>
  <c r="M405" i="17" s="1"/>
  <c r="M404" i="17" a="1"/>
  <c r="M404" i="17" s="1"/>
  <c r="M401" i="17" a="1"/>
  <c r="M401" i="17" s="1"/>
  <c r="M399" i="17" a="1"/>
  <c r="M399" i="17" s="1"/>
  <c r="M406" i="17" a="1"/>
  <c r="M406" i="17" s="1"/>
  <c r="M400" i="17" a="1"/>
  <c r="M400" i="17" s="1"/>
  <c r="M403" i="17" a="1"/>
  <c r="M403" i="17" s="1"/>
  <c r="M627" i="17"/>
  <c r="M638" i="17"/>
  <c r="M631" i="17"/>
  <c r="L577" i="17"/>
  <c r="M636" i="17"/>
  <c r="N879" i="4"/>
  <c r="N895" i="4" s="1"/>
  <c r="N881" i="4"/>
  <c r="N897" i="4" s="1"/>
  <c r="M1093" i="4" a="1"/>
  <c r="M1093" i="4" s="1"/>
  <c r="M1095" i="4" a="1"/>
  <c r="M1095" i="4" s="1"/>
  <c r="M521" i="17" a="1"/>
  <c r="M544" i="17" a="1"/>
  <c r="M544" i="17" s="1"/>
  <c r="M540" i="17" a="1"/>
  <c r="M540" i="17" s="1"/>
  <c r="M547" i="17" a="1"/>
  <c r="M547" i="17" s="1"/>
  <c r="M543" i="17" a="1"/>
  <c r="M543" i="17" s="1"/>
  <c r="M539" i="17" a="1"/>
  <c r="M539" i="17" s="1"/>
  <c r="M546" i="17" a="1"/>
  <c r="M546" i="17" s="1"/>
  <c r="M542" i="17" a="1"/>
  <c r="M542" i="17" s="1"/>
  <c r="M545" i="17" a="1"/>
  <c r="M545" i="17" s="1"/>
  <c r="M541" i="17" a="1"/>
  <c r="M541" i="17" s="1"/>
  <c r="M371" i="17" a="1"/>
  <c r="M371" i="17" s="1"/>
  <c r="M375" i="17" a="1"/>
  <c r="M375" i="17" s="1"/>
  <c r="M373" i="17" a="1"/>
  <c r="M373" i="17" s="1"/>
  <c r="M368" i="17" a="1"/>
  <c r="M368" i="17" s="1"/>
  <c r="M372" i="17" a="1"/>
  <c r="M372" i="17" s="1"/>
  <c r="M369" i="17" a="1"/>
  <c r="M369" i="17" s="1"/>
  <c r="M367" i="17" a="1"/>
  <c r="M367" i="17" s="1"/>
  <c r="M370" i="17" a="1"/>
  <c r="M370" i="17" s="1"/>
  <c r="M374" i="17" a="1"/>
  <c r="M374" i="17" s="1"/>
  <c r="M558" i="17" s="1"/>
  <c r="M639" i="17"/>
  <c r="M632" i="17"/>
  <c r="M634" i="17"/>
  <c r="L1108" i="4"/>
  <c r="L1100" i="4"/>
  <c r="J915" i="4"/>
  <c r="J1100" i="4"/>
  <c r="J1109" i="4" s="1"/>
  <c r="M887" i="4"/>
  <c r="L1106" i="4"/>
  <c r="L1103" i="4"/>
  <c r="L1102" i="4"/>
  <c r="L1097" i="4"/>
  <c r="L1107" i="4"/>
  <c r="L1101" i="4"/>
  <c r="L1105" i="4"/>
  <c r="N878" i="4"/>
  <c r="N894" i="4" s="1"/>
  <c r="L1104" i="4"/>
  <c r="K1109" i="4"/>
  <c r="N1073" i="4"/>
  <c r="L915" i="4"/>
  <c r="N877" i="4"/>
  <c r="N893" i="4" s="1"/>
  <c r="N884" i="4"/>
  <c r="N900" i="4" s="1"/>
  <c r="N876" i="4"/>
  <c r="N892" i="4" s="1"/>
  <c r="M909" i="4" a="1"/>
  <c r="M909" i="4" s="1"/>
  <c r="M914" i="4" a="1"/>
  <c r="M914" i="4" s="1"/>
  <c r="M907" i="4" a="1"/>
  <c r="M907" i="4" s="1"/>
  <c r="M912" i="4" a="1"/>
  <c r="M912" i="4" s="1"/>
  <c r="M906" i="4" a="1"/>
  <c r="M906" i="4" s="1"/>
  <c r="M910" i="4" a="1"/>
  <c r="M910" i="4" s="1"/>
  <c r="M908" i="4" a="1"/>
  <c r="M908" i="4" s="1"/>
  <c r="M911" i="4" a="1"/>
  <c r="M911" i="4" s="1"/>
  <c r="M913" i="4" a="1"/>
  <c r="M913" i="4" s="1"/>
  <c r="N875" i="4"/>
  <c r="N891" i="4" s="1"/>
  <c r="M904" i="4"/>
  <c r="M644" i="17"/>
  <c r="N644" i="17"/>
  <c r="M448" i="42"/>
  <c r="N449" i="42" s="1"/>
  <c r="N450" i="42"/>
  <c r="N342" i="13" a="1"/>
  <c r="N342" i="13" s="1"/>
  <c r="N452" i="13" s="1"/>
  <c r="N343" i="13" a="1"/>
  <c r="N343" i="13" s="1"/>
  <c r="N453" i="13" s="1"/>
  <c r="N341" i="13" a="1"/>
  <c r="N341" i="13" s="1"/>
  <c r="N451" i="13" s="1"/>
  <c r="M453" i="42"/>
  <c r="N454" i="42" s="1"/>
  <c r="N455" i="42"/>
  <c r="J319" i="7"/>
  <c r="N132" i="6"/>
  <c r="N134" i="6" s="1"/>
  <c r="N166" i="6" s="1"/>
  <c r="M167" i="6"/>
  <c r="M169" i="6" s="1"/>
  <c r="M566" i="34"/>
  <c r="M569" i="34"/>
  <c r="L459" i="13"/>
  <c r="N146" i="8"/>
  <c r="N438" i="13"/>
  <c r="N443" i="13" s="1"/>
  <c r="N165" i="8"/>
  <c r="N137" i="8"/>
  <c r="AZ444" i="47"/>
  <c r="N132" i="8"/>
  <c r="N167" i="8"/>
  <c r="L570" i="34"/>
  <c r="M367" i="13"/>
  <c r="M369" i="13" s="1"/>
  <c r="M458" i="13" s="1"/>
  <c r="M451" i="13"/>
  <c r="N169" i="8"/>
  <c r="N127" i="8"/>
  <c r="N125" i="9"/>
  <c r="N102" i="9"/>
  <c r="N134" i="9" s="1"/>
  <c r="N124" i="9"/>
  <c r="L284" i="7"/>
  <c r="K283" i="7"/>
  <c r="K307" i="7"/>
  <c r="L169" i="6"/>
  <c r="M145" i="9"/>
  <c r="M117" i="9"/>
  <c r="M126" i="9"/>
  <c r="BD262" i="47"/>
  <c r="BD272" i="47" s="1"/>
  <c r="L305" i="7"/>
  <c r="L303" i="7"/>
  <c r="N227" i="7"/>
  <c r="N224" i="7"/>
  <c r="M213" i="7"/>
  <c r="M270" i="7" s="1"/>
  <c r="M210" i="7"/>
  <c r="M306" i="7" s="1"/>
  <c r="K319" i="7"/>
  <c r="M147" i="9"/>
  <c r="M112" i="9"/>
  <c r="N116" i="9"/>
  <c r="N111" i="9"/>
  <c r="N106" i="9"/>
  <c r="N136" i="9"/>
  <c r="M149" i="9"/>
  <c r="M107" i="9"/>
  <c r="N211" i="7"/>
  <c r="N302" i="7"/>
  <c r="N198" i="7"/>
  <c r="N195" i="7"/>
  <c r="M275" i="7"/>
  <c r="M304" i="7"/>
  <c r="M277" i="7"/>
  <c r="M276" i="7"/>
  <c r="L270" i="7"/>
  <c r="L315" i="7" s="1"/>
  <c r="L316" i="7"/>
  <c r="L272" i="7"/>
  <c r="L317" i="7" s="1"/>
  <c r="K741" i="17" l="1"/>
  <c r="M454" i="17"/>
  <c r="M739" i="17" s="1"/>
  <c r="M518" i="17" a="1"/>
  <c r="M518" i="17" s="1"/>
  <c r="M722" i="17" s="1"/>
  <c r="M519" i="17" a="1"/>
  <c r="M519" i="17" s="1"/>
  <c r="M723" i="17" s="1"/>
  <c r="M522" i="17" a="1"/>
  <c r="M522" i="17" s="1"/>
  <c r="M726" i="17" s="1"/>
  <c r="M523" i="17" a="1"/>
  <c r="M517" i="17" a="1"/>
  <c r="M517" i="17" s="1"/>
  <c r="M721" i="17" s="1"/>
  <c r="M516" i="17" a="1"/>
  <c r="M516" i="17" s="1"/>
  <c r="M720" i="17" s="1"/>
  <c r="M515" i="17" a="1"/>
  <c r="M515" i="17" s="1"/>
  <c r="M719" i="17" s="1"/>
  <c r="M520" i="17" a="1"/>
  <c r="M520" i="17" s="1"/>
  <c r="M724" i="17" s="1"/>
  <c r="L641" i="17"/>
  <c r="L462" i="17" a="1"/>
  <c r="L462" i="17" s="1"/>
  <c r="L765" i="17" s="1"/>
  <c r="L706" i="17"/>
  <c r="K750" i="17"/>
  <c r="L740" i="17"/>
  <c r="L712" i="17" s="1"/>
  <c r="M576" i="17"/>
  <c r="K768" i="17"/>
  <c r="K751" i="17"/>
  <c r="K749" i="17"/>
  <c r="M582" i="17"/>
  <c r="L708" i="17"/>
  <c r="K705" i="17"/>
  <c r="K713" i="17" s="1"/>
  <c r="L711" i="17"/>
  <c r="M453" i="17"/>
  <c r="M738" i="17" s="1"/>
  <c r="M578" i="17"/>
  <c r="J752" i="17"/>
  <c r="N646" i="17"/>
  <c r="L586" i="17"/>
  <c r="L784" i="17" s="1"/>
  <c r="L707" i="17"/>
  <c r="M583" i="17"/>
  <c r="L724" i="17"/>
  <c r="L710" i="17" s="1"/>
  <c r="L528" i="17" a="1"/>
  <c r="L528" i="17" s="1"/>
  <c r="L758" i="17" s="1"/>
  <c r="L463" i="17" a="1"/>
  <c r="L463" i="17" s="1"/>
  <c r="L766" i="17" s="1"/>
  <c r="L529" i="17" a="1"/>
  <c r="L529" i="17" s="1"/>
  <c r="L759" i="17" s="1"/>
  <c r="M645" i="17"/>
  <c r="L457" i="17"/>
  <c r="L464" i="17" a="1"/>
  <c r="L464" i="17" s="1"/>
  <c r="L767" i="17" s="1"/>
  <c r="M448" i="17"/>
  <c r="M733" i="17" s="1"/>
  <c r="M640" i="17"/>
  <c r="M656" i="17" s="1"/>
  <c r="L560" i="17"/>
  <c r="L584" i="17"/>
  <c r="M552" i="17"/>
  <c r="M572" i="17"/>
  <c r="M620" i="17"/>
  <c r="M785" i="17" s="1"/>
  <c r="M551" i="17"/>
  <c r="M449" i="17"/>
  <c r="M734" i="17" s="1"/>
  <c r="M456" i="17"/>
  <c r="M521" i="17"/>
  <c r="M725" i="17" s="1"/>
  <c r="M711" i="17" s="1"/>
  <c r="M455" i="17"/>
  <c r="M556" i="17"/>
  <c r="M523" i="17"/>
  <c r="M727" i="17" s="1"/>
  <c r="L524" i="17"/>
  <c r="M559" i="17"/>
  <c r="M553" i="17"/>
  <c r="M408" i="17"/>
  <c r="M451" i="17"/>
  <c r="M736" i="17" s="1"/>
  <c r="M575" i="17"/>
  <c r="L527" i="17" a="1"/>
  <c r="L527" i="17" s="1"/>
  <c r="L757" i="17" s="1"/>
  <c r="M557" i="17"/>
  <c r="M548" i="17"/>
  <c r="M554" i="17"/>
  <c r="M577" i="17"/>
  <c r="M581" i="17"/>
  <c r="M618" i="17"/>
  <c r="M651" i="17"/>
  <c r="L709" i="17"/>
  <c r="M452" i="17"/>
  <c r="M737" i="17" s="1"/>
  <c r="M579" i="17"/>
  <c r="M376" i="17"/>
  <c r="M450" i="17"/>
  <c r="M735" i="17" s="1"/>
  <c r="N648" i="17"/>
  <c r="M648" i="17"/>
  <c r="M555" i="17"/>
  <c r="N652" i="17"/>
  <c r="M652" i="17"/>
  <c r="M649" i="17"/>
  <c r="N649" i="17"/>
  <c r="N653" i="17"/>
  <c r="M653" i="17"/>
  <c r="M647" i="17"/>
  <c r="N647" i="17"/>
  <c r="M655" i="17"/>
  <c r="N655" i="17"/>
  <c r="N650" i="17"/>
  <c r="M650" i="17"/>
  <c r="M654" i="17"/>
  <c r="N654" i="17"/>
  <c r="M580" i="17"/>
  <c r="K760" i="17"/>
  <c r="M1108" i="4"/>
  <c r="M1101" i="4"/>
  <c r="M1103" i="4"/>
  <c r="M1104" i="4"/>
  <c r="M1097" i="4"/>
  <c r="M1105" i="4"/>
  <c r="M1107" i="4"/>
  <c r="M1100" i="4"/>
  <c r="L1109" i="4"/>
  <c r="N1094" i="4" a="1"/>
  <c r="N1094" i="4" s="1"/>
  <c r="N1088" i="4" a="1"/>
  <c r="N1088" i="4" s="1"/>
  <c r="N906" i="4" a="1"/>
  <c r="N906" i="4" s="1"/>
  <c r="N914" i="4" a="1"/>
  <c r="N914" i="4" s="1"/>
  <c r="N912" i="4" a="1"/>
  <c r="N912" i="4" s="1"/>
  <c r="N911" i="4" a="1"/>
  <c r="N911" i="4" s="1"/>
  <c r="N907" i="4" a="1"/>
  <c r="N907" i="4" s="1"/>
  <c r="N910" i="4" a="1"/>
  <c r="N910" i="4" s="1"/>
  <c r="N908" i="4" a="1"/>
  <c r="N908" i="4" s="1"/>
  <c r="N909" i="4" a="1"/>
  <c r="N909" i="4" s="1"/>
  <c r="N913" i="4" a="1"/>
  <c r="N913" i="4" s="1"/>
  <c r="N1093" i="4" a="1"/>
  <c r="N1093" i="4" s="1"/>
  <c r="N904" i="4"/>
  <c r="N1090" i="4" a="1"/>
  <c r="N1090" i="4" s="1"/>
  <c r="N1095" i="4" a="1"/>
  <c r="N1095" i="4" s="1"/>
  <c r="N887" i="4"/>
  <c r="N1089" i="4" a="1"/>
  <c r="N1089" i="4" s="1"/>
  <c r="N1092" i="4" a="1"/>
  <c r="N1092" i="4" s="1"/>
  <c r="N1091" i="4" a="1"/>
  <c r="N1091" i="4" s="1"/>
  <c r="N1096" i="4" a="1"/>
  <c r="N1096" i="4" s="1"/>
  <c r="M1102" i="4"/>
  <c r="M1106" i="4"/>
  <c r="M915" i="4"/>
  <c r="N448" i="42"/>
  <c r="L705" i="17"/>
  <c r="N453" i="42"/>
  <c r="N167" i="6"/>
  <c r="N169" i="6" s="1"/>
  <c r="M271" i="7"/>
  <c r="M316" i="7" s="1"/>
  <c r="M459" i="13"/>
  <c r="M570" i="34"/>
  <c r="N459" i="13"/>
  <c r="N566" i="34"/>
  <c r="N569" i="34"/>
  <c r="AZ378" i="47"/>
  <c r="N145" i="9"/>
  <c r="N117" i="9"/>
  <c r="N275" i="7"/>
  <c r="N304" i="7"/>
  <c r="N276" i="7"/>
  <c r="N277" i="7"/>
  <c r="M280" i="7"/>
  <c r="M318" i="7" s="1"/>
  <c r="M315" i="7"/>
  <c r="AZ400" i="47"/>
  <c r="BF403" i="47" s="1"/>
  <c r="BH403" i="47" s="1"/>
  <c r="BI403" i="47" s="1"/>
  <c r="N149" i="9"/>
  <c r="N107" i="9"/>
  <c r="M305" i="7"/>
  <c r="M303" i="7"/>
  <c r="L283" i="7"/>
  <c r="L307" i="7"/>
  <c r="AZ410" i="47"/>
  <c r="BF420" i="47" s="1"/>
  <c r="BH420" i="47" s="1"/>
  <c r="BI420" i="47" s="1"/>
  <c r="N126" i="9"/>
  <c r="L280" i="7"/>
  <c r="L318" i="7" s="1"/>
  <c r="M272" i="7"/>
  <c r="M317" i="7" s="1"/>
  <c r="N213" i="7"/>
  <c r="N270" i="7" s="1"/>
  <c r="N210" i="7"/>
  <c r="N306" i="7" s="1"/>
  <c r="N147" i="9"/>
  <c r="N112" i="9"/>
  <c r="M284" i="7"/>
  <c r="L728" i="17" l="1"/>
  <c r="M740" i="17"/>
  <c r="M707" i="17"/>
  <c r="M709" i="17"/>
  <c r="M710" i="17"/>
  <c r="K752" i="17"/>
  <c r="L741" i="17"/>
  <c r="N656" i="17"/>
  <c r="N657" i="17" s="1"/>
  <c r="L768" i="17"/>
  <c r="L750" i="17"/>
  <c r="M708" i="17"/>
  <c r="M586" i="17"/>
  <c r="M784" i="17" s="1"/>
  <c r="M462" i="17" a="1"/>
  <c r="M462" i="17" s="1"/>
  <c r="M765" i="17" s="1"/>
  <c r="M641" i="17"/>
  <c r="M528" i="17" a="1"/>
  <c r="M528" i="17" s="1"/>
  <c r="M758" i="17" s="1"/>
  <c r="M463" i="17" a="1"/>
  <c r="M463" i="17" s="1"/>
  <c r="M766" i="17" s="1"/>
  <c r="M464" i="17" a="1"/>
  <c r="M464" i="17" s="1"/>
  <c r="M767" i="17" s="1"/>
  <c r="M529" i="17" a="1"/>
  <c r="M529" i="17" s="1"/>
  <c r="M759" i="17" s="1"/>
  <c r="M527" i="17" a="1"/>
  <c r="M527" i="17" s="1"/>
  <c r="M757" i="17" s="1"/>
  <c r="L751" i="17"/>
  <c r="M706" i="17"/>
  <c r="M584" i="17"/>
  <c r="M728" i="17"/>
  <c r="M712" i="17"/>
  <c r="L760" i="17"/>
  <c r="M524" i="17"/>
  <c r="M657" i="17"/>
  <c r="M457" i="17"/>
  <c r="M560" i="17"/>
  <c r="L749" i="17"/>
  <c r="N1100" i="4"/>
  <c r="N1103" i="4"/>
  <c r="N1105" i="4"/>
  <c r="N1101" i="4"/>
  <c r="N1102" i="4"/>
  <c r="N1107" i="4"/>
  <c r="N915" i="4"/>
  <c r="N1108" i="4"/>
  <c r="N1106" i="4"/>
  <c r="N1097" i="4"/>
  <c r="N1104" i="4"/>
  <c r="M1109" i="4"/>
  <c r="M705" i="17"/>
  <c r="M741" i="17"/>
  <c r="L713" i="17"/>
  <c r="N570" i="34"/>
  <c r="BF370" i="47"/>
  <c r="BH370" i="47" s="1"/>
  <c r="BI370" i="47" s="1"/>
  <c r="BG372" i="47"/>
  <c r="BF262" i="47"/>
  <c r="BF272" i="47" s="1"/>
  <c r="N280" i="7"/>
  <c r="N318" i="7" s="1"/>
  <c r="N315" i="7"/>
  <c r="N303" i="7"/>
  <c r="N305" i="7"/>
  <c r="M319" i="7"/>
  <c r="BE262" i="47"/>
  <c r="BE272" i="47" s="1"/>
  <c r="M283" i="7"/>
  <c r="M307" i="7"/>
  <c r="N271" i="7"/>
  <c r="N316" i="7" s="1"/>
  <c r="N272" i="7"/>
  <c r="N317" i="7" s="1"/>
  <c r="N284" i="7"/>
  <c r="L319" i="7"/>
  <c r="L752" i="17" l="1"/>
  <c r="M760" i="17"/>
  <c r="M750" i="17"/>
  <c r="M751" i="17"/>
  <c r="M749" i="17"/>
  <c r="M768" i="17"/>
  <c r="N1109" i="4"/>
  <c r="M713" i="17"/>
  <c r="N283" i="7"/>
  <c r="N307" i="7"/>
  <c r="BG262" i="47"/>
  <c r="BG272" i="47" s="1"/>
  <c r="N319" i="7"/>
  <c r="M752" i="17" l="1"/>
  <c r="P26" i="18"/>
  <c r="I103" i="18"/>
  <c r="I105" i="18" l="1"/>
  <c r="I116" i="18" s="1"/>
  <c r="I104" i="18"/>
  <c r="I115" i="18" s="1"/>
  <c r="K103" i="18"/>
  <c r="P27" i="18"/>
  <c r="G103" i="18"/>
  <c r="G104" i="18" s="1"/>
  <c r="G115" i="18" s="1"/>
  <c r="L103" i="18"/>
  <c r="L105" i="18" s="1"/>
  <c r="L116" i="18" s="1"/>
  <c r="M103" i="18"/>
  <c r="P28" i="18"/>
  <c r="H103" i="18"/>
  <c r="J103" i="18"/>
  <c r="J130" i="18" s="1"/>
  <c r="P25" i="18"/>
  <c r="N103" i="18"/>
  <c r="I121" i="18" l="1" a="1"/>
  <c r="I121" i="18" s="1"/>
  <c r="I165" i="18" s="1"/>
  <c r="I120" i="18" a="1"/>
  <c r="I120" i="18" s="1"/>
  <c r="I164" i="18" s="1"/>
  <c r="I122" i="18" a="1"/>
  <c r="I122" i="18" s="1"/>
  <c r="I166" i="18" s="1"/>
  <c r="K130" i="18"/>
  <c r="J104" i="18"/>
  <c r="J115" i="18" s="1"/>
  <c r="J154" i="18" s="1"/>
  <c r="N130" i="18"/>
  <c r="K104" i="18"/>
  <c r="K115" i="18" s="1"/>
  <c r="K154" i="18" s="1"/>
  <c r="G154" i="18"/>
  <c r="L155" i="18"/>
  <c r="H104" i="18"/>
  <c r="H115" i="18" s="1"/>
  <c r="H130" i="18"/>
  <c r="M104" i="18"/>
  <c r="M115" i="18" s="1"/>
  <c r="M130" i="18"/>
  <c r="I155" i="18"/>
  <c r="L130" i="18"/>
  <c r="L104" i="18"/>
  <c r="L115" i="18" s="1"/>
  <c r="I153" i="18"/>
  <c r="I154" i="18"/>
  <c r="N104" i="18"/>
  <c r="N115" i="18" s="1"/>
  <c r="H105" i="18"/>
  <c r="H116" i="18" s="1"/>
  <c r="G105" i="18"/>
  <c r="G116" i="18" s="1"/>
  <c r="G153" i="18" s="1"/>
  <c r="G130" i="18"/>
  <c r="I130" i="18"/>
  <c r="N105" i="18"/>
  <c r="N116" i="18" s="1"/>
  <c r="M105" i="18"/>
  <c r="M116" i="18" s="1"/>
  <c r="J105" i="18"/>
  <c r="J116" i="18" s="1"/>
  <c r="K105" i="18"/>
  <c r="K116" i="18" s="1"/>
  <c r="G120" i="18" l="1" a="1"/>
  <c r="G120" i="18" s="1"/>
  <c r="G164" i="18" s="1"/>
  <c r="M122" i="18" a="1"/>
  <c r="M122" i="18" s="1"/>
  <c r="M166" i="18" s="1"/>
  <c r="M120" i="18" a="1"/>
  <c r="M121" i="18" a="1"/>
  <c r="M121" i="18" s="1"/>
  <c r="M165" i="18" s="1"/>
  <c r="G121" i="18" a="1"/>
  <c r="G121" i="18" s="1"/>
  <c r="G165" i="18" s="1"/>
  <c r="G122" i="18" a="1"/>
  <c r="L120" i="18" a="1"/>
  <c r="L120" i="18" s="1"/>
  <c r="L164" i="18" s="1"/>
  <c r="L121" i="18" a="1"/>
  <c r="L121" i="18" s="1"/>
  <c r="L165" i="18" s="1"/>
  <c r="L122" i="18" a="1"/>
  <c r="L122" i="18" s="1"/>
  <c r="L166" i="18" s="1"/>
  <c r="K122" i="18" a="1"/>
  <c r="K122" i="18" s="1"/>
  <c r="K166" i="18" s="1"/>
  <c r="K120" i="18" a="1"/>
  <c r="K121" i="18" a="1"/>
  <c r="K121" i="18" s="1"/>
  <c r="K165" i="18" s="1"/>
  <c r="N120" i="18" a="1"/>
  <c r="N120" i="18" s="1"/>
  <c r="N164" i="18" s="1"/>
  <c r="N121" i="18" a="1"/>
  <c r="N121" i="18" s="1"/>
  <c r="N165" i="18" s="1"/>
  <c r="N122" i="18" a="1"/>
  <c r="N122" i="18" s="1"/>
  <c r="N166" i="18" s="1"/>
  <c r="H122" i="18" a="1"/>
  <c r="H122" i="18" s="1"/>
  <c r="H166" i="18" s="1"/>
  <c r="H121" i="18" a="1"/>
  <c r="H121" i="18" s="1"/>
  <c r="H165" i="18" s="1"/>
  <c r="H120" i="18" a="1"/>
  <c r="H120" i="18" s="1"/>
  <c r="H164" i="18" s="1"/>
  <c r="J121" i="18" a="1"/>
  <c r="J121" i="18" s="1"/>
  <c r="J165" i="18" s="1"/>
  <c r="J122" i="18" a="1"/>
  <c r="J122" i="18" s="1"/>
  <c r="J166" i="18" s="1"/>
  <c r="J120" i="18" a="1"/>
  <c r="J120" i="18" s="1"/>
  <c r="J164" i="18" s="1"/>
  <c r="N155" i="18"/>
  <c r="H155" i="18"/>
  <c r="I156" i="18"/>
  <c r="L153" i="18"/>
  <c r="L154" i="18"/>
  <c r="M153" i="18"/>
  <c r="M120" i="18"/>
  <c r="M164" i="18" s="1"/>
  <c r="M154" i="18"/>
  <c r="K155" i="18"/>
  <c r="N153" i="18"/>
  <c r="N154" i="18"/>
  <c r="H153" i="18"/>
  <c r="H154" i="18"/>
  <c r="K120" i="18"/>
  <c r="K164" i="18" s="1"/>
  <c r="M155" i="18"/>
  <c r="G155" i="18"/>
  <c r="G156" i="18" s="1"/>
  <c r="J155" i="18"/>
  <c r="K153" i="18"/>
  <c r="G122" i="18"/>
  <c r="G166" i="18" s="1"/>
  <c r="J153" i="18"/>
  <c r="K156" i="18" l="1"/>
  <c r="N156" i="18"/>
  <c r="H156" i="18"/>
  <c r="AZ441" i="47"/>
  <c r="M156" i="18"/>
  <c r="AZ442" i="47"/>
  <c r="J156" i="18"/>
  <c r="N167" i="18"/>
  <c r="L156" i="18"/>
  <c r="BG396" i="47" l="1"/>
  <c r="BH396" i="47" s="1"/>
  <c r="BI396" i="47" s="1"/>
  <c r="K343" i="14" l="1"/>
  <c r="K725" i="14" l="1" a="1"/>
  <c r="K726" i="14" s="1"/>
  <c r="K851" i="14" s="1"/>
  <c r="K329" i="14"/>
  <c r="K693" i="14" l="1" a="1"/>
  <c r="K694" i="14" s="1"/>
  <c r="K736" i="14"/>
  <c r="K729" i="14"/>
  <c r="K735" i="14"/>
  <c r="K728" i="14"/>
  <c r="K734" i="14"/>
  <c r="K727" i="14"/>
  <c r="K856" i="14" s="1"/>
  <c r="K733" i="14"/>
  <c r="K730" i="14"/>
  <c r="K732" i="14"/>
  <c r="K725" i="14"/>
  <c r="K731" i="14"/>
  <c r="K796" i="14" l="1"/>
  <c r="K737" i="14"/>
  <c r="K776" i="14" s="1"/>
  <c r="K786" i="14"/>
  <c r="K693" i="14"/>
  <c r="K702" i="14"/>
  <c r="K698" i="14"/>
  <c r="K697" i="14"/>
  <c r="K703" i="14"/>
  <c r="K699" i="14"/>
  <c r="K704" i="14"/>
  <c r="K700" i="14"/>
  <c r="K696" i="14"/>
  <c r="K695" i="14"/>
  <c r="K701" i="14"/>
  <c r="K955" i="14" l="1"/>
  <c r="K944" i="14"/>
  <c r="K946" i="14"/>
  <c r="K953" i="14"/>
  <c r="K947" i="14"/>
  <c r="K785" i="14"/>
  <c r="K954" i="14"/>
  <c r="K757" i="14"/>
  <c r="K945" i="14"/>
  <c r="K705" i="14"/>
  <c r="K956" i="14"/>
  <c r="K963" i="14"/>
  <c r="K804" i="14"/>
  <c r="K971" i="14"/>
  <c r="K972" i="14"/>
  <c r="K973" i="14"/>
  <c r="K759" i="14"/>
  <c r="K974" i="14"/>
  <c r="K758" i="14"/>
  <c r="K964" i="14"/>
  <c r="K962" i="14"/>
  <c r="K795" i="14"/>
  <c r="K965" i="14"/>
  <c r="K772" i="14" l="1"/>
  <c r="K784" i="14"/>
  <c r="K789" i="14" s="1"/>
  <c r="K760" i="14"/>
  <c r="K764" i="14"/>
  <c r="K816" i="14" s="1"/>
  <c r="K775" i="14"/>
  <c r="K763" i="14"/>
  <c r="K815" i="14" s="1"/>
  <c r="K765" i="14"/>
  <c r="K817" i="14" s="1"/>
  <c r="K773" i="14"/>
  <c r="K794" i="14"/>
  <c r="K798" i="14" s="1"/>
  <c r="K803" i="14"/>
  <c r="K807" i="14" s="1"/>
  <c r="K774" i="14"/>
  <c r="K825" i="14" l="1"/>
  <c r="K833" i="14"/>
  <c r="K841" i="14"/>
  <c r="K831" i="14"/>
  <c r="K823" i="14"/>
  <c r="K839" i="14"/>
  <c r="K818" i="14"/>
  <c r="K824" i="14"/>
  <c r="K832" i="14"/>
  <c r="K840" i="14"/>
  <c r="K779" i="14"/>
  <c r="K834" i="14" l="1"/>
  <c r="K842" i="14"/>
  <c r="K826" i="14"/>
  <c r="I343" i="14" l="1"/>
  <c r="I725" i="14" l="1" a="1"/>
  <c r="I726" i="14" s="1"/>
  <c r="I851" i="14" s="1"/>
  <c r="I329" i="14"/>
  <c r="I693" i="14" l="1" a="1"/>
  <c r="I694" i="14" s="1"/>
  <c r="I735" i="14"/>
  <c r="I732" i="14"/>
  <c r="I725" i="14"/>
  <c r="I734" i="14"/>
  <c r="I727" i="14"/>
  <c r="I856" i="14" s="1"/>
  <c r="I733" i="14"/>
  <c r="I730" i="14"/>
  <c r="I736" i="14"/>
  <c r="I729" i="14"/>
  <c r="I731" i="14"/>
  <c r="I728" i="14"/>
  <c r="I796" i="14" l="1"/>
  <c r="I786" i="14"/>
  <c r="I737" i="14"/>
  <c r="I776" i="14" s="1"/>
  <c r="I703" i="14"/>
  <c r="I704" i="14"/>
  <c r="I702" i="14"/>
  <c r="I698" i="14"/>
  <c r="I696" i="14"/>
  <c r="I700" i="14"/>
  <c r="I701" i="14"/>
  <c r="I699" i="14"/>
  <c r="I693" i="14"/>
  <c r="I695" i="14"/>
  <c r="I697" i="14"/>
  <c r="I944" i="14" l="1"/>
  <c r="I947" i="14"/>
  <c r="I954" i="14"/>
  <c r="I785" i="14"/>
  <c r="I956" i="14"/>
  <c r="I945" i="14"/>
  <c r="I955" i="14"/>
  <c r="I757" i="14"/>
  <c r="I953" i="14"/>
  <c r="I705" i="14"/>
  <c r="I946" i="14"/>
  <c r="I758" i="14"/>
  <c r="I795" i="14"/>
  <c r="I965" i="14"/>
  <c r="I962" i="14"/>
  <c r="I964" i="14"/>
  <c r="I963" i="14"/>
  <c r="I973" i="14"/>
  <c r="I974" i="14"/>
  <c r="I804" i="14"/>
  <c r="I971" i="14"/>
  <c r="I972" i="14"/>
  <c r="I759" i="14"/>
  <c r="I764" i="14" l="1"/>
  <c r="I816" i="14" s="1"/>
  <c r="I765" i="14"/>
  <c r="I817" i="14" s="1"/>
  <c r="I775" i="14"/>
  <c r="I763" i="14"/>
  <c r="I815" i="14" s="1"/>
  <c r="I772" i="14"/>
  <c r="I784" i="14"/>
  <c r="I789" i="14" s="1"/>
  <c r="I760" i="14"/>
  <c r="I803" i="14"/>
  <c r="I807" i="14" s="1"/>
  <c r="I774" i="14"/>
  <c r="I773" i="14"/>
  <c r="I794" i="14"/>
  <c r="I798" i="14" s="1"/>
  <c r="I839" i="14" l="1"/>
  <c r="I823" i="14"/>
  <c r="I831" i="14"/>
  <c r="I818" i="14"/>
  <c r="I841" i="14"/>
  <c r="I825" i="14"/>
  <c r="I833" i="14"/>
  <c r="I779" i="14"/>
  <c r="I824" i="14"/>
  <c r="I832" i="14"/>
  <c r="I840" i="14"/>
  <c r="I834" i="14" l="1"/>
  <c r="I842" i="14"/>
  <c r="I826" i="14"/>
  <c r="J343" i="14" l="1"/>
  <c r="J725" i="14" s="1" a="1"/>
  <c r="J726" i="14" s="1"/>
  <c r="J733" i="14" l="1"/>
  <c r="J730" i="14"/>
  <c r="J736" i="14"/>
  <c r="J725" i="14"/>
  <c r="J731" i="14"/>
  <c r="J728" i="14"/>
  <c r="J734" i="14"/>
  <c r="J727" i="14"/>
  <c r="J856" i="14" s="1"/>
  <c r="J729" i="14"/>
  <c r="J735" i="14"/>
  <c r="J732" i="14"/>
  <c r="J851" i="14"/>
  <c r="J329" i="14"/>
  <c r="J786" i="14" l="1"/>
  <c r="J737" i="14"/>
  <c r="J776" i="14" s="1"/>
  <c r="J796" i="14"/>
  <c r="J693" i="14" a="1"/>
  <c r="J694" i="14" s="1"/>
  <c r="J698" i="14" l="1"/>
  <c r="J693" i="14"/>
  <c r="J702" i="14"/>
  <c r="J695" i="14"/>
  <c r="J703" i="14"/>
  <c r="J696" i="14"/>
  <c r="J697" i="14"/>
  <c r="J700" i="14"/>
  <c r="J704" i="14"/>
  <c r="J699" i="14"/>
  <c r="J701" i="14"/>
  <c r="J954" i="14" l="1"/>
  <c r="J944" i="14"/>
  <c r="J956" i="14"/>
  <c r="J705" i="14"/>
  <c r="J945" i="14"/>
  <c r="J946" i="14"/>
  <c r="J955" i="14"/>
  <c r="J947" i="14"/>
  <c r="J953" i="14"/>
  <c r="J785" i="14"/>
  <c r="J757" i="14"/>
  <c r="J974" i="14"/>
  <c r="J971" i="14"/>
  <c r="J759" i="14"/>
  <c r="J973" i="14"/>
  <c r="J972" i="14"/>
  <c r="J804" i="14"/>
  <c r="J795" i="14"/>
  <c r="J963" i="14"/>
  <c r="J964" i="14"/>
  <c r="J962" i="14"/>
  <c r="J965" i="14"/>
  <c r="J758" i="14"/>
  <c r="J760" i="14" l="1"/>
  <c r="J784" i="14"/>
  <c r="J789" i="14" s="1"/>
  <c r="J772" i="14"/>
  <c r="J764" i="14"/>
  <c r="J816" i="14" s="1"/>
  <c r="J765" i="14"/>
  <c r="J817" i="14" s="1"/>
  <c r="J763" i="14"/>
  <c r="J815" i="14" s="1"/>
  <c r="J775" i="14"/>
  <c r="J794" i="14"/>
  <c r="J798" i="14" s="1"/>
  <c r="J773" i="14"/>
  <c r="J774" i="14"/>
  <c r="J803" i="14"/>
  <c r="J807" i="14" s="1"/>
  <c r="J839" i="14" l="1"/>
  <c r="J823" i="14"/>
  <c r="J831" i="14"/>
  <c r="J818" i="14"/>
  <c r="J779" i="14"/>
  <c r="J824" i="14"/>
  <c r="J832" i="14"/>
  <c r="J840" i="14"/>
  <c r="J833" i="14"/>
  <c r="J825" i="14"/>
  <c r="J841" i="14"/>
  <c r="J826" i="14" l="1"/>
  <c r="J834" i="14"/>
  <c r="J842" i="14"/>
  <c r="G343" i="14" l="1"/>
  <c r="G725" i="14" l="1" a="1"/>
  <c r="G726" i="14" s="1"/>
  <c r="G851" i="14" s="1"/>
  <c r="G329" i="14"/>
  <c r="G693" i="14" l="1" a="1"/>
  <c r="G694" i="14" s="1"/>
  <c r="G733" i="14"/>
  <c r="G730" i="14"/>
  <c r="G732" i="14"/>
  <c r="G725" i="14"/>
  <c r="G731" i="14"/>
  <c r="G728" i="14"/>
  <c r="G734" i="14"/>
  <c r="G727" i="14"/>
  <c r="G856" i="14" s="1"/>
  <c r="G736" i="14"/>
  <c r="G729" i="14"/>
  <c r="G735" i="14"/>
  <c r="G737" i="14" l="1"/>
  <c r="G776" i="14" s="1"/>
  <c r="G786" i="14"/>
  <c r="G796" i="14"/>
  <c r="G697" i="14"/>
  <c r="G703" i="14"/>
  <c r="G700" i="14"/>
  <c r="G702" i="14"/>
  <c r="G695" i="14"/>
  <c r="G701" i="14"/>
  <c r="G698" i="14"/>
  <c r="G704" i="14"/>
  <c r="G693" i="14"/>
  <c r="G699" i="14"/>
  <c r="G696" i="14"/>
  <c r="G953" i="14" l="1"/>
  <c r="G946" i="14"/>
  <c r="G757" i="14"/>
  <c r="G945" i="14"/>
  <c r="G947" i="14"/>
  <c r="G785" i="14"/>
  <c r="G705" i="14"/>
  <c r="G944" i="14"/>
  <c r="G954" i="14"/>
  <c r="G955" i="14"/>
  <c r="G956" i="14"/>
  <c r="G973" i="14"/>
  <c r="G974" i="14"/>
  <c r="G971" i="14"/>
  <c r="G804" i="14"/>
  <c r="G759" i="14"/>
  <c r="G972" i="14"/>
  <c r="G795" i="14"/>
  <c r="G758" i="14"/>
  <c r="G963" i="14"/>
  <c r="G964" i="14"/>
  <c r="G965" i="14"/>
  <c r="G962" i="14"/>
  <c r="G764" i="14" l="1"/>
  <c r="G816" i="14" s="1"/>
  <c r="G775" i="14"/>
  <c r="G763" i="14"/>
  <c r="G815" i="14" s="1"/>
  <c r="G765" i="14"/>
  <c r="G817" i="14" s="1"/>
  <c r="G760" i="14"/>
  <c r="G772" i="14"/>
  <c r="G784" i="14"/>
  <c r="G789" i="14" s="1"/>
  <c r="G773" i="14"/>
  <c r="G794" i="14"/>
  <c r="G798" i="14" s="1"/>
  <c r="G774" i="14"/>
  <c r="G803" i="14"/>
  <c r="G807" i="14" s="1"/>
  <c r="G818" i="14" l="1"/>
  <c r="G839" i="14"/>
  <c r="G823" i="14"/>
  <c r="G831" i="14"/>
  <c r="G825" i="14"/>
  <c r="G841" i="14"/>
  <c r="G833" i="14"/>
  <c r="G779" i="14"/>
  <c r="G824" i="14"/>
  <c r="G840" i="14"/>
  <c r="G832" i="14"/>
  <c r="G834" i="14" l="1"/>
  <c r="G842" i="14"/>
  <c r="G826" i="14"/>
  <c r="N343" i="14" l="1"/>
  <c r="N725" i="14" l="1" a="1"/>
  <c r="N726" i="14" s="1"/>
  <c r="N851" i="14" s="1"/>
  <c r="N329" i="14"/>
  <c r="N693" i="14" l="1" a="1"/>
  <c r="N694" i="14" s="1"/>
  <c r="N729" i="14"/>
  <c r="N735" i="14"/>
  <c r="N732" i="14"/>
  <c r="N734" i="14"/>
  <c r="N727" i="14"/>
  <c r="N856" i="14" s="1"/>
  <c r="N733" i="14"/>
  <c r="N730" i="14"/>
  <c r="N736" i="14"/>
  <c r="N725" i="14"/>
  <c r="N731" i="14"/>
  <c r="N728" i="14"/>
  <c r="N796" i="14" l="1"/>
  <c r="N786" i="14"/>
  <c r="N737" i="14"/>
  <c r="N776" i="14" s="1"/>
  <c r="N698" i="14"/>
  <c r="N699" i="14"/>
  <c r="N697" i="14"/>
  <c r="N703" i="14"/>
  <c r="N704" i="14"/>
  <c r="N702" i="14"/>
  <c r="N693" i="14"/>
  <c r="N695" i="14"/>
  <c r="N696" i="14"/>
  <c r="N700" i="14"/>
  <c r="N701" i="14"/>
  <c r="N956" i="14" l="1"/>
  <c r="N954" i="14"/>
  <c r="N953" i="14"/>
  <c r="N944" i="14"/>
  <c r="N705" i="14"/>
  <c r="N785" i="14"/>
  <c r="N946" i="14"/>
  <c r="N955" i="14"/>
  <c r="N947" i="14"/>
  <c r="N945" i="14"/>
  <c r="N757" i="14"/>
  <c r="AZ451" i="47"/>
  <c r="AZ453" i="47"/>
  <c r="BG410" i="47" s="1"/>
  <c r="BH410" i="47" s="1"/>
  <c r="BI410" i="47" s="1"/>
  <c r="N758" i="14"/>
  <c r="N962" i="14"/>
  <c r="N964" i="14"/>
  <c r="N795" i="14"/>
  <c r="N963" i="14"/>
  <c r="N965" i="14"/>
  <c r="N973" i="14"/>
  <c r="N971" i="14"/>
  <c r="N804" i="14"/>
  <c r="N972" i="14"/>
  <c r="N974" i="14"/>
  <c r="N759" i="14"/>
  <c r="N784" i="14" l="1"/>
  <c r="N789" i="14" s="1"/>
  <c r="N760" i="14"/>
  <c r="N772" i="14"/>
  <c r="N763" i="14"/>
  <c r="N815" i="14" s="1"/>
  <c r="N764" i="14"/>
  <c r="N775" i="14"/>
  <c r="N765" i="14"/>
  <c r="N817" i="14" s="1"/>
  <c r="AZ452" i="47"/>
  <c r="BG411" i="47" s="1"/>
  <c r="BH411" i="47" s="1"/>
  <c r="BI411" i="47" s="1"/>
  <c r="N774" i="14"/>
  <c r="N803" i="14"/>
  <c r="N807" i="14" s="1"/>
  <c r="N794" i="14"/>
  <c r="N798" i="14" s="1"/>
  <c r="N773" i="14"/>
  <c r="N833" i="14" l="1"/>
  <c r="N825" i="14"/>
  <c r="N841" i="14"/>
  <c r="N816" i="14"/>
  <c r="N818" i="14" s="1"/>
  <c r="AZ455" i="47"/>
  <c r="BG380" i="47" s="1"/>
  <c r="BH380" i="47" s="1"/>
  <c r="BI380" i="47" s="1"/>
  <c r="N779" i="14"/>
  <c r="N823" i="14"/>
  <c r="N839" i="14"/>
  <c r="N831" i="14"/>
  <c r="N840" i="14" l="1"/>
  <c r="N842" i="14" s="1"/>
  <c r="N824" i="14"/>
  <c r="N826" i="14" s="1"/>
  <c r="N832" i="14"/>
  <c r="N834" i="14" s="1"/>
  <c r="M343" i="14" l="1"/>
  <c r="M725" i="14" l="1" a="1"/>
  <c r="M726" i="14" s="1"/>
  <c r="M851" i="14" s="1"/>
  <c r="M329" i="14"/>
  <c r="M693" i="14" l="1" a="1"/>
  <c r="M694" i="14" s="1"/>
  <c r="M735" i="14"/>
  <c r="M732" i="14"/>
  <c r="M725" i="14"/>
  <c r="M734" i="14"/>
  <c r="M727" i="14"/>
  <c r="M856" i="14" s="1"/>
  <c r="M733" i="14"/>
  <c r="M730" i="14"/>
  <c r="M736" i="14"/>
  <c r="M729" i="14"/>
  <c r="M731" i="14"/>
  <c r="M728" i="14"/>
  <c r="M796" i="14" l="1"/>
  <c r="M737" i="14"/>
  <c r="M776" i="14" s="1"/>
  <c r="M786" i="14"/>
  <c r="M703" i="14"/>
  <c r="M700" i="14"/>
  <c r="M693" i="14"/>
  <c r="M695" i="14"/>
  <c r="M701" i="14"/>
  <c r="M698" i="14"/>
  <c r="M704" i="14"/>
  <c r="M697" i="14"/>
  <c r="M699" i="14"/>
  <c r="M696" i="14"/>
  <c r="M702" i="14"/>
  <c r="M953" i="14" l="1"/>
  <c r="M955" i="14"/>
  <c r="M757" i="14"/>
  <c r="M945" i="14"/>
  <c r="M944" i="14"/>
  <c r="M946" i="14"/>
  <c r="M947" i="14"/>
  <c r="M705" i="14"/>
  <c r="M956" i="14"/>
  <c r="M785" i="14"/>
  <c r="M954" i="14"/>
  <c r="M965" i="14"/>
  <c r="M962" i="14"/>
  <c r="M795" i="14"/>
  <c r="M964" i="14"/>
  <c r="M963" i="14"/>
  <c r="M758" i="14"/>
  <c r="M971" i="14"/>
  <c r="M972" i="14"/>
  <c r="M759" i="14"/>
  <c r="M804" i="14"/>
  <c r="M974" i="14"/>
  <c r="M973" i="14"/>
  <c r="M772" i="14" l="1"/>
  <c r="M784" i="14"/>
  <c r="M789" i="14" s="1"/>
  <c r="M760" i="14"/>
  <c r="M765" i="14"/>
  <c r="M817" i="14" s="1"/>
  <c r="M775" i="14"/>
  <c r="M764" i="14"/>
  <c r="M816" i="14" s="1"/>
  <c r="M763" i="14"/>
  <c r="M815" i="14" s="1"/>
  <c r="M803" i="14"/>
  <c r="M807" i="14" s="1"/>
  <c r="M774" i="14"/>
  <c r="M773" i="14"/>
  <c r="M794" i="14"/>
  <c r="M798" i="14" s="1"/>
  <c r="M831" i="14" l="1"/>
  <c r="M839" i="14"/>
  <c r="M823" i="14"/>
  <c r="M818" i="14"/>
  <c r="M840" i="14"/>
  <c r="M824" i="14"/>
  <c r="M832" i="14"/>
  <c r="M825" i="14"/>
  <c r="M841" i="14"/>
  <c r="M833" i="14"/>
  <c r="M779" i="14"/>
  <c r="M834" i="14" l="1"/>
  <c r="M842" i="14"/>
  <c r="M826" i="14"/>
  <c r="L343" i="14" l="1"/>
  <c r="L725" i="14" l="1" a="1"/>
  <c r="L726" i="14" s="1"/>
  <c r="L851" i="14" s="1"/>
  <c r="L329" i="14"/>
  <c r="L693" i="14" l="1" a="1"/>
  <c r="L694" i="14" s="1"/>
  <c r="L731" i="14"/>
  <c r="L728" i="14"/>
  <c r="L734" i="14"/>
  <c r="L736" i="14"/>
  <c r="L729" i="14"/>
  <c r="L735" i="14"/>
  <c r="L732" i="14"/>
  <c r="L725" i="14"/>
  <c r="L727" i="14"/>
  <c r="L856" i="14" s="1"/>
  <c r="L733" i="14"/>
  <c r="L730" i="14"/>
  <c r="L796" i="14" l="1"/>
  <c r="L786" i="14"/>
  <c r="L737" i="14"/>
  <c r="L776" i="14" s="1"/>
  <c r="L704" i="14"/>
  <c r="L693" i="14"/>
  <c r="L698" i="14"/>
  <c r="L700" i="14"/>
  <c r="L703" i="14"/>
  <c r="L699" i="14"/>
  <c r="L701" i="14"/>
  <c r="L702" i="14"/>
  <c r="L695" i="14"/>
  <c r="L696" i="14"/>
  <c r="L697" i="14"/>
  <c r="L953" i="14" l="1"/>
  <c r="L785" i="14"/>
  <c r="L705" i="14"/>
  <c r="L956" i="14"/>
  <c r="L946" i="14"/>
  <c r="L954" i="14"/>
  <c r="L945" i="14"/>
  <c r="L955" i="14"/>
  <c r="L947" i="14"/>
  <c r="L944" i="14"/>
  <c r="L757" i="14"/>
  <c r="L795" i="14"/>
  <c r="L963" i="14"/>
  <c r="L964" i="14"/>
  <c r="L758" i="14"/>
  <c r="L962" i="14"/>
  <c r="L965" i="14"/>
  <c r="L971" i="14"/>
  <c r="L972" i="14"/>
  <c r="L974" i="14"/>
  <c r="L973" i="14"/>
  <c r="L759" i="14"/>
  <c r="L804" i="14"/>
  <c r="H343" i="14"/>
  <c r="L772" i="14" l="1"/>
  <c r="L760" i="14"/>
  <c r="L784" i="14"/>
  <c r="L789" i="14" s="1"/>
  <c r="L775" i="14"/>
  <c r="L763" i="14"/>
  <c r="L815" i="14" s="1"/>
  <c r="L764" i="14"/>
  <c r="L816" i="14" s="1"/>
  <c r="L765" i="14"/>
  <c r="L817" i="14" s="1"/>
  <c r="H725" i="14" a="1"/>
  <c r="H726" i="14" s="1"/>
  <c r="H851" i="14" s="1"/>
  <c r="L803" i="14"/>
  <c r="L807" i="14" s="1"/>
  <c r="L774" i="14"/>
  <c r="L773" i="14"/>
  <c r="L794" i="14"/>
  <c r="L798" i="14" s="1"/>
  <c r="H329" i="14"/>
  <c r="L832" i="14" l="1"/>
  <c r="L840" i="14"/>
  <c r="L824" i="14"/>
  <c r="L833" i="14"/>
  <c r="L841" i="14"/>
  <c r="L825" i="14"/>
  <c r="L831" i="14"/>
  <c r="L818" i="14"/>
  <c r="L839" i="14"/>
  <c r="L823" i="14"/>
  <c r="L779" i="14"/>
  <c r="H693" i="14" a="1"/>
  <c r="H694" i="14" s="1"/>
  <c r="H736" i="14"/>
  <c r="H729" i="14"/>
  <c r="H731" i="14"/>
  <c r="H728" i="14"/>
  <c r="H734" i="14"/>
  <c r="H727" i="14"/>
  <c r="H856" i="14" s="1"/>
  <c r="H733" i="14"/>
  <c r="H730" i="14"/>
  <c r="H735" i="14"/>
  <c r="H732" i="14"/>
  <c r="H725" i="14"/>
  <c r="L826" i="14" l="1"/>
  <c r="L834" i="14"/>
  <c r="L842" i="14"/>
  <c r="H786" i="14"/>
  <c r="H737" i="14"/>
  <c r="H776" i="14" s="1"/>
  <c r="H796" i="14"/>
  <c r="H704" i="14"/>
  <c r="H703" i="14"/>
  <c r="H701" i="14"/>
  <c r="H702" i="14"/>
  <c r="H700" i="14"/>
  <c r="H697" i="14"/>
  <c r="H693" i="14"/>
  <c r="H696" i="14"/>
  <c r="H698" i="14"/>
  <c r="H695" i="14"/>
  <c r="H699" i="14"/>
  <c r="H947" i="14" l="1"/>
  <c r="H945" i="14"/>
  <c r="H956" i="14"/>
  <c r="H705" i="14"/>
  <c r="H953" i="14"/>
  <c r="H954" i="14"/>
  <c r="H785" i="14"/>
  <c r="H955" i="14"/>
  <c r="H944" i="14"/>
  <c r="H757" i="14"/>
  <c r="H946" i="14"/>
  <c r="H758" i="14"/>
  <c r="H965" i="14"/>
  <c r="H962" i="14"/>
  <c r="H795" i="14"/>
  <c r="H963" i="14"/>
  <c r="H964" i="14"/>
  <c r="H759" i="14"/>
  <c r="H971" i="14"/>
  <c r="H804" i="14"/>
  <c r="H974" i="14"/>
  <c r="H972" i="14"/>
  <c r="H973" i="14"/>
  <c r="H775" i="14" l="1"/>
  <c r="H763" i="14"/>
  <c r="H815" i="14" s="1"/>
  <c r="H765" i="14"/>
  <c r="H817" i="14" s="1"/>
  <c r="H764" i="14"/>
  <c r="H816" i="14" s="1"/>
  <c r="H772" i="14"/>
  <c r="H784" i="14"/>
  <c r="H789" i="14" s="1"/>
  <c r="H760" i="14"/>
  <c r="H803" i="14"/>
  <c r="H807" i="14" s="1"/>
  <c r="H774" i="14"/>
  <c r="H773" i="14"/>
  <c r="H794" i="14"/>
  <c r="H798" i="14" s="1"/>
  <c r="H840" i="14" l="1"/>
  <c r="H832" i="14"/>
  <c r="H824" i="14"/>
  <c r="H825" i="14"/>
  <c r="H841" i="14"/>
  <c r="H833" i="14"/>
  <c r="H779" i="14"/>
  <c r="H839" i="14"/>
  <c r="H831" i="14"/>
  <c r="H818" i="14"/>
  <c r="H823" i="14"/>
  <c r="H842" i="14" l="1"/>
  <c r="H834" i="14"/>
  <c r="H826" i="14"/>
  <c r="CN9" i="1"/>
  <c r="BI49" i="36"/>
  <c r="AT59" i="1"/>
  <c r="AY26" i="25"/>
  <c r="CL60" i="38"/>
  <c r="CT29" i="25"/>
  <c r="CL81" i="1"/>
  <c r="BY34" i="40"/>
  <c r="AD102" i="39"/>
  <c r="CQ27" i="25"/>
  <c r="U59" i="1"/>
  <c r="CB26" i="41"/>
  <c r="AS71" i="41"/>
  <c r="AY59" i="38"/>
  <c r="AS9" i="40"/>
  <c r="CO37" i="40"/>
  <c r="AM54" i="40"/>
  <c r="BH54" i="37"/>
  <c r="BO89" i="38"/>
  <c r="BA79" i="40"/>
  <c r="BP59" i="26"/>
  <c r="BE27" i="36"/>
  <c r="I62" i="38"/>
  <c r="AZ75" i="40"/>
  <c r="BA67" i="40"/>
  <c r="BS57" i="25"/>
  <c r="AD62" i="1"/>
  <c r="CZ48" i="26"/>
  <c r="Y54" i="1"/>
  <c r="AP30" i="26"/>
  <c r="CV45" i="40"/>
  <c r="CW24" i="26"/>
  <c r="CR96" i="1"/>
  <c r="DC79" i="1"/>
  <c r="BY30" i="39"/>
  <c r="CI53" i="41"/>
  <c r="BZ9" i="36"/>
  <c r="BR53" i="36"/>
  <c r="CT103" i="41"/>
  <c r="AY89" i="25"/>
  <c r="AU75" i="39"/>
  <c r="CN49" i="38"/>
  <c r="BD71" i="36"/>
  <c r="CM17" i="25"/>
  <c r="H13" i="37"/>
  <c r="CP34" i="40"/>
  <c r="CO75" i="38"/>
  <c r="AU13" i="38"/>
  <c r="AW13" i="36"/>
  <c r="T75" i="37"/>
  <c r="DD58" i="38"/>
  <c r="Y65" i="40"/>
  <c r="AN71" i="38"/>
  <c r="DA75" i="38"/>
  <c r="T49" i="26"/>
  <c r="P67" i="41"/>
  <c r="X57" i="38"/>
  <c r="DB54" i="38"/>
  <c r="Y65" i="25"/>
  <c r="S26" i="37"/>
  <c r="CU67" i="25"/>
  <c r="BR59" i="37"/>
  <c r="DF81" i="40"/>
  <c r="BQ79" i="36"/>
  <c r="AJ102" i="40"/>
  <c r="AQ48" i="41"/>
  <c r="DF29" i="41"/>
  <c r="AJ57" i="37"/>
  <c r="AI29" i="41"/>
  <c r="CN71" i="37"/>
  <c r="BO13" i="26"/>
  <c r="AF58" i="36"/>
  <c r="U25" i="40"/>
  <c r="K9" i="36"/>
  <c r="CD91" i="1"/>
  <c r="H67" i="39"/>
  <c r="CM71" i="38"/>
  <c r="CV21" i="25"/>
  <c r="CL92" i="41"/>
  <c r="AR66" i="41"/>
  <c r="BV9" i="36"/>
  <c r="CV10" i="39"/>
  <c r="M17" i="46"/>
  <c r="CD49" i="38"/>
  <c r="I21" i="26"/>
  <c r="CS17" i="40"/>
  <c r="DC79" i="39"/>
  <c r="BS65" i="39"/>
  <c r="DF62" i="37"/>
  <c r="AC34" i="39"/>
  <c r="AD53" i="25"/>
  <c r="AA67" i="25"/>
  <c r="DD96" i="36"/>
  <c r="BO58" i="25"/>
  <c r="AT98" i="36"/>
  <c r="AZ45" i="36"/>
  <c r="S81" i="26"/>
  <c r="CL57" i="1"/>
  <c r="CG66" i="41"/>
  <c r="U50" i="41"/>
  <c r="BY34" i="37"/>
  <c r="CA91" i="1"/>
  <c r="AN81" i="36"/>
  <c r="DA50" i="25"/>
  <c r="CB48" i="40"/>
  <c r="N57" i="39"/>
  <c r="J49" i="41"/>
  <c r="BD67" i="38"/>
  <c r="CQ75" i="36"/>
  <c r="N24" i="37"/>
  <c r="CL21" i="36"/>
  <c r="DE89" i="1"/>
  <c r="DE50" i="38"/>
  <c r="H98" i="25"/>
  <c r="BP61" i="41"/>
  <c r="AJ27" i="25"/>
  <c r="Z10" i="36"/>
  <c r="CM10" i="38"/>
  <c r="T61" i="41"/>
  <c r="AU67" i="26"/>
  <c r="T50" i="25"/>
  <c r="I71" i="39"/>
  <c r="CM89" i="38"/>
  <c r="BV17" i="41"/>
  <c r="AQ98" i="39"/>
  <c r="CP60" i="25"/>
  <c r="CO9" i="1"/>
  <c r="DC71" i="39"/>
  <c r="F74" i="64"/>
  <c r="DB98" i="40"/>
  <c r="AW30" i="38"/>
  <c r="BE65" i="36"/>
  <c r="CJ71" i="40"/>
  <c r="BH79" i="40"/>
  <c r="DC9" i="36"/>
  <c r="N81" i="1"/>
  <c r="CK102" i="38"/>
  <c r="BC21" i="41"/>
  <c r="DC10" i="37"/>
  <c r="AM26" i="37"/>
  <c r="O12" i="39"/>
  <c r="G96" i="26"/>
  <c r="CP65" i="41"/>
  <c r="CB13" i="41"/>
  <c r="CA98" i="41"/>
  <c r="N102" i="26"/>
  <c r="DB9" i="26"/>
  <c r="N61" i="36"/>
  <c r="BW57" i="1"/>
  <c r="DF25" i="36"/>
  <c r="AH79" i="36"/>
  <c r="CB12" i="39"/>
  <c r="DB66" i="39"/>
  <c r="CO89" i="39"/>
  <c r="AP59" i="25"/>
  <c r="BY81" i="40"/>
  <c r="CC9" i="36"/>
  <c r="BR61" i="41"/>
  <c r="BQ67" i="26"/>
  <c r="AW54" i="36"/>
  <c r="M21" i="37"/>
  <c r="DF58" i="41"/>
  <c r="AU24" i="37"/>
  <c r="BT17" i="38"/>
  <c r="CZ92" i="38"/>
  <c r="CB61" i="1"/>
  <c r="DA18" i="37"/>
  <c r="BQ60" i="41"/>
  <c r="AU60" i="39"/>
  <c r="AV57" i="26"/>
  <c r="BO91" i="37"/>
  <c r="AD66" i="36"/>
  <c r="U61" i="37"/>
  <c r="AB45" i="26"/>
  <c r="CW50" i="26"/>
  <c r="N16" i="59"/>
  <c r="L9" i="59"/>
  <c r="BY21" i="38"/>
  <c r="CL29" i="36"/>
  <c r="BQ62" i="39"/>
  <c r="CR29" i="36"/>
  <c r="AE50" i="37"/>
  <c r="CR75" i="25"/>
  <c r="AZ30" i="38"/>
  <c r="AD18" i="40"/>
  <c r="L49" i="60"/>
  <c r="BC60" i="26"/>
  <c r="BU58" i="38"/>
  <c r="DE75" i="41"/>
  <c r="AM13" i="38"/>
  <c r="W27" i="26"/>
  <c r="AW10" i="41"/>
  <c r="CZ71" i="1"/>
  <c r="CP54" i="38"/>
  <c r="AW61" i="37"/>
  <c r="AX89" i="37"/>
  <c r="CT91" i="41"/>
  <c r="BR25" i="39"/>
  <c r="BG125" i="47"/>
  <c r="CR91" i="39"/>
  <c r="BY50" i="1"/>
  <c r="H102" i="37"/>
  <c r="CX26" i="37"/>
  <c r="CO21" i="37"/>
  <c r="DE103" i="37"/>
  <c r="CW71" i="38"/>
  <c r="CX91" i="36"/>
  <c r="AV62" i="25"/>
  <c r="H96" i="25"/>
  <c r="L23" i="60"/>
  <c r="K60" i="26"/>
  <c r="AS59" i="37"/>
  <c r="CW10" i="39"/>
  <c r="DA81" i="1"/>
  <c r="CO60" i="39"/>
  <c r="CA53" i="37"/>
  <c r="AT79" i="39"/>
  <c r="DD12" i="41"/>
  <c r="AA91" i="26"/>
  <c r="H57" i="39"/>
  <c r="CY71" i="25"/>
  <c r="CR60" i="37"/>
  <c r="L26" i="26"/>
  <c r="DA102" i="25"/>
  <c r="CT9" i="36"/>
  <c r="I10" i="59"/>
  <c r="Y96" i="36"/>
  <c r="AB49" i="38"/>
  <c r="CY66" i="39"/>
  <c r="BR92" i="37"/>
  <c r="W37" i="39"/>
  <c r="BP25" i="26"/>
  <c r="I89" i="41"/>
  <c r="CY12" i="37"/>
  <c r="AE48" i="26"/>
  <c r="I9" i="36"/>
  <c r="AA57" i="37"/>
  <c r="DA67" i="25"/>
  <c r="AA13" i="40"/>
  <c r="M10" i="1"/>
  <c r="CL91" i="25"/>
  <c r="BZ48" i="25"/>
  <c r="CZ26" i="1"/>
  <c r="S17" i="1"/>
  <c r="AN57" i="1"/>
  <c r="S48" i="39"/>
  <c r="CT9" i="40"/>
  <c r="G79" i="41"/>
  <c r="Z21" i="36"/>
  <c r="CY30" i="1"/>
  <c r="CL34" i="36"/>
  <c r="BD79" i="36"/>
  <c r="T54" i="39"/>
  <c r="S29" i="38"/>
  <c r="BZ79" i="1"/>
  <c r="BI71" i="1"/>
  <c r="L75" i="25"/>
  <c r="AZ24" i="25"/>
  <c r="BH10" i="39"/>
  <c r="L71" i="38"/>
  <c r="AN92" i="26"/>
  <c r="AV34" i="26"/>
  <c r="J65" i="37"/>
  <c r="AR27" i="36"/>
  <c r="I53" i="26"/>
  <c r="P27" i="36"/>
  <c r="P37" i="25"/>
  <c r="CU59" i="38"/>
  <c r="N71" i="41"/>
  <c r="DC34" i="26"/>
  <c r="CS65" i="1"/>
  <c r="CH102" i="25"/>
  <c r="CJ59" i="36"/>
  <c r="T57" i="37"/>
  <c r="X65" i="41"/>
  <c r="AF18" i="39"/>
  <c r="CW57" i="25"/>
  <c r="CE58" i="41"/>
  <c r="AM24" i="1"/>
  <c r="BU81" i="1"/>
  <c r="P57" i="39"/>
  <c r="CB71" i="36"/>
  <c r="U45" i="26"/>
  <c r="AQ26" i="36"/>
  <c r="CN25" i="41"/>
  <c r="DB61" i="26"/>
  <c r="BV48" i="26"/>
  <c r="CW96" i="40"/>
  <c r="DC18" i="39"/>
  <c r="AU18" i="1"/>
  <c r="CD60" i="37"/>
  <c r="G60" i="36"/>
  <c r="CC66" i="39"/>
  <c r="CW53" i="26"/>
  <c r="CV17" i="25"/>
  <c r="CK37" i="40"/>
  <c r="BX67" i="39"/>
  <c r="P25" i="38"/>
  <c r="DC30" i="25"/>
  <c r="AM21" i="26"/>
  <c r="H75" i="41"/>
  <c r="BD45" i="37"/>
  <c r="AQ45" i="36"/>
  <c r="AV25" i="36"/>
  <c r="BO57" i="25"/>
  <c r="AS75" i="39"/>
  <c r="BR92" i="25"/>
  <c r="AB96" i="41"/>
  <c r="BZ102" i="41"/>
  <c r="BA92" i="41"/>
  <c r="CZ17" i="39"/>
  <c r="CD102" i="36"/>
  <c r="BC50" i="1"/>
  <c r="X49" i="39"/>
  <c r="DB10" i="36"/>
  <c r="X12" i="25"/>
  <c r="T18" i="1"/>
  <c r="CH34" i="26"/>
  <c r="CK67" i="1"/>
  <c r="CG65" i="37"/>
  <c r="DE10" i="26"/>
  <c r="BU81" i="25"/>
  <c r="M45" i="37"/>
  <c r="BR102" i="25"/>
  <c r="CS102" i="37"/>
  <c r="L37" i="36"/>
  <c r="DE81" i="39"/>
  <c r="Y45" i="36"/>
  <c r="CK30" i="40"/>
  <c r="BR26" i="25"/>
  <c r="AU48" i="1"/>
  <c r="I91" i="25"/>
  <c r="AO9" i="38"/>
  <c r="BZ71" i="26"/>
  <c r="P60" i="39"/>
  <c r="AP25" i="38"/>
  <c r="CB81" i="1"/>
  <c r="AR102" i="39"/>
  <c r="AW13" i="39"/>
  <c r="CU18" i="26"/>
  <c r="AQ13" i="37"/>
  <c r="P75" i="37"/>
  <c r="DD98" i="25"/>
  <c r="CV29" i="1"/>
  <c r="J53" i="38"/>
  <c r="BC17" i="40"/>
  <c r="Z27" i="38"/>
  <c r="AA75" i="38"/>
  <c r="BO30" i="41"/>
  <c r="M25" i="25"/>
  <c r="CA98" i="38"/>
  <c r="BB54" i="26"/>
  <c r="BE75" i="40"/>
  <c r="Z25" i="1"/>
  <c r="BX61" i="39"/>
  <c r="I57" i="60"/>
  <c r="CN75" i="26"/>
  <c r="AR26" i="36"/>
  <c r="BB98" i="40"/>
  <c r="BY53" i="36"/>
  <c r="CY25" i="36"/>
  <c r="AB96" i="25"/>
  <c r="N26" i="25"/>
  <c r="BQ58" i="39"/>
  <c r="H92" i="25"/>
  <c r="CM96" i="37"/>
  <c r="U62" i="36"/>
  <c r="CA45" i="40"/>
  <c r="AM102" i="37"/>
  <c r="F70" i="64"/>
  <c r="AD45" i="40"/>
  <c r="E53" i="60"/>
  <c r="AT17" i="1"/>
  <c r="AW71" i="1"/>
  <c r="BH58" i="37"/>
  <c r="CJ81" i="40"/>
  <c r="CR91" i="37"/>
  <c r="CI48" i="38"/>
  <c r="CD66" i="39"/>
  <c r="AW61" i="26"/>
  <c r="BC96" i="1"/>
  <c r="BY37" i="37"/>
  <c r="P65" i="37"/>
  <c r="CY79" i="39"/>
  <c r="F84" i="60"/>
  <c r="BY29" i="41"/>
  <c r="AV13" i="26"/>
  <c r="G61" i="60"/>
  <c r="CC29" i="38"/>
  <c r="X96" i="37"/>
  <c r="CD27" i="1"/>
  <c r="CS45" i="1"/>
  <c r="DF92" i="36"/>
  <c r="BI96" i="25"/>
  <c r="W66" i="40"/>
  <c r="BS13" i="36"/>
  <c r="CU27" i="36"/>
  <c r="AF25" i="25"/>
  <c r="O9" i="25"/>
  <c r="DC37" i="1"/>
  <c r="AN98" i="1"/>
  <c r="X67" i="37"/>
  <c r="BR67" i="25"/>
  <c r="CW37" i="39"/>
  <c r="CH21" i="36"/>
  <c r="AJ54" i="40"/>
  <c r="AB27" i="38"/>
  <c r="CK59" i="41"/>
  <c r="CB25" i="38"/>
  <c r="CZ24" i="26"/>
  <c r="AT91" i="26"/>
  <c r="BB65" i="25"/>
  <c r="AC34" i="40"/>
  <c r="N28" i="59"/>
  <c r="AN25" i="41"/>
  <c r="BE49" i="36"/>
  <c r="CG53" i="39"/>
  <c r="BH49" i="37"/>
  <c r="BZ45" i="41"/>
  <c r="DF58" i="36"/>
  <c r="Z48" i="39"/>
  <c r="BH61" i="38"/>
  <c r="AS92" i="36"/>
  <c r="BW61" i="36"/>
  <c r="AY98" i="25"/>
  <c r="CH81" i="41"/>
  <c r="CZ53" i="38"/>
  <c r="BU60" i="25"/>
  <c r="W49" i="39"/>
  <c r="BT98" i="25"/>
  <c r="CC67" i="36"/>
  <c r="CZ71" i="38"/>
  <c r="AU66" i="41"/>
  <c r="CJ75" i="38"/>
  <c r="CW57" i="41"/>
  <c r="BZ79" i="38"/>
  <c r="I13" i="40"/>
  <c r="BI12" i="1"/>
  <c r="CI103" i="40"/>
  <c r="BI65" i="26"/>
  <c r="AU30" i="40"/>
  <c r="BU54" i="36"/>
  <c r="CD26" i="25"/>
  <c r="CH27" i="40"/>
  <c r="BC58" i="25"/>
  <c r="CQ30" i="39"/>
  <c r="K13" i="60"/>
  <c r="BH10" i="41"/>
  <c r="DA66" i="40"/>
  <c r="AD34" i="36"/>
  <c r="CC102" i="25"/>
  <c r="CL102" i="40"/>
  <c r="BC45" i="25"/>
  <c r="CU49" i="36"/>
  <c r="AW71" i="38"/>
  <c r="BD102" i="1"/>
  <c r="CQ45" i="36"/>
  <c r="H90" i="60"/>
  <c r="Z21" i="39"/>
  <c r="CF27" i="41"/>
  <c r="BB65" i="38"/>
  <c r="AP37" i="40"/>
  <c r="AZ60" i="37"/>
  <c r="H63" i="60"/>
  <c r="DB24" i="40"/>
  <c r="S60" i="41"/>
  <c r="M66" i="41"/>
  <c r="AG24" i="26"/>
  <c r="CV49" i="39"/>
  <c r="D37" i="59"/>
  <c r="BH79" i="1"/>
  <c r="CI29" i="25"/>
  <c r="CN25" i="38"/>
  <c r="DB103" i="25"/>
  <c r="DC96" i="25"/>
  <c r="AP34" i="40"/>
  <c r="AR89" i="25"/>
  <c r="BA48" i="37"/>
  <c r="BE26" i="37"/>
  <c r="I79" i="40"/>
  <c r="T24" i="39"/>
  <c r="U18" i="37"/>
  <c r="DC49" i="38"/>
  <c r="BQ29" i="41"/>
  <c r="I60" i="59"/>
  <c r="BI29" i="25"/>
  <c r="CV13" i="37"/>
  <c r="CB60" i="1"/>
  <c r="CL60" i="25"/>
  <c r="BA62" i="39"/>
  <c r="DB45" i="26"/>
  <c r="CJ71" i="41"/>
  <c r="CL50" i="37"/>
  <c r="AZ58" i="39"/>
  <c r="CU59" i="39"/>
  <c r="BI24" i="37"/>
  <c r="I68" i="64"/>
  <c r="BY53" i="37"/>
  <c r="K96" i="39"/>
  <c r="H96" i="39"/>
  <c r="CM103" i="41"/>
  <c r="J98" i="1"/>
  <c r="CN65" i="39"/>
  <c r="Y27" i="25"/>
  <c r="BE17" i="41"/>
  <c r="H50" i="59"/>
  <c r="N58" i="37"/>
  <c r="O49" i="1"/>
  <c r="Y67" i="41"/>
  <c r="BR27" i="36"/>
  <c r="L62" i="37"/>
  <c r="BH60" i="25"/>
  <c r="V10" i="25"/>
  <c r="CV102" i="39"/>
  <c r="AZ17" i="1"/>
  <c r="BH12" i="25"/>
  <c r="CP57" i="26"/>
  <c r="BY54" i="36"/>
  <c r="AE50" i="39"/>
  <c r="AF29" i="40"/>
  <c r="AB60" i="1"/>
  <c r="S65" i="25"/>
  <c r="DE26" i="39"/>
  <c r="BV13" i="1"/>
  <c r="AD53" i="37"/>
  <c r="AV60" i="38"/>
  <c r="CH53" i="36"/>
  <c r="BI34" i="40"/>
  <c r="BQ50" i="40"/>
  <c r="BR65" i="37"/>
  <c r="M17" i="25"/>
  <c r="AM54" i="25"/>
  <c r="CG27" i="37"/>
  <c r="O91" i="38"/>
  <c r="DB79" i="1"/>
  <c r="CA34" i="38"/>
  <c r="BW45" i="36"/>
  <c r="X62" i="38"/>
  <c r="CA30" i="26"/>
  <c r="AJ27" i="36"/>
  <c r="AC9" i="39"/>
  <c r="AV98" i="38"/>
  <c r="DB62" i="38"/>
  <c r="CO13" i="37"/>
  <c r="AN45" i="40"/>
  <c r="DE96" i="38"/>
  <c r="BQ62" i="26"/>
  <c r="BU65" i="36"/>
  <c r="CT66" i="1"/>
  <c r="CN75" i="37"/>
  <c r="AQ67" i="25"/>
  <c r="DE59" i="41"/>
  <c r="Z37" i="38"/>
  <c r="CP26" i="39"/>
  <c r="CF91" i="40"/>
  <c r="U54" i="26"/>
  <c r="Z12" i="40"/>
  <c r="CA13" i="25"/>
  <c r="BB53" i="41"/>
  <c r="AC61" i="38"/>
  <c r="BX27" i="25"/>
  <c r="AN58" i="40"/>
  <c r="CY13" i="25"/>
  <c r="CL25" i="39"/>
  <c r="DB103" i="36"/>
  <c r="AZ50" i="38"/>
  <c r="AS66" i="1"/>
  <c r="CO75" i="39"/>
  <c r="CE66" i="38"/>
  <c r="AX21" i="40"/>
  <c r="AA79" i="26"/>
  <c r="Y48" i="1"/>
  <c r="Y57" i="39"/>
  <c r="CT48" i="38"/>
  <c r="CM61" i="25"/>
  <c r="CN89" i="36"/>
  <c r="AO18" i="40"/>
  <c r="AO34" i="25"/>
  <c r="O58" i="37"/>
  <c r="AQ24" i="38"/>
  <c r="BH54" i="36"/>
  <c r="CA12" i="26"/>
  <c r="BI96" i="37"/>
  <c r="G14" i="60"/>
  <c r="CT62" i="26"/>
  <c r="CX49" i="40"/>
  <c r="AO59" i="26"/>
  <c r="CQ92" i="26"/>
  <c r="AB91" i="36"/>
  <c r="X45" i="41"/>
  <c r="CH103" i="26"/>
  <c r="DA67" i="37"/>
  <c r="DF34" i="1"/>
  <c r="AU18" i="39"/>
  <c r="AA53" i="38"/>
  <c r="CM26" i="36"/>
  <c r="W75" i="26"/>
  <c r="CK89" i="36"/>
  <c r="BU34" i="38"/>
  <c r="DD18" i="36"/>
  <c r="CV65" i="1"/>
  <c r="L65" i="26"/>
  <c r="AO10" i="40"/>
  <c r="DE48" i="41"/>
  <c r="O54" i="59"/>
  <c r="CJ30" i="36"/>
  <c r="AR58" i="39"/>
  <c r="BX92" i="41"/>
  <c r="AZ37" i="37"/>
  <c r="AS53" i="1"/>
  <c r="W17" i="36"/>
  <c r="AD89" i="25"/>
  <c r="BE81" i="25"/>
  <c r="CB24" i="38"/>
  <c r="CC21" i="25"/>
  <c r="BX17" i="26"/>
  <c r="AC62" i="1"/>
  <c r="CC62" i="37"/>
  <c r="E89" i="60"/>
  <c r="BB96" i="38"/>
  <c r="X57" i="25"/>
  <c r="T60" i="41"/>
  <c r="AO60" i="37"/>
  <c r="AA17" i="25"/>
  <c r="AB81" i="26"/>
  <c r="S89" i="39"/>
  <c r="CL98" i="39"/>
  <c r="CT102" i="26"/>
  <c r="I71" i="25"/>
  <c r="I30" i="38"/>
  <c r="CY71" i="40"/>
  <c r="O61" i="40"/>
  <c r="K92" i="1"/>
  <c r="CO50" i="38"/>
  <c r="CL92" i="26"/>
  <c r="S48" i="41"/>
  <c r="CT66" i="38"/>
  <c r="BT59" i="36"/>
  <c r="AW81" i="37"/>
  <c r="O48" i="1"/>
  <c r="N62" i="25"/>
  <c r="AO27" i="37"/>
  <c r="U26" i="37"/>
  <c r="BR37" i="25"/>
  <c r="W29" i="36"/>
  <c r="CI25" i="36"/>
  <c r="I17" i="26"/>
  <c r="DE10" i="41"/>
  <c r="I34" i="38"/>
  <c r="CG57" i="25"/>
  <c r="AY21" i="38"/>
  <c r="CH21" i="40"/>
  <c r="AX30" i="36"/>
  <c r="DD45" i="40"/>
  <c r="AO92" i="36"/>
  <c r="BH79" i="38"/>
  <c r="Z61" i="25"/>
  <c r="AQ29" i="25"/>
  <c r="AC17" i="36"/>
  <c r="BW96" i="37"/>
  <c r="DC27" i="37"/>
  <c r="CD62" i="39"/>
  <c r="BZ25" i="26"/>
  <c r="CY81" i="40"/>
  <c r="BS91" i="37"/>
  <c r="AE89" i="26"/>
  <c r="CU27" i="37"/>
  <c r="CN13" i="26"/>
  <c r="CO24" i="25"/>
  <c r="G63" i="60"/>
  <c r="BA13" i="26"/>
  <c r="Y75" i="40"/>
  <c r="F16" i="46"/>
  <c r="J10" i="1"/>
  <c r="BO65" i="37"/>
  <c r="P44" i="59"/>
  <c r="CV92" i="38"/>
  <c r="M24" i="26"/>
  <c r="BS25" i="41"/>
  <c r="Y45" i="26"/>
  <c r="O91" i="25"/>
  <c r="AX29" i="36"/>
  <c r="CB37" i="41"/>
  <c r="BY92" i="39"/>
  <c r="CH17" i="39"/>
  <c r="BQ66" i="39"/>
  <c r="BS58" i="26"/>
  <c r="BU98" i="38"/>
  <c r="AC66" i="36"/>
  <c r="CT18" i="37"/>
  <c r="L48" i="1"/>
  <c r="CU79" i="38"/>
  <c r="Z12" i="1"/>
  <c r="BE58" i="41"/>
  <c r="CW60" i="36"/>
  <c r="W59" i="26"/>
  <c r="AQ54" i="37"/>
  <c r="CN45" i="41"/>
  <c r="CD96" i="41"/>
  <c r="CO71" i="37"/>
  <c r="BO57" i="38"/>
  <c r="BV102" i="26"/>
  <c r="K61" i="60"/>
  <c r="BX65" i="38"/>
  <c r="CK71" i="38"/>
  <c r="CH9" i="36"/>
  <c r="BA24" i="1"/>
  <c r="CQ30" i="41"/>
  <c r="S37" i="25"/>
  <c r="AQ50" i="37"/>
  <c r="CR50" i="41"/>
  <c r="P24" i="39"/>
  <c r="T26" i="37"/>
  <c r="AR57" i="36"/>
  <c r="CH103" i="39"/>
  <c r="BC26" i="40"/>
  <c r="AG48" i="37"/>
  <c r="CV92" i="39"/>
  <c r="K65" i="41"/>
  <c r="AO71" i="41"/>
  <c r="H24" i="39"/>
  <c r="J60" i="1"/>
  <c r="AM102" i="40"/>
  <c r="CZ49" i="26"/>
  <c r="G62" i="38"/>
  <c r="K71" i="60"/>
  <c r="BC71" i="25"/>
  <c r="CZ34" i="37"/>
  <c r="AM10" i="37"/>
  <c r="AO81" i="40"/>
  <c r="CE10" i="40"/>
  <c r="CL13" i="26"/>
  <c r="O10" i="1"/>
  <c r="AO25" i="38"/>
  <c r="CP48" i="1"/>
  <c r="CR45" i="25"/>
  <c r="BO49" i="1"/>
  <c r="CY57" i="1"/>
  <c r="W34" i="25"/>
  <c r="CP61" i="41"/>
  <c r="I92" i="60"/>
  <c r="V58" i="36"/>
  <c r="Z79" i="39"/>
  <c r="CN92" i="1"/>
  <c r="CS89" i="1"/>
  <c r="AN81" i="39"/>
  <c r="CA21" i="26"/>
  <c r="CL62" i="38"/>
  <c r="DA103" i="37"/>
  <c r="Y89" i="1"/>
  <c r="DF9" i="1"/>
  <c r="M24" i="39"/>
  <c r="CD27" i="25"/>
  <c r="AA30" i="38"/>
  <c r="CT53" i="1"/>
  <c r="BU34" i="36"/>
  <c r="CE50" i="36"/>
  <c r="BW67" i="1"/>
  <c r="O92" i="40"/>
  <c r="CG98" i="39"/>
  <c r="CB57" i="40"/>
  <c r="CC96" i="41"/>
  <c r="CX75" i="36"/>
  <c r="CV61" i="1"/>
  <c r="M17" i="39"/>
  <c r="BH57" i="36"/>
  <c r="O98" i="1"/>
  <c r="BX57" i="39"/>
  <c r="W57" i="26"/>
  <c r="CX48" i="25"/>
  <c r="AC62" i="38"/>
  <c r="BO102" i="36"/>
  <c r="N96" i="39"/>
  <c r="AF29" i="39"/>
  <c r="AV9" i="41"/>
  <c r="AQ29" i="26"/>
  <c r="DD96" i="26"/>
  <c r="AH79" i="26"/>
  <c r="AQ17" i="26"/>
  <c r="F72" i="64"/>
  <c r="AC81" i="39"/>
  <c r="CO25" i="41"/>
  <c r="CD30" i="38"/>
  <c r="M27" i="1"/>
  <c r="DD30" i="38"/>
  <c r="AW34" i="37"/>
  <c r="AR12" i="26"/>
  <c r="M91" i="64"/>
  <c r="AX26" i="38"/>
  <c r="AX13" i="40"/>
  <c r="AV37" i="39"/>
  <c r="CS67" i="25"/>
  <c r="O67" i="40"/>
  <c r="AB58" i="41"/>
  <c r="AW58" i="36"/>
  <c r="AA10" i="1"/>
  <c r="BP18" i="26"/>
  <c r="BT61" i="37"/>
  <c r="CA91" i="26"/>
  <c r="AU53" i="40"/>
  <c r="AA81" i="39"/>
  <c r="BR26" i="1"/>
  <c r="BV61" i="37"/>
  <c r="BG315" i="47"/>
  <c r="BC89" i="37"/>
  <c r="Z53" i="26"/>
  <c r="AM25" i="36"/>
  <c r="CW79" i="38"/>
  <c r="G62" i="36"/>
  <c r="BZ24" i="38"/>
  <c r="CS48" i="38"/>
  <c r="Z98" i="39"/>
  <c r="AY21" i="40"/>
  <c r="BI34" i="38"/>
  <c r="CT26" i="25"/>
  <c r="AR26" i="26"/>
  <c r="AW24" i="37"/>
  <c r="O71" i="37"/>
  <c r="K17" i="26"/>
  <c r="CB10" i="36"/>
  <c r="BI9" i="26"/>
  <c r="AM13" i="40"/>
  <c r="CV24" i="38"/>
  <c r="O45" i="41"/>
  <c r="AA48" i="40"/>
  <c r="DA65" i="1"/>
  <c r="AR62" i="26"/>
  <c r="AX34" i="1"/>
  <c r="AN9" i="37"/>
  <c r="AY89" i="36"/>
  <c r="BX60" i="36"/>
  <c r="CZ66" i="26"/>
  <c r="CF48" i="26"/>
  <c r="AD65" i="26"/>
  <c r="AJ54" i="37"/>
  <c r="CU45" i="41"/>
  <c r="T21" i="36"/>
  <c r="CB65" i="39"/>
  <c r="CF57" i="41"/>
  <c r="S10" i="39"/>
  <c r="CW91" i="26"/>
  <c r="BV37" i="40"/>
  <c r="CO71" i="25"/>
  <c r="BH54" i="1"/>
  <c r="DB96" i="37"/>
  <c r="AD81" i="1"/>
  <c r="CV57" i="36"/>
  <c r="AT98" i="40"/>
  <c r="AE25" i="1"/>
  <c r="CO29" i="26"/>
  <c r="CN48" i="38"/>
  <c r="CH71" i="37"/>
  <c r="CN21" i="25"/>
  <c r="CS48" i="39"/>
  <c r="CT62" i="25"/>
  <c r="CV66" i="41"/>
  <c r="E7" i="64"/>
  <c r="CI57" i="25"/>
  <c r="AG66" i="26"/>
  <c r="S81" i="25"/>
  <c r="CP30" i="37"/>
  <c r="H49" i="25"/>
  <c r="BQ54" i="38"/>
  <c r="W66" i="39"/>
  <c r="L16" i="64"/>
  <c r="CC21" i="39"/>
  <c r="DE67" i="40"/>
  <c r="AA81" i="40"/>
  <c r="BU12" i="40"/>
  <c r="AR26" i="38"/>
  <c r="BW45" i="38"/>
  <c r="DF81" i="1"/>
  <c r="DC49" i="40"/>
  <c r="DD53" i="38"/>
  <c r="CC98" i="38"/>
  <c r="AF49" i="39"/>
  <c r="G25" i="39"/>
  <c r="H29" i="25"/>
  <c r="BD13" i="41"/>
  <c r="CU92" i="1"/>
  <c r="AF91" i="39"/>
  <c r="CP10" i="40"/>
  <c r="BW54" i="37"/>
  <c r="CU26" i="25"/>
  <c r="DB54" i="1"/>
  <c r="BQ10" i="37"/>
  <c r="CM92" i="40"/>
  <c r="BC96" i="40"/>
  <c r="CM21" i="1"/>
  <c r="CP37" i="38"/>
  <c r="DF89" i="37"/>
  <c r="S81" i="38"/>
  <c r="BU61" i="25"/>
  <c r="CK103" i="38"/>
  <c r="AP9" i="40"/>
  <c r="V13" i="38"/>
  <c r="O65" i="39"/>
  <c r="AB62" i="1"/>
  <c r="CP58" i="40"/>
  <c r="AQ96" i="39"/>
  <c r="AQ75" i="1"/>
  <c r="BC29" i="39"/>
  <c r="BS60" i="25"/>
  <c r="O17" i="39"/>
  <c r="CM92" i="38"/>
  <c r="BD81" i="1"/>
  <c r="BA37" i="39"/>
  <c r="BS12" i="40"/>
  <c r="U66" i="37"/>
  <c r="BR18" i="39"/>
  <c r="BQ89" i="1"/>
  <c r="W50" i="39"/>
  <c r="CK17" i="39"/>
  <c r="BQ30" i="37"/>
  <c r="AB65" i="41"/>
  <c r="CY13" i="26"/>
  <c r="CF13" i="39"/>
  <c r="AX54" i="39"/>
  <c r="CB45" i="40"/>
  <c r="AE89" i="25"/>
  <c r="CV10" i="25"/>
  <c r="DB91" i="41"/>
  <c r="BZ67" i="38"/>
  <c r="AJ50" i="37"/>
  <c r="CY34" i="37"/>
  <c r="DF102" i="40"/>
  <c r="CI50" i="40"/>
  <c r="AI62" i="39"/>
  <c r="CL29" i="41"/>
  <c r="DE48" i="40"/>
  <c r="AY60" i="38"/>
  <c r="AX27" i="25"/>
  <c r="W18" i="1"/>
  <c r="AV102" i="1"/>
  <c r="K14" i="60"/>
  <c r="AV37" i="41"/>
  <c r="AQ17" i="25"/>
  <c r="CC67" i="25"/>
  <c r="CO53" i="25"/>
  <c r="BT59" i="1"/>
  <c r="V67" i="40"/>
  <c r="DF9" i="39"/>
  <c r="BP67" i="1"/>
  <c r="CQ27" i="36"/>
  <c r="CQ54" i="1"/>
  <c r="BD59" i="25"/>
  <c r="CK9" i="37"/>
  <c r="I13" i="38"/>
  <c r="CY48" i="25"/>
  <c r="DC48" i="1"/>
  <c r="BH18" i="39"/>
  <c r="AY66" i="40"/>
  <c r="X96" i="41"/>
  <c r="CW71" i="26"/>
  <c r="N9" i="38"/>
  <c r="AO58" i="40"/>
  <c r="CQ37" i="39"/>
  <c r="BD89" i="39"/>
  <c r="N79" i="1"/>
  <c r="CM37" i="39"/>
  <c r="AW30" i="40"/>
  <c r="CX49" i="36"/>
  <c r="N17" i="41"/>
  <c r="K60" i="39"/>
  <c r="BP58" i="36"/>
  <c r="BA61" i="25"/>
  <c r="AI96" i="41"/>
  <c r="CW49" i="41"/>
  <c r="AA24" i="41"/>
  <c r="I12" i="25"/>
  <c r="AN29" i="26"/>
  <c r="Z17" i="1"/>
  <c r="CM71" i="40"/>
  <c r="BB313" i="47"/>
  <c r="AI57" i="37"/>
  <c r="CH13" i="37"/>
  <c r="AU12" i="37"/>
  <c r="W67" i="36"/>
  <c r="BS21" i="41"/>
  <c r="CN49" i="25"/>
  <c r="G18" i="39"/>
  <c r="DE37" i="38"/>
  <c r="BT27" i="26"/>
  <c r="BU10" i="36"/>
  <c r="BD34" i="36"/>
  <c r="AG49" i="25"/>
  <c r="CO25" i="1"/>
  <c r="AO25" i="36"/>
  <c r="CI67" i="38"/>
  <c r="AA96" i="41"/>
  <c r="BZ57" i="36"/>
  <c r="BY45" i="39"/>
  <c r="AS29" i="37"/>
  <c r="CO62" i="25"/>
  <c r="O29" i="38"/>
  <c r="S10" i="40"/>
  <c r="BZ50" i="41"/>
  <c r="X13" i="26"/>
  <c r="N54" i="39"/>
  <c r="AU66" i="38"/>
  <c r="H59" i="40"/>
  <c r="CJ9" i="1"/>
  <c r="BD48" i="39"/>
  <c r="AO29" i="39"/>
  <c r="AJ17" i="41"/>
  <c r="AO79" i="41"/>
  <c r="BH62" i="41"/>
  <c r="CM29" i="39"/>
  <c r="AS30" i="40"/>
  <c r="BI9" i="37"/>
  <c r="AU60" i="1"/>
  <c r="BD89" i="1"/>
  <c r="I9" i="25"/>
  <c r="CZ60" i="41"/>
  <c r="BW12" i="41"/>
  <c r="AX48" i="25"/>
  <c r="DC50" i="38"/>
  <c r="AJ96" i="25"/>
  <c r="BR12" i="40"/>
  <c r="AB29" i="40"/>
  <c r="AJ96" i="41"/>
  <c r="T92" i="36"/>
  <c r="BA124" i="47"/>
  <c r="P9" i="39"/>
  <c r="AY98" i="1"/>
  <c r="H21" i="40"/>
  <c r="BY92" i="38"/>
  <c r="M58" i="25"/>
  <c r="AY58" i="1"/>
  <c r="J9" i="40"/>
  <c r="AU92" i="38"/>
  <c r="AB48" i="37"/>
  <c r="H16" i="64"/>
  <c r="CS81" i="26"/>
  <c r="BZ53" i="41"/>
  <c r="BQ75" i="38"/>
  <c r="AZ57" i="39"/>
  <c r="CK45" i="38"/>
  <c r="BC92" i="26"/>
  <c r="I54" i="38"/>
  <c r="AQ75" i="40"/>
  <c r="AB102" i="38"/>
  <c r="CW98" i="36"/>
  <c r="AB21" i="1"/>
  <c r="BX12" i="1"/>
  <c r="U21" i="37"/>
  <c r="BP91" i="1"/>
  <c r="CS29" i="36"/>
  <c r="BP27" i="26"/>
  <c r="AV48" i="37"/>
  <c r="BI59" i="41"/>
  <c r="AI71" i="1"/>
  <c r="AH91" i="38"/>
  <c r="S102" i="1"/>
  <c r="AP21" i="26"/>
  <c r="CH54" i="37"/>
  <c r="H78" i="60"/>
  <c r="AP37" i="25"/>
  <c r="BY71" i="36"/>
  <c r="AX45" i="36"/>
  <c r="AH71" i="40"/>
  <c r="CA92" i="40"/>
  <c r="CM29" i="40"/>
  <c r="H75" i="25"/>
  <c r="U45" i="37"/>
  <c r="CP59" i="25"/>
  <c r="CH54" i="40"/>
  <c r="AJ18" i="40"/>
  <c r="CL103" i="37"/>
  <c r="BA49" i="1"/>
  <c r="CW50" i="1"/>
  <c r="BV10" i="1"/>
  <c r="CL75" i="26"/>
  <c r="AD26" i="37"/>
  <c r="U54" i="1"/>
  <c r="CU53" i="25"/>
  <c r="AN65" i="38"/>
  <c r="AI71" i="39"/>
  <c r="BR34" i="1"/>
  <c r="CK67" i="38"/>
  <c r="DD25" i="37"/>
  <c r="CJ45" i="39"/>
  <c r="X62" i="40"/>
  <c r="V26" i="26"/>
  <c r="CT29" i="41"/>
  <c r="BP71" i="26"/>
  <c r="X61" i="39"/>
  <c r="CO10" i="37"/>
  <c r="AN10" i="40"/>
  <c r="CY57" i="40"/>
  <c r="T27" i="38"/>
  <c r="K10" i="36"/>
  <c r="BI65" i="25"/>
  <c r="AH50" i="36"/>
  <c r="CR45" i="39"/>
  <c r="CH49" i="36"/>
  <c r="CS26" i="1"/>
  <c r="BT18" i="26"/>
  <c r="DE27" i="37"/>
  <c r="I65" i="38"/>
  <c r="AI48" i="39"/>
  <c r="AM53" i="1"/>
  <c r="AU89" i="40"/>
  <c r="M45" i="25"/>
  <c r="I67" i="39"/>
  <c r="S21" i="37"/>
  <c r="CP58" i="41"/>
  <c r="W54" i="25"/>
  <c r="N59" i="39"/>
  <c r="J10" i="36"/>
  <c r="BT13" i="26"/>
  <c r="X91" i="39"/>
  <c r="I24" i="41"/>
  <c r="CL48" i="37"/>
  <c r="BX29" i="1"/>
  <c r="CJ91" i="39"/>
  <c r="CC96" i="25"/>
  <c r="CZ75" i="40"/>
  <c r="CU102" i="38"/>
  <c r="AD75" i="41"/>
  <c r="AP54" i="37"/>
  <c r="CN103" i="1"/>
  <c r="AI91" i="41"/>
  <c r="CB65" i="38"/>
  <c r="CQ79" i="25"/>
  <c r="T24" i="36"/>
  <c r="AZ98" i="25"/>
  <c r="AH60" i="38"/>
  <c r="BO26" i="38"/>
  <c r="CA27" i="36"/>
  <c r="AE49" i="36"/>
  <c r="CJ49" i="25"/>
  <c r="G79" i="36"/>
  <c r="N61" i="41"/>
  <c r="AO71" i="37"/>
  <c r="BP27" i="25"/>
  <c r="AG13" i="41"/>
  <c r="Y29" i="37"/>
  <c r="CQ12" i="25"/>
  <c r="CH50" i="36"/>
  <c r="BR59" i="36"/>
  <c r="BH9" i="40"/>
  <c r="AJ65" i="41"/>
  <c r="W60" i="1"/>
  <c r="BT65" i="26"/>
  <c r="AD65" i="38"/>
  <c r="BV81" i="41"/>
  <c r="AH30" i="36"/>
  <c r="AG37" i="26"/>
  <c r="CA57" i="26"/>
  <c r="AP65" i="39"/>
  <c r="CZ103" i="36"/>
  <c r="M91" i="26"/>
  <c r="G96" i="40"/>
  <c r="CK79" i="26"/>
  <c r="BI21" i="38"/>
  <c r="AT50" i="40"/>
  <c r="Z57" i="40"/>
  <c r="AA48" i="41"/>
  <c r="M17" i="1"/>
  <c r="CP26" i="36"/>
  <c r="AR30" i="40"/>
  <c r="CE24" i="38"/>
  <c r="AW62" i="1"/>
  <c r="BX45" i="40"/>
  <c r="CL30" i="26"/>
  <c r="CD29" i="26"/>
  <c r="AS102" i="40"/>
  <c r="CO34" i="25"/>
  <c r="AF21" i="41"/>
  <c r="AQ48" i="38"/>
  <c r="AU9" i="1"/>
  <c r="W67" i="40"/>
  <c r="DD49" i="39"/>
  <c r="BW67" i="36"/>
  <c r="CR89" i="36"/>
  <c r="BW34" i="26"/>
  <c r="CG29" i="40"/>
  <c r="AU21" i="36"/>
  <c r="X12" i="26"/>
  <c r="CA62" i="38"/>
  <c r="J89" i="38"/>
  <c r="AX65" i="26"/>
  <c r="BH62" i="37"/>
  <c r="CP50" i="25"/>
  <c r="BY12" i="25"/>
  <c r="CC50" i="38"/>
  <c r="BD125" i="47"/>
  <c r="AD71" i="40"/>
  <c r="BF312" i="47"/>
  <c r="DC54" i="41"/>
  <c r="BA98" i="37"/>
  <c r="CH91" i="39"/>
  <c r="CV24" i="40"/>
  <c r="BS10" i="1"/>
  <c r="BD71" i="25"/>
  <c r="CX89" i="40"/>
  <c r="AQ58" i="25"/>
  <c r="M83" i="60"/>
  <c r="BB25" i="39"/>
  <c r="L17" i="37"/>
  <c r="AV25" i="38"/>
  <c r="W59" i="41"/>
  <c r="CP75" i="25"/>
  <c r="AG50" i="37"/>
  <c r="CI102" i="1"/>
  <c r="AZ53" i="36"/>
  <c r="BS17" i="26"/>
  <c r="CV34" i="40"/>
  <c r="BB61" i="36"/>
  <c r="DD24" i="38"/>
  <c r="AP102" i="40"/>
  <c r="CW49" i="1"/>
  <c r="AB29" i="38"/>
  <c r="CX50" i="1"/>
  <c r="CE60" i="26"/>
  <c r="CD37" i="39"/>
  <c r="G13" i="39"/>
  <c r="BD60" i="39"/>
  <c r="CU25" i="26"/>
  <c r="AE34" i="38"/>
  <c r="BZ62" i="1"/>
  <c r="AS48" i="36"/>
  <c r="CX57" i="41"/>
  <c r="CV48" i="40"/>
  <c r="CR103" i="40"/>
  <c r="AI49" i="40"/>
  <c r="AU49" i="40"/>
  <c r="CE18" i="26"/>
  <c r="V26" i="39"/>
  <c r="K59" i="37"/>
  <c r="BZ89" i="25"/>
  <c r="AE29" i="36"/>
  <c r="BE21" i="26"/>
  <c r="AN89" i="37"/>
  <c r="N58" i="38"/>
  <c r="N37" i="46"/>
  <c r="AU45" i="38"/>
  <c r="BZ59" i="40"/>
  <c r="I60" i="26"/>
  <c r="BD24" i="41"/>
  <c r="CX91" i="40"/>
  <c r="BB27" i="38"/>
  <c r="G61" i="36"/>
  <c r="AU67" i="40"/>
  <c r="BB316" i="47"/>
  <c r="CE62" i="36"/>
  <c r="O34" i="25"/>
  <c r="I67" i="41"/>
  <c r="W29" i="1"/>
  <c r="AV91" i="41"/>
  <c r="AT81" i="40"/>
  <c r="M13" i="64"/>
  <c r="BC34" i="38"/>
  <c r="CC65" i="41"/>
  <c r="CU98" i="25"/>
  <c r="BW98" i="37"/>
  <c r="CS92" i="38"/>
  <c r="CP103" i="1"/>
  <c r="O48" i="59"/>
  <c r="CH34" i="40"/>
  <c r="AE54" i="37"/>
  <c r="AC92" i="36"/>
  <c r="DE89" i="25"/>
  <c r="X37" i="26"/>
  <c r="AX91" i="25"/>
  <c r="DC67" i="40"/>
  <c r="BO60" i="26"/>
  <c r="BV92" i="37"/>
  <c r="DD34" i="39"/>
  <c r="G91" i="1"/>
  <c r="Y29" i="1"/>
  <c r="CI60" i="38"/>
  <c r="CU92" i="26"/>
  <c r="AP34" i="38"/>
  <c r="CW79" i="37"/>
  <c r="P71" i="39"/>
  <c r="AY58" i="36"/>
  <c r="J9" i="39"/>
  <c r="AO24" i="37"/>
  <c r="AI60" i="39"/>
  <c r="O10" i="41"/>
  <c r="CF92" i="1"/>
  <c r="CP12" i="1"/>
  <c r="U75" i="39"/>
  <c r="CR59" i="41"/>
  <c r="BB13" i="39"/>
  <c r="AX34" i="37"/>
  <c r="BU24" i="1"/>
  <c r="BP10" i="40"/>
  <c r="AV66" i="40"/>
  <c r="BC66" i="1"/>
  <c r="V26" i="41"/>
  <c r="CD21" i="41"/>
  <c r="AW75" i="38"/>
  <c r="K49" i="26"/>
  <c r="BR27" i="41"/>
  <c r="AT34" i="38"/>
  <c r="BH18" i="37"/>
  <c r="BW89" i="1"/>
  <c r="CF58" i="38"/>
  <c r="DC18" i="36"/>
  <c r="U21" i="38"/>
  <c r="BV67" i="40"/>
  <c r="CB18" i="41"/>
  <c r="CH48" i="37"/>
  <c r="AH48" i="39"/>
  <c r="V71" i="37"/>
  <c r="CW45" i="40"/>
  <c r="N67" i="25"/>
  <c r="CJ48" i="26"/>
  <c r="BI54" i="25"/>
  <c r="CU27" i="1"/>
  <c r="AZ26" i="1"/>
  <c r="M58" i="38"/>
  <c r="CL103" i="40"/>
  <c r="BB13" i="25"/>
  <c r="CV37" i="38"/>
  <c r="CZ75" i="1"/>
  <c r="DD65" i="39"/>
  <c r="K45" i="26"/>
  <c r="AX57" i="39"/>
  <c r="CZ92" i="41"/>
  <c r="CK48" i="26"/>
  <c r="AM57" i="25"/>
  <c r="CY89" i="26"/>
  <c r="Z58" i="25"/>
  <c r="AD24" i="39"/>
  <c r="DB24" i="41"/>
  <c r="CX79" i="37"/>
  <c r="AA17" i="40"/>
  <c r="X75" i="38"/>
  <c r="CB58" i="1"/>
  <c r="DF10" i="37"/>
  <c r="BU48" i="1"/>
  <c r="BP54" i="1"/>
  <c r="M13" i="41"/>
  <c r="DB48" i="25"/>
  <c r="I57" i="36"/>
  <c r="BD60" i="38"/>
  <c r="BP21" i="41"/>
  <c r="N58" i="1"/>
  <c r="BU59" i="26"/>
  <c r="AB98" i="40"/>
  <c r="K59" i="39"/>
  <c r="AY17" i="26"/>
  <c r="CP91" i="26"/>
  <c r="CQ49" i="36"/>
  <c r="AE37" i="1"/>
  <c r="BB48" i="26"/>
  <c r="CO27" i="40"/>
  <c r="CC89" i="38"/>
  <c r="BQ10" i="40"/>
  <c r="CC50" i="25"/>
  <c r="AD75" i="1"/>
  <c r="CR96" i="37"/>
  <c r="U12" i="36"/>
  <c r="AJ29" i="36"/>
  <c r="BV24" i="37"/>
  <c r="BH25" i="36"/>
  <c r="AA29" i="39"/>
  <c r="L26" i="38"/>
  <c r="AQ96" i="40"/>
  <c r="CP53" i="25"/>
  <c r="AU81" i="36"/>
  <c r="BW10" i="36"/>
  <c r="L91" i="26"/>
  <c r="CJ10" i="1"/>
  <c r="CU34" i="36"/>
  <c r="CS66" i="38"/>
  <c r="DC62" i="38"/>
  <c r="AW102" i="37"/>
  <c r="DE12" i="38"/>
  <c r="CL9" i="26"/>
  <c r="I45" i="25"/>
  <c r="CI13" i="41"/>
  <c r="CT103" i="37"/>
  <c r="AW37" i="25"/>
  <c r="CA12" i="41"/>
  <c r="BB21" i="38"/>
  <c r="BB126" i="47"/>
  <c r="CL65" i="25"/>
  <c r="BS98" i="26"/>
  <c r="CD9" i="1"/>
  <c r="BB25" i="25"/>
  <c r="AI21" i="1"/>
  <c r="CL75" i="25"/>
  <c r="CV59" i="26"/>
  <c r="Z54" i="1"/>
  <c r="CU25" i="36"/>
  <c r="CI29" i="26"/>
  <c r="BS92" i="38"/>
  <c r="BB96" i="37"/>
  <c r="K59" i="1"/>
  <c r="CK29" i="36"/>
  <c r="J79" i="25"/>
  <c r="G79" i="37"/>
  <c r="BA37" i="36"/>
  <c r="N29" i="1"/>
  <c r="CM24" i="39"/>
  <c r="CR102" i="37"/>
  <c r="AO49" i="26"/>
  <c r="Z91" i="1"/>
  <c r="BA75" i="38"/>
  <c r="CI62" i="36"/>
  <c r="BD102" i="38"/>
  <c r="CL71" i="37"/>
  <c r="AO13" i="37"/>
  <c r="BV30" i="40"/>
  <c r="BC81" i="1"/>
  <c r="AB65" i="36"/>
  <c r="BZ65" i="37"/>
  <c r="Z91" i="40"/>
  <c r="U71" i="37"/>
  <c r="AB27" i="41"/>
  <c r="BH18" i="41"/>
  <c r="H50" i="1"/>
  <c r="DF96" i="41"/>
  <c r="O18" i="38"/>
  <c r="AU58" i="41"/>
  <c r="AR48" i="40"/>
  <c r="AP50" i="40"/>
  <c r="M37" i="41"/>
  <c r="AN30" i="37"/>
  <c r="AA62" i="36"/>
  <c r="AF67" i="40"/>
  <c r="AG10" i="39"/>
  <c r="Z27" i="36"/>
  <c r="N75" i="36"/>
  <c r="AO18" i="1"/>
  <c r="CT67" i="41"/>
  <c r="Y27" i="37"/>
  <c r="CZ54" i="41"/>
  <c r="CN75" i="38"/>
  <c r="CH60" i="40"/>
  <c r="DB18" i="37"/>
  <c r="AZ65" i="36"/>
  <c r="BX98" i="26"/>
  <c r="CZ103" i="37"/>
  <c r="BT50" i="38"/>
  <c r="AJ75" i="25"/>
  <c r="BA130" i="47"/>
  <c r="AH57" i="37"/>
  <c r="AJ81" i="37"/>
  <c r="CO24" i="41"/>
  <c r="AJ96" i="38"/>
  <c r="BX13" i="40"/>
  <c r="AQ37" i="26"/>
  <c r="CE25" i="36"/>
  <c r="CH62" i="39"/>
  <c r="CH65" i="36"/>
  <c r="H92" i="38"/>
  <c r="DC91" i="37"/>
  <c r="CX9" i="38"/>
  <c r="DE60" i="1"/>
  <c r="M9" i="64"/>
  <c r="Z65" i="39"/>
  <c r="AJ48" i="1"/>
  <c r="CD54" i="41"/>
  <c r="V79" i="40"/>
  <c r="BD18" i="38"/>
  <c r="AY102" i="1"/>
  <c r="BQ12" i="37"/>
  <c r="AA98" i="26"/>
  <c r="J16" i="60"/>
  <c r="O75" i="26"/>
  <c r="BA91" i="1"/>
  <c r="BU57" i="25"/>
  <c r="CV30" i="39"/>
  <c r="CX30" i="25"/>
  <c r="AR67" i="25"/>
  <c r="O61" i="38"/>
  <c r="AW58" i="25"/>
  <c r="CD65" i="39"/>
  <c r="CF65" i="39"/>
  <c r="BE71" i="40"/>
  <c r="CD58" i="26"/>
  <c r="P49" i="38"/>
  <c r="L57" i="38"/>
  <c r="P65" i="40"/>
  <c r="E73" i="64"/>
  <c r="DD34" i="37"/>
  <c r="W24" i="26"/>
  <c r="AA57" i="40"/>
  <c r="DC91" i="1"/>
  <c r="CE58" i="1"/>
  <c r="BA89" i="38"/>
  <c r="CU17" i="41"/>
  <c r="L9" i="40"/>
  <c r="Y10" i="40"/>
  <c r="DD98" i="37"/>
  <c r="BV102" i="38"/>
  <c r="CP91" i="1"/>
  <c r="CJ18" i="37"/>
  <c r="CQ91" i="37"/>
  <c r="AQ50" i="1"/>
  <c r="L91" i="1"/>
  <c r="L9" i="26"/>
  <c r="U37" i="40"/>
  <c r="CW54" i="40"/>
  <c r="BO98" i="40"/>
  <c r="BU66" i="41"/>
  <c r="CH30" i="37"/>
  <c r="BA89" i="39"/>
  <c r="CY61" i="26"/>
  <c r="BQ59" i="39"/>
  <c r="CG67" i="38"/>
  <c r="DC12" i="25"/>
  <c r="BW61" i="25"/>
  <c r="AD53" i="38"/>
  <c r="AS12" i="40"/>
  <c r="CI62" i="1"/>
  <c r="CN98" i="25"/>
  <c r="CW30" i="41"/>
  <c r="CX54" i="37"/>
  <c r="CZ103" i="39"/>
  <c r="AQ18" i="40"/>
  <c r="CW96" i="25"/>
  <c r="X26" i="40"/>
  <c r="T12" i="1"/>
  <c r="AW81" i="40"/>
  <c r="DC17" i="36"/>
  <c r="AO49" i="39"/>
  <c r="G71" i="1"/>
  <c r="AO71" i="26"/>
  <c r="CZ65" i="25"/>
  <c r="CJ58" i="25"/>
  <c r="AT18" i="38"/>
  <c r="CV71" i="26"/>
  <c r="V37" i="41"/>
  <c r="BA10" i="39"/>
  <c r="AJ79" i="39"/>
  <c r="AG26" i="25"/>
  <c r="CD50" i="37"/>
  <c r="DF45" i="41"/>
  <c r="K74" i="60"/>
  <c r="AA79" i="25"/>
  <c r="BD37" i="37"/>
  <c r="BR60" i="1"/>
  <c r="BP89" i="38"/>
  <c r="BU89" i="26"/>
  <c r="CY79" i="25"/>
  <c r="BX57" i="40"/>
  <c r="O13" i="39"/>
  <c r="CV103" i="40"/>
  <c r="I71" i="38"/>
  <c r="AT10" i="37"/>
  <c r="BX65" i="26"/>
  <c r="BH89" i="38"/>
  <c r="BD13" i="37"/>
  <c r="AV50" i="37"/>
  <c r="AI62" i="37"/>
  <c r="BE10" i="39"/>
  <c r="AE25" i="36"/>
  <c r="DD25" i="25"/>
  <c r="AE79" i="26"/>
  <c r="I56" i="60"/>
  <c r="CY37" i="26"/>
  <c r="N71" i="25"/>
  <c r="CE17" i="36"/>
  <c r="CF50" i="37"/>
  <c r="I66" i="37"/>
  <c r="BO12" i="1"/>
  <c r="CW12" i="37"/>
  <c r="S62" i="37"/>
  <c r="AO12" i="39"/>
  <c r="BY67" i="40"/>
  <c r="N24" i="40"/>
  <c r="DE60" i="38"/>
  <c r="BW18" i="38"/>
  <c r="CQ49" i="1"/>
  <c r="DF48" i="26"/>
  <c r="CM10" i="1"/>
  <c r="AD24" i="1"/>
  <c r="AB18" i="39"/>
  <c r="G9" i="64"/>
  <c r="BZ49" i="39"/>
  <c r="BE54" i="39"/>
  <c r="BT37" i="40"/>
  <c r="BY50" i="41"/>
  <c r="I20" i="50"/>
  <c r="CY21" i="41"/>
  <c r="BV89" i="40"/>
  <c r="DC58" i="1"/>
  <c r="J59" i="37"/>
  <c r="BE17" i="1"/>
  <c r="AA75" i="37"/>
  <c r="DA53" i="38"/>
  <c r="DC59" i="38"/>
  <c r="CB49" i="36"/>
  <c r="BW34" i="41"/>
  <c r="G48" i="1"/>
  <c r="BS71" i="26"/>
  <c r="CU48" i="39"/>
  <c r="AP96" i="41"/>
  <c r="CT17" i="1"/>
  <c r="AB96" i="39"/>
  <c r="CR10" i="39"/>
  <c r="AO91" i="37"/>
  <c r="AM24" i="39"/>
  <c r="AN65" i="41"/>
  <c r="AN9" i="40"/>
  <c r="CQ45" i="40"/>
  <c r="CX103" i="25"/>
  <c r="DE37" i="36"/>
  <c r="CU96" i="36"/>
  <c r="CA30" i="38"/>
  <c r="CZ18" i="25"/>
  <c r="DA81" i="38"/>
  <c r="G50" i="36"/>
  <c r="CV45" i="26"/>
  <c r="BT37" i="1"/>
  <c r="CW61" i="41"/>
  <c r="BD37" i="40"/>
  <c r="AJ12" i="25"/>
  <c r="Y30" i="26"/>
  <c r="CG53" i="36"/>
  <c r="G98" i="26"/>
  <c r="AP24" i="37"/>
  <c r="CN59" i="37"/>
  <c r="CP67" i="38"/>
  <c r="L37" i="26"/>
  <c r="DF102" i="37"/>
  <c r="CN59" i="36"/>
  <c r="AW29" i="38"/>
  <c r="AO27" i="39"/>
  <c r="AD81" i="39"/>
  <c r="W48" i="25"/>
  <c r="M58" i="26"/>
  <c r="CL92" i="37"/>
  <c r="CF50" i="26"/>
  <c r="O26" i="26"/>
  <c r="AB54" i="36"/>
  <c r="DB67" i="40"/>
  <c r="AF54" i="25"/>
  <c r="L48" i="39"/>
  <c r="Y67" i="1"/>
  <c r="BW102" i="38"/>
  <c r="CB17" i="1"/>
  <c r="BV48" i="25"/>
  <c r="CV60" i="38"/>
  <c r="AW60" i="41"/>
  <c r="I12" i="60"/>
  <c r="AB17" i="36"/>
  <c r="P91" i="1"/>
  <c r="N57" i="38"/>
  <c r="M29" i="25"/>
  <c r="G89" i="40"/>
  <c r="DE75" i="37"/>
  <c r="BA29" i="38"/>
  <c r="DA18" i="39"/>
  <c r="W50" i="1"/>
  <c r="BS66" i="40"/>
  <c r="CX50" i="39"/>
  <c r="T62" i="37"/>
  <c r="AD66" i="40"/>
  <c r="AS17" i="1"/>
  <c r="AM91" i="40"/>
  <c r="N50" i="1"/>
  <c r="CZ61" i="39"/>
  <c r="CZ13" i="36"/>
  <c r="BW75" i="36"/>
  <c r="BQ12" i="38"/>
  <c r="P21" i="39"/>
  <c r="CF98" i="40"/>
  <c r="BR30" i="1"/>
  <c r="AG12" i="37"/>
  <c r="H66" i="37"/>
  <c r="BU62" i="37"/>
  <c r="CZ79" i="40"/>
  <c r="AP45" i="1"/>
  <c r="K102" i="26"/>
  <c r="CS13" i="36"/>
  <c r="W37" i="38"/>
  <c r="AS49" i="36"/>
  <c r="CG75" i="39"/>
  <c r="Y21" i="36"/>
  <c r="L48" i="25"/>
  <c r="AS21" i="38"/>
  <c r="V92" i="39"/>
  <c r="CS53" i="38"/>
  <c r="BE25" i="36"/>
  <c r="AA12" i="1"/>
  <c r="DA25" i="39"/>
  <c r="BV62" i="36"/>
  <c r="CO103" i="25"/>
  <c r="AE92" i="38"/>
  <c r="Y25" i="25"/>
  <c r="BC25" i="39"/>
  <c r="X30" i="39"/>
  <c r="BZ62" i="41"/>
  <c r="AY81" i="39"/>
  <c r="AH13" i="26"/>
  <c r="CD27" i="41"/>
  <c r="BC13" i="38"/>
  <c r="AI57" i="40"/>
  <c r="G71" i="37"/>
  <c r="Z60" i="41"/>
  <c r="U12" i="37"/>
  <c r="AZ49" i="37"/>
  <c r="AN18" i="25"/>
  <c r="S102" i="39"/>
  <c r="CU34" i="1"/>
  <c r="AO92" i="40"/>
  <c r="AN61" i="36"/>
  <c r="CK10" i="39"/>
  <c r="CY50" i="26"/>
  <c r="BU62" i="36"/>
  <c r="K75" i="25"/>
  <c r="CQ60" i="37"/>
  <c r="Z45" i="1"/>
  <c r="K25" i="37"/>
  <c r="CI54" i="39"/>
  <c r="CV54" i="39"/>
  <c r="AW81" i="38"/>
  <c r="CJ79" i="36"/>
  <c r="V21" i="38"/>
  <c r="CQ45" i="37"/>
  <c r="DB45" i="41"/>
  <c r="CC18" i="41"/>
  <c r="DF57" i="36"/>
  <c r="CO24" i="40"/>
  <c r="CK92" i="26"/>
  <c r="AV26" i="25"/>
  <c r="BO49" i="38"/>
  <c r="BD59" i="40"/>
  <c r="AA12" i="25"/>
  <c r="I91" i="26"/>
  <c r="CL98" i="40"/>
  <c r="DA102" i="36"/>
  <c r="O60" i="37"/>
  <c r="BA21" i="39"/>
  <c r="V60" i="1"/>
  <c r="CK13" i="41"/>
  <c r="AT12" i="40"/>
  <c r="AJ34" i="25"/>
  <c r="V62" i="25"/>
  <c r="BW98" i="1"/>
  <c r="Z13" i="38"/>
  <c r="DA45" i="38"/>
  <c r="N75" i="41"/>
  <c r="CU91" i="36"/>
  <c r="CK96" i="41"/>
  <c r="L9" i="39"/>
  <c r="AF9" i="25"/>
  <c r="AC29" i="26"/>
  <c r="J98" i="36"/>
  <c r="AP59" i="37"/>
  <c r="O66" i="36"/>
  <c r="DD30" i="39"/>
  <c r="T18" i="36"/>
  <c r="H27" i="37"/>
  <c r="CK30" i="1"/>
  <c r="CX49" i="39"/>
  <c r="BX102" i="36"/>
  <c r="CH98" i="40"/>
  <c r="L102" i="36"/>
  <c r="DF25" i="1"/>
  <c r="CS49" i="40"/>
  <c r="CD12" i="36"/>
  <c r="L10" i="37"/>
  <c r="AF60" i="25"/>
  <c r="AS62" i="1"/>
  <c r="AC50" i="38"/>
  <c r="J98" i="26"/>
  <c r="K67" i="39"/>
  <c r="CA26" i="38"/>
  <c r="AT45" i="38"/>
  <c r="V79" i="39"/>
  <c r="BY21" i="41"/>
  <c r="CI37" i="38"/>
  <c r="AP91" i="26"/>
  <c r="CT67" i="38"/>
  <c r="BB18" i="40"/>
  <c r="CN66" i="39"/>
  <c r="CS12" i="38"/>
  <c r="CD26" i="37"/>
  <c r="BT10" i="41"/>
  <c r="AS25" i="38"/>
  <c r="AH21" i="37"/>
  <c r="AH30" i="40"/>
  <c r="BS71" i="1"/>
  <c r="AJ26" i="38"/>
  <c r="AB60" i="25"/>
  <c r="AQ27" i="41"/>
  <c r="BA61" i="40"/>
  <c r="BX81" i="1"/>
  <c r="S12" i="41"/>
  <c r="DC96" i="36"/>
  <c r="DB9" i="36"/>
  <c r="CN10" i="26"/>
  <c r="N13" i="40"/>
  <c r="AI79" i="39"/>
  <c r="Z17" i="37"/>
  <c r="CZ81" i="40"/>
  <c r="AC37" i="1"/>
  <c r="DA66" i="39"/>
  <c r="M91" i="1"/>
  <c r="AZ45" i="25"/>
  <c r="V17" i="38"/>
  <c r="BY79" i="25"/>
  <c r="CJ34" i="40"/>
  <c r="N79" i="38"/>
  <c r="CZ67" i="39"/>
  <c r="CV71" i="40"/>
  <c r="I50" i="41"/>
  <c r="AQ34" i="38"/>
  <c r="AH54" i="39"/>
  <c r="AV10" i="40"/>
  <c r="DD58" i="1"/>
  <c r="CI75" i="39"/>
  <c r="CM24" i="25"/>
  <c r="CH13" i="25"/>
  <c r="T59" i="39"/>
  <c r="BA29" i="26"/>
  <c r="X75" i="36"/>
  <c r="BU58" i="36"/>
  <c r="CY92" i="39"/>
  <c r="CW13" i="40"/>
  <c r="BU58" i="40"/>
  <c r="AF53" i="1"/>
  <c r="CO60" i="26"/>
  <c r="AJ59" i="1"/>
  <c r="CV26" i="25"/>
  <c r="CG49" i="38"/>
  <c r="BI50" i="25"/>
  <c r="DA48" i="26"/>
  <c r="AD49" i="40"/>
  <c r="CY26" i="37"/>
  <c r="Y9" i="26"/>
  <c r="BA66" i="26"/>
  <c r="CS91" i="26"/>
  <c r="CC54" i="1"/>
  <c r="J60" i="59"/>
  <c r="AI71" i="36"/>
  <c r="AA26" i="38"/>
  <c r="S81" i="39"/>
  <c r="CS9" i="26"/>
  <c r="CK98" i="26"/>
  <c r="BR24" i="26"/>
  <c r="CV81" i="37"/>
  <c r="CF21" i="40"/>
  <c r="CA13" i="36"/>
  <c r="CL75" i="39"/>
  <c r="CN54" i="36"/>
  <c r="CH67" i="38"/>
  <c r="DC59" i="40"/>
  <c r="CV96" i="41"/>
  <c r="Y60" i="26"/>
  <c r="CI91" i="1"/>
  <c r="BS50" i="1"/>
  <c r="AM81" i="37"/>
  <c r="O17" i="40"/>
  <c r="X29" i="26"/>
  <c r="BU58" i="1"/>
  <c r="P45" i="36"/>
  <c r="AV54" i="26"/>
  <c r="BY25" i="37"/>
  <c r="AN9" i="41"/>
  <c r="AW24" i="39"/>
  <c r="BI37" i="38"/>
  <c r="CI21" i="36"/>
  <c r="P7" i="59"/>
  <c r="DF62" i="25"/>
  <c r="CX98" i="41"/>
  <c r="CN17" i="36"/>
  <c r="AS37" i="39"/>
  <c r="AI96" i="40"/>
  <c r="AF50" i="1"/>
  <c r="AQ91" i="25"/>
  <c r="CD67" i="41"/>
  <c r="BV96" i="38"/>
  <c r="AW54" i="26"/>
  <c r="CE81" i="36"/>
  <c r="CA34" i="26"/>
  <c r="CK53" i="25"/>
  <c r="AN34" i="38"/>
  <c r="I62" i="41"/>
  <c r="CT26" i="39"/>
  <c r="AU37" i="37"/>
  <c r="CH10" i="1"/>
  <c r="BS37" i="40"/>
  <c r="DD66" i="26"/>
  <c r="AM81" i="25"/>
  <c r="K62" i="39"/>
  <c r="DE91" i="39"/>
  <c r="DA59" i="1"/>
  <c r="BA79" i="25"/>
  <c r="AD65" i="40"/>
  <c r="AO57" i="1"/>
  <c r="AB25" i="40"/>
  <c r="H60" i="1"/>
  <c r="Z9" i="41"/>
  <c r="F73" i="64"/>
  <c r="AU45" i="1"/>
  <c r="V50" i="41"/>
  <c r="AQ62" i="41"/>
  <c r="CF60" i="38"/>
  <c r="DF103" i="41"/>
  <c r="CN66" i="26"/>
  <c r="I58" i="25"/>
  <c r="CZ9" i="36"/>
  <c r="BE26" i="38"/>
  <c r="CJ27" i="36"/>
  <c r="AZ27" i="38"/>
  <c r="DE9" i="1"/>
  <c r="X53" i="26"/>
  <c r="S102" i="25"/>
  <c r="AC30" i="25"/>
  <c r="AT10" i="36"/>
  <c r="BT103" i="40"/>
  <c r="Y25" i="36"/>
  <c r="CQ12" i="1"/>
  <c r="V45" i="1"/>
  <c r="DE58" i="39"/>
  <c r="AR30" i="26"/>
  <c r="AF53" i="40"/>
  <c r="AX58" i="26"/>
  <c r="N29" i="26"/>
  <c r="CW18" i="41"/>
  <c r="BX10" i="41"/>
  <c r="AH98" i="39"/>
  <c r="CZ61" i="36"/>
  <c r="DF9" i="38"/>
  <c r="CR13" i="26"/>
  <c r="CT10" i="1"/>
  <c r="CV17" i="38"/>
  <c r="BV54" i="40"/>
  <c r="O67" i="1"/>
  <c r="AF71" i="41"/>
  <c r="BY60" i="39"/>
  <c r="CR10" i="38"/>
  <c r="CY25" i="25"/>
  <c r="BH34" i="26"/>
  <c r="AO81" i="37"/>
  <c r="H81" i="40"/>
  <c r="CU71" i="40"/>
  <c r="AG91" i="40"/>
  <c r="P48" i="39"/>
  <c r="BY10" i="25"/>
  <c r="CZ10" i="36"/>
  <c r="CD25" i="25"/>
  <c r="AS37" i="37"/>
  <c r="CR53" i="37"/>
  <c r="BU34" i="26"/>
  <c r="AF57" i="26"/>
  <c r="CL27" i="25"/>
  <c r="CU71" i="41"/>
  <c r="CX18" i="26"/>
  <c r="AB26" i="25"/>
  <c r="CD71" i="39"/>
  <c r="DC65" i="36"/>
  <c r="U50" i="38"/>
  <c r="BD57" i="36"/>
  <c r="H79" i="37"/>
  <c r="CW29" i="38"/>
  <c r="AV25" i="39"/>
  <c r="CX37" i="41"/>
  <c r="AY37" i="26"/>
  <c r="O102" i="25"/>
  <c r="BD12" i="39"/>
  <c r="AC66" i="26"/>
  <c r="AP59" i="36"/>
  <c r="L25" i="1"/>
  <c r="BA121" i="47"/>
  <c r="CC24" i="39"/>
  <c r="BB71" i="37"/>
  <c r="BI45" i="36"/>
  <c r="CA48" i="25"/>
  <c r="G92" i="25"/>
  <c r="AG59" i="1"/>
  <c r="O13" i="40"/>
  <c r="CF37" i="37"/>
  <c r="BE65" i="37"/>
  <c r="AI67" i="26"/>
  <c r="DC21" i="36"/>
  <c r="CV54" i="41"/>
  <c r="BH30" i="38"/>
  <c r="M73" i="60"/>
  <c r="T48" i="40"/>
  <c r="CO79" i="1"/>
  <c r="X62" i="26"/>
  <c r="AG12" i="25"/>
  <c r="CH96" i="37"/>
  <c r="CJ59" i="25"/>
  <c r="AU37" i="38"/>
  <c r="CR45" i="1"/>
  <c r="DD54" i="36"/>
  <c r="CB45" i="37"/>
  <c r="U10" i="40"/>
  <c r="AX66" i="25"/>
  <c r="AB89" i="26"/>
  <c r="BT26" i="1"/>
  <c r="CL12" i="1"/>
  <c r="AC71" i="26"/>
  <c r="DF67" i="39"/>
  <c r="O66" i="26"/>
  <c r="AS53" i="36"/>
  <c r="BH37" i="26"/>
  <c r="CM24" i="26"/>
  <c r="CO96" i="39"/>
  <c r="BY57" i="39"/>
  <c r="AS81" i="38"/>
  <c r="AW81" i="36"/>
  <c r="BE75" i="25"/>
  <c r="AA50" i="36"/>
  <c r="CZ58" i="38"/>
  <c r="CZ34" i="39"/>
  <c r="BQ102" i="1"/>
  <c r="CM34" i="39"/>
  <c r="G75" i="39"/>
  <c r="AG21" i="41"/>
  <c r="CD13" i="36"/>
  <c r="CB96" i="39"/>
  <c r="L81" i="38"/>
  <c r="AX71" i="1"/>
  <c r="DA24" i="40"/>
  <c r="M49" i="36"/>
  <c r="L34" i="40"/>
  <c r="CT89" i="25"/>
  <c r="J96" i="26"/>
  <c r="BI29" i="39"/>
  <c r="CN48" i="25"/>
  <c r="BR45" i="41"/>
  <c r="BP17" i="37"/>
  <c r="CE25" i="39"/>
  <c r="AW34" i="1"/>
  <c r="AJ58" i="25"/>
  <c r="CG79" i="26"/>
  <c r="CF30" i="38"/>
  <c r="DD53" i="37"/>
  <c r="DA54" i="26"/>
  <c r="CK21" i="41"/>
  <c r="BS27" i="39"/>
  <c r="CG18" i="40"/>
  <c r="CL26" i="26"/>
  <c r="N25" i="1"/>
  <c r="M61" i="1"/>
  <c r="CY89" i="41"/>
  <c r="AG34" i="39"/>
  <c r="BE29" i="25"/>
  <c r="AU102" i="37"/>
  <c r="CP13" i="41"/>
  <c r="J66" i="40"/>
  <c r="CZ67" i="36"/>
  <c r="CD71" i="26"/>
  <c r="F57" i="60"/>
  <c r="BB34" i="39"/>
  <c r="CL89" i="39"/>
  <c r="BT17" i="25"/>
  <c r="AT13" i="1"/>
  <c r="BA91" i="41"/>
  <c r="DD10" i="36"/>
  <c r="Y18" i="37"/>
  <c r="BW10" i="37"/>
  <c r="O9" i="1"/>
  <c r="CP48" i="36"/>
  <c r="P26" i="36"/>
  <c r="CI102" i="25"/>
  <c r="X10" i="26"/>
  <c r="BO61" i="39"/>
  <c r="BA27" i="26"/>
  <c r="AC65" i="36"/>
  <c r="BB49" i="41"/>
  <c r="BX10" i="26"/>
  <c r="BA92" i="40"/>
  <c r="AB92" i="38"/>
  <c r="CA96" i="25"/>
  <c r="AQ25" i="1"/>
  <c r="AE53" i="36"/>
  <c r="BX71" i="41"/>
  <c r="CS91" i="37"/>
  <c r="CJ21" i="25"/>
  <c r="W26" i="40"/>
  <c r="BX98" i="37"/>
  <c r="W18" i="40"/>
  <c r="CA45" i="36"/>
  <c r="AA71" i="1"/>
  <c r="L65" i="40"/>
  <c r="AI57" i="38"/>
  <c r="W37" i="36"/>
  <c r="K71" i="38"/>
  <c r="CJ103" i="36"/>
  <c r="I24" i="38"/>
  <c r="AH65" i="39"/>
  <c r="BI62" i="39"/>
  <c r="P75" i="39"/>
  <c r="DC26" i="41"/>
  <c r="BS66" i="26"/>
  <c r="DE67" i="1"/>
  <c r="BV18" i="38"/>
  <c r="X48" i="36"/>
  <c r="BS81" i="41"/>
  <c r="CL37" i="39"/>
  <c r="CH26" i="39"/>
  <c r="BQ18" i="1"/>
  <c r="BX103" i="37"/>
  <c r="AE54" i="38"/>
  <c r="AC34" i="41"/>
  <c r="DA9" i="37"/>
  <c r="CS67" i="40"/>
  <c r="AV71" i="40"/>
  <c r="BU75" i="36"/>
  <c r="AO91" i="36"/>
  <c r="CR10" i="37"/>
  <c r="CE26" i="40"/>
  <c r="CZ66" i="25"/>
  <c r="BW26" i="38"/>
  <c r="BE29" i="26"/>
  <c r="BE60" i="1"/>
  <c r="K34" i="39"/>
  <c r="DD12" i="39"/>
  <c r="BP96" i="37"/>
  <c r="AE24" i="26"/>
  <c r="AV71" i="36"/>
  <c r="CM91" i="41"/>
  <c r="CX30" i="36"/>
  <c r="CH49" i="41"/>
  <c r="CZ60" i="1"/>
  <c r="BT79" i="26"/>
  <c r="BA34" i="38"/>
  <c r="AH12" i="26"/>
  <c r="CI12" i="25"/>
  <c r="AR60" i="40"/>
  <c r="U53" i="26"/>
  <c r="AQ96" i="41"/>
  <c r="DE57" i="38"/>
  <c r="CW50" i="37"/>
  <c r="CP24" i="41"/>
  <c r="CF26" i="37"/>
  <c r="AF34" i="38"/>
  <c r="CX10" i="38"/>
  <c r="CQ50" i="26"/>
  <c r="BT92" i="1"/>
  <c r="AI29" i="36"/>
  <c r="AR49" i="41"/>
  <c r="AY315" i="47"/>
  <c r="BR92" i="41"/>
  <c r="DC92" i="25"/>
  <c r="BY10" i="39"/>
  <c r="K54" i="26"/>
  <c r="CZ59" i="39"/>
  <c r="CA21" i="25"/>
  <c r="S50" i="38"/>
  <c r="DC89" i="40"/>
  <c r="AD59" i="26"/>
  <c r="BR91" i="1"/>
  <c r="BE75" i="1"/>
  <c r="U57" i="1"/>
  <c r="BD45" i="39"/>
  <c r="W10" i="39"/>
  <c r="BS81" i="40"/>
  <c r="AX13" i="37"/>
  <c r="BC17" i="36"/>
  <c r="CO60" i="40"/>
  <c r="P54" i="39"/>
  <c r="CY66" i="38"/>
  <c r="AM57" i="1"/>
  <c r="E17" i="64"/>
  <c r="AZ27" i="26"/>
  <c r="AQ57" i="37"/>
  <c r="S89" i="37"/>
  <c r="BB59" i="1"/>
  <c r="K60" i="40"/>
  <c r="BC29" i="41"/>
  <c r="AD57" i="1"/>
  <c r="AF58" i="1"/>
  <c r="BB45" i="1"/>
  <c r="AD13" i="41"/>
  <c r="AN98" i="26"/>
  <c r="BB62" i="25"/>
  <c r="CL27" i="39"/>
  <c r="BP27" i="38"/>
  <c r="AC24" i="25"/>
  <c r="AI58" i="1"/>
  <c r="CF61" i="26"/>
  <c r="CK62" i="36"/>
  <c r="CF71" i="1"/>
  <c r="BX13" i="36"/>
  <c r="AX48" i="39"/>
  <c r="BZ61" i="39"/>
  <c r="AW92" i="26"/>
  <c r="CV17" i="36"/>
  <c r="S48" i="40"/>
  <c r="CE79" i="1"/>
  <c r="AW48" i="39"/>
  <c r="CW17" i="37"/>
  <c r="CI53" i="38"/>
  <c r="CS103" i="40"/>
  <c r="CE45" i="1"/>
  <c r="BC71" i="40"/>
  <c r="AG10" i="25"/>
  <c r="CF89" i="41"/>
  <c r="AH89" i="1"/>
  <c r="BR29" i="26"/>
  <c r="BT53" i="40"/>
  <c r="AQ79" i="36"/>
  <c r="BS18" i="26"/>
  <c r="CW34" i="40"/>
  <c r="BQ34" i="39"/>
  <c r="Z67" i="38"/>
  <c r="CG91" i="39"/>
  <c r="DA92" i="39"/>
  <c r="CD30" i="1"/>
  <c r="AJ102" i="26"/>
  <c r="DA89" i="1"/>
  <c r="BU24" i="37"/>
  <c r="AP26" i="1"/>
  <c r="BY96" i="41"/>
  <c r="DB102" i="40"/>
  <c r="Y58" i="39"/>
  <c r="AR18" i="25"/>
  <c r="G26" i="40"/>
  <c r="CM58" i="25"/>
  <c r="BA308" i="47"/>
  <c r="BE24" i="38"/>
  <c r="AE75" i="25"/>
  <c r="L9" i="64"/>
  <c r="AD18" i="1"/>
  <c r="AD10" i="26"/>
  <c r="AH21" i="39"/>
  <c r="BE92" i="1"/>
  <c r="AJ25" i="26"/>
  <c r="BH60" i="37"/>
  <c r="CN12" i="40"/>
  <c r="CE75" i="37"/>
  <c r="O45" i="36"/>
  <c r="I34" i="41"/>
  <c r="AE17" i="38"/>
  <c r="AS81" i="41"/>
  <c r="CJ21" i="26"/>
  <c r="CN21" i="39"/>
  <c r="K48" i="39"/>
  <c r="DD91" i="41"/>
  <c r="AZ12" i="25"/>
  <c r="CG27" i="39"/>
  <c r="J26" i="36"/>
  <c r="DC25" i="38"/>
  <c r="V66" i="38"/>
  <c r="AY49" i="26"/>
  <c r="AU26" i="26"/>
  <c r="CL25" i="41"/>
  <c r="CI92" i="38"/>
  <c r="CO54" i="40"/>
  <c r="CV9" i="1"/>
  <c r="BZ91" i="1"/>
  <c r="CP62" i="40"/>
  <c r="Z29" i="41"/>
  <c r="CT25" i="25"/>
  <c r="AF24" i="1"/>
  <c r="CA89" i="1"/>
  <c r="G26" i="39"/>
  <c r="CC65" i="38"/>
  <c r="AM61" i="1"/>
  <c r="AM102" i="26"/>
  <c r="CD26" i="1"/>
  <c r="CA96" i="38"/>
  <c r="BR57" i="41"/>
  <c r="H36" i="46"/>
  <c r="CC49" i="41"/>
  <c r="BV30" i="26"/>
  <c r="AP75" i="38"/>
  <c r="BB66" i="41"/>
  <c r="AG92" i="25"/>
  <c r="I17" i="38"/>
  <c r="BD57" i="26"/>
  <c r="J13" i="1"/>
  <c r="Y75" i="1"/>
  <c r="CH67" i="37"/>
  <c r="CX65" i="26"/>
  <c r="DF18" i="26"/>
  <c r="V71" i="26"/>
  <c r="T89" i="1"/>
  <c r="I50" i="37"/>
  <c r="AP62" i="38"/>
  <c r="CA9" i="41"/>
  <c r="BR9" i="40"/>
  <c r="V58" i="25"/>
  <c r="CD10" i="1"/>
  <c r="J66" i="41"/>
  <c r="CJ10" i="38"/>
  <c r="P25" i="39"/>
  <c r="AX18" i="37"/>
  <c r="DF30" i="25"/>
  <c r="DB26" i="1"/>
  <c r="BF129" i="47"/>
  <c r="BV102" i="37"/>
  <c r="BX92" i="25"/>
  <c r="CG65" i="41"/>
  <c r="AM13" i="36"/>
  <c r="DE34" i="41"/>
  <c r="CB9" i="1"/>
  <c r="O66" i="25"/>
  <c r="AS61" i="40"/>
  <c r="CG67" i="1"/>
  <c r="CE81" i="41"/>
  <c r="CO89" i="38"/>
  <c r="J45" i="36"/>
  <c r="O98" i="36"/>
  <c r="AB91" i="26"/>
  <c r="BO75" i="1"/>
  <c r="BI18" i="38"/>
  <c r="AV34" i="36"/>
  <c r="CH18" i="41"/>
  <c r="BV65" i="1"/>
  <c r="AQ57" i="39"/>
  <c r="Y9" i="38"/>
  <c r="BU91" i="26"/>
  <c r="DA98" i="40"/>
  <c r="AR57" i="1"/>
  <c r="O59" i="37"/>
  <c r="O49" i="37"/>
  <c r="CH71" i="26"/>
  <c r="CF25" i="26"/>
  <c r="AW89" i="39"/>
  <c r="DB45" i="36"/>
  <c r="I25" i="39"/>
  <c r="CM65" i="26"/>
  <c r="BW9" i="26"/>
  <c r="AV13" i="37"/>
  <c r="AC34" i="38"/>
  <c r="AM25" i="38"/>
  <c r="CM12" i="41"/>
  <c r="DB59" i="39"/>
  <c r="CQ92" i="38"/>
  <c r="L12" i="60"/>
  <c r="CH50" i="37"/>
  <c r="AI29" i="26"/>
  <c r="BS25" i="36"/>
  <c r="AN9" i="39"/>
  <c r="W75" i="39"/>
  <c r="CM89" i="36"/>
  <c r="V67" i="36"/>
  <c r="J21" i="37"/>
  <c r="W26" i="36"/>
  <c r="H50" i="40"/>
  <c r="CI81" i="25"/>
  <c r="CT54" i="36"/>
  <c r="CF61" i="39"/>
  <c r="AW92" i="39"/>
  <c r="CS13" i="1"/>
  <c r="CL96" i="41"/>
  <c r="AJ30" i="40"/>
  <c r="CV37" i="1"/>
  <c r="CN59" i="1"/>
  <c r="AV18" i="41"/>
  <c r="BQ34" i="26"/>
  <c r="CA67" i="25"/>
  <c r="T29" i="25"/>
  <c r="J54" i="36"/>
  <c r="AT25" i="25"/>
  <c r="DA60" i="41"/>
  <c r="DD71" i="36"/>
  <c r="AS96" i="37"/>
  <c r="AG25" i="41"/>
  <c r="N53" i="59"/>
  <c r="AW29" i="25"/>
  <c r="BR50" i="1"/>
  <c r="CS10" i="36"/>
  <c r="N67" i="26"/>
  <c r="BX67" i="38"/>
  <c r="BY57" i="1"/>
  <c r="O12" i="37"/>
  <c r="BO21" i="40"/>
  <c r="AX50" i="1"/>
  <c r="CH92" i="26"/>
  <c r="CU62" i="25"/>
  <c r="BU98" i="41"/>
  <c r="CX53" i="38"/>
  <c r="P57" i="26"/>
  <c r="CT45" i="36"/>
  <c r="CD18" i="26"/>
  <c r="N50" i="38"/>
  <c r="AS9" i="39"/>
  <c r="CF54" i="1"/>
  <c r="BW92" i="26"/>
  <c r="CU103" i="38"/>
  <c r="BY49" i="39"/>
  <c r="N58" i="39"/>
  <c r="BO59" i="26"/>
  <c r="CN91" i="25"/>
  <c r="AO57" i="26"/>
  <c r="CS91" i="41"/>
  <c r="BX18" i="41"/>
  <c r="Z58" i="36"/>
  <c r="CB62" i="1"/>
  <c r="AT30" i="37"/>
  <c r="CW34" i="25"/>
  <c r="BH17" i="37"/>
  <c r="CB26" i="1"/>
  <c r="AM53" i="25"/>
  <c r="K49" i="40"/>
  <c r="BQ48" i="41"/>
  <c r="BE30" i="36"/>
  <c r="AR18" i="1"/>
  <c r="BX81" i="26"/>
  <c r="F14" i="60"/>
  <c r="AH13" i="36"/>
  <c r="BU9" i="25"/>
  <c r="J37" i="40"/>
  <c r="AJ17" i="37"/>
  <c r="CU61" i="39"/>
  <c r="BP13" i="26"/>
  <c r="G30" i="1"/>
  <c r="CK92" i="39"/>
  <c r="AX30" i="37"/>
  <c r="I12" i="41"/>
  <c r="CP59" i="39"/>
  <c r="CS79" i="1"/>
  <c r="I49" i="1"/>
  <c r="BC75" i="26"/>
  <c r="L37" i="25"/>
  <c r="M53" i="36"/>
  <c r="CE30" i="41"/>
  <c r="V91" i="36"/>
  <c r="U89" i="1"/>
  <c r="O11" i="59"/>
  <c r="DB30" i="38"/>
  <c r="J71" i="25"/>
  <c r="G98" i="38"/>
  <c r="AA37" i="36"/>
  <c r="BD58" i="36"/>
  <c r="P50" i="25"/>
  <c r="BE57" i="39"/>
  <c r="CE58" i="39"/>
  <c r="CJ61" i="1"/>
  <c r="BH21" i="39"/>
  <c r="AT50" i="41"/>
  <c r="N48" i="39"/>
  <c r="CB24" i="1"/>
  <c r="CT13" i="25"/>
  <c r="BW27" i="41"/>
  <c r="BX9" i="39"/>
  <c r="DB30" i="26"/>
  <c r="CQ61" i="39"/>
  <c r="AI24" i="25"/>
  <c r="BA25" i="25"/>
  <c r="O30" i="38"/>
  <c r="AS91" i="39"/>
  <c r="U60" i="37"/>
  <c r="AE91" i="39"/>
  <c r="CW59" i="1"/>
  <c r="AC102" i="25"/>
  <c r="X24" i="39"/>
  <c r="M65" i="25"/>
  <c r="CF60" i="25"/>
  <c r="Y71" i="36"/>
  <c r="DF65" i="36"/>
  <c r="CO29" i="37"/>
  <c r="CT45" i="26"/>
  <c r="CW62" i="41"/>
  <c r="CU17" i="1"/>
  <c r="BU98" i="26"/>
  <c r="CN54" i="37"/>
  <c r="CA102" i="37"/>
  <c r="CE65" i="37"/>
  <c r="BV9" i="1"/>
  <c r="AD48" i="38"/>
  <c r="BV48" i="37"/>
  <c r="J57" i="25"/>
  <c r="BT81" i="37"/>
  <c r="BV37" i="37"/>
  <c r="W48" i="38"/>
  <c r="BT26" i="40"/>
  <c r="CR62" i="26"/>
  <c r="CZ53" i="40"/>
  <c r="AB98" i="25"/>
  <c r="U65" i="38"/>
  <c r="CY9" i="37"/>
  <c r="AV21" i="1"/>
  <c r="DC30" i="39"/>
  <c r="DD71" i="1"/>
  <c r="BU91" i="38"/>
  <c r="X49" i="40"/>
  <c r="DF21" i="40"/>
  <c r="BX98" i="38"/>
  <c r="S25" i="25"/>
  <c r="CG91" i="25"/>
  <c r="BY60" i="41"/>
  <c r="AT89" i="39"/>
  <c r="CW45" i="38"/>
  <c r="CH24" i="26"/>
  <c r="CE48" i="36"/>
  <c r="AV57" i="36"/>
  <c r="AI17" i="25"/>
  <c r="BS91" i="41"/>
  <c r="AW12" i="37"/>
  <c r="BQ25" i="40"/>
  <c r="AF58" i="38"/>
  <c r="CS92" i="37"/>
  <c r="AS29" i="38"/>
  <c r="CF92" i="38"/>
  <c r="AX34" i="41"/>
  <c r="AI17" i="39"/>
  <c r="CC54" i="40"/>
  <c r="BO10" i="39"/>
  <c r="S13" i="37"/>
  <c r="CW21" i="38"/>
  <c r="DF50" i="1"/>
  <c r="AJ81" i="26"/>
  <c r="AW91" i="37"/>
  <c r="E44" i="60"/>
  <c r="AN21" i="25"/>
  <c r="AS45" i="1"/>
  <c r="BI89" i="38"/>
  <c r="BP26" i="25"/>
  <c r="CY37" i="1"/>
  <c r="AG59" i="38"/>
  <c r="CF48" i="40"/>
  <c r="AX26" i="39"/>
  <c r="N25" i="37"/>
  <c r="AW67" i="41"/>
  <c r="CE71" i="40"/>
  <c r="AO79" i="36"/>
  <c r="K12" i="60"/>
  <c r="AE12" i="38"/>
  <c r="CE89" i="38"/>
  <c r="CH12" i="39"/>
  <c r="CQ53" i="39"/>
  <c r="DE98" i="37"/>
  <c r="H7" i="59"/>
  <c r="AB12" i="37"/>
  <c r="AU50" i="39"/>
  <c r="BI45" i="37"/>
  <c r="AZ21" i="38"/>
  <c r="AO75" i="1"/>
  <c r="P46" i="59"/>
  <c r="K49" i="36"/>
  <c r="AA53" i="41"/>
  <c r="DA24" i="1"/>
  <c r="BX60" i="25"/>
  <c r="BV96" i="37"/>
  <c r="T96" i="38"/>
  <c r="CJ92" i="38"/>
  <c r="CB27" i="39"/>
  <c r="BO102" i="41"/>
  <c r="CW48" i="41"/>
  <c r="CO58" i="37"/>
  <c r="DC91" i="39"/>
  <c r="CZ17" i="41"/>
  <c r="AD9" i="25"/>
  <c r="AO91" i="40"/>
  <c r="BR37" i="38"/>
  <c r="AP60" i="37"/>
  <c r="CT25" i="1"/>
  <c r="CM62" i="25"/>
  <c r="N18" i="1"/>
  <c r="AP59" i="26"/>
  <c r="AG62" i="1"/>
  <c r="N81" i="25"/>
  <c r="Z53" i="40"/>
  <c r="I48" i="46"/>
  <c r="CO37" i="36"/>
  <c r="AP48" i="26"/>
  <c r="CA54" i="40"/>
  <c r="S65" i="41"/>
  <c r="CF53" i="38"/>
  <c r="CA45" i="38"/>
  <c r="T60" i="26"/>
  <c r="CG81" i="1"/>
  <c r="AT57" i="26"/>
  <c r="M13" i="36"/>
  <c r="DF102" i="39"/>
  <c r="BA59" i="1"/>
  <c r="CU65" i="37"/>
  <c r="M27" i="40"/>
  <c r="AS79" i="26"/>
  <c r="AF17" i="37"/>
  <c r="O57" i="1"/>
  <c r="DA48" i="37"/>
  <c r="N25" i="41"/>
  <c r="N57" i="59"/>
  <c r="L25" i="40"/>
  <c r="CQ30" i="26"/>
  <c r="CO89" i="1"/>
  <c r="AX26" i="26"/>
  <c r="AH34" i="1"/>
  <c r="CV60" i="1"/>
  <c r="DA17" i="36"/>
  <c r="AW24" i="40"/>
  <c r="AB30" i="26"/>
  <c r="DD18" i="39"/>
  <c r="DE48" i="25"/>
  <c r="BS24" i="36"/>
  <c r="AC37" i="26"/>
  <c r="AF12" i="25"/>
  <c r="CM50" i="37"/>
  <c r="AR37" i="40"/>
  <c r="CY92" i="40"/>
  <c r="DA66" i="26"/>
  <c r="CN67" i="37"/>
  <c r="Z79" i="1"/>
  <c r="CY62" i="26"/>
  <c r="DE34" i="38"/>
  <c r="N30" i="25"/>
  <c r="AE53" i="39"/>
  <c r="Z29" i="36"/>
  <c r="CQ17" i="26"/>
  <c r="AN25" i="38"/>
  <c r="J96" i="39"/>
  <c r="CZ67" i="37"/>
  <c r="BC29" i="37"/>
  <c r="P37" i="38"/>
  <c r="O67" i="26"/>
  <c r="AZ48" i="37"/>
  <c r="M16" i="59"/>
  <c r="DD18" i="26"/>
  <c r="O48" i="40"/>
  <c r="CZ81" i="1"/>
  <c r="AU50" i="25"/>
  <c r="BT79" i="39"/>
  <c r="CI10" i="40"/>
  <c r="BD129" i="47"/>
  <c r="CX9" i="1"/>
  <c r="AD10" i="40"/>
  <c r="AP49" i="36"/>
  <c r="CF102" i="39"/>
  <c r="DF37" i="40"/>
  <c r="I61" i="37"/>
  <c r="DA29" i="36"/>
  <c r="BB71" i="38"/>
  <c r="BR49" i="37"/>
  <c r="L27" i="38"/>
  <c r="CS103" i="36"/>
  <c r="U66" i="39"/>
  <c r="CC58" i="41"/>
  <c r="CZ49" i="38"/>
  <c r="J72" i="64"/>
  <c r="AX91" i="41"/>
  <c r="AW45" i="26"/>
  <c r="BU34" i="41"/>
  <c r="CB92" i="25"/>
  <c r="CO12" i="40"/>
  <c r="AM25" i="40"/>
  <c r="CK102" i="40"/>
  <c r="DB81" i="26"/>
  <c r="DD65" i="37"/>
  <c r="L102" i="38"/>
  <c r="AU98" i="41"/>
  <c r="CO9" i="25"/>
  <c r="CJ60" i="36"/>
  <c r="BU103" i="38"/>
  <c r="CM25" i="38"/>
  <c r="BX48" i="25"/>
  <c r="U65" i="41"/>
  <c r="BA96" i="38"/>
  <c r="BQ60" i="40"/>
  <c r="AU65" i="1"/>
  <c r="U58" i="39"/>
  <c r="CC50" i="26"/>
  <c r="CK34" i="38"/>
  <c r="DE49" i="40"/>
  <c r="BY24" i="39"/>
  <c r="CF50" i="39"/>
  <c r="AO59" i="25"/>
  <c r="AA66" i="36"/>
  <c r="BB21" i="37"/>
  <c r="CI26" i="38"/>
  <c r="AB18" i="38"/>
  <c r="AE21" i="36"/>
  <c r="AJ37" i="1"/>
  <c r="BZ59" i="37"/>
  <c r="CS49" i="39"/>
  <c r="W65" i="38"/>
  <c r="BO34" i="40"/>
  <c r="AO61" i="26"/>
  <c r="BS67" i="39"/>
  <c r="BQ25" i="25"/>
  <c r="V12" i="40"/>
  <c r="CE57" i="25"/>
  <c r="BP17" i="26"/>
  <c r="J91" i="41"/>
  <c r="I98" i="39"/>
  <c r="CR61" i="36"/>
  <c r="CO96" i="26"/>
  <c r="P65" i="39"/>
  <c r="BZ65" i="26"/>
  <c r="BY24" i="38"/>
  <c r="CR65" i="36"/>
  <c r="CI10" i="37"/>
  <c r="Z54" i="36"/>
  <c r="AF66" i="41"/>
  <c r="BO30" i="36"/>
  <c r="K54" i="36"/>
  <c r="DF92" i="41"/>
  <c r="U48" i="37"/>
  <c r="BO103" i="37"/>
  <c r="X25" i="26"/>
  <c r="CO54" i="25"/>
  <c r="AD62" i="25"/>
  <c r="BC25" i="38"/>
  <c r="AC34" i="37"/>
  <c r="BV62" i="41"/>
  <c r="AI54" i="36"/>
  <c r="BD26" i="39"/>
  <c r="AX67" i="26"/>
  <c r="AP58" i="41"/>
  <c r="CV29" i="40"/>
  <c r="CO53" i="36"/>
  <c r="CD26" i="40"/>
  <c r="DD49" i="1"/>
  <c r="DB102" i="41"/>
  <c r="AG58" i="26"/>
  <c r="CH34" i="39"/>
  <c r="CY21" i="1"/>
  <c r="AT37" i="40"/>
  <c r="AS48" i="25"/>
  <c r="BI66" i="37"/>
  <c r="AH24" i="40"/>
  <c r="H79" i="39"/>
  <c r="AQ25" i="38"/>
  <c r="AF92" i="38"/>
  <c r="AM17" i="36"/>
  <c r="CN58" i="26"/>
  <c r="CR66" i="39"/>
  <c r="DF61" i="37"/>
  <c r="BW45" i="40"/>
  <c r="DE62" i="25"/>
  <c r="AC58" i="26"/>
  <c r="DB45" i="38"/>
  <c r="X54" i="37"/>
  <c r="CB79" i="39"/>
  <c r="CZ57" i="39"/>
  <c r="P30" i="37"/>
  <c r="L75" i="1"/>
  <c r="G30" i="40"/>
  <c r="CQ57" i="41"/>
  <c r="L49" i="1"/>
  <c r="CS91" i="1"/>
  <c r="AC45" i="38"/>
  <c r="AA59" i="37"/>
  <c r="N89" i="39"/>
  <c r="CE96" i="1"/>
  <c r="AY66" i="25"/>
  <c r="N57" i="40"/>
  <c r="CM34" i="41"/>
  <c r="CR49" i="41"/>
  <c r="AG57" i="37"/>
  <c r="Z45" i="40"/>
  <c r="CS96" i="37"/>
  <c r="CU17" i="39"/>
  <c r="AF59" i="26"/>
  <c r="AH91" i="36"/>
  <c r="AE71" i="40"/>
  <c r="Y79" i="41"/>
  <c r="BE17" i="40"/>
  <c r="AP71" i="38"/>
  <c r="CG96" i="1"/>
  <c r="DE102" i="36"/>
  <c r="BS17" i="25"/>
  <c r="CU89" i="36"/>
  <c r="CG61" i="1"/>
  <c r="L18" i="37"/>
  <c r="AD54" i="38"/>
  <c r="Y24" i="36"/>
  <c r="X96" i="1"/>
  <c r="I21" i="39"/>
  <c r="AJ18" i="26"/>
  <c r="BO48" i="41"/>
  <c r="W75" i="37"/>
  <c r="CE75" i="36"/>
  <c r="DD91" i="1"/>
  <c r="CS98" i="1"/>
  <c r="X27" i="39"/>
  <c r="AD17" i="25"/>
  <c r="CY79" i="36"/>
  <c r="CA61" i="36"/>
  <c r="J12" i="41"/>
  <c r="AV65" i="41"/>
  <c r="AQ60" i="41"/>
  <c r="V27" i="1"/>
  <c r="CX103" i="26"/>
  <c r="BS66" i="41"/>
  <c r="AF60" i="1"/>
  <c r="P54" i="26"/>
  <c r="CT96" i="40"/>
  <c r="AR13" i="25"/>
  <c r="CL91" i="38"/>
  <c r="BT79" i="25"/>
  <c r="U92" i="25"/>
  <c r="AT25" i="38"/>
  <c r="H102" i="41"/>
  <c r="CU92" i="40"/>
  <c r="N30" i="41"/>
  <c r="BU54" i="40"/>
  <c r="AH45" i="41"/>
  <c r="BI79" i="38"/>
  <c r="AR49" i="38"/>
  <c r="BI25" i="38"/>
  <c r="AC21" i="39"/>
  <c r="BU92" i="40"/>
  <c r="I60" i="37"/>
  <c r="F12" i="60"/>
  <c r="CV13" i="38"/>
  <c r="CS98" i="41"/>
  <c r="U49" i="38"/>
  <c r="AA60" i="38"/>
  <c r="CL37" i="1"/>
  <c r="BY12" i="1"/>
  <c r="AX65" i="38"/>
  <c r="CW53" i="40"/>
  <c r="AH71" i="26"/>
  <c r="BX75" i="37"/>
  <c r="BO89" i="36"/>
  <c r="X21" i="40"/>
  <c r="AD58" i="39"/>
  <c r="CX103" i="1"/>
  <c r="CI71" i="26"/>
  <c r="T18" i="40"/>
  <c r="AU49" i="37"/>
  <c r="G13" i="40"/>
  <c r="G96" i="1"/>
  <c r="AO49" i="41"/>
  <c r="BP96" i="26"/>
  <c r="BZ17" i="26"/>
  <c r="AF81" i="26"/>
  <c r="H17" i="36"/>
  <c r="DF65" i="41"/>
  <c r="CN103" i="41"/>
  <c r="CW50" i="39"/>
  <c r="DB57" i="36"/>
  <c r="BE79" i="38"/>
  <c r="AZ29" i="26"/>
  <c r="DD65" i="41"/>
  <c r="O24" i="39"/>
  <c r="CY58" i="40"/>
  <c r="BB57" i="26"/>
  <c r="CL12" i="40"/>
  <c r="P26" i="40"/>
  <c r="CD12" i="1"/>
  <c r="CC45" i="26"/>
  <c r="BZ18" i="37"/>
  <c r="BD30" i="26"/>
  <c r="Y66" i="1"/>
  <c r="AY71" i="36"/>
  <c r="AF92" i="41"/>
  <c r="AX81" i="25"/>
  <c r="AU92" i="39"/>
  <c r="I62" i="40"/>
  <c r="CK29" i="25"/>
  <c r="AP92" i="39"/>
  <c r="O29" i="41"/>
  <c r="CL54" i="38"/>
  <c r="J61" i="39"/>
  <c r="BB71" i="25"/>
  <c r="BI79" i="1"/>
  <c r="X27" i="37"/>
  <c r="AU66" i="25"/>
  <c r="H98" i="39"/>
  <c r="CT92" i="38"/>
  <c r="CX81" i="1"/>
  <c r="DF18" i="41"/>
  <c r="CC103" i="39"/>
  <c r="BE37" i="39"/>
  <c r="BW103" i="39"/>
  <c r="CD45" i="41"/>
  <c r="DE9" i="38"/>
  <c r="BU79" i="36"/>
  <c r="AB67" i="39"/>
  <c r="BI71" i="25"/>
  <c r="CG34" i="36"/>
  <c r="H73" i="64"/>
  <c r="AT17" i="36"/>
  <c r="H27" i="25"/>
  <c r="DE65" i="26"/>
  <c r="CK102" i="1"/>
  <c r="CW24" i="1"/>
  <c r="BD62" i="39"/>
  <c r="BA61" i="26"/>
  <c r="DC65" i="41"/>
  <c r="X24" i="41"/>
  <c r="AQ96" i="26"/>
  <c r="BG130" i="47"/>
  <c r="CG61" i="36"/>
  <c r="T58" i="26"/>
  <c r="BT60" i="40"/>
  <c r="CA89" i="41"/>
  <c r="AS48" i="40"/>
  <c r="BT60" i="37"/>
  <c r="AH62" i="26"/>
  <c r="CO10" i="40"/>
  <c r="CN50" i="1"/>
  <c r="AQ62" i="38"/>
  <c r="I69" i="64"/>
  <c r="AJ79" i="38"/>
  <c r="J79" i="37"/>
  <c r="AW48" i="1"/>
  <c r="AU13" i="1"/>
  <c r="V75" i="41"/>
  <c r="CI75" i="40"/>
  <c r="CX66" i="26"/>
  <c r="CD60" i="41"/>
  <c r="CR24" i="37"/>
  <c r="J49" i="26"/>
  <c r="DE89" i="38"/>
  <c r="CO75" i="41"/>
  <c r="CS81" i="41"/>
  <c r="L96" i="1"/>
  <c r="BY57" i="25"/>
  <c r="X37" i="25"/>
  <c r="AR66" i="26"/>
  <c r="AV29" i="39"/>
  <c r="CO45" i="25"/>
  <c r="H75" i="37"/>
  <c r="CX45" i="38"/>
  <c r="BA89" i="41"/>
  <c r="AX98" i="39"/>
  <c r="BH62" i="26"/>
  <c r="E15" i="64"/>
  <c r="V49" i="26"/>
  <c r="BS65" i="38"/>
  <c r="BA26" i="39"/>
  <c r="AE102" i="1"/>
  <c r="AE29" i="37"/>
  <c r="CT45" i="25"/>
  <c r="CM96" i="41"/>
  <c r="AC27" i="39"/>
  <c r="AU12" i="38"/>
  <c r="BO10" i="37"/>
  <c r="BO59" i="38"/>
  <c r="AD48" i="37"/>
  <c r="CV27" i="25"/>
  <c r="CV62" i="41"/>
  <c r="O18" i="1"/>
  <c r="CA102" i="26"/>
  <c r="BD17" i="39"/>
  <c r="CR26" i="26"/>
  <c r="BD57" i="37"/>
  <c r="AD13" i="26"/>
  <c r="BT53" i="37"/>
  <c r="BO89" i="39"/>
  <c r="BP30" i="37"/>
  <c r="H19" i="46"/>
  <c r="CZ66" i="41"/>
  <c r="BZ71" i="1"/>
  <c r="J91" i="60"/>
  <c r="BE59" i="1"/>
  <c r="CR61" i="26"/>
  <c r="T37" i="37"/>
  <c r="CX65" i="25"/>
  <c r="N92" i="26"/>
  <c r="CU81" i="40"/>
  <c r="O81" i="39"/>
  <c r="AF102" i="41"/>
  <c r="U48" i="25"/>
  <c r="BP75" i="39"/>
  <c r="BV60" i="1"/>
  <c r="DE21" i="1"/>
  <c r="BH10" i="26"/>
  <c r="CI75" i="38"/>
  <c r="BI48" i="39"/>
  <c r="BQ48" i="26"/>
  <c r="BV17" i="1"/>
  <c r="CC49" i="37"/>
  <c r="L18" i="26"/>
  <c r="AY25" i="25"/>
  <c r="BP21" i="39"/>
  <c r="CX24" i="40"/>
  <c r="CT66" i="37"/>
  <c r="O9" i="36"/>
  <c r="L102" i="26"/>
  <c r="CC65" i="25"/>
  <c r="BT29" i="38"/>
  <c r="BI49" i="41"/>
  <c r="BW98" i="38"/>
  <c r="DE24" i="26"/>
  <c r="CT10" i="41"/>
  <c r="V62" i="40"/>
  <c r="CB10" i="37"/>
  <c r="BV62" i="38"/>
  <c r="K91" i="36"/>
  <c r="BV58" i="38"/>
  <c r="F70" i="60"/>
  <c r="BX60" i="38"/>
  <c r="S102" i="40"/>
  <c r="BP62" i="41"/>
  <c r="L30" i="26"/>
  <c r="CT57" i="39"/>
  <c r="Z65" i="36"/>
  <c r="CY103" i="41"/>
  <c r="CA59" i="25"/>
  <c r="L92" i="60"/>
  <c r="L9" i="37"/>
  <c r="BC66" i="40"/>
  <c r="AG10" i="40"/>
  <c r="CY49" i="41"/>
  <c r="BW103" i="41"/>
  <c r="AM34" i="39"/>
  <c r="BH102" i="40"/>
  <c r="CN89" i="37"/>
  <c r="CS18" i="38"/>
  <c r="T96" i="41"/>
  <c r="AX79" i="40"/>
  <c r="CJ37" i="38"/>
  <c r="BS96" i="41"/>
  <c r="U66" i="36"/>
  <c r="V79" i="38"/>
  <c r="BP91" i="38"/>
  <c r="Z65" i="1"/>
  <c r="CJ13" i="38"/>
  <c r="AN17" i="40"/>
  <c r="W13" i="41"/>
  <c r="AN37" i="40"/>
  <c r="AU26" i="25"/>
  <c r="CM13" i="38"/>
  <c r="CE30" i="26"/>
  <c r="BI18" i="40"/>
  <c r="DF71" i="36"/>
  <c r="AJ21" i="40"/>
  <c r="BU24" i="41"/>
  <c r="I83" i="60"/>
  <c r="W50" i="36"/>
  <c r="K8" i="60"/>
  <c r="CO71" i="26"/>
  <c r="O61" i="36"/>
  <c r="CV79" i="39"/>
  <c r="CD12" i="38"/>
  <c r="AJ66" i="41"/>
  <c r="AA92" i="25"/>
  <c r="CQ34" i="41"/>
  <c r="AJ67" i="41"/>
  <c r="CA75" i="40"/>
  <c r="H62" i="37"/>
  <c r="AS81" i="1"/>
  <c r="BB67" i="1"/>
  <c r="CA25" i="25"/>
  <c r="AP12" i="41"/>
  <c r="O91" i="36"/>
  <c r="BQ103" i="38"/>
  <c r="AI13" i="36"/>
  <c r="G75" i="26"/>
  <c r="CD65" i="40"/>
  <c r="V61" i="26"/>
  <c r="CO92" i="38"/>
  <c r="AM57" i="36"/>
  <c r="I53" i="36"/>
  <c r="V50" i="26"/>
  <c r="AE27" i="41"/>
  <c r="N30" i="1"/>
  <c r="CI27" i="37"/>
  <c r="DA34" i="40"/>
  <c r="CB75" i="37"/>
  <c r="W30" i="36"/>
  <c r="Z10" i="38"/>
  <c r="K56" i="60"/>
  <c r="V10" i="36"/>
  <c r="BI65" i="40"/>
  <c r="H57" i="60"/>
  <c r="AW37" i="39"/>
  <c r="DC30" i="36"/>
  <c r="CH21" i="26"/>
  <c r="DD57" i="1"/>
  <c r="CJ25" i="37"/>
  <c r="DE62" i="36"/>
  <c r="CU60" i="1"/>
  <c r="G79" i="26"/>
  <c r="AO10" i="39"/>
  <c r="BC59" i="37"/>
  <c r="AB61" i="26"/>
  <c r="BT9" i="39"/>
  <c r="K10" i="1"/>
  <c r="L37" i="37"/>
  <c r="DD24" i="41"/>
  <c r="BV27" i="41"/>
  <c r="DE49" i="25"/>
  <c r="BH79" i="41"/>
  <c r="BY29" i="36"/>
  <c r="AC96" i="36"/>
  <c r="AI54" i="39"/>
  <c r="CW61" i="40"/>
  <c r="CB81" i="40"/>
  <c r="CL81" i="41"/>
  <c r="I71" i="1"/>
  <c r="BC17" i="25"/>
  <c r="BU59" i="25"/>
  <c r="DF49" i="25"/>
  <c r="AA92" i="26"/>
  <c r="Z59" i="38"/>
  <c r="DB49" i="37"/>
  <c r="CK10" i="41"/>
  <c r="CT92" i="39"/>
  <c r="AZ29" i="38"/>
  <c r="J9" i="25"/>
  <c r="CY17" i="41"/>
  <c r="CX21" i="37"/>
  <c r="DE75" i="1"/>
  <c r="P92" i="40"/>
  <c r="CD81" i="25"/>
  <c r="BC79" i="25"/>
  <c r="BZ26" i="41"/>
  <c r="CD57" i="36"/>
  <c r="W18" i="36"/>
  <c r="BC130" i="47"/>
  <c r="M54" i="41"/>
  <c r="AG66" i="1"/>
  <c r="AT75" i="25"/>
  <c r="AF102" i="38"/>
  <c r="AA49" i="26"/>
  <c r="CT45" i="39"/>
  <c r="BO75" i="40"/>
  <c r="AO48" i="37"/>
  <c r="CX26" i="41"/>
  <c r="AU53" i="25"/>
  <c r="BC313" i="47"/>
  <c r="P29" i="1"/>
  <c r="BZ98" i="37"/>
  <c r="CZ37" i="36"/>
  <c r="T102" i="25"/>
  <c r="AW49" i="37"/>
  <c r="AF49" i="40"/>
  <c r="CD65" i="36"/>
  <c r="BF310" i="47"/>
  <c r="T37" i="25"/>
  <c r="AN25" i="25"/>
  <c r="H30" i="38"/>
  <c r="AS26" i="26"/>
  <c r="AM24" i="38"/>
  <c r="BA58" i="1"/>
  <c r="BU92" i="36"/>
  <c r="BO58" i="40"/>
  <c r="CZ34" i="25"/>
  <c r="K13" i="40"/>
  <c r="K25" i="38"/>
  <c r="I57" i="40"/>
  <c r="AF98" i="41"/>
  <c r="CN50" i="26"/>
  <c r="AU45" i="26"/>
  <c r="BO75" i="25"/>
  <c r="CR45" i="40"/>
  <c r="AV54" i="36"/>
  <c r="Z25" i="37"/>
  <c r="CJ26" i="39"/>
  <c r="CI30" i="1"/>
  <c r="M57" i="39"/>
  <c r="BW66" i="38"/>
  <c r="W58" i="41"/>
  <c r="CR103" i="38"/>
  <c r="CE10" i="37"/>
  <c r="CG62" i="25"/>
  <c r="DA91" i="1"/>
  <c r="AU37" i="41"/>
  <c r="DA89" i="38"/>
  <c r="AS67" i="37"/>
  <c r="CT79" i="26"/>
  <c r="AO13" i="41"/>
  <c r="CO96" i="41"/>
  <c r="I81" i="38"/>
  <c r="BY54" i="39"/>
  <c r="W60" i="26"/>
  <c r="O92" i="39"/>
  <c r="CR89" i="41"/>
  <c r="CY61" i="36"/>
  <c r="CP10" i="1"/>
  <c r="BC30" i="1"/>
  <c r="CG25" i="26"/>
  <c r="AH60" i="39"/>
  <c r="CW17" i="25"/>
  <c r="BW34" i="38"/>
  <c r="CM30" i="40"/>
  <c r="AF48" i="38"/>
  <c r="I25" i="40"/>
  <c r="CR92" i="1"/>
  <c r="CT65" i="39"/>
  <c r="AZ12" i="1"/>
  <c r="DE18" i="36"/>
  <c r="CC13" i="25"/>
  <c r="CO13" i="40"/>
  <c r="BP18" i="39"/>
  <c r="CV66" i="36"/>
  <c r="AR18" i="37"/>
  <c r="J54" i="1"/>
  <c r="AB67" i="37"/>
  <c r="AF10" i="40"/>
  <c r="CO89" i="37"/>
  <c r="BB102" i="37"/>
  <c r="CO18" i="40"/>
  <c r="CG54" i="37"/>
  <c r="AD59" i="41"/>
  <c r="CC81" i="25"/>
  <c r="BV30" i="41"/>
  <c r="BS65" i="40"/>
  <c r="AC58" i="25"/>
  <c r="CE91" i="37"/>
  <c r="S29" i="26"/>
  <c r="CS54" i="40"/>
  <c r="AR45" i="38"/>
  <c r="BV21" i="38"/>
  <c r="AU98" i="25"/>
  <c r="CY30" i="38"/>
  <c r="DF62" i="36"/>
  <c r="BI75" i="39"/>
  <c r="CM29" i="36"/>
  <c r="CQ81" i="37"/>
  <c r="CP49" i="40"/>
  <c r="BS65" i="1"/>
  <c r="CV91" i="25"/>
  <c r="BV66" i="37"/>
  <c r="BI17" i="38"/>
  <c r="P54" i="41"/>
  <c r="DB103" i="41"/>
  <c r="AR67" i="41"/>
  <c r="BY57" i="41"/>
  <c r="CZ26" i="26"/>
  <c r="AZ61" i="40"/>
  <c r="AE53" i="37"/>
  <c r="CI71" i="25"/>
  <c r="BX48" i="40"/>
  <c r="CH29" i="38"/>
  <c r="CL103" i="1"/>
  <c r="AR30" i="41"/>
  <c r="U12" i="38"/>
  <c r="BR34" i="26"/>
  <c r="CY50" i="39"/>
  <c r="AA9" i="26"/>
  <c r="BX53" i="39"/>
  <c r="N21" i="38"/>
  <c r="AP18" i="1"/>
  <c r="I72" i="64"/>
  <c r="CL17" i="37"/>
  <c r="DB50" i="26"/>
  <c r="AN37" i="25"/>
  <c r="CG26" i="26"/>
  <c r="W57" i="36"/>
  <c r="BY10" i="36"/>
  <c r="O91" i="39"/>
  <c r="CP17" i="40"/>
  <c r="CE27" i="36"/>
  <c r="CY75" i="37"/>
  <c r="CQ96" i="26"/>
  <c r="DA18" i="38"/>
  <c r="M9" i="38"/>
  <c r="CV91" i="37"/>
  <c r="CQ79" i="39"/>
  <c r="AF89" i="25"/>
  <c r="AU91" i="40"/>
  <c r="CB13" i="26"/>
  <c r="CC58" i="39"/>
  <c r="CU81" i="36"/>
  <c r="BC66" i="37"/>
  <c r="AW96" i="26"/>
  <c r="AC98" i="1"/>
  <c r="AO60" i="38"/>
  <c r="BW91" i="40"/>
  <c r="AJ58" i="1"/>
  <c r="CJ59" i="37"/>
  <c r="BT98" i="39"/>
  <c r="AE27" i="37"/>
  <c r="DB12" i="39"/>
  <c r="AZ34" i="39"/>
  <c r="AY45" i="25"/>
  <c r="CT67" i="26"/>
  <c r="AM24" i="25"/>
  <c r="CI37" i="25"/>
  <c r="BV58" i="37"/>
  <c r="AB57" i="41"/>
  <c r="J65" i="1"/>
  <c r="CE92" i="39"/>
  <c r="BZ89" i="37"/>
  <c r="J75" i="26"/>
  <c r="AV75" i="39"/>
  <c r="CZ26" i="39"/>
  <c r="AC58" i="40"/>
  <c r="AR75" i="26"/>
  <c r="BY58" i="1"/>
  <c r="DE50" i="37"/>
  <c r="CH10" i="38"/>
  <c r="CT37" i="36"/>
  <c r="I48" i="59"/>
  <c r="BX89" i="36"/>
  <c r="CP96" i="1"/>
  <c r="CT48" i="41"/>
  <c r="S81" i="37"/>
  <c r="BB34" i="1"/>
  <c r="AC57" i="39"/>
  <c r="BW25" i="1"/>
  <c r="AA75" i="41"/>
  <c r="AG12" i="26"/>
  <c r="CH103" i="1"/>
  <c r="CP92" i="25"/>
  <c r="BI58" i="40"/>
  <c r="BY79" i="38"/>
  <c r="K60" i="1"/>
  <c r="CX26" i="1"/>
  <c r="P37" i="37"/>
  <c r="W89" i="39"/>
  <c r="BR102" i="39"/>
  <c r="BD24" i="1"/>
  <c r="J34" i="40"/>
  <c r="CD54" i="38"/>
  <c r="BY103" i="36"/>
  <c r="X96" i="26"/>
  <c r="L59" i="25"/>
  <c r="CG98" i="37"/>
  <c r="Z67" i="37"/>
  <c r="BI57" i="26"/>
  <c r="AA34" i="39"/>
  <c r="CG50" i="37"/>
  <c r="H60" i="26"/>
  <c r="BE30" i="25"/>
  <c r="E91" i="60"/>
  <c r="DD37" i="26"/>
  <c r="BW79" i="41"/>
  <c r="CF53" i="41"/>
  <c r="X66" i="25"/>
  <c r="AY102" i="26"/>
  <c r="BE66" i="36"/>
  <c r="BP25" i="41"/>
  <c r="AG49" i="39"/>
  <c r="BR24" i="38"/>
  <c r="AT54" i="39"/>
  <c r="CQ10" i="36"/>
  <c r="BO48" i="1"/>
  <c r="AS65" i="25"/>
  <c r="BE62" i="37"/>
  <c r="BZ12" i="36"/>
  <c r="CP10" i="37"/>
  <c r="BV24" i="25"/>
  <c r="BI60" i="1"/>
  <c r="BZ53" i="36"/>
  <c r="BQ59" i="36"/>
  <c r="AQ53" i="26"/>
  <c r="W34" i="40"/>
  <c r="BB17" i="36"/>
  <c r="AY62" i="25"/>
  <c r="AS96" i="26"/>
  <c r="BB29" i="40"/>
  <c r="AI26" i="41"/>
  <c r="BU81" i="38"/>
  <c r="BE62" i="36"/>
  <c r="BT96" i="25"/>
  <c r="J98" i="41"/>
  <c r="L63" i="60"/>
  <c r="V61" i="1"/>
  <c r="AH62" i="36"/>
  <c r="CX59" i="41"/>
  <c r="CG17" i="40"/>
  <c r="CJ17" i="41"/>
  <c r="AE66" i="41"/>
  <c r="CE60" i="37"/>
  <c r="CI79" i="39"/>
  <c r="BC71" i="41"/>
  <c r="CR18" i="41"/>
  <c r="AQ18" i="36"/>
  <c r="W62" i="26"/>
  <c r="BT48" i="36"/>
  <c r="DA10" i="39"/>
  <c r="DC49" i="41"/>
  <c r="BS26" i="39"/>
  <c r="Z49" i="36"/>
  <c r="CO54" i="41"/>
  <c r="CY34" i="41"/>
  <c r="CM17" i="37"/>
  <c r="BR60" i="36"/>
  <c r="CO92" i="40"/>
  <c r="AG50" i="41"/>
  <c r="K20" i="50"/>
  <c r="BQ49" i="40"/>
  <c r="BR25" i="36"/>
  <c r="CX10" i="1"/>
  <c r="CV49" i="1"/>
  <c r="AH53" i="39"/>
  <c r="AI61" i="40"/>
  <c r="L75" i="37"/>
  <c r="AN98" i="38"/>
  <c r="AZ313" i="47"/>
  <c r="AI89" i="40"/>
  <c r="BA102" i="41"/>
  <c r="AW27" i="39"/>
  <c r="BW37" i="26"/>
  <c r="M60" i="39"/>
  <c r="AF61" i="37"/>
  <c r="BU75" i="37"/>
  <c r="AF98" i="38"/>
  <c r="DA54" i="37"/>
  <c r="X54" i="36"/>
  <c r="J19" i="59"/>
  <c r="BY71" i="41"/>
  <c r="CJ60" i="25"/>
  <c r="BR67" i="39"/>
  <c r="AT66" i="41"/>
  <c r="K50" i="38"/>
  <c r="O57" i="38"/>
  <c r="CJ91" i="37"/>
  <c r="CB29" i="1"/>
  <c r="BC26" i="41"/>
  <c r="AO57" i="37"/>
  <c r="BZ58" i="26"/>
  <c r="CN49" i="36"/>
  <c r="CR59" i="37"/>
  <c r="BC37" i="1"/>
  <c r="I30" i="1"/>
  <c r="BF105" i="47"/>
  <c r="Z61" i="37"/>
  <c r="CL25" i="36"/>
  <c r="CF57" i="37"/>
  <c r="BV29" i="37"/>
  <c r="AU30" i="1"/>
  <c r="AO24" i="1"/>
  <c r="BD66" i="36"/>
  <c r="BZ29" i="38"/>
  <c r="BQ71" i="38"/>
  <c r="BH57" i="41"/>
  <c r="BU34" i="37"/>
  <c r="G26" i="41"/>
  <c r="BU12" i="38"/>
  <c r="CR30" i="40"/>
  <c r="K102" i="38"/>
  <c r="CB21" i="38"/>
  <c r="BB10" i="1"/>
  <c r="K27" i="39"/>
  <c r="CP30" i="25"/>
  <c r="O92" i="38"/>
  <c r="S79" i="41"/>
  <c r="CY24" i="26"/>
  <c r="CU21" i="39"/>
  <c r="G45" i="39"/>
  <c r="BH27" i="26"/>
  <c r="AZ49" i="40"/>
  <c r="BA62" i="37"/>
  <c r="BQ60" i="36"/>
  <c r="AX54" i="25"/>
  <c r="CB58" i="36"/>
  <c r="CA45" i="37"/>
  <c r="V61" i="39"/>
  <c r="BU96" i="37"/>
  <c r="DF65" i="38"/>
  <c r="BY34" i="1"/>
  <c r="AY96" i="25"/>
  <c r="T59" i="25"/>
  <c r="G21" i="36"/>
  <c r="AP50" i="37"/>
  <c r="AA26" i="37"/>
  <c r="AG67" i="38"/>
  <c r="CY57" i="38"/>
  <c r="CW58" i="26"/>
  <c r="CI54" i="26"/>
  <c r="BP66" i="25"/>
  <c r="CI54" i="1"/>
  <c r="Y13" i="26"/>
  <c r="N81" i="36"/>
  <c r="BO48" i="39"/>
  <c r="BR25" i="1"/>
  <c r="CM49" i="26"/>
  <c r="X62" i="39"/>
  <c r="M102" i="38"/>
  <c r="AM71" i="38"/>
  <c r="BX62" i="1"/>
  <c r="AW98" i="1"/>
  <c r="CC12" i="25"/>
  <c r="CR62" i="36"/>
  <c r="AR66" i="38"/>
  <c r="AW26" i="37"/>
  <c r="BQ26" i="39"/>
  <c r="CL53" i="1"/>
  <c r="CC34" i="41"/>
  <c r="CI96" i="36"/>
  <c r="CW24" i="25"/>
  <c r="AZ21" i="1"/>
  <c r="AB21" i="38"/>
  <c r="AT91" i="41"/>
  <c r="AX25" i="1"/>
  <c r="CL34" i="25"/>
  <c r="AQ29" i="36"/>
  <c r="K34" i="37"/>
  <c r="AN53" i="36"/>
  <c r="H58" i="26"/>
  <c r="BR89" i="39"/>
  <c r="BH66" i="26"/>
  <c r="AQ59" i="1"/>
  <c r="I12" i="1"/>
  <c r="CY48" i="39"/>
  <c r="AP17" i="37"/>
  <c r="AD13" i="37"/>
  <c r="CL50" i="38"/>
  <c r="O29" i="36"/>
  <c r="BA102" i="37"/>
  <c r="BD18" i="25"/>
  <c r="CV98" i="36"/>
  <c r="CQ48" i="26"/>
  <c r="CZ81" i="26"/>
  <c r="CF58" i="41"/>
  <c r="CD58" i="41"/>
  <c r="K17" i="41"/>
  <c r="BB50" i="38"/>
  <c r="I45" i="26"/>
  <c r="AX50" i="25"/>
  <c r="BR103" i="36"/>
  <c r="CQ66" i="1"/>
  <c r="AQ89" i="26"/>
  <c r="CO81" i="1"/>
  <c r="CJ96" i="26"/>
  <c r="BX24" i="25"/>
  <c r="CE65" i="41"/>
  <c r="CQ75" i="38"/>
  <c r="N91" i="25"/>
  <c r="CQ21" i="1"/>
  <c r="AT13" i="25"/>
  <c r="BQ18" i="25"/>
  <c r="AM67" i="39"/>
  <c r="BT27" i="41"/>
  <c r="DF59" i="41"/>
  <c r="AT48" i="25"/>
  <c r="V13" i="39"/>
  <c r="AU26" i="36"/>
  <c r="L37" i="39"/>
  <c r="M23" i="60"/>
  <c r="BQ57" i="25"/>
  <c r="CW103" i="1"/>
  <c r="AH53" i="41"/>
  <c r="CP53" i="38"/>
  <c r="BI29" i="37"/>
  <c r="BU13" i="36"/>
  <c r="BQ102" i="39"/>
  <c r="CN58" i="25"/>
  <c r="BX61" i="37"/>
  <c r="BA61" i="41"/>
  <c r="AI98" i="1"/>
  <c r="CM81" i="41"/>
  <c r="AY65" i="40"/>
  <c r="AU24" i="39"/>
  <c r="DA79" i="38"/>
  <c r="BB53" i="1"/>
  <c r="CA103" i="40"/>
  <c r="CD89" i="25"/>
  <c r="BW13" i="25"/>
  <c r="CO50" i="37"/>
  <c r="U58" i="1"/>
  <c r="P66" i="26"/>
  <c r="BD62" i="36"/>
  <c r="CB62" i="25"/>
  <c r="AY71" i="37"/>
  <c r="DF27" i="38"/>
  <c r="BU29" i="36"/>
  <c r="BA89" i="25"/>
  <c r="AR89" i="41"/>
  <c r="AE45" i="37"/>
  <c r="CR98" i="36"/>
  <c r="AZ81" i="38"/>
  <c r="AS34" i="26"/>
  <c r="AU25" i="26"/>
  <c r="AZ71" i="39"/>
  <c r="AN79" i="38"/>
  <c r="CL98" i="41"/>
  <c r="AZ79" i="26"/>
  <c r="AO29" i="40"/>
  <c r="L92" i="25"/>
  <c r="AH81" i="25"/>
  <c r="G45" i="36"/>
  <c r="P59" i="59"/>
  <c r="E63" i="60"/>
  <c r="AM67" i="25"/>
  <c r="N48" i="46"/>
  <c r="CG9" i="39"/>
  <c r="AM17" i="38"/>
  <c r="S10" i="1"/>
  <c r="S54" i="25"/>
  <c r="CD57" i="40"/>
  <c r="CF9" i="41"/>
  <c r="DC92" i="37"/>
  <c r="P61" i="26"/>
  <c r="CQ89" i="37"/>
  <c r="AX50" i="26"/>
  <c r="DE91" i="41"/>
  <c r="CQ60" i="41"/>
  <c r="CS10" i="40"/>
  <c r="AH24" i="25"/>
  <c r="BU103" i="39"/>
  <c r="BX17" i="37"/>
  <c r="AB30" i="38"/>
  <c r="BS30" i="38"/>
  <c r="BC62" i="38"/>
  <c r="CN48" i="41"/>
  <c r="AC62" i="25"/>
  <c r="BZ29" i="1"/>
  <c r="BR10" i="40"/>
  <c r="CK66" i="39"/>
  <c r="AW53" i="1"/>
  <c r="DC25" i="36"/>
  <c r="AB62" i="39"/>
  <c r="CL29" i="39"/>
  <c r="CM12" i="38"/>
  <c r="BZ81" i="37"/>
  <c r="AS75" i="41"/>
  <c r="AP65" i="38"/>
  <c r="AY25" i="26"/>
  <c r="AV12" i="25"/>
  <c r="BE10" i="37"/>
  <c r="M24" i="40"/>
  <c r="H9" i="38"/>
  <c r="I98" i="37"/>
  <c r="BW92" i="36"/>
  <c r="CV30" i="25"/>
  <c r="Z12" i="41"/>
  <c r="BC26" i="25"/>
  <c r="CU10" i="40"/>
  <c r="CW25" i="38"/>
  <c r="DE21" i="38"/>
  <c r="AD66" i="38"/>
  <c r="DE45" i="41"/>
  <c r="T98" i="39"/>
  <c r="DF54" i="41"/>
  <c r="CU89" i="1"/>
  <c r="CZ89" i="40"/>
  <c r="BI65" i="1"/>
  <c r="AH54" i="26"/>
  <c r="CL18" i="41"/>
  <c r="AG54" i="38"/>
  <c r="CN25" i="1"/>
  <c r="DC9" i="1"/>
  <c r="CQ98" i="38"/>
  <c r="AO98" i="41"/>
  <c r="CS75" i="39"/>
  <c r="V61" i="25"/>
  <c r="K89" i="40"/>
  <c r="AQ58" i="36"/>
  <c r="BX48" i="36"/>
  <c r="CD34" i="39"/>
  <c r="X21" i="26"/>
  <c r="AF102" i="36"/>
  <c r="AU79" i="36"/>
  <c r="M25" i="1"/>
  <c r="AX37" i="40"/>
  <c r="AD57" i="41"/>
  <c r="AT96" i="38"/>
  <c r="BX10" i="40"/>
  <c r="BU65" i="40"/>
  <c r="AW26" i="26"/>
  <c r="X59" i="41"/>
  <c r="AY9" i="41"/>
  <c r="DE81" i="36"/>
  <c r="BV50" i="41"/>
  <c r="AO71" i="39"/>
  <c r="AM18" i="36"/>
  <c r="N53" i="37"/>
  <c r="L18" i="46"/>
  <c r="CA13" i="1"/>
  <c r="AN79" i="25"/>
  <c r="CS59" i="37"/>
  <c r="AY75" i="26"/>
  <c r="AT29" i="38"/>
  <c r="CH50" i="40"/>
  <c r="CM30" i="36"/>
  <c r="CK53" i="1"/>
  <c r="AD26" i="36"/>
  <c r="BU81" i="26"/>
  <c r="CL57" i="37"/>
  <c r="AZ66" i="37"/>
  <c r="CT12" i="41"/>
  <c r="AS24" i="41"/>
  <c r="N79" i="36"/>
  <c r="CQ81" i="41"/>
  <c r="AF50" i="39"/>
  <c r="X67" i="41"/>
  <c r="Z50" i="40"/>
  <c r="BB48" i="40"/>
  <c r="BY59" i="39"/>
  <c r="DC29" i="37"/>
  <c r="CK98" i="36"/>
  <c r="BQ27" i="39"/>
  <c r="AU27" i="26"/>
  <c r="H91" i="25"/>
  <c r="AZ125" i="47"/>
  <c r="AX29" i="1"/>
  <c r="AE18" i="37"/>
  <c r="AE59" i="25"/>
  <c r="Y26" i="1"/>
  <c r="AX21" i="25"/>
  <c r="BR13" i="36"/>
  <c r="BX37" i="26"/>
  <c r="AW27" i="25"/>
  <c r="AJ58" i="38"/>
  <c r="BE130" i="47"/>
  <c r="DB79" i="40"/>
  <c r="AT49" i="36"/>
  <c r="CS29" i="37"/>
  <c r="V58" i="39"/>
  <c r="CD81" i="26"/>
  <c r="AO49" i="40"/>
  <c r="AX81" i="1"/>
  <c r="AZ61" i="36"/>
  <c r="AV61" i="25"/>
  <c r="CB29" i="36"/>
  <c r="AO45" i="37"/>
  <c r="I57" i="41"/>
  <c r="AH62" i="41"/>
  <c r="DC89" i="26"/>
  <c r="CB57" i="26"/>
  <c r="AS89" i="1"/>
  <c r="AI54" i="41"/>
  <c r="G53" i="41"/>
  <c r="AS29" i="41"/>
  <c r="BU13" i="25"/>
  <c r="CN45" i="25"/>
  <c r="CK57" i="41"/>
  <c r="BB26" i="38"/>
  <c r="AX67" i="25"/>
  <c r="CZ27" i="26"/>
  <c r="AT58" i="26"/>
  <c r="AZ10" i="38"/>
  <c r="X50" i="39"/>
  <c r="BE71" i="41"/>
  <c r="O30" i="1"/>
  <c r="CV65" i="25"/>
  <c r="Z81" i="41"/>
  <c r="CT29" i="38"/>
  <c r="BA17" i="1"/>
  <c r="DF81" i="38"/>
  <c r="CG13" i="41"/>
  <c r="CD96" i="39"/>
  <c r="AB102" i="36"/>
  <c r="CV48" i="26"/>
  <c r="J71" i="39"/>
  <c r="CW66" i="1"/>
  <c r="BB89" i="1"/>
  <c r="AV58" i="38"/>
  <c r="G98" i="1"/>
  <c r="AJ21" i="39"/>
  <c r="CL12" i="26"/>
  <c r="M54" i="38"/>
  <c r="CR21" i="39"/>
  <c r="DC59" i="25"/>
  <c r="CO71" i="36"/>
  <c r="AC60" i="41"/>
  <c r="CM17" i="1"/>
  <c r="AX57" i="40"/>
  <c r="AB13" i="1"/>
  <c r="CI65" i="40"/>
  <c r="AX9" i="40"/>
  <c r="AE59" i="1"/>
  <c r="CE67" i="41"/>
  <c r="BZ57" i="40"/>
  <c r="BZ21" i="41"/>
  <c r="CZ81" i="36"/>
  <c r="AA79" i="41"/>
  <c r="CZ65" i="40"/>
  <c r="CA25" i="1"/>
  <c r="U18" i="40"/>
  <c r="CO27" i="36"/>
  <c r="AT54" i="41"/>
  <c r="BU45" i="25"/>
  <c r="AV17" i="38"/>
  <c r="BS12" i="39"/>
  <c r="AR9" i="1"/>
  <c r="H9" i="39"/>
  <c r="BQ61" i="1"/>
  <c r="CM45" i="36"/>
  <c r="T62" i="40"/>
  <c r="AJ61" i="37"/>
  <c r="CG61" i="25"/>
  <c r="AX18" i="39"/>
  <c r="V81" i="38"/>
  <c r="CH66" i="25"/>
  <c r="H79" i="40"/>
  <c r="BW103" i="40"/>
  <c r="AB66" i="38"/>
  <c r="N62" i="40"/>
  <c r="BC92" i="1"/>
  <c r="CA34" i="40"/>
  <c r="CG62" i="41"/>
  <c r="AD48" i="40"/>
  <c r="H102" i="38"/>
  <c r="V75" i="40"/>
  <c r="M27" i="25"/>
  <c r="CG25" i="40"/>
  <c r="BO98" i="1"/>
  <c r="BC18" i="39"/>
  <c r="CK49" i="39"/>
  <c r="E40" i="64"/>
  <c r="AQ27" i="1"/>
  <c r="CE96" i="41"/>
  <c r="Y48" i="36"/>
  <c r="CG102" i="26"/>
  <c r="U57" i="36"/>
  <c r="Z10" i="40"/>
  <c r="DE17" i="41"/>
  <c r="AS62" i="36"/>
  <c r="CL53" i="41"/>
  <c r="BY61" i="37"/>
  <c r="M25" i="37"/>
  <c r="CU29" i="41"/>
  <c r="O71" i="26"/>
  <c r="CK58" i="41"/>
  <c r="O65" i="1"/>
  <c r="K47" i="60"/>
  <c r="CK18" i="40"/>
  <c r="CG54" i="26"/>
  <c r="DF81" i="36"/>
  <c r="DC10" i="41"/>
  <c r="BV12" i="41"/>
  <c r="CA29" i="1"/>
  <c r="BB60" i="40"/>
  <c r="L71" i="40"/>
  <c r="DE81" i="1"/>
  <c r="CX59" i="37"/>
  <c r="CB91" i="26"/>
  <c r="CZ67" i="41"/>
  <c r="CC26" i="38"/>
  <c r="CS49" i="36"/>
  <c r="AE29" i="40"/>
  <c r="CN27" i="37"/>
  <c r="DD57" i="26"/>
  <c r="AH62" i="38"/>
  <c r="AM29" i="41"/>
  <c r="CD91" i="26"/>
  <c r="AS91" i="41"/>
  <c r="AF67" i="25"/>
  <c r="CE29" i="38"/>
  <c r="BH89" i="37"/>
  <c r="CT58" i="26"/>
  <c r="CH45" i="39"/>
  <c r="AA27" i="40"/>
  <c r="AP34" i="1"/>
  <c r="AP50" i="39"/>
  <c r="AM53" i="40"/>
  <c r="M26" i="37"/>
  <c r="O27" i="36"/>
  <c r="BV45" i="38"/>
  <c r="AC50" i="41"/>
  <c r="AP34" i="37"/>
  <c r="CS17" i="37"/>
  <c r="BC48" i="1"/>
  <c r="CE34" i="1"/>
  <c r="K92" i="37"/>
  <c r="AJ67" i="1"/>
  <c r="BO25" i="26"/>
  <c r="DD21" i="38"/>
  <c r="AW98" i="37"/>
  <c r="AT53" i="39"/>
  <c r="CV59" i="40"/>
  <c r="CI71" i="36"/>
  <c r="CS81" i="39"/>
  <c r="DD45" i="41"/>
  <c r="BH102" i="26"/>
  <c r="BO103" i="1"/>
  <c r="CZ30" i="39"/>
  <c r="BR34" i="41"/>
  <c r="AD18" i="25"/>
  <c r="CB92" i="36"/>
  <c r="CB50" i="1"/>
  <c r="CZ102" i="39"/>
  <c r="U17" i="39"/>
  <c r="BA50" i="36"/>
  <c r="H96" i="36"/>
  <c r="J53" i="26"/>
  <c r="U37" i="41"/>
  <c r="CJ27" i="40"/>
  <c r="AO66" i="41"/>
  <c r="AY30" i="1"/>
  <c r="AY53" i="25"/>
  <c r="BV12" i="1"/>
  <c r="AH29" i="41"/>
  <c r="CD59" i="39"/>
  <c r="CB25" i="39"/>
  <c r="AN98" i="25"/>
  <c r="BP67" i="40"/>
  <c r="BO57" i="41"/>
  <c r="CG89" i="41"/>
  <c r="BU67" i="39"/>
  <c r="Y92" i="38"/>
  <c r="O12" i="41"/>
  <c r="BX37" i="39"/>
  <c r="I48" i="41"/>
  <c r="H45" i="59"/>
  <c r="AF34" i="25"/>
  <c r="BX58" i="1"/>
  <c r="CP60" i="37"/>
  <c r="X59" i="38"/>
  <c r="CZ30" i="38"/>
  <c r="DE81" i="26"/>
  <c r="BQ65" i="39"/>
  <c r="K65" i="38"/>
  <c r="DF34" i="40"/>
  <c r="N10" i="41"/>
  <c r="CJ13" i="40"/>
  <c r="CK61" i="39"/>
  <c r="CJ65" i="40"/>
  <c r="AZ45" i="40"/>
  <c r="DC53" i="25"/>
  <c r="BI26" i="36"/>
  <c r="CS10" i="1"/>
  <c r="CR24" i="41"/>
  <c r="DF30" i="36"/>
  <c r="CH34" i="36"/>
  <c r="CE103" i="1"/>
  <c r="DA49" i="37"/>
  <c r="BC67" i="26"/>
  <c r="AP96" i="25"/>
  <c r="AS59" i="36"/>
  <c r="CM98" i="38"/>
  <c r="BO10" i="38"/>
  <c r="BT66" i="25"/>
  <c r="X59" i="39"/>
  <c r="AW10" i="38"/>
  <c r="AZ81" i="25"/>
  <c r="BS53" i="40"/>
  <c r="AM79" i="36"/>
  <c r="CZ21" i="41"/>
  <c r="CN89" i="40"/>
  <c r="CX34" i="36"/>
  <c r="BQ30" i="36"/>
  <c r="CD34" i="25"/>
  <c r="CH25" i="38"/>
  <c r="BQ58" i="25"/>
  <c r="BI26" i="37"/>
  <c r="CS96" i="36"/>
  <c r="AZ34" i="36"/>
  <c r="CV49" i="25"/>
  <c r="AP67" i="25"/>
  <c r="BH50" i="26"/>
  <c r="G50" i="39"/>
  <c r="BC53" i="25"/>
  <c r="AA91" i="25"/>
  <c r="CR50" i="25"/>
  <c r="DE26" i="1"/>
  <c r="E8" i="64"/>
  <c r="AU65" i="39"/>
  <c r="AW13" i="26"/>
  <c r="AT79" i="40"/>
  <c r="J10" i="59"/>
  <c r="J45" i="40"/>
  <c r="V18" i="41"/>
  <c r="K60" i="38"/>
  <c r="CF67" i="1"/>
  <c r="AG30" i="38"/>
  <c r="X21" i="39"/>
  <c r="DD21" i="41"/>
  <c r="BD75" i="38"/>
  <c r="CU89" i="40"/>
  <c r="AS58" i="38"/>
  <c r="BW62" i="26"/>
  <c r="BR96" i="37"/>
  <c r="BT54" i="36"/>
  <c r="CV21" i="38"/>
  <c r="BR37" i="41"/>
  <c r="BA12" i="1"/>
  <c r="CC66" i="36"/>
  <c r="I59" i="41"/>
  <c r="AV81" i="1"/>
  <c r="DB92" i="40"/>
  <c r="S30" i="37"/>
  <c r="V10" i="26"/>
  <c r="BA66" i="39"/>
  <c r="O34" i="40"/>
  <c r="Z27" i="37"/>
  <c r="I102" i="36"/>
  <c r="BY13" i="39"/>
  <c r="BQ48" i="37"/>
  <c r="CF57" i="36"/>
  <c r="DA62" i="36"/>
  <c r="K12" i="25"/>
  <c r="AV62" i="38"/>
  <c r="CN37" i="38"/>
  <c r="BH65" i="37"/>
  <c r="CJ37" i="25"/>
  <c r="CZ30" i="26"/>
  <c r="CV89" i="25"/>
  <c r="BR13" i="38"/>
  <c r="AY65" i="1"/>
  <c r="CC25" i="39"/>
  <c r="BS53" i="41"/>
  <c r="AB67" i="36"/>
  <c r="CH57" i="40"/>
  <c r="L18" i="59"/>
  <c r="AY50" i="26"/>
  <c r="CJ57" i="41"/>
  <c r="CB96" i="36"/>
  <c r="CI79" i="37"/>
  <c r="BO29" i="41"/>
  <c r="CG10" i="40"/>
  <c r="H50" i="41"/>
  <c r="CD27" i="37"/>
  <c r="M50" i="46"/>
  <c r="AV53" i="40"/>
  <c r="CS92" i="25"/>
  <c r="AN96" i="26"/>
  <c r="AW92" i="40"/>
  <c r="CO98" i="39"/>
  <c r="CG79" i="1"/>
  <c r="AQ61" i="1"/>
  <c r="BU29" i="25"/>
  <c r="BT53" i="26"/>
  <c r="CN57" i="39"/>
  <c r="CB92" i="41"/>
  <c r="U21" i="40"/>
  <c r="BE91" i="26"/>
  <c r="AH12" i="40"/>
  <c r="CT13" i="37"/>
  <c r="AC59" i="25"/>
  <c r="BB89" i="41"/>
  <c r="Z59" i="39"/>
  <c r="W79" i="36"/>
  <c r="CV30" i="36"/>
  <c r="AU54" i="41"/>
  <c r="CJ67" i="36"/>
  <c r="AJ75" i="39"/>
  <c r="BE54" i="26"/>
  <c r="CF67" i="41"/>
  <c r="G58" i="39"/>
  <c r="G50" i="37"/>
  <c r="CD81" i="41"/>
  <c r="DF50" i="25"/>
  <c r="AI81" i="40"/>
  <c r="AJ12" i="39"/>
  <c r="L17" i="39"/>
  <c r="AQ48" i="1"/>
  <c r="X18" i="25"/>
  <c r="AO96" i="41"/>
  <c r="AV30" i="40"/>
  <c r="BQ96" i="41"/>
  <c r="AY65" i="39"/>
  <c r="BO60" i="1"/>
  <c r="AF24" i="38"/>
  <c r="CH58" i="26"/>
  <c r="CG26" i="37"/>
  <c r="AO9" i="26"/>
  <c r="CY71" i="41"/>
  <c r="AC9" i="37"/>
  <c r="S65" i="38"/>
  <c r="BE34" i="37"/>
  <c r="AC9" i="26"/>
  <c r="N26" i="37"/>
  <c r="CM62" i="39"/>
  <c r="AN12" i="1"/>
  <c r="BZ18" i="36"/>
  <c r="AY25" i="36"/>
  <c r="BD315" i="47"/>
  <c r="CE18" i="36"/>
  <c r="J61" i="60"/>
  <c r="AR48" i="1"/>
  <c r="Z34" i="38"/>
  <c r="AN25" i="40"/>
  <c r="CY60" i="37"/>
  <c r="AG98" i="38"/>
  <c r="CW92" i="26"/>
  <c r="CY29" i="37"/>
  <c r="S58" i="26"/>
  <c r="H25" i="26"/>
  <c r="BP48" i="26"/>
  <c r="DB26" i="37"/>
  <c r="CO102" i="38"/>
  <c r="BB24" i="36"/>
  <c r="Y57" i="40"/>
  <c r="CN29" i="25"/>
  <c r="AU79" i="1"/>
  <c r="AX62" i="40"/>
  <c r="AU18" i="40"/>
  <c r="AC79" i="25"/>
  <c r="CA75" i="25"/>
  <c r="AM45" i="40"/>
  <c r="Z58" i="26"/>
  <c r="AE67" i="39"/>
  <c r="Y81" i="39"/>
  <c r="BR67" i="1"/>
  <c r="BY67" i="37"/>
  <c r="AX67" i="38"/>
  <c r="DA9" i="25"/>
  <c r="CS75" i="40"/>
  <c r="AW49" i="1"/>
  <c r="CG17" i="39"/>
  <c r="J49" i="59"/>
  <c r="BT81" i="1"/>
  <c r="Z30" i="41"/>
  <c r="DE89" i="41"/>
  <c r="AM57" i="40"/>
  <c r="CV61" i="37"/>
  <c r="DD24" i="36"/>
  <c r="AQ9" i="41"/>
  <c r="X75" i="26"/>
  <c r="DD57" i="36"/>
  <c r="CO79" i="38"/>
  <c r="DF50" i="39"/>
  <c r="BY25" i="36"/>
  <c r="CN98" i="41"/>
  <c r="I71" i="37"/>
  <c r="BX30" i="25"/>
  <c r="AC24" i="40"/>
  <c r="AD45" i="26"/>
  <c r="L49" i="39"/>
  <c r="CB103" i="36"/>
  <c r="CM65" i="38"/>
  <c r="AT10" i="40"/>
  <c r="CL25" i="38"/>
  <c r="G59" i="1"/>
  <c r="AU24" i="26"/>
  <c r="S17" i="40"/>
  <c r="L48" i="37"/>
  <c r="BI48" i="41"/>
  <c r="I102" i="40"/>
  <c r="I30" i="39"/>
  <c r="AM96" i="40"/>
  <c r="AD67" i="26"/>
  <c r="AY12" i="41"/>
  <c r="U59" i="26"/>
  <c r="CP65" i="39"/>
  <c r="BQ29" i="36"/>
  <c r="Z61" i="36"/>
  <c r="BD49" i="38"/>
  <c r="BB65" i="40"/>
  <c r="BT10" i="38"/>
  <c r="CM10" i="40"/>
  <c r="AH81" i="41"/>
  <c r="BR25" i="25"/>
  <c r="BI49" i="38"/>
  <c r="BR79" i="26"/>
  <c r="Y66" i="41"/>
  <c r="BQ25" i="39"/>
  <c r="G37" i="1"/>
  <c r="I92" i="36"/>
  <c r="CD58" i="40"/>
  <c r="CE21" i="37"/>
  <c r="BQ98" i="38"/>
  <c r="AA67" i="36"/>
  <c r="BC10" i="26"/>
  <c r="DA61" i="36"/>
  <c r="AG61" i="25"/>
  <c r="V58" i="37"/>
  <c r="BY96" i="36"/>
  <c r="BR9" i="39"/>
  <c r="BH57" i="38"/>
  <c r="CC45" i="39"/>
  <c r="DD66" i="36"/>
  <c r="W60" i="39"/>
  <c r="H24" i="41"/>
  <c r="AX89" i="39"/>
  <c r="N66" i="41"/>
  <c r="AH10" i="41"/>
  <c r="O96" i="40"/>
  <c r="AC9" i="25"/>
  <c r="AB79" i="1"/>
  <c r="DF57" i="41"/>
  <c r="H45" i="38"/>
  <c r="M67" i="26"/>
  <c r="AD61" i="40"/>
  <c r="CZ45" i="36"/>
  <c r="AS91" i="25"/>
  <c r="BS30" i="26"/>
  <c r="AM79" i="41"/>
  <c r="CR71" i="38"/>
  <c r="BS49" i="41"/>
  <c r="Y12" i="39"/>
  <c r="BD34" i="37"/>
  <c r="CR48" i="38"/>
  <c r="DF21" i="1"/>
  <c r="AV9" i="40"/>
  <c r="CV13" i="1"/>
  <c r="CU79" i="36"/>
  <c r="K12" i="59"/>
  <c r="BP103" i="37"/>
  <c r="AJ59" i="26"/>
  <c r="AP25" i="37"/>
  <c r="AC96" i="40"/>
  <c r="W29" i="37"/>
  <c r="CW57" i="1"/>
  <c r="L98" i="26"/>
  <c r="CW26" i="40"/>
  <c r="AA91" i="1"/>
  <c r="AT102" i="26"/>
  <c r="AC25" i="41"/>
  <c r="BB59" i="38"/>
  <c r="DF59" i="38"/>
  <c r="CL62" i="1"/>
  <c r="AV13" i="1"/>
  <c r="CB13" i="37"/>
  <c r="AP58" i="26"/>
  <c r="AF81" i="38"/>
  <c r="CA50" i="38"/>
  <c r="DE96" i="26"/>
  <c r="DD98" i="41"/>
  <c r="CW75" i="25"/>
  <c r="BX102" i="1"/>
  <c r="BI29" i="41"/>
  <c r="BH50" i="38"/>
  <c r="CF50" i="1"/>
  <c r="CN92" i="41"/>
  <c r="CC66" i="1"/>
  <c r="BR65" i="41"/>
  <c r="BT75" i="26"/>
  <c r="AP79" i="25"/>
  <c r="DE66" i="39"/>
  <c r="CF96" i="40"/>
  <c r="AH34" i="38"/>
  <c r="CS37" i="40"/>
  <c r="CK9" i="36"/>
  <c r="CF12" i="26"/>
  <c r="BT26" i="26"/>
  <c r="BO21" i="38"/>
  <c r="AP13" i="25"/>
  <c r="CQ54" i="39"/>
  <c r="U54" i="41"/>
  <c r="DD58" i="40"/>
  <c r="BZ67" i="1"/>
  <c r="CJ12" i="36"/>
  <c r="M98" i="41"/>
  <c r="BH62" i="38"/>
  <c r="CG29" i="25"/>
  <c r="CD61" i="36"/>
  <c r="AD50" i="41"/>
  <c r="AP67" i="1"/>
  <c r="Y30" i="36"/>
  <c r="CO37" i="39"/>
  <c r="AD37" i="41"/>
  <c r="BS18" i="38"/>
  <c r="DE48" i="37"/>
  <c r="BB27" i="37"/>
  <c r="CA30" i="37"/>
  <c r="I58" i="39"/>
  <c r="J12" i="38"/>
  <c r="J29" i="36"/>
  <c r="Z96" i="37"/>
  <c r="Y34" i="41"/>
  <c r="DE45" i="40"/>
  <c r="V29" i="25"/>
  <c r="Z67" i="36"/>
  <c r="CR17" i="26"/>
  <c r="J7" i="59"/>
  <c r="CA57" i="39"/>
  <c r="H21" i="37"/>
  <c r="BR26" i="40"/>
  <c r="AB45" i="39"/>
  <c r="F19" i="46"/>
  <c r="AI89" i="38"/>
  <c r="BA79" i="41"/>
  <c r="Y10" i="26"/>
  <c r="AB34" i="26"/>
  <c r="CZ25" i="25"/>
  <c r="AE30" i="38"/>
  <c r="AW25" i="26"/>
  <c r="CA92" i="39"/>
  <c r="CP98" i="1"/>
  <c r="AQ91" i="26"/>
  <c r="AW91" i="38"/>
  <c r="AW96" i="38"/>
  <c r="DF60" i="37"/>
  <c r="CL102" i="25"/>
  <c r="AP18" i="38"/>
  <c r="AM37" i="39"/>
  <c r="BI10" i="25"/>
  <c r="CV10" i="38"/>
  <c r="BT75" i="1"/>
  <c r="BE17" i="36"/>
  <c r="G25" i="26"/>
  <c r="CC67" i="41"/>
  <c r="P21" i="40"/>
  <c r="CW98" i="39"/>
  <c r="DD58" i="36"/>
  <c r="AN21" i="36"/>
  <c r="AZ25" i="36"/>
  <c r="DA91" i="40"/>
  <c r="BX60" i="40"/>
  <c r="CL58" i="25"/>
  <c r="AJ24" i="41"/>
  <c r="N50" i="39"/>
  <c r="CK37" i="1"/>
  <c r="DF27" i="37"/>
  <c r="CV26" i="26"/>
  <c r="DD17" i="40"/>
  <c r="BH13" i="26"/>
  <c r="J26" i="1"/>
  <c r="CO102" i="40"/>
  <c r="AZ30" i="26"/>
  <c r="P62" i="37"/>
  <c r="AS13" i="25"/>
  <c r="Y13" i="38"/>
  <c r="BW24" i="39"/>
  <c r="AS49" i="1"/>
  <c r="Y37" i="37"/>
  <c r="AV66" i="38"/>
  <c r="AA37" i="1"/>
  <c r="W54" i="37"/>
  <c r="S92" i="40"/>
  <c r="I37" i="37"/>
  <c r="CO34" i="41"/>
  <c r="BR61" i="38"/>
  <c r="AZ92" i="41"/>
  <c r="AF54" i="1"/>
  <c r="P12" i="37"/>
  <c r="BC45" i="36"/>
  <c r="CP71" i="39"/>
  <c r="CX59" i="26"/>
  <c r="BQ66" i="38"/>
  <c r="AG48" i="25"/>
  <c r="CX54" i="40"/>
  <c r="L58" i="38"/>
  <c r="DD60" i="40"/>
  <c r="U75" i="41"/>
  <c r="DD49" i="36"/>
  <c r="BO49" i="40"/>
  <c r="BR71" i="41"/>
  <c r="BY10" i="26"/>
  <c r="U65" i="26"/>
  <c r="CY21" i="36"/>
  <c r="V49" i="25"/>
  <c r="BS26" i="40"/>
  <c r="CP48" i="40"/>
  <c r="U12" i="39"/>
  <c r="BA29" i="36"/>
  <c r="Z75" i="26"/>
  <c r="AR34" i="36"/>
  <c r="O71" i="39"/>
  <c r="I82" i="60"/>
  <c r="CY91" i="38"/>
  <c r="AH12" i="37"/>
  <c r="CD102" i="26"/>
  <c r="CM25" i="39"/>
  <c r="N71" i="1"/>
  <c r="CS54" i="1"/>
  <c r="BY26" i="1"/>
  <c r="AS49" i="39"/>
  <c r="F51" i="46"/>
  <c r="CT57" i="37"/>
  <c r="CT65" i="41"/>
  <c r="AD10" i="36"/>
  <c r="Z53" i="37"/>
  <c r="AE9" i="26"/>
  <c r="AE98" i="38"/>
  <c r="CP25" i="26"/>
  <c r="S71" i="36"/>
  <c r="AF12" i="36"/>
  <c r="CN9" i="39"/>
  <c r="J57" i="38"/>
  <c r="CJ34" i="1"/>
  <c r="BV79" i="37"/>
  <c r="AR24" i="41"/>
  <c r="AC27" i="37"/>
  <c r="AO17" i="26"/>
  <c r="BA61" i="37"/>
  <c r="J67" i="38"/>
  <c r="H56" i="60"/>
  <c r="AD17" i="38"/>
  <c r="BA24" i="26"/>
  <c r="CB18" i="39"/>
  <c r="DC30" i="26"/>
  <c r="S34" i="38"/>
  <c r="CU29" i="37"/>
  <c r="AT67" i="25"/>
  <c r="AU29" i="36"/>
  <c r="CY48" i="38"/>
  <c r="AF12" i="26"/>
  <c r="Y60" i="36"/>
  <c r="CL48" i="25"/>
  <c r="Y48" i="26"/>
  <c r="CV21" i="40"/>
  <c r="Y62" i="38"/>
  <c r="CN24" i="41"/>
  <c r="CU102" i="41"/>
  <c r="AT45" i="26"/>
  <c r="I54" i="1"/>
  <c r="BX59" i="39"/>
  <c r="AP96" i="38"/>
  <c r="M89" i="38"/>
  <c r="BV98" i="26"/>
  <c r="AP9" i="25"/>
  <c r="H29" i="41"/>
  <c r="AR75" i="25"/>
  <c r="CT12" i="37"/>
  <c r="AV79" i="38"/>
  <c r="BS29" i="37"/>
  <c r="CV53" i="40"/>
  <c r="DB10" i="38"/>
  <c r="X91" i="25"/>
  <c r="X9" i="37"/>
  <c r="M91" i="36"/>
  <c r="AV92" i="38"/>
  <c r="CH92" i="38"/>
  <c r="N65" i="38"/>
  <c r="T50" i="40"/>
  <c r="K26" i="38"/>
  <c r="CL61" i="39"/>
  <c r="BB30" i="40"/>
  <c r="DA27" i="36"/>
  <c r="CZ50" i="1"/>
  <c r="J29" i="37"/>
  <c r="Y54" i="25"/>
  <c r="H91" i="1"/>
  <c r="P21" i="38"/>
  <c r="DE54" i="39"/>
  <c r="AJ57" i="39"/>
  <c r="AJ48" i="39"/>
  <c r="J67" i="64"/>
  <c r="BE75" i="26"/>
  <c r="P25" i="37"/>
  <c r="DD103" i="41"/>
  <c r="BO61" i="38"/>
  <c r="AW34" i="26"/>
  <c r="CH59" i="40"/>
  <c r="BY61" i="40"/>
  <c r="CM25" i="41"/>
  <c r="CN24" i="26"/>
  <c r="CJ54" i="41"/>
  <c r="H92" i="41"/>
  <c r="CY10" i="39"/>
  <c r="Z58" i="37"/>
  <c r="AP54" i="1"/>
  <c r="CX50" i="25"/>
  <c r="DF89" i="25"/>
  <c r="G24" i="60"/>
  <c r="AG29" i="39"/>
  <c r="BQ62" i="1"/>
  <c r="CQ62" i="25"/>
  <c r="AS89" i="36"/>
  <c r="AT21" i="36"/>
  <c r="X13" i="39"/>
  <c r="CZ21" i="25"/>
  <c r="AV91" i="39"/>
  <c r="BA81" i="40"/>
  <c r="CL13" i="37"/>
  <c r="AY54" i="41"/>
  <c r="H46" i="59"/>
  <c r="AN89" i="39"/>
  <c r="CA58" i="36"/>
  <c r="CZ96" i="36"/>
  <c r="DE98" i="40"/>
  <c r="CA45" i="41"/>
  <c r="AQ27" i="38"/>
  <c r="CJ12" i="25"/>
  <c r="U67" i="40"/>
  <c r="T21" i="40"/>
  <c r="AB81" i="36"/>
  <c r="DF48" i="1"/>
  <c r="BD61" i="26"/>
  <c r="BO29" i="38"/>
  <c r="J44" i="59"/>
  <c r="AO34" i="40"/>
  <c r="E10" i="60"/>
  <c r="BT60" i="1"/>
  <c r="BR58" i="1"/>
  <c r="CZ10" i="1"/>
  <c r="BV89" i="36"/>
  <c r="CN79" i="41"/>
  <c r="CT71" i="36"/>
  <c r="BD29" i="39"/>
  <c r="AQ25" i="36"/>
  <c r="M71" i="36"/>
  <c r="BB92" i="39"/>
  <c r="CN27" i="26"/>
  <c r="CY18" i="36"/>
  <c r="L90" i="64"/>
  <c r="S67" i="39"/>
  <c r="BP57" i="40"/>
  <c r="AR53" i="26"/>
  <c r="AC48" i="37"/>
  <c r="CQ75" i="37"/>
  <c r="BI58" i="37"/>
  <c r="DE102" i="38"/>
  <c r="AM26" i="36"/>
  <c r="BR54" i="36"/>
  <c r="I57" i="25"/>
  <c r="BI89" i="40"/>
  <c r="AZ24" i="36"/>
  <c r="AP61" i="25"/>
  <c r="AF9" i="26"/>
  <c r="BD62" i="25"/>
  <c r="AQ67" i="38"/>
  <c r="L53" i="38"/>
  <c r="AZ102" i="36"/>
  <c r="AJ25" i="36"/>
  <c r="CU13" i="38"/>
  <c r="BS96" i="37"/>
  <c r="DE21" i="41"/>
  <c r="CG18" i="38"/>
  <c r="AG26" i="38"/>
  <c r="AU10" i="39"/>
  <c r="BT45" i="25"/>
  <c r="DA66" i="25"/>
  <c r="BC59" i="38"/>
  <c r="DE12" i="25"/>
  <c r="CC57" i="41"/>
  <c r="BX67" i="1"/>
  <c r="CS48" i="26"/>
  <c r="BW26" i="26"/>
  <c r="CZ30" i="36"/>
  <c r="CC53" i="39"/>
  <c r="BB57" i="40"/>
  <c r="Y92" i="26"/>
  <c r="DF66" i="40"/>
  <c r="CI54" i="38"/>
  <c r="AC12" i="25"/>
  <c r="BB315" i="47"/>
  <c r="AX81" i="38"/>
  <c r="BX53" i="36"/>
  <c r="J17" i="25"/>
  <c r="BY45" i="26"/>
  <c r="BA123" i="47"/>
  <c r="W26" i="41"/>
  <c r="CS59" i="39"/>
  <c r="K37" i="46"/>
  <c r="BV25" i="39"/>
  <c r="F15" i="60"/>
  <c r="G30" i="26"/>
  <c r="DD12" i="37"/>
  <c r="CA71" i="37"/>
  <c r="AE67" i="1"/>
  <c r="BA67" i="25"/>
  <c r="BI30" i="38"/>
  <c r="CG50" i="25"/>
  <c r="CJ91" i="38"/>
  <c r="CT34" i="40"/>
  <c r="BE37" i="40"/>
  <c r="AJ58" i="36"/>
  <c r="X54" i="41"/>
  <c r="BU48" i="38"/>
  <c r="N65" i="41"/>
  <c r="CN65" i="25"/>
  <c r="CQ9" i="39"/>
  <c r="CG45" i="25"/>
  <c r="CU79" i="26"/>
  <c r="BU79" i="25"/>
  <c r="K24" i="37"/>
  <c r="AW34" i="39"/>
  <c r="CY57" i="37"/>
  <c r="CX24" i="26"/>
  <c r="AM48" i="25"/>
  <c r="BY58" i="38"/>
  <c r="CQ102" i="1"/>
  <c r="AJ92" i="26"/>
  <c r="AN59" i="1"/>
  <c r="BT34" i="40"/>
  <c r="CW27" i="40"/>
  <c r="CO75" i="25"/>
  <c r="CI102" i="41"/>
  <c r="E16" i="60"/>
  <c r="CO50" i="36"/>
  <c r="DF67" i="25"/>
  <c r="W48" i="1"/>
  <c r="T54" i="25"/>
  <c r="DD61" i="25"/>
  <c r="CP48" i="26"/>
  <c r="AR25" i="37"/>
  <c r="BU18" i="26"/>
  <c r="CB12" i="38"/>
  <c r="CZ37" i="25"/>
  <c r="AQ9" i="39"/>
  <c r="N18" i="41"/>
  <c r="CN49" i="39"/>
  <c r="AP27" i="26"/>
  <c r="BW79" i="40"/>
  <c r="H18" i="59"/>
  <c r="M61" i="40"/>
  <c r="AU81" i="41"/>
  <c r="AR71" i="41"/>
  <c r="CG25" i="41"/>
  <c r="AV53" i="37"/>
  <c r="CR17" i="25"/>
  <c r="O79" i="41"/>
  <c r="BA48" i="40"/>
  <c r="U10" i="38"/>
  <c r="CD10" i="36"/>
  <c r="V29" i="37"/>
  <c r="T60" i="1"/>
  <c r="BP89" i="40"/>
  <c r="CG65" i="40"/>
  <c r="BZ27" i="41"/>
  <c r="K71" i="39"/>
  <c r="DD62" i="41"/>
  <c r="BH61" i="25"/>
  <c r="AG71" i="41"/>
  <c r="CF10" i="41"/>
  <c r="T57" i="41"/>
  <c r="CN53" i="38"/>
  <c r="CZ58" i="1"/>
  <c r="BQ34" i="1"/>
  <c r="DD89" i="38"/>
  <c r="CZ27" i="36"/>
  <c r="CR37" i="41"/>
  <c r="CG103" i="36"/>
  <c r="CR49" i="25"/>
  <c r="CE102" i="39"/>
  <c r="CF53" i="26"/>
  <c r="CM60" i="38"/>
  <c r="CO24" i="36"/>
  <c r="BZ17" i="38"/>
  <c r="AD21" i="37"/>
  <c r="BW79" i="25"/>
  <c r="X79" i="36"/>
  <c r="AZ17" i="40"/>
  <c r="BV62" i="26"/>
  <c r="AP54" i="41"/>
  <c r="AD66" i="26"/>
  <c r="AR12" i="36"/>
  <c r="CM59" i="37"/>
  <c r="J13" i="40"/>
  <c r="S30" i="36"/>
  <c r="I27" i="37"/>
  <c r="BD79" i="1"/>
  <c r="I96" i="26"/>
  <c r="AY29" i="39"/>
  <c r="BH9" i="41"/>
  <c r="CP96" i="40"/>
  <c r="BB130" i="47"/>
  <c r="CF17" i="26"/>
  <c r="K50" i="46"/>
  <c r="CJ67" i="40"/>
  <c r="T66" i="39"/>
  <c r="CG71" i="40"/>
  <c r="BP12" i="41"/>
  <c r="DC91" i="26"/>
  <c r="AQ37" i="25"/>
  <c r="DE57" i="40"/>
  <c r="Y91" i="37"/>
  <c r="BI24" i="38"/>
  <c r="CA60" i="38"/>
  <c r="BS53" i="37"/>
  <c r="Y89" i="36"/>
  <c r="BQ61" i="37"/>
  <c r="CT71" i="41"/>
  <c r="CI61" i="25"/>
  <c r="BC67" i="40"/>
  <c r="CT58" i="41"/>
  <c r="CO24" i="38"/>
  <c r="BH58" i="1"/>
  <c r="AU25" i="37"/>
  <c r="H8" i="64"/>
  <c r="DA9" i="36"/>
  <c r="V65" i="37"/>
  <c r="CU24" i="37"/>
  <c r="AE54" i="25"/>
  <c r="CN18" i="38"/>
  <c r="DD10" i="37"/>
  <c r="L102" i="39"/>
  <c r="BC102" i="38"/>
  <c r="CK89" i="1"/>
  <c r="CV9" i="25"/>
  <c r="AZ122" i="47"/>
  <c r="T48" i="37"/>
  <c r="BI54" i="26"/>
  <c r="W79" i="38"/>
  <c r="CQ21" i="25"/>
  <c r="CR29" i="25"/>
  <c r="AN13" i="41"/>
  <c r="DE37" i="1"/>
  <c r="DC24" i="37"/>
  <c r="I75" i="37"/>
  <c r="CH24" i="39"/>
  <c r="BV92" i="40"/>
  <c r="Y79" i="38"/>
  <c r="BQ89" i="38"/>
  <c r="BC79" i="41"/>
  <c r="BU10" i="25"/>
  <c r="CE37" i="40"/>
  <c r="DC29" i="36"/>
  <c r="BY89" i="41"/>
  <c r="CV12" i="26"/>
  <c r="DA96" i="1"/>
  <c r="AX10" i="38"/>
  <c r="O26" i="25"/>
  <c r="CU17" i="25"/>
  <c r="AE66" i="26"/>
  <c r="O48" i="39"/>
  <c r="CT96" i="25"/>
  <c r="AG50" i="36"/>
  <c r="AQ27" i="36"/>
  <c r="CK75" i="1"/>
  <c r="AY318" i="47"/>
  <c r="BR9" i="36"/>
  <c r="CY25" i="37"/>
  <c r="BO48" i="37"/>
  <c r="BS10" i="36"/>
  <c r="CS91" i="40"/>
  <c r="BH10" i="1"/>
  <c r="W89" i="25"/>
  <c r="CO26" i="37"/>
  <c r="BW24" i="25"/>
  <c r="CF60" i="40"/>
  <c r="BZ66" i="40"/>
  <c r="AE10" i="38"/>
  <c r="BH27" i="38"/>
  <c r="CV29" i="39"/>
  <c r="N65" i="40"/>
  <c r="AZ45" i="41"/>
  <c r="BE25" i="25"/>
  <c r="AX9" i="37"/>
  <c r="CD57" i="1"/>
  <c r="AG50" i="40"/>
  <c r="CJ66" i="25"/>
  <c r="CJ10" i="41"/>
  <c r="AI37" i="41"/>
  <c r="I9" i="40"/>
  <c r="V29" i="39"/>
  <c r="AQ24" i="40"/>
  <c r="BV66" i="39"/>
  <c r="CQ92" i="41"/>
  <c r="BE30" i="37"/>
  <c r="CR62" i="39"/>
  <c r="AD57" i="36"/>
  <c r="CJ92" i="36"/>
  <c r="X57" i="36"/>
  <c r="BC13" i="36"/>
  <c r="BW29" i="41"/>
  <c r="M63" i="60"/>
  <c r="G56" i="60"/>
  <c r="N45" i="39"/>
  <c r="CQ18" i="39"/>
  <c r="I59" i="25"/>
  <c r="BU18" i="38"/>
  <c r="H48" i="37"/>
  <c r="AP66" i="37"/>
  <c r="BT12" i="38"/>
  <c r="L49" i="41"/>
  <c r="W21" i="36"/>
  <c r="CA37" i="1"/>
  <c r="M57" i="37"/>
  <c r="AT61" i="36"/>
  <c r="AU67" i="38"/>
  <c r="L60" i="39"/>
  <c r="CI65" i="36"/>
  <c r="AJ10" i="37"/>
  <c r="BT27" i="38"/>
  <c r="CP9" i="41"/>
  <c r="AZ62" i="39"/>
  <c r="AQ98" i="37"/>
  <c r="P18" i="41"/>
  <c r="T24" i="40"/>
  <c r="CL34" i="38"/>
  <c r="DA27" i="40"/>
  <c r="CZ21" i="1"/>
  <c r="Y81" i="40"/>
  <c r="J82" i="60"/>
  <c r="BQ17" i="41"/>
  <c r="BR59" i="1"/>
  <c r="Y79" i="37"/>
  <c r="M18" i="25"/>
  <c r="CI103" i="37"/>
  <c r="DC10" i="38"/>
  <c r="AN67" i="40"/>
  <c r="V13" i="41"/>
  <c r="BW91" i="36"/>
  <c r="CS54" i="37"/>
  <c r="CU57" i="1"/>
  <c r="AN18" i="1"/>
  <c r="AY13" i="41"/>
  <c r="AF25" i="1"/>
  <c r="W27" i="40"/>
  <c r="M53" i="25"/>
  <c r="CI96" i="25"/>
  <c r="BP66" i="40"/>
  <c r="CT24" i="37"/>
  <c r="P81" i="40"/>
  <c r="Y61" i="41"/>
  <c r="AE92" i="39"/>
  <c r="AP59" i="40"/>
  <c r="U54" i="36"/>
  <c r="BD89" i="41"/>
  <c r="CN37" i="39"/>
  <c r="DB9" i="1"/>
  <c r="BR45" i="1"/>
  <c r="X67" i="1"/>
  <c r="BS18" i="40"/>
  <c r="BV61" i="41"/>
  <c r="CE57" i="38"/>
  <c r="G81" i="37"/>
  <c r="AE60" i="1"/>
  <c r="CL26" i="41"/>
  <c r="L54" i="59"/>
  <c r="M96" i="26"/>
  <c r="W49" i="25"/>
  <c r="BR91" i="40"/>
  <c r="CF62" i="1"/>
  <c r="BH21" i="36"/>
  <c r="CP29" i="26"/>
  <c r="BH27" i="36"/>
  <c r="CY30" i="41"/>
  <c r="X13" i="37"/>
  <c r="BD50" i="1"/>
  <c r="AV45" i="38"/>
  <c r="AG18" i="40"/>
  <c r="CR54" i="41"/>
  <c r="CE53" i="26"/>
  <c r="BR24" i="36"/>
  <c r="AJ10" i="25"/>
  <c r="U30" i="1"/>
  <c r="CM62" i="36"/>
  <c r="CB29" i="37"/>
  <c r="AY13" i="39"/>
  <c r="AF13" i="25"/>
  <c r="AY29" i="26"/>
  <c r="CI62" i="25"/>
  <c r="CQ9" i="26"/>
  <c r="AR75" i="37"/>
  <c r="AR61" i="39"/>
  <c r="BX75" i="25"/>
  <c r="K65" i="1"/>
  <c r="BI29" i="26"/>
  <c r="AC9" i="1"/>
  <c r="BP89" i="37"/>
  <c r="H6" i="59"/>
  <c r="M71" i="38"/>
  <c r="AS27" i="1"/>
  <c r="CU18" i="25"/>
  <c r="CU58" i="38"/>
  <c r="DB13" i="36"/>
  <c r="AP45" i="38"/>
  <c r="AW27" i="36"/>
  <c r="BY37" i="26"/>
  <c r="BE89" i="37"/>
  <c r="AZ96" i="37"/>
  <c r="AS18" i="39"/>
  <c r="CZ71" i="41"/>
  <c r="AF50" i="37"/>
  <c r="CA26" i="25"/>
  <c r="G61" i="39"/>
  <c r="CB49" i="25"/>
  <c r="BH58" i="25"/>
  <c r="CL71" i="38"/>
  <c r="BO37" i="36"/>
  <c r="AV10" i="1"/>
  <c r="Y10" i="1"/>
  <c r="CT81" i="40"/>
  <c r="BV81" i="39"/>
  <c r="P17" i="39"/>
  <c r="DE54" i="26"/>
  <c r="AV92" i="1"/>
  <c r="AI54" i="40"/>
  <c r="CY18" i="26"/>
  <c r="L12" i="59"/>
  <c r="AU21" i="41"/>
  <c r="DD10" i="39"/>
  <c r="BY54" i="26"/>
  <c r="H54" i="39"/>
  <c r="AH24" i="39"/>
  <c r="J49" i="40"/>
  <c r="AW54" i="38"/>
  <c r="DC89" i="39"/>
  <c r="CE48" i="1"/>
  <c r="CH12" i="1"/>
  <c r="AR54" i="1"/>
  <c r="BC50" i="40"/>
  <c r="AJ29" i="39"/>
  <c r="M66" i="1"/>
  <c r="N24" i="25"/>
  <c r="AV59" i="26"/>
  <c r="BB13" i="40"/>
  <c r="BR54" i="41"/>
  <c r="AU57" i="26"/>
  <c r="CZ12" i="25"/>
  <c r="AI17" i="41"/>
  <c r="H37" i="41"/>
  <c r="CT48" i="36"/>
  <c r="AJ92" i="36"/>
  <c r="AX29" i="38"/>
  <c r="BZ81" i="25"/>
  <c r="CL71" i="41"/>
  <c r="AY91" i="26"/>
  <c r="T29" i="41"/>
  <c r="AX66" i="38"/>
  <c r="AC60" i="36"/>
  <c r="M21" i="38"/>
  <c r="AW18" i="40"/>
  <c r="AZ10" i="26"/>
  <c r="F26" i="46"/>
  <c r="DE12" i="26"/>
  <c r="BS45" i="41"/>
  <c r="BC98" i="36"/>
  <c r="BB21" i="25"/>
  <c r="V91" i="25"/>
  <c r="BH57" i="40"/>
  <c r="P54" i="59"/>
  <c r="BC49" i="38"/>
  <c r="I10" i="39"/>
  <c r="L79" i="26"/>
  <c r="CV49" i="41"/>
  <c r="O54" i="41"/>
  <c r="CD59" i="40"/>
  <c r="Y57" i="25"/>
  <c r="AH57" i="41"/>
  <c r="BE61" i="41"/>
  <c r="O10" i="38"/>
  <c r="Z17" i="40"/>
  <c r="BC37" i="36"/>
  <c r="AE26" i="25"/>
  <c r="T13" i="41"/>
  <c r="CY89" i="36"/>
  <c r="CB66" i="40"/>
  <c r="DB66" i="41"/>
  <c r="AN27" i="26"/>
  <c r="O75" i="39"/>
  <c r="P89" i="40"/>
  <c r="AO27" i="36"/>
  <c r="AE13" i="36"/>
  <c r="AW37" i="38"/>
  <c r="BE26" i="36"/>
  <c r="AQ92" i="39"/>
  <c r="AB24" i="41"/>
  <c r="CL37" i="37"/>
  <c r="CT71" i="39"/>
  <c r="BR25" i="26"/>
  <c r="N48" i="25"/>
  <c r="BZ92" i="41"/>
  <c r="BO50" i="26"/>
  <c r="CB26" i="40"/>
  <c r="CX30" i="41"/>
  <c r="AF54" i="38"/>
  <c r="BF123" i="47"/>
  <c r="CE91" i="41"/>
  <c r="AH102" i="41"/>
  <c r="CJ61" i="41"/>
  <c r="CV62" i="26"/>
  <c r="CO30" i="39"/>
  <c r="J49" i="38"/>
  <c r="CC10" i="36"/>
  <c r="W50" i="40"/>
  <c r="CK37" i="25"/>
  <c r="AP60" i="39"/>
  <c r="BQ96" i="37"/>
  <c r="BH24" i="36"/>
  <c r="CD92" i="38"/>
  <c r="CH65" i="41"/>
  <c r="AU96" i="1"/>
  <c r="L12" i="1"/>
  <c r="V30" i="26"/>
  <c r="K53" i="36"/>
  <c r="L29" i="38"/>
  <c r="CU13" i="37"/>
  <c r="AC50" i="25"/>
  <c r="K45" i="1"/>
  <c r="P53" i="36"/>
  <c r="DF79" i="1"/>
  <c r="T27" i="1"/>
  <c r="CF65" i="37"/>
  <c r="BU17" i="38"/>
  <c r="AI50" i="26"/>
  <c r="BC60" i="39"/>
  <c r="CX54" i="41"/>
  <c r="S37" i="38"/>
  <c r="AG53" i="40"/>
  <c r="AA49" i="38"/>
  <c r="AC50" i="39"/>
  <c r="CE66" i="37"/>
  <c r="AP26" i="25"/>
  <c r="AY29" i="25"/>
  <c r="AJ62" i="37"/>
  <c r="AU61" i="38"/>
  <c r="DC18" i="40"/>
  <c r="CP57" i="41"/>
  <c r="CI30" i="37"/>
  <c r="Z60" i="37"/>
  <c r="X30" i="25"/>
  <c r="BO102" i="40"/>
  <c r="CD24" i="26"/>
  <c r="S66" i="38"/>
  <c r="Z25" i="40"/>
  <c r="CL58" i="26"/>
  <c r="BY54" i="40"/>
  <c r="CD17" i="36"/>
  <c r="AM25" i="39"/>
  <c r="CY9" i="25"/>
  <c r="AT50" i="37"/>
  <c r="CY24" i="39"/>
  <c r="AV50" i="40"/>
  <c r="CF13" i="26"/>
  <c r="J57" i="60"/>
  <c r="BV27" i="25"/>
  <c r="BE18" i="40"/>
  <c r="BO103" i="26"/>
  <c r="Z48" i="41"/>
  <c r="DA48" i="25"/>
  <c r="AW24" i="41"/>
  <c r="CT45" i="37"/>
  <c r="BZ21" i="39"/>
  <c r="H21" i="39"/>
  <c r="BU102" i="36"/>
  <c r="AG17" i="25"/>
  <c r="CL61" i="36"/>
  <c r="AD61" i="25"/>
  <c r="CE81" i="25"/>
  <c r="P21" i="41"/>
  <c r="BS45" i="25"/>
  <c r="CH27" i="37"/>
  <c r="BI30" i="26"/>
  <c r="AJ59" i="39"/>
  <c r="AV25" i="26"/>
  <c r="AQ71" i="36"/>
  <c r="CC10" i="37"/>
  <c r="BE30" i="1"/>
  <c r="CP61" i="39"/>
  <c r="X71" i="1"/>
  <c r="DD30" i="26"/>
  <c r="CR9" i="36"/>
  <c r="AI34" i="40"/>
  <c r="W91" i="39"/>
  <c r="P89" i="1"/>
  <c r="CB29" i="40"/>
  <c r="H62" i="39"/>
  <c r="N10" i="25"/>
  <c r="V26" i="25"/>
  <c r="AJ50" i="38"/>
  <c r="H65" i="37"/>
  <c r="DA53" i="36"/>
  <c r="V17" i="37"/>
  <c r="AE61" i="40"/>
  <c r="BU27" i="25"/>
  <c r="CV53" i="26"/>
  <c r="BC91" i="40"/>
  <c r="AP10" i="26"/>
  <c r="AM59" i="25"/>
  <c r="CX24" i="25"/>
  <c r="AS37" i="36"/>
  <c r="AD17" i="1"/>
  <c r="AS102" i="41"/>
  <c r="CD9" i="37"/>
  <c r="CV92" i="26"/>
  <c r="AA9" i="40"/>
  <c r="BU27" i="1"/>
  <c r="AS58" i="37"/>
  <c r="AR66" i="25"/>
  <c r="N53" i="25"/>
  <c r="CC57" i="1"/>
  <c r="CD21" i="26"/>
  <c r="CG48" i="39"/>
  <c r="CL13" i="40"/>
  <c r="CV18" i="41"/>
  <c r="AF75" i="38"/>
  <c r="AO98" i="25"/>
  <c r="BX60" i="1"/>
  <c r="CM103" i="25"/>
  <c r="V57" i="25"/>
  <c r="DF29" i="37"/>
  <c r="V12" i="37"/>
  <c r="BQ67" i="38"/>
  <c r="BC54" i="38"/>
  <c r="BT62" i="41"/>
  <c r="Y79" i="39"/>
  <c r="BO18" i="41"/>
  <c r="AJ92" i="39"/>
  <c r="BH66" i="25"/>
  <c r="AZ102" i="26"/>
  <c r="BW92" i="41"/>
  <c r="CT66" i="40"/>
  <c r="CF96" i="41"/>
  <c r="AR10" i="38"/>
  <c r="AG49" i="37"/>
  <c r="BS103" i="25"/>
  <c r="Y37" i="40"/>
  <c r="CQ21" i="41"/>
  <c r="CJ54" i="26"/>
  <c r="BI75" i="40"/>
  <c r="BE75" i="38"/>
  <c r="AB75" i="38"/>
  <c r="AR12" i="1"/>
  <c r="BB49" i="37"/>
  <c r="CH34" i="25"/>
  <c r="BW13" i="41"/>
  <c r="AI67" i="1"/>
  <c r="G79" i="40"/>
  <c r="BB71" i="40"/>
  <c r="CY24" i="41"/>
  <c r="H11" i="64"/>
  <c r="CP48" i="25"/>
  <c r="BV71" i="1"/>
  <c r="AY126" i="47"/>
  <c r="X12" i="38"/>
  <c r="AS50" i="41"/>
  <c r="AV92" i="39"/>
  <c r="CN30" i="40"/>
  <c r="AC67" i="25"/>
  <c r="CQ79" i="41"/>
  <c r="L21" i="41"/>
  <c r="CU75" i="38"/>
  <c r="AJ98" i="40"/>
  <c r="CO34" i="36"/>
  <c r="CS45" i="41"/>
  <c r="BC71" i="26"/>
  <c r="AB34" i="38"/>
  <c r="DC53" i="41"/>
  <c r="AT48" i="26"/>
  <c r="AI34" i="41"/>
  <c r="CO59" i="36"/>
  <c r="AB102" i="37"/>
  <c r="CP24" i="38"/>
  <c r="AN49" i="25"/>
  <c r="AG25" i="36"/>
  <c r="CL98" i="38"/>
  <c r="BB27" i="36"/>
  <c r="AN29" i="41"/>
  <c r="BS12" i="1"/>
  <c r="AZ75" i="36"/>
  <c r="BC98" i="37"/>
  <c r="AQ45" i="38"/>
  <c r="G96" i="39"/>
  <c r="AT79" i="36"/>
  <c r="DB57" i="37"/>
  <c r="AN18" i="41"/>
  <c r="U71" i="1"/>
  <c r="DD53" i="40"/>
  <c r="BU75" i="25"/>
  <c r="BX21" i="36"/>
  <c r="BP10" i="36"/>
  <c r="CR65" i="26"/>
  <c r="AC53" i="39"/>
  <c r="CI18" i="40"/>
  <c r="CO81" i="39"/>
  <c r="AA48" i="1"/>
  <c r="AA26" i="40"/>
  <c r="CT96" i="41"/>
  <c r="BC18" i="26"/>
  <c r="AN75" i="37"/>
  <c r="BO21" i="39"/>
  <c r="CZ29" i="37"/>
  <c r="K91" i="39"/>
  <c r="CH9" i="1"/>
  <c r="J50" i="59"/>
  <c r="DD13" i="26"/>
  <c r="AD25" i="37"/>
  <c r="CN62" i="25"/>
  <c r="BT21" i="1"/>
  <c r="AF49" i="37"/>
  <c r="CB54" i="40"/>
  <c r="CW58" i="1"/>
  <c r="DF21" i="25"/>
  <c r="CI61" i="39"/>
  <c r="P54" i="37"/>
  <c r="AB37" i="36"/>
  <c r="BC66" i="36"/>
  <c r="CX91" i="26"/>
  <c r="AQ49" i="39"/>
  <c r="BA34" i="37"/>
  <c r="AM30" i="1"/>
  <c r="N34" i="36"/>
  <c r="O50" i="39"/>
  <c r="N92" i="25"/>
  <c r="CM54" i="39"/>
  <c r="AO27" i="41"/>
  <c r="I51" i="46"/>
  <c r="DB27" i="37"/>
  <c r="AR45" i="37"/>
  <c r="M24" i="37"/>
  <c r="BB34" i="41"/>
  <c r="K21" i="25"/>
  <c r="K71" i="25"/>
  <c r="AQ91" i="37"/>
  <c r="CV66" i="1"/>
  <c r="K37" i="25"/>
  <c r="AB59" i="36"/>
  <c r="BU103" i="36"/>
  <c r="T37" i="1"/>
  <c r="AV48" i="36"/>
  <c r="CQ17" i="39"/>
  <c r="CE66" i="39"/>
  <c r="BQ13" i="38"/>
  <c r="DE103" i="41"/>
  <c r="CM13" i="37"/>
  <c r="AT53" i="26"/>
  <c r="BR103" i="26"/>
  <c r="J59" i="25"/>
  <c r="DE65" i="37"/>
  <c r="AW67" i="25"/>
  <c r="BB71" i="41"/>
  <c r="H30" i="26"/>
  <c r="X18" i="41"/>
  <c r="DE92" i="1"/>
  <c r="J50" i="39"/>
  <c r="BS81" i="36"/>
  <c r="AJ102" i="36"/>
  <c r="M45" i="1"/>
  <c r="CW59" i="40"/>
  <c r="CS53" i="40"/>
  <c r="CZ58" i="40"/>
  <c r="DB92" i="26"/>
  <c r="AI62" i="25"/>
  <c r="CT66" i="39"/>
  <c r="J79" i="26"/>
  <c r="I75" i="36"/>
  <c r="BS79" i="39"/>
  <c r="AN18" i="37"/>
  <c r="AI30" i="39"/>
  <c r="AG75" i="26"/>
  <c r="BC57" i="1"/>
  <c r="V81" i="26"/>
  <c r="AE26" i="40"/>
  <c r="AN34" i="25"/>
  <c r="CX13" i="38"/>
  <c r="BP49" i="38"/>
  <c r="BV29" i="26"/>
  <c r="DD71" i="37"/>
  <c r="CR67" i="39"/>
  <c r="AX60" i="25"/>
  <c r="AO45" i="25"/>
  <c r="T50" i="26"/>
  <c r="DE21" i="37"/>
  <c r="AU91" i="37"/>
  <c r="S79" i="39"/>
  <c r="BV60" i="36"/>
  <c r="S71" i="40"/>
  <c r="CJ89" i="26"/>
  <c r="O30" i="26"/>
  <c r="BA58" i="26"/>
  <c r="AE58" i="39"/>
  <c r="BI34" i="41"/>
  <c r="S27" i="37"/>
  <c r="BZ103" i="1"/>
  <c r="AV102" i="25"/>
  <c r="CP92" i="26"/>
  <c r="DE12" i="39"/>
  <c r="CG29" i="39"/>
  <c r="CP50" i="40"/>
  <c r="DF59" i="25"/>
  <c r="CW61" i="1"/>
  <c r="CJ75" i="1"/>
  <c r="CG102" i="37"/>
  <c r="T29" i="36"/>
  <c r="I67" i="26"/>
  <c r="CW24" i="40"/>
  <c r="AF30" i="26"/>
  <c r="AS27" i="41"/>
  <c r="BA37" i="25"/>
  <c r="J37" i="38"/>
  <c r="BH12" i="39"/>
  <c r="AQ10" i="26"/>
  <c r="AZ66" i="38"/>
  <c r="F92" i="60"/>
  <c r="BD50" i="40"/>
  <c r="CW45" i="1"/>
  <c r="AB29" i="39"/>
  <c r="V49" i="36"/>
  <c r="CA49" i="39"/>
  <c r="BV10" i="41"/>
  <c r="AE53" i="38"/>
  <c r="DB18" i="40"/>
  <c r="AD27" i="26"/>
  <c r="AO98" i="40"/>
  <c r="BP49" i="39"/>
  <c r="J21" i="39"/>
  <c r="BP21" i="1"/>
  <c r="AX27" i="1"/>
  <c r="N12" i="40"/>
  <c r="AX81" i="37"/>
  <c r="AX21" i="41"/>
  <c r="K13" i="37"/>
  <c r="BC89" i="40"/>
  <c r="O79" i="38"/>
  <c r="H59" i="41"/>
  <c r="BO37" i="38"/>
  <c r="CC71" i="37"/>
  <c r="G50" i="46"/>
  <c r="CF57" i="25"/>
  <c r="AU66" i="40"/>
  <c r="CH59" i="25"/>
  <c r="AX102" i="39"/>
  <c r="BD92" i="39"/>
  <c r="BW29" i="26"/>
  <c r="CH61" i="37"/>
  <c r="BF124" i="47"/>
  <c r="Z98" i="1"/>
  <c r="CK98" i="25"/>
  <c r="L6" i="59"/>
  <c r="AW98" i="40"/>
  <c r="BD98" i="39"/>
  <c r="AH26" i="41"/>
  <c r="O24" i="1"/>
  <c r="CC48" i="1"/>
  <c r="AD65" i="37"/>
  <c r="BV61" i="39"/>
  <c r="AY98" i="37"/>
  <c r="AR54" i="38"/>
  <c r="CZ96" i="26"/>
  <c r="AX57" i="36"/>
  <c r="AE50" i="26"/>
  <c r="AD53" i="39"/>
  <c r="CC89" i="36"/>
  <c r="BR10" i="41"/>
  <c r="K96" i="38"/>
  <c r="BI98" i="1"/>
  <c r="CQ12" i="40"/>
  <c r="I13" i="36"/>
  <c r="CK12" i="37"/>
  <c r="G66" i="25"/>
  <c r="AZ81" i="26"/>
  <c r="I16" i="59"/>
  <c r="AG18" i="26"/>
  <c r="S57" i="26"/>
  <c r="AP60" i="41"/>
  <c r="AI66" i="36"/>
  <c r="L76" i="64"/>
  <c r="BS79" i="25"/>
  <c r="M19" i="59"/>
  <c r="J58" i="41"/>
  <c r="AJ71" i="37"/>
  <c r="AD92" i="38"/>
  <c r="CA61" i="26"/>
  <c r="CU49" i="39"/>
  <c r="CG45" i="26"/>
  <c r="BP103" i="38"/>
  <c r="CH13" i="38"/>
  <c r="CC91" i="39"/>
  <c r="BZ10" i="39"/>
  <c r="AX60" i="38"/>
  <c r="AH37" i="39"/>
  <c r="AO54" i="36"/>
  <c r="AX54" i="40"/>
  <c r="CF25" i="38"/>
  <c r="H12" i="38"/>
  <c r="CR67" i="41"/>
  <c r="AT61" i="26"/>
  <c r="BY81" i="26"/>
  <c r="DF92" i="39"/>
  <c r="X71" i="41"/>
  <c r="CJ48" i="1"/>
  <c r="CX79" i="25"/>
  <c r="CP37" i="39"/>
  <c r="BW81" i="39"/>
  <c r="P29" i="38"/>
  <c r="AB58" i="38"/>
  <c r="AA48" i="37"/>
  <c r="I65" i="39"/>
  <c r="CY60" i="41"/>
  <c r="AQ50" i="38"/>
  <c r="CG53" i="25"/>
  <c r="AR75" i="39"/>
  <c r="CK65" i="25"/>
  <c r="X92" i="37"/>
  <c r="BU50" i="25"/>
  <c r="AD12" i="26"/>
  <c r="CW21" i="41"/>
  <c r="AO18" i="26"/>
  <c r="CL98" i="25"/>
  <c r="BA61" i="36"/>
  <c r="DF45" i="25"/>
  <c r="BT49" i="36"/>
  <c r="CU9" i="39"/>
  <c r="DD67" i="40"/>
  <c r="AZ54" i="37"/>
  <c r="BX92" i="40"/>
  <c r="DB60" i="36"/>
  <c r="CU12" i="36"/>
  <c r="CG27" i="36"/>
  <c r="BS75" i="37"/>
  <c r="CT24" i="26"/>
  <c r="AA79" i="40"/>
  <c r="BV58" i="39"/>
  <c r="CW13" i="36"/>
  <c r="CU37" i="25"/>
  <c r="N92" i="39"/>
  <c r="CN62" i="38"/>
  <c r="BZ30" i="25"/>
  <c r="BE57" i="36"/>
  <c r="K81" i="60"/>
  <c r="BB123" i="47"/>
  <c r="BR25" i="37"/>
  <c r="CP66" i="38"/>
  <c r="CO26" i="40"/>
  <c r="L70" i="60"/>
  <c r="CV81" i="41"/>
  <c r="DF71" i="1"/>
  <c r="CG60" i="36"/>
  <c r="AX58" i="25"/>
  <c r="AG60" i="39"/>
  <c r="BD34" i="25"/>
  <c r="CA30" i="25"/>
  <c r="AS66" i="38"/>
  <c r="CU26" i="26"/>
  <c r="I98" i="40"/>
  <c r="BT98" i="26"/>
  <c r="DA98" i="25"/>
  <c r="AN10" i="1"/>
  <c r="N21" i="26"/>
  <c r="V57" i="26"/>
  <c r="DA13" i="26"/>
  <c r="BZ62" i="26"/>
  <c r="AA21" i="41"/>
  <c r="CW54" i="37"/>
  <c r="S58" i="1"/>
  <c r="CV81" i="38"/>
  <c r="CO18" i="36"/>
  <c r="CK9" i="41"/>
  <c r="L51" i="46"/>
  <c r="BO98" i="37"/>
  <c r="V79" i="1"/>
  <c r="BH18" i="26"/>
  <c r="AH45" i="38"/>
  <c r="L44" i="60"/>
  <c r="W26" i="1"/>
  <c r="CK96" i="25"/>
  <c r="BP65" i="37"/>
  <c r="BD34" i="26"/>
  <c r="BD17" i="38"/>
  <c r="CY92" i="25"/>
  <c r="CB81" i="25"/>
  <c r="V60" i="37"/>
  <c r="DC61" i="37"/>
  <c r="BD34" i="1"/>
  <c r="K29" i="26"/>
  <c r="AE45" i="38"/>
  <c r="CX62" i="1"/>
  <c r="CH71" i="40"/>
  <c r="O54" i="36"/>
  <c r="AR17" i="40"/>
  <c r="AN53" i="26"/>
  <c r="CA21" i="39"/>
  <c r="CB53" i="26"/>
  <c r="P17" i="26"/>
  <c r="AI79" i="41"/>
  <c r="BQ79" i="40"/>
  <c r="BW24" i="41"/>
  <c r="CZ26" i="41"/>
  <c r="BZ48" i="41"/>
  <c r="I89" i="40"/>
  <c r="X18" i="37"/>
  <c r="BO65" i="39"/>
  <c r="CC25" i="36"/>
  <c r="CJ37" i="39"/>
  <c r="H58" i="1"/>
  <c r="BH30" i="40"/>
  <c r="AP21" i="39"/>
  <c r="CG30" i="39"/>
  <c r="CA34" i="37"/>
  <c r="CJ65" i="25"/>
  <c r="BU17" i="39"/>
  <c r="G12" i="64"/>
  <c r="AD62" i="36"/>
  <c r="BA49" i="37"/>
  <c r="K21" i="36"/>
  <c r="AT25" i="41"/>
  <c r="BW59" i="37"/>
  <c r="CL79" i="38"/>
  <c r="CL62" i="41"/>
  <c r="BZ66" i="36"/>
  <c r="AR92" i="25"/>
  <c r="BO50" i="38"/>
  <c r="CC21" i="36"/>
  <c r="CD50" i="39"/>
  <c r="BV96" i="41"/>
  <c r="CL59" i="25"/>
  <c r="AM48" i="39"/>
  <c r="L46" i="59"/>
  <c r="CY81" i="26"/>
  <c r="CH45" i="1"/>
  <c r="K51" i="46"/>
  <c r="I27" i="1"/>
  <c r="CV10" i="26"/>
  <c r="DA79" i="36"/>
  <c r="AP26" i="36"/>
  <c r="CU13" i="1"/>
  <c r="AQ65" i="26"/>
  <c r="BU13" i="39"/>
  <c r="CI102" i="38"/>
  <c r="AX30" i="1"/>
  <c r="BE129" i="47"/>
  <c r="AY37" i="36"/>
  <c r="CL13" i="39"/>
  <c r="AP50" i="25"/>
  <c r="CW29" i="25"/>
  <c r="CQ62" i="36"/>
  <c r="BD89" i="37"/>
  <c r="AH91" i="41"/>
  <c r="K21" i="41"/>
  <c r="CR54" i="36"/>
  <c r="AV13" i="40"/>
  <c r="AB54" i="40"/>
  <c r="AE75" i="36"/>
  <c r="CE34" i="39"/>
  <c r="BQ17" i="25"/>
  <c r="CU24" i="41"/>
  <c r="CF79" i="39"/>
  <c r="BZ37" i="36"/>
  <c r="AI98" i="37"/>
  <c r="CI17" i="1"/>
  <c r="V62" i="36"/>
  <c r="AB50" i="38"/>
  <c r="I79" i="38"/>
  <c r="BV21" i="40"/>
  <c r="AM27" i="26"/>
  <c r="K45" i="39"/>
  <c r="V29" i="41"/>
  <c r="AQ79" i="40"/>
  <c r="AD75" i="38"/>
  <c r="AF24" i="37"/>
  <c r="BE313" i="47"/>
  <c r="AD21" i="41"/>
  <c r="DA75" i="40"/>
  <c r="AH50" i="40"/>
  <c r="AX12" i="40"/>
  <c r="BU18" i="36"/>
  <c r="AP62" i="39"/>
  <c r="CX48" i="39"/>
  <c r="CR61" i="40"/>
  <c r="BY26" i="39"/>
  <c r="CP53" i="37"/>
  <c r="BE26" i="25"/>
  <c r="AF24" i="36"/>
  <c r="BH66" i="39"/>
  <c r="T45" i="36"/>
  <c r="AU61" i="1"/>
  <c r="AQ13" i="38"/>
  <c r="CX71" i="38"/>
  <c r="AT17" i="40"/>
  <c r="AP53" i="38"/>
  <c r="CO92" i="26"/>
  <c r="CO57" i="25"/>
  <c r="BA102" i="1"/>
  <c r="AM96" i="25"/>
  <c r="AU92" i="41"/>
  <c r="K30" i="40"/>
  <c r="BR50" i="39"/>
  <c r="BC315" i="47"/>
  <c r="BI26" i="1"/>
  <c r="DE79" i="26"/>
  <c r="CL79" i="40"/>
  <c r="BW9" i="1"/>
  <c r="BS53" i="1"/>
  <c r="CH98" i="1"/>
  <c r="BO12" i="40"/>
  <c r="CP21" i="25"/>
  <c r="CE24" i="37"/>
  <c r="BO50" i="39"/>
  <c r="DA49" i="25"/>
  <c r="BD37" i="25"/>
  <c r="V27" i="25"/>
  <c r="J10" i="38"/>
  <c r="O9" i="39"/>
  <c r="DF57" i="39"/>
  <c r="AX25" i="25"/>
  <c r="AX67" i="1"/>
  <c r="AV67" i="40"/>
  <c r="AO54" i="25"/>
  <c r="BP67" i="25"/>
  <c r="AE25" i="41"/>
  <c r="T54" i="1"/>
  <c r="CR96" i="36"/>
  <c r="CN57" i="41"/>
  <c r="AY45" i="40"/>
  <c r="AD67" i="36"/>
  <c r="V17" i="26"/>
  <c r="AO50" i="38"/>
  <c r="CM61" i="39"/>
  <c r="AH67" i="36"/>
  <c r="N66" i="36"/>
  <c r="BP12" i="26"/>
  <c r="BE98" i="37"/>
  <c r="I26" i="37"/>
  <c r="AZ65" i="26"/>
  <c r="CO61" i="38"/>
  <c r="AW96" i="39"/>
  <c r="CL67" i="38"/>
  <c r="BA312" i="47"/>
  <c r="S12" i="37"/>
  <c r="W57" i="38"/>
  <c r="AP79" i="39"/>
  <c r="CU66" i="1"/>
  <c r="BC30" i="37"/>
  <c r="BZ66" i="41"/>
  <c r="BD96" i="37"/>
  <c r="U34" i="41"/>
  <c r="CB9" i="37"/>
  <c r="AH27" i="41"/>
  <c r="CA67" i="38"/>
  <c r="CZ10" i="37"/>
  <c r="CW81" i="39"/>
  <c r="CA9" i="39"/>
  <c r="CK66" i="37"/>
  <c r="O16" i="59"/>
  <c r="J102" i="38"/>
  <c r="CN98" i="39"/>
  <c r="BB12" i="36"/>
  <c r="BY96" i="1"/>
  <c r="BE34" i="1"/>
  <c r="DC60" i="38"/>
  <c r="CD59" i="41"/>
  <c r="O58" i="41"/>
  <c r="DD29" i="40"/>
  <c r="H57" i="25"/>
  <c r="K75" i="1"/>
  <c r="X37" i="39"/>
  <c r="K58" i="41"/>
  <c r="J66" i="37"/>
  <c r="AB57" i="36"/>
  <c r="BE118" i="47"/>
  <c r="N67" i="39"/>
  <c r="G25" i="36"/>
  <c r="AI91" i="40"/>
  <c r="AC61" i="25"/>
  <c r="AE67" i="38"/>
  <c r="BX50" i="25"/>
  <c r="AF79" i="36"/>
  <c r="CU66" i="25"/>
  <c r="CY59" i="38"/>
  <c r="AU17" i="40"/>
  <c r="BZ25" i="38"/>
  <c r="CM75" i="25"/>
  <c r="CD48" i="36"/>
  <c r="AW62" i="39"/>
  <c r="H102" i="1"/>
  <c r="BD61" i="38"/>
  <c r="DA89" i="41"/>
  <c r="CU34" i="38"/>
  <c r="G24" i="40"/>
  <c r="L25" i="25"/>
  <c r="M29" i="41"/>
  <c r="AD45" i="36"/>
  <c r="AI75" i="25"/>
  <c r="X9" i="40"/>
  <c r="G25" i="38"/>
  <c r="DB49" i="26"/>
  <c r="BB96" i="41"/>
  <c r="CP37" i="41"/>
  <c r="AA10" i="25"/>
  <c r="CO30" i="40"/>
  <c r="X10" i="41"/>
  <c r="CX26" i="40"/>
  <c r="CJ60" i="26"/>
  <c r="AX34" i="36"/>
  <c r="CA61" i="39"/>
  <c r="AG48" i="39"/>
  <c r="BY53" i="38"/>
  <c r="BB45" i="40"/>
  <c r="CL34" i="40"/>
  <c r="L79" i="38"/>
  <c r="BP50" i="38"/>
  <c r="CD30" i="26"/>
  <c r="BS102" i="36"/>
  <c r="Z13" i="39"/>
  <c r="CP18" i="37"/>
  <c r="P9" i="40"/>
  <c r="CQ96" i="39"/>
  <c r="BT67" i="25"/>
  <c r="CP25" i="40"/>
  <c r="CI27" i="26"/>
  <c r="CF50" i="41"/>
  <c r="CU66" i="38"/>
  <c r="CU50" i="37"/>
  <c r="L90" i="60"/>
  <c r="I37" i="26"/>
  <c r="AM62" i="39"/>
  <c r="CM91" i="26"/>
  <c r="BY102" i="36"/>
  <c r="L24" i="60"/>
  <c r="BS89" i="38"/>
  <c r="G48" i="36"/>
  <c r="BV26" i="37"/>
  <c r="W13" i="1"/>
  <c r="V21" i="1"/>
  <c r="BC89" i="1"/>
  <c r="AB12" i="38"/>
  <c r="T45" i="1"/>
  <c r="CM9" i="41"/>
  <c r="BZ91" i="41"/>
  <c r="BY65" i="26"/>
  <c r="BI25" i="39"/>
  <c r="U29" i="25"/>
  <c r="P26" i="1"/>
  <c r="L61" i="1"/>
  <c r="AJ9" i="41"/>
  <c r="I75" i="25"/>
  <c r="W34" i="26"/>
  <c r="X71" i="36"/>
  <c r="AO81" i="1"/>
  <c r="CQ29" i="36"/>
  <c r="CD103" i="40"/>
  <c r="AE34" i="41"/>
  <c r="AF66" i="26"/>
  <c r="L51" i="59"/>
  <c r="CM89" i="37"/>
  <c r="CD61" i="37"/>
  <c r="CA62" i="36"/>
  <c r="AD58" i="41"/>
  <c r="CA12" i="37"/>
  <c r="CC75" i="41"/>
  <c r="BX61" i="26"/>
  <c r="AI71" i="38"/>
  <c r="BW13" i="1"/>
  <c r="S34" i="26"/>
  <c r="AQ92" i="25"/>
  <c r="BE37" i="41"/>
  <c r="CJ60" i="38"/>
  <c r="T10" i="1"/>
  <c r="CO18" i="26"/>
  <c r="DC60" i="37"/>
  <c r="BQ34" i="36"/>
  <c r="CM71" i="25"/>
  <c r="CD53" i="39"/>
  <c r="AC50" i="26"/>
  <c r="N61" i="1"/>
  <c r="AU60" i="26"/>
  <c r="H65" i="41"/>
  <c r="CC18" i="26"/>
  <c r="H71" i="64"/>
  <c r="AF59" i="37"/>
  <c r="S98" i="36"/>
  <c r="AX26" i="36"/>
  <c r="AW65" i="37"/>
  <c r="K26" i="36"/>
  <c r="BZ29" i="40"/>
  <c r="DB49" i="38"/>
  <c r="CE91" i="25"/>
  <c r="BZ17" i="39"/>
  <c r="CI24" i="37"/>
  <c r="G61" i="1"/>
  <c r="CN57" i="26"/>
  <c r="O54" i="1"/>
  <c r="CD49" i="25"/>
  <c r="I59" i="38"/>
  <c r="AH53" i="40"/>
  <c r="X26" i="38"/>
  <c r="H91" i="41"/>
  <c r="T102" i="1"/>
  <c r="CY49" i="26"/>
  <c r="BH67" i="40"/>
  <c r="BE21" i="37"/>
  <c r="DC12" i="39"/>
  <c r="BA307" i="47"/>
  <c r="Z27" i="25"/>
  <c r="BV91" i="1"/>
  <c r="CP9" i="25"/>
  <c r="CL18" i="37"/>
  <c r="AY81" i="38"/>
  <c r="AX48" i="1"/>
  <c r="DC17" i="37"/>
  <c r="CX18" i="41"/>
  <c r="BB79" i="41"/>
  <c r="DE34" i="1"/>
  <c r="S66" i="26"/>
  <c r="AN71" i="39"/>
  <c r="AT29" i="36"/>
  <c r="CW45" i="36"/>
  <c r="BS24" i="26"/>
  <c r="CQ102" i="38"/>
  <c r="BP57" i="25"/>
  <c r="P53" i="39"/>
  <c r="BO67" i="40"/>
  <c r="CF27" i="37"/>
  <c r="V91" i="39"/>
  <c r="N65" i="39"/>
  <c r="AM75" i="1"/>
  <c r="X61" i="41"/>
  <c r="AV89" i="25"/>
  <c r="AF65" i="1"/>
  <c r="CM53" i="25"/>
  <c r="AT71" i="1"/>
  <c r="AX65" i="40"/>
  <c r="H61" i="37"/>
  <c r="AT18" i="26"/>
  <c r="BY53" i="26"/>
  <c r="BY98" i="41"/>
  <c r="AX102" i="1"/>
  <c r="N67" i="41"/>
  <c r="Y50" i="41"/>
  <c r="O13" i="25"/>
  <c r="AQ18" i="37"/>
  <c r="AX49" i="39"/>
  <c r="BO26" i="1"/>
  <c r="BA59" i="41"/>
  <c r="G67" i="38"/>
  <c r="AI60" i="41"/>
  <c r="L8" i="60"/>
  <c r="AW27" i="37"/>
  <c r="BW29" i="36"/>
  <c r="CZ37" i="1"/>
  <c r="AT53" i="40"/>
  <c r="AJ96" i="26"/>
  <c r="BP91" i="39"/>
  <c r="CK34" i="25"/>
  <c r="AV50" i="1"/>
  <c r="CA12" i="39"/>
  <c r="CU59" i="36"/>
  <c r="AS48" i="1"/>
  <c r="M102" i="36"/>
  <c r="AH21" i="26"/>
  <c r="DE9" i="39"/>
  <c r="M30" i="39"/>
  <c r="BT45" i="37"/>
  <c r="BE18" i="25"/>
  <c r="BS26" i="38"/>
  <c r="BE67" i="26"/>
  <c r="CE9" i="37"/>
  <c r="CD21" i="40"/>
  <c r="I29" i="41"/>
  <c r="AX96" i="26"/>
  <c r="BQ75" i="25"/>
  <c r="O66" i="40"/>
  <c r="BW81" i="1"/>
  <c r="I59" i="39"/>
  <c r="CY30" i="39"/>
  <c r="BD92" i="41"/>
  <c r="BB21" i="41"/>
  <c r="P59" i="37"/>
  <c r="CA91" i="40"/>
  <c r="AM24" i="37"/>
  <c r="CE54" i="26"/>
  <c r="AE53" i="26"/>
  <c r="I62" i="25"/>
  <c r="Y89" i="39"/>
  <c r="AC18" i="40"/>
  <c r="CJ103" i="39"/>
  <c r="L18" i="38"/>
  <c r="BF311" i="47"/>
  <c r="AO37" i="41"/>
  <c r="AR24" i="25"/>
  <c r="BP65" i="41"/>
  <c r="CE103" i="41"/>
  <c r="BZ45" i="37"/>
  <c r="CS12" i="1"/>
  <c r="AY67" i="1"/>
  <c r="AM12" i="37"/>
  <c r="AA91" i="41"/>
  <c r="BZ65" i="38"/>
  <c r="BY26" i="38"/>
  <c r="CA57" i="38"/>
  <c r="AS66" i="37"/>
  <c r="AR17" i="1"/>
  <c r="CB75" i="26"/>
  <c r="AS25" i="40"/>
  <c r="CU67" i="37"/>
  <c r="DA58" i="38"/>
  <c r="G89" i="38"/>
  <c r="AV65" i="38"/>
  <c r="G18" i="37"/>
  <c r="CK54" i="25"/>
  <c r="CR49" i="37"/>
  <c r="BS103" i="40"/>
  <c r="CI98" i="39"/>
  <c r="AG79" i="41"/>
  <c r="P45" i="40"/>
  <c r="BE24" i="1"/>
  <c r="W12" i="37"/>
  <c r="T75" i="36"/>
  <c r="BQ17" i="36"/>
  <c r="W59" i="36"/>
  <c r="CC9" i="25"/>
  <c r="CP102" i="26"/>
  <c r="DD10" i="41"/>
  <c r="AN61" i="40"/>
  <c r="BD67" i="39"/>
  <c r="M62" i="25"/>
  <c r="P12" i="26"/>
  <c r="DE24" i="41"/>
  <c r="Y59" i="38"/>
  <c r="AH48" i="1"/>
  <c r="L79" i="39"/>
  <c r="CL61" i="37"/>
  <c r="AN59" i="38"/>
  <c r="CM66" i="38"/>
  <c r="AY34" i="1"/>
  <c r="S67" i="36"/>
  <c r="BB102" i="47"/>
  <c r="AT10" i="26"/>
  <c r="AS65" i="39"/>
  <c r="AX27" i="38"/>
  <c r="AM81" i="26"/>
  <c r="BT25" i="26"/>
  <c r="N10" i="26"/>
  <c r="CE18" i="40"/>
  <c r="N24" i="1"/>
  <c r="CD103" i="25"/>
  <c r="AJ49" i="37"/>
  <c r="BV92" i="1"/>
  <c r="CZ57" i="37"/>
  <c r="DE66" i="36"/>
  <c r="AH34" i="40"/>
  <c r="BH29" i="37"/>
  <c r="CA91" i="39"/>
  <c r="CI54" i="40"/>
  <c r="Y89" i="41"/>
  <c r="CL102" i="38"/>
  <c r="BV81" i="37"/>
  <c r="H49" i="39"/>
  <c r="CA65" i="41"/>
  <c r="BU65" i="41"/>
  <c r="N7" i="59"/>
  <c r="AS30" i="26"/>
  <c r="DF91" i="40"/>
  <c r="AO60" i="40"/>
  <c r="BT34" i="37"/>
  <c r="AD79" i="1"/>
  <c r="Y50" i="39"/>
  <c r="AM30" i="41"/>
  <c r="BZ13" i="41"/>
  <c r="AV98" i="25"/>
  <c r="BT58" i="38"/>
  <c r="BY50" i="38"/>
  <c r="S60" i="36"/>
  <c r="BX49" i="41"/>
  <c r="CP27" i="39"/>
  <c r="CI57" i="38"/>
  <c r="T89" i="38"/>
  <c r="AT37" i="41"/>
  <c r="AH59" i="41"/>
  <c r="AZ37" i="41"/>
  <c r="AP81" i="40"/>
  <c r="BP29" i="38"/>
  <c r="AB37" i="40"/>
  <c r="CZ24" i="37"/>
  <c r="AD89" i="26"/>
  <c r="BY29" i="26"/>
  <c r="BT18" i="1"/>
  <c r="BI75" i="36"/>
  <c r="AN66" i="38"/>
  <c r="BX71" i="37"/>
  <c r="M102" i="26"/>
  <c r="AM89" i="40"/>
  <c r="P24" i="25"/>
  <c r="AA75" i="36"/>
  <c r="AG37" i="1"/>
  <c r="CY45" i="40"/>
  <c r="CZ92" i="26"/>
  <c r="BI18" i="25"/>
  <c r="CF26" i="25"/>
  <c r="K62" i="25"/>
  <c r="AN89" i="38"/>
  <c r="BO21" i="36"/>
  <c r="CY102" i="41"/>
  <c r="CN96" i="1"/>
  <c r="BA12" i="26"/>
  <c r="DE57" i="1"/>
  <c r="CX45" i="36"/>
  <c r="CD24" i="36"/>
  <c r="BV34" i="41"/>
  <c r="CN49" i="40"/>
  <c r="S54" i="38"/>
  <c r="CK103" i="25"/>
  <c r="AO13" i="39"/>
  <c r="I26" i="26"/>
  <c r="G65" i="38"/>
  <c r="AB58" i="36"/>
  <c r="CA27" i="1"/>
  <c r="CX96" i="36"/>
  <c r="CG66" i="40"/>
  <c r="CI17" i="36"/>
  <c r="CU45" i="37"/>
  <c r="N96" i="41"/>
  <c r="CU79" i="25"/>
  <c r="AS62" i="25"/>
  <c r="AQ29" i="41"/>
  <c r="AO9" i="39"/>
  <c r="CK60" i="40"/>
  <c r="N30" i="26"/>
  <c r="BW81" i="36"/>
  <c r="I12" i="37"/>
  <c r="V13" i="37"/>
  <c r="AM17" i="26"/>
  <c r="AF34" i="36"/>
  <c r="CU18" i="1"/>
  <c r="BH25" i="41"/>
  <c r="BZ102" i="1"/>
  <c r="BT61" i="41"/>
  <c r="AQ65" i="25"/>
  <c r="BU49" i="36"/>
  <c r="CI92" i="25"/>
  <c r="CD91" i="25"/>
  <c r="AM17" i="41"/>
  <c r="L6" i="60"/>
  <c r="G102" i="26"/>
  <c r="BP54" i="25"/>
  <c r="P65" i="38"/>
  <c r="H66" i="41"/>
  <c r="CJ45" i="40"/>
  <c r="AE102" i="38"/>
  <c r="CZ45" i="41"/>
  <c r="BD126" i="47"/>
  <c r="CJ18" i="38"/>
  <c r="BC37" i="41"/>
  <c r="AB30" i="41"/>
  <c r="CB12" i="41"/>
  <c r="BA91" i="40"/>
  <c r="CH24" i="36"/>
  <c r="BW27" i="40"/>
  <c r="DE65" i="36"/>
  <c r="AR9" i="41"/>
  <c r="BH25" i="1"/>
  <c r="BA27" i="39"/>
  <c r="CE58" i="38"/>
  <c r="CV24" i="25"/>
  <c r="CL75" i="1"/>
  <c r="AO79" i="39"/>
  <c r="BE21" i="36"/>
  <c r="AC59" i="37"/>
  <c r="AV48" i="41"/>
  <c r="BZ13" i="1"/>
  <c r="AY61" i="25"/>
  <c r="BO103" i="39"/>
  <c r="CO65" i="38"/>
  <c r="AV12" i="1"/>
  <c r="CL102" i="26"/>
  <c r="DB37" i="39"/>
  <c r="G48" i="41"/>
  <c r="AS66" i="41"/>
  <c r="BI54" i="1"/>
  <c r="CU89" i="25"/>
  <c r="BD79" i="25"/>
  <c r="AY81" i="36"/>
  <c r="CL49" i="25"/>
  <c r="CI102" i="39"/>
  <c r="CH61" i="36"/>
  <c r="M6" i="60"/>
  <c r="AF49" i="41"/>
  <c r="CJ54" i="25"/>
  <c r="BD27" i="36"/>
  <c r="K53" i="37"/>
  <c r="CX17" i="26"/>
  <c r="H17" i="46"/>
  <c r="AE50" i="1"/>
  <c r="AF58" i="37"/>
  <c r="M48" i="37"/>
  <c r="DB26" i="41"/>
  <c r="BS45" i="40"/>
  <c r="G79" i="1"/>
  <c r="H35" i="60"/>
  <c r="CP49" i="26"/>
  <c r="DA37" i="39"/>
  <c r="AG24" i="25"/>
  <c r="BW27" i="38"/>
  <c r="CN98" i="1"/>
  <c r="AH27" i="1"/>
  <c r="CM26" i="39"/>
  <c r="AD50" i="36"/>
  <c r="AM96" i="26"/>
  <c r="CN60" i="41"/>
  <c r="CE50" i="1"/>
  <c r="W58" i="26"/>
  <c r="AI62" i="1"/>
  <c r="BE92" i="40"/>
  <c r="CE50" i="38"/>
  <c r="AD25" i="38"/>
  <c r="S67" i="26"/>
  <c r="J18" i="25"/>
  <c r="CR21" i="36"/>
  <c r="DF67" i="1"/>
  <c r="BD13" i="38"/>
  <c r="CP66" i="1"/>
  <c r="CK27" i="37"/>
  <c r="AE24" i="25"/>
  <c r="CI13" i="39"/>
  <c r="BZ26" i="1"/>
  <c r="AW62" i="38"/>
  <c r="S29" i="40"/>
  <c r="AO98" i="1"/>
  <c r="CT29" i="36"/>
  <c r="AQ13" i="25"/>
  <c r="AI34" i="25"/>
  <c r="AF30" i="36"/>
  <c r="AG57" i="40"/>
  <c r="CP98" i="36"/>
  <c r="AB57" i="38"/>
  <c r="AY37" i="25"/>
  <c r="DB49" i="25"/>
  <c r="CK96" i="37"/>
  <c r="BV58" i="40"/>
  <c r="CS102" i="25"/>
  <c r="BE45" i="40"/>
  <c r="CD24" i="41"/>
  <c r="G60" i="37"/>
  <c r="BE102" i="36"/>
  <c r="CY37" i="39"/>
  <c r="AF71" i="38"/>
  <c r="BQ102" i="26"/>
  <c r="CQ75" i="40"/>
  <c r="CD102" i="38"/>
  <c r="AD13" i="36"/>
  <c r="V75" i="1"/>
  <c r="M79" i="36"/>
  <c r="BE66" i="39"/>
  <c r="O67" i="36"/>
  <c r="AJ54" i="38"/>
  <c r="M57" i="38"/>
  <c r="P61" i="41"/>
  <c r="CH103" i="40"/>
  <c r="CK102" i="39"/>
  <c r="CX29" i="41"/>
  <c r="AN75" i="36"/>
  <c r="W65" i="1"/>
  <c r="H70" i="64"/>
  <c r="BV71" i="41"/>
  <c r="AS96" i="40"/>
  <c r="CW10" i="41"/>
  <c r="Z66" i="39"/>
  <c r="BE60" i="26"/>
  <c r="DF27" i="39"/>
  <c r="CM62" i="1"/>
  <c r="DB67" i="25"/>
  <c r="DD59" i="39"/>
  <c r="P16" i="59"/>
  <c r="CJ37" i="41"/>
  <c r="AI61" i="41"/>
  <c r="BP37" i="40"/>
  <c r="CK67" i="40"/>
  <c r="DC61" i="36"/>
  <c r="J54" i="59"/>
  <c r="M71" i="40"/>
  <c r="AD102" i="41"/>
  <c r="E14" i="64"/>
  <c r="AD27" i="38"/>
  <c r="AU98" i="36"/>
  <c r="CR67" i="37"/>
  <c r="N96" i="36"/>
  <c r="CC91" i="25"/>
  <c r="BW9" i="38"/>
  <c r="BZ29" i="41"/>
  <c r="AG79" i="36"/>
  <c r="AS30" i="36"/>
  <c r="CT103" i="25"/>
  <c r="CV60" i="39"/>
  <c r="CQ27" i="37"/>
  <c r="BX98" i="1"/>
  <c r="BW29" i="39"/>
  <c r="AT54" i="36"/>
  <c r="AO65" i="36"/>
  <c r="CB9" i="38"/>
  <c r="X34" i="39"/>
  <c r="BR29" i="1"/>
  <c r="AN62" i="1"/>
  <c r="AN49" i="40"/>
  <c r="BZ96" i="36"/>
  <c r="CX25" i="40"/>
  <c r="CS27" i="40"/>
  <c r="BZ60" i="39"/>
  <c r="CD61" i="26"/>
  <c r="K34" i="41"/>
  <c r="AD27" i="25"/>
  <c r="V27" i="40"/>
  <c r="AX59" i="41"/>
  <c r="I67" i="37"/>
  <c r="CR9" i="1"/>
  <c r="CE37" i="41"/>
  <c r="AT102" i="40"/>
  <c r="DD75" i="1"/>
  <c r="CF103" i="41"/>
  <c r="BD21" i="25"/>
  <c r="AR58" i="40"/>
  <c r="W58" i="38"/>
  <c r="DF21" i="26"/>
  <c r="H34" i="40"/>
  <c r="CS21" i="40"/>
  <c r="AZ67" i="39"/>
  <c r="J37" i="59"/>
  <c r="CP24" i="25"/>
  <c r="BT49" i="1"/>
  <c r="BQ37" i="38"/>
  <c r="AP9" i="38"/>
  <c r="BT18" i="39"/>
  <c r="DC102" i="40"/>
  <c r="CJ34" i="39"/>
  <c r="CB25" i="40"/>
  <c r="AO54" i="26"/>
  <c r="DE59" i="40"/>
  <c r="AQ37" i="36"/>
  <c r="DA81" i="25"/>
  <c r="CR53" i="39"/>
  <c r="N61" i="40"/>
  <c r="AY60" i="36"/>
  <c r="CM53" i="36"/>
  <c r="CZ98" i="26"/>
  <c r="AE102" i="41"/>
  <c r="CN27" i="40"/>
  <c r="CI45" i="41"/>
  <c r="BS98" i="41"/>
  <c r="AV57" i="38"/>
  <c r="BE65" i="39"/>
  <c r="CB9" i="40"/>
  <c r="BA17" i="38"/>
  <c r="BD53" i="37"/>
  <c r="BT59" i="25"/>
  <c r="CA49" i="25"/>
  <c r="AR92" i="38"/>
  <c r="AX81" i="39"/>
  <c r="I71" i="64"/>
  <c r="CX18" i="40"/>
  <c r="M18" i="36"/>
  <c r="AU67" i="1"/>
  <c r="CF13" i="38"/>
  <c r="BA45" i="38"/>
  <c r="AA12" i="26"/>
  <c r="BU91" i="37"/>
  <c r="M47" i="60"/>
  <c r="V66" i="41"/>
  <c r="CI67" i="40"/>
  <c r="DB29" i="1"/>
  <c r="BT26" i="36"/>
  <c r="BY59" i="1"/>
  <c r="P59" i="39"/>
  <c r="BO25" i="25"/>
  <c r="CM21" i="40"/>
  <c r="BA27" i="40"/>
  <c r="DF29" i="1"/>
  <c r="U67" i="25"/>
  <c r="CE17" i="40"/>
  <c r="BT58" i="1"/>
  <c r="AA57" i="38"/>
  <c r="CF21" i="1"/>
  <c r="AG17" i="36"/>
  <c r="W57" i="39"/>
  <c r="BX30" i="37"/>
  <c r="AZ89" i="41"/>
  <c r="AV96" i="36"/>
  <c r="U67" i="1"/>
  <c r="AH25" i="38"/>
  <c r="CZ12" i="37"/>
  <c r="BR45" i="37"/>
  <c r="BT92" i="39"/>
  <c r="AJ21" i="26"/>
  <c r="CV27" i="37"/>
  <c r="CF75" i="36"/>
  <c r="P17" i="36"/>
  <c r="BX54" i="37"/>
  <c r="BP65" i="38"/>
  <c r="X45" i="39"/>
  <c r="CD102" i="1"/>
  <c r="DE62" i="39"/>
  <c r="BZ75" i="25"/>
  <c r="AT34" i="41"/>
  <c r="G57" i="60"/>
  <c r="H45" i="36"/>
  <c r="G37" i="40"/>
  <c r="AH37" i="1"/>
  <c r="CE45" i="39"/>
  <c r="J61" i="1"/>
  <c r="AW98" i="25"/>
  <c r="BC25" i="37"/>
  <c r="BD37" i="38"/>
  <c r="CG102" i="40"/>
  <c r="X71" i="38"/>
  <c r="AY66" i="26"/>
  <c r="BB37" i="26"/>
  <c r="BB10" i="38"/>
  <c r="BY10" i="1"/>
  <c r="O58" i="39"/>
  <c r="AP92" i="25"/>
  <c r="AM66" i="41"/>
  <c r="L29" i="26"/>
  <c r="G16" i="64"/>
  <c r="CS13" i="40"/>
  <c r="BI18" i="36"/>
  <c r="N10" i="36"/>
  <c r="BO13" i="25"/>
  <c r="CC98" i="36"/>
  <c r="DD54" i="38"/>
  <c r="AN62" i="37"/>
  <c r="AC91" i="37"/>
  <c r="O81" i="36"/>
  <c r="BI30" i="37"/>
  <c r="CQ24" i="37"/>
  <c r="CT34" i="26"/>
  <c r="AO66" i="40"/>
  <c r="X58" i="40"/>
  <c r="CY27" i="38"/>
  <c r="BY49" i="25"/>
  <c r="I10" i="36"/>
  <c r="CM27" i="36"/>
  <c r="AX62" i="39"/>
  <c r="AA48" i="26"/>
  <c r="AH9" i="37"/>
  <c r="J67" i="40"/>
  <c r="BS10" i="39"/>
  <c r="AV24" i="40"/>
  <c r="CC12" i="38"/>
  <c r="BU57" i="39"/>
  <c r="AA13" i="39"/>
  <c r="DD25" i="36"/>
  <c r="BS17" i="41"/>
  <c r="AJ92" i="40"/>
  <c r="BO91" i="36"/>
  <c r="V57" i="38"/>
  <c r="CI103" i="26"/>
  <c r="K24" i="1"/>
  <c r="M82" i="60"/>
  <c r="AW53" i="39"/>
  <c r="AX12" i="25"/>
  <c r="CQ37" i="25"/>
  <c r="Y30" i="41"/>
  <c r="DF53" i="39"/>
  <c r="AJ98" i="38"/>
  <c r="V59" i="41"/>
  <c r="K49" i="38"/>
  <c r="CS12" i="40"/>
  <c r="BE96" i="36"/>
  <c r="O17" i="37"/>
  <c r="BU37" i="1"/>
  <c r="CM66" i="39"/>
  <c r="DF91" i="25"/>
  <c r="AX75" i="26"/>
  <c r="CM10" i="39"/>
  <c r="V60" i="41"/>
  <c r="DF102" i="36"/>
  <c r="CY75" i="40"/>
  <c r="AZ50" i="26"/>
  <c r="E67" i="64"/>
  <c r="CC27" i="36"/>
  <c r="J57" i="39"/>
  <c r="I26" i="36"/>
  <c r="AT53" i="41"/>
  <c r="BU75" i="41"/>
  <c r="BX49" i="25"/>
  <c r="W54" i="26"/>
  <c r="CN49" i="41"/>
  <c r="H49" i="64"/>
  <c r="AQ54" i="36"/>
  <c r="AM34" i="40"/>
  <c r="CY59" i="40"/>
  <c r="BO13" i="41"/>
  <c r="N98" i="26"/>
  <c r="BY89" i="36"/>
  <c r="DD25" i="1"/>
  <c r="BA53" i="38"/>
  <c r="CO67" i="41"/>
  <c r="CL65" i="39"/>
  <c r="AR81" i="26"/>
  <c r="CC103" i="37"/>
  <c r="AN62" i="40"/>
  <c r="L102" i="25"/>
  <c r="Z49" i="39"/>
  <c r="BU59" i="39"/>
  <c r="J30" i="39"/>
  <c r="CA21" i="36"/>
  <c r="J30" i="40"/>
  <c r="AE61" i="26"/>
  <c r="BX66" i="37"/>
  <c r="T98" i="1"/>
  <c r="AV17" i="37"/>
  <c r="CR62" i="40"/>
  <c r="CC79" i="1"/>
  <c r="BD98" i="26"/>
  <c r="CS53" i="26"/>
  <c r="BZ12" i="1"/>
  <c r="Z92" i="25"/>
  <c r="DB98" i="26"/>
  <c r="DF9" i="41"/>
  <c r="DB62" i="37"/>
  <c r="CU26" i="37"/>
  <c r="H71" i="38"/>
  <c r="CR10" i="25"/>
  <c r="G54" i="36"/>
  <c r="DB13" i="26"/>
  <c r="AC60" i="39"/>
  <c r="CP45" i="39"/>
  <c r="BS37" i="26"/>
  <c r="CB60" i="36"/>
  <c r="CS13" i="41"/>
  <c r="AD17" i="39"/>
  <c r="J24" i="37"/>
  <c r="J60" i="36"/>
  <c r="H25" i="40"/>
  <c r="CX50" i="41"/>
  <c r="I34" i="26"/>
  <c r="O96" i="39"/>
  <c r="P29" i="39"/>
  <c r="CG12" i="40"/>
  <c r="BQ21" i="1"/>
  <c r="CL62" i="40"/>
  <c r="CV13" i="40"/>
  <c r="M36" i="46"/>
  <c r="L53" i="37"/>
  <c r="AT79" i="41"/>
  <c r="AD92" i="26"/>
  <c r="AG65" i="39"/>
  <c r="Y26" i="39"/>
  <c r="BI62" i="1"/>
  <c r="AS54" i="41"/>
  <c r="CT96" i="37"/>
  <c r="N30" i="36"/>
  <c r="Y81" i="36"/>
  <c r="AX26" i="40"/>
  <c r="S30" i="25"/>
  <c r="AQ102" i="38"/>
  <c r="DA62" i="1"/>
  <c r="AG67" i="40"/>
  <c r="BZ91" i="25"/>
  <c r="BR62" i="39"/>
  <c r="P57" i="25"/>
  <c r="DB81" i="37"/>
  <c r="BQ62" i="36"/>
  <c r="DD102" i="40"/>
  <c r="CJ67" i="37"/>
  <c r="BD30" i="38"/>
  <c r="AF61" i="39"/>
  <c r="G91" i="41"/>
  <c r="CK54" i="39"/>
  <c r="AH61" i="1"/>
  <c r="DB53" i="37"/>
  <c r="DD57" i="40"/>
  <c r="BC34" i="26"/>
  <c r="AR53" i="39"/>
  <c r="CC54" i="37"/>
  <c r="L81" i="26"/>
  <c r="BR96" i="25"/>
  <c r="AY26" i="37"/>
  <c r="DF26" i="26"/>
  <c r="CT59" i="36"/>
  <c r="CG49" i="41"/>
  <c r="CZ30" i="25"/>
  <c r="AC29" i="36"/>
  <c r="CJ50" i="25"/>
  <c r="O50" i="40"/>
  <c r="CT92" i="1"/>
  <c r="CF12" i="25"/>
  <c r="G57" i="25"/>
  <c r="CR60" i="39"/>
  <c r="BW26" i="39"/>
  <c r="DC34" i="41"/>
  <c r="AX17" i="38"/>
  <c r="D32" i="59"/>
  <c r="P27" i="25"/>
  <c r="AZ65" i="41"/>
  <c r="AA57" i="36"/>
  <c r="AE12" i="25"/>
  <c r="CN13" i="37"/>
  <c r="CB24" i="26"/>
  <c r="BS58" i="37"/>
  <c r="AZ102" i="40"/>
  <c r="DE29" i="41"/>
  <c r="BD91" i="36"/>
  <c r="N17" i="37"/>
  <c r="K78" i="60"/>
  <c r="AI61" i="36"/>
  <c r="P75" i="41"/>
  <c r="BV65" i="36"/>
  <c r="P91" i="26"/>
  <c r="CU98" i="41"/>
  <c r="AE13" i="25"/>
  <c r="CU25" i="25"/>
  <c r="CT30" i="25"/>
  <c r="BZ34" i="38"/>
  <c r="AJ98" i="1"/>
  <c r="AD10" i="25"/>
  <c r="AZ58" i="1"/>
  <c r="BG123" i="47"/>
  <c r="AR53" i="41"/>
  <c r="I66" i="25"/>
  <c r="X12" i="1"/>
  <c r="BI59" i="26"/>
  <c r="BA60" i="36"/>
  <c r="CI96" i="40"/>
  <c r="AN45" i="25"/>
  <c r="AP21" i="25"/>
  <c r="CW59" i="41"/>
  <c r="CR58" i="37"/>
  <c r="BU92" i="41"/>
  <c r="I59" i="37"/>
  <c r="CQ58" i="36"/>
  <c r="BX21" i="40"/>
  <c r="Y48" i="39"/>
  <c r="CF34" i="37"/>
  <c r="DC9" i="37"/>
  <c r="AG58" i="36"/>
  <c r="N27" i="25"/>
  <c r="L89" i="37"/>
  <c r="T102" i="37"/>
  <c r="AV75" i="1"/>
  <c r="CU13" i="40"/>
  <c r="BD67" i="41"/>
  <c r="G50" i="41"/>
  <c r="BU27" i="38"/>
  <c r="BV66" i="25"/>
  <c r="CJ53" i="39"/>
  <c r="AX13" i="39"/>
  <c r="DD102" i="38"/>
  <c r="J62" i="36"/>
  <c r="CR92" i="26"/>
  <c r="AG53" i="38"/>
  <c r="BU66" i="37"/>
  <c r="CH66" i="37"/>
  <c r="BD12" i="26"/>
  <c r="CS13" i="38"/>
  <c r="AX13" i="25"/>
  <c r="CD75" i="36"/>
  <c r="CW25" i="37"/>
  <c r="BE59" i="39"/>
  <c r="AF27" i="39"/>
  <c r="BC66" i="41"/>
  <c r="Z58" i="41"/>
  <c r="CF62" i="39"/>
  <c r="AO92" i="38"/>
  <c r="AC66" i="38"/>
  <c r="G17" i="1"/>
  <c r="CC53" i="1"/>
  <c r="N67" i="40"/>
  <c r="DC103" i="38"/>
  <c r="M66" i="26"/>
  <c r="BD53" i="38"/>
  <c r="CE27" i="40"/>
  <c r="CA49" i="1"/>
  <c r="AV98" i="26"/>
  <c r="J6" i="60"/>
  <c r="M16" i="64"/>
  <c r="AZ60" i="36"/>
  <c r="AH13" i="41"/>
  <c r="CF75" i="41"/>
  <c r="BV65" i="37"/>
  <c r="CZ30" i="40"/>
  <c r="J96" i="25"/>
  <c r="V61" i="38"/>
  <c r="AP18" i="37"/>
  <c r="CR9" i="25"/>
  <c r="BO91" i="25"/>
  <c r="AU30" i="36"/>
  <c r="K45" i="41"/>
  <c r="CU92" i="39"/>
  <c r="BW13" i="40"/>
  <c r="P18" i="36"/>
  <c r="BC62" i="41"/>
  <c r="CF67" i="26"/>
  <c r="CC26" i="37"/>
  <c r="CA53" i="26"/>
  <c r="BP96" i="38"/>
  <c r="CX37" i="36"/>
  <c r="AI50" i="25"/>
  <c r="AO10" i="36"/>
  <c r="AP91" i="37"/>
  <c r="AD61" i="38"/>
  <c r="BP62" i="25"/>
  <c r="BE50" i="37"/>
  <c r="AM37" i="25"/>
  <c r="BY65" i="25"/>
  <c r="AH71" i="36"/>
  <c r="CQ34" i="37"/>
  <c r="CX34" i="41"/>
  <c r="CP25" i="37"/>
  <c r="AI75" i="26"/>
  <c r="CJ10" i="39"/>
  <c r="X62" i="36"/>
  <c r="BE126" i="47"/>
  <c r="T54" i="38"/>
  <c r="AT13" i="41"/>
  <c r="O13" i="41"/>
  <c r="CM34" i="40"/>
  <c r="CI9" i="36"/>
  <c r="BQ54" i="37"/>
  <c r="G89" i="39"/>
  <c r="CK53" i="38"/>
  <c r="CD79" i="38"/>
  <c r="AV60" i="25"/>
  <c r="DD91" i="37"/>
  <c r="BY102" i="41"/>
  <c r="CW37" i="26"/>
  <c r="CG13" i="1"/>
  <c r="AW67" i="1"/>
  <c r="AU96" i="41"/>
  <c r="AJ13" i="38"/>
  <c r="W49" i="40"/>
  <c r="CJ81" i="1"/>
  <c r="DA60" i="39"/>
  <c r="CW102" i="41"/>
  <c r="CR25" i="40"/>
  <c r="CN66" i="37"/>
  <c r="BW13" i="39"/>
  <c r="CA48" i="41"/>
  <c r="BX58" i="36"/>
  <c r="G73" i="60"/>
  <c r="CN62" i="37"/>
  <c r="U17" i="25"/>
  <c r="AH25" i="1"/>
  <c r="CF25" i="40"/>
  <c r="BA315" i="47"/>
  <c r="BT27" i="40"/>
  <c r="DD59" i="38"/>
  <c r="DB50" i="39"/>
  <c r="CJ25" i="38"/>
  <c r="AN66" i="36"/>
  <c r="BZ9" i="37"/>
  <c r="BU62" i="38"/>
  <c r="CQ62" i="40"/>
  <c r="DD103" i="1"/>
  <c r="W10" i="26"/>
  <c r="AU66" i="1"/>
  <c r="BG308" i="47"/>
  <c r="BQ50" i="1"/>
  <c r="CU62" i="26"/>
  <c r="AC10" i="38"/>
  <c r="BI24" i="36"/>
  <c r="AS89" i="37"/>
  <c r="BD318" i="47"/>
  <c r="AV61" i="37"/>
  <c r="BZ30" i="39"/>
  <c r="O49" i="25"/>
  <c r="P65" i="1"/>
  <c r="J49" i="60"/>
  <c r="CX61" i="40"/>
  <c r="AZ61" i="41"/>
  <c r="CD45" i="40"/>
  <c r="BB92" i="25"/>
  <c r="K13" i="25"/>
  <c r="AE18" i="38"/>
  <c r="I58" i="36"/>
  <c r="CN45" i="38"/>
  <c r="CQ60" i="25"/>
  <c r="BE34" i="41"/>
  <c r="CT62" i="37"/>
  <c r="CO21" i="1"/>
  <c r="BP65" i="25"/>
  <c r="I13" i="39"/>
  <c r="BS48" i="41"/>
  <c r="M25" i="38"/>
  <c r="P75" i="38"/>
  <c r="AA21" i="25"/>
  <c r="AI92" i="37"/>
  <c r="AI71" i="37"/>
  <c r="CI9" i="39"/>
  <c r="DD71" i="25"/>
  <c r="BA30" i="25"/>
  <c r="BZ18" i="38"/>
  <c r="BZ96" i="25"/>
  <c r="AI66" i="39"/>
  <c r="CV45" i="1"/>
  <c r="BT89" i="40"/>
  <c r="DC62" i="40"/>
  <c r="AZ62" i="26"/>
  <c r="BS17" i="39"/>
  <c r="BU61" i="37"/>
  <c r="AR79" i="41"/>
  <c r="DB24" i="39"/>
  <c r="AA98" i="38"/>
  <c r="AA71" i="41"/>
  <c r="W50" i="38"/>
  <c r="CH21" i="38"/>
  <c r="DB75" i="37"/>
  <c r="DD25" i="40"/>
  <c r="AF79" i="40"/>
  <c r="CV37" i="40"/>
  <c r="G27" i="39"/>
  <c r="CW34" i="39"/>
  <c r="AA17" i="38"/>
  <c r="CT9" i="41"/>
  <c r="W10" i="25"/>
  <c r="S60" i="37"/>
  <c r="BV57" i="1"/>
  <c r="CT18" i="1"/>
  <c r="CG26" i="39"/>
  <c r="AY71" i="41"/>
  <c r="AC29" i="37"/>
  <c r="CO9" i="41"/>
  <c r="CE98" i="26"/>
  <c r="CS66" i="40"/>
  <c r="CZ96" i="1"/>
  <c r="CR61" i="38"/>
  <c r="CE17" i="25"/>
  <c r="AP57" i="1"/>
  <c r="L17" i="64"/>
  <c r="I70" i="64"/>
  <c r="CZ62" i="37"/>
  <c r="M60" i="41"/>
  <c r="CR81" i="36"/>
  <c r="BD26" i="38"/>
  <c r="H89" i="41"/>
  <c r="BE58" i="39"/>
  <c r="G58" i="36"/>
  <c r="CQ67" i="36"/>
  <c r="Y60" i="39"/>
  <c r="BP61" i="39"/>
  <c r="AY45" i="41"/>
  <c r="DC81" i="25"/>
  <c r="CM102" i="26"/>
  <c r="CJ62" i="26"/>
  <c r="CF9" i="38"/>
  <c r="CP29" i="25"/>
  <c r="CA58" i="1"/>
  <c r="AG59" i="41"/>
  <c r="CF26" i="38"/>
  <c r="AC21" i="26"/>
  <c r="CG103" i="38"/>
  <c r="CT92" i="26"/>
  <c r="BU53" i="25"/>
  <c r="AM12" i="26"/>
  <c r="J54" i="40"/>
  <c r="AD91" i="26"/>
  <c r="M75" i="38"/>
  <c r="BS10" i="37"/>
  <c r="BU54" i="26"/>
  <c r="N37" i="40"/>
  <c r="CX17" i="1"/>
  <c r="CJ10" i="26"/>
  <c r="AF58" i="25"/>
  <c r="CZ67" i="38"/>
  <c r="CE13" i="25"/>
  <c r="AD9" i="1"/>
  <c r="CK79" i="39"/>
  <c r="BI49" i="26"/>
  <c r="BH59" i="39"/>
  <c r="CA29" i="36"/>
  <c r="AU61" i="41"/>
  <c r="M60" i="40"/>
  <c r="AR59" i="36"/>
  <c r="G65" i="40"/>
  <c r="AS24" i="38"/>
  <c r="CJ27" i="39"/>
  <c r="BH21" i="37"/>
  <c r="CH49" i="25"/>
  <c r="H102" i="40"/>
  <c r="BS9" i="37"/>
  <c r="BD53" i="41"/>
  <c r="Z54" i="25"/>
  <c r="J16" i="59"/>
  <c r="AD27" i="37"/>
  <c r="AZ27" i="39"/>
  <c r="BT67" i="26"/>
  <c r="CN91" i="26"/>
  <c r="BE17" i="38"/>
  <c r="CG60" i="41"/>
  <c r="BX71" i="26"/>
  <c r="CL21" i="37"/>
  <c r="AI96" i="1"/>
  <c r="BR59" i="25"/>
  <c r="CE102" i="38"/>
  <c r="BP59" i="38"/>
  <c r="CR92" i="39"/>
  <c r="X66" i="40"/>
  <c r="U58" i="26"/>
  <c r="DB10" i="1"/>
  <c r="N59" i="36"/>
  <c r="CB37" i="26"/>
  <c r="BC92" i="37"/>
  <c r="CC62" i="41"/>
  <c r="DE48" i="1"/>
  <c r="CM27" i="41"/>
  <c r="BX10" i="36"/>
  <c r="BY18" i="1"/>
  <c r="AQ37" i="1"/>
  <c r="BO25" i="1"/>
  <c r="CB30" i="41"/>
  <c r="H89" i="26"/>
  <c r="V49" i="39"/>
  <c r="CK59" i="36"/>
  <c r="T48" i="41"/>
  <c r="BZ57" i="37"/>
  <c r="AG34" i="38"/>
  <c r="J18" i="37"/>
  <c r="CY66" i="1"/>
  <c r="AQ53" i="25"/>
  <c r="AD71" i="1"/>
  <c r="BH102" i="41"/>
  <c r="BD57" i="40"/>
  <c r="CG18" i="36"/>
  <c r="CM57" i="26"/>
  <c r="AT62" i="40"/>
  <c r="CZ49" i="36"/>
  <c r="DB12" i="37"/>
  <c r="CJ30" i="40"/>
  <c r="AW91" i="40"/>
  <c r="CF30" i="26"/>
  <c r="CQ67" i="1"/>
  <c r="I35" i="60"/>
  <c r="DA34" i="37"/>
  <c r="AZ60" i="25"/>
  <c r="BZ59" i="36"/>
  <c r="CC17" i="40"/>
  <c r="AP21" i="36"/>
  <c r="AZ10" i="37"/>
  <c r="AZ12" i="41"/>
  <c r="AQ89" i="39"/>
  <c r="K71" i="26"/>
  <c r="CQ58" i="38"/>
  <c r="AT17" i="37"/>
  <c r="AC66" i="37"/>
  <c r="AI30" i="41"/>
  <c r="DA18" i="41"/>
  <c r="BT98" i="37"/>
  <c r="W71" i="25"/>
  <c r="AS75" i="37"/>
  <c r="CY49" i="39"/>
  <c r="CY79" i="26"/>
  <c r="CI66" i="39"/>
  <c r="BT34" i="36"/>
  <c r="I12" i="26"/>
  <c r="BX103" i="25"/>
  <c r="I14" i="60"/>
  <c r="CW75" i="38"/>
  <c r="CQ37" i="41"/>
  <c r="DB103" i="40"/>
  <c r="BB98" i="37"/>
  <c r="CV54" i="38"/>
  <c r="AC66" i="25"/>
  <c r="BT53" i="41"/>
  <c r="BZ45" i="38"/>
  <c r="CD81" i="1"/>
  <c r="BC50" i="37"/>
  <c r="Y10" i="38"/>
  <c r="CD45" i="25"/>
  <c r="BR62" i="38"/>
  <c r="AY59" i="1"/>
  <c r="H70" i="60"/>
  <c r="CT27" i="39"/>
  <c r="CH10" i="36"/>
  <c r="AB91" i="1"/>
  <c r="CW53" i="39"/>
  <c r="CT79" i="36"/>
  <c r="AF48" i="36"/>
  <c r="CK65" i="1"/>
  <c r="BW61" i="39"/>
  <c r="DD81" i="39"/>
  <c r="BY54" i="25"/>
  <c r="BQ24" i="1"/>
  <c r="DD26" i="37"/>
  <c r="BE53" i="38"/>
  <c r="CC53" i="40"/>
  <c r="CF54" i="26"/>
  <c r="CZ37" i="37"/>
  <c r="BB50" i="37"/>
  <c r="AT65" i="1"/>
  <c r="CV25" i="1"/>
  <c r="AA45" i="40"/>
  <c r="CG54" i="36"/>
  <c r="CZ58" i="37"/>
  <c r="CG50" i="38"/>
  <c r="CD60" i="1"/>
  <c r="BT92" i="26"/>
  <c r="CI71" i="38"/>
  <c r="CM98" i="39"/>
  <c r="AX79" i="25"/>
  <c r="J37" i="39"/>
  <c r="CY29" i="41"/>
  <c r="N89" i="36"/>
  <c r="AM75" i="38"/>
  <c r="T61" i="36"/>
  <c r="BZ29" i="25"/>
  <c r="AV49" i="40"/>
  <c r="J34" i="25"/>
  <c r="BP10" i="26"/>
  <c r="AM30" i="38"/>
  <c r="BO89" i="40"/>
  <c r="AM75" i="37"/>
  <c r="BP57" i="1"/>
  <c r="CR50" i="1"/>
  <c r="CT53" i="36"/>
  <c r="AV27" i="37"/>
  <c r="DA58" i="40"/>
  <c r="CW9" i="26"/>
  <c r="AV21" i="36"/>
  <c r="H12" i="25"/>
  <c r="BZ49" i="38"/>
  <c r="O17" i="59"/>
  <c r="BZ50" i="1"/>
  <c r="AC96" i="41"/>
  <c r="CH79" i="38"/>
  <c r="K92" i="41"/>
  <c r="AR48" i="39"/>
  <c r="CY103" i="37"/>
  <c r="CK67" i="41"/>
  <c r="BB17" i="39"/>
  <c r="AS25" i="26"/>
  <c r="AF57" i="37"/>
  <c r="DC54" i="39"/>
  <c r="BU30" i="25"/>
  <c r="AO91" i="38"/>
  <c r="BP57" i="39"/>
  <c r="BC18" i="25"/>
  <c r="AH24" i="41"/>
  <c r="AM79" i="39"/>
  <c r="AD62" i="38"/>
  <c r="AG60" i="37"/>
  <c r="BR12" i="39"/>
  <c r="CU58" i="40"/>
  <c r="CS92" i="41"/>
  <c r="AA50" i="39"/>
  <c r="AG45" i="40"/>
  <c r="AO18" i="38"/>
  <c r="CI75" i="41"/>
  <c r="BI59" i="39"/>
  <c r="CX37" i="39"/>
  <c r="BW13" i="37"/>
  <c r="K9" i="59"/>
  <c r="CS30" i="26"/>
  <c r="AW25" i="1"/>
  <c r="CY75" i="41"/>
  <c r="AY81" i="41"/>
  <c r="BY65" i="36"/>
  <c r="AF57" i="39"/>
  <c r="BT66" i="1"/>
  <c r="CQ10" i="37"/>
  <c r="CI34" i="40"/>
  <c r="BB98" i="38"/>
  <c r="CH66" i="39"/>
  <c r="BW65" i="40"/>
  <c r="BT96" i="1"/>
  <c r="BI9" i="1"/>
  <c r="AN45" i="38"/>
  <c r="AT98" i="39"/>
  <c r="AI49" i="37"/>
  <c r="AI10" i="41"/>
  <c r="AB26" i="39"/>
  <c r="AD18" i="41"/>
  <c r="AO24" i="40"/>
  <c r="BV12" i="40"/>
  <c r="BY92" i="40"/>
  <c r="BQ29" i="1"/>
  <c r="CS96" i="40"/>
  <c r="CO48" i="25"/>
  <c r="BD24" i="37"/>
  <c r="CA62" i="39"/>
  <c r="CB71" i="25"/>
  <c r="CM58" i="40"/>
  <c r="CB61" i="26"/>
  <c r="L30" i="38"/>
  <c r="AI25" i="41"/>
  <c r="V50" i="39"/>
  <c r="DF58" i="26"/>
  <c r="AC67" i="1"/>
  <c r="P79" i="36"/>
  <c r="Z50" i="1"/>
  <c r="AZ27" i="25"/>
  <c r="AJ62" i="26"/>
  <c r="P92" i="26"/>
  <c r="BR21" i="40"/>
  <c r="BH24" i="41"/>
  <c r="AH61" i="25"/>
  <c r="BR26" i="26"/>
  <c r="AZ24" i="38"/>
  <c r="AI48" i="25"/>
  <c r="CT61" i="38"/>
  <c r="AO17" i="1"/>
  <c r="V67" i="1"/>
  <c r="BE67" i="1"/>
  <c r="AX50" i="37"/>
  <c r="BX17" i="25"/>
  <c r="BB29" i="36"/>
  <c r="V21" i="25"/>
  <c r="BE12" i="40"/>
  <c r="BH61" i="1"/>
  <c r="CR34" i="1"/>
  <c r="AJ25" i="25"/>
  <c r="AX96" i="38"/>
  <c r="CR91" i="38"/>
  <c r="CF29" i="41"/>
  <c r="Z75" i="1"/>
  <c r="BW29" i="25"/>
  <c r="I57" i="26"/>
  <c r="CK30" i="37"/>
  <c r="M48" i="59"/>
  <c r="K23" i="60"/>
  <c r="CT66" i="36"/>
  <c r="CZ30" i="41"/>
  <c r="BW54" i="40"/>
  <c r="CV62" i="39"/>
  <c r="BA60" i="38"/>
  <c r="CQ67" i="38"/>
  <c r="CV102" i="1"/>
  <c r="AP34" i="41"/>
  <c r="CY103" i="38"/>
  <c r="CT18" i="40"/>
  <c r="U65" i="37"/>
  <c r="BU53" i="37"/>
  <c r="CA50" i="26"/>
  <c r="T92" i="38"/>
  <c r="BU45" i="37"/>
  <c r="AN81" i="41"/>
  <c r="W59" i="40"/>
  <c r="AF45" i="36"/>
  <c r="L19" i="59"/>
  <c r="V89" i="41"/>
  <c r="BI49" i="40"/>
  <c r="CK24" i="40"/>
  <c r="AW30" i="41"/>
  <c r="CJ26" i="38"/>
  <c r="CP61" i="38"/>
  <c r="DB34" i="40"/>
  <c r="BC91" i="36"/>
  <c r="AE17" i="36"/>
  <c r="BC98" i="41"/>
  <c r="AX48" i="37"/>
  <c r="H24" i="36"/>
  <c r="CY66" i="41"/>
  <c r="K54" i="38"/>
  <c r="AP66" i="38"/>
  <c r="BQ26" i="38"/>
  <c r="CP45" i="38"/>
  <c r="T48" i="25"/>
  <c r="Z54" i="39"/>
  <c r="BU67" i="38"/>
  <c r="O67" i="25"/>
  <c r="AW48" i="38"/>
  <c r="T66" i="36"/>
  <c r="CI9" i="25"/>
  <c r="BY96" i="37"/>
  <c r="AO61" i="36"/>
  <c r="AV34" i="39"/>
  <c r="CL21" i="41"/>
  <c r="AS62" i="37"/>
  <c r="AZ60" i="41"/>
  <c r="I21" i="40"/>
  <c r="M61" i="26"/>
  <c r="DD102" i="37"/>
  <c r="CQ81" i="25"/>
  <c r="BA50" i="39"/>
  <c r="V26" i="37"/>
  <c r="U27" i="25"/>
  <c r="BX59" i="40"/>
  <c r="BO29" i="40"/>
  <c r="AD10" i="41"/>
  <c r="AW24" i="1"/>
  <c r="P30" i="39"/>
  <c r="P58" i="37"/>
  <c r="BA59" i="26"/>
  <c r="V65" i="38"/>
  <c r="BE62" i="41"/>
  <c r="AJ57" i="40"/>
  <c r="CF81" i="37"/>
  <c r="BR48" i="39"/>
  <c r="CQ89" i="26"/>
  <c r="E23" i="60"/>
  <c r="CY103" i="26"/>
  <c r="CQ27" i="38"/>
  <c r="BR58" i="37"/>
  <c r="O75" i="41"/>
  <c r="AI79" i="1"/>
  <c r="K102" i="41"/>
  <c r="CC71" i="26"/>
  <c r="V10" i="38"/>
  <c r="CC21" i="41"/>
  <c r="BX96" i="26"/>
  <c r="BT9" i="1"/>
  <c r="AV79" i="39"/>
  <c r="BC30" i="41"/>
  <c r="J60" i="41"/>
  <c r="S48" i="38"/>
  <c r="AG12" i="39"/>
  <c r="T27" i="36"/>
  <c r="AU9" i="37"/>
  <c r="S92" i="37"/>
  <c r="CO37" i="41"/>
  <c r="DA9" i="39"/>
  <c r="S17" i="41"/>
  <c r="AW62" i="25"/>
  <c r="CJ54" i="37"/>
  <c r="CC10" i="40"/>
  <c r="DD89" i="41"/>
  <c r="CC81" i="40"/>
  <c r="AG62" i="38"/>
  <c r="CG79" i="25"/>
  <c r="AG75" i="37"/>
  <c r="AT37" i="26"/>
  <c r="DD18" i="41"/>
  <c r="AN92" i="38"/>
  <c r="L37" i="1"/>
  <c r="DD50" i="39"/>
  <c r="T30" i="40"/>
  <c r="BS27" i="41"/>
  <c r="DC59" i="39"/>
  <c r="M45" i="40"/>
  <c r="BE307" i="47"/>
  <c r="CN25" i="26"/>
  <c r="Z57" i="37"/>
  <c r="AB81" i="40"/>
  <c r="DB48" i="40"/>
  <c r="BU71" i="38"/>
  <c r="BI9" i="38"/>
  <c r="K66" i="41"/>
  <c r="AE10" i="39"/>
  <c r="CW21" i="36"/>
  <c r="I102" i="39"/>
  <c r="CP65" i="1"/>
  <c r="AR62" i="37"/>
  <c r="L37" i="40"/>
  <c r="CW59" i="25"/>
  <c r="AP24" i="38"/>
  <c r="CT79" i="38"/>
  <c r="CQ91" i="25"/>
  <c r="CT62" i="40"/>
  <c r="AQ67" i="41"/>
  <c r="AF61" i="36"/>
  <c r="AX79" i="37"/>
  <c r="AF89" i="26"/>
  <c r="AO92" i="26"/>
  <c r="AA30" i="37"/>
  <c r="AP71" i="26"/>
  <c r="BZ60" i="1"/>
  <c r="DC91" i="36"/>
  <c r="CG57" i="39"/>
  <c r="CJ89" i="39"/>
  <c r="BW53" i="25"/>
  <c r="CB71" i="1"/>
  <c r="AG53" i="37"/>
  <c r="CO65" i="26"/>
  <c r="CB81" i="41"/>
  <c r="CR57" i="37"/>
  <c r="CL71" i="36"/>
  <c r="L91" i="41"/>
  <c r="AS45" i="38"/>
  <c r="S96" i="38"/>
  <c r="AA67" i="41"/>
  <c r="CM24" i="36"/>
  <c r="BS34" i="37"/>
  <c r="AX13" i="38"/>
  <c r="CF17" i="40"/>
  <c r="L60" i="25"/>
  <c r="CA27" i="39"/>
  <c r="CJ49" i="38"/>
  <c r="AQ25" i="26"/>
  <c r="J37" i="1"/>
  <c r="CJ10" i="25"/>
  <c r="CD17" i="1"/>
  <c r="CY10" i="37"/>
  <c r="L75" i="41"/>
  <c r="N67" i="36"/>
  <c r="CO18" i="41"/>
  <c r="BV65" i="38"/>
  <c r="AZ25" i="38"/>
  <c r="AR91" i="36"/>
  <c r="BS17" i="40"/>
  <c r="CD25" i="37"/>
  <c r="S10" i="36"/>
  <c r="CZ29" i="26"/>
  <c r="AD71" i="37"/>
  <c r="CH103" i="38"/>
  <c r="BY98" i="26"/>
  <c r="L98" i="38"/>
  <c r="I30" i="41"/>
  <c r="W27" i="1"/>
  <c r="AF48" i="1"/>
  <c r="I25" i="41"/>
  <c r="N17" i="38"/>
  <c r="H57" i="38"/>
  <c r="AP29" i="41"/>
  <c r="BW49" i="37"/>
  <c r="AN91" i="38"/>
  <c r="G91" i="39"/>
  <c r="BV54" i="1"/>
  <c r="BW57" i="41"/>
  <c r="BT89" i="26"/>
  <c r="BY91" i="37"/>
  <c r="BO21" i="1"/>
  <c r="O25" i="39"/>
  <c r="AR45" i="39"/>
  <c r="T17" i="37"/>
  <c r="X71" i="40"/>
  <c r="CR48" i="39"/>
  <c r="DE10" i="25"/>
  <c r="BH50" i="40"/>
  <c r="CJ12" i="40"/>
  <c r="W17" i="39"/>
  <c r="V50" i="1"/>
  <c r="BY29" i="25"/>
  <c r="CG50" i="36"/>
  <c r="J25" i="37"/>
  <c r="AJ81" i="39"/>
  <c r="BU92" i="25"/>
  <c r="BW54" i="39"/>
  <c r="BT103" i="25"/>
  <c r="DC37" i="41"/>
  <c r="AA53" i="36"/>
  <c r="BT21" i="39"/>
  <c r="CR24" i="36"/>
  <c r="CM65" i="39"/>
  <c r="DA81" i="37"/>
  <c r="U48" i="39"/>
  <c r="CV24" i="26"/>
  <c r="S57" i="38"/>
  <c r="CR25" i="38"/>
  <c r="BC24" i="26"/>
  <c r="BB26" i="25"/>
  <c r="CI58" i="40"/>
  <c r="AT27" i="37"/>
  <c r="BI61" i="1"/>
  <c r="CL58" i="37"/>
  <c r="AU102" i="26"/>
  <c r="DE9" i="37"/>
  <c r="AT37" i="1"/>
  <c r="BY103" i="41"/>
  <c r="BT79" i="36"/>
  <c r="BW79" i="36"/>
  <c r="AY45" i="39"/>
  <c r="CB17" i="41"/>
  <c r="BX91" i="38"/>
  <c r="CE91" i="26"/>
  <c r="BO27" i="41"/>
  <c r="CZ98" i="39"/>
  <c r="AZ79" i="39"/>
  <c r="CX30" i="38"/>
  <c r="P45" i="41"/>
  <c r="BQ27" i="25"/>
  <c r="AI59" i="26"/>
  <c r="S66" i="1"/>
  <c r="I29" i="39"/>
  <c r="CM50" i="38"/>
  <c r="AF50" i="40"/>
  <c r="CQ9" i="37"/>
  <c r="AE60" i="40"/>
  <c r="Y9" i="37"/>
  <c r="M30" i="38"/>
  <c r="S75" i="38"/>
  <c r="W24" i="41"/>
  <c r="DC89" i="25"/>
  <c r="BS13" i="41"/>
  <c r="CM59" i="41"/>
  <c r="CD50" i="38"/>
  <c r="BO65" i="1"/>
  <c r="DC103" i="41"/>
  <c r="V48" i="36"/>
  <c r="AP30" i="25"/>
  <c r="AM9" i="37"/>
  <c r="BQ17" i="40"/>
  <c r="CX65" i="38"/>
  <c r="CL65" i="41"/>
  <c r="AJ27" i="1"/>
  <c r="AF89" i="1"/>
  <c r="CF17" i="25"/>
  <c r="BU26" i="25"/>
  <c r="BE98" i="26"/>
  <c r="CV57" i="39"/>
  <c r="I98" i="36"/>
  <c r="BE21" i="38"/>
  <c r="DB21" i="37"/>
  <c r="CB9" i="26"/>
  <c r="K34" i="38"/>
  <c r="CV60" i="26"/>
  <c r="BD98" i="1"/>
  <c r="AB25" i="26"/>
  <c r="CP18" i="26"/>
  <c r="AX37" i="36"/>
  <c r="CG27" i="38"/>
  <c r="AY12" i="25"/>
  <c r="CG48" i="1"/>
  <c r="AI61" i="37"/>
  <c r="M79" i="38"/>
  <c r="CY53" i="37"/>
  <c r="S75" i="1"/>
  <c r="BW29" i="37"/>
  <c r="AG59" i="25"/>
  <c r="AT67" i="39"/>
  <c r="M12" i="40"/>
  <c r="BV96" i="26"/>
  <c r="BB81" i="36"/>
  <c r="AB91" i="25"/>
  <c r="CO89" i="36"/>
  <c r="BE98" i="36"/>
  <c r="AS50" i="26"/>
  <c r="CT61" i="40"/>
  <c r="CY75" i="25"/>
  <c r="DA91" i="26"/>
  <c r="CW13" i="26"/>
  <c r="BV67" i="38"/>
  <c r="CM59" i="25"/>
  <c r="V91" i="40"/>
  <c r="DC79" i="41"/>
  <c r="CH54" i="25"/>
  <c r="CU48" i="25"/>
  <c r="AD30" i="1"/>
  <c r="AV54" i="1"/>
  <c r="AU71" i="38"/>
  <c r="CL66" i="26"/>
  <c r="I67" i="64"/>
  <c r="AZ127" i="47"/>
  <c r="S37" i="26"/>
  <c r="J37" i="26"/>
  <c r="AW102" i="25"/>
  <c r="CS81" i="36"/>
  <c r="CW30" i="37"/>
  <c r="CU13" i="26"/>
  <c r="AJ67" i="37"/>
  <c r="BW71" i="39"/>
  <c r="AB54" i="37"/>
  <c r="DE67" i="36"/>
  <c r="S30" i="38"/>
  <c r="CC54" i="26"/>
  <c r="CD45" i="1"/>
  <c r="CE71" i="25"/>
  <c r="AD71" i="38"/>
  <c r="AB81" i="38"/>
  <c r="CK25" i="1"/>
  <c r="BB102" i="26"/>
  <c r="BU79" i="1"/>
  <c r="BE34" i="36"/>
  <c r="BX49" i="1"/>
  <c r="AN58" i="26"/>
  <c r="CU60" i="37"/>
  <c r="CU29" i="36"/>
  <c r="DA49" i="26"/>
  <c r="CH10" i="25"/>
  <c r="BO75" i="39"/>
  <c r="CM21" i="39"/>
  <c r="CK37" i="26"/>
  <c r="BZ10" i="38"/>
  <c r="CX102" i="41"/>
  <c r="CR92" i="36"/>
  <c r="CL103" i="41"/>
  <c r="AH25" i="26"/>
  <c r="AA58" i="1"/>
  <c r="CM24" i="38"/>
  <c r="CX13" i="39"/>
  <c r="AB21" i="25"/>
  <c r="CM18" i="25"/>
  <c r="AV96" i="37"/>
  <c r="BH25" i="26"/>
  <c r="BI60" i="41"/>
  <c r="BI67" i="40"/>
  <c r="CF48" i="38"/>
  <c r="DC59" i="37"/>
  <c r="AH18" i="39"/>
  <c r="BW75" i="40"/>
  <c r="DC81" i="38"/>
  <c r="U10" i="39"/>
  <c r="AO29" i="41"/>
  <c r="AA50" i="25"/>
  <c r="L53" i="39"/>
  <c r="BT29" i="26"/>
  <c r="CU26" i="39"/>
  <c r="BO79" i="37"/>
  <c r="CQ37" i="40"/>
  <c r="I60" i="36"/>
  <c r="BD34" i="40"/>
  <c r="BV30" i="37"/>
  <c r="P49" i="39"/>
  <c r="DF61" i="40"/>
  <c r="BE62" i="39"/>
  <c r="CS48" i="37"/>
  <c r="BQ75" i="41"/>
  <c r="BC30" i="40"/>
  <c r="BB25" i="36"/>
  <c r="DA26" i="37"/>
  <c r="CI75" i="37"/>
  <c r="AJ21" i="41"/>
  <c r="AX71" i="26"/>
  <c r="CI53" i="40"/>
  <c r="X34" i="38"/>
  <c r="BQ71" i="41"/>
  <c r="BZ79" i="37"/>
  <c r="CY17" i="1"/>
  <c r="AN75" i="39"/>
  <c r="CR49" i="40"/>
  <c r="BR13" i="25"/>
  <c r="CY27" i="41"/>
  <c r="BC71" i="39"/>
  <c r="CO13" i="39"/>
  <c r="CQ79" i="40"/>
  <c r="CU53" i="41"/>
  <c r="AY21" i="36"/>
  <c r="CF34" i="25"/>
  <c r="Y12" i="25"/>
  <c r="AQ60" i="37"/>
  <c r="BR12" i="36"/>
  <c r="CV24" i="39"/>
  <c r="AY79" i="26"/>
  <c r="CF89" i="1"/>
  <c r="AI10" i="36"/>
  <c r="CQ25" i="39"/>
  <c r="Y29" i="40"/>
  <c r="DD24" i="26"/>
  <c r="AZ91" i="38"/>
  <c r="BS67" i="1"/>
  <c r="CS57" i="40"/>
  <c r="J61" i="38"/>
  <c r="AH62" i="1"/>
  <c r="BQ17" i="38"/>
  <c r="K29" i="25"/>
  <c r="AV62" i="1"/>
  <c r="BD29" i="38"/>
  <c r="AI71" i="41"/>
  <c r="G30" i="39"/>
  <c r="DF17" i="41"/>
  <c r="V79" i="26"/>
  <c r="CL25" i="25"/>
  <c r="AW25" i="39"/>
  <c r="BR9" i="26"/>
  <c r="N21" i="40"/>
  <c r="AH45" i="1"/>
  <c r="CK67" i="26"/>
  <c r="BP61" i="25"/>
  <c r="CZ18" i="37"/>
  <c r="CF37" i="26"/>
  <c r="H54" i="36"/>
  <c r="CT75" i="38"/>
  <c r="BV18" i="25"/>
  <c r="BR53" i="40"/>
  <c r="CN12" i="39"/>
  <c r="AO96" i="40"/>
  <c r="T60" i="39"/>
  <c r="CX58" i="25"/>
  <c r="CS67" i="1"/>
  <c r="BY29" i="37"/>
  <c r="CF49" i="38"/>
  <c r="AP45" i="26"/>
  <c r="AC92" i="1"/>
  <c r="BE96" i="39"/>
  <c r="CV91" i="1"/>
  <c r="AC54" i="39"/>
  <c r="CU96" i="1"/>
  <c r="CI45" i="36"/>
  <c r="BC60" i="25"/>
  <c r="AR79" i="26"/>
  <c r="CI18" i="37"/>
  <c r="M12" i="1"/>
  <c r="M75" i="26"/>
  <c r="BC12" i="1"/>
  <c r="AD102" i="25"/>
  <c r="BC98" i="38"/>
  <c r="AB96" i="36"/>
  <c r="CI12" i="37"/>
  <c r="Z10" i="26"/>
  <c r="BC26" i="26"/>
  <c r="AT45" i="37"/>
  <c r="AG54" i="39"/>
  <c r="AR24" i="38"/>
  <c r="CH61" i="39"/>
  <c r="BS29" i="40"/>
  <c r="BS24" i="39"/>
  <c r="AS13" i="39"/>
  <c r="S13" i="39"/>
  <c r="I66" i="40"/>
  <c r="CB89" i="38"/>
  <c r="N81" i="41"/>
  <c r="BQ102" i="37"/>
  <c r="CF45" i="41"/>
  <c r="AS62" i="40"/>
  <c r="AC58" i="39"/>
  <c r="N34" i="41"/>
  <c r="CB61" i="36"/>
  <c r="CJ92" i="37"/>
  <c r="F18" i="46"/>
  <c r="J30" i="25"/>
  <c r="BE9" i="37"/>
  <c r="CK62" i="37"/>
  <c r="AR24" i="1"/>
  <c r="AY92" i="40"/>
  <c r="CT98" i="40"/>
  <c r="AD92" i="41"/>
  <c r="CR21" i="1"/>
  <c r="Y17" i="1"/>
  <c r="CO61" i="36"/>
  <c r="DD66" i="41"/>
  <c r="DD67" i="39"/>
  <c r="AR13" i="26"/>
  <c r="AM59" i="1"/>
  <c r="CJ48" i="39"/>
  <c r="M37" i="39"/>
  <c r="CU50" i="40"/>
  <c r="DF45" i="36"/>
  <c r="Z54" i="26"/>
  <c r="AS53" i="37"/>
  <c r="BW53" i="36"/>
  <c r="Z67" i="1"/>
  <c r="BI13" i="38"/>
  <c r="AN91" i="26"/>
  <c r="G67" i="37"/>
  <c r="P30" i="36"/>
  <c r="CU45" i="25"/>
  <c r="DC27" i="1"/>
  <c r="CN61" i="39"/>
  <c r="AI60" i="1"/>
  <c r="CI49" i="37"/>
  <c r="AW66" i="41"/>
  <c r="L98" i="25"/>
  <c r="DD81" i="36"/>
  <c r="BC10" i="1"/>
  <c r="CL92" i="1"/>
  <c r="AY37" i="41"/>
  <c r="CY50" i="1"/>
  <c r="AV50" i="38"/>
  <c r="CQ49" i="41"/>
  <c r="AJ30" i="36"/>
  <c r="BP79" i="1"/>
  <c r="AV89" i="40"/>
  <c r="AM62" i="38"/>
  <c r="DC29" i="1"/>
  <c r="CQ79" i="1"/>
  <c r="AS60" i="41"/>
  <c r="CM27" i="38"/>
  <c r="CP9" i="26"/>
  <c r="CT79" i="25"/>
  <c r="M11" i="64"/>
  <c r="BV53" i="1"/>
  <c r="DC45" i="39"/>
  <c r="CC26" i="40"/>
  <c r="BV53" i="39"/>
  <c r="BR57" i="38"/>
  <c r="CL59" i="1"/>
  <c r="AV98" i="1"/>
  <c r="Z91" i="25"/>
  <c r="CU92" i="25"/>
  <c r="AE71" i="37"/>
  <c r="AV61" i="36"/>
  <c r="DE18" i="1"/>
  <c r="CI50" i="25"/>
  <c r="CP54" i="26"/>
  <c r="AM17" i="37"/>
  <c r="CM67" i="26"/>
  <c r="BD50" i="37"/>
  <c r="AO59" i="37"/>
  <c r="CF30" i="25"/>
  <c r="CS89" i="41"/>
  <c r="AO65" i="37"/>
  <c r="AM10" i="1"/>
  <c r="CZ54" i="36"/>
  <c r="BS58" i="25"/>
  <c r="BB27" i="39"/>
  <c r="CX48" i="26"/>
  <c r="BU67" i="25"/>
  <c r="AI53" i="36"/>
  <c r="BI65" i="38"/>
  <c r="AC27" i="36"/>
  <c r="S29" i="41"/>
  <c r="BA17" i="26"/>
  <c r="AO65" i="26"/>
  <c r="K37" i="40"/>
  <c r="AU25" i="36"/>
  <c r="S66" i="25"/>
  <c r="CO71" i="1"/>
  <c r="AN50" i="39"/>
  <c r="BO67" i="41"/>
  <c r="CD58" i="36"/>
  <c r="CE12" i="41"/>
  <c r="CN65" i="26"/>
  <c r="V12" i="25"/>
  <c r="Z26" i="36"/>
  <c r="CE18" i="41"/>
  <c r="AY34" i="39"/>
  <c r="I92" i="41"/>
  <c r="H8" i="59"/>
  <c r="CZ59" i="37"/>
  <c r="CB91" i="36"/>
  <c r="CC98" i="41"/>
  <c r="BD34" i="41"/>
  <c r="BR17" i="38"/>
  <c r="CR75" i="1"/>
  <c r="AX96" i="39"/>
  <c r="CS71" i="26"/>
  <c r="BQ49" i="37"/>
  <c r="AN62" i="39"/>
  <c r="BT54" i="40"/>
  <c r="S25" i="26"/>
  <c r="H37" i="40"/>
  <c r="AO65" i="38"/>
  <c r="K16" i="46"/>
  <c r="BP79" i="25"/>
  <c r="BU45" i="36"/>
  <c r="CP81" i="36"/>
  <c r="O27" i="38"/>
  <c r="BC61" i="40"/>
  <c r="CJ13" i="1"/>
  <c r="AH58" i="1"/>
  <c r="DD59" i="41"/>
  <c r="BT57" i="25"/>
  <c r="BW53" i="40"/>
  <c r="AS98" i="37"/>
  <c r="CI65" i="1"/>
  <c r="AZ89" i="37"/>
  <c r="CP81" i="37"/>
  <c r="AM21" i="1"/>
  <c r="I17" i="40"/>
  <c r="AE59" i="40"/>
  <c r="BX17" i="39"/>
  <c r="DD79" i="36"/>
  <c r="AR98" i="41"/>
  <c r="AJ10" i="26"/>
  <c r="CG45" i="39"/>
  <c r="G60" i="39"/>
  <c r="AD50" i="25"/>
  <c r="BH50" i="41"/>
  <c r="AA45" i="36"/>
  <c r="CG92" i="39"/>
  <c r="CD10" i="26"/>
  <c r="M91" i="25"/>
  <c r="AH13" i="40"/>
  <c r="CS71" i="39"/>
  <c r="DA92" i="26"/>
  <c r="AG13" i="1"/>
  <c r="AH58" i="37"/>
  <c r="CR60" i="1"/>
  <c r="CR27" i="1"/>
  <c r="BW61" i="40"/>
  <c r="CL34" i="26"/>
  <c r="AH34" i="39"/>
  <c r="S89" i="41"/>
  <c r="AQ57" i="36"/>
  <c r="L64" i="64"/>
  <c r="CZ89" i="37"/>
  <c r="CC65" i="26"/>
  <c r="CT29" i="26"/>
  <c r="X60" i="25"/>
  <c r="BT57" i="37"/>
  <c r="BZ9" i="1"/>
  <c r="CK65" i="38"/>
  <c r="CV102" i="25"/>
  <c r="BE60" i="25"/>
  <c r="BZ34" i="37"/>
  <c r="CI60" i="40"/>
  <c r="CN53" i="39"/>
  <c r="CF103" i="36"/>
  <c r="CP91" i="38"/>
  <c r="AD98" i="40"/>
  <c r="BT37" i="41"/>
  <c r="AU60" i="41"/>
  <c r="CC48" i="38"/>
  <c r="AU96" i="40"/>
  <c r="BB81" i="39"/>
  <c r="U62" i="26"/>
  <c r="BU102" i="39"/>
  <c r="AX62" i="25"/>
  <c r="AC81" i="1"/>
  <c r="CF53" i="40"/>
  <c r="DB81" i="41"/>
  <c r="BY102" i="40"/>
  <c r="BW18" i="25"/>
  <c r="CT60" i="1"/>
  <c r="BH26" i="1"/>
  <c r="CH61" i="25"/>
  <c r="AN96" i="1"/>
  <c r="BA67" i="37"/>
  <c r="CC25" i="40"/>
  <c r="BC66" i="38"/>
  <c r="CE50" i="37"/>
  <c r="BX13" i="38"/>
  <c r="BI12" i="36"/>
  <c r="CO29" i="36"/>
  <c r="G102" i="25"/>
  <c r="AZ92" i="36"/>
  <c r="AH21" i="41"/>
  <c r="AD30" i="36"/>
  <c r="AE62" i="36"/>
  <c r="CI62" i="38"/>
  <c r="CD65" i="25"/>
  <c r="W79" i="26"/>
  <c r="DA91" i="38"/>
  <c r="CZ24" i="1"/>
  <c r="CB57" i="41"/>
  <c r="K58" i="38"/>
  <c r="P89" i="25"/>
  <c r="BX75" i="40"/>
  <c r="CU48" i="38"/>
  <c r="CS96" i="38"/>
  <c r="CD61" i="39"/>
  <c r="T75" i="26"/>
  <c r="DA17" i="37"/>
  <c r="O21" i="1"/>
  <c r="BX45" i="41"/>
  <c r="DF102" i="1"/>
  <c r="AN58" i="41"/>
  <c r="AR26" i="41"/>
  <c r="AN26" i="26"/>
  <c r="N29" i="37"/>
  <c r="AE102" i="26"/>
  <c r="BV9" i="26"/>
  <c r="Z89" i="1"/>
  <c r="L12" i="26"/>
  <c r="AN65" i="39"/>
  <c r="CK75" i="36"/>
  <c r="CK79" i="25"/>
  <c r="J72" i="60"/>
  <c r="CR10" i="1"/>
  <c r="H48" i="1"/>
  <c r="O26" i="39"/>
  <c r="CY103" i="25"/>
  <c r="CQ25" i="36"/>
  <c r="CY62" i="39"/>
  <c r="AF29" i="37"/>
  <c r="AR58" i="26"/>
  <c r="CW91" i="25"/>
  <c r="AY54" i="38"/>
  <c r="AJ54" i="26"/>
  <c r="CZ65" i="36"/>
  <c r="CG17" i="36"/>
  <c r="BX12" i="36"/>
  <c r="Y29" i="36"/>
  <c r="AY54" i="40"/>
  <c r="CC50" i="1"/>
  <c r="Z13" i="25"/>
  <c r="CI48" i="39"/>
  <c r="CH12" i="37"/>
  <c r="BR24" i="41"/>
  <c r="AX13" i="41"/>
  <c r="N75" i="38"/>
  <c r="N54" i="1"/>
  <c r="DA61" i="38"/>
  <c r="DD98" i="26"/>
  <c r="BQ75" i="37"/>
  <c r="BX92" i="37"/>
  <c r="AU54" i="40"/>
  <c r="AX89" i="26"/>
  <c r="BH27" i="39"/>
  <c r="AH29" i="37"/>
  <c r="BB12" i="26"/>
  <c r="S59" i="1"/>
  <c r="DB103" i="39"/>
  <c r="BA48" i="36"/>
  <c r="V66" i="26"/>
  <c r="P65" i="36"/>
  <c r="BQ57" i="1"/>
  <c r="BB49" i="26"/>
  <c r="CC61" i="38"/>
  <c r="Z45" i="25"/>
  <c r="CU60" i="41"/>
  <c r="BP29" i="36"/>
  <c r="CQ98" i="41"/>
  <c r="AM79" i="25"/>
  <c r="CL89" i="40"/>
  <c r="CM60" i="26"/>
  <c r="S12" i="38"/>
  <c r="AD54" i="26"/>
  <c r="CF53" i="39"/>
  <c r="CO49" i="25"/>
  <c r="AY53" i="37"/>
  <c r="BY12" i="38"/>
  <c r="AA79" i="39"/>
  <c r="F45" i="60"/>
  <c r="E81" i="60"/>
  <c r="BY60" i="40"/>
  <c r="CJ60" i="39"/>
  <c r="U13" i="40"/>
  <c r="CY60" i="25"/>
  <c r="CZ25" i="40"/>
  <c r="AN59" i="25"/>
  <c r="CO12" i="25"/>
  <c r="BD17" i="41"/>
  <c r="BR49" i="36"/>
  <c r="J89" i="36"/>
  <c r="AO34" i="37"/>
  <c r="AW30" i="26"/>
  <c r="M86" i="64"/>
  <c r="BH27" i="1"/>
  <c r="AH65" i="1"/>
  <c r="CV103" i="41"/>
  <c r="AW17" i="38"/>
  <c r="N66" i="39"/>
  <c r="P57" i="59"/>
  <c r="W65" i="41"/>
  <c r="CU17" i="38"/>
  <c r="CB45" i="26"/>
  <c r="BO62" i="26"/>
  <c r="BB54" i="1"/>
  <c r="AB17" i="25"/>
  <c r="BB30" i="36"/>
  <c r="AM92" i="37"/>
  <c r="BR102" i="40"/>
  <c r="T92" i="25"/>
  <c r="CC17" i="26"/>
  <c r="AA37" i="37"/>
  <c r="X75" i="41"/>
  <c r="N91" i="39"/>
  <c r="CB45" i="36"/>
  <c r="CO45" i="36"/>
  <c r="P34" i="39"/>
  <c r="CT49" i="1"/>
  <c r="DA60" i="25"/>
  <c r="CS58" i="40"/>
  <c r="CD9" i="26"/>
  <c r="BW37" i="36"/>
  <c r="BH29" i="40"/>
  <c r="BV102" i="40"/>
  <c r="BO103" i="41"/>
  <c r="AU12" i="1"/>
  <c r="AT71" i="39"/>
  <c r="G30" i="36"/>
  <c r="P96" i="37"/>
  <c r="AY50" i="41"/>
  <c r="AX26" i="25"/>
  <c r="BE54" i="41"/>
  <c r="BW61" i="1"/>
  <c r="G25" i="37"/>
  <c r="CS12" i="39"/>
  <c r="CM91" i="38"/>
  <c r="G17" i="37"/>
  <c r="BU30" i="41"/>
  <c r="AN81" i="1"/>
  <c r="CU25" i="39"/>
  <c r="CM25" i="40"/>
  <c r="BR27" i="26"/>
  <c r="BS21" i="1"/>
  <c r="W21" i="37"/>
  <c r="AB27" i="40"/>
  <c r="CP27" i="40"/>
  <c r="BW62" i="37"/>
  <c r="BP102" i="36"/>
  <c r="CV49" i="38"/>
  <c r="V13" i="25"/>
  <c r="V27" i="41"/>
  <c r="Z58" i="38"/>
  <c r="BQ96" i="26"/>
  <c r="O53" i="39"/>
  <c r="H89" i="37"/>
  <c r="BX58" i="25"/>
  <c r="CR18" i="26"/>
  <c r="DD96" i="1"/>
  <c r="AN17" i="1"/>
  <c r="BW9" i="39"/>
  <c r="CS62" i="38"/>
  <c r="CR27" i="26"/>
  <c r="T48" i="1"/>
  <c r="BR60" i="25"/>
  <c r="AP58" i="25"/>
  <c r="AD75" i="37"/>
  <c r="AN67" i="36"/>
  <c r="CB48" i="41"/>
  <c r="BT21" i="25"/>
  <c r="V25" i="25"/>
  <c r="BO62" i="41"/>
  <c r="CX71" i="26"/>
  <c r="BC61" i="41"/>
  <c r="BU13" i="40"/>
  <c r="CG54" i="39"/>
  <c r="G62" i="25"/>
  <c r="DF17" i="39"/>
  <c r="AS45" i="25"/>
  <c r="BO54" i="39"/>
  <c r="CD89" i="36"/>
  <c r="BA60" i="40"/>
  <c r="BA92" i="38"/>
  <c r="AC18" i="41"/>
  <c r="CG21" i="37"/>
  <c r="M67" i="36"/>
  <c r="BS75" i="26"/>
  <c r="CP71" i="38"/>
  <c r="J102" i="26"/>
  <c r="AW53" i="36"/>
  <c r="BW91" i="26"/>
  <c r="CN103" i="40"/>
  <c r="T67" i="39"/>
  <c r="BA34" i="26"/>
  <c r="BR66" i="40"/>
  <c r="BH26" i="25"/>
  <c r="AA45" i="25"/>
  <c r="AM79" i="40"/>
  <c r="BA65" i="38"/>
  <c r="DE13" i="25"/>
  <c r="AV79" i="36"/>
  <c r="X34" i="41"/>
  <c r="AB54" i="1"/>
  <c r="CU17" i="26"/>
  <c r="BB54" i="25"/>
  <c r="AR49" i="36"/>
  <c r="T57" i="40"/>
  <c r="X92" i="36"/>
  <c r="AS21" i="37"/>
  <c r="AM10" i="41"/>
  <c r="P102" i="37"/>
  <c r="CQ67" i="40"/>
  <c r="CW34" i="36"/>
  <c r="BP71" i="1"/>
  <c r="H16" i="60"/>
  <c r="BR25" i="40"/>
  <c r="AC25" i="36"/>
  <c r="BR71" i="38"/>
  <c r="BC27" i="38"/>
  <c r="E16" i="64"/>
  <c r="Z81" i="37"/>
  <c r="BZ89" i="39"/>
  <c r="L25" i="36"/>
  <c r="BH91" i="26"/>
  <c r="K10" i="39"/>
  <c r="AI34" i="36"/>
  <c r="AR12" i="40"/>
  <c r="CT17" i="26"/>
  <c r="AZ89" i="36"/>
  <c r="AN21" i="41"/>
  <c r="AA58" i="26"/>
  <c r="BI27" i="41"/>
  <c r="AH49" i="26"/>
  <c r="DE17" i="36"/>
  <c r="AW30" i="39"/>
  <c r="AN45" i="37"/>
  <c r="Z24" i="40"/>
  <c r="CD71" i="37"/>
  <c r="AH98" i="25"/>
  <c r="AH98" i="38"/>
  <c r="DB50" i="38"/>
  <c r="AE58" i="1"/>
  <c r="AO60" i="25"/>
  <c r="O92" i="36"/>
  <c r="H25" i="1"/>
  <c r="AH48" i="25"/>
  <c r="Y34" i="37"/>
  <c r="BT45" i="36"/>
  <c r="CR26" i="37"/>
  <c r="L60" i="59"/>
  <c r="AG60" i="38"/>
  <c r="AN61" i="1"/>
  <c r="V81" i="40"/>
  <c r="BH10" i="36"/>
  <c r="AQ65" i="40"/>
  <c r="CC26" i="1"/>
  <c r="CZ92" i="37"/>
  <c r="CY24" i="36"/>
  <c r="AY61" i="38"/>
  <c r="AI102" i="25"/>
  <c r="AZ17" i="41"/>
  <c r="BC75" i="37"/>
  <c r="AP65" i="1"/>
  <c r="BP102" i="39"/>
  <c r="BH102" i="25"/>
  <c r="W65" i="40"/>
  <c r="L96" i="41"/>
  <c r="CD89" i="40"/>
  <c r="AH17" i="26"/>
  <c r="BV45" i="36"/>
  <c r="AP102" i="36"/>
  <c r="BE58" i="38"/>
  <c r="CA71" i="26"/>
  <c r="BE13" i="41"/>
  <c r="CQ66" i="26"/>
  <c r="CF25" i="39"/>
  <c r="I37" i="25"/>
  <c r="Y71" i="39"/>
  <c r="BG129" i="47"/>
  <c r="P24" i="37"/>
  <c r="N91" i="1"/>
  <c r="BB21" i="1"/>
  <c r="BZ67" i="40"/>
  <c r="AA58" i="40"/>
  <c r="L45" i="41"/>
  <c r="BR34" i="25"/>
  <c r="H25" i="39"/>
  <c r="CJ102" i="40"/>
  <c r="CY48" i="36"/>
  <c r="DC10" i="39"/>
  <c r="BU26" i="37"/>
  <c r="CY102" i="36"/>
  <c r="H48" i="40"/>
  <c r="CQ13" i="39"/>
  <c r="AV26" i="36"/>
  <c r="CM21" i="41"/>
  <c r="BC12" i="40"/>
  <c r="AT89" i="26"/>
  <c r="J60" i="39"/>
  <c r="O71" i="25"/>
  <c r="Z27" i="1"/>
  <c r="DB71" i="37"/>
  <c r="AU13" i="41"/>
  <c r="CQ34" i="1"/>
  <c r="DA17" i="38"/>
  <c r="T30" i="26"/>
  <c r="CS29" i="38"/>
  <c r="G17" i="25"/>
  <c r="AR75" i="36"/>
  <c r="CP34" i="26"/>
  <c r="AM62" i="36"/>
  <c r="U67" i="26"/>
  <c r="AS12" i="37"/>
  <c r="CZ89" i="36"/>
  <c r="CB50" i="37"/>
  <c r="AX59" i="26"/>
  <c r="BV37" i="38"/>
  <c r="X71" i="26"/>
  <c r="DF58" i="1"/>
  <c r="H25" i="36"/>
  <c r="BO96" i="41"/>
  <c r="CN102" i="25"/>
  <c r="AS92" i="26"/>
  <c r="AT62" i="36"/>
  <c r="BQ18" i="38"/>
  <c r="CI60" i="36"/>
  <c r="BG121" i="47"/>
  <c r="BT25" i="36"/>
  <c r="CC9" i="37"/>
  <c r="I81" i="39"/>
  <c r="J25" i="41"/>
  <c r="AM75" i="39"/>
  <c r="CM62" i="40"/>
  <c r="CT48" i="1"/>
  <c r="L30" i="40"/>
  <c r="BB59" i="36"/>
  <c r="CM54" i="1"/>
  <c r="AV30" i="39"/>
  <c r="CF10" i="40"/>
  <c r="BY67" i="1"/>
  <c r="K30" i="38"/>
  <c r="DE89" i="39"/>
  <c r="CG9" i="1"/>
  <c r="CF30" i="37"/>
  <c r="BC49" i="1"/>
  <c r="CF62" i="41"/>
  <c r="CJ79" i="25"/>
  <c r="S37" i="40"/>
  <c r="BH62" i="40"/>
  <c r="J89" i="25"/>
  <c r="BY66" i="36"/>
  <c r="AS12" i="41"/>
  <c r="AG79" i="1"/>
  <c r="CD98" i="36"/>
  <c r="AW9" i="25"/>
  <c r="AD50" i="39"/>
  <c r="CA92" i="41"/>
  <c r="X75" i="1"/>
  <c r="AT65" i="38"/>
  <c r="G18" i="25"/>
  <c r="P67" i="25"/>
  <c r="DB61" i="36"/>
  <c r="CH30" i="36"/>
  <c r="BS25" i="39"/>
  <c r="AM49" i="37"/>
  <c r="AB27" i="37"/>
  <c r="CC37" i="36"/>
  <c r="CW67" i="37"/>
  <c r="AZ50" i="39"/>
  <c r="AA71" i="39"/>
  <c r="BE57" i="41"/>
  <c r="BX89" i="38"/>
  <c r="U18" i="38"/>
  <c r="BY12" i="39"/>
  <c r="U79" i="36"/>
  <c r="CK12" i="41"/>
  <c r="BP79" i="38"/>
  <c r="AW37" i="36"/>
  <c r="DA66" i="1"/>
  <c r="O25" i="41"/>
  <c r="CK25" i="37"/>
  <c r="BC91" i="1"/>
  <c r="BV57" i="36"/>
  <c r="V27" i="38"/>
  <c r="AC10" i="36"/>
  <c r="CM60" i="41"/>
  <c r="AO75" i="26"/>
  <c r="CY13" i="41"/>
  <c r="DA65" i="26"/>
  <c r="BI61" i="37"/>
  <c r="BB60" i="1"/>
  <c r="DF65" i="26"/>
  <c r="CK60" i="41"/>
  <c r="CA30" i="1"/>
  <c r="AP10" i="36"/>
  <c r="H37" i="39"/>
  <c r="M75" i="41"/>
  <c r="BQ66" i="37"/>
  <c r="AD75" i="26"/>
  <c r="CW27" i="41"/>
  <c r="AF79" i="41"/>
  <c r="CU10" i="36"/>
  <c r="CQ10" i="25"/>
  <c r="AB13" i="26"/>
  <c r="CE37" i="26"/>
  <c r="BX13" i="26"/>
  <c r="AW12" i="41"/>
  <c r="BD30" i="1"/>
  <c r="AC75" i="1"/>
  <c r="V71" i="1"/>
  <c r="K10" i="41"/>
  <c r="BC67" i="38"/>
  <c r="CW91" i="41"/>
  <c r="X59" i="40"/>
  <c r="CO75" i="1"/>
  <c r="O10" i="26"/>
  <c r="AB102" i="41"/>
  <c r="CA60" i="41"/>
  <c r="H98" i="38"/>
  <c r="BW102" i="36"/>
  <c r="CE71" i="1"/>
  <c r="BH66" i="38"/>
  <c r="CA91" i="37"/>
  <c r="AU79" i="39"/>
  <c r="AU45" i="40"/>
  <c r="CG103" i="41"/>
  <c r="AG59" i="39"/>
  <c r="BO57" i="36"/>
  <c r="DE79" i="37"/>
  <c r="BE67" i="37"/>
  <c r="CO61" i="39"/>
  <c r="I18" i="37"/>
  <c r="CS67" i="36"/>
  <c r="AO81" i="36"/>
  <c r="CX34" i="38"/>
  <c r="AE66" i="36"/>
  <c r="CV71" i="25"/>
  <c r="CM58" i="41"/>
  <c r="AV59" i="36"/>
  <c r="Z61" i="40"/>
  <c r="CW57" i="39"/>
  <c r="BY12" i="37"/>
  <c r="AQ17" i="1"/>
  <c r="BH48" i="39"/>
  <c r="CX13" i="25"/>
  <c r="CQ58" i="25"/>
  <c r="BB61" i="38"/>
  <c r="AV71" i="38"/>
  <c r="CG53" i="38"/>
  <c r="BD26" i="37"/>
  <c r="CE9" i="41"/>
  <c r="BA24" i="36"/>
  <c r="AX65" i="41"/>
  <c r="BI25" i="25"/>
  <c r="CD13" i="39"/>
  <c r="AZ25" i="37"/>
  <c r="BU18" i="40"/>
  <c r="CW30" i="25"/>
  <c r="AG65" i="26"/>
  <c r="CU62" i="36"/>
  <c r="J19" i="64"/>
  <c r="BE50" i="1"/>
  <c r="AF65" i="38"/>
  <c r="BZ26" i="36"/>
  <c r="CY26" i="36"/>
  <c r="CY48" i="26"/>
  <c r="V79" i="41"/>
  <c r="I21" i="41"/>
  <c r="CJ102" i="26"/>
  <c r="AI37" i="40"/>
  <c r="AU79" i="37"/>
  <c r="CM96" i="26"/>
  <c r="BZ75" i="36"/>
  <c r="AD45" i="39"/>
  <c r="N10" i="38"/>
  <c r="AV89" i="37"/>
  <c r="CT54" i="38"/>
  <c r="AP61" i="26"/>
  <c r="AC10" i="25"/>
  <c r="AR67" i="37"/>
  <c r="BV79" i="38"/>
  <c r="H24" i="38"/>
  <c r="X26" i="36"/>
  <c r="AH67" i="40"/>
  <c r="CX25" i="36"/>
  <c r="CL45" i="38"/>
  <c r="AB12" i="25"/>
  <c r="BI71" i="36"/>
  <c r="CM54" i="37"/>
  <c r="DC10" i="26"/>
  <c r="CV50" i="1"/>
  <c r="CB66" i="1"/>
  <c r="CK50" i="39"/>
  <c r="CY54" i="36"/>
  <c r="AF48" i="37"/>
  <c r="CV98" i="26"/>
  <c r="BQ48" i="38"/>
  <c r="AX21" i="36"/>
  <c r="Z54" i="37"/>
  <c r="J96" i="37"/>
  <c r="AM50" i="36"/>
  <c r="CJ21" i="39"/>
  <c r="CV26" i="41"/>
  <c r="L12" i="41"/>
  <c r="DF102" i="38"/>
  <c r="AF54" i="40"/>
  <c r="Z89" i="40"/>
  <c r="BA50" i="25"/>
  <c r="AN30" i="41"/>
  <c r="BW48" i="37"/>
  <c r="CH29" i="39"/>
  <c r="BB17" i="41"/>
  <c r="CB45" i="25"/>
  <c r="AF29" i="1"/>
  <c r="DA102" i="40"/>
  <c r="BY21" i="36"/>
  <c r="BQ34" i="25"/>
  <c r="BP13" i="39"/>
  <c r="CM59" i="26"/>
  <c r="CI21" i="25"/>
  <c r="H17" i="59"/>
  <c r="Y37" i="26"/>
  <c r="BA96" i="39"/>
  <c r="AM21" i="37"/>
  <c r="K12" i="1"/>
  <c r="CV17" i="41"/>
  <c r="DD98" i="40"/>
  <c r="DD103" i="26"/>
  <c r="AU81" i="39"/>
  <c r="BO34" i="41"/>
  <c r="CW9" i="41"/>
  <c r="AY98" i="38"/>
  <c r="AG25" i="26"/>
  <c r="CX98" i="26"/>
  <c r="DB25" i="25"/>
  <c r="BY89" i="40"/>
  <c r="L49" i="40"/>
  <c r="AB34" i="1"/>
  <c r="AH60" i="25"/>
  <c r="AO10" i="41"/>
  <c r="BQ49" i="26"/>
  <c r="M65" i="1"/>
  <c r="BA71" i="40"/>
  <c r="U91" i="41"/>
  <c r="BI66" i="40"/>
  <c r="BA18" i="1"/>
  <c r="AB25" i="41"/>
  <c r="BC81" i="36"/>
  <c r="CW54" i="38"/>
  <c r="I71" i="40"/>
  <c r="AS45" i="37"/>
  <c r="AO26" i="26"/>
  <c r="AR102" i="40"/>
  <c r="CH62" i="41"/>
  <c r="CX13" i="26"/>
  <c r="BB65" i="36"/>
  <c r="K11" i="59"/>
  <c r="AM27" i="25"/>
  <c r="AS18" i="38"/>
  <c r="CU21" i="40"/>
  <c r="BZ13" i="40"/>
  <c r="AJ60" i="37"/>
  <c r="CN53" i="1"/>
  <c r="BI12" i="41"/>
  <c r="CD13" i="41"/>
  <c r="AA54" i="41"/>
  <c r="CS59" i="38"/>
  <c r="CZ59" i="40"/>
  <c r="BH60" i="1"/>
  <c r="AD53" i="41"/>
  <c r="AX60" i="40"/>
  <c r="DA58" i="26"/>
  <c r="Y29" i="41"/>
  <c r="T37" i="39"/>
  <c r="AB24" i="26"/>
  <c r="AW21" i="41"/>
  <c r="AN25" i="37"/>
  <c r="AU34" i="26"/>
  <c r="BU61" i="36"/>
  <c r="CE71" i="39"/>
  <c r="CG92" i="37"/>
  <c r="AT13" i="38"/>
  <c r="AZ57" i="38"/>
  <c r="AD67" i="37"/>
  <c r="DB13" i="25"/>
  <c r="W48" i="40"/>
  <c r="J22" i="60"/>
  <c r="CM37" i="25"/>
  <c r="CN60" i="39"/>
  <c r="BB67" i="37"/>
  <c r="AH92" i="26"/>
  <c r="AF13" i="39"/>
  <c r="AY29" i="38"/>
  <c r="S96" i="39"/>
  <c r="V75" i="26"/>
  <c r="P34" i="26"/>
  <c r="CY62" i="1"/>
  <c r="Z53" i="1"/>
  <c r="X92" i="39"/>
  <c r="I57" i="39"/>
  <c r="CR24" i="25"/>
  <c r="AH98" i="41"/>
  <c r="AN71" i="41"/>
  <c r="AS18" i="25"/>
  <c r="BH61" i="26"/>
  <c r="DE62" i="37"/>
  <c r="AF45" i="25"/>
  <c r="V59" i="38"/>
  <c r="BV98" i="36"/>
  <c r="AP29" i="39"/>
  <c r="CD96" i="1"/>
  <c r="AY53" i="1"/>
  <c r="CZ89" i="26"/>
  <c r="AF65" i="37"/>
  <c r="AS98" i="41"/>
  <c r="AB49" i="39"/>
  <c r="CE49" i="1"/>
  <c r="I18" i="36"/>
  <c r="X12" i="41"/>
  <c r="BS45" i="37"/>
  <c r="BW81" i="38"/>
  <c r="CT48" i="39"/>
  <c r="BH75" i="40"/>
  <c r="AN18" i="38"/>
  <c r="AP59" i="41"/>
  <c r="DF13" i="1"/>
  <c r="CG67" i="36"/>
  <c r="AS48" i="41"/>
  <c r="BA310" i="47"/>
  <c r="CW17" i="39"/>
  <c r="CK96" i="39"/>
  <c r="BX92" i="26"/>
  <c r="BO50" i="36"/>
  <c r="BD59" i="38"/>
  <c r="BR98" i="39"/>
  <c r="CG65" i="26"/>
  <c r="DE79" i="41"/>
  <c r="DA24" i="26"/>
  <c r="CE53" i="37"/>
  <c r="CA48" i="37"/>
  <c r="CB79" i="38"/>
  <c r="BA58" i="38"/>
  <c r="M81" i="41"/>
  <c r="AC26" i="37"/>
  <c r="BX62" i="37"/>
  <c r="BU96" i="41"/>
  <c r="K79" i="41"/>
  <c r="J53" i="41"/>
  <c r="BZ62" i="39"/>
  <c r="CW103" i="26"/>
  <c r="BS30" i="39"/>
  <c r="U13" i="1"/>
  <c r="BR37" i="40"/>
  <c r="AR17" i="36"/>
  <c r="M91" i="39"/>
  <c r="M53" i="40"/>
  <c r="BE17" i="25"/>
  <c r="J54" i="41"/>
  <c r="DB71" i="38"/>
  <c r="S27" i="38"/>
  <c r="P75" i="26"/>
  <c r="V18" i="40"/>
  <c r="BI61" i="38"/>
  <c r="CV58" i="41"/>
  <c r="CH71" i="39"/>
  <c r="Z98" i="26"/>
  <c r="BA318" i="47"/>
  <c r="BZ60" i="36"/>
  <c r="Z62" i="36"/>
  <c r="AQ25" i="40"/>
  <c r="CJ65" i="1"/>
  <c r="DF13" i="36"/>
  <c r="AU9" i="25"/>
  <c r="P58" i="40"/>
  <c r="BW26" i="1"/>
  <c r="AS71" i="37"/>
  <c r="CV54" i="36"/>
  <c r="CQ53" i="38"/>
  <c r="CV27" i="36"/>
  <c r="G34" i="36"/>
  <c r="O26" i="38"/>
  <c r="AB59" i="1"/>
  <c r="CV53" i="41"/>
  <c r="CJ13" i="36"/>
  <c r="BH60" i="39"/>
  <c r="M59" i="41"/>
  <c r="CJ65" i="39"/>
  <c r="CM81" i="37"/>
  <c r="BC62" i="37"/>
  <c r="Z50" i="36"/>
  <c r="BT13" i="25"/>
  <c r="CK98" i="41"/>
  <c r="AV50" i="36"/>
  <c r="CS37" i="39"/>
  <c r="AY30" i="25"/>
  <c r="DE12" i="41"/>
  <c r="BU60" i="1"/>
  <c r="AN34" i="41"/>
  <c r="AW21" i="1"/>
  <c r="BA58" i="41"/>
  <c r="N102" i="1"/>
  <c r="AX60" i="26"/>
  <c r="AO53" i="40"/>
  <c r="T57" i="1"/>
  <c r="BE59" i="25"/>
  <c r="CC89" i="25"/>
  <c r="O37" i="40"/>
  <c r="G37" i="37"/>
  <c r="BV18" i="37"/>
  <c r="CS45" i="25"/>
  <c r="AQ50" i="39"/>
  <c r="AS29" i="26"/>
  <c r="AD98" i="25"/>
  <c r="AB17" i="40"/>
  <c r="CZ18" i="26"/>
  <c r="BA92" i="25"/>
  <c r="AS30" i="39"/>
  <c r="O30" i="40"/>
  <c r="AX10" i="39"/>
  <c r="G92" i="26"/>
  <c r="BW54" i="26"/>
  <c r="AD58" i="40"/>
  <c r="AC17" i="1"/>
  <c r="BG313" i="47"/>
  <c r="CQ45" i="41"/>
  <c r="AY57" i="41"/>
  <c r="CK75" i="40"/>
  <c r="V12" i="38"/>
  <c r="BD13" i="26"/>
  <c r="G30" i="25"/>
  <c r="AO71" i="1"/>
  <c r="CJ98" i="38"/>
  <c r="BX57" i="36"/>
  <c r="CY89" i="37"/>
  <c r="BS13" i="40"/>
  <c r="AF18" i="26"/>
  <c r="BO58" i="37"/>
  <c r="U18" i="41"/>
  <c r="CZ59" i="1"/>
  <c r="BC27" i="1"/>
  <c r="K69" i="60"/>
  <c r="CV81" i="26"/>
  <c r="DF103" i="26"/>
  <c r="CL49" i="41"/>
  <c r="CS9" i="36"/>
  <c r="S18" i="25"/>
  <c r="BX26" i="26"/>
  <c r="CC30" i="1"/>
  <c r="AD61" i="39"/>
  <c r="BV49" i="38"/>
  <c r="L13" i="40"/>
  <c r="DC61" i="40"/>
  <c r="CE65" i="38"/>
  <c r="M75" i="39"/>
  <c r="AR79" i="25"/>
  <c r="M45" i="36"/>
  <c r="T79" i="38"/>
  <c r="L89" i="36"/>
  <c r="AJ66" i="40"/>
  <c r="BP50" i="36"/>
  <c r="AZ54" i="40"/>
  <c r="BV67" i="37"/>
  <c r="L92" i="41"/>
  <c r="BD25" i="36"/>
  <c r="M18" i="1"/>
  <c r="AM17" i="1"/>
  <c r="BD48" i="37"/>
  <c r="BC29" i="25"/>
  <c r="U37" i="25"/>
  <c r="BD66" i="39"/>
  <c r="CL10" i="39"/>
  <c r="AO29" i="1"/>
  <c r="DA17" i="1"/>
  <c r="AZ92" i="40"/>
  <c r="AR58" i="41"/>
  <c r="M81" i="26"/>
  <c r="O12" i="1"/>
  <c r="AS13" i="37"/>
  <c r="M71" i="39"/>
  <c r="CW58" i="41"/>
  <c r="CU91" i="1"/>
  <c r="BY96" i="25"/>
  <c r="CT17" i="25"/>
  <c r="CX49" i="41"/>
  <c r="CG54" i="1"/>
  <c r="AY102" i="40"/>
  <c r="AS91" i="36"/>
  <c r="E6" i="60"/>
  <c r="H18" i="39"/>
  <c r="CF67" i="37"/>
  <c r="CI102" i="40"/>
  <c r="BS24" i="1"/>
  <c r="X60" i="1"/>
  <c r="CT57" i="41"/>
  <c r="CM18" i="36"/>
  <c r="CW37" i="1"/>
  <c r="Y96" i="40"/>
  <c r="G18" i="1"/>
  <c r="G12" i="37"/>
  <c r="BH37" i="25"/>
  <c r="AE48" i="1"/>
  <c r="CD25" i="41"/>
  <c r="N91" i="26"/>
  <c r="AZ71" i="25"/>
  <c r="CJ61" i="26"/>
  <c r="BE50" i="25"/>
  <c r="CC61" i="39"/>
  <c r="AC10" i="26"/>
  <c r="BU18" i="1"/>
  <c r="Y26" i="36"/>
  <c r="AO27" i="40"/>
  <c r="H24" i="40"/>
  <c r="BH12" i="1"/>
  <c r="K75" i="38"/>
  <c r="M65" i="41"/>
  <c r="CG27" i="40"/>
  <c r="U62" i="37"/>
  <c r="DE61" i="1"/>
  <c r="AG71" i="38"/>
  <c r="BA25" i="26"/>
  <c r="DF49" i="41"/>
  <c r="K66" i="40"/>
  <c r="CK50" i="38"/>
  <c r="P10" i="37"/>
  <c r="CB89" i="26"/>
  <c r="AN96" i="25"/>
  <c r="CP89" i="40"/>
  <c r="AQ18" i="39"/>
  <c r="AV61" i="38"/>
  <c r="AJ27" i="40"/>
  <c r="AG48" i="40"/>
  <c r="AZ9" i="37"/>
  <c r="BY66" i="26"/>
  <c r="CX75" i="38"/>
  <c r="AF18" i="41"/>
  <c r="AR13" i="36"/>
  <c r="CV48" i="36"/>
  <c r="DD48" i="25"/>
  <c r="DB92" i="37"/>
  <c r="AO24" i="39"/>
  <c r="BA81" i="25"/>
  <c r="AD89" i="37"/>
  <c r="AQ102" i="25"/>
  <c r="CD92" i="40"/>
  <c r="AX61" i="25"/>
  <c r="AB66" i="40"/>
  <c r="S92" i="41"/>
  <c r="X48" i="1"/>
  <c r="CT34" i="25"/>
  <c r="AV66" i="41"/>
  <c r="AM49" i="25"/>
  <c r="AA21" i="37"/>
  <c r="CP34" i="1"/>
  <c r="CM37" i="40"/>
  <c r="W91" i="36"/>
  <c r="J45" i="1"/>
  <c r="Y92" i="41"/>
  <c r="AW65" i="38"/>
  <c r="CN59" i="25"/>
  <c r="BV25" i="1"/>
  <c r="O9" i="40"/>
  <c r="K82" i="60"/>
  <c r="AA9" i="25"/>
  <c r="AT9" i="36"/>
  <c r="AN12" i="25"/>
  <c r="CJ67" i="41"/>
  <c r="W24" i="36"/>
  <c r="W17" i="1"/>
  <c r="BH58" i="41"/>
  <c r="CU50" i="39"/>
  <c r="AA57" i="25"/>
  <c r="G29" i="37"/>
  <c r="DB66" i="40"/>
  <c r="AS65" i="41"/>
  <c r="U53" i="36"/>
  <c r="BX17" i="40"/>
  <c r="O25" i="40"/>
  <c r="AA65" i="25"/>
  <c r="BW75" i="37"/>
  <c r="CP79" i="36"/>
  <c r="AH10" i="36"/>
  <c r="K48" i="36"/>
  <c r="BP58" i="39"/>
  <c r="CL79" i="37"/>
  <c r="P96" i="40"/>
  <c r="BV54" i="26"/>
  <c r="CE66" i="40"/>
  <c r="AE65" i="1"/>
  <c r="CZ27" i="40"/>
  <c r="H58" i="40"/>
  <c r="Y92" i="36"/>
  <c r="CK50" i="36"/>
  <c r="AA61" i="38"/>
  <c r="CR26" i="41"/>
  <c r="AA21" i="38"/>
  <c r="AN53" i="39"/>
  <c r="CK30" i="41"/>
  <c r="J92" i="40"/>
  <c r="K71" i="37"/>
  <c r="BC34" i="25"/>
  <c r="CE25" i="26"/>
  <c r="BR62" i="1"/>
  <c r="N27" i="38"/>
  <c r="G12" i="60"/>
  <c r="CL37" i="25"/>
  <c r="AO26" i="39"/>
  <c r="AQ91" i="38"/>
  <c r="CG29" i="36"/>
  <c r="AF21" i="37"/>
  <c r="AF25" i="26"/>
  <c r="AF10" i="36"/>
  <c r="AY60" i="25"/>
  <c r="BA29" i="37"/>
  <c r="CZ98" i="1"/>
  <c r="BY17" i="37"/>
  <c r="AP71" i="39"/>
  <c r="W30" i="38"/>
  <c r="N102" i="39"/>
  <c r="CE103" i="25"/>
  <c r="BO89" i="37"/>
  <c r="CT59" i="1"/>
  <c r="BQ102" i="38"/>
  <c r="DC65" i="37"/>
  <c r="BH58" i="39"/>
  <c r="BD17" i="25"/>
  <c r="DA30" i="25"/>
  <c r="BB79" i="38"/>
  <c r="AE27" i="1"/>
  <c r="AU92" i="1"/>
  <c r="CP96" i="26"/>
  <c r="P57" i="1"/>
  <c r="N45" i="41"/>
  <c r="AY48" i="36"/>
  <c r="AW10" i="26"/>
  <c r="P61" i="38"/>
  <c r="G50" i="25"/>
  <c r="Z96" i="39"/>
  <c r="BS79" i="26"/>
  <c r="DE79" i="36"/>
  <c r="BD25" i="37"/>
  <c r="AE71" i="1"/>
  <c r="AI29" i="37"/>
  <c r="AB65" i="1"/>
  <c r="BC27" i="25"/>
  <c r="CT24" i="41"/>
  <c r="J10" i="37"/>
  <c r="CA26" i="36"/>
  <c r="H13" i="25"/>
  <c r="I54" i="36"/>
  <c r="DE57" i="36"/>
  <c r="BD62" i="41"/>
  <c r="CY53" i="41"/>
  <c r="W13" i="38"/>
  <c r="CW49" i="36"/>
  <c r="AQ17" i="41"/>
  <c r="BT45" i="41"/>
  <c r="AS75" i="1"/>
  <c r="CZ65" i="37"/>
  <c r="CU10" i="26"/>
  <c r="BG118" i="47"/>
  <c r="H12" i="39"/>
  <c r="CA48" i="36"/>
  <c r="G102" i="39"/>
  <c r="AU92" i="36"/>
  <c r="CW96" i="26"/>
  <c r="AH58" i="26"/>
  <c r="I29" i="1"/>
  <c r="CF18" i="26"/>
  <c r="CH60" i="38"/>
  <c r="X45" i="40"/>
  <c r="CI98" i="40"/>
  <c r="AI60" i="26"/>
  <c r="X9" i="25"/>
  <c r="BB27" i="26"/>
  <c r="CO50" i="39"/>
  <c r="DD17" i="26"/>
  <c r="CR58" i="38"/>
  <c r="G54" i="41"/>
  <c r="L53" i="26"/>
  <c r="AW81" i="1"/>
  <c r="AN45" i="36"/>
  <c r="BP96" i="40"/>
  <c r="T45" i="39"/>
  <c r="AY89" i="37"/>
  <c r="CO58" i="40"/>
  <c r="CR29" i="37"/>
  <c r="CS89" i="36"/>
  <c r="AH53" i="1"/>
  <c r="BH27" i="37"/>
  <c r="BP102" i="25"/>
  <c r="CO24" i="26"/>
  <c r="H49" i="37"/>
  <c r="CV89" i="1"/>
  <c r="K92" i="60"/>
  <c r="AQ45" i="25"/>
  <c r="BX59" i="1"/>
  <c r="CH57" i="25"/>
  <c r="AG17" i="26"/>
  <c r="AH10" i="25"/>
  <c r="X66" i="37"/>
  <c r="AA45" i="41"/>
  <c r="V37" i="39"/>
  <c r="BQ91" i="25"/>
  <c r="AE91" i="41"/>
  <c r="CO9" i="37"/>
  <c r="AO13" i="36"/>
  <c r="CR13" i="36"/>
  <c r="BD25" i="39"/>
  <c r="M65" i="37"/>
  <c r="BS59" i="26"/>
  <c r="CL103" i="25"/>
  <c r="T65" i="25"/>
  <c r="BU17" i="41"/>
  <c r="BU98" i="36"/>
  <c r="CR60" i="38"/>
  <c r="CV102" i="38"/>
  <c r="BI71" i="41"/>
  <c r="U79" i="40"/>
  <c r="S58" i="41"/>
  <c r="BS71" i="25"/>
  <c r="AR34" i="38"/>
  <c r="J79" i="40"/>
  <c r="CF89" i="38"/>
  <c r="BI75" i="25"/>
  <c r="AI75" i="39"/>
  <c r="W29" i="38"/>
  <c r="N37" i="39"/>
  <c r="K67" i="38"/>
  <c r="CS49" i="26"/>
  <c r="AT54" i="26"/>
  <c r="CE50" i="41"/>
  <c r="U91" i="39"/>
  <c r="AR66" i="40"/>
  <c r="AE98" i="36"/>
  <c r="CK79" i="41"/>
  <c r="T102" i="38"/>
  <c r="E13" i="64"/>
  <c r="BS91" i="39"/>
  <c r="DC34" i="36"/>
  <c r="CS26" i="41"/>
  <c r="BH98" i="25"/>
  <c r="U66" i="1"/>
  <c r="H86" i="60"/>
  <c r="CI67" i="1"/>
  <c r="H66" i="38"/>
  <c r="BH26" i="37"/>
  <c r="DF50" i="38"/>
  <c r="V10" i="40"/>
  <c r="AD102" i="37"/>
  <c r="BO10" i="1"/>
  <c r="P27" i="39"/>
  <c r="CU98" i="39"/>
  <c r="Y12" i="38"/>
  <c r="DF37" i="1"/>
  <c r="CD37" i="36"/>
  <c r="CN75" i="41"/>
  <c r="CI48" i="26"/>
  <c r="K48" i="38"/>
  <c r="AP13" i="37"/>
  <c r="BD98" i="41"/>
  <c r="X49" i="25"/>
  <c r="BY50" i="25"/>
  <c r="CW53" i="41"/>
  <c r="BC50" i="25"/>
  <c r="CR57" i="1"/>
  <c r="BW13" i="38"/>
  <c r="AV24" i="38"/>
  <c r="AQ65" i="39"/>
  <c r="DF67" i="40"/>
  <c r="J81" i="39"/>
  <c r="AW29" i="37"/>
  <c r="CM71" i="1"/>
  <c r="AY45" i="1"/>
  <c r="I62" i="36"/>
  <c r="CQ24" i="41"/>
  <c r="M81" i="36"/>
  <c r="CR9" i="40"/>
  <c r="CO58" i="1"/>
  <c r="AZ34" i="25"/>
  <c r="CY17" i="40"/>
  <c r="N26" i="40"/>
  <c r="CK91" i="36"/>
  <c r="L45" i="36"/>
  <c r="CJ103" i="25"/>
  <c r="CV59" i="41"/>
  <c r="CG45" i="40"/>
  <c r="DD24" i="40"/>
  <c r="BI17" i="26"/>
  <c r="AC79" i="1"/>
  <c r="DE25" i="37"/>
  <c r="CC13" i="1"/>
  <c r="CF98" i="25"/>
  <c r="AE71" i="36"/>
  <c r="U30" i="36"/>
  <c r="M89" i="64"/>
  <c r="CX65" i="41"/>
  <c r="CD61" i="41"/>
  <c r="CE45" i="41"/>
  <c r="CI75" i="25"/>
  <c r="G53" i="36"/>
  <c r="BC318" i="47"/>
  <c r="CM67" i="40"/>
  <c r="CZ17" i="37"/>
  <c r="CP29" i="36"/>
  <c r="DE12" i="36"/>
  <c r="K61" i="38"/>
  <c r="K37" i="37"/>
  <c r="AO45" i="38"/>
  <c r="Y75" i="39"/>
  <c r="AW54" i="25"/>
  <c r="BZ91" i="36"/>
  <c r="AG57" i="38"/>
  <c r="CS50" i="1"/>
  <c r="BS45" i="1"/>
  <c r="CU12" i="1"/>
  <c r="V25" i="1"/>
  <c r="CK17" i="1"/>
  <c r="DD37" i="39"/>
  <c r="BT27" i="1"/>
  <c r="BT50" i="36"/>
  <c r="CO67" i="39"/>
  <c r="AU25" i="1"/>
  <c r="AA49" i="40"/>
  <c r="U58" i="40"/>
  <c r="DB96" i="39"/>
  <c r="DF54" i="38"/>
  <c r="O37" i="26"/>
  <c r="AC60" i="1"/>
  <c r="BP10" i="25"/>
  <c r="AI91" i="37"/>
  <c r="DB26" i="26"/>
  <c r="AU62" i="41"/>
  <c r="AW34" i="41"/>
  <c r="CC71" i="41"/>
  <c r="G35" i="60"/>
  <c r="AT75" i="39"/>
  <c r="AI34" i="26"/>
  <c r="BO17" i="26"/>
  <c r="BD98" i="36"/>
  <c r="G75" i="40"/>
  <c r="CC61" i="25"/>
  <c r="BE12" i="1"/>
  <c r="CO30" i="25"/>
  <c r="CL18" i="39"/>
  <c r="O98" i="25"/>
  <c r="DE29" i="26"/>
  <c r="AH102" i="39"/>
  <c r="CY45" i="1"/>
  <c r="AH59" i="38"/>
  <c r="W91" i="25"/>
  <c r="BA25" i="41"/>
  <c r="AI24" i="37"/>
  <c r="BE18" i="39"/>
  <c r="BS34" i="26"/>
  <c r="CN26" i="36"/>
  <c r="CC34" i="39"/>
  <c r="BP37" i="39"/>
  <c r="CJ98" i="26"/>
  <c r="BD26" i="36"/>
  <c r="J91" i="26"/>
  <c r="O65" i="37"/>
  <c r="BQ25" i="26"/>
  <c r="BS54" i="38"/>
  <c r="DD49" i="26"/>
  <c r="BS60" i="40"/>
  <c r="BR50" i="25"/>
  <c r="AR21" i="38"/>
  <c r="T58" i="38"/>
  <c r="AS81" i="36"/>
  <c r="AZ17" i="36"/>
  <c r="I13" i="64"/>
  <c r="V91" i="26"/>
  <c r="CA60" i="25"/>
  <c r="G27" i="36"/>
  <c r="K89" i="37"/>
  <c r="BI98" i="41"/>
  <c r="T102" i="36"/>
  <c r="BW75" i="1"/>
  <c r="X13" i="38"/>
  <c r="CO26" i="41"/>
  <c r="CZ60" i="26"/>
  <c r="W21" i="26"/>
  <c r="AX58" i="40"/>
  <c r="M29" i="26"/>
  <c r="CQ25" i="37"/>
  <c r="CS58" i="38"/>
  <c r="CJ59" i="40"/>
  <c r="BI67" i="36"/>
  <c r="AP75" i="39"/>
  <c r="AP49" i="41"/>
  <c r="K48" i="1"/>
  <c r="CP17" i="37"/>
  <c r="AB75" i="39"/>
  <c r="BO66" i="1"/>
  <c r="AV92" i="36"/>
  <c r="AT89" i="40"/>
  <c r="DB60" i="25"/>
  <c r="I66" i="41"/>
  <c r="AE50" i="41"/>
  <c r="CP45" i="41"/>
  <c r="BP71" i="36"/>
  <c r="S21" i="41"/>
  <c r="CQ92" i="40"/>
  <c r="W26" i="39"/>
  <c r="AJ10" i="39"/>
  <c r="AH17" i="41"/>
  <c r="BD17" i="1"/>
  <c r="BZ18" i="41"/>
  <c r="BV37" i="1"/>
  <c r="CM102" i="1"/>
  <c r="AT71" i="26"/>
  <c r="AR9" i="40"/>
  <c r="BC21" i="1"/>
  <c r="AV17" i="1"/>
  <c r="DB58" i="36"/>
  <c r="AN96" i="40"/>
  <c r="O33" i="59"/>
  <c r="AS10" i="38"/>
  <c r="V48" i="37"/>
  <c r="AY60" i="1"/>
  <c r="K18" i="26"/>
  <c r="AZ57" i="40"/>
  <c r="CL81" i="38"/>
  <c r="AP67" i="38"/>
  <c r="CP98" i="41"/>
  <c r="Y25" i="40"/>
  <c r="DA9" i="26"/>
  <c r="BX37" i="41"/>
  <c r="DA12" i="25"/>
  <c r="CO21" i="40"/>
  <c r="N52" i="59"/>
  <c r="F47" i="60"/>
  <c r="AU10" i="38"/>
  <c r="BY37" i="38"/>
  <c r="CP10" i="39"/>
  <c r="CI37" i="36"/>
  <c r="CM13" i="36"/>
  <c r="CL17" i="41"/>
  <c r="BE48" i="36"/>
  <c r="BA54" i="40"/>
  <c r="BQ59" i="1"/>
  <c r="BC118" i="47"/>
  <c r="DC27" i="26"/>
  <c r="CK75" i="39"/>
  <c r="AQ102" i="40"/>
  <c r="BD91" i="25"/>
  <c r="CY26" i="25"/>
  <c r="H54" i="41"/>
  <c r="AG30" i="40"/>
  <c r="AG61" i="39"/>
  <c r="BY91" i="41"/>
  <c r="BU91" i="25"/>
  <c r="CN71" i="38"/>
  <c r="BX12" i="26"/>
  <c r="AH75" i="36"/>
  <c r="BS21" i="25"/>
  <c r="AF10" i="38"/>
  <c r="AO96" i="37"/>
  <c r="CB60" i="38"/>
  <c r="W61" i="1"/>
  <c r="BP89" i="39"/>
  <c r="CR34" i="41"/>
  <c r="CQ45" i="1"/>
  <c r="AF65" i="26"/>
  <c r="H57" i="1"/>
  <c r="AM81" i="38"/>
  <c r="BU10" i="41"/>
  <c r="CO61" i="41"/>
  <c r="AD61" i="41"/>
  <c r="AM53" i="39"/>
  <c r="CJ54" i="38"/>
  <c r="DA18" i="25"/>
  <c r="CE37" i="37"/>
  <c r="P48" i="37"/>
  <c r="K65" i="25"/>
  <c r="AC53" i="37"/>
  <c r="CR81" i="1"/>
  <c r="I49" i="36"/>
  <c r="CP103" i="41"/>
  <c r="AJ18" i="36"/>
  <c r="AE27" i="36"/>
  <c r="BT50" i="1"/>
  <c r="CF34" i="38"/>
  <c r="CY61" i="37"/>
  <c r="BR17" i="26"/>
  <c r="CW9" i="40"/>
  <c r="N71" i="36"/>
  <c r="CM13" i="1"/>
  <c r="H75" i="40"/>
  <c r="K71" i="64"/>
  <c r="CJ50" i="1"/>
  <c r="AA18" i="39"/>
  <c r="AV102" i="38"/>
  <c r="AX34" i="26"/>
  <c r="CN98" i="37"/>
  <c r="CN18" i="36"/>
  <c r="DE45" i="37"/>
  <c r="AE27" i="26"/>
  <c r="AZ50" i="25"/>
  <c r="CT21" i="38"/>
  <c r="CV67" i="26"/>
  <c r="AV62" i="40"/>
  <c r="CJ71" i="36"/>
  <c r="CV54" i="26"/>
  <c r="CI21" i="39"/>
  <c r="Y71" i="26"/>
  <c r="O37" i="38"/>
  <c r="CO58" i="41"/>
  <c r="AQ59" i="26"/>
  <c r="BI96" i="36"/>
  <c r="O48" i="36"/>
  <c r="BC58" i="38"/>
  <c r="I49" i="40"/>
  <c r="BZ24" i="41"/>
  <c r="AY61" i="36"/>
  <c r="BE121" i="47"/>
  <c r="AC89" i="25"/>
  <c r="BU66" i="40"/>
  <c r="AG79" i="26"/>
  <c r="I59" i="26"/>
  <c r="AV71" i="25"/>
  <c r="CJ25" i="25"/>
  <c r="CS9" i="41"/>
  <c r="BX53" i="37"/>
  <c r="CK62" i="39"/>
  <c r="BY89" i="25"/>
  <c r="CC75" i="1"/>
  <c r="X58" i="38"/>
  <c r="P91" i="36"/>
  <c r="AQ37" i="38"/>
  <c r="CX30" i="26"/>
  <c r="CO53" i="1"/>
  <c r="CM79" i="25"/>
  <c r="CX21" i="39"/>
  <c r="DB75" i="1"/>
  <c r="BQ61" i="40"/>
  <c r="AQ71" i="25"/>
  <c r="BI10" i="41"/>
  <c r="BZ25" i="40"/>
  <c r="CO62" i="1"/>
  <c r="CH65" i="38"/>
  <c r="BU29" i="26"/>
  <c r="BZ102" i="40"/>
  <c r="DD53" i="39"/>
  <c r="AS24" i="1"/>
  <c r="DC30" i="41"/>
  <c r="M79" i="41"/>
  <c r="BC314" i="47"/>
  <c r="CM89" i="1"/>
  <c r="O102" i="26"/>
  <c r="AA49" i="39"/>
  <c r="BW102" i="1"/>
  <c r="X91" i="40"/>
  <c r="I50" i="38"/>
  <c r="AJ79" i="36"/>
  <c r="BX103" i="36"/>
  <c r="BE61" i="39"/>
  <c r="L49" i="26"/>
  <c r="CZ102" i="38"/>
  <c r="AJ13" i="25"/>
  <c r="AY27" i="40"/>
  <c r="BZ65" i="36"/>
  <c r="CD9" i="36"/>
  <c r="Y17" i="39"/>
  <c r="AC54" i="41"/>
  <c r="AH17" i="1"/>
  <c r="U26" i="36"/>
  <c r="DF12" i="38"/>
  <c r="AV34" i="1"/>
  <c r="AJ60" i="1"/>
  <c r="BC26" i="37"/>
  <c r="AW57" i="38"/>
  <c r="J102" i="41"/>
  <c r="BA10" i="25"/>
  <c r="H58" i="39"/>
  <c r="AJ48" i="37"/>
  <c r="AB65" i="26"/>
  <c r="CO48" i="37"/>
  <c r="CE60" i="25"/>
  <c r="CS75" i="1"/>
  <c r="I37" i="40"/>
  <c r="AR27" i="38"/>
  <c r="AT102" i="25"/>
  <c r="BA65" i="1"/>
  <c r="T13" i="40"/>
  <c r="CP60" i="36"/>
  <c r="AN58" i="37"/>
  <c r="AR50" i="36"/>
  <c r="T50" i="1"/>
  <c r="BA45" i="26"/>
  <c r="CQ96" i="41"/>
  <c r="AG13" i="37"/>
  <c r="DB53" i="39"/>
  <c r="AG57" i="39"/>
  <c r="AS49" i="41"/>
  <c r="AE12" i="37"/>
  <c r="BI60" i="26"/>
  <c r="AJ9" i="38"/>
  <c r="CX79" i="26"/>
  <c r="Y27" i="38"/>
  <c r="S29" i="39"/>
  <c r="CJ71" i="38"/>
  <c r="AM26" i="26"/>
  <c r="BI89" i="41"/>
  <c r="CO96" i="36"/>
  <c r="BQ30" i="38"/>
  <c r="BB91" i="38"/>
  <c r="BT9" i="40"/>
  <c r="CB50" i="25"/>
  <c r="L25" i="38"/>
  <c r="BY9" i="25"/>
  <c r="CA18" i="1"/>
  <c r="M61" i="60"/>
  <c r="M53" i="37"/>
  <c r="CY37" i="38"/>
  <c r="CM89" i="26"/>
  <c r="G27" i="38"/>
  <c r="CO65" i="41"/>
  <c r="DC62" i="37"/>
  <c r="BI27" i="1"/>
  <c r="CS25" i="36"/>
  <c r="BB65" i="41"/>
  <c r="L15" i="60"/>
  <c r="X98" i="38"/>
  <c r="BU27" i="37"/>
  <c r="BU92" i="38"/>
  <c r="CL17" i="38"/>
  <c r="K10" i="37"/>
  <c r="BQ71" i="36"/>
  <c r="CX9" i="37"/>
  <c r="AY45" i="36"/>
  <c r="CB61" i="25"/>
  <c r="W49" i="26"/>
  <c r="BT81" i="38"/>
  <c r="I61" i="26"/>
  <c r="CM54" i="36"/>
  <c r="CL98" i="26"/>
  <c r="BE79" i="36"/>
  <c r="AE67" i="26"/>
  <c r="BI27" i="26"/>
  <c r="AF57" i="25"/>
  <c r="CU96" i="38"/>
  <c r="CT53" i="26"/>
  <c r="AD48" i="25"/>
  <c r="CV12" i="25"/>
  <c r="BE37" i="26"/>
  <c r="DA50" i="26"/>
  <c r="BQ102" i="25"/>
  <c r="BS21" i="37"/>
  <c r="CI12" i="36"/>
  <c r="M60" i="36"/>
  <c r="CC60" i="40"/>
  <c r="CE67" i="37"/>
  <c r="CM21" i="37"/>
  <c r="CQ59" i="38"/>
  <c r="CD81" i="38"/>
  <c r="X65" i="38"/>
  <c r="BR62" i="37"/>
  <c r="M9" i="1"/>
  <c r="AA9" i="39"/>
  <c r="CD30" i="41"/>
  <c r="AM71" i="41"/>
  <c r="BR102" i="26"/>
  <c r="J73" i="64"/>
  <c r="DF18" i="39"/>
  <c r="DF98" i="40"/>
  <c r="AI13" i="1"/>
  <c r="K62" i="1"/>
  <c r="P17" i="41"/>
  <c r="CD10" i="25"/>
  <c r="CG75" i="41"/>
  <c r="BH59" i="37"/>
  <c r="AE49" i="26"/>
  <c r="CK21" i="40"/>
  <c r="BW50" i="25"/>
  <c r="DA96" i="25"/>
  <c r="CT21" i="41"/>
  <c r="BE98" i="1"/>
  <c r="CI34" i="36"/>
  <c r="CT58" i="40"/>
  <c r="I18" i="41"/>
  <c r="N37" i="37"/>
  <c r="V34" i="41"/>
  <c r="CF49" i="40"/>
  <c r="AT21" i="26"/>
  <c r="AS34" i="25"/>
  <c r="BR29" i="38"/>
  <c r="AO18" i="25"/>
  <c r="CD48" i="1"/>
  <c r="DB57" i="41"/>
  <c r="CJ25" i="39"/>
  <c r="AB50" i="40"/>
  <c r="CQ79" i="26"/>
  <c r="CJ37" i="40"/>
  <c r="AV66" i="36"/>
  <c r="AI58" i="37"/>
  <c r="CP17" i="26"/>
  <c r="CO65" i="1"/>
  <c r="BR12" i="41"/>
  <c r="BR102" i="37"/>
  <c r="O50" i="41"/>
  <c r="G71" i="41"/>
  <c r="BV89" i="41"/>
  <c r="BX9" i="38"/>
  <c r="DB59" i="41"/>
  <c r="BP98" i="38"/>
  <c r="BO58" i="38"/>
  <c r="J98" i="40"/>
  <c r="AS54" i="40"/>
  <c r="G12" i="41"/>
  <c r="BT10" i="25"/>
  <c r="AJ66" i="26"/>
  <c r="Y48" i="25"/>
  <c r="AM79" i="37"/>
  <c r="BZ67" i="25"/>
  <c r="N26" i="1"/>
  <c r="CF12" i="41"/>
  <c r="Y24" i="1"/>
  <c r="CK9" i="40"/>
  <c r="U57" i="37"/>
  <c r="BD48" i="40"/>
  <c r="CW26" i="37"/>
  <c r="J53" i="37"/>
  <c r="AQ60" i="40"/>
  <c r="CT81" i="1"/>
  <c r="AI18" i="40"/>
  <c r="AZ45" i="26"/>
  <c r="CI50" i="41"/>
  <c r="BX50" i="41"/>
  <c r="DB98" i="41"/>
  <c r="BE123" i="47"/>
  <c r="CL62" i="36"/>
  <c r="AA96" i="37"/>
  <c r="AX10" i="26"/>
  <c r="L86" i="64"/>
  <c r="CL18" i="1"/>
  <c r="I6" i="60"/>
  <c r="U12" i="26"/>
  <c r="O59" i="41"/>
  <c r="AN50" i="40"/>
  <c r="AE53" i="1"/>
  <c r="CY17" i="38"/>
  <c r="BQ37" i="37"/>
  <c r="Y98" i="40"/>
  <c r="CI17" i="41"/>
  <c r="BP59" i="41"/>
  <c r="L29" i="25"/>
  <c r="CU54" i="38"/>
  <c r="AW17" i="25"/>
  <c r="BC53" i="37"/>
  <c r="BX61" i="41"/>
  <c r="CN21" i="1"/>
  <c r="BA89" i="37"/>
  <c r="DE75" i="25"/>
  <c r="N89" i="41"/>
  <c r="BE30" i="26"/>
  <c r="CY60" i="38"/>
  <c r="CT49" i="38"/>
  <c r="AY67" i="39"/>
  <c r="CE21" i="40"/>
  <c r="CY62" i="36"/>
  <c r="G48" i="37"/>
  <c r="CQ103" i="26"/>
  <c r="CX34" i="25"/>
  <c r="CS29" i="26"/>
  <c r="AU29" i="41"/>
  <c r="AT98" i="25"/>
  <c r="AU48" i="37"/>
  <c r="AE102" i="25"/>
  <c r="AS89" i="40"/>
  <c r="AY306" i="47"/>
  <c r="AD60" i="36"/>
  <c r="CS61" i="25"/>
  <c r="P45" i="39"/>
  <c r="CS34" i="26"/>
  <c r="BV98" i="39"/>
  <c r="CK49" i="25"/>
  <c r="AO92" i="25"/>
  <c r="CZ91" i="40"/>
  <c r="AH65" i="38"/>
  <c r="AG9" i="1"/>
  <c r="M49" i="1"/>
  <c r="CQ61" i="41"/>
  <c r="CH58" i="36"/>
  <c r="AO89" i="37"/>
  <c r="DD21" i="40"/>
  <c r="DB13" i="41"/>
  <c r="BZ26" i="26"/>
  <c r="P49" i="26"/>
  <c r="AJ9" i="25"/>
  <c r="AD34" i="26"/>
  <c r="CD79" i="39"/>
  <c r="X58" i="39"/>
  <c r="BW61" i="38"/>
  <c r="CQ30" i="38"/>
  <c r="CW13" i="37"/>
  <c r="BE98" i="41"/>
  <c r="Y18" i="38"/>
  <c r="CG92" i="1"/>
  <c r="CQ21" i="26"/>
  <c r="K49" i="25"/>
  <c r="AY89" i="38"/>
  <c r="CE79" i="37"/>
  <c r="BD48" i="25"/>
  <c r="CY79" i="41"/>
  <c r="AA54" i="37"/>
  <c r="DA57" i="41"/>
  <c r="AT81" i="39"/>
  <c r="G70" i="64"/>
  <c r="S98" i="26"/>
  <c r="DE30" i="40"/>
  <c r="CV67" i="41"/>
  <c r="V21" i="40"/>
  <c r="CU49" i="26"/>
  <c r="N92" i="36"/>
  <c r="CV65" i="40"/>
  <c r="N12" i="39"/>
  <c r="BY89" i="37"/>
  <c r="O57" i="26"/>
  <c r="BH91" i="41"/>
  <c r="DE62" i="38"/>
  <c r="T79" i="37"/>
  <c r="BS58" i="39"/>
  <c r="CA91" i="38"/>
  <c r="CQ60" i="26"/>
  <c r="AE24" i="38"/>
  <c r="AV65" i="25"/>
  <c r="BB57" i="37"/>
  <c r="CK29" i="40"/>
  <c r="AX49" i="36"/>
  <c r="CQ13" i="40"/>
  <c r="U45" i="25"/>
  <c r="BC60" i="37"/>
  <c r="AB92" i="25"/>
  <c r="CI26" i="25"/>
  <c r="AJ24" i="38"/>
  <c r="H54" i="40"/>
  <c r="AJ48" i="38"/>
  <c r="AM18" i="26"/>
  <c r="DF71" i="25"/>
  <c r="DF61" i="25"/>
  <c r="BB37" i="40"/>
  <c r="BE45" i="36"/>
  <c r="DB92" i="38"/>
  <c r="CA17" i="25"/>
  <c r="BP12" i="25"/>
  <c r="W79" i="25"/>
  <c r="V61" i="36"/>
  <c r="X96" i="25"/>
  <c r="AI54" i="1"/>
  <c r="CU18" i="38"/>
  <c r="X18" i="36"/>
  <c r="AS65" i="36"/>
  <c r="BB25" i="40"/>
  <c r="CX13" i="40"/>
  <c r="CJ30" i="39"/>
  <c r="AP91" i="41"/>
  <c r="BZ98" i="1"/>
  <c r="CA13" i="38"/>
  <c r="CK45" i="37"/>
  <c r="T59" i="36"/>
  <c r="DC57" i="37"/>
  <c r="AV81" i="36"/>
  <c r="X62" i="1"/>
  <c r="AE61" i="25"/>
  <c r="DB48" i="41"/>
  <c r="AM13" i="25"/>
  <c r="BT30" i="1"/>
  <c r="M49" i="26"/>
  <c r="AZ58" i="26"/>
  <c r="BH79" i="39"/>
  <c r="CQ29" i="25"/>
  <c r="AA48" i="39"/>
  <c r="L27" i="25"/>
  <c r="L62" i="41"/>
  <c r="BH61" i="41"/>
  <c r="CB67" i="37"/>
  <c r="BY98" i="38"/>
  <c r="BQ30" i="40"/>
  <c r="AB17" i="37"/>
  <c r="CC37" i="37"/>
  <c r="Y45" i="1"/>
  <c r="AC27" i="40"/>
  <c r="BT96" i="36"/>
  <c r="BC26" i="39"/>
  <c r="CF37" i="39"/>
  <c r="AH50" i="26"/>
  <c r="O54" i="38"/>
  <c r="CC24" i="41"/>
  <c r="CG24" i="25"/>
  <c r="CI24" i="1"/>
  <c r="AI79" i="36"/>
  <c r="CX12" i="41"/>
  <c r="AX48" i="40"/>
  <c r="BS37" i="25"/>
  <c r="BD66" i="1"/>
  <c r="U54" i="37"/>
  <c r="O26" i="36"/>
  <c r="DD34" i="1"/>
  <c r="CH81" i="38"/>
  <c r="H62" i="1"/>
  <c r="BP60" i="25"/>
  <c r="CZ103" i="41"/>
  <c r="AX17" i="1"/>
  <c r="DA102" i="38"/>
  <c r="BV21" i="25"/>
  <c r="CE34" i="26"/>
  <c r="CG54" i="38"/>
  <c r="BB66" i="37"/>
  <c r="N45" i="38"/>
  <c r="CF81" i="38"/>
  <c r="AA62" i="37"/>
  <c r="BP96" i="1"/>
  <c r="BZ48" i="39"/>
  <c r="AU21" i="25"/>
  <c r="CU34" i="37"/>
  <c r="BV9" i="38"/>
  <c r="CY10" i="25"/>
  <c r="X57" i="1"/>
  <c r="CG92" i="25"/>
  <c r="CH48" i="39"/>
  <c r="M57" i="1"/>
  <c r="CC53" i="37"/>
  <c r="CA25" i="38"/>
  <c r="CD62" i="1"/>
  <c r="CB89" i="39"/>
  <c r="CI30" i="38"/>
  <c r="AE98" i="39"/>
  <c r="J34" i="59"/>
  <c r="CU30" i="25"/>
  <c r="O89" i="41"/>
  <c r="AQ50" i="36"/>
  <c r="AE48" i="39"/>
  <c r="CJ65" i="38"/>
  <c r="T60" i="37"/>
  <c r="BR89" i="1"/>
  <c r="BZ13" i="39"/>
  <c r="CG81" i="38"/>
  <c r="AG24" i="41"/>
  <c r="AS92" i="25"/>
  <c r="CB103" i="1"/>
  <c r="CY91" i="39"/>
  <c r="F16" i="64"/>
  <c r="CC45" i="36"/>
  <c r="CE81" i="1"/>
  <c r="CC29" i="25"/>
  <c r="BZ53" i="25"/>
  <c r="AP29" i="26"/>
  <c r="BR92" i="40"/>
  <c r="N59" i="40"/>
  <c r="AF102" i="40"/>
  <c r="BW54" i="1"/>
  <c r="CP13" i="38"/>
  <c r="BT67" i="41"/>
  <c r="CJ66" i="38"/>
  <c r="DA13" i="1"/>
  <c r="BC125" i="47"/>
  <c r="CH92" i="40"/>
  <c r="AU49" i="36"/>
  <c r="AW89" i="38"/>
  <c r="CM67" i="37"/>
  <c r="CR54" i="25"/>
  <c r="AN102" i="41"/>
  <c r="DB18" i="36"/>
  <c r="CH65" i="26"/>
  <c r="BR59" i="41"/>
  <c r="CU10" i="41"/>
  <c r="BR98" i="41"/>
  <c r="AN71" i="37"/>
  <c r="CS49" i="25"/>
  <c r="AS13" i="40"/>
  <c r="I29" i="37"/>
  <c r="CF37" i="41"/>
  <c r="AW29" i="1"/>
  <c r="CM66" i="25"/>
  <c r="AM92" i="38"/>
  <c r="BV17" i="38"/>
  <c r="AO89" i="41"/>
  <c r="P54" i="40"/>
  <c r="S27" i="25"/>
  <c r="CB30" i="1"/>
  <c r="L24" i="39"/>
  <c r="AB24" i="38"/>
  <c r="CL102" i="41"/>
  <c r="CJ48" i="37"/>
  <c r="BR60" i="37"/>
  <c r="AA45" i="38"/>
  <c r="P57" i="36"/>
  <c r="BP59" i="36"/>
  <c r="L17" i="25"/>
  <c r="K102" i="25"/>
  <c r="X24" i="1"/>
  <c r="BA65" i="37"/>
  <c r="CE34" i="25"/>
  <c r="CO18" i="38"/>
  <c r="CO9" i="40"/>
  <c r="W21" i="1"/>
  <c r="CA58" i="41"/>
  <c r="CP57" i="37"/>
  <c r="AZ37" i="39"/>
  <c r="AR49" i="39"/>
  <c r="BR65" i="26"/>
  <c r="I10" i="1"/>
  <c r="AP102" i="39"/>
  <c r="AR18" i="41"/>
  <c r="AP50" i="38"/>
  <c r="AT62" i="1"/>
  <c r="DA37" i="38"/>
  <c r="T79" i="41"/>
  <c r="BB96" i="39"/>
  <c r="DE102" i="25"/>
  <c r="CG25" i="25"/>
  <c r="BQ71" i="26"/>
  <c r="CS92" i="39"/>
  <c r="CQ34" i="25"/>
  <c r="M17" i="36"/>
  <c r="BU26" i="26"/>
  <c r="CU71" i="39"/>
  <c r="DE79" i="40"/>
  <c r="AY60" i="26"/>
  <c r="X49" i="41"/>
  <c r="AT54" i="37"/>
  <c r="CE27" i="39"/>
  <c r="BU96" i="1"/>
  <c r="AR75" i="1"/>
  <c r="Z9" i="39"/>
  <c r="BD9" i="38"/>
  <c r="BE62" i="38"/>
  <c r="AB65" i="25"/>
  <c r="CD67" i="37"/>
  <c r="K26" i="46"/>
  <c r="AZ34" i="40"/>
  <c r="BY9" i="26"/>
  <c r="CR60" i="25"/>
  <c r="CG30" i="37"/>
  <c r="P25" i="36"/>
  <c r="CL75" i="36"/>
  <c r="BB12" i="1"/>
  <c r="CZ48" i="37"/>
  <c r="CJ21" i="36"/>
  <c r="CR96" i="38"/>
  <c r="CA57" i="40"/>
  <c r="BH12" i="40"/>
  <c r="CA59" i="40"/>
  <c r="DD17" i="37"/>
  <c r="BV89" i="1"/>
  <c r="L71" i="26"/>
  <c r="AC10" i="40"/>
  <c r="CO18" i="1"/>
  <c r="CR29" i="38"/>
  <c r="DE29" i="25"/>
  <c r="AZ25" i="41"/>
  <c r="CH96" i="41"/>
  <c r="AT27" i="41"/>
  <c r="J92" i="36"/>
  <c r="CJ29" i="37"/>
  <c r="BY92" i="1"/>
  <c r="AN24" i="36"/>
  <c r="CL18" i="25"/>
  <c r="L58" i="41"/>
  <c r="BB29" i="37"/>
  <c r="BW60" i="26"/>
  <c r="CR98" i="40"/>
  <c r="CV18" i="40"/>
  <c r="CH10" i="40"/>
  <c r="T49" i="37"/>
  <c r="M75" i="60"/>
  <c r="BQ59" i="41"/>
  <c r="BP75" i="36"/>
  <c r="T59" i="37"/>
  <c r="BO25" i="40"/>
  <c r="BT61" i="40"/>
  <c r="G54" i="40"/>
  <c r="AU62" i="37"/>
  <c r="AZ17" i="26"/>
  <c r="AX79" i="38"/>
  <c r="BB30" i="39"/>
  <c r="CO21" i="36"/>
  <c r="N9" i="40"/>
  <c r="DB17" i="41"/>
  <c r="H71" i="25"/>
  <c r="AI21" i="38"/>
  <c r="CT98" i="25"/>
  <c r="AV96" i="39"/>
  <c r="DD75" i="41"/>
  <c r="BP67" i="38"/>
  <c r="V62" i="37"/>
  <c r="H66" i="26"/>
  <c r="L27" i="39"/>
  <c r="AA98" i="41"/>
  <c r="CX59" i="36"/>
  <c r="BU37" i="36"/>
  <c r="CV59" i="39"/>
  <c r="AZ26" i="41"/>
  <c r="AC75" i="26"/>
  <c r="BD27" i="40"/>
  <c r="BD313" i="47"/>
  <c r="DC98" i="36"/>
  <c r="CA81" i="39"/>
  <c r="AY49" i="40"/>
  <c r="CN24" i="39"/>
  <c r="BX98" i="25"/>
  <c r="DF62" i="41"/>
  <c r="AD60" i="25"/>
  <c r="AE91" i="40"/>
  <c r="U66" i="26"/>
  <c r="AT92" i="41"/>
  <c r="BA34" i="40"/>
  <c r="CM67" i="39"/>
  <c r="CU66" i="26"/>
  <c r="U18" i="25"/>
  <c r="BP98" i="36"/>
  <c r="I96" i="41"/>
  <c r="O57" i="36"/>
  <c r="N24" i="39"/>
  <c r="BY13" i="36"/>
  <c r="BA98" i="41"/>
  <c r="BH60" i="26"/>
  <c r="CO71" i="38"/>
  <c r="BH34" i="36"/>
  <c r="CS89" i="25"/>
  <c r="BY75" i="38"/>
  <c r="BI50" i="26"/>
  <c r="DD59" i="25"/>
  <c r="BR62" i="41"/>
  <c r="CV62" i="36"/>
  <c r="BQ26" i="26"/>
  <c r="AI102" i="26"/>
  <c r="BI21" i="26"/>
  <c r="BA50" i="38"/>
  <c r="AB98" i="36"/>
  <c r="BA128" i="47"/>
  <c r="CT18" i="36"/>
  <c r="BW9" i="40"/>
  <c r="BE60" i="41"/>
  <c r="CW50" i="25"/>
  <c r="O60" i="38"/>
  <c r="DC54" i="26"/>
  <c r="W30" i="41"/>
  <c r="W54" i="36"/>
  <c r="CG18" i="26"/>
  <c r="AA13" i="25"/>
  <c r="CV58" i="37"/>
  <c r="CG96" i="37"/>
  <c r="H81" i="60"/>
  <c r="K57" i="36"/>
  <c r="BY34" i="26"/>
  <c r="CY103" i="40"/>
  <c r="CE17" i="1"/>
  <c r="G66" i="39"/>
  <c r="AX50" i="41"/>
  <c r="AY91" i="1"/>
  <c r="AC59" i="36"/>
  <c r="P59" i="26"/>
  <c r="N102" i="37"/>
  <c r="CV67" i="25"/>
  <c r="DD75" i="36"/>
  <c r="AD79" i="40"/>
  <c r="CM13" i="26"/>
  <c r="BP58" i="26"/>
  <c r="CT61" i="41"/>
  <c r="AH71" i="37"/>
  <c r="CW102" i="40"/>
  <c r="CR81" i="25"/>
  <c r="T79" i="40"/>
  <c r="AA59" i="41"/>
  <c r="CN9" i="37"/>
  <c r="CQ59" i="25"/>
  <c r="Z62" i="40"/>
  <c r="AT29" i="41"/>
  <c r="N30" i="37"/>
  <c r="CM98" i="25"/>
  <c r="CV34" i="41"/>
  <c r="AN48" i="26"/>
  <c r="AC91" i="41"/>
  <c r="BC48" i="36"/>
  <c r="CU67" i="36"/>
  <c r="CM91" i="37"/>
  <c r="CA45" i="26"/>
  <c r="AE37" i="36"/>
  <c r="CZ62" i="36"/>
  <c r="BD91" i="38"/>
  <c r="AI50" i="40"/>
  <c r="CG98" i="41"/>
  <c r="U66" i="40"/>
  <c r="BB48" i="25"/>
  <c r="CE54" i="37"/>
  <c r="BO50" i="1"/>
  <c r="CP81" i="41"/>
  <c r="BB62" i="41"/>
  <c r="Y26" i="40"/>
  <c r="AJ30" i="41"/>
  <c r="I24" i="1"/>
  <c r="CQ92" i="36"/>
  <c r="CP12" i="39"/>
  <c r="I81" i="1"/>
  <c r="O62" i="39"/>
  <c r="CG53" i="40"/>
  <c r="DB57" i="39"/>
  <c r="M89" i="26"/>
  <c r="CQ91" i="40"/>
  <c r="CP92" i="41"/>
  <c r="I9" i="59"/>
  <c r="H74" i="64"/>
  <c r="AM18" i="25"/>
  <c r="BD48" i="26"/>
  <c r="AE17" i="40"/>
  <c r="DF53" i="38"/>
  <c r="O62" i="41"/>
  <c r="AG37" i="38"/>
  <c r="S96" i="26"/>
  <c r="CP26" i="38"/>
  <c r="J18" i="36"/>
  <c r="W61" i="37"/>
  <c r="AC65" i="40"/>
  <c r="AF62" i="38"/>
  <c r="CH37" i="40"/>
  <c r="BP34" i="26"/>
  <c r="CO21" i="25"/>
  <c r="BW50" i="40"/>
  <c r="CU91" i="37"/>
  <c r="CR89" i="25"/>
  <c r="AF27" i="25"/>
  <c r="AA91" i="40"/>
  <c r="CL54" i="37"/>
  <c r="AZ66" i="41"/>
  <c r="AE24" i="36"/>
  <c r="AS57" i="40"/>
  <c r="DB30" i="1"/>
  <c r="CU54" i="40"/>
  <c r="AV13" i="36"/>
  <c r="BS75" i="1"/>
  <c r="AN61" i="37"/>
  <c r="CL75" i="37"/>
  <c r="CE65" i="25"/>
  <c r="V48" i="26"/>
  <c r="AN13" i="38"/>
  <c r="CA60" i="37"/>
  <c r="BD118" i="47"/>
  <c r="BU66" i="36"/>
  <c r="P12" i="1"/>
  <c r="BY71" i="40"/>
  <c r="W71" i="40"/>
  <c r="J24" i="60"/>
  <c r="AA10" i="26"/>
  <c r="H34" i="37"/>
  <c r="BC27" i="40"/>
  <c r="BW102" i="25"/>
  <c r="BY62" i="41"/>
  <c r="M18" i="38"/>
  <c r="BD29" i="37"/>
  <c r="CW71" i="25"/>
  <c r="CA92" i="1"/>
  <c r="G29" i="38"/>
  <c r="P49" i="40"/>
  <c r="L49" i="59"/>
  <c r="BB12" i="38"/>
  <c r="AR29" i="36"/>
  <c r="BV75" i="39"/>
  <c r="DC103" i="37"/>
  <c r="J64" i="64"/>
  <c r="I79" i="25"/>
  <c r="BS59" i="38"/>
  <c r="CU67" i="40"/>
  <c r="AQ24" i="37"/>
  <c r="L48" i="36"/>
  <c r="CL79" i="25"/>
  <c r="CU61" i="26"/>
  <c r="AN54" i="36"/>
  <c r="CY27" i="36"/>
  <c r="CX48" i="36"/>
  <c r="AG37" i="25"/>
  <c r="BY49" i="40"/>
  <c r="CB18" i="25"/>
  <c r="CF18" i="40"/>
  <c r="AU53" i="36"/>
  <c r="AC98" i="41"/>
  <c r="CG96" i="41"/>
  <c r="N89" i="25"/>
  <c r="DF25" i="40"/>
  <c r="Z66" i="41"/>
  <c r="CP27" i="38"/>
  <c r="AW24" i="38"/>
  <c r="CU92" i="37"/>
  <c r="AW24" i="25"/>
  <c r="AH49" i="25"/>
  <c r="J88" i="60"/>
  <c r="AA60" i="1"/>
  <c r="AT60" i="26"/>
  <c r="P30" i="40"/>
  <c r="AD12" i="40"/>
  <c r="CV49" i="36"/>
  <c r="DA54" i="25"/>
  <c r="AV53" i="39"/>
  <c r="G53" i="1"/>
  <c r="AV62" i="26"/>
  <c r="S49" i="41"/>
  <c r="BD27" i="38"/>
  <c r="BC48" i="38"/>
  <c r="BZ96" i="38"/>
  <c r="CR57" i="39"/>
  <c r="X30" i="26"/>
  <c r="BP96" i="41"/>
  <c r="CE24" i="40"/>
  <c r="J29" i="38"/>
  <c r="AV89" i="1"/>
  <c r="CX61" i="26"/>
  <c r="CM65" i="36"/>
  <c r="BX34" i="40"/>
  <c r="DD9" i="25"/>
  <c r="CP103" i="37"/>
  <c r="AC13" i="40"/>
  <c r="CC34" i="37"/>
  <c r="AX9" i="1"/>
  <c r="Y65" i="41"/>
  <c r="CI37" i="1"/>
  <c r="DD66" i="40"/>
  <c r="AF48" i="40"/>
  <c r="J26" i="38"/>
  <c r="L34" i="39"/>
  <c r="DF58" i="38"/>
  <c r="BZ50" i="40"/>
  <c r="CL92" i="36"/>
  <c r="CY71" i="26"/>
  <c r="CS37" i="38"/>
  <c r="AA71" i="40"/>
  <c r="DF61" i="1"/>
  <c r="CK65" i="39"/>
  <c r="CD89" i="41"/>
  <c r="CP91" i="25"/>
  <c r="AD30" i="40"/>
  <c r="AF21" i="36"/>
  <c r="CS48" i="36"/>
  <c r="AQ92" i="26"/>
  <c r="CK48" i="36"/>
  <c r="CQ59" i="41"/>
  <c r="V34" i="25"/>
  <c r="AA13" i="37"/>
  <c r="AX81" i="26"/>
  <c r="AJ53" i="25"/>
  <c r="V92" i="1"/>
  <c r="BW62" i="36"/>
  <c r="CG89" i="39"/>
  <c r="AR48" i="26"/>
  <c r="AV67" i="26"/>
  <c r="CQ57" i="39"/>
  <c r="AJ66" i="36"/>
  <c r="CE25" i="37"/>
  <c r="L67" i="25"/>
  <c r="BV89" i="38"/>
  <c r="DE71" i="1"/>
  <c r="AR58" i="36"/>
  <c r="L34" i="41"/>
  <c r="U10" i="1"/>
  <c r="S26" i="36"/>
  <c r="CE62" i="37"/>
  <c r="AR25" i="1"/>
  <c r="L24" i="38"/>
  <c r="DE53" i="26"/>
  <c r="BW12" i="37"/>
  <c r="CZ54" i="39"/>
  <c r="CE26" i="37"/>
  <c r="CA60" i="39"/>
  <c r="J45" i="25"/>
  <c r="CQ59" i="40"/>
  <c r="CP79" i="26"/>
  <c r="CM30" i="25"/>
  <c r="AB48" i="40"/>
  <c r="BV98" i="1"/>
  <c r="CU59" i="37"/>
  <c r="DB18" i="25"/>
  <c r="O102" i="40"/>
  <c r="BA13" i="36"/>
  <c r="CJ12" i="37"/>
  <c r="CL96" i="25"/>
  <c r="DC98" i="37"/>
  <c r="V30" i="36"/>
  <c r="BH30" i="36"/>
  <c r="BI13" i="40"/>
  <c r="BR24" i="37"/>
  <c r="Y30" i="25"/>
  <c r="AY29" i="1"/>
  <c r="BZ102" i="25"/>
  <c r="CJ60" i="40"/>
  <c r="S27" i="36"/>
  <c r="CU103" i="39"/>
  <c r="BT34" i="25"/>
  <c r="M53" i="39"/>
  <c r="BC53" i="1"/>
  <c r="AT57" i="37"/>
  <c r="BW34" i="36"/>
  <c r="BH91" i="38"/>
  <c r="Y67" i="26"/>
  <c r="L53" i="25"/>
  <c r="AA49" i="25"/>
  <c r="CR12" i="36"/>
  <c r="CO92" i="1"/>
  <c r="AO58" i="38"/>
  <c r="K59" i="38"/>
  <c r="F16" i="60"/>
  <c r="BS50" i="26"/>
  <c r="CA24" i="38"/>
  <c r="BU103" i="37"/>
  <c r="AP71" i="40"/>
  <c r="CN54" i="26"/>
  <c r="DD89" i="1"/>
  <c r="CF67" i="40"/>
  <c r="BX58" i="41"/>
  <c r="I30" i="40"/>
  <c r="BY27" i="39"/>
  <c r="AG45" i="38"/>
  <c r="BY17" i="36"/>
  <c r="DB29" i="39"/>
  <c r="U13" i="25"/>
  <c r="CR24" i="1"/>
  <c r="DB75" i="41"/>
  <c r="BO18" i="36"/>
  <c r="BF313" i="47"/>
  <c r="BQ62" i="37"/>
  <c r="AX53" i="39"/>
  <c r="Y66" i="39"/>
  <c r="BE311" i="47"/>
  <c r="I21" i="25"/>
  <c r="H29" i="39"/>
  <c r="CQ13" i="38"/>
  <c r="BB60" i="25"/>
  <c r="K26" i="40"/>
  <c r="N48" i="37"/>
  <c r="M22" i="60"/>
  <c r="CE62" i="1"/>
  <c r="O49" i="59"/>
  <c r="CC25" i="41"/>
  <c r="CL13" i="38"/>
  <c r="BW103" i="26"/>
  <c r="AT26" i="37"/>
  <c r="BD79" i="40"/>
  <c r="CR27" i="39"/>
  <c r="CX54" i="38"/>
  <c r="G92" i="40"/>
  <c r="BR50" i="37"/>
  <c r="BS9" i="1"/>
  <c r="AR61" i="37"/>
  <c r="V45" i="26"/>
  <c r="CR71" i="25"/>
  <c r="CZ61" i="38"/>
  <c r="X60" i="26"/>
  <c r="BP65" i="36"/>
  <c r="AH37" i="26"/>
  <c r="CL13" i="1"/>
  <c r="DB12" i="25"/>
  <c r="CQ71" i="36"/>
  <c r="AH24" i="37"/>
  <c r="AA21" i="39"/>
  <c r="CM21" i="38"/>
  <c r="G71" i="40"/>
  <c r="CX27" i="1"/>
  <c r="AQ48" i="40"/>
  <c r="AW61" i="36"/>
  <c r="BE12" i="41"/>
  <c r="CX13" i="36"/>
  <c r="CE71" i="36"/>
  <c r="CT65" i="37"/>
  <c r="CW66" i="39"/>
  <c r="J27" i="36"/>
  <c r="S59" i="40"/>
  <c r="AJ29" i="37"/>
  <c r="AZ27" i="40"/>
  <c r="BB62" i="39"/>
  <c r="Z81" i="39"/>
  <c r="CA24" i="36"/>
  <c r="BB50" i="25"/>
  <c r="AY54" i="37"/>
  <c r="CX48" i="38"/>
  <c r="CS96" i="1"/>
  <c r="AX10" i="1"/>
  <c r="BX27" i="1"/>
  <c r="AW30" i="1"/>
  <c r="BQ50" i="38"/>
  <c r="CI30" i="39"/>
  <c r="CH29" i="40"/>
  <c r="BP57" i="36"/>
  <c r="Z67" i="41"/>
  <c r="BU49" i="37"/>
  <c r="DD27" i="41"/>
  <c r="BO67" i="37"/>
  <c r="AJ27" i="26"/>
  <c r="CU96" i="26"/>
  <c r="AD26" i="38"/>
  <c r="AO24" i="25"/>
  <c r="CE103" i="36"/>
  <c r="AA29" i="25"/>
  <c r="CJ37" i="26"/>
  <c r="AP45" i="39"/>
  <c r="CU92" i="38"/>
  <c r="CL48" i="26"/>
  <c r="I34" i="25"/>
  <c r="CG21" i="26"/>
  <c r="BQ75" i="1"/>
  <c r="CP13" i="26"/>
  <c r="AV49" i="26"/>
  <c r="CA59" i="1"/>
  <c r="BO62" i="40"/>
  <c r="AJ10" i="1"/>
  <c r="DD91" i="26"/>
  <c r="AY53" i="39"/>
  <c r="AH12" i="1"/>
  <c r="CB30" i="38"/>
  <c r="BR50" i="41"/>
  <c r="DA30" i="39"/>
  <c r="CX67" i="26"/>
  <c r="DD60" i="39"/>
  <c r="AW81" i="39"/>
  <c r="AO26" i="36"/>
  <c r="BV45" i="1"/>
  <c r="K14" i="64"/>
  <c r="CU75" i="37"/>
  <c r="CT49" i="39"/>
  <c r="E76" i="60"/>
  <c r="CN53" i="25"/>
  <c r="BY91" i="39"/>
  <c r="AH79" i="41"/>
  <c r="AQ75" i="25"/>
  <c r="AS57" i="39"/>
  <c r="CM53" i="37"/>
  <c r="CM65" i="1"/>
  <c r="AX9" i="39"/>
  <c r="CF60" i="1"/>
  <c r="AA65" i="36"/>
  <c r="BY103" i="40"/>
  <c r="AG89" i="37"/>
  <c r="CK67" i="25"/>
  <c r="BI60" i="40"/>
  <c r="DF17" i="25"/>
  <c r="O58" i="1"/>
  <c r="AR65" i="36"/>
  <c r="H21" i="1"/>
  <c r="AC26" i="26"/>
  <c r="BX29" i="38"/>
  <c r="CK26" i="36"/>
  <c r="CJ61" i="25"/>
  <c r="AY10" i="25"/>
  <c r="V54" i="37"/>
  <c r="U75" i="40"/>
  <c r="AO59" i="39"/>
  <c r="DF48" i="25"/>
  <c r="P6" i="59"/>
  <c r="BS71" i="39"/>
  <c r="CW25" i="40"/>
  <c r="DF12" i="25"/>
  <c r="BB58" i="1"/>
  <c r="CU60" i="25"/>
  <c r="V54" i="26"/>
  <c r="CC24" i="1"/>
  <c r="CI96" i="41"/>
  <c r="CB89" i="37"/>
  <c r="CI10" i="1"/>
  <c r="CB92" i="40"/>
  <c r="AN62" i="38"/>
  <c r="CN17" i="1"/>
  <c r="CD102" i="25"/>
  <c r="BP13" i="1"/>
  <c r="M98" i="39"/>
  <c r="L14" i="60"/>
  <c r="BH54" i="26"/>
  <c r="H54" i="59"/>
  <c r="H45" i="1"/>
  <c r="CI79" i="26"/>
  <c r="G10" i="38"/>
  <c r="CC53" i="38"/>
  <c r="I10" i="40"/>
  <c r="CJ79" i="37"/>
  <c r="AF29" i="26"/>
  <c r="Y54" i="36"/>
  <c r="AS57" i="36"/>
  <c r="L45" i="1"/>
  <c r="CJ12" i="26"/>
  <c r="X58" i="37"/>
  <c r="CW27" i="26"/>
  <c r="CV98" i="37"/>
  <c r="DB103" i="38"/>
  <c r="P54" i="1"/>
  <c r="H49" i="60"/>
  <c r="AZ91" i="41"/>
  <c r="CH102" i="41"/>
  <c r="I12" i="39"/>
  <c r="BC124" i="47"/>
  <c r="DF45" i="26"/>
  <c r="BU66" i="38"/>
  <c r="AV48" i="40"/>
  <c r="BP12" i="36"/>
  <c r="N71" i="26"/>
  <c r="CI24" i="25"/>
  <c r="CE61" i="39"/>
  <c r="O98" i="39"/>
  <c r="BT65" i="25"/>
  <c r="L59" i="59"/>
  <c r="CH81" i="40"/>
  <c r="AE30" i="1"/>
  <c r="BS21" i="26"/>
  <c r="CT71" i="25"/>
  <c r="BQ67" i="36"/>
  <c r="BB81" i="26"/>
  <c r="BH75" i="1"/>
  <c r="CC57" i="25"/>
  <c r="DF24" i="38"/>
  <c r="DC24" i="26"/>
  <c r="AQ21" i="39"/>
  <c r="AM71" i="39"/>
  <c r="CT57" i="36"/>
  <c r="AR59" i="41"/>
  <c r="G21" i="41"/>
  <c r="S91" i="26"/>
  <c r="AR48" i="25"/>
  <c r="BQ91" i="26"/>
  <c r="AR71" i="38"/>
  <c r="CA54" i="36"/>
  <c r="CI24" i="41"/>
  <c r="BH91" i="40"/>
  <c r="Y81" i="25"/>
  <c r="W24" i="1"/>
  <c r="CH49" i="40"/>
  <c r="CF24" i="26"/>
  <c r="X81" i="37"/>
  <c r="BQ45" i="1"/>
  <c r="AD50" i="26"/>
  <c r="CO21" i="38"/>
  <c r="BT71" i="40"/>
  <c r="BH9" i="26"/>
  <c r="AA81" i="37"/>
  <c r="Z17" i="39"/>
  <c r="DF18" i="25"/>
  <c r="CY102" i="1"/>
  <c r="AB30" i="36"/>
  <c r="CN103" i="38"/>
  <c r="BW71" i="1"/>
  <c r="BU79" i="39"/>
  <c r="AZ54" i="41"/>
  <c r="AN57" i="41"/>
  <c r="K12" i="41"/>
  <c r="AD59" i="36"/>
  <c r="AT37" i="37"/>
  <c r="AJ89" i="25"/>
  <c r="AF37" i="1"/>
  <c r="O17" i="36"/>
  <c r="BX34" i="1"/>
  <c r="CV79" i="40"/>
  <c r="BX67" i="36"/>
  <c r="CZ24" i="39"/>
  <c r="BC37" i="25"/>
  <c r="T30" i="36"/>
  <c r="CQ103" i="38"/>
  <c r="K49" i="39"/>
  <c r="BW25" i="39"/>
  <c r="AN66" i="41"/>
  <c r="AY26" i="40"/>
  <c r="AR96" i="36"/>
  <c r="BD61" i="37"/>
  <c r="CA92" i="25"/>
  <c r="CQ96" i="25"/>
  <c r="CJ48" i="38"/>
  <c r="BT27" i="39"/>
  <c r="L25" i="39"/>
  <c r="V50" i="40"/>
  <c r="AZ37" i="40"/>
  <c r="BS9" i="39"/>
  <c r="BS50" i="40"/>
  <c r="S13" i="41"/>
  <c r="DD17" i="39"/>
  <c r="AC21" i="38"/>
  <c r="N18" i="38"/>
  <c r="CL96" i="39"/>
  <c r="AH57" i="38"/>
  <c r="N18" i="46"/>
  <c r="G58" i="1"/>
  <c r="U26" i="38"/>
  <c r="BT75" i="37"/>
  <c r="BY61" i="39"/>
  <c r="G61" i="40"/>
  <c r="AJ75" i="41"/>
  <c r="DB58" i="1"/>
  <c r="BQ67" i="41"/>
  <c r="AC49" i="36"/>
  <c r="O37" i="39"/>
  <c r="AM66" i="37"/>
  <c r="BZ17" i="41"/>
  <c r="AQ18" i="25"/>
  <c r="BD67" i="26"/>
  <c r="AV89" i="41"/>
  <c r="J34" i="36"/>
  <c r="DA79" i="40"/>
  <c r="AY50" i="39"/>
  <c r="BP89" i="26"/>
  <c r="P13" i="40"/>
  <c r="BT91" i="25"/>
  <c r="CR34" i="40"/>
  <c r="AF54" i="39"/>
  <c r="CL54" i="26"/>
  <c r="CN13" i="39"/>
  <c r="BQ65" i="37"/>
  <c r="CU65" i="1"/>
  <c r="J24" i="1"/>
  <c r="T45" i="26"/>
  <c r="CH57" i="39"/>
  <c r="BW54" i="41"/>
  <c r="BE81" i="26"/>
  <c r="P63" i="59"/>
  <c r="BW81" i="41"/>
  <c r="AB48" i="38"/>
  <c r="BY62" i="25"/>
  <c r="AJ30" i="37"/>
  <c r="BX53" i="1"/>
  <c r="AS17" i="26"/>
  <c r="CC79" i="41"/>
  <c r="CV61" i="39"/>
  <c r="CQ59" i="36"/>
  <c r="BD75" i="39"/>
  <c r="CA79" i="37"/>
  <c r="BC71" i="36"/>
  <c r="Z49" i="25"/>
  <c r="CR91" i="36"/>
  <c r="CE48" i="25"/>
  <c r="I30" i="36"/>
  <c r="CA98" i="40"/>
  <c r="BR79" i="38"/>
  <c r="CV27" i="26"/>
  <c r="DA12" i="37"/>
  <c r="I58" i="38"/>
  <c r="AS18" i="1"/>
  <c r="I48" i="40"/>
  <c r="AA34" i="26"/>
  <c r="AF89" i="40"/>
  <c r="DB10" i="25"/>
  <c r="X48" i="39"/>
  <c r="L59" i="39"/>
  <c r="CE57" i="26"/>
  <c r="BO62" i="39"/>
  <c r="AY27" i="1"/>
  <c r="DF58" i="37"/>
  <c r="AF27" i="38"/>
  <c r="W45" i="1"/>
  <c r="CU89" i="26"/>
  <c r="CU21" i="26"/>
  <c r="CI66" i="26"/>
  <c r="AJ60" i="26"/>
  <c r="BZ49" i="41"/>
  <c r="CZ21" i="36"/>
  <c r="AH37" i="37"/>
  <c r="DD12" i="26"/>
  <c r="F69" i="64"/>
  <c r="DD62" i="26"/>
  <c r="CK91" i="26"/>
  <c r="CA60" i="1"/>
  <c r="BP54" i="37"/>
  <c r="CD50" i="41"/>
  <c r="AR27" i="25"/>
  <c r="CI13" i="36"/>
  <c r="CA67" i="41"/>
  <c r="BA71" i="37"/>
  <c r="BD49" i="36"/>
  <c r="CE89" i="41"/>
  <c r="AE12" i="39"/>
  <c r="CV30" i="37"/>
  <c r="M18" i="46"/>
  <c r="CY91" i="25"/>
  <c r="CT79" i="40"/>
  <c r="AJ92" i="25"/>
  <c r="AA102" i="36"/>
  <c r="BY9" i="39"/>
  <c r="I27" i="39"/>
  <c r="BC21" i="37"/>
  <c r="CN10" i="37"/>
  <c r="AR26" i="1"/>
  <c r="AI10" i="39"/>
  <c r="Y67" i="39"/>
  <c r="I98" i="1"/>
  <c r="AC89" i="26"/>
  <c r="N54" i="40"/>
  <c r="CA75" i="41"/>
  <c r="BC65" i="41"/>
  <c r="AJ65" i="39"/>
  <c r="CI60" i="41"/>
  <c r="AO62" i="39"/>
  <c r="CD96" i="25"/>
  <c r="CE21" i="1"/>
  <c r="CB75" i="41"/>
  <c r="AF30" i="39"/>
  <c r="AA21" i="36"/>
  <c r="AG10" i="41"/>
  <c r="BW30" i="1"/>
  <c r="AX21" i="38"/>
  <c r="CZ25" i="38"/>
  <c r="CQ96" i="40"/>
  <c r="CG13" i="40"/>
  <c r="BG127" i="47"/>
  <c r="AM37" i="1"/>
  <c r="M61" i="36"/>
  <c r="CG81" i="37"/>
  <c r="AM9" i="26"/>
  <c r="O45" i="25"/>
  <c r="BE89" i="1"/>
  <c r="BY67" i="39"/>
  <c r="AI58" i="40"/>
  <c r="AP54" i="25"/>
  <c r="CA49" i="26"/>
  <c r="Y34" i="38"/>
  <c r="H96" i="1"/>
  <c r="CL10" i="1"/>
  <c r="K67" i="36"/>
  <c r="AZ59" i="36"/>
  <c r="CA34" i="36"/>
  <c r="BV17" i="26"/>
  <c r="K81" i="26"/>
  <c r="CI102" i="36"/>
  <c r="BU29" i="41"/>
  <c r="AR71" i="1"/>
  <c r="AT24" i="37"/>
  <c r="CD91" i="41"/>
  <c r="CT13" i="36"/>
  <c r="G18" i="36"/>
  <c r="CL34" i="37"/>
  <c r="CD75" i="40"/>
  <c r="AT89" i="37"/>
  <c r="J12" i="59"/>
  <c r="CO49" i="39"/>
  <c r="AI79" i="37"/>
  <c r="CX71" i="25"/>
  <c r="AS9" i="41"/>
  <c r="BV91" i="39"/>
  <c r="CA57" i="25"/>
  <c r="O89" i="1"/>
  <c r="AH10" i="1"/>
  <c r="CB17" i="25"/>
  <c r="CQ96" i="36"/>
  <c r="BB125" i="47"/>
  <c r="BI37" i="40"/>
  <c r="DF62" i="38"/>
  <c r="BV49" i="40"/>
  <c r="BC24" i="25"/>
  <c r="BS48" i="37"/>
  <c r="CK59" i="25"/>
  <c r="CD102" i="41"/>
  <c r="DE10" i="40"/>
  <c r="L10" i="41"/>
  <c r="E11" i="64"/>
  <c r="AE54" i="40"/>
  <c r="CU67" i="39"/>
  <c r="CH21" i="39"/>
  <c r="DC25" i="37"/>
  <c r="BF315" i="47"/>
  <c r="BY17" i="1"/>
  <c r="AA98" i="1"/>
  <c r="M15" i="60"/>
  <c r="AJ102" i="25"/>
  <c r="AS49" i="26"/>
  <c r="CE25" i="41"/>
  <c r="BB57" i="36"/>
  <c r="BI9" i="25"/>
  <c r="CH48" i="41"/>
  <c r="AZ12" i="36"/>
  <c r="Z79" i="38"/>
  <c r="AD92" i="36"/>
  <c r="BC308" i="47"/>
  <c r="CQ62" i="38"/>
  <c r="CH71" i="41"/>
  <c r="AZ92" i="26"/>
  <c r="CP79" i="38"/>
  <c r="BC79" i="40"/>
  <c r="BA30" i="40"/>
  <c r="CW10" i="37"/>
  <c r="CB79" i="1"/>
  <c r="DD79" i="40"/>
  <c r="N51" i="59"/>
  <c r="CV61" i="41"/>
  <c r="AI30" i="36"/>
  <c r="BS98" i="40"/>
  <c r="CG58" i="37"/>
  <c r="BX50" i="36"/>
  <c r="BA49" i="38"/>
  <c r="BE71" i="36"/>
  <c r="BR10" i="36"/>
  <c r="BC60" i="36"/>
  <c r="AB79" i="38"/>
  <c r="CC58" i="40"/>
  <c r="AX91" i="38"/>
  <c r="BR65" i="40"/>
  <c r="BR10" i="38"/>
  <c r="AQ62" i="26"/>
  <c r="AP10" i="25"/>
  <c r="AY71" i="40"/>
  <c r="J12" i="26"/>
  <c r="U57" i="41"/>
  <c r="X9" i="36"/>
  <c r="BY81" i="36"/>
  <c r="AV49" i="38"/>
  <c r="BB34" i="40"/>
  <c r="CS62" i="40"/>
  <c r="BE10" i="38"/>
  <c r="CJ37" i="1"/>
  <c r="CP59" i="37"/>
  <c r="CL30" i="39"/>
  <c r="M21" i="25"/>
  <c r="BS57" i="39"/>
  <c r="AX10" i="41"/>
  <c r="BE81" i="37"/>
  <c r="CB24" i="36"/>
  <c r="BE24" i="36"/>
  <c r="CO103" i="41"/>
  <c r="AE17" i="39"/>
  <c r="CG45" i="1"/>
  <c r="CM92" i="37"/>
  <c r="CC25" i="26"/>
  <c r="CF91" i="41"/>
  <c r="Y57" i="41"/>
  <c r="BS102" i="1"/>
  <c r="CH30" i="40"/>
  <c r="CG75" i="38"/>
  <c r="AC48" i="1"/>
  <c r="BW89" i="37"/>
  <c r="CT92" i="37"/>
  <c r="CN30" i="25"/>
  <c r="AU91" i="25"/>
  <c r="DC89" i="41"/>
  <c r="AS61" i="37"/>
  <c r="Z18" i="40"/>
  <c r="DD62" i="1"/>
  <c r="W26" i="37"/>
  <c r="BH25" i="38"/>
  <c r="N49" i="59"/>
  <c r="AY37" i="1"/>
  <c r="CP79" i="40"/>
  <c r="AW13" i="40"/>
  <c r="AP45" i="40"/>
  <c r="BU58" i="25"/>
  <c r="N67" i="1"/>
  <c r="N26" i="38"/>
  <c r="CU96" i="37"/>
  <c r="BA13" i="25"/>
  <c r="W12" i="41"/>
  <c r="BZ18" i="1"/>
  <c r="H12" i="64"/>
  <c r="CO66" i="41"/>
  <c r="BP26" i="38"/>
  <c r="CW98" i="25"/>
  <c r="BT79" i="40"/>
  <c r="CO54" i="38"/>
  <c r="BE50" i="40"/>
  <c r="AI54" i="37"/>
  <c r="CC45" i="40"/>
  <c r="BD27" i="26"/>
  <c r="J57" i="37"/>
  <c r="CB67" i="36"/>
  <c r="BE60" i="37"/>
  <c r="U12" i="40"/>
  <c r="CY17" i="39"/>
  <c r="AN49" i="39"/>
  <c r="CU57" i="37"/>
  <c r="H65" i="26"/>
  <c r="CV24" i="1"/>
  <c r="AC26" i="36"/>
  <c r="BA57" i="36"/>
  <c r="CH54" i="39"/>
  <c r="DB48" i="37"/>
  <c r="AZ121" i="47"/>
  <c r="DB92" i="36"/>
  <c r="AB65" i="38"/>
  <c r="BB91" i="25"/>
  <c r="S60" i="39"/>
  <c r="AC60" i="40"/>
  <c r="CK30" i="38"/>
  <c r="CS54" i="39"/>
  <c r="CI21" i="1"/>
  <c r="AO26" i="25"/>
  <c r="J58" i="39"/>
  <c r="CB102" i="40"/>
  <c r="BU66" i="25"/>
  <c r="BZ96" i="1"/>
  <c r="BZ81" i="26"/>
  <c r="BP27" i="39"/>
  <c r="J45" i="39"/>
  <c r="BT91" i="1"/>
  <c r="BP49" i="37"/>
  <c r="K25" i="41"/>
  <c r="AV45" i="37"/>
  <c r="V59" i="36"/>
  <c r="AE79" i="39"/>
  <c r="Y26" i="25"/>
  <c r="AO66" i="37"/>
  <c r="BS58" i="36"/>
  <c r="BR62" i="40"/>
  <c r="G91" i="36"/>
  <c r="AA37" i="38"/>
  <c r="CG21" i="39"/>
  <c r="T12" i="37"/>
  <c r="CD81" i="36"/>
  <c r="AF79" i="1"/>
  <c r="AZ13" i="36"/>
  <c r="K62" i="40"/>
  <c r="AJ48" i="26"/>
  <c r="V48" i="41"/>
  <c r="CP60" i="26"/>
  <c r="CB98" i="41"/>
  <c r="DE65" i="39"/>
  <c r="X53" i="25"/>
  <c r="CD71" i="1"/>
  <c r="G10" i="60"/>
  <c r="AC29" i="25"/>
  <c r="AU26" i="41"/>
  <c r="Z13" i="41"/>
  <c r="CW71" i="37"/>
  <c r="CE58" i="25"/>
  <c r="AY61" i="26"/>
  <c r="T50" i="38"/>
  <c r="AD62" i="39"/>
  <c r="AI71" i="40"/>
  <c r="CB30" i="39"/>
  <c r="CT18" i="38"/>
  <c r="AS61" i="1"/>
  <c r="CY21" i="40"/>
  <c r="CJ81" i="38"/>
  <c r="CE34" i="37"/>
  <c r="BU79" i="40"/>
  <c r="CX34" i="1"/>
  <c r="BC54" i="40"/>
  <c r="L57" i="1"/>
  <c r="AO89" i="40"/>
  <c r="AI62" i="36"/>
  <c r="CN18" i="40"/>
  <c r="CW18" i="25"/>
  <c r="AR65" i="37"/>
  <c r="CN27" i="41"/>
  <c r="L59" i="41"/>
  <c r="BX24" i="41"/>
  <c r="L91" i="64"/>
  <c r="CO57" i="38"/>
  <c r="DA12" i="26"/>
  <c r="CL49" i="36"/>
  <c r="CH18" i="38"/>
  <c r="AG25" i="37"/>
  <c r="AJ60" i="36"/>
  <c r="AV24" i="25"/>
  <c r="N29" i="40"/>
  <c r="AG29" i="26"/>
  <c r="AQ65" i="37"/>
  <c r="P79" i="37"/>
  <c r="AV67" i="1"/>
  <c r="AB18" i="25"/>
  <c r="BY71" i="37"/>
  <c r="AJ30" i="25"/>
  <c r="CG37" i="1"/>
  <c r="CW29" i="36"/>
  <c r="AZ89" i="40"/>
  <c r="BV45" i="39"/>
  <c r="DB9" i="25"/>
  <c r="Y61" i="25"/>
  <c r="M30" i="37"/>
  <c r="W25" i="25"/>
  <c r="G10" i="26"/>
  <c r="U59" i="40"/>
  <c r="BW21" i="41"/>
  <c r="CJ98" i="1"/>
  <c r="CU53" i="37"/>
  <c r="BA29" i="39"/>
  <c r="N26" i="26"/>
  <c r="BZ27" i="25"/>
  <c r="CL60" i="1"/>
  <c r="Y65" i="1"/>
  <c r="N12" i="59"/>
  <c r="BY67" i="25"/>
  <c r="CT75" i="25"/>
  <c r="BT62" i="39"/>
  <c r="AN61" i="38"/>
  <c r="CM57" i="38"/>
  <c r="AM10" i="25"/>
  <c r="CZ12" i="38"/>
  <c r="CY53" i="38"/>
  <c r="W49" i="38"/>
  <c r="BA29" i="25"/>
  <c r="BP13" i="36"/>
  <c r="AZ79" i="36"/>
  <c r="CZ91" i="1"/>
  <c r="AM54" i="36"/>
  <c r="BE98" i="39"/>
  <c r="CT21" i="40"/>
  <c r="AZ75" i="37"/>
  <c r="BO37" i="37"/>
  <c r="CS89" i="26"/>
  <c r="T79" i="36"/>
  <c r="CO81" i="26"/>
  <c r="BH98" i="37"/>
  <c r="BC79" i="39"/>
  <c r="CZ103" i="38"/>
  <c r="CD48" i="41"/>
  <c r="Z18" i="26"/>
  <c r="CS26" i="38"/>
  <c r="H62" i="40"/>
  <c r="CN25" i="36"/>
  <c r="CP25" i="41"/>
  <c r="CL25" i="37"/>
  <c r="DF50" i="26"/>
  <c r="AH29" i="40"/>
  <c r="AW18" i="1"/>
  <c r="BE96" i="41"/>
  <c r="CU37" i="40"/>
  <c r="CA10" i="37"/>
  <c r="AM79" i="38"/>
  <c r="CJ30" i="25"/>
  <c r="AP50" i="26"/>
  <c r="AN62" i="25"/>
  <c r="BD60" i="25"/>
  <c r="AE25" i="40"/>
  <c r="AW102" i="41"/>
  <c r="BC13" i="26"/>
  <c r="AZ10" i="1"/>
  <c r="CX66" i="36"/>
  <c r="G37" i="26"/>
  <c r="BP103" i="40"/>
  <c r="DA34" i="1"/>
  <c r="CG103" i="39"/>
  <c r="X61" i="36"/>
  <c r="CO79" i="25"/>
  <c r="AZ92" i="38"/>
  <c r="BZ92" i="40"/>
  <c r="CZ65" i="38"/>
  <c r="CR25" i="37"/>
  <c r="BB18" i="36"/>
  <c r="BE233" i="47"/>
  <c r="CH103" i="41"/>
  <c r="CL13" i="41"/>
  <c r="J91" i="40"/>
  <c r="CY65" i="1"/>
  <c r="X89" i="40"/>
  <c r="CO102" i="25"/>
  <c r="CM50" i="26"/>
  <c r="CZ54" i="38"/>
  <c r="BO48" i="36"/>
  <c r="AU75" i="26"/>
  <c r="DC27" i="25"/>
  <c r="AX59" i="36"/>
  <c r="CT17" i="40"/>
  <c r="AJ102" i="41"/>
  <c r="AE10" i="37"/>
  <c r="AU81" i="37"/>
  <c r="CZ17" i="1"/>
  <c r="BC49" i="25"/>
  <c r="AQ49" i="36"/>
  <c r="CC91" i="36"/>
  <c r="BO60" i="38"/>
  <c r="H65" i="36"/>
  <c r="CG61" i="26"/>
  <c r="CC75" i="37"/>
  <c r="AP65" i="26"/>
  <c r="CF13" i="1"/>
  <c r="CY9" i="1"/>
  <c r="AE17" i="26"/>
  <c r="AH25" i="25"/>
  <c r="AF57" i="41"/>
  <c r="CX9" i="40"/>
  <c r="CX58" i="40"/>
  <c r="CH54" i="38"/>
  <c r="CF37" i="40"/>
  <c r="CN13" i="38"/>
  <c r="DC48" i="38"/>
  <c r="H21" i="41"/>
  <c r="BZ61" i="37"/>
  <c r="DD30" i="36"/>
  <c r="V58" i="38"/>
  <c r="DE27" i="36"/>
  <c r="AD91" i="41"/>
  <c r="CA13" i="40"/>
  <c r="BP34" i="38"/>
  <c r="BP67" i="37"/>
  <c r="AG53" i="39"/>
  <c r="CA66" i="36"/>
  <c r="AN60" i="41"/>
  <c r="BB96" i="36"/>
  <c r="AW45" i="25"/>
  <c r="DB81" i="40"/>
  <c r="CO25" i="37"/>
  <c r="K29" i="40"/>
  <c r="BW48" i="26"/>
  <c r="CQ71" i="26"/>
  <c r="DB34" i="36"/>
  <c r="P58" i="1"/>
  <c r="G91" i="64"/>
  <c r="CV26" i="37"/>
  <c r="CM96" i="1"/>
  <c r="AC48" i="41"/>
  <c r="S60" i="40"/>
  <c r="AH71" i="1"/>
  <c r="CU37" i="41"/>
  <c r="BQ59" i="37"/>
  <c r="CV96" i="39"/>
  <c r="AE37" i="38"/>
  <c r="AG49" i="38"/>
  <c r="CH67" i="39"/>
  <c r="DB71" i="26"/>
  <c r="CB98" i="37"/>
  <c r="AV17" i="39"/>
  <c r="BE91" i="41"/>
  <c r="CF45" i="26"/>
  <c r="H12" i="41"/>
  <c r="AS61" i="41"/>
  <c r="AH21" i="38"/>
  <c r="AE54" i="41"/>
  <c r="BS62" i="25"/>
  <c r="Y79" i="25"/>
  <c r="CC26" i="26"/>
  <c r="CT12" i="25"/>
  <c r="AE9" i="39"/>
  <c r="W25" i="1"/>
  <c r="CX67" i="39"/>
  <c r="CO91" i="26"/>
  <c r="BD91" i="39"/>
  <c r="DB81" i="25"/>
  <c r="CA65" i="25"/>
  <c r="BV66" i="1"/>
  <c r="BU21" i="36"/>
  <c r="O79" i="1"/>
  <c r="P50" i="59"/>
  <c r="K58" i="1"/>
  <c r="BI79" i="36"/>
  <c r="CI26" i="40"/>
  <c r="AX59" i="37"/>
  <c r="BH21" i="40"/>
  <c r="BP98" i="1"/>
  <c r="BT37" i="39"/>
  <c r="W59" i="39"/>
  <c r="AQ50" i="26"/>
  <c r="BW92" i="1"/>
  <c r="AA10" i="39"/>
  <c r="AR29" i="1"/>
  <c r="BS13" i="26"/>
  <c r="AS50" i="36"/>
  <c r="I67" i="40"/>
  <c r="AS71" i="36"/>
  <c r="AU17" i="26"/>
  <c r="CF49" i="26"/>
  <c r="BU71" i="40"/>
  <c r="BE48" i="26"/>
  <c r="AZ96" i="1"/>
  <c r="Z62" i="39"/>
  <c r="CX75" i="37"/>
  <c r="AX61" i="38"/>
  <c r="BD50" i="41"/>
  <c r="F64" i="64"/>
  <c r="CF61" i="36"/>
  <c r="CW24" i="38"/>
  <c r="BP17" i="25"/>
  <c r="CQ59" i="39"/>
  <c r="I25" i="25"/>
  <c r="DB79" i="26"/>
  <c r="BB314" i="47"/>
  <c r="AY75" i="38"/>
  <c r="AR49" i="1"/>
  <c r="DD50" i="40"/>
  <c r="CM25" i="25"/>
  <c r="CS21" i="25"/>
  <c r="J10" i="25"/>
  <c r="CD9" i="39"/>
  <c r="BH62" i="25"/>
  <c r="AN13" i="1"/>
  <c r="BP26" i="36"/>
  <c r="V60" i="25"/>
  <c r="I89" i="36"/>
  <c r="O63" i="59"/>
  <c r="AM62" i="37"/>
  <c r="BC50" i="38"/>
  <c r="BP12" i="40"/>
  <c r="CN18" i="1"/>
  <c r="CU49" i="38"/>
  <c r="AN10" i="26"/>
  <c r="AS17" i="25"/>
  <c r="X75" i="37"/>
  <c r="AR89" i="26"/>
  <c r="U27" i="40"/>
  <c r="CJ61" i="38"/>
  <c r="CQ30" i="25"/>
  <c r="BI29" i="36"/>
  <c r="AA9" i="36"/>
  <c r="AQ26" i="26"/>
  <c r="DB57" i="25"/>
  <c r="AG27" i="39"/>
  <c r="I50" i="59"/>
  <c r="Y29" i="38"/>
  <c r="BE24" i="26"/>
  <c r="AU49" i="26"/>
  <c r="BC122" i="47"/>
  <c r="CQ91" i="26"/>
  <c r="CN53" i="26"/>
  <c r="AQ66" i="38"/>
  <c r="BA66" i="36"/>
  <c r="CL91" i="36"/>
  <c r="AE21" i="25"/>
  <c r="CQ89" i="38"/>
  <c r="AY67" i="26"/>
  <c r="CO53" i="40"/>
  <c r="BW62" i="1"/>
  <c r="M35" i="60"/>
  <c r="AE18" i="41"/>
  <c r="BW89" i="36"/>
  <c r="CW45" i="37"/>
  <c r="BC49" i="40"/>
  <c r="Z62" i="37"/>
  <c r="BA27" i="38"/>
  <c r="CO71" i="41"/>
  <c r="CB62" i="39"/>
  <c r="CJ37" i="36"/>
  <c r="K10" i="40"/>
  <c r="BX21" i="26"/>
  <c r="CB53" i="36"/>
  <c r="DC103" i="26"/>
  <c r="G58" i="40"/>
  <c r="X79" i="40"/>
  <c r="BD24" i="26"/>
  <c r="CI18" i="1"/>
  <c r="G57" i="37"/>
  <c r="AW60" i="25"/>
  <c r="Y9" i="36"/>
  <c r="BP79" i="40"/>
  <c r="H14" i="64"/>
  <c r="BX30" i="39"/>
  <c r="V67" i="38"/>
  <c r="CW25" i="1"/>
  <c r="CP57" i="40"/>
  <c r="J27" i="41"/>
  <c r="CI59" i="41"/>
  <c r="L61" i="40"/>
  <c r="AC54" i="37"/>
  <c r="BI13" i="41"/>
  <c r="J61" i="40"/>
  <c r="DE62" i="41"/>
  <c r="BD10" i="25"/>
  <c r="BZ26" i="38"/>
  <c r="DC79" i="40"/>
  <c r="CJ48" i="36"/>
  <c r="BE102" i="40"/>
  <c r="CE29" i="37"/>
  <c r="W57" i="25"/>
  <c r="CJ75" i="41"/>
  <c r="AX98" i="26"/>
  <c r="BI96" i="26"/>
  <c r="CA26" i="1"/>
  <c r="AF54" i="41"/>
  <c r="BR21" i="1"/>
  <c r="AE18" i="1"/>
  <c r="CL9" i="25"/>
  <c r="AJ25" i="40"/>
  <c r="BX61" i="36"/>
  <c r="AB102" i="26"/>
  <c r="F22" i="60"/>
  <c r="DA37" i="37"/>
  <c r="Z21" i="25"/>
  <c r="CI27" i="41"/>
  <c r="BC45" i="1"/>
  <c r="CW53" i="36"/>
  <c r="U67" i="41"/>
  <c r="BV37" i="26"/>
  <c r="CN81" i="36"/>
  <c r="P61" i="40"/>
  <c r="AT92" i="26"/>
  <c r="T21" i="1"/>
  <c r="DD65" i="40"/>
  <c r="AQ34" i="39"/>
  <c r="AR91" i="1"/>
  <c r="AS26" i="38"/>
  <c r="BR66" i="38"/>
  <c r="BW102" i="37"/>
  <c r="G62" i="1"/>
  <c r="P27" i="1"/>
  <c r="AU24" i="40"/>
  <c r="CP67" i="41"/>
  <c r="W57" i="1"/>
  <c r="AT61" i="1"/>
  <c r="CP34" i="38"/>
  <c r="CP79" i="37"/>
  <c r="AI48" i="37"/>
  <c r="CU53" i="1"/>
  <c r="AN17" i="38"/>
  <c r="CL25" i="26"/>
  <c r="BB59" i="40"/>
  <c r="CG57" i="40"/>
  <c r="AT59" i="36"/>
  <c r="CZ48" i="39"/>
  <c r="CE54" i="41"/>
  <c r="J87" i="60"/>
  <c r="AP9" i="36"/>
  <c r="CR98" i="41"/>
  <c r="AS10" i="41"/>
  <c r="Y26" i="38"/>
  <c r="DE13" i="1"/>
  <c r="I92" i="26"/>
  <c r="G61" i="41"/>
  <c r="Z54" i="40"/>
  <c r="CF17" i="38"/>
  <c r="BE50" i="39"/>
  <c r="BX60" i="26"/>
  <c r="AQ92" i="1"/>
  <c r="BC98" i="39"/>
  <c r="AY58" i="38"/>
  <c r="AT29" i="1"/>
  <c r="BC21" i="25"/>
  <c r="AG26" i="1"/>
  <c r="CK91" i="38"/>
  <c r="CA18" i="38"/>
  <c r="CB27" i="25"/>
  <c r="CG21" i="40"/>
  <c r="BU24" i="26"/>
  <c r="AZ21" i="25"/>
  <c r="AW92" i="1"/>
  <c r="CX26" i="25"/>
  <c r="CY58" i="25"/>
  <c r="CQ71" i="39"/>
  <c r="CI58" i="39"/>
  <c r="AQ96" i="38"/>
  <c r="AU21" i="26"/>
  <c r="AX37" i="1"/>
  <c r="Z29" i="38"/>
  <c r="AX25" i="41"/>
  <c r="BX67" i="25"/>
  <c r="CP67" i="25"/>
  <c r="K75" i="36"/>
  <c r="AY59" i="41"/>
  <c r="M59" i="1"/>
  <c r="CK92" i="38"/>
  <c r="BB62" i="38"/>
  <c r="I51" i="59"/>
  <c r="G89" i="41"/>
  <c r="AU57" i="40"/>
  <c r="DB10" i="39"/>
  <c r="AF50" i="25"/>
  <c r="BO75" i="37"/>
  <c r="CE50" i="40"/>
  <c r="AH59" i="1"/>
  <c r="CW17" i="38"/>
  <c r="M59" i="36"/>
  <c r="G18" i="38"/>
  <c r="DB75" i="26"/>
  <c r="G18" i="41"/>
  <c r="BR91" i="37"/>
  <c r="BW37" i="41"/>
  <c r="BW60" i="25"/>
  <c r="CB27" i="38"/>
  <c r="AD26" i="26"/>
  <c r="AI50" i="41"/>
  <c r="BD102" i="40"/>
  <c r="CL71" i="25"/>
  <c r="N60" i="37"/>
  <c r="CK92" i="40"/>
  <c r="CH34" i="41"/>
  <c r="BO37" i="25"/>
  <c r="CW79" i="25"/>
  <c r="CY12" i="41"/>
  <c r="BT67" i="1"/>
  <c r="AO53" i="38"/>
  <c r="I81" i="36"/>
  <c r="CN92" i="39"/>
  <c r="CI29" i="1"/>
  <c r="AZ25" i="1"/>
  <c r="CX13" i="1"/>
  <c r="CT25" i="38"/>
  <c r="O12" i="36"/>
  <c r="CB58" i="37"/>
  <c r="AQ34" i="37"/>
  <c r="CG79" i="40"/>
  <c r="BZ59" i="38"/>
  <c r="BR10" i="1"/>
  <c r="CJ27" i="38"/>
  <c r="AH29" i="38"/>
  <c r="L61" i="38"/>
  <c r="BW66" i="26"/>
  <c r="AQ9" i="40"/>
  <c r="CO53" i="38"/>
  <c r="CO45" i="26"/>
  <c r="CP66" i="40"/>
  <c r="H83" i="60"/>
  <c r="CO98" i="37"/>
  <c r="AA12" i="37"/>
  <c r="DF54" i="37"/>
  <c r="AA27" i="41"/>
  <c r="BB92" i="26"/>
  <c r="CL45" i="36"/>
  <c r="W67" i="37"/>
  <c r="BD91" i="1"/>
  <c r="AR37" i="1"/>
  <c r="I18" i="25"/>
  <c r="AP27" i="36"/>
  <c r="BX13" i="1"/>
  <c r="AG10" i="37"/>
  <c r="AJ91" i="26"/>
  <c r="AF45" i="26"/>
  <c r="AJ25" i="38"/>
  <c r="BV71" i="36"/>
  <c r="M9" i="26"/>
  <c r="CX89" i="25"/>
  <c r="G26" i="25"/>
  <c r="N26" i="46"/>
  <c r="F56" i="60"/>
  <c r="AW26" i="36"/>
  <c r="BX37" i="37"/>
  <c r="V30" i="41"/>
  <c r="BO54" i="38"/>
  <c r="AX13" i="26"/>
  <c r="DA91" i="41"/>
  <c r="BE13" i="1"/>
  <c r="AY53" i="40"/>
  <c r="BY89" i="38"/>
  <c r="BV60" i="37"/>
  <c r="BO61" i="1"/>
  <c r="BP98" i="41"/>
  <c r="U89" i="26"/>
  <c r="V18" i="37"/>
  <c r="AH54" i="38"/>
  <c r="AN25" i="1"/>
  <c r="L58" i="25"/>
  <c r="AH29" i="39"/>
  <c r="DA30" i="36"/>
  <c r="I19" i="64"/>
  <c r="CZ18" i="39"/>
  <c r="CT12" i="40"/>
  <c r="AU91" i="39"/>
  <c r="CG50" i="41"/>
  <c r="L70" i="64"/>
  <c r="AG92" i="40"/>
  <c r="AR62" i="38"/>
  <c r="BW17" i="41"/>
  <c r="BE75" i="41"/>
  <c r="CA66" i="37"/>
  <c r="BH48" i="40"/>
  <c r="AG91" i="25"/>
  <c r="F82" i="60"/>
  <c r="DD18" i="37"/>
  <c r="CH98" i="38"/>
  <c r="BS98" i="39"/>
  <c r="CX29" i="36"/>
  <c r="P79" i="40"/>
  <c r="AW61" i="38"/>
  <c r="AZ53" i="26"/>
  <c r="CY13" i="1"/>
  <c r="M58" i="41"/>
  <c r="BE102" i="41"/>
  <c r="BH67" i="25"/>
  <c r="BS26" i="36"/>
  <c r="O60" i="1"/>
  <c r="V54" i="38"/>
  <c r="J59" i="1"/>
  <c r="AR57" i="26"/>
  <c r="E83" i="60"/>
  <c r="J58" i="25"/>
  <c r="AW13" i="37"/>
  <c r="BZ21" i="37"/>
  <c r="V18" i="26"/>
  <c r="CH37" i="1"/>
  <c r="CQ61" i="40"/>
  <c r="CC9" i="38"/>
  <c r="BH30" i="25"/>
  <c r="I75" i="39"/>
  <c r="AS50" i="37"/>
  <c r="J13" i="37"/>
  <c r="CI50" i="26"/>
  <c r="BE13" i="40"/>
  <c r="BR45" i="39"/>
  <c r="CG91" i="41"/>
  <c r="AO9" i="40"/>
  <c r="BV98" i="40"/>
  <c r="H26" i="41"/>
  <c r="P60" i="37"/>
  <c r="AA61" i="41"/>
  <c r="BW79" i="39"/>
  <c r="AC24" i="36"/>
  <c r="DF65" i="1"/>
  <c r="AT62" i="38"/>
  <c r="DA54" i="1"/>
  <c r="AD66" i="1"/>
  <c r="BW18" i="26"/>
  <c r="CY21" i="38"/>
  <c r="S59" i="26"/>
  <c r="CT37" i="25"/>
  <c r="CD49" i="39"/>
  <c r="V66" i="25"/>
  <c r="BT30" i="37"/>
  <c r="CX37" i="1"/>
  <c r="BW27" i="36"/>
  <c r="AT79" i="38"/>
  <c r="CH26" i="41"/>
  <c r="BR30" i="37"/>
  <c r="DE71" i="41"/>
  <c r="AG81" i="40"/>
  <c r="DE60" i="39"/>
  <c r="AV12" i="38"/>
  <c r="P18" i="40"/>
  <c r="H57" i="41"/>
  <c r="CM60" i="40"/>
  <c r="AN25" i="39"/>
  <c r="CU13" i="36"/>
  <c r="BE27" i="37"/>
  <c r="BP58" i="38"/>
  <c r="CW92" i="37"/>
  <c r="CD91" i="38"/>
  <c r="BI98" i="39"/>
  <c r="AS9" i="26"/>
  <c r="BB59" i="26"/>
  <c r="AY18" i="36"/>
  <c r="CG13" i="39"/>
  <c r="CP50" i="39"/>
  <c r="AQ66" i="41"/>
  <c r="AY75" i="40"/>
  <c r="H17" i="38"/>
  <c r="DB65" i="25"/>
  <c r="AC25" i="25"/>
  <c r="CZ91" i="25"/>
  <c r="W10" i="40"/>
  <c r="U59" i="25"/>
  <c r="J89" i="41"/>
  <c r="BR37" i="37"/>
  <c r="AR13" i="1"/>
  <c r="CT65" i="25"/>
  <c r="AU102" i="41"/>
  <c r="AN60" i="38"/>
  <c r="H17" i="64"/>
  <c r="BO49" i="39"/>
  <c r="U92" i="26"/>
  <c r="O62" i="38"/>
  <c r="CF26" i="1"/>
  <c r="L10" i="26"/>
  <c r="DB91" i="37"/>
  <c r="CN26" i="41"/>
  <c r="CP67" i="1"/>
  <c r="AF71" i="25"/>
  <c r="DC57" i="25"/>
  <c r="AG10" i="36"/>
  <c r="H75" i="39"/>
  <c r="O75" i="38"/>
  <c r="CG57" i="26"/>
  <c r="BA98" i="36"/>
  <c r="AY61" i="39"/>
  <c r="AX12" i="36"/>
  <c r="AO48" i="39"/>
  <c r="CC91" i="1"/>
  <c r="G34" i="39"/>
  <c r="CB53" i="1"/>
  <c r="CJ25" i="1"/>
  <c r="AH12" i="38"/>
  <c r="AB75" i="25"/>
  <c r="CK61" i="38"/>
  <c r="CK45" i="39"/>
  <c r="AC45" i="41"/>
  <c r="BS61" i="26"/>
  <c r="AA10" i="37"/>
  <c r="BX96" i="25"/>
  <c r="AV49" i="36"/>
  <c r="BR98" i="36"/>
  <c r="BT59" i="26"/>
  <c r="CS59" i="1"/>
  <c r="DE102" i="39"/>
  <c r="BR103" i="1"/>
  <c r="M34" i="59"/>
  <c r="T96" i="40"/>
  <c r="CI58" i="26"/>
  <c r="CX18" i="39"/>
  <c r="CT103" i="1"/>
  <c r="V27" i="39"/>
  <c r="CR102" i="39"/>
  <c r="W34" i="36"/>
  <c r="DE92" i="39"/>
  <c r="DD61" i="40"/>
  <c r="CJ81" i="25"/>
  <c r="BW67" i="25"/>
  <c r="CS98" i="37"/>
  <c r="AU57" i="38"/>
  <c r="X29" i="41"/>
  <c r="BH65" i="26"/>
  <c r="DA103" i="26"/>
  <c r="CR102" i="36"/>
  <c r="AY25" i="41"/>
  <c r="E47" i="60"/>
  <c r="CJ27" i="37"/>
  <c r="CR81" i="37"/>
  <c r="AN50" i="26"/>
  <c r="CM24" i="1"/>
  <c r="CN24" i="37"/>
  <c r="AJ9" i="36"/>
  <c r="AI49" i="38"/>
  <c r="AG71" i="25"/>
  <c r="CF103" i="25"/>
  <c r="BY81" i="37"/>
  <c r="BC18" i="37"/>
  <c r="CG65" i="38"/>
  <c r="CT27" i="37"/>
  <c r="T89" i="41"/>
  <c r="BI34" i="39"/>
  <c r="AE54" i="39"/>
  <c r="BD45" i="25"/>
  <c r="BY17" i="25"/>
  <c r="AZ13" i="41"/>
  <c r="CF9" i="1"/>
  <c r="AE71" i="39"/>
  <c r="CU65" i="26"/>
  <c r="AB62" i="37"/>
  <c r="AS57" i="41"/>
  <c r="M9" i="59"/>
  <c r="L65" i="1"/>
  <c r="AA96" i="25"/>
  <c r="H98" i="26"/>
  <c r="CA57" i="36"/>
  <c r="X49" i="26"/>
  <c r="H34" i="59"/>
  <c r="O21" i="37"/>
  <c r="CT26" i="1"/>
  <c r="S71" i="39"/>
  <c r="DE91" i="25"/>
  <c r="BX79" i="1"/>
  <c r="CG59" i="39"/>
  <c r="V54" i="41"/>
  <c r="AU27" i="1"/>
  <c r="BV103" i="25"/>
  <c r="CQ59" i="1"/>
  <c r="AF18" i="25"/>
  <c r="CO59" i="38"/>
  <c r="CX12" i="40"/>
  <c r="AN12" i="26"/>
  <c r="AF54" i="36"/>
  <c r="CX10" i="25"/>
  <c r="CB13" i="1"/>
  <c r="DA49" i="39"/>
  <c r="AJ59" i="40"/>
  <c r="H67" i="25"/>
  <c r="AW30" i="36"/>
  <c r="AF91" i="36"/>
  <c r="BU29" i="1"/>
  <c r="DF75" i="40"/>
  <c r="BC96" i="38"/>
  <c r="BT29" i="1"/>
  <c r="AM102" i="41"/>
  <c r="CO12" i="39"/>
  <c r="AH21" i="40"/>
  <c r="BV61" i="1"/>
  <c r="CK57" i="36"/>
  <c r="CO92" i="41"/>
  <c r="CL53" i="40"/>
  <c r="AU53" i="37"/>
  <c r="CD98" i="40"/>
  <c r="J61" i="37"/>
  <c r="AM79" i="26"/>
  <c r="DF79" i="36"/>
  <c r="AS102" i="38"/>
  <c r="BA53" i="40"/>
  <c r="X12" i="40"/>
  <c r="BW61" i="41"/>
  <c r="AB89" i="25"/>
  <c r="P12" i="36"/>
  <c r="AJ21" i="25"/>
  <c r="U48" i="40"/>
  <c r="CY54" i="39"/>
  <c r="BU71" i="39"/>
  <c r="AA59" i="1"/>
  <c r="BC12" i="37"/>
  <c r="CW102" i="1"/>
  <c r="DA67" i="26"/>
  <c r="AA62" i="26"/>
  <c r="CD71" i="38"/>
  <c r="BP17" i="1"/>
  <c r="AR98" i="26"/>
  <c r="BQ34" i="40"/>
  <c r="AI102" i="40"/>
  <c r="DB60" i="38"/>
  <c r="AC26" i="40"/>
  <c r="BZ21" i="36"/>
  <c r="G59" i="26"/>
  <c r="AY50" i="40"/>
  <c r="BE61" i="38"/>
  <c r="AP57" i="40"/>
  <c r="DB50" i="1"/>
  <c r="BS79" i="36"/>
  <c r="AH45" i="40"/>
  <c r="BD54" i="1"/>
  <c r="X29" i="25"/>
  <c r="AN10" i="38"/>
  <c r="AV54" i="38"/>
  <c r="CF24" i="25"/>
  <c r="BV60" i="26"/>
  <c r="BA79" i="36"/>
  <c r="CT53" i="25"/>
  <c r="CV34" i="1"/>
  <c r="BI89" i="39"/>
  <c r="CH17" i="26"/>
  <c r="CE21" i="25"/>
  <c r="BC10" i="39"/>
  <c r="L37" i="59"/>
  <c r="V29" i="26"/>
  <c r="AN98" i="41"/>
  <c r="CK50" i="37"/>
  <c r="X96" i="38"/>
  <c r="BQ48" i="40"/>
  <c r="CA71" i="36"/>
  <c r="P98" i="25"/>
  <c r="AT79" i="37"/>
  <c r="AR18" i="38"/>
  <c r="CG60" i="40"/>
  <c r="CZ9" i="25"/>
  <c r="CV26" i="1"/>
  <c r="CP89" i="37"/>
  <c r="DA17" i="39"/>
  <c r="Z9" i="40"/>
  <c r="CW53" i="37"/>
  <c r="CN37" i="25"/>
  <c r="BY60" i="37"/>
  <c r="DE61" i="37"/>
  <c r="DA29" i="37"/>
  <c r="CX60" i="1"/>
  <c r="CH57" i="41"/>
  <c r="AY307" i="47"/>
  <c r="BU9" i="37"/>
  <c r="AY9" i="40"/>
  <c r="AF59" i="25"/>
  <c r="DB45" i="25"/>
  <c r="BP103" i="41"/>
  <c r="CJ67" i="25"/>
  <c r="AJ61" i="36"/>
  <c r="CX10" i="36"/>
  <c r="X48" i="40"/>
  <c r="DA92" i="36"/>
  <c r="AD57" i="26"/>
  <c r="H16" i="46"/>
  <c r="Y17" i="40"/>
  <c r="AT26" i="39"/>
  <c r="BZ27" i="38"/>
  <c r="DD98" i="36"/>
  <c r="CB37" i="37"/>
  <c r="CC60" i="26"/>
  <c r="CB10" i="40"/>
  <c r="CO96" i="38"/>
  <c r="CU12" i="26"/>
  <c r="DE27" i="1"/>
  <c r="L29" i="37"/>
  <c r="CI67" i="39"/>
  <c r="L13" i="25"/>
  <c r="K57" i="41"/>
  <c r="CS17" i="25"/>
  <c r="CG10" i="1"/>
  <c r="CF81" i="26"/>
  <c r="AX65" i="36"/>
  <c r="BR102" i="41"/>
  <c r="BB91" i="1"/>
  <c r="L17" i="36"/>
  <c r="DF60" i="40"/>
  <c r="CB17" i="40"/>
  <c r="CN12" i="36"/>
  <c r="DB67" i="41"/>
  <c r="DA71" i="26"/>
  <c r="AG71" i="26"/>
  <c r="AS61" i="25"/>
  <c r="S92" i="26"/>
  <c r="AV34" i="40"/>
  <c r="V21" i="41"/>
  <c r="AF81" i="41"/>
  <c r="T57" i="36"/>
  <c r="BQ50" i="26"/>
  <c r="AC96" i="38"/>
  <c r="AP27" i="25"/>
  <c r="CT102" i="39"/>
  <c r="CE45" i="37"/>
  <c r="AM91" i="41"/>
  <c r="CG71" i="41"/>
  <c r="AJ65" i="38"/>
  <c r="Z67" i="26"/>
  <c r="BT91" i="38"/>
  <c r="CR89" i="26"/>
  <c r="S59" i="39"/>
  <c r="H66" i="40"/>
  <c r="CH10" i="26"/>
  <c r="AZ26" i="26"/>
  <c r="CX48" i="37"/>
  <c r="CK24" i="37"/>
  <c r="AR30" i="38"/>
  <c r="DA54" i="38"/>
  <c r="CB89" i="41"/>
  <c r="P102" i="39"/>
  <c r="U92" i="37"/>
  <c r="O30" i="39"/>
  <c r="BE75" i="36"/>
  <c r="CN62" i="36"/>
  <c r="DC26" i="26"/>
  <c r="O44" i="59"/>
  <c r="S48" i="1"/>
  <c r="AF13" i="36"/>
  <c r="CE9" i="25"/>
  <c r="BH75" i="39"/>
  <c r="L29" i="41"/>
  <c r="CI66" i="36"/>
  <c r="BA89" i="36"/>
  <c r="BW10" i="38"/>
  <c r="AA102" i="38"/>
  <c r="L10" i="40"/>
  <c r="CF24" i="38"/>
  <c r="BR62" i="26"/>
  <c r="AC65" i="26"/>
  <c r="AP12" i="40"/>
  <c r="BT25" i="39"/>
  <c r="AP79" i="40"/>
  <c r="BI17" i="1"/>
  <c r="AA10" i="40"/>
  <c r="CJ21" i="41"/>
  <c r="DC48" i="37"/>
  <c r="BE30" i="39"/>
  <c r="CD98" i="39"/>
  <c r="S12" i="36"/>
  <c r="CH71" i="25"/>
  <c r="Y49" i="40"/>
  <c r="AF89" i="37"/>
  <c r="BZ60" i="26"/>
  <c r="BP75" i="26"/>
  <c r="AB89" i="39"/>
  <c r="AP54" i="38"/>
  <c r="S75" i="40"/>
  <c r="CZ65" i="41"/>
  <c r="AE27" i="38"/>
  <c r="AO98" i="26"/>
  <c r="CS61" i="36"/>
  <c r="BS61" i="41"/>
  <c r="AR9" i="37"/>
  <c r="AT26" i="25"/>
  <c r="CE27" i="41"/>
  <c r="AZ27" i="36"/>
  <c r="I75" i="41"/>
  <c r="BQ61" i="39"/>
  <c r="AW67" i="36"/>
  <c r="AW59" i="38"/>
  <c r="P30" i="41"/>
  <c r="CO17" i="40"/>
  <c r="S54" i="1"/>
  <c r="AJ48" i="40"/>
  <c r="CR66" i="41"/>
  <c r="CI60" i="25"/>
  <c r="DB89" i="40"/>
  <c r="AZ13" i="40"/>
  <c r="BU67" i="41"/>
  <c r="BV34" i="26"/>
  <c r="CE67" i="36"/>
  <c r="BP12" i="37"/>
  <c r="H48" i="36"/>
  <c r="J8" i="59"/>
  <c r="AW89" i="36"/>
  <c r="BP30" i="26"/>
  <c r="AS65" i="37"/>
  <c r="AC89" i="38"/>
  <c r="CC59" i="37"/>
  <c r="AH49" i="38"/>
  <c r="BS60" i="39"/>
  <c r="W75" i="40"/>
  <c r="CV57" i="38"/>
  <c r="BE45" i="41"/>
  <c r="CM62" i="26"/>
  <c r="AD81" i="26"/>
  <c r="BT45" i="39"/>
  <c r="CW60" i="38"/>
  <c r="S30" i="40"/>
  <c r="AR9" i="36"/>
  <c r="U30" i="39"/>
  <c r="W62" i="25"/>
  <c r="CK58" i="1"/>
  <c r="BY48" i="1"/>
  <c r="AA96" i="1"/>
  <c r="CH81" i="37"/>
  <c r="AU92" i="25"/>
  <c r="AR60" i="38"/>
  <c r="CS61" i="26"/>
  <c r="AQ45" i="40"/>
  <c r="CK37" i="38"/>
  <c r="CN75" i="25"/>
  <c r="CM71" i="37"/>
  <c r="CW65" i="1"/>
  <c r="H91" i="26"/>
  <c r="BT79" i="1"/>
  <c r="DE60" i="36"/>
  <c r="AH9" i="26"/>
  <c r="BH59" i="38"/>
  <c r="BO34" i="25"/>
  <c r="AU17" i="39"/>
  <c r="AW79" i="40"/>
  <c r="CJ81" i="36"/>
  <c r="DD27" i="38"/>
  <c r="CE92" i="25"/>
  <c r="AN27" i="41"/>
  <c r="O102" i="36"/>
  <c r="CL91" i="1"/>
  <c r="T18" i="38"/>
  <c r="T92" i="39"/>
  <c r="CR67" i="25"/>
  <c r="CI54" i="37"/>
  <c r="AE21" i="37"/>
  <c r="K76" i="64"/>
  <c r="BB29" i="38"/>
  <c r="AN30" i="25"/>
  <c r="V62" i="38"/>
  <c r="CG37" i="39"/>
  <c r="CC25" i="37"/>
  <c r="BQ25" i="1"/>
  <c r="P10" i="26"/>
  <c r="BQ12" i="25"/>
  <c r="AT91" i="37"/>
  <c r="BE27" i="39"/>
  <c r="BW71" i="37"/>
  <c r="BV21" i="37"/>
  <c r="CH26" i="25"/>
  <c r="K34" i="25"/>
  <c r="AB61" i="1"/>
  <c r="BB37" i="37"/>
  <c r="AW75" i="41"/>
  <c r="AR65" i="40"/>
  <c r="AU67" i="39"/>
  <c r="CT49" i="36"/>
  <c r="M25" i="36"/>
  <c r="BO18" i="38"/>
  <c r="AN71" i="40"/>
  <c r="BE37" i="25"/>
  <c r="DC49" i="1"/>
  <c r="CO57" i="36"/>
  <c r="CP67" i="37"/>
  <c r="N48" i="41"/>
  <c r="AV10" i="38"/>
  <c r="L50" i="26"/>
  <c r="CC89" i="37"/>
  <c r="DE102" i="1"/>
  <c r="BW59" i="1"/>
  <c r="CU81" i="39"/>
  <c r="CN27" i="25"/>
  <c r="BZ98" i="26"/>
  <c r="AZ81" i="1"/>
  <c r="DB12" i="38"/>
  <c r="CB62" i="36"/>
  <c r="BV59" i="39"/>
  <c r="BQ21" i="26"/>
  <c r="CB18" i="26"/>
  <c r="AG37" i="41"/>
  <c r="DB34" i="25"/>
  <c r="J21" i="26"/>
  <c r="CL24" i="36"/>
  <c r="BI59" i="1"/>
  <c r="S48" i="25"/>
  <c r="AS89" i="25"/>
  <c r="CH81" i="25"/>
  <c r="G45" i="38"/>
  <c r="AV18" i="38"/>
  <c r="CR30" i="36"/>
  <c r="P66" i="25"/>
  <c r="AU57" i="36"/>
  <c r="AJ29" i="25"/>
  <c r="CO65" i="37"/>
  <c r="L79" i="37"/>
  <c r="CL49" i="40"/>
  <c r="AD30" i="38"/>
  <c r="CG92" i="26"/>
  <c r="AE54" i="1"/>
  <c r="BY37" i="36"/>
  <c r="AS60" i="26"/>
  <c r="CV13" i="36"/>
  <c r="DE50" i="1"/>
  <c r="S45" i="1"/>
  <c r="S12" i="25"/>
  <c r="BD65" i="1"/>
  <c r="DA54" i="41"/>
  <c r="CL26" i="38"/>
  <c r="CM10" i="25"/>
  <c r="AP92" i="1"/>
  <c r="AJ71" i="38"/>
  <c r="CL25" i="1"/>
  <c r="AO13" i="38"/>
  <c r="AS98" i="1"/>
  <c r="CJ9" i="39"/>
  <c r="G79" i="38"/>
  <c r="BC30" i="25"/>
  <c r="CK81" i="41"/>
  <c r="AZ102" i="39"/>
  <c r="CE59" i="36"/>
  <c r="P66" i="37"/>
  <c r="K98" i="36"/>
  <c r="AP13" i="40"/>
  <c r="CI71" i="1"/>
  <c r="CD9" i="25"/>
  <c r="CM60" i="1"/>
  <c r="CT65" i="26"/>
  <c r="CF59" i="41"/>
  <c r="E33" i="60"/>
  <c r="AB79" i="40"/>
  <c r="BT59" i="38"/>
  <c r="CJ13" i="25"/>
  <c r="BU30" i="39"/>
  <c r="CF81" i="40"/>
  <c r="AO61" i="38"/>
  <c r="N58" i="41"/>
  <c r="AJ30" i="26"/>
  <c r="O61" i="25"/>
  <c r="CO13" i="38"/>
  <c r="AO12" i="25"/>
  <c r="BZ45" i="36"/>
  <c r="P30" i="25"/>
  <c r="AR26" i="40"/>
  <c r="CV98" i="40"/>
  <c r="G67" i="64"/>
  <c r="O91" i="37"/>
  <c r="BT9" i="36"/>
  <c r="CL67" i="40"/>
  <c r="CE37" i="1"/>
  <c r="AC54" i="1"/>
  <c r="DB18" i="39"/>
  <c r="CO103" i="26"/>
  <c r="CV89" i="38"/>
  <c r="BC81" i="40"/>
  <c r="AB57" i="39"/>
  <c r="CD30" i="25"/>
  <c r="BX57" i="41"/>
  <c r="CP21" i="41"/>
  <c r="AY24" i="1"/>
  <c r="BI66" i="1"/>
  <c r="CI91" i="36"/>
  <c r="M60" i="59"/>
  <c r="CM59" i="1"/>
  <c r="DD67" i="25"/>
  <c r="DF13" i="26"/>
  <c r="BT81" i="36"/>
  <c r="DA10" i="41"/>
  <c r="BI18" i="39"/>
  <c r="CX61" i="25"/>
  <c r="CT53" i="39"/>
  <c r="I33" i="59"/>
  <c r="CD25" i="36"/>
  <c r="AY49" i="36"/>
  <c r="U29" i="1"/>
  <c r="S98" i="1"/>
  <c r="AU57" i="1"/>
  <c r="AG71" i="39"/>
  <c r="CD53" i="41"/>
  <c r="H75" i="26"/>
  <c r="DB45" i="37"/>
  <c r="AF26" i="25"/>
  <c r="BT12" i="41"/>
  <c r="K50" i="37"/>
  <c r="CH96" i="40"/>
  <c r="BO37" i="40"/>
  <c r="BY21" i="37"/>
  <c r="CQ13" i="41"/>
  <c r="AW89" i="26"/>
  <c r="CT10" i="39"/>
  <c r="AG61" i="38"/>
  <c r="BI27" i="39"/>
  <c r="BI50" i="36"/>
  <c r="Y75" i="37"/>
  <c r="AN61" i="41"/>
  <c r="AU75" i="36"/>
  <c r="BE91" i="37"/>
  <c r="CT91" i="26"/>
  <c r="AJ53" i="36"/>
  <c r="CA61" i="38"/>
  <c r="I60" i="25"/>
  <c r="DA60" i="40"/>
  <c r="AA49" i="37"/>
  <c r="CO60" i="41"/>
  <c r="AY57" i="25"/>
  <c r="AJ29" i="41"/>
  <c r="BB24" i="25"/>
  <c r="BR26" i="38"/>
  <c r="AU13" i="37"/>
  <c r="AV12" i="39"/>
  <c r="BI57" i="40"/>
  <c r="AM98" i="1"/>
  <c r="J60" i="25"/>
  <c r="CZ17" i="36"/>
  <c r="AC34" i="36"/>
  <c r="S89" i="1"/>
  <c r="L54" i="40"/>
  <c r="BZ53" i="38"/>
  <c r="BE92" i="36"/>
  <c r="DF34" i="26"/>
  <c r="CZ37" i="40"/>
  <c r="AT9" i="1"/>
  <c r="CZ17" i="38"/>
  <c r="DE67" i="37"/>
  <c r="AV45" i="39"/>
  <c r="BV54" i="39"/>
  <c r="CW58" i="37"/>
  <c r="G58" i="26"/>
  <c r="X25" i="25"/>
  <c r="T13" i="36"/>
  <c r="AM59" i="26"/>
  <c r="AN49" i="37"/>
  <c r="Y45" i="25"/>
  <c r="BB37" i="39"/>
  <c r="M58" i="36"/>
  <c r="AO91" i="41"/>
  <c r="BH102" i="37"/>
  <c r="CV58" i="1"/>
  <c r="DF48" i="37"/>
  <c r="V57" i="1"/>
  <c r="BW54" i="36"/>
  <c r="N66" i="25"/>
  <c r="AM81" i="36"/>
  <c r="CV91" i="36"/>
  <c r="CT89" i="38"/>
  <c r="AV98" i="41"/>
  <c r="CP75" i="26"/>
  <c r="CP103" i="25"/>
  <c r="Y89" i="25"/>
  <c r="DB54" i="36"/>
  <c r="CQ62" i="26"/>
  <c r="BR13" i="1"/>
  <c r="CK26" i="25"/>
  <c r="CA25" i="37"/>
  <c r="AY12" i="26"/>
  <c r="BD71" i="41"/>
  <c r="AN81" i="40"/>
  <c r="CI45" i="37"/>
  <c r="AA62" i="41"/>
  <c r="O17" i="26"/>
  <c r="X98" i="36"/>
  <c r="BZ49" i="1"/>
  <c r="BZ30" i="40"/>
  <c r="L57" i="25"/>
  <c r="DE58" i="41"/>
  <c r="AZ96" i="26"/>
  <c r="V17" i="40"/>
  <c r="O29" i="25"/>
  <c r="BO62" i="25"/>
  <c r="BU91" i="36"/>
  <c r="CK27" i="38"/>
  <c r="AW65" i="41"/>
  <c r="AO34" i="41"/>
  <c r="BP61" i="38"/>
  <c r="AZ26" i="38"/>
  <c r="BR67" i="38"/>
  <c r="BB75" i="1"/>
  <c r="DA102" i="37"/>
  <c r="BB24" i="26"/>
  <c r="CV27" i="39"/>
  <c r="AW60" i="39"/>
  <c r="AC61" i="39"/>
  <c r="BZ50" i="37"/>
  <c r="CH58" i="37"/>
  <c r="BP13" i="38"/>
  <c r="BS24" i="40"/>
  <c r="AW50" i="40"/>
  <c r="CI75" i="26"/>
  <c r="AG48" i="26"/>
  <c r="CC25" i="1"/>
  <c r="DF59" i="40"/>
  <c r="AB18" i="37"/>
  <c r="CT92" i="36"/>
  <c r="CF92" i="26"/>
  <c r="K50" i="40"/>
  <c r="AI45" i="39"/>
  <c r="CY10" i="40"/>
  <c r="DE24" i="36"/>
  <c r="DA60" i="37"/>
  <c r="AM12" i="39"/>
  <c r="CI71" i="40"/>
  <c r="BV92" i="25"/>
  <c r="AR37" i="26"/>
  <c r="Z29" i="1"/>
  <c r="BW57" i="37"/>
  <c r="AY37" i="37"/>
  <c r="AA10" i="38"/>
  <c r="CT60" i="26"/>
  <c r="AD66" i="25"/>
  <c r="G73" i="64"/>
  <c r="CB71" i="26"/>
  <c r="P24" i="38"/>
  <c r="AI58" i="25"/>
  <c r="I75" i="38"/>
  <c r="CN21" i="36"/>
  <c r="CG65" i="1"/>
  <c r="AT89" i="36"/>
  <c r="CZ75" i="26"/>
  <c r="K62" i="41"/>
  <c r="T34" i="25"/>
  <c r="U24" i="26"/>
  <c r="CN13" i="36"/>
  <c r="AR58" i="38"/>
  <c r="CA59" i="38"/>
  <c r="AQ81" i="38"/>
  <c r="U13" i="26"/>
  <c r="AA57" i="26"/>
  <c r="BP61" i="26"/>
  <c r="CN37" i="1"/>
  <c r="BE12" i="26"/>
  <c r="BP67" i="36"/>
  <c r="BE49" i="41"/>
  <c r="AW96" i="40"/>
  <c r="G13" i="64"/>
  <c r="AB25" i="37"/>
  <c r="AB91" i="38"/>
  <c r="BY67" i="41"/>
  <c r="CW45" i="26"/>
  <c r="AM48" i="41"/>
  <c r="CK26" i="38"/>
  <c r="CP50" i="36"/>
  <c r="CR66" i="37"/>
  <c r="AQ91" i="39"/>
  <c r="CP18" i="40"/>
  <c r="CQ81" i="38"/>
  <c r="AT49" i="41"/>
  <c r="BX54" i="25"/>
  <c r="AB89" i="1"/>
  <c r="BQ61" i="38"/>
  <c r="J17" i="40"/>
  <c r="S62" i="38"/>
  <c r="AU71" i="36"/>
  <c r="AH27" i="36"/>
  <c r="X91" i="37"/>
  <c r="BB26" i="1"/>
  <c r="H71" i="26"/>
  <c r="CR49" i="39"/>
  <c r="Z75" i="40"/>
  <c r="N67" i="37"/>
  <c r="AX75" i="39"/>
  <c r="BX25" i="1"/>
  <c r="AZ58" i="25"/>
  <c r="AO50" i="25"/>
  <c r="CR53" i="25"/>
  <c r="DD9" i="39"/>
  <c r="CM12" i="26"/>
  <c r="CR50" i="26"/>
  <c r="BS60" i="1"/>
  <c r="CL24" i="41"/>
  <c r="CX61" i="37"/>
  <c r="M26" i="41"/>
  <c r="CZ75" i="38"/>
  <c r="CR58" i="36"/>
  <c r="CY53" i="26"/>
  <c r="U71" i="25"/>
  <c r="CK81" i="36"/>
  <c r="CO54" i="1"/>
  <c r="BB53" i="39"/>
  <c r="AO71" i="36"/>
  <c r="AP61" i="41"/>
  <c r="AV75" i="26"/>
  <c r="AB75" i="1"/>
  <c r="AJ9" i="40"/>
  <c r="I18" i="46"/>
  <c r="BP27" i="37"/>
  <c r="BS21" i="36"/>
  <c r="BX91" i="1"/>
  <c r="AD9" i="39"/>
  <c r="AZ25" i="26"/>
  <c r="AN26" i="1"/>
  <c r="CR96" i="41"/>
  <c r="S59" i="36"/>
  <c r="CC24" i="25"/>
  <c r="CW18" i="36"/>
  <c r="AI25" i="36"/>
  <c r="BW48" i="38"/>
  <c r="AR102" i="37"/>
  <c r="J45" i="60"/>
  <c r="CX34" i="39"/>
  <c r="AR29" i="41"/>
  <c r="AW18" i="41"/>
  <c r="M92" i="39"/>
  <c r="CW103" i="41"/>
  <c r="DA54" i="39"/>
  <c r="AX34" i="25"/>
  <c r="AN10" i="37"/>
  <c r="AN9" i="25"/>
  <c r="DE37" i="37"/>
  <c r="BI65" i="36"/>
  <c r="CJ58" i="38"/>
  <c r="S98" i="25"/>
  <c r="BB58" i="38"/>
  <c r="AZ12" i="37"/>
  <c r="AR21" i="26"/>
  <c r="CJ49" i="36"/>
  <c r="AR30" i="25"/>
  <c r="BY98" i="25"/>
  <c r="L62" i="39"/>
  <c r="CM49" i="25"/>
  <c r="P37" i="41"/>
  <c r="CV34" i="26"/>
  <c r="AW26" i="40"/>
  <c r="DB102" i="26"/>
  <c r="BU21" i="40"/>
  <c r="CA26" i="37"/>
  <c r="DC30" i="40"/>
  <c r="CM17" i="39"/>
  <c r="DB60" i="37"/>
  <c r="AT12" i="38"/>
  <c r="CY45" i="36"/>
  <c r="U62" i="39"/>
  <c r="CV66" i="40"/>
  <c r="AM96" i="38"/>
  <c r="CE61" i="1"/>
  <c r="AU25" i="40"/>
  <c r="BT96" i="39"/>
  <c r="BC24" i="41"/>
  <c r="CA75" i="38"/>
  <c r="BS57" i="36"/>
  <c r="CT25" i="36"/>
  <c r="AQ59" i="39"/>
  <c r="CS48" i="41"/>
  <c r="AG54" i="1"/>
  <c r="Z30" i="1"/>
  <c r="CT37" i="38"/>
  <c r="AJ96" i="36"/>
  <c r="CK60" i="25"/>
  <c r="DF96" i="26"/>
  <c r="CD21" i="38"/>
  <c r="M70" i="60"/>
  <c r="CN17" i="25"/>
  <c r="CN21" i="41"/>
  <c r="AE75" i="41"/>
  <c r="BY98" i="1"/>
  <c r="DC79" i="36"/>
  <c r="T75" i="39"/>
  <c r="CM79" i="40"/>
  <c r="I25" i="26"/>
  <c r="I84" i="60"/>
  <c r="DE17" i="37"/>
  <c r="AP18" i="25"/>
  <c r="BO59" i="41"/>
  <c r="CK21" i="1"/>
  <c r="BA21" i="36"/>
  <c r="AY91" i="37"/>
  <c r="CD13" i="26"/>
  <c r="BD62" i="26"/>
  <c r="AC98" i="25"/>
  <c r="AE58" i="25"/>
  <c r="CM27" i="37"/>
  <c r="CB37" i="39"/>
  <c r="E19" i="64"/>
  <c r="DD34" i="40"/>
  <c r="BZ75" i="37"/>
  <c r="CW98" i="41"/>
  <c r="AZ307" i="47"/>
  <c r="DF71" i="37"/>
  <c r="CH45" i="25"/>
  <c r="AS10" i="25"/>
  <c r="CO49" i="40"/>
  <c r="BY59" i="36"/>
  <c r="CL21" i="25"/>
  <c r="I26" i="46"/>
  <c r="L48" i="38"/>
  <c r="CC102" i="40"/>
  <c r="CU98" i="26"/>
  <c r="CZ61" i="41"/>
  <c r="J14" i="60"/>
  <c r="CS10" i="41"/>
  <c r="CI61" i="41"/>
  <c r="DA60" i="26"/>
  <c r="BZ30" i="1"/>
  <c r="CE25" i="1"/>
  <c r="AS26" i="36"/>
  <c r="BU75" i="40"/>
  <c r="I48" i="36"/>
  <c r="BA96" i="41"/>
  <c r="I18" i="40"/>
  <c r="CZ34" i="41"/>
  <c r="CO10" i="26"/>
  <c r="BQ71" i="37"/>
  <c r="CR91" i="25"/>
  <c r="V45" i="25"/>
  <c r="AG79" i="37"/>
  <c r="AV37" i="1"/>
  <c r="G83" i="60"/>
  <c r="AM18" i="1"/>
  <c r="DF30" i="26"/>
  <c r="CS34" i="36"/>
  <c r="G34" i="40"/>
  <c r="K30" i="39"/>
  <c r="N24" i="36"/>
  <c r="M57" i="25"/>
  <c r="M71" i="60"/>
  <c r="AM9" i="41"/>
  <c r="DB37" i="25"/>
  <c r="CI81" i="37"/>
  <c r="I21" i="36"/>
  <c r="AD89" i="38"/>
  <c r="CZ91" i="39"/>
  <c r="AR59" i="25"/>
  <c r="BZ50" i="26"/>
  <c r="CV61" i="40"/>
  <c r="AM89" i="26"/>
  <c r="BQ37" i="41"/>
  <c r="AU65" i="40"/>
  <c r="AZ75" i="41"/>
  <c r="AS13" i="1"/>
  <c r="AY118" i="47"/>
  <c r="Y91" i="38"/>
  <c r="AU37" i="36"/>
  <c r="M48" i="26"/>
  <c r="CV96" i="38"/>
  <c r="AN26" i="36"/>
  <c r="CA10" i="41"/>
  <c r="CQ75" i="41"/>
  <c r="O61" i="26"/>
  <c r="L54" i="36"/>
  <c r="BE66" i="40"/>
  <c r="CZ66" i="1"/>
  <c r="CG37" i="36"/>
  <c r="AZ24" i="26"/>
  <c r="BA79" i="39"/>
  <c r="L81" i="36"/>
  <c r="CD54" i="40"/>
  <c r="BY34" i="39"/>
  <c r="CW91" i="36"/>
  <c r="CP54" i="37"/>
  <c r="V58" i="1"/>
  <c r="BC81" i="26"/>
  <c r="BY29" i="39"/>
  <c r="CT58" i="25"/>
  <c r="CN89" i="39"/>
  <c r="AD13" i="40"/>
  <c r="AC25" i="26"/>
  <c r="T59" i="40"/>
  <c r="X9" i="41"/>
  <c r="BA71" i="26"/>
  <c r="P66" i="41"/>
  <c r="AA25" i="38"/>
  <c r="CL13" i="25"/>
  <c r="K48" i="26"/>
  <c r="AY34" i="25"/>
  <c r="CD17" i="26"/>
  <c r="BY75" i="39"/>
  <c r="M29" i="36"/>
  <c r="AT54" i="40"/>
  <c r="AF9" i="36"/>
  <c r="H19" i="64"/>
  <c r="CB54" i="1"/>
  <c r="CE24" i="25"/>
  <c r="BI45" i="1"/>
  <c r="BG105" i="47"/>
  <c r="BA53" i="39"/>
  <c r="P89" i="37"/>
  <c r="CF60" i="26"/>
  <c r="AF29" i="38"/>
  <c r="CC37" i="38"/>
  <c r="BW91" i="1"/>
  <c r="AW58" i="39"/>
  <c r="AH49" i="39"/>
  <c r="AP58" i="1"/>
  <c r="BY96" i="26"/>
  <c r="AF57" i="40"/>
  <c r="AI81" i="25"/>
  <c r="CB12" i="26"/>
  <c r="BI67" i="25"/>
  <c r="X25" i="36"/>
  <c r="G59" i="39"/>
  <c r="AT91" i="38"/>
  <c r="DA50" i="39"/>
  <c r="X89" i="39"/>
  <c r="U50" i="37"/>
  <c r="AE18" i="39"/>
  <c r="AP62" i="1"/>
  <c r="BP54" i="36"/>
  <c r="BC17" i="41"/>
  <c r="S26" i="26"/>
  <c r="P10" i="59"/>
  <c r="CE96" i="38"/>
  <c r="AY61" i="1"/>
  <c r="AU13" i="26"/>
  <c r="CB81" i="36"/>
  <c r="S49" i="1"/>
  <c r="L25" i="26"/>
  <c r="CB60" i="41"/>
  <c r="CA103" i="1"/>
  <c r="CO62" i="36"/>
  <c r="BU98" i="39"/>
  <c r="DD21" i="1"/>
  <c r="U62" i="38"/>
  <c r="AT71" i="36"/>
  <c r="CB27" i="41"/>
  <c r="CL21" i="1"/>
  <c r="Z30" i="25"/>
  <c r="AP48" i="25"/>
  <c r="BI21" i="41"/>
  <c r="BH54" i="25"/>
  <c r="CR30" i="41"/>
  <c r="AZ96" i="38"/>
  <c r="CA25" i="41"/>
  <c r="CU48" i="26"/>
  <c r="BA91" i="37"/>
  <c r="AQ12" i="37"/>
  <c r="AH60" i="37"/>
  <c r="CE53" i="39"/>
  <c r="G13" i="1"/>
  <c r="BH30" i="41"/>
  <c r="CF92" i="39"/>
  <c r="AX26" i="37"/>
  <c r="AH10" i="37"/>
  <c r="BD58" i="25"/>
  <c r="BE66" i="1"/>
  <c r="CB48" i="26"/>
  <c r="E74" i="60"/>
  <c r="BZ50" i="39"/>
  <c r="J81" i="1"/>
  <c r="AW49" i="39"/>
  <c r="AI102" i="1"/>
  <c r="BR61" i="37"/>
  <c r="BP62" i="40"/>
  <c r="DB54" i="26"/>
  <c r="AN62" i="41"/>
  <c r="BP67" i="26"/>
  <c r="H98" i="36"/>
  <c r="CC103" i="1"/>
  <c r="AZ96" i="36"/>
  <c r="BZ30" i="26"/>
  <c r="T45" i="37"/>
  <c r="P102" i="36"/>
  <c r="DC103" i="39"/>
  <c r="BU53" i="36"/>
  <c r="BU25" i="40"/>
  <c r="BR29" i="40"/>
  <c r="DF89" i="26"/>
  <c r="DD29" i="1"/>
  <c r="BZ45" i="25"/>
  <c r="AN13" i="36"/>
  <c r="CZ67" i="1"/>
  <c r="CP91" i="36"/>
  <c r="BD53" i="40"/>
  <c r="DE18" i="39"/>
  <c r="M98" i="36"/>
  <c r="AJ81" i="40"/>
  <c r="BZ17" i="25"/>
  <c r="BC26" i="36"/>
  <c r="AZ53" i="38"/>
  <c r="DF61" i="41"/>
  <c r="DA53" i="37"/>
  <c r="DB91" i="36"/>
  <c r="E35" i="60"/>
  <c r="AY24" i="41"/>
  <c r="N47" i="59"/>
  <c r="BQ29" i="39"/>
  <c r="I15" i="60"/>
  <c r="CI65" i="38"/>
  <c r="BX30" i="1"/>
  <c r="AV10" i="26"/>
  <c r="CX102" i="38"/>
  <c r="CP81" i="39"/>
  <c r="J79" i="36"/>
  <c r="S58" i="40"/>
  <c r="M102" i="1"/>
  <c r="CC61" i="40"/>
  <c r="AM81" i="39"/>
  <c r="AJ27" i="38"/>
  <c r="CR62" i="38"/>
  <c r="CJ61" i="36"/>
  <c r="M61" i="38"/>
  <c r="BB54" i="39"/>
  <c r="BP98" i="39"/>
  <c r="CX34" i="26"/>
  <c r="Z91" i="36"/>
  <c r="AZ65" i="38"/>
  <c r="T67" i="25"/>
  <c r="DE79" i="39"/>
  <c r="K45" i="36"/>
  <c r="CO29" i="25"/>
  <c r="CH58" i="39"/>
  <c r="CQ21" i="40"/>
  <c r="CI54" i="25"/>
  <c r="X65" i="25"/>
  <c r="DF91" i="39"/>
  <c r="BA17" i="39"/>
  <c r="CB37" i="25"/>
  <c r="CC89" i="26"/>
  <c r="I30" i="25"/>
  <c r="I37" i="1"/>
  <c r="CP30" i="41"/>
  <c r="Y49" i="38"/>
  <c r="CB29" i="26"/>
  <c r="BO25" i="37"/>
  <c r="CH103" i="36"/>
  <c r="T34" i="39"/>
  <c r="AW9" i="37"/>
  <c r="L11" i="64"/>
  <c r="CJ62" i="38"/>
  <c r="BS75" i="39"/>
  <c r="CK21" i="25"/>
  <c r="AI102" i="36"/>
  <c r="U37" i="38"/>
  <c r="BV24" i="41"/>
  <c r="S92" i="38"/>
  <c r="Y26" i="26"/>
  <c r="U54" i="25"/>
  <c r="BX48" i="38"/>
  <c r="BR21" i="39"/>
  <c r="CV45" i="36"/>
  <c r="BW81" i="37"/>
  <c r="CL66" i="37"/>
  <c r="Z37" i="25"/>
  <c r="CK27" i="41"/>
  <c r="DC75" i="26"/>
  <c r="AN81" i="38"/>
  <c r="CI9" i="40"/>
  <c r="CR62" i="25"/>
  <c r="AE49" i="38"/>
  <c r="DE92" i="26"/>
  <c r="CB103" i="39"/>
  <c r="CK9" i="39"/>
  <c r="CV27" i="1"/>
  <c r="BB75" i="26"/>
  <c r="CO66" i="38"/>
  <c r="CU45" i="26"/>
  <c r="W66" i="36"/>
  <c r="BO17" i="36"/>
  <c r="BS21" i="39"/>
  <c r="J102" i="37"/>
  <c r="CR10" i="36"/>
  <c r="CY13" i="37"/>
  <c r="CU24" i="1"/>
  <c r="DF103" i="25"/>
  <c r="DD50" i="25"/>
  <c r="AX62" i="36"/>
  <c r="DA59" i="25"/>
  <c r="AW53" i="38"/>
  <c r="CF18" i="39"/>
  <c r="DF60" i="36"/>
  <c r="CE10" i="1"/>
  <c r="K26" i="41"/>
  <c r="V58" i="40"/>
  <c r="CS37" i="1"/>
  <c r="CI58" i="36"/>
  <c r="AJ17" i="38"/>
  <c r="BV62" i="1"/>
  <c r="CH81" i="1"/>
  <c r="L53" i="1"/>
  <c r="AO62" i="36"/>
  <c r="BQ61" i="41"/>
  <c r="T75" i="25"/>
  <c r="AN66" i="39"/>
  <c r="AE79" i="38"/>
  <c r="BZ49" i="36"/>
  <c r="BV71" i="39"/>
  <c r="CM18" i="37"/>
  <c r="AH49" i="1"/>
  <c r="DB27" i="41"/>
  <c r="BG307" i="47"/>
  <c r="BQ89" i="41"/>
  <c r="BD10" i="40"/>
  <c r="G74" i="64"/>
  <c r="BU102" i="41"/>
  <c r="CV81" i="25"/>
  <c r="CO91" i="37"/>
  <c r="DA49" i="1"/>
  <c r="L44" i="59"/>
  <c r="DF17" i="40"/>
  <c r="CK96" i="26"/>
  <c r="AW12" i="36"/>
  <c r="BU48" i="36"/>
  <c r="BD81" i="39"/>
  <c r="AQ58" i="40"/>
  <c r="BE67" i="36"/>
  <c r="BE53" i="39"/>
  <c r="BD312" i="47"/>
  <c r="BT67" i="38"/>
  <c r="DE17" i="25"/>
  <c r="AW48" i="25"/>
  <c r="AD49" i="1"/>
  <c r="CC91" i="26"/>
  <c r="CI67" i="25"/>
  <c r="CI89" i="39"/>
  <c r="BD96" i="41"/>
  <c r="CP26" i="1"/>
  <c r="CA12" i="25"/>
  <c r="BO71" i="1"/>
  <c r="AC61" i="1"/>
  <c r="BR75" i="25"/>
  <c r="U58" i="37"/>
  <c r="BC53" i="40"/>
  <c r="AH9" i="25"/>
  <c r="AU12" i="25"/>
  <c r="BO62" i="1"/>
  <c r="AJ67" i="26"/>
  <c r="CR12" i="37"/>
  <c r="DD18" i="40"/>
  <c r="AE81" i="36"/>
  <c r="BY17" i="40"/>
  <c r="L60" i="38"/>
  <c r="J66" i="25"/>
  <c r="AA54" i="38"/>
  <c r="CR54" i="40"/>
  <c r="CE60" i="1"/>
  <c r="G22" i="60"/>
  <c r="CR96" i="39"/>
  <c r="AW89" i="40"/>
  <c r="CU61" i="38"/>
  <c r="BA67" i="39"/>
  <c r="BX9" i="37"/>
  <c r="CO66" i="36"/>
  <c r="J92" i="38"/>
  <c r="AY50" i="25"/>
  <c r="I71" i="36"/>
  <c r="V91" i="41"/>
  <c r="CG24" i="40"/>
  <c r="BZ30" i="38"/>
  <c r="G67" i="40"/>
  <c r="M26" i="36"/>
  <c r="M69" i="64"/>
  <c r="AP62" i="25"/>
  <c r="CR66" i="1"/>
  <c r="BO12" i="38"/>
  <c r="BB45" i="41"/>
  <c r="AW60" i="38"/>
  <c r="BB81" i="38"/>
  <c r="AG81" i="39"/>
  <c r="BE49" i="38"/>
  <c r="X17" i="36"/>
  <c r="BW60" i="39"/>
  <c r="AA25" i="41"/>
  <c r="Z66" i="1"/>
  <c r="AF50" i="26"/>
  <c r="CG12" i="39"/>
  <c r="AR10" i="1"/>
  <c r="CW48" i="36"/>
  <c r="U27" i="41"/>
  <c r="BC61" i="38"/>
  <c r="N89" i="1"/>
  <c r="BX54" i="1"/>
  <c r="BB53" i="26"/>
  <c r="CB81" i="26"/>
  <c r="BI71" i="39"/>
  <c r="BX57" i="26"/>
  <c r="CR49" i="36"/>
  <c r="DF45" i="40"/>
  <c r="BA54" i="37"/>
  <c r="CX60" i="26"/>
  <c r="BP98" i="40"/>
  <c r="BX96" i="37"/>
  <c r="CM61" i="26"/>
  <c r="CO12" i="41"/>
  <c r="CR17" i="41"/>
  <c r="CI58" i="1"/>
  <c r="BQ96" i="1"/>
  <c r="AE10" i="40"/>
  <c r="AO24" i="26"/>
  <c r="BD71" i="37"/>
  <c r="AP49" i="1"/>
  <c r="BV26" i="36"/>
  <c r="BT58" i="25"/>
  <c r="AZ18" i="40"/>
  <c r="AA48" i="25"/>
  <c r="CP17" i="36"/>
  <c r="AE62" i="1"/>
  <c r="CW30" i="39"/>
  <c r="L34" i="1"/>
  <c r="AO66" i="38"/>
  <c r="CW62" i="25"/>
  <c r="CC71" i="40"/>
  <c r="CE24" i="36"/>
  <c r="CZ45" i="26"/>
  <c r="CH21" i="1"/>
  <c r="P13" i="26"/>
  <c r="AC10" i="39"/>
  <c r="CH98" i="37"/>
  <c r="CZ25" i="26"/>
  <c r="J91" i="37"/>
  <c r="BB92" i="36"/>
  <c r="AI91" i="39"/>
  <c r="AN29" i="40"/>
  <c r="CK102" i="25"/>
  <c r="L75" i="38"/>
  <c r="CF62" i="38"/>
  <c r="AY37" i="40"/>
  <c r="Z91" i="37"/>
  <c r="AB12" i="1"/>
  <c r="AF61" i="40"/>
  <c r="CB13" i="36"/>
  <c r="AS67" i="39"/>
  <c r="AE30" i="40"/>
  <c r="AS9" i="36"/>
  <c r="DB30" i="37"/>
  <c r="CT79" i="37"/>
  <c r="BY13" i="38"/>
  <c r="DD9" i="41"/>
  <c r="DC18" i="1"/>
  <c r="CO98" i="25"/>
  <c r="DA65" i="39"/>
  <c r="CH89" i="25"/>
  <c r="CZ75" i="39"/>
  <c r="BB9" i="26"/>
  <c r="CU57" i="36"/>
  <c r="P49" i="37"/>
  <c r="AV65" i="1"/>
  <c r="BB9" i="39"/>
  <c r="J92" i="25"/>
  <c r="K45" i="25"/>
  <c r="H66" i="39"/>
  <c r="DC57" i="39"/>
  <c r="P60" i="38"/>
  <c r="P79" i="39"/>
  <c r="N71" i="38"/>
  <c r="AC91" i="36"/>
  <c r="AA53" i="26"/>
  <c r="S34" i="37"/>
  <c r="CJ24" i="38"/>
  <c r="CZ21" i="40"/>
  <c r="AX30" i="41"/>
  <c r="CU57" i="41"/>
  <c r="CR24" i="39"/>
  <c r="AI57" i="25"/>
  <c r="CK26" i="37"/>
  <c r="AT102" i="1"/>
  <c r="CA58" i="39"/>
  <c r="AB50" i="25"/>
  <c r="DE98" i="38"/>
  <c r="N89" i="38"/>
  <c r="H71" i="39"/>
  <c r="AM45" i="25"/>
  <c r="L71" i="64"/>
  <c r="AQ96" i="1"/>
  <c r="S62" i="39"/>
  <c r="CC13" i="41"/>
  <c r="DF66" i="36"/>
  <c r="BQ21" i="39"/>
  <c r="CD59" i="36"/>
  <c r="CU60" i="40"/>
  <c r="H10" i="40"/>
  <c r="I58" i="37"/>
  <c r="DE13" i="26"/>
  <c r="BB75" i="41"/>
  <c r="AV58" i="25"/>
  <c r="AE49" i="39"/>
  <c r="BD49" i="40"/>
  <c r="AZ25" i="25"/>
  <c r="AY79" i="36"/>
  <c r="CQ27" i="41"/>
  <c r="H9" i="59"/>
  <c r="AO30" i="39"/>
  <c r="AB37" i="39"/>
  <c r="L75" i="26"/>
  <c r="AN18" i="39"/>
  <c r="CK18" i="25"/>
  <c r="AG67" i="1"/>
  <c r="CL65" i="38"/>
  <c r="P53" i="59"/>
  <c r="BI13" i="26"/>
  <c r="AZ61" i="39"/>
  <c r="AM54" i="26"/>
  <c r="X65" i="39"/>
  <c r="CV89" i="39"/>
  <c r="M50" i="37"/>
  <c r="CX60" i="39"/>
  <c r="I25" i="37"/>
  <c r="CC65" i="39"/>
  <c r="AO30" i="1"/>
  <c r="AC17" i="26"/>
  <c r="BO89" i="26"/>
  <c r="BY53" i="39"/>
  <c r="Z26" i="40"/>
  <c r="AS50" i="25"/>
  <c r="CC48" i="36"/>
  <c r="L91" i="40"/>
  <c r="G29" i="41"/>
  <c r="BC12" i="39"/>
  <c r="AF91" i="1"/>
  <c r="AP91" i="38"/>
  <c r="M92" i="38"/>
  <c r="CS61" i="1"/>
  <c r="J25" i="25"/>
  <c r="CT96" i="39"/>
  <c r="BU45" i="1"/>
  <c r="DA98" i="1"/>
  <c r="CF71" i="36"/>
  <c r="AM91" i="26"/>
  <c r="CD18" i="41"/>
  <c r="T30" i="25"/>
  <c r="S21" i="40"/>
  <c r="I8" i="60"/>
  <c r="CQ67" i="41"/>
  <c r="CC27" i="41"/>
  <c r="BI62" i="38"/>
  <c r="CQ50" i="36"/>
  <c r="CV34" i="25"/>
  <c r="CO79" i="36"/>
  <c r="CG59" i="1"/>
  <c r="AF61" i="41"/>
  <c r="CJ26" i="40"/>
  <c r="L91" i="60"/>
  <c r="CC50" i="37"/>
  <c r="AZ50" i="40"/>
  <c r="I18" i="39"/>
  <c r="BU92" i="39"/>
  <c r="O65" i="40"/>
  <c r="BZ59" i="25"/>
  <c r="M67" i="64"/>
  <c r="AE34" i="1"/>
  <c r="CY66" i="40"/>
  <c r="AW62" i="40"/>
  <c r="CP34" i="25"/>
  <c r="AG53" i="41"/>
  <c r="H50" i="39"/>
  <c r="AZ17" i="39"/>
  <c r="AO96" i="39"/>
  <c r="AF10" i="41"/>
  <c r="CK58" i="37"/>
  <c r="P59" i="25"/>
  <c r="BC53" i="36"/>
  <c r="AM102" i="39"/>
  <c r="N13" i="39"/>
  <c r="AP26" i="39"/>
  <c r="AG60" i="41"/>
  <c r="CW50" i="36"/>
  <c r="AF91" i="40"/>
  <c r="AJ24" i="36"/>
  <c r="AU89" i="38"/>
  <c r="H13" i="40"/>
  <c r="AD57" i="38"/>
  <c r="AE21" i="26"/>
  <c r="BI17" i="40"/>
  <c r="BY25" i="39"/>
  <c r="BB17" i="37"/>
  <c r="AC59" i="1"/>
  <c r="CF61" i="1"/>
  <c r="CP25" i="38"/>
  <c r="AZ67" i="26"/>
  <c r="CM58" i="37"/>
  <c r="N25" i="25"/>
  <c r="J91" i="38"/>
  <c r="AT9" i="26"/>
  <c r="S57" i="25"/>
  <c r="DB27" i="38"/>
  <c r="CE9" i="38"/>
  <c r="DA26" i="1"/>
  <c r="BI79" i="41"/>
  <c r="N79" i="40"/>
  <c r="BS98" i="36"/>
  <c r="CN30" i="41"/>
  <c r="AX71" i="25"/>
  <c r="CS45" i="39"/>
  <c r="AT17" i="39"/>
  <c r="CQ29" i="26"/>
  <c r="AX67" i="40"/>
  <c r="AR18" i="39"/>
  <c r="BW21" i="38"/>
  <c r="CV12" i="40"/>
  <c r="BX79" i="38"/>
  <c r="CI45" i="25"/>
  <c r="CC50" i="40"/>
  <c r="CJ58" i="41"/>
  <c r="BB81" i="1"/>
  <c r="AJ81" i="1"/>
  <c r="BZ98" i="38"/>
  <c r="BY50" i="39"/>
  <c r="CI37" i="41"/>
  <c r="Y10" i="39"/>
  <c r="BW81" i="25"/>
  <c r="BV29" i="1"/>
  <c r="BV26" i="38"/>
  <c r="M71" i="41"/>
  <c r="DD62" i="39"/>
  <c r="CS81" i="38"/>
  <c r="AC67" i="37"/>
  <c r="AG48" i="36"/>
  <c r="AD53" i="26"/>
  <c r="AQ29" i="38"/>
  <c r="CC103" i="38"/>
  <c r="CP21" i="39"/>
  <c r="J67" i="36"/>
  <c r="CB65" i="36"/>
  <c r="CL49" i="39"/>
  <c r="K92" i="25"/>
  <c r="AX61" i="26"/>
  <c r="AR57" i="40"/>
  <c r="AB37" i="1"/>
  <c r="BO25" i="36"/>
  <c r="AP66" i="36"/>
  <c r="CY67" i="1"/>
  <c r="AB50" i="1"/>
  <c r="O59" i="59"/>
  <c r="P49" i="1"/>
  <c r="AD9" i="26"/>
  <c r="T50" i="37"/>
  <c r="CO79" i="26"/>
  <c r="CW26" i="25"/>
  <c r="H25" i="37"/>
  <c r="CS58" i="26"/>
  <c r="AC24" i="39"/>
  <c r="CZ96" i="37"/>
  <c r="AX25" i="37"/>
  <c r="AU79" i="25"/>
  <c r="BX98" i="39"/>
  <c r="U17" i="41"/>
  <c r="O59" i="39"/>
  <c r="AB98" i="26"/>
  <c r="CV67" i="1"/>
  <c r="CT89" i="37"/>
  <c r="AA62" i="1"/>
  <c r="S65" i="26"/>
  <c r="AX102" i="37"/>
  <c r="X91" i="36"/>
  <c r="Z65" i="41"/>
  <c r="DF29" i="38"/>
  <c r="DC62" i="41"/>
  <c r="BA24" i="38"/>
  <c r="BI61" i="41"/>
  <c r="H75" i="64"/>
  <c r="AC10" i="41"/>
  <c r="DC71" i="41"/>
  <c r="O30" i="41"/>
  <c r="CG60" i="1"/>
  <c r="CA58" i="40"/>
  <c r="AP48" i="36"/>
  <c r="AT9" i="38"/>
  <c r="CT103" i="38"/>
  <c r="U10" i="25"/>
  <c r="CW10" i="1"/>
  <c r="DA59" i="36"/>
  <c r="BB66" i="38"/>
  <c r="AZ25" i="39"/>
  <c r="BZ10" i="36"/>
  <c r="AT25" i="36"/>
  <c r="AJ13" i="41"/>
  <c r="BB247" i="47"/>
  <c r="CL21" i="26"/>
  <c r="AF9" i="39"/>
  <c r="CJ53" i="38"/>
  <c r="BD67" i="25"/>
  <c r="CJ91" i="26"/>
  <c r="AI13" i="41"/>
  <c r="CB66" i="41"/>
  <c r="K9" i="37"/>
  <c r="BS81" i="25"/>
  <c r="BC25" i="25"/>
  <c r="BA75" i="1"/>
  <c r="BD48" i="36"/>
  <c r="H45" i="25"/>
  <c r="BY9" i="37"/>
  <c r="CP67" i="26"/>
  <c r="BZ59" i="41"/>
  <c r="CY25" i="39"/>
  <c r="BD29" i="25"/>
  <c r="J26" i="40"/>
  <c r="BW60" i="37"/>
  <c r="H15" i="64"/>
  <c r="AV96" i="26"/>
  <c r="DF54" i="1"/>
  <c r="I20" i="46"/>
  <c r="AZ21" i="39"/>
  <c r="DA58" i="37"/>
  <c r="T30" i="37"/>
  <c r="BI65" i="41"/>
  <c r="DD98" i="38"/>
  <c r="CM96" i="39"/>
  <c r="AD25" i="40"/>
  <c r="AF62" i="39"/>
  <c r="CT50" i="39"/>
  <c r="CH50" i="39"/>
  <c r="O58" i="40"/>
  <c r="CX66" i="39"/>
  <c r="AA60" i="40"/>
  <c r="AT12" i="37"/>
  <c r="N19" i="46"/>
  <c r="AE30" i="25"/>
  <c r="CO18" i="37"/>
  <c r="S27" i="26"/>
  <c r="T58" i="37"/>
  <c r="BR9" i="38"/>
  <c r="BT53" i="36"/>
  <c r="CW50" i="41"/>
  <c r="BA10" i="37"/>
  <c r="CN66" i="41"/>
  <c r="CQ54" i="25"/>
  <c r="AP102" i="1"/>
  <c r="DA54" i="40"/>
  <c r="CM102" i="25"/>
  <c r="G75" i="64"/>
  <c r="X67" i="26"/>
  <c r="CB98" i="39"/>
  <c r="AF10" i="26"/>
  <c r="DE91" i="36"/>
  <c r="Y29" i="26"/>
  <c r="CI81" i="38"/>
  <c r="K89" i="36"/>
  <c r="CX9" i="39"/>
  <c r="CP71" i="25"/>
  <c r="CI25" i="25"/>
  <c r="CE58" i="40"/>
  <c r="Z9" i="25"/>
  <c r="CC12" i="40"/>
  <c r="W89" i="38"/>
  <c r="AV49" i="37"/>
  <c r="BB26" i="37"/>
  <c r="AC13" i="25"/>
  <c r="CW21" i="25"/>
  <c r="CK91" i="39"/>
  <c r="AO79" i="40"/>
  <c r="CH102" i="39"/>
  <c r="U24" i="36"/>
  <c r="CN29" i="26"/>
  <c r="AY98" i="47"/>
  <c r="CX29" i="1"/>
  <c r="CO65" i="36"/>
  <c r="K79" i="39"/>
  <c r="BB61" i="1"/>
  <c r="AV67" i="39"/>
  <c r="AN65" i="37"/>
  <c r="AP67" i="39"/>
  <c r="CQ89" i="40"/>
  <c r="M28" i="59"/>
  <c r="DC67" i="1"/>
  <c r="AU66" i="37"/>
  <c r="AG12" i="41"/>
  <c r="CA61" i="41"/>
  <c r="BX27" i="41"/>
  <c r="AC92" i="25"/>
  <c r="H10" i="41"/>
  <c r="AT26" i="1"/>
  <c r="CL24" i="1"/>
  <c r="AV21" i="25"/>
  <c r="CU25" i="37"/>
  <c r="AF18" i="37"/>
  <c r="AQ27" i="26"/>
  <c r="CH65" i="1"/>
  <c r="AI18" i="37"/>
  <c r="CP25" i="36"/>
  <c r="BU50" i="26"/>
  <c r="CL65" i="36"/>
  <c r="CN50" i="41"/>
  <c r="AN12" i="39"/>
  <c r="AW45" i="38"/>
  <c r="BO75" i="26"/>
  <c r="J12" i="25"/>
  <c r="M48" i="41"/>
  <c r="H34" i="41"/>
  <c r="AH71" i="38"/>
  <c r="CE89" i="1"/>
  <c r="AD34" i="1"/>
  <c r="AQ37" i="39"/>
  <c r="BY17" i="39"/>
  <c r="AM67" i="40"/>
  <c r="BS91" i="40"/>
  <c r="P65" i="25"/>
  <c r="BT58" i="39"/>
  <c r="AX17" i="39"/>
  <c r="I10" i="25"/>
  <c r="CY25" i="38"/>
  <c r="CX67" i="40"/>
  <c r="AO62" i="38"/>
  <c r="CJ27" i="26"/>
  <c r="CA27" i="40"/>
  <c r="BV79" i="36"/>
  <c r="AV65" i="36"/>
  <c r="BD71" i="1"/>
  <c r="CC103" i="25"/>
  <c r="CT21" i="39"/>
  <c r="CS17" i="39"/>
  <c r="V17" i="1"/>
  <c r="CR45" i="38"/>
  <c r="AQ50" i="41"/>
  <c r="BR58" i="36"/>
  <c r="X53" i="41"/>
  <c r="BW89" i="40"/>
  <c r="AQ67" i="36"/>
  <c r="AF60" i="36"/>
  <c r="BU29" i="37"/>
  <c r="DD58" i="37"/>
  <c r="CJ91" i="40"/>
  <c r="O12" i="26"/>
  <c r="CU12" i="37"/>
  <c r="BV10" i="38"/>
  <c r="BO49" i="37"/>
  <c r="BB57" i="38"/>
  <c r="CO57" i="26"/>
  <c r="J14" i="64"/>
  <c r="AN91" i="40"/>
  <c r="BF318" i="47"/>
  <c r="DB61" i="39"/>
  <c r="CK13" i="38"/>
  <c r="DF17" i="1"/>
  <c r="CJ58" i="1"/>
  <c r="U27" i="1"/>
  <c r="AC65" i="1"/>
  <c r="J8" i="64"/>
  <c r="CY65" i="37"/>
  <c r="CM30" i="26"/>
  <c r="AS96" i="38"/>
  <c r="CX57" i="1"/>
  <c r="M92" i="60"/>
  <c r="Z27" i="41"/>
  <c r="BY45" i="1"/>
  <c r="CG58" i="40"/>
  <c r="AV54" i="39"/>
  <c r="AF53" i="26"/>
  <c r="CO91" i="38"/>
  <c r="Z62" i="41"/>
  <c r="AI50" i="38"/>
  <c r="CG96" i="40"/>
  <c r="AZ24" i="39"/>
  <c r="M50" i="26"/>
  <c r="AT58" i="39"/>
  <c r="AE54" i="36"/>
  <c r="BA21" i="26"/>
  <c r="DE103" i="39"/>
  <c r="AY24" i="36"/>
  <c r="BX45" i="26"/>
  <c r="BD27" i="41"/>
  <c r="CS24" i="26"/>
  <c r="CX67" i="41"/>
  <c r="AW102" i="40"/>
  <c r="DB21" i="26"/>
  <c r="AO91" i="1"/>
  <c r="BB61" i="39"/>
  <c r="AU17" i="41"/>
  <c r="CO12" i="1"/>
  <c r="M59" i="59"/>
  <c r="CE67" i="1"/>
  <c r="CP75" i="41"/>
  <c r="BS96" i="26"/>
  <c r="BQ67" i="40"/>
  <c r="BC89" i="36"/>
  <c r="DA45" i="39"/>
  <c r="DC61" i="39"/>
  <c r="DF81" i="25"/>
  <c r="J29" i="40"/>
  <c r="BH62" i="36"/>
  <c r="AN34" i="1"/>
  <c r="M18" i="26"/>
  <c r="CA65" i="39"/>
  <c r="DD48" i="26"/>
  <c r="AZ60" i="38"/>
  <c r="AM48" i="40"/>
  <c r="CU103" i="1"/>
  <c r="K65" i="40"/>
  <c r="CM18" i="40"/>
  <c r="CB10" i="25"/>
  <c r="I96" i="1"/>
  <c r="CD49" i="1"/>
  <c r="BR59" i="38"/>
  <c r="CP24" i="26"/>
  <c r="CN54" i="1"/>
  <c r="BB21" i="40"/>
  <c r="BC61" i="36"/>
  <c r="CO25" i="40"/>
  <c r="N89" i="26"/>
  <c r="AF66" i="25"/>
  <c r="CL26" i="39"/>
  <c r="CI12" i="38"/>
  <c r="BT26" i="37"/>
  <c r="O58" i="36"/>
  <c r="BB45" i="39"/>
  <c r="BO98" i="41"/>
  <c r="BC250" i="47"/>
  <c r="AD67" i="40"/>
  <c r="H37" i="46"/>
  <c r="CT89" i="26"/>
  <c r="AZ89" i="26"/>
  <c r="CN34" i="39"/>
  <c r="CS61" i="41"/>
  <c r="CE53" i="25"/>
  <c r="O29" i="1"/>
  <c r="BB107" i="47"/>
  <c r="DA75" i="25"/>
  <c r="V71" i="41"/>
  <c r="AS49" i="25"/>
  <c r="BE54" i="38"/>
  <c r="BC79" i="1"/>
  <c r="L50" i="36"/>
  <c r="AM29" i="36"/>
  <c r="CM53" i="38"/>
  <c r="K21" i="26"/>
  <c r="DD48" i="37"/>
  <c r="DC9" i="39"/>
  <c r="N98" i="41"/>
  <c r="BC81" i="38"/>
  <c r="CV21" i="36"/>
  <c r="Z67" i="40"/>
  <c r="I45" i="41"/>
  <c r="AQ79" i="37"/>
  <c r="DB59" i="38"/>
  <c r="CE45" i="25"/>
  <c r="V59" i="37"/>
  <c r="BU89" i="39"/>
  <c r="BH102" i="1"/>
  <c r="CK59" i="39"/>
  <c r="K71" i="40"/>
  <c r="AZ60" i="26"/>
  <c r="BR65" i="39"/>
  <c r="T26" i="36"/>
  <c r="DB62" i="40"/>
  <c r="CI81" i="1"/>
  <c r="AU45" i="25"/>
  <c r="CL45" i="39"/>
  <c r="AA67" i="26"/>
  <c r="AI12" i="39"/>
  <c r="AC58" i="36"/>
  <c r="BF106" i="47"/>
  <c r="CF59" i="25"/>
  <c r="U89" i="38"/>
  <c r="CW75" i="40"/>
  <c r="DB48" i="1"/>
  <c r="Z79" i="26"/>
  <c r="Z30" i="37"/>
  <c r="AT98" i="1"/>
  <c r="DC17" i="38"/>
  <c r="CY18" i="41"/>
  <c r="DE34" i="26"/>
  <c r="BT66" i="40"/>
  <c r="BW96" i="1"/>
  <c r="BC92" i="41"/>
  <c r="K9" i="40"/>
  <c r="J66" i="46"/>
  <c r="AN57" i="38"/>
  <c r="BP79" i="26"/>
  <c r="CO45" i="1"/>
  <c r="DF61" i="38"/>
  <c r="H50" i="37"/>
  <c r="H9" i="37"/>
  <c r="Y81" i="41"/>
  <c r="AW96" i="1"/>
  <c r="CP89" i="39"/>
  <c r="AQ91" i="1"/>
  <c r="P98" i="40"/>
  <c r="CU30" i="36"/>
  <c r="CY66" i="37"/>
  <c r="DD67" i="37"/>
  <c r="K57" i="37"/>
  <c r="Y92" i="37"/>
  <c r="AE9" i="1"/>
  <c r="AW57" i="25"/>
  <c r="CA103" i="41"/>
  <c r="AI91" i="1"/>
  <c r="V18" i="25"/>
  <c r="BU13" i="37"/>
  <c r="BS58" i="40"/>
  <c r="CS65" i="40"/>
  <c r="AB48" i="1"/>
  <c r="DB27" i="36"/>
  <c r="CX37" i="26"/>
  <c r="CW65" i="39"/>
  <c r="BA58" i="36"/>
  <c r="AI24" i="1"/>
  <c r="BR92" i="1"/>
  <c r="AW45" i="1"/>
  <c r="CU26" i="38"/>
  <c r="O96" i="37"/>
  <c r="CJ102" i="38"/>
  <c r="CW57" i="26"/>
  <c r="AW62" i="37"/>
  <c r="CX30" i="39"/>
  <c r="AH75" i="25"/>
  <c r="AV26" i="1"/>
  <c r="DF50" i="37"/>
  <c r="BQ57" i="37"/>
  <c r="CB34" i="36"/>
  <c r="CG71" i="26"/>
  <c r="CL54" i="36"/>
  <c r="BO29" i="26"/>
  <c r="BU81" i="36"/>
  <c r="X91" i="1"/>
  <c r="CC60" i="1"/>
  <c r="CZ18" i="36"/>
  <c r="J9" i="64"/>
  <c r="BD58" i="37"/>
  <c r="AT58" i="36"/>
  <c r="BI34" i="25"/>
  <c r="AS79" i="37"/>
  <c r="CV102" i="41"/>
  <c r="BC59" i="41"/>
  <c r="CE102" i="37"/>
  <c r="DE21" i="39"/>
  <c r="BC129" i="47"/>
  <c r="CB91" i="1"/>
  <c r="BH59" i="1"/>
  <c r="CI10" i="41"/>
  <c r="Y29" i="25"/>
  <c r="BE316" i="47"/>
  <c r="DE54" i="40"/>
  <c r="CN96" i="26"/>
  <c r="G13" i="38"/>
  <c r="AP61" i="39"/>
  <c r="BE89" i="38"/>
  <c r="N66" i="1"/>
  <c r="CM61" i="1"/>
  <c r="BX91" i="37"/>
  <c r="BD13" i="40"/>
  <c r="U25" i="38"/>
  <c r="X48" i="26"/>
  <c r="BS81" i="39"/>
  <c r="CC21" i="38"/>
  <c r="DC79" i="25"/>
  <c r="BB13" i="37"/>
  <c r="AV89" i="38"/>
  <c r="Y21" i="25"/>
  <c r="CT67" i="36"/>
  <c r="CX62" i="41"/>
  <c r="AH66" i="38"/>
  <c r="U50" i="26"/>
  <c r="CD60" i="25"/>
  <c r="AJ91" i="39"/>
  <c r="BR54" i="1"/>
  <c r="AT45" i="25"/>
  <c r="AE81" i="26"/>
  <c r="CD92" i="25"/>
  <c r="CK18" i="38"/>
  <c r="CM27" i="25"/>
  <c r="CA34" i="25"/>
  <c r="CI48" i="37"/>
  <c r="BE98" i="38"/>
  <c r="BI24" i="26"/>
  <c r="CF96" i="38"/>
  <c r="CY48" i="40"/>
  <c r="G91" i="37"/>
  <c r="AP49" i="26"/>
  <c r="CR50" i="36"/>
  <c r="BO18" i="25"/>
  <c r="U50" i="39"/>
  <c r="BP21" i="38"/>
  <c r="P48" i="26"/>
  <c r="AN59" i="26"/>
  <c r="CD25" i="40"/>
  <c r="K81" i="36"/>
  <c r="K67" i="1"/>
  <c r="J54" i="25"/>
  <c r="S24" i="1"/>
  <c r="DF91" i="26"/>
  <c r="BW45" i="1"/>
  <c r="CE17" i="39"/>
  <c r="AJ9" i="26"/>
  <c r="AB62" i="36"/>
  <c r="BR13" i="39"/>
  <c r="AA65" i="37"/>
  <c r="CB79" i="40"/>
  <c r="BY57" i="26"/>
  <c r="CW81" i="26"/>
  <c r="L27" i="36"/>
  <c r="AD92" i="1"/>
  <c r="AG102" i="40"/>
  <c r="CQ21" i="38"/>
  <c r="CP9" i="1"/>
  <c r="Y75" i="26"/>
  <c r="BA316" i="47"/>
  <c r="CL57" i="26"/>
  <c r="CJ34" i="37"/>
  <c r="DD17" i="25"/>
  <c r="CJ91" i="1"/>
  <c r="X53" i="36"/>
  <c r="CF9" i="37"/>
  <c r="AD27" i="36"/>
  <c r="S26" i="25"/>
  <c r="CN50" i="38"/>
  <c r="AY79" i="1"/>
  <c r="AC59" i="41"/>
  <c r="CE21" i="39"/>
  <c r="AI25" i="40"/>
  <c r="I67" i="25"/>
  <c r="AM29" i="39"/>
  <c r="BO59" i="40"/>
  <c r="CH13" i="39"/>
  <c r="P66" i="38"/>
  <c r="CO67" i="26"/>
  <c r="CV54" i="37"/>
  <c r="DA50" i="41"/>
  <c r="BF102" i="47"/>
  <c r="P92" i="37"/>
  <c r="BZ24" i="37"/>
  <c r="BE25" i="1"/>
  <c r="M62" i="36"/>
  <c r="AF60" i="40"/>
  <c r="O10" i="59"/>
  <c r="AT75" i="40"/>
  <c r="BD25" i="38"/>
  <c r="AB75" i="41"/>
  <c r="H53" i="40"/>
  <c r="AN45" i="41"/>
  <c r="J79" i="38"/>
  <c r="W79" i="40"/>
  <c r="AQ61" i="38"/>
  <c r="AH18" i="25"/>
  <c r="BT65" i="39"/>
  <c r="BU89" i="36"/>
  <c r="K81" i="25"/>
  <c r="AG75" i="39"/>
  <c r="AS26" i="39"/>
  <c r="S34" i="40"/>
  <c r="BI67" i="38"/>
  <c r="CT21" i="37"/>
  <c r="AD50" i="40"/>
  <c r="AQ81" i="36"/>
  <c r="AA92" i="37"/>
  <c r="K66" i="38"/>
  <c r="K59" i="60"/>
  <c r="BQ13" i="25"/>
  <c r="CA48" i="1"/>
  <c r="AR75" i="41"/>
  <c r="BX92" i="36"/>
  <c r="BC30" i="39"/>
  <c r="BW75" i="25"/>
  <c r="CW26" i="38"/>
  <c r="N53" i="26"/>
  <c r="CT57" i="1"/>
  <c r="AE61" i="41"/>
  <c r="BH9" i="36"/>
  <c r="CS17" i="36"/>
  <c r="BR103" i="38"/>
  <c r="AF98" i="40"/>
  <c r="I91" i="40"/>
  <c r="CE37" i="25"/>
  <c r="AM89" i="1"/>
  <c r="P79" i="1"/>
  <c r="X57" i="40"/>
  <c r="DF92" i="37"/>
  <c r="M81" i="37"/>
  <c r="AI24" i="26"/>
  <c r="CY49" i="36"/>
  <c r="H59" i="39"/>
  <c r="CP66" i="37"/>
  <c r="I48" i="26"/>
  <c r="CC29" i="1"/>
  <c r="P24" i="36"/>
  <c r="DB37" i="26"/>
  <c r="BX102" i="39"/>
  <c r="CI21" i="41"/>
  <c r="AG98" i="36"/>
  <c r="DA91" i="25"/>
  <c r="CG12" i="37"/>
  <c r="AJ65" i="1"/>
  <c r="DA67" i="40"/>
  <c r="CF57" i="1"/>
  <c r="BX27" i="37"/>
  <c r="DF12" i="1"/>
  <c r="AF13" i="26"/>
  <c r="CO17" i="39"/>
  <c r="AA29" i="26"/>
  <c r="G27" i="37"/>
  <c r="H79" i="25"/>
  <c r="BD91" i="41"/>
  <c r="AC62" i="36"/>
  <c r="CT59" i="40"/>
  <c r="AG89" i="25"/>
  <c r="T17" i="26"/>
  <c r="O26" i="41"/>
  <c r="BT49" i="39"/>
  <c r="G24" i="38"/>
  <c r="BD92" i="26"/>
  <c r="BI61" i="25"/>
  <c r="CE29" i="26"/>
  <c r="AI58" i="36"/>
  <c r="AA12" i="38"/>
  <c r="CR79" i="37"/>
  <c r="BO79" i="39"/>
  <c r="CR37" i="36"/>
  <c r="BD79" i="26"/>
  <c r="M89" i="41"/>
  <c r="CV29" i="38"/>
  <c r="BD67" i="1"/>
  <c r="AF92" i="36"/>
  <c r="G27" i="41"/>
  <c r="W34" i="37"/>
  <c r="BT29" i="41"/>
  <c r="AC75" i="37"/>
  <c r="BZ102" i="37"/>
  <c r="W61" i="25"/>
  <c r="BZ71" i="41"/>
  <c r="Z75" i="38"/>
  <c r="CK54" i="41"/>
  <c r="CL45" i="40"/>
  <c r="AV67" i="25"/>
  <c r="BE9" i="39"/>
  <c r="AT10" i="25"/>
  <c r="AR58" i="25"/>
  <c r="P61" i="37"/>
  <c r="G33" i="60"/>
  <c r="CV60" i="40"/>
  <c r="W21" i="40"/>
  <c r="M26" i="26"/>
  <c r="CX26" i="38"/>
  <c r="AF53" i="41"/>
  <c r="DF30" i="37"/>
  <c r="AY21" i="26"/>
  <c r="AM98" i="26"/>
  <c r="CH34" i="37"/>
  <c r="CQ50" i="38"/>
  <c r="P67" i="1"/>
  <c r="AX79" i="26"/>
  <c r="AI98" i="40"/>
  <c r="CN98" i="38"/>
  <c r="CC45" i="41"/>
  <c r="CE49" i="41"/>
  <c r="M96" i="39"/>
  <c r="S65" i="39"/>
  <c r="U65" i="40"/>
  <c r="AY25" i="38"/>
  <c r="AJ10" i="38"/>
  <c r="AY37" i="39"/>
  <c r="K61" i="37"/>
  <c r="AS62" i="26"/>
  <c r="AJ26" i="1"/>
  <c r="AQ91" i="41"/>
  <c r="CC48" i="26"/>
  <c r="DB98" i="1"/>
  <c r="O79" i="25"/>
  <c r="W30" i="1"/>
  <c r="BY89" i="1"/>
  <c r="AZ37" i="1"/>
  <c r="CZ10" i="25"/>
  <c r="DF98" i="36"/>
  <c r="BT89" i="25"/>
  <c r="O34" i="39"/>
  <c r="CW62" i="26"/>
  <c r="AD18" i="36"/>
  <c r="CH26" i="26"/>
  <c r="CJ66" i="40"/>
  <c r="CH89" i="36"/>
  <c r="BC48" i="41"/>
  <c r="CR48" i="1"/>
  <c r="CV21" i="26"/>
  <c r="L50" i="37"/>
  <c r="CC59" i="26"/>
  <c r="BR53" i="41"/>
  <c r="N24" i="38"/>
  <c r="CE29" i="40"/>
  <c r="BU57" i="40"/>
  <c r="AX26" i="41"/>
  <c r="CD24" i="39"/>
  <c r="DE71" i="38"/>
  <c r="Z59" i="26"/>
  <c r="BZ29" i="36"/>
  <c r="N91" i="36"/>
  <c r="BI25" i="40"/>
  <c r="BX29" i="39"/>
  <c r="BW27" i="25"/>
  <c r="CD71" i="36"/>
  <c r="J17" i="46"/>
  <c r="CK62" i="25"/>
  <c r="CR37" i="40"/>
  <c r="AW91" i="36"/>
  <c r="CV92" i="40"/>
  <c r="AJ37" i="41"/>
  <c r="AB89" i="40"/>
  <c r="M34" i="37"/>
  <c r="AT21" i="39"/>
  <c r="T34" i="38"/>
  <c r="BX89" i="25"/>
  <c r="AF71" i="36"/>
  <c r="AO67" i="39"/>
  <c r="AI58" i="39"/>
  <c r="DA13" i="25"/>
  <c r="CE30" i="36"/>
  <c r="CV61" i="25"/>
  <c r="AR81" i="38"/>
  <c r="BV59" i="41"/>
  <c r="F49" i="60"/>
  <c r="AR92" i="41"/>
  <c r="H9" i="40"/>
  <c r="AJ61" i="1"/>
  <c r="AV24" i="41"/>
  <c r="S37" i="36"/>
  <c r="AF71" i="40"/>
  <c r="H21" i="25"/>
  <c r="BP13" i="25"/>
  <c r="CL61" i="38"/>
  <c r="CR29" i="41"/>
  <c r="DA45" i="1"/>
  <c r="AQ92" i="37"/>
  <c r="AO12" i="37"/>
  <c r="CY67" i="39"/>
  <c r="DA25" i="41"/>
  <c r="BE61" i="25"/>
  <c r="BT66" i="37"/>
  <c r="AE61" i="37"/>
  <c r="AD17" i="37"/>
  <c r="CI91" i="25"/>
  <c r="AP91" i="1"/>
  <c r="BO21" i="26"/>
  <c r="BY61" i="38"/>
  <c r="BX45" i="1"/>
  <c r="CU30" i="37"/>
  <c r="M67" i="1"/>
  <c r="L50" i="59"/>
  <c r="BT48" i="1"/>
  <c r="BD61" i="41"/>
  <c r="BZ58" i="1"/>
  <c r="CW96" i="39"/>
  <c r="AE21" i="1"/>
  <c r="AX9" i="38"/>
  <c r="AG71" i="40"/>
  <c r="BW24" i="26"/>
  <c r="CV65" i="38"/>
  <c r="DE37" i="25"/>
  <c r="CI30" i="40"/>
  <c r="BD81" i="36"/>
  <c r="DF24" i="37"/>
  <c r="BY30" i="38"/>
  <c r="P66" i="36"/>
  <c r="O53" i="1"/>
  <c r="DC98" i="26"/>
  <c r="AF98" i="26"/>
  <c r="AI66" i="41"/>
  <c r="AN71" i="1"/>
  <c r="U24" i="38"/>
  <c r="L30" i="36"/>
  <c r="AU81" i="40"/>
  <c r="CY79" i="1"/>
  <c r="AN65" i="25"/>
  <c r="E13" i="60"/>
  <c r="DA65" i="37"/>
  <c r="AI60" i="40"/>
  <c r="CH18" i="36"/>
  <c r="AX17" i="25"/>
  <c r="CJ17" i="37"/>
  <c r="AY17" i="40"/>
  <c r="V81" i="36"/>
  <c r="CA67" i="26"/>
  <c r="AE24" i="41"/>
  <c r="CR59" i="40"/>
  <c r="BR81" i="1"/>
  <c r="BU57" i="37"/>
  <c r="BO29" i="37"/>
  <c r="CD26" i="36"/>
  <c r="BY79" i="41"/>
  <c r="CA18" i="25"/>
  <c r="CH50" i="38"/>
  <c r="AY312" i="47"/>
  <c r="AF89" i="39"/>
  <c r="DD26" i="1"/>
  <c r="BP24" i="39"/>
  <c r="BC10" i="36"/>
  <c r="AT67" i="36"/>
  <c r="CL10" i="36"/>
  <c r="AV37" i="25"/>
  <c r="CR34" i="36"/>
  <c r="BE81" i="1"/>
  <c r="AR54" i="25"/>
  <c r="CY21" i="26"/>
  <c r="BC65" i="40"/>
  <c r="K50" i="59"/>
  <c r="CO60" i="37"/>
  <c r="CF89" i="36"/>
  <c r="U10" i="26"/>
  <c r="DD21" i="25"/>
  <c r="CP34" i="41"/>
  <c r="Z24" i="41"/>
  <c r="W25" i="26"/>
  <c r="G58" i="38"/>
  <c r="BR65" i="36"/>
  <c r="BV18" i="41"/>
  <c r="AW17" i="41"/>
  <c r="AJ50" i="26"/>
  <c r="S12" i="39"/>
  <c r="CT30" i="41"/>
  <c r="CM67" i="41"/>
  <c r="CO62" i="38"/>
  <c r="BU53" i="39"/>
  <c r="CP91" i="37"/>
  <c r="V45" i="36"/>
  <c r="U71" i="38"/>
  <c r="CZ29" i="1"/>
  <c r="AA9" i="1"/>
  <c r="AG27" i="26"/>
  <c r="CP27" i="26"/>
  <c r="BX53" i="40"/>
  <c r="CF24" i="37"/>
  <c r="P48" i="38"/>
  <c r="CU81" i="26"/>
  <c r="DF61" i="26"/>
  <c r="BR27" i="37"/>
  <c r="M75" i="37"/>
  <c r="CL66" i="1"/>
  <c r="L102" i="1"/>
  <c r="CT37" i="41"/>
  <c r="BT65" i="40"/>
  <c r="O18" i="36"/>
  <c r="CJ26" i="25"/>
  <c r="CU27" i="25"/>
  <c r="CZ79" i="39"/>
  <c r="G75" i="1"/>
  <c r="AM60" i="1"/>
  <c r="BR65" i="1"/>
  <c r="AB10" i="25"/>
  <c r="AI67" i="38"/>
  <c r="AQ17" i="37"/>
  <c r="BO24" i="1"/>
  <c r="AS9" i="25"/>
  <c r="DF25" i="38"/>
  <c r="L21" i="40"/>
  <c r="CS79" i="36"/>
  <c r="CL49" i="1"/>
  <c r="CC49" i="26"/>
  <c r="AX25" i="40"/>
  <c r="J50" i="46"/>
  <c r="CR67" i="40"/>
  <c r="CN98" i="36"/>
  <c r="BB66" i="1"/>
  <c r="DE75" i="40"/>
  <c r="BW18" i="40"/>
  <c r="CD10" i="41"/>
  <c r="CH24" i="37"/>
  <c r="AJ96" i="37"/>
  <c r="AM18" i="40"/>
  <c r="BC12" i="25"/>
  <c r="CR62" i="41"/>
  <c r="CE48" i="40"/>
  <c r="AI29" i="40"/>
  <c r="CK102" i="37"/>
  <c r="BZ9" i="25"/>
  <c r="AW21" i="26"/>
  <c r="BE75" i="37"/>
  <c r="CX9" i="25"/>
  <c r="AP17" i="26"/>
  <c r="O57" i="39"/>
  <c r="CU59" i="25"/>
  <c r="BP96" i="36"/>
  <c r="AS12" i="38"/>
  <c r="BU53" i="41"/>
  <c r="W18" i="39"/>
  <c r="BR17" i="41"/>
  <c r="AO81" i="39"/>
  <c r="BO29" i="1"/>
  <c r="CE10" i="26"/>
  <c r="CA37" i="25"/>
  <c r="BX10" i="1"/>
  <c r="DA10" i="26"/>
  <c r="AS37" i="41"/>
  <c r="H37" i="38"/>
  <c r="AG102" i="36"/>
  <c r="BR57" i="40"/>
  <c r="CW65" i="25"/>
  <c r="BX79" i="40"/>
  <c r="CK62" i="38"/>
  <c r="O53" i="25"/>
  <c r="BC61" i="37"/>
  <c r="BZ103" i="40"/>
  <c r="AS59" i="41"/>
  <c r="CV103" i="38"/>
  <c r="BY103" i="1"/>
  <c r="BZ65" i="39"/>
  <c r="CI89" i="36"/>
  <c r="BU48" i="37"/>
  <c r="S29" i="1"/>
  <c r="DA50" i="37"/>
  <c r="BI54" i="37"/>
  <c r="BI45" i="41"/>
  <c r="AG17" i="39"/>
  <c r="I14" i="64"/>
  <c r="DA57" i="39"/>
  <c r="DA13" i="40"/>
  <c r="AX27" i="36"/>
  <c r="AE48" i="41"/>
  <c r="AU50" i="40"/>
  <c r="J59" i="39"/>
  <c r="N37" i="41"/>
  <c r="CE57" i="39"/>
  <c r="AZ128" i="47"/>
  <c r="CE57" i="40"/>
  <c r="BW96" i="36"/>
  <c r="CT60" i="38"/>
  <c r="Y50" i="25"/>
  <c r="O13" i="1"/>
  <c r="BT34" i="41"/>
  <c r="BO57" i="39"/>
  <c r="AJ62" i="36"/>
  <c r="N49" i="38"/>
  <c r="CW61" i="36"/>
  <c r="CR92" i="40"/>
  <c r="DD92" i="1"/>
  <c r="BV103" i="40"/>
  <c r="BS65" i="36"/>
  <c r="BZ50" i="38"/>
  <c r="G91" i="38"/>
  <c r="L102" i="37"/>
  <c r="BT48" i="26"/>
  <c r="BW45" i="25"/>
  <c r="AP12" i="1"/>
  <c r="BW48" i="41"/>
  <c r="BB49" i="39"/>
  <c r="AS27" i="40"/>
  <c r="AY79" i="39"/>
  <c r="BB96" i="26"/>
  <c r="S61" i="36"/>
  <c r="BS21" i="40"/>
  <c r="AM60" i="37"/>
  <c r="AJ89" i="36"/>
  <c r="M61" i="41"/>
  <c r="AB34" i="37"/>
  <c r="DA62" i="25"/>
  <c r="DC29" i="38"/>
  <c r="CH25" i="36"/>
  <c r="CU27" i="40"/>
  <c r="DB18" i="26"/>
  <c r="BQ50" i="36"/>
  <c r="AO62" i="26"/>
  <c r="AP18" i="41"/>
  <c r="BT65" i="1"/>
  <c r="CO9" i="38"/>
  <c r="AY62" i="39"/>
  <c r="K45" i="40"/>
  <c r="BE9" i="40"/>
  <c r="Y21" i="38"/>
  <c r="CP29" i="39"/>
  <c r="CZ96" i="38"/>
  <c r="I53" i="40"/>
  <c r="CE13" i="38"/>
  <c r="BU102" i="1"/>
  <c r="AY49" i="37"/>
  <c r="CC59" i="39"/>
  <c r="K19" i="64"/>
  <c r="BB24" i="39"/>
  <c r="AS34" i="39"/>
  <c r="CR58" i="1"/>
  <c r="BH30" i="37"/>
  <c r="CP98" i="38"/>
  <c r="CF96" i="37"/>
  <c r="BU65" i="37"/>
  <c r="DE30" i="37"/>
  <c r="AY66" i="37"/>
  <c r="CY61" i="38"/>
  <c r="CL92" i="39"/>
  <c r="CW26" i="36"/>
  <c r="CH71" i="1"/>
  <c r="AM98" i="39"/>
  <c r="H10" i="26"/>
  <c r="BZ57" i="1"/>
  <c r="BB26" i="40"/>
  <c r="AP66" i="39"/>
  <c r="BE79" i="40"/>
  <c r="CM92" i="1"/>
  <c r="BR26" i="37"/>
  <c r="AN61" i="25"/>
  <c r="I29" i="40"/>
  <c r="J27" i="37"/>
  <c r="BY49" i="26"/>
  <c r="CW60" i="39"/>
  <c r="CR25" i="41"/>
  <c r="H102" i="25"/>
  <c r="CB24" i="41"/>
  <c r="AU37" i="26"/>
  <c r="AP27" i="39"/>
  <c r="AC53" i="38"/>
  <c r="O92" i="25"/>
  <c r="U49" i="26"/>
  <c r="AZ118" i="47"/>
  <c r="BZ53" i="39"/>
  <c r="BS103" i="39"/>
  <c r="CF89" i="25"/>
  <c r="CV81" i="1"/>
  <c r="CK96" i="40"/>
  <c r="BE92" i="37"/>
  <c r="L65" i="25"/>
  <c r="CH102" i="26"/>
  <c r="CU26" i="36"/>
  <c r="N59" i="26"/>
  <c r="CN21" i="26"/>
  <c r="AO12" i="26"/>
  <c r="M62" i="26"/>
  <c r="BY25" i="40"/>
  <c r="Z12" i="37"/>
  <c r="AQ66" i="1"/>
  <c r="CS50" i="38"/>
  <c r="CQ103" i="1"/>
  <c r="BB18" i="26"/>
  <c r="AI81" i="41"/>
  <c r="BT25" i="38"/>
  <c r="BD58" i="40"/>
  <c r="V59" i="39"/>
  <c r="CF18" i="36"/>
  <c r="G91" i="40"/>
  <c r="BO67" i="26"/>
  <c r="BW66" i="40"/>
  <c r="AM91" i="37"/>
  <c r="DD45" i="36"/>
  <c r="BE59" i="38"/>
  <c r="BE29" i="40"/>
  <c r="CK71" i="40"/>
  <c r="AV98" i="36"/>
  <c r="AY67" i="41"/>
  <c r="H71" i="41"/>
  <c r="BY45" i="25"/>
  <c r="BW89" i="41"/>
  <c r="BO61" i="37"/>
  <c r="CP103" i="40"/>
  <c r="BP71" i="40"/>
  <c r="CM58" i="38"/>
  <c r="CV96" i="25"/>
  <c r="BZ79" i="36"/>
  <c r="DE98" i="26"/>
  <c r="AN13" i="40"/>
  <c r="AZ45" i="1"/>
  <c r="BB21" i="39"/>
  <c r="BH89" i="41"/>
  <c r="BX12" i="37"/>
  <c r="P50" i="37"/>
  <c r="BU102" i="25"/>
  <c r="BU59" i="37"/>
  <c r="CW45" i="39"/>
  <c r="M12" i="36"/>
  <c r="DC13" i="40"/>
  <c r="F6" i="60"/>
  <c r="BI25" i="41"/>
  <c r="CY79" i="40"/>
  <c r="BB50" i="39"/>
  <c r="BT66" i="26"/>
  <c r="AB48" i="25"/>
  <c r="AX21" i="39"/>
  <c r="CA21" i="38"/>
  <c r="CL50" i="40"/>
  <c r="W26" i="25"/>
  <c r="AU10" i="25"/>
  <c r="AS66" i="26"/>
  <c r="AR102" i="1"/>
  <c r="CP25" i="1"/>
  <c r="AG24" i="40"/>
  <c r="AA26" i="1"/>
  <c r="AD21" i="40"/>
  <c r="CZ50" i="36"/>
  <c r="BD30" i="39"/>
  <c r="CM75" i="40"/>
  <c r="U65" i="25"/>
  <c r="DF71" i="38"/>
  <c r="AT91" i="1"/>
  <c r="CJ25" i="41"/>
  <c r="CI98" i="26"/>
  <c r="AA102" i="37"/>
  <c r="S13" i="25"/>
  <c r="G19" i="64"/>
  <c r="P27" i="40"/>
  <c r="AT53" i="25"/>
  <c r="BI54" i="39"/>
  <c r="W21" i="41"/>
  <c r="DD103" i="25"/>
  <c r="AH13" i="38"/>
  <c r="AP17" i="41"/>
  <c r="BW17" i="38"/>
  <c r="AR25" i="26"/>
  <c r="CR48" i="36"/>
  <c r="CY59" i="41"/>
  <c r="AC12" i="26"/>
  <c r="CU30" i="26"/>
  <c r="CF18" i="41"/>
  <c r="CZ26" i="40"/>
  <c r="V65" i="41"/>
  <c r="T62" i="25"/>
  <c r="CH13" i="36"/>
  <c r="AO48" i="36"/>
  <c r="CN81" i="37"/>
  <c r="AA24" i="40"/>
  <c r="CF60" i="41"/>
  <c r="AW65" i="40"/>
  <c r="DD54" i="39"/>
  <c r="CA60" i="36"/>
  <c r="BU103" i="1"/>
  <c r="M59" i="25"/>
  <c r="CL48" i="1"/>
  <c r="CP27" i="36"/>
  <c r="AN12" i="36"/>
  <c r="CP50" i="41"/>
  <c r="S98" i="37"/>
  <c r="BI89" i="25"/>
  <c r="AW91" i="1"/>
  <c r="AN89" i="25"/>
  <c r="CE10" i="41"/>
  <c r="CA81" i="41"/>
  <c r="AG45" i="26"/>
  <c r="BE13" i="37"/>
  <c r="BQ57" i="38"/>
  <c r="AU62" i="26"/>
  <c r="Z61" i="38"/>
  <c r="AS24" i="37"/>
  <c r="AY9" i="37"/>
  <c r="CV65" i="36"/>
  <c r="CY67" i="40"/>
  <c r="CY29" i="1"/>
  <c r="BW71" i="26"/>
  <c r="CR75" i="26"/>
  <c r="CJ17" i="25"/>
  <c r="DA21" i="41"/>
  <c r="CT24" i="25"/>
  <c r="G81" i="25"/>
  <c r="T12" i="40"/>
  <c r="AE62" i="38"/>
  <c r="AC89" i="36"/>
  <c r="CE30" i="40"/>
  <c r="BU59" i="41"/>
  <c r="AJ21" i="37"/>
  <c r="S58" i="25"/>
  <c r="CS12" i="41"/>
  <c r="CR27" i="38"/>
  <c r="CH13" i="26"/>
  <c r="DB17" i="36"/>
  <c r="BW102" i="40"/>
  <c r="CO59" i="37"/>
  <c r="BH34" i="38"/>
  <c r="CM37" i="41"/>
  <c r="CZ98" i="25"/>
  <c r="BH37" i="41"/>
  <c r="CX53" i="40"/>
  <c r="AX29" i="37"/>
  <c r="CQ65" i="26"/>
  <c r="BU89" i="1"/>
  <c r="BP48" i="25"/>
  <c r="AS17" i="37"/>
  <c r="K72" i="60"/>
  <c r="CO59" i="39"/>
  <c r="CS9" i="38"/>
  <c r="BF128" i="47"/>
  <c r="CL66" i="39"/>
  <c r="O27" i="25"/>
  <c r="BC45" i="38"/>
  <c r="L74" i="64"/>
  <c r="I66" i="1"/>
  <c r="BI65" i="39"/>
  <c r="CC49" i="36"/>
  <c r="DF71" i="39"/>
  <c r="AP75" i="41"/>
  <c r="AI25" i="26"/>
  <c r="P29" i="26"/>
  <c r="AT30" i="25"/>
  <c r="G76" i="60"/>
  <c r="N62" i="1"/>
  <c r="CA48" i="39"/>
  <c r="L12" i="64"/>
  <c r="BZ34" i="36"/>
  <c r="AS66" i="36"/>
  <c r="CZ102" i="36"/>
  <c r="DC89" i="38"/>
  <c r="CX12" i="36"/>
  <c r="DA103" i="25"/>
  <c r="BV27" i="1"/>
  <c r="AM57" i="26"/>
  <c r="CB66" i="38"/>
  <c r="CT45" i="41"/>
  <c r="CK10" i="25"/>
  <c r="CN60" i="36"/>
  <c r="AU81" i="38"/>
  <c r="AD65" i="39"/>
  <c r="AI71" i="25"/>
  <c r="CA24" i="40"/>
  <c r="X53" i="1"/>
  <c r="BA96" i="36"/>
  <c r="AC58" i="37"/>
  <c r="S102" i="37"/>
  <c r="Z34" i="25"/>
  <c r="G10" i="37"/>
  <c r="CK65" i="41"/>
  <c r="DF37" i="39"/>
  <c r="CU79" i="39"/>
  <c r="CF71" i="37"/>
  <c r="AH50" i="37"/>
  <c r="BD75" i="41"/>
  <c r="BW65" i="25"/>
  <c r="AE57" i="25"/>
  <c r="AG50" i="38"/>
  <c r="CA103" i="38"/>
  <c r="CR21" i="25"/>
  <c r="K30" i="1"/>
  <c r="AE91" i="26"/>
  <c r="CI13" i="26"/>
  <c r="U53" i="41"/>
  <c r="AW9" i="38"/>
  <c r="J10" i="39"/>
  <c r="CG12" i="38"/>
  <c r="CH57" i="37"/>
  <c r="BR58" i="26"/>
  <c r="BR96" i="38"/>
  <c r="BY12" i="40"/>
  <c r="BZ92" i="25"/>
  <c r="DC21" i="26"/>
  <c r="CY34" i="36"/>
  <c r="CZ59" i="41"/>
  <c r="BO12" i="36"/>
  <c r="CU98" i="37"/>
  <c r="CK29" i="39"/>
  <c r="S79" i="36"/>
  <c r="AH45" i="39"/>
  <c r="T37" i="26"/>
  <c r="J75" i="37"/>
  <c r="AJ75" i="37"/>
  <c r="CU48" i="41"/>
  <c r="K25" i="40"/>
  <c r="CW26" i="26"/>
  <c r="CU91" i="38"/>
  <c r="CI26" i="1"/>
  <c r="CA102" i="39"/>
  <c r="BZ81" i="41"/>
  <c r="AQ21" i="36"/>
  <c r="CA60" i="40"/>
  <c r="BR30" i="26"/>
  <c r="BA96" i="1"/>
  <c r="G62" i="37"/>
  <c r="CF25" i="25"/>
  <c r="AP10" i="38"/>
  <c r="AM59" i="39"/>
  <c r="P67" i="40"/>
  <c r="AO48" i="1"/>
  <c r="AY67" i="37"/>
  <c r="CZ61" i="26"/>
  <c r="CC29" i="41"/>
  <c r="X57" i="39"/>
  <c r="CC21" i="40"/>
  <c r="N98" i="40"/>
  <c r="BB45" i="25"/>
  <c r="W13" i="39"/>
  <c r="BC50" i="39"/>
  <c r="CO89" i="41"/>
  <c r="AG45" i="25"/>
  <c r="CB49" i="40"/>
  <c r="BC21" i="36"/>
  <c r="BT45" i="1"/>
  <c r="CS50" i="39"/>
  <c r="CA45" i="39"/>
  <c r="CA17" i="40"/>
  <c r="AN49" i="1"/>
  <c r="AC98" i="36"/>
  <c r="CP21" i="37"/>
  <c r="AV92" i="40"/>
  <c r="CY57" i="39"/>
  <c r="DD9" i="37"/>
  <c r="V25" i="38"/>
  <c r="CM17" i="41"/>
  <c r="CS30" i="38"/>
  <c r="CN25" i="40"/>
  <c r="N92" i="40"/>
  <c r="AY62" i="26"/>
  <c r="CB48" i="36"/>
  <c r="CS62" i="41"/>
  <c r="AQ10" i="25"/>
  <c r="K79" i="40"/>
  <c r="BR9" i="37"/>
  <c r="DE49" i="1"/>
  <c r="AC92" i="41"/>
  <c r="CO53" i="41"/>
  <c r="BA24" i="37"/>
  <c r="DA102" i="41"/>
  <c r="AZ49" i="1"/>
  <c r="K18" i="36"/>
  <c r="K16" i="64"/>
  <c r="BO60" i="40"/>
  <c r="Z54" i="38"/>
  <c r="CR25" i="39"/>
  <c r="K19" i="46"/>
  <c r="AZ24" i="40"/>
  <c r="BT103" i="26"/>
  <c r="AD98" i="39"/>
  <c r="BR18" i="38"/>
  <c r="AO26" i="40"/>
  <c r="BX29" i="25"/>
  <c r="BS34" i="1"/>
  <c r="H48" i="39"/>
  <c r="Y96" i="26"/>
  <c r="CH66" i="41"/>
  <c r="AP60" i="40"/>
  <c r="AO75" i="25"/>
  <c r="BD10" i="41"/>
  <c r="P13" i="37"/>
  <c r="AA13" i="1"/>
  <c r="H81" i="39"/>
  <c r="BR61" i="36"/>
  <c r="BZ9" i="38"/>
  <c r="BA37" i="1"/>
  <c r="CT102" i="41"/>
  <c r="G71" i="60"/>
  <c r="Z60" i="26"/>
  <c r="CS62" i="39"/>
  <c r="AQ71" i="41"/>
  <c r="DB18" i="1"/>
  <c r="G10" i="40"/>
  <c r="AS92" i="41"/>
  <c r="BS59" i="41"/>
  <c r="BO50" i="37"/>
  <c r="BO25" i="39"/>
  <c r="CE92" i="1"/>
  <c r="Z98" i="38"/>
  <c r="AZ54" i="38"/>
  <c r="BO59" i="39"/>
  <c r="G26" i="46"/>
  <c r="DE49" i="39"/>
  <c r="AF59" i="38"/>
  <c r="CJ26" i="26"/>
  <c r="BO30" i="38"/>
  <c r="BW25" i="25"/>
  <c r="CK34" i="1"/>
  <c r="AC92" i="39"/>
  <c r="CN62" i="41"/>
  <c r="BT81" i="26"/>
  <c r="O57" i="25"/>
  <c r="J46" i="59"/>
  <c r="BD13" i="36"/>
  <c r="V67" i="25"/>
  <c r="BS71" i="41"/>
  <c r="K81" i="39"/>
  <c r="AZ57" i="37"/>
  <c r="L48" i="59"/>
  <c r="AB29" i="41"/>
  <c r="Z48" i="26"/>
  <c r="CI50" i="1"/>
  <c r="J75" i="1"/>
  <c r="U58" i="25"/>
  <c r="BH91" i="37"/>
  <c r="CQ67" i="26"/>
  <c r="AD54" i="41"/>
  <c r="AD59" i="25"/>
  <c r="CW29" i="40"/>
  <c r="CG92" i="40"/>
  <c r="BE102" i="1"/>
  <c r="BG250" i="47"/>
  <c r="BQ13" i="40"/>
  <c r="T21" i="41"/>
  <c r="CK57" i="1"/>
  <c r="CE71" i="41"/>
  <c r="AU37" i="39"/>
  <c r="CO49" i="36"/>
  <c r="BX21" i="25"/>
  <c r="AF29" i="41"/>
  <c r="BH24" i="1"/>
  <c r="CH54" i="41"/>
  <c r="BH61" i="39"/>
  <c r="BI57" i="41"/>
  <c r="CS98" i="36"/>
  <c r="DE61" i="39"/>
  <c r="CE59" i="37"/>
  <c r="CM102" i="37"/>
  <c r="CS98" i="39"/>
  <c r="DF30" i="41"/>
  <c r="AR34" i="37"/>
  <c r="J71" i="1"/>
  <c r="AF48" i="39"/>
  <c r="N92" i="1"/>
  <c r="CY59" i="25"/>
  <c r="BX29" i="37"/>
  <c r="BX65" i="39"/>
  <c r="BT71" i="26"/>
  <c r="U48" i="36"/>
  <c r="CE59" i="41"/>
  <c r="CF66" i="38"/>
  <c r="DF57" i="40"/>
  <c r="DA61" i="1"/>
  <c r="AI59" i="38"/>
  <c r="AM60" i="26"/>
  <c r="AS53" i="41"/>
  <c r="BU96" i="26"/>
  <c r="AI57" i="41"/>
  <c r="AJ18" i="39"/>
  <c r="N54" i="36"/>
  <c r="P60" i="41"/>
  <c r="CG10" i="37"/>
  <c r="DC50" i="26"/>
  <c r="CT75" i="37"/>
  <c r="CG67" i="25"/>
  <c r="I10" i="60"/>
  <c r="CD12" i="40"/>
  <c r="DB91" i="26"/>
  <c r="CG9" i="36"/>
  <c r="O53" i="59"/>
  <c r="AY9" i="1"/>
  <c r="DC102" i="1"/>
  <c r="BD17" i="40"/>
  <c r="M65" i="38"/>
  <c r="K54" i="25"/>
  <c r="CH10" i="41"/>
  <c r="AY66" i="36"/>
  <c r="CS49" i="38"/>
  <c r="CI12" i="1"/>
  <c r="AF81" i="1"/>
  <c r="W89" i="40"/>
  <c r="K17" i="46"/>
  <c r="AO66" i="36"/>
  <c r="U21" i="26"/>
  <c r="BQ75" i="26"/>
  <c r="CN96" i="36"/>
  <c r="CX62" i="36"/>
  <c r="AC58" i="1"/>
  <c r="CU58" i="1"/>
  <c r="BZ29" i="26"/>
  <c r="AH10" i="39"/>
  <c r="CM71" i="39"/>
  <c r="BA81" i="1"/>
  <c r="AE18" i="40"/>
  <c r="CB91" i="39"/>
  <c r="CC65" i="1"/>
  <c r="AY81" i="40"/>
  <c r="I61" i="60"/>
  <c r="K65" i="36"/>
  <c r="DE92" i="37"/>
  <c r="CZ29" i="25"/>
  <c r="AC27" i="41"/>
  <c r="AN58" i="1"/>
  <c r="BR30" i="39"/>
  <c r="AE89" i="40"/>
  <c r="CV37" i="37"/>
  <c r="BX58" i="40"/>
  <c r="P26" i="26"/>
  <c r="CD92" i="41"/>
  <c r="T79" i="1"/>
  <c r="AX91" i="1"/>
  <c r="CP91" i="40"/>
  <c r="AG24" i="39"/>
  <c r="DB57" i="26"/>
  <c r="BZ27" i="39"/>
  <c r="CT59" i="38"/>
  <c r="AO102" i="40"/>
  <c r="CU79" i="1"/>
  <c r="AS66" i="40"/>
  <c r="BQ54" i="25"/>
  <c r="AV91" i="37"/>
  <c r="AZ59" i="41"/>
  <c r="BS12" i="38"/>
  <c r="CL45" i="26"/>
  <c r="CF103" i="39"/>
  <c r="G89" i="1"/>
  <c r="BQ89" i="26"/>
  <c r="CH27" i="39"/>
  <c r="AJ21" i="36"/>
  <c r="DC66" i="25"/>
  <c r="BV75" i="41"/>
  <c r="CE37" i="38"/>
  <c r="Y26" i="41"/>
  <c r="Y24" i="26"/>
  <c r="W50" i="37"/>
  <c r="CH13" i="40"/>
  <c r="AC61" i="26"/>
  <c r="J98" i="37"/>
  <c r="AW59" i="1"/>
  <c r="BD26" i="26"/>
  <c r="BY48" i="26"/>
  <c r="CU34" i="25"/>
  <c r="M54" i="40"/>
  <c r="CH13" i="1"/>
  <c r="DC13" i="39"/>
  <c r="CT34" i="37"/>
  <c r="BT62" i="38"/>
  <c r="CS45" i="26"/>
  <c r="P60" i="40"/>
  <c r="AB81" i="39"/>
  <c r="AU61" i="39"/>
  <c r="AD62" i="40"/>
  <c r="AP21" i="37"/>
  <c r="BW18" i="39"/>
  <c r="O60" i="40"/>
  <c r="DE30" i="39"/>
  <c r="AZ37" i="36"/>
  <c r="BA67" i="26"/>
  <c r="CQ59" i="26"/>
  <c r="CN89" i="1"/>
  <c r="BS54" i="36"/>
  <c r="BZ54" i="39"/>
  <c r="X24" i="25"/>
  <c r="BS61" i="40"/>
  <c r="CX81" i="40"/>
  <c r="CM75" i="26"/>
  <c r="AF91" i="41"/>
  <c r="O89" i="26"/>
  <c r="CK89" i="39"/>
  <c r="AV53" i="26"/>
  <c r="L58" i="37"/>
  <c r="BB48" i="37"/>
  <c r="AY10" i="1"/>
  <c r="BW58" i="39"/>
  <c r="DB25" i="39"/>
  <c r="K44" i="60"/>
  <c r="T75" i="1"/>
  <c r="AY102" i="41"/>
  <c r="J62" i="26"/>
  <c r="BV98" i="37"/>
  <c r="CH54" i="36"/>
  <c r="L73" i="60"/>
  <c r="AP79" i="36"/>
  <c r="BR75" i="38"/>
  <c r="J67" i="46"/>
  <c r="BZ17" i="36"/>
  <c r="DF75" i="37"/>
  <c r="DF45" i="37"/>
  <c r="BD27" i="37"/>
  <c r="AP89" i="38"/>
  <c r="AB62" i="41"/>
  <c r="AT91" i="40"/>
  <c r="BU60" i="39"/>
  <c r="CL57" i="36"/>
  <c r="AN37" i="1"/>
  <c r="BZ26" i="39"/>
  <c r="O98" i="26"/>
  <c r="CP66" i="25"/>
  <c r="AR30" i="1"/>
  <c r="AO59" i="41"/>
  <c r="AF67" i="36"/>
  <c r="BZ66" i="1"/>
  <c r="CA13" i="26"/>
  <c r="AR91" i="38"/>
  <c r="BT12" i="26"/>
  <c r="CK45" i="41"/>
  <c r="DC21" i="39"/>
  <c r="DB61" i="37"/>
  <c r="AH92" i="40"/>
  <c r="CD54" i="25"/>
  <c r="AI26" i="25"/>
  <c r="DD30" i="1"/>
  <c r="BD59" i="1"/>
  <c r="CQ81" i="1"/>
  <c r="CO48" i="26"/>
  <c r="CV67" i="37"/>
  <c r="BS91" i="38"/>
  <c r="AJ48" i="25"/>
  <c r="BI66" i="38"/>
  <c r="BX66" i="1"/>
  <c r="W61" i="41"/>
  <c r="BV9" i="25"/>
  <c r="BS62" i="38"/>
  <c r="BU96" i="25"/>
  <c r="CG57" i="37"/>
  <c r="S79" i="38"/>
  <c r="H91" i="60"/>
  <c r="AE25" i="25"/>
  <c r="CA10" i="1"/>
  <c r="K96" i="37"/>
  <c r="CH12" i="38"/>
  <c r="BO10" i="41"/>
  <c r="AE75" i="38"/>
  <c r="AF26" i="41"/>
  <c r="AQ54" i="39"/>
  <c r="CJ24" i="25"/>
  <c r="AI57" i="36"/>
  <c r="CX21" i="41"/>
  <c r="AO53" i="41"/>
  <c r="AV62" i="39"/>
  <c r="U49" i="36"/>
  <c r="N27" i="40"/>
  <c r="CY26" i="26"/>
  <c r="S91" i="37"/>
  <c r="CU92" i="36"/>
  <c r="K18" i="37"/>
  <c r="CK49" i="40"/>
  <c r="AO92" i="1"/>
  <c r="M89" i="39"/>
  <c r="J63" i="60"/>
  <c r="J49" i="25"/>
  <c r="U13" i="39"/>
  <c r="X54" i="40"/>
  <c r="AY13" i="26"/>
  <c r="AX96" i="25"/>
  <c r="AM30" i="36"/>
  <c r="V50" i="38"/>
  <c r="AP57" i="38"/>
  <c r="AI18" i="25"/>
  <c r="V59" i="1"/>
  <c r="BQ57" i="36"/>
  <c r="CF49" i="1"/>
  <c r="DF89" i="41"/>
  <c r="AJ26" i="26"/>
  <c r="S54" i="41"/>
  <c r="BR60" i="39"/>
  <c r="Y21" i="1"/>
  <c r="BC75" i="38"/>
  <c r="CD67" i="25"/>
  <c r="BY66" i="37"/>
  <c r="AY24" i="25"/>
  <c r="BV71" i="26"/>
  <c r="CU48" i="37"/>
  <c r="AZ81" i="36"/>
  <c r="CU62" i="39"/>
  <c r="BS12" i="37"/>
  <c r="BQ65" i="1"/>
  <c r="CM79" i="37"/>
  <c r="BQ30" i="26"/>
  <c r="AY91" i="38"/>
  <c r="CY57" i="41"/>
  <c r="S24" i="37"/>
  <c r="CO49" i="41"/>
  <c r="CV57" i="41"/>
  <c r="AG91" i="26"/>
  <c r="AV54" i="37"/>
  <c r="BW60" i="36"/>
  <c r="CW71" i="1"/>
  <c r="AU10" i="40"/>
  <c r="CF66" i="41"/>
  <c r="AX58" i="38"/>
  <c r="AE79" i="37"/>
  <c r="CS60" i="25"/>
  <c r="AU27" i="36"/>
  <c r="DD103" i="38"/>
  <c r="CU66" i="36"/>
  <c r="AG13" i="39"/>
  <c r="AG34" i="41"/>
  <c r="CB34" i="25"/>
  <c r="L66" i="37"/>
  <c r="H45" i="60"/>
  <c r="BW30" i="37"/>
  <c r="BX62" i="39"/>
  <c r="CZ61" i="37"/>
  <c r="CZ54" i="1"/>
  <c r="L11" i="59"/>
  <c r="CK91" i="25"/>
  <c r="DA29" i="41"/>
  <c r="J29" i="26"/>
  <c r="I55" i="64"/>
  <c r="M7" i="59"/>
  <c r="AY58" i="37"/>
  <c r="AT30" i="41"/>
  <c r="CY13" i="40"/>
  <c r="AJ79" i="40"/>
  <c r="AU71" i="39"/>
  <c r="BC58" i="40"/>
  <c r="CT65" i="40"/>
  <c r="BI30" i="40"/>
  <c r="CS57" i="37"/>
  <c r="AY54" i="39"/>
  <c r="CW12" i="1"/>
  <c r="AN27" i="40"/>
  <c r="CM13" i="25"/>
  <c r="CT98" i="39"/>
  <c r="CU49" i="25"/>
  <c r="L34" i="37"/>
  <c r="BI96" i="1"/>
  <c r="CA62" i="1"/>
  <c r="BS34" i="41"/>
  <c r="AZ62" i="40"/>
  <c r="DA67" i="41"/>
  <c r="K53" i="39"/>
  <c r="BT9" i="38"/>
  <c r="AP92" i="36"/>
  <c r="W75" i="25"/>
  <c r="BY24" i="36"/>
  <c r="CH26" i="1"/>
  <c r="DD30" i="40"/>
  <c r="AE30" i="37"/>
  <c r="CM49" i="41"/>
  <c r="T12" i="41"/>
  <c r="S75" i="26"/>
  <c r="BI9" i="41"/>
  <c r="DE24" i="39"/>
  <c r="CS71" i="36"/>
  <c r="CF66" i="26"/>
  <c r="CB48" i="39"/>
  <c r="AS79" i="38"/>
  <c r="L22" i="60"/>
  <c r="S98" i="38"/>
  <c r="BQ26" i="41"/>
  <c r="AY24" i="38"/>
  <c r="BP18" i="25"/>
  <c r="AO21" i="25"/>
  <c r="AG65" i="38"/>
  <c r="Y13" i="25"/>
  <c r="Y37" i="39"/>
  <c r="X17" i="40"/>
  <c r="W59" i="37"/>
  <c r="CN34" i="41"/>
  <c r="AN49" i="38"/>
  <c r="CQ102" i="25"/>
  <c r="CN96" i="40"/>
  <c r="CF21" i="36"/>
  <c r="I90" i="60"/>
  <c r="BH26" i="41"/>
  <c r="CJ12" i="38"/>
  <c r="CS59" i="36"/>
  <c r="BZ75" i="38"/>
  <c r="AG49" i="1"/>
  <c r="V21" i="37"/>
  <c r="DB71" i="25"/>
  <c r="Z89" i="39"/>
  <c r="BA21" i="41"/>
  <c r="AW10" i="40"/>
  <c r="CR12" i="38"/>
  <c r="CW17" i="26"/>
  <c r="AZ13" i="37"/>
  <c r="AV59" i="38"/>
  <c r="CO81" i="25"/>
  <c r="CN71" i="40"/>
  <c r="AO57" i="40"/>
  <c r="S58" i="36"/>
  <c r="AI45" i="38"/>
  <c r="AE49" i="40"/>
  <c r="AU54" i="39"/>
  <c r="AD62" i="26"/>
  <c r="K98" i="37"/>
  <c r="X27" i="26"/>
  <c r="AD75" i="36"/>
  <c r="CX45" i="1"/>
  <c r="BW98" i="26"/>
  <c r="AB13" i="25"/>
  <c r="CW89" i="40"/>
  <c r="CY29" i="39"/>
  <c r="BW71" i="40"/>
  <c r="CP30" i="1"/>
  <c r="CZ103" i="25"/>
  <c r="BU25" i="38"/>
  <c r="H13" i="60"/>
  <c r="L9" i="38"/>
  <c r="BA81" i="38"/>
  <c r="AW71" i="40"/>
  <c r="AF49" i="38"/>
  <c r="AJ92" i="37"/>
  <c r="AH79" i="39"/>
  <c r="BQ79" i="25"/>
  <c r="AE30" i="26"/>
  <c r="BI60" i="36"/>
  <c r="AC79" i="40"/>
  <c r="AS54" i="39"/>
  <c r="Z62" i="1"/>
  <c r="CX71" i="39"/>
  <c r="V24" i="1"/>
  <c r="AU12" i="39"/>
  <c r="V89" i="38"/>
  <c r="BX49" i="37"/>
  <c r="BY29" i="38"/>
  <c r="AE91" i="25"/>
  <c r="BS25" i="37"/>
  <c r="BV79" i="41"/>
  <c r="CQ25" i="38"/>
  <c r="CF102" i="38"/>
  <c r="AM25" i="41"/>
  <c r="AS27" i="38"/>
  <c r="O62" i="1"/>
  <c r="CO57" i="37"/>
  <c r="BW66" i="25"/>
  <c r="M24" i="41"/>
  <c r="CT58" i="37"/>
  <c r="CU71" i="36"/>
  <c r="W48" i="36"/>
  <c r="CZ26" i="25"/>
  <c r="CN96" i="41"/>
  <c r="AH48" i="40"/>
  <c r="BO37" i="41"/>
  <c r="AM65" i="25"/>
  <c r="CC71" i="25"/>
  <c r="AG75" i="38"/>
  <c r="M10" i="25"/>
  <c r="BS54" i="1"/>
  <c r="CS29" i="40"/>
  <c r="L79" i="41"/>
  <c r="CT13" i="39"/>
  <c r="DF98" i="25"/>
  <c r="AX48" i="36"/>
  <c r="CJ50" i="40"/>
  <c r="M27" i="39"/>
  <c r="CE66" i="26"/>
  <c r="BR91" i="39"/>
  <c r="BO71" i="40"/>
  <c r="CT59" i="26"/>
  <c r="CH66" i="1"/>
  <c r="AI17" i="37"/>
  <c r="AG75" i="1"/>
  <c r="AZ79" i="25"/>
  <c r="CK103" i="39"/>
  <c r="AR62" i="39"/>
  <c r="BZ10" i="40"/>
  <c r="AM30" i="37"/>
  <c r="CM57" i="37"/>
  <c r="W34" i="39"/>
  <c r="CU103" i="41"/>
  <c r="DF27" i="41"/>
  <c r="CW61" i="25"/>
  <c r="AC27" i="26"/>
  <c r="BB27" i="41"/>
  <c r="T53" i="26"/>
  <c r="N17" i="59"/>
  <c r="CA89" i="39"/>
  <c r="DB13" i="39"/>
  <c r="CQ18" i="41"/>
  <c r="AF58" i="26"/>
  <c r="BP66" i="36"/>
  <c r="V10" i="39"/>
  <c r="CH89" i="26"/>
  <c r="G81" i="38"/>
  <c r="AZ65" i="40"/>
  <c r="I44" i="59"/>
  <c r="DA79" i="37"/>
  <c r="M17" i="41"/>
  <c r="CV79" i="36"/>
  <c r="CX71" i="36"/>
  <c r="K47" i="64"/>
  <c r="F90" i="60"/>
  <c r="CX89" i="39"/>
  <c r="AW75" i="39"/>
  <c r="DE45" i="38"/>
  <c r="BX49" i="40"/>
  <c r="M13" i="26"/>
  <c r="CM37" i="38"/>
  <c r="AJ66" i="25"/>
  <c r="AD59" i="39"/>
  <c r="BB102" i="39"/>
  <c r="S21" i="25"/>
  <c r="CD62" i="26"/>
  <c r="AN24" i="40"/>
  <c r="CE89" i="36"/>
  <c r="CH18" i="37"/>
  <c r="AC50" i="40"/>
  <c r="CI10" i="25"/>
  <c r="BC57" i="36"/>
  <c r="S27" i="40"/>
  <c r="AW67" i="39"/>
  <c r="J65" i="40"/>
  <c r="H66" i="1"/>
  <c r="CE26" i="36"/>
  <c r="CM60" i="39"/>
  <c r="DD57" i="37"/>
  <c r="J57" i="36"/>
  <c r="BA50" i="41"/>
  <c r="AA50" i="37"/>
  <c r="AA24" i="38"/>
  <c r="AC45" i="25"/>
  <c r="BE50" i="41"/>
  <c r="CY57" i="26"/>
  <c r="CG49" i="36"/>
  <c r="BS59" i="36"/>
  <c r="AD25" i="41"/>
  <c r="V92" i="38"/>
  <c r="K26" i="37"/>
  <c r="AU53" i="41"/>
  <c r="H98" i="41"/>
  <c r="BT49" i="40"/>
  <c r="G61" i="38"/>
  <c r="CP75" i="1"/>
  <c r="BI96" i="40"/>
  <c r="CG98" i="38"/>
  <c r="BE10" i="26"/>
  <c r="DD12" i="25"/>
  <c r="AC49" i="38"/>
  <c r="AS65" i="1"/>
  <c r="CZ71" i="37"/>
  <c r="O62" i="40"/>
  <c r="BV71" i="37"/>
  <c r="CA50" i="25"/>
  <c r="CT60" i="41"/>
  <c r="BA67" i="36"/>
  <c r="L18" i="40"/>
  <c r="BT10" i="26"/>
  <c r="M102" i="39"/>
  <c r="CK26" i="40"/>
  <c r="K12" i="26"/>
  <c r="W58" i="39"/>
  <c r="AH9" i="39"/>
  <c r="G37" i="36"/>
  <c r="BV75" i="40"/>
  <c r="BC67" i="39"/>
  <c r="AW98" i="41"/>
  <c r="AU98" i="40"/>
  <c r="V89" i="26"/>
  <c r="K86" i="64"/>
  <c r="AW98" i="39"/>
  <c r="AV81" i="41"/>
  <c r="AV48" i="38"/>
  <c r="CH37" i="41"/>
  <c r="CK17" i="36"/>
  <c r="AZ75" i="1"/>
  <c r="BW60" i="40"/>
  <c r="AM66" i="40"/>
  <c r="CQ24" i="25"/>
  <c r="F73" i="60"/>
  <c r="DC37" i="40"/>
  <c r="CN37" i="37"/>
  <c r="AC67" i="41"/>
  <c r="BA91" i="25"/>
  <c r="AJ18" i="38"/>
  <c r="Y89" i="26"/>
  <c r="AJ58" i="40"/>
  <c r="BU60" i="36"/>
  <c r="J12" i="60"/>
  <c r="CX66" i="38"/>
  <c r="CJ37" i="37"/>
  <c r="T89" i="37"/>
  <c r="Y18" i="25"/>
  <c r="BV67" i="25"/>
  <c r="CM59" i="38"/>
  <c r="BX96" i="1"/>
  <c r="AC54" i="26"/>
  <c r="AI29" i="1"/>
  <c r="BA79" i="1"/>
  <c r="AM49" i="36"/>
  <c r="O18" i="40"/>
  <c r="CK10" i="38"/>
  <c r="CJ24" i="40"/>
  <c r="AE89" i="36"/>
  <c r="K21" i="39"/>
  <c r="CB61" i="38"/>
  <c r="BV48" i="39"/>
  <c r="AG98" i="40"/>
  <c r="BC29" i="38"/>
  <c r="CE67" i="38"/>
  <c r="CZ53" i="37"/>
  <c r="AO54" i="1"/>
  <c r="AY50" i="38"/>
  <c r="AQ34" i="36"/>
  <c r="BV12" i="37"/>
  <c r="AC57" i="36"/>
  <c r="AD66" i="37"/>
  <c r="DF29" i="39"/>
  <c r="P34" i="25"/>
  <c r="AV12" i="26"/>
  <c r="BQ91" i="39"/>
  <c r="CZ45" i="39"/>
  <c r="BI67" i="41"/>
  <c r="BQ50" i="41"/>
  <c r="G25" i="1"/>
  <c r="CG9" i="40"/>
  <c r="AV66" i="26"/>
  <c r="BR79" i="36"/>
  <c r="CH9" i="25"/>
  <c r="H58" i="37"/>
  <c r="CM49" i="39"/>
  <c r="AJ98" i="39"/>
  <c r="CP96" i="38"/>
  <c r="AE9" i="41"/>
  <c r="CL91" i="37"/>
  <c r="AY61" i="37"/>
  <c r="P48" i="59"/>
  <c r="Y34" i="40"/>
  <c r="J49" i="37"/>
  <c r="AV29" i="38"/>
  <c r="AG61" i="37"/>
  <c r="AN57" i="37"/>
  <c r="CJ96" i="39"/>
  <c r="CM48" i="37"/>
  <c r="DF24" i="40"/>
  <c r="S71" i="26"/>
  <c r="CE27" i="26"/>
  <c r="BB60" i="39"/>
  <c r="J58" i="26"/>
  <c r="W12" i="39"/>
  <c r="O24" i="26"/>
  <c r="BA34" i="1"/>
  <c r="Y66" i="38"/>
  <c r="DE34" i="39"/>
  <c r="BH89" i="25"/>
  <c r="H81" i="36"/>
  <c r="BP48" i="39"/>
  <c r="AE34" i="26"/>
  <c r="M89" i="37"/>
  <c r="N57" i="37"/>
  <c r="DE25" i="40"/>
  <c r="AN57" i="40"/>
  <c r="CP27" i="41"/>
  <c r="AM60" i="39"/>
  <c r="L71" i="41"/>
  <c r="CB67" i="38"/>
  <c r="AB92" i="39"/>
  <c r="AP10" i="1"/>
  <c r="DF60" i="1"/>
  <c r="CU21" i="41"/>
  <c r="AJ26" i="40"/>
  <c r="DD37" i="40"/>
  <c r="DC71" i="26"/>
  <c r="AY121" i="47"/>
  <c r="CI57" i="41"/>
  <c r="BV54" i="38"/>
  <c r="AF49" i="36"/>
  <c r="U13" i="36"/>
  <c r="G27" i="40"/>
  <c r="CX24" i="38"/>
  <c r="AI18" i="41"/>
  <c r="I34" i="1"/>
  <c r="AX12" i="38"/>
  <c r="T53" i="25"/>
  <c r="CD103" i="1"/>
  <c r="BV26" i="41"/>
  <c r="M12" i="38"/>
  <c r="AX81" i="40"/>
  <c r="P65" i="26"/>
  <c r="BA79" i="37"/>
  <c r="BY79" i="1"/>
  <c r="CT17" i="37"/>
  <c r="BX30" i="26"/>
  <c r="AE24" i="39"/>
  <c r="AW57" i="36"/>
  <c r="O30" i="37"/>
  <c r="P48" i="40"/>
  <c r="AN60" i="37"/>
  <c r="AW12" i="26"/>
  <c r="CL79" i="36"/>
  <c r="AS25" i="37"/>
  <c r="CX91" i="38"/>
  <c r="DE13" i="40"/>
  <c r="AO21" i="40"/>
  <c r="AX27" i="39"/>
  <c r="CA10" i="25"/>
  <c r="N13" i="37"/>
  <c r="BX81" i="25"/>
  <c r="CF62" i="25"/>
  <c r="CQ17" i="1"/>
  <c r="O37" i="25"/>
  <c r="BZ27" i="1"/>
  <c r="BC65" i="38"/>
  <c r="Z24" i="37"/>
  <c r="AI65" i="38"/>
  <c r="CY34" i="38"/>
  <c r="AW50" i="36"/>
  <c r="CN65" i="36"/>
  <c r="BW98" i="41"/>
  <c r="CZ34" i="1"/>
  <c r="AF27" i="41"/>
  <c r="AN75" i="1"/>
  <c r="BO65" i="25"/>
  <c r="CV45" i="41"/>
  <c r="N81" i="26"/>
  <c r="CZ53" i="25"/>
  <c r="CT58" i="38"/>
  <c r="CS81" i="37"/>
  <c r="CS24" i="39"/>
  <c r="CD58" i="37"/>
  <c r="BQ13" i="26"/>
  <c r="CA37" i="37"/>
  <c r="AX75" i="25"/>
  <c r="AX71" i="39"/>
  <c r="CN12" i="38"/>
  <c r="E57" i="60"/>
  <c r="CI18" i="36"/>
  <c r="CB17" i="36"/>
  <c r="CR75" i="36"/>
  <c r="CO92" i="25"/>
  <c r="DE27" i="26"/>
  <c r="DD27" i="1"/>
  <c r="CM27" i="26"/>
  <c r="BQ24" i="37"/>
  <c r="BI62" i="26"/>
  <c r="DD10" i="25"/>
  <c r="CI25" i="40"/>
  <c r="CS58" i="41"/>
  <c r="X81" i="36"/>
  <c r="BR81" i="39"/>
  <c r="CE24" i="1"/>
  <c r="CO17" i="41"/>
  <c r="CB102" i="1"/>
  <c r="L67" i="36"/>
  <c r="CS58" i="36"/>
  <c r="CP37" i="26"/>
  <c r="AT58" i="38"/>
  <c r="AW102" i="39"/>
  <c r="AI24" i="39"/>
  <c r="CY37" i="37"/>
  <c r="BR60" i="38"/>
  <c r="J30" i="36"/>
  <c r="CX57" i="39"/>
  <c r="CH98" i="41"/>
  <c r="CC89" i="1"/>
  <c r="CR30" i="37"/>
  <c r="CG24" i="26"/>
  <c r="CB91" i="37"/>
  <c r="CV21" i="37"/>
  <c r="AH12" i="36"/>
  <c r="AG67" i="25"/>
  <c r="CE91" i="36"/>
  <c r="AQ62" i="36"/>
  <c r="AN24" i="38"/>
  <c r="CF45" i="40"/>
  <c r="AT66" i="1"/>
  <c r="BU59" i="40"/>
  <c r="BY81" i="41"/>
  <c r="CI54" i="36"/>
  <c r="CR53" i="40"/>
  <c r="DA26" i="40"/>
  <c r="L34" i="59"/>
  <c r="AG75" i="40"/>
  <c r="F89" i="64"/>
  <c r="AG50" i="25"/>
  <c r="AT98" i="38"/>
  <c r="BP34" i="1"/>
  <c r="W66" i="37"/>
  <c r="I26" i="39"/>
  <c r="G98" i="36"/>
  <c r="AD18" i="39"/>
  <c r="BO49" i="36"/>
  <c r="CO49" i="1"/>
  <c r="AI12" i="1"/>
  <c r="AC67" i="39"/>
  <c r="AQ81" i="41"/>
  <c r="BI18" i="26"/>
  <c r="AI37" i="38"/>
  <c r="AJ21" i="38"/>
  <c r="CL62" i="39"/>
  <c r="CY54" i="1"/>
  <c r="H92" i="37"/>
  <c r="AB92" i="40"/>
  <c r="X9" i="38"/>
  <c r="Z21" i="38"/>
  <c r="CT89" i="39"/>
  <c r="AS58" i="25"/>
  <c r="AP29" i="1"/>
  <c r="DB58" i="26"/>
  <c r="CV92" i="41"/>
  <c r="AJ71" i="1"/>
  <c r="X50" i="41"/>
  <c r="AQ12" i="1"/>
  <c r="CI58" i="41"/>
  <c r="BY34" i="36"/>
  <c r="AM54" i="37"/>
  <c r="CY25" i="41"/>
  <c r="M74" i="60"/>
  <c r="DC25" i="26"/>
  <c r="CB60" i="39"/>
  <c r="CO81" i="37"/>
  <c r="CI29" i="41"/>
  <c r="AQ45" i="26"/>
  <c r="CR29" i="40"/>
  <c r="AJ50" i="39"/>
  <c r="BY27" i="1"/>
  <c r="BR48" i="25"/>
  <c r="BO61" i="40"/>
  <c r="BX50" i="1"/>
  <c r="P61" i="1"/>
  <c r="U21" i="25"/>
  <c r="CS96" i="41"/>
  <c r="AU21" i="38"/>
  <c r="CB10" i="41"/>
  <c r="X92" i="26"/>
  <c r="L65" i="39"/>
  <c r="AP37" i="26"/>
  <c r="BS30" i="25"/>
  <c r="AC18" i="38"/>
  <c r="BC316" i="47"/>
  <c r="AW30" i="25"/>
  <c r="DD91" i="39"/>
  <c r="DD65" i="36"/>
  <c r="BV58" i="25"/>
  <c r="AB57" i="26"/>
  <c r="CV37" i="39"/>
  <c r="CQ58" i="1"/>
  <c r="O75" i="25"/>
  <c r="S96" i="40"/>
  <c r="BY58" i="39"/>
  <c r="J25" i="40"/>
  <c r="CN79" i="36"/>
  <c r="U18" i="36"/>
  <c r="AR26" i="25"/>
  <c r="AH98" i="26"/>
  <c r="CD65" i="26"/>
  <c r="G49" i="41"/>
  <c r="AE67" i="40"/>
  <c r="CP96" i="37"/>
  <c r="CQ71" i="37"/>
  <c r="AN26" i="25"/>
  <c r="CD21" i="25"/>
  <c r="BW30" i="41"/>
  <c r="BQ91" i="36"/>
  <c r="AS57" i="1"/>
  <c r="BB92" i="41"/>
  <c r="S61" i="25"/>
  <c r="M10" i="41"/>
  <c r="BB29" i="25"/>
  <c r="O17" i="25"/>
  <c r="G26" i="26"/>
  <c r="AC62" i="41"/>
  <c r="AQ89" i="41"/>
  <c r="AV57" i="40"/>
  <c r="AX37" i="39"/>
  <c r="BD61" i="39"/>
  <c r="AP25" i="25"/>
  <c r="CP58" i="36"/>
  <c r="AS62" i="39"/>
  <c r="P67" i="36"/>
  <c r="CE10" i="38"/>
  <c r="AI75" i="41"/>
  <c r="CH66" i="40"/>
  <c r="BH18" i="1"/>
  <c r="AF25" i="36"/>
  <c r="L13" i="38"/>
  <c r="AI25" i="1"/>
  <c r="BU9" i="1"/>
  <c r="CP53" i="1"/>
  <c r="AW30" i="37"/>
  <c r="AV79" i="41"/>
  <c r="AB60" i="37"/>
  <c r="S89" i="38"/>
  <c r="AD57" i="39"/>
  <c r="CB34" i="40"/>
  <c r="DA37" i="26"/>
  <c r="CY59" i="39"/>
  <c r="S79" i="37"/>
  <c r="CH89" i="37"/>
  <c r="K21" i="1"/>
  <c r="N75" i="25"/>
  <c r="AV60" i="37"/>
  <c r="BS92" i="36"/>
  <c r="AO66" i="1"/>
  <c r="BD65" i="25"/>
  <c r="BT62" i="40"/>
  <c r="N30" i="40"/>
  <c r="CH25" i="40"/>
  <c r="U34" i="38"/>
  <c r="DC27" i="40"/>
  <c r="BE48" i="1"/>
  <c r="BX34" i="38"/>
  <c r="DE62" i="40"/>
  <c r="AU26" i="40"/>
  <c r="AI96" i="38"/>
  <c r="CD102" i="40"/>
  <c r="AI89" i="36"/>
  <c r="BP96" i="25"/>
  <c r="DC57" i="26"/>
  <c r="DE66" i="25"/>
  <c r="AS48" i="37"/>
  <c r="H12" i="26"/>
  <c r="CE18" i="25"/>
  <c r="BA17" i="41"/>
  <c r="U50" i="36"/>
  <c r="Y62" i="36"/>
  <c r="AP62" i="40"/>
  <c r="BZ17" i="1"/>
  <c r="CZ54" i="26"/>
  <c r="DD91" i="40"/>
  <c r="CQ61" i="37"/>
  <c r="CE81" i="38"/>
  <c r="CD50" i="26"/>
  <c r="CY18" i="40"/>
  <c r="BI24" i="1"/>
  <c r="CV75" i="1"/>
  <c r="BE66" i="26"/>
  <c r="CB12" i="36"/>
  <c r="BB65" i="37"/>
  <c r="J61" i="25"/>
  <c r="T29" i="39"/>
  <c r="CV57" i="1"/>
  <c r="BD59" i="36"/>
  <c r="CQ65" i="41"/>
  <c r="O53" i="38"/>
  <c r="AI12" i="40"/>
  <c r="CS103" i="41"/>
  <c r="AZ48" i="1"/>
  <c r="W25" i="38"/>
  <c r="N59" i="41"/>
  <c r="CK75" i="25"/>
  <c r="DB79" i="25"/>
  <c r="AH30" i="41"/>
  <c r="BV59" i="40"/>
  <c r="AT60" i="37"/>
  <c r="N45" i="40"/>
  <c r="BP21" i="26"/>
  <c r="AM91" i="25"/>
  <c r="BY25" i="41"/>
  <c r="CT9" i="26"/>
  <c r="CW91" i="38"/>
  <c r="AG49" i="26"/>
  <c r="BT9" i="26"/>
  <c r="AT34" i="39"/>
  <c r="BC53" i="26"/>
  <c r="AW79" i="1"/>
  <c r="AI10" i="40"/>
  <c r="G49" i="38"/>
  <c r="AZ24" i="37"/>
  <c r="G13" i="25"/>
  <c r="BO59" i="36"/>
  <c r="BS102" i="40"/>
  <c r="Y59" i="36"/>
  <c r="AP79" i="26"/>
  <c r="AZ54" i="36"/>
  <c r="G48" i="26"/>
  <c r="CK37" i="39"/>
  <c r="CZ102" i="37"/>
  <c r="DF92" i="40"/>
  <c r="CI66" i="37"/>
  <c r="S49" i="38"/>
  <c r="W91" i="1"/>
  <c r="O67" i="38"/>
  <c r="CO48" i="38"/>
  <c r="AF34" i="1"/>
  <c r="BO103" i="40"/>
  <c r="CV75" i="41"/>
  <c r="L25" i="41"/>
  <c r="AO89" i="25"/>
  <c r="AQ54" i="38"/>
  <c r="CR65" i="38"/>
  <c r="CT9" i="39"/>
  <c r="I48" i="39"/>
  <c r="CP75" i="38"/>
  <c r="AO48" i="26"/>
  <c r="CJ25" i="26"/>
  <c r="S57" i="41"/>
  <c r="J98" i="38"/>
  <c r="DF25" i="25"/>
  <c r="BY58" i="37"/>
  <c r="CK30" i="25"/>
  <c r="CW89" i="25"/>
  <c r="BV25" i="37"/>
  <c r="BQ59" i="40"/>
  <c r="CR79" i="38"/>
  <c r="AV18" i="26"/>
  <c r="AJ58" i="41"/>
  <c r="CV79" i="38"/>
  <c r="AG92" i="26"/>
  <c r="BC79" i="36"/>
  <c r="BD66" i="38"/>
  <c r="N49" i="26"/>
  <c r="AG57" i="25"/>
  <c r="Y34" i="25"/>
  <c r="CD30" i="36"/>
  <c r="BZ24" i="40"/>
  <c r="AP53" i="40"/>
  <c r="W50" i="41"/>
  <c r="BP103" i="1"/>
  <c r="M96" i="25"/>
  <c r="CR48" i="37"/>
  <c r="DF49" i="37"/>
  <c r="AD29" i="39"/>
  <c r="CL45" i="37"/>
  <c r="CZ79" i="25"/>
  <c r="BP71" i="25"/>
  <c r="AJ49" i="39"/>
  <c r="CR60" i="26"/>
  <c r="CQ26" i="37"/>
  <c r="BT45" i="38"/>
  <c r="AG45" i="1"/>
  <c r="BR103" i="41"/>
  <c r="O50" i="36"/>
  <c r="AZ17" i="37"/>
  <c r="AU79" i="26"/>
  <c r="CZ50" i="39"/>
  <c r="BS98" i="25"/>
  <c r="I67" i="46"/>
  <c r="AH26" i="39"/>
  <c r="CJ59" i="1"/>
  <c r="AN50" i="25"/>
  <c r="DF79" i="25"/>
  <c r="DE102" i="41"/>
  <c r="DF13" i="39"/>
  <c r="DA50" i="40"/>
  <c r="CM27" i="39"/>
  <c r="BT89" i="36"/>
  <c r="I17" i="46"/>
  <c r="CP30" i="26"/>
  <c r="J53" i="59"/>
  <c r="AY10" i="37"/>
  <c r="M9" i="40"/>
  <c r="AC57" i="40"/>
  <c r="BY61" i="1"/>
  <c r="CF26" i="39"/>
  <c r="Z34" i="36"/>
  <c r="AQ48" i="37"/>
  <c r="CS17" i="38"/>
  <c r="J92" i="37"/>
  <c r="DC62" i="36"/>
  <c r="AI13" i="39"/>
  <c r="J92" i="60"/>
  <c r="CZ53" i="39"/>
  <c r="CW66" i="36"/>
  <c r="CA71" i="41"/>
  <c r="AY62" i="40"/>
  <c r="AI29" i="38"/>
  <c r="CY58" i="39"/>
  <c r="U75" i="25"/>
  <c r="AX45" i="25"/>
  <c r="CK60" i="39"/>
  <c r="CV66" i="37"/>
  <c r="AA59" i="39"/>
  <c r="AT34" i="26"/>
  <c r="CB89" i="1"/>
  <c r="CK9" i="1"/>
  <c r="CC58" i="36"/>
  <c r="S21" i="38"/>
  <c r="H96" i="40"/>
  <c r="BR81" i="38"/>
  <c r="CW10" i="25"/>
  <c r="CX79" i="39"/>
  <c r="BP66" i="26"/>
  <c r="Y62" i="39"/>
  <c r="U25" i="26"/>
  <c r="CY91" i="40"/>
  <c r="BH37" i="36"/>
  <c r="BA9" i="36"/>
  <c r="CW91" i="1"/>
  <c r="AO37" i="36"/>
  <c r="CA37" i="41"/>
  <c r="AZ10" i="40"/>
  <c r="J9" i="59"/>
  <c r="CT89" i="41"/>
  <c r="CF91" i="26"/>
  <c r="CI91" i="40"/>
  <c r="Z89" i="36"/>
  <c r="AE75" i="40"/>
  <c r="BE12" i="39"/>
  <c r="CC34" i="36"/>
  <c r="AQ25" i="25"/>
  <c r="BO17" i="25"/>
  <c r="U79" i="1"/>
  <c r="T10" i="37"/>
  <c r="AP45" i="37"/>
  <c r="CV59" i="38"/>
  <c r="T59" i="26"/>
  <c r="CU13" i="25"/>
  <c r="BD9" i="36"/>
  <c r="CH92" i="37"/>
  <c r="BW65" i="37"/>
  <c r="DA67" i="36"/>
  <c r="CV45" i="37"/>
  <c r="CT67" i="39"/>
  <c r="AB50" i="26"/>
  <c r="S10" i="38"/>
  <c r="DE24" i="25"/>
  <c r="AA81" i="26"/>
  <c r="CX71" i="37"/>
  <c r="BS98" i="1"/>
  <c r="AG81" i="38"/>
  <c r="AB75" i="37"/>
  <c r="DC67" i="25"/>
  <c r="BU26" i="39"/>
  <c r="DE29" i="1"/>
  <c r="Z65" i="26"/>
  <c r="CJ25" i="36"/>
  <c r="CE9" i="26"/>
  <c r="CC102" i="39"/>
  <c r="AC24" i="26"/>
  <c r="P61" i="25"/>
  <c r="AN89" i="41"/>
  <c r="DD54" i="26"/>
  <c r="CZ29" i="39"/>
  <c r="AJ18" i="25"/>
  <c r="CP57" i="1"/>
  <c r="K17" i="39"/>
  <c r="CT54" i="39"/>
  <c r="BX30" i="41"/>
  <c r="CR50" i="40"/>
  <c r="T49" i="40"/>
  <c r="P75" i="1"/>
  <c r="DA75" i="26"/>
  <c r="AZ79" i="40"/>
  <c r="AW34" i="38"/>
  <c r="AM66" i="38"/>
  <c r="CH81" i="36"/>
  <c r="BR60" i="40"/>
  <c r="BH89" i="1"/>
  <c r="BX54" i="38"/>
  <c r="BQ25" i="41"/>
  <c r="P61" i="36"/>
  <c r="CB9" i="36"/>
  <c r="BQ103" i="25"/>
  <c r="AG9" i="25"/>
  <c r="AA75" i="39"/>
  <c r="CW27" i="37"/>
  <c r="CO91" i="1"/>
  <c r="BB122" i="47"/>
  <c r="M91" i="38"/>
  <c r="BY75" i="1"/>
  <c r="CW58" i="36"/>
  <c r="BU27" i="41"/>
  <c r="CA21" i="1"/>
  <c r="CI25" i="37"/>
  <c r="AS58" i="26"/>
  <c r="CR54" i="39"/>
  <c r="BV102" i="39"/>
  <c r="CY89" i="38"/>
  <c r="CM29" i="26"/>
  <c r="CS66" i="39"/>
  <c r="BQ21" i="41"/>
  <c r="AM12" i="38"/>
  <c r="BR45" i="36"/>
  <c r="CZ102" i="41"/>
  <c r="BS24" i="37"/>
  <c r="CZ103" i="26"/>
  <c r="CA54" i="25"/>
  <c r="S50" i="36"/>
  <c r="CJ91" i="25"/>
  <c r="L83" i="60"/>
  <c r="AM30" i="25"/>
  <c r="J81" i="60"/>
  <c r="H34" i="26"/>
  <c r="AX37" i="38"/>
  <c r="BZ25" i="25"/>
  <c r="AJ67" i="25"/>
  <c r="AP67" i="41"/>
  <c r="AC30" i="41"/>
  <c r="CH50" i="41"/>
  <c r="AC81" i="37"/>
  <c r="CH79" i="40"/>
  <c r="AD79" i="25"/>
  <c r="AY24" i="39"/>
  <c r="BO13" i="38"/>
  <c r="AP71" i="37"/>
  <c r="K17" i="36"/>
  <c r="CZ49" i="40"/>
  <c r="BT37" i="26"/>
  <c r="AY98" i="39"/>
  <c r="L60" i="26"/>
  <c r="CX102" i="26"/>
  <c r="AP53" i="37"/>
  <c r="DC59" i="36"/>
  <c r="AQ98" i="1"/>
  <c r="Z71" i="36"/>
  <c r="L48" i="41"/>
  <c r="CK89" i="40"/>
  <c r="BA75" i="37"/>
  <c r="CH91" i="37"/>
  <c r="BV49" i="37"/>
  <c r="AT12" i="26"/>
  <c r="AE92" i="36"/>
  <c r="AT62" i="39"/>
  <c r="BA18" i="25"/>
  <c r="BB312" i="47"/>
  <c r="BE65" i="26"/>
  <c r="DD29" i="25"/>
  <c r="CA37" i="26"/>
  <c r="CX89" i="41"/>
  <c r="V81" i="39"/>
  <c r="CZ91" i="41"/>
  <c r="CR59" i="39"/>
  <c r="CF61" i="41"/>
  <c r="CI18" i="26"/>
  <c r="AQ60" i="26"/>
  <c r="DF91" i="41"/>
  <c r="CF102" i="37"/>
  <c r="BV49" i="41"/>
  <c r="CV26" i="40"/>
  <c r="CW30" i="36"/>
  <c r="BE45" i="38"/>
  <c r="AA37" i="40"/>
  <c r="S10" i="26"/>
  <c r="BO54" i="26"/>
  <c r="BP66" i="1"/>
  <c r="N57" i="41"/>
  <c r="CZ79" i="36"/>
  <c r="AN17" i="37"/>
  <c r="CX17" i="36"/>
  <c r="CN79" i="38"/>
  <c r="AA91" i="36"/>
  <c r="CU48" i="1"/>
  <c r="AC96" i="26"/>
  <c r="CZ65" i="26"/>
  <c r="CW67" i="36"/>
  <c r="CN45" i="37"/>
  <c r="DE91" i="26"/>
  <c r="CV75" i="36"/>
  <c r="AU89" i="1"/>
  <c r="CB49" i="39"/>
  <c r="BW103" i="37"/>
  <c r="AZ58" i="41"/>
  <c r="M50" i="40"/>
  <c r="BE96" i="26"/>
  <c r="V54" i="36"/>
  <c r="AD79" i="39"/>
  <c r="AW29" i="26"/>
  <c r="BE45" i="37"/>
  <c r="BB79" i="25"/>
  <c r="DA57" i="37"/>
  <c r="CH27" i="41"/>
  <c r="DE48" i="39"/>
  <c r="K59" i="36"/>
  <c r="CY27" i="1"/>
  <c r="H50" i="26"/>
  <c r="AF91" i="38"/>
  <c r="CD58" i="38"/>
  <c r="Y50" i="26"/>
  <c r="DD29" i="41"/>
  <c r="CH29" i="26"/>
  <c r="CA75" i="1"/>
  <c r="BD71" i="39"/>
  <c r="BS66" i="1"/>
  <c r="BB26" i="39"/>
  <c r="BA9" i="1"/>
  <c r="H34" i="38"/>
  <c r="BU59" i="1"/>
  <c r="BH67" i="37"/>
  <c r="AV18" i="40"/>
  <c r="AQ26" i="39"/>
  <c r="CA89" i="26"/>
  <c r="BS103" i="38"/>
  <c r="U65" i="1"/>
  <c r="DB53" i="1"/>
  <c r="V12" i="26"/>
  <c r="P17" i="38"/>
  <c r="BR61" i="25"/>
  <c r="AE65" i="36"/>
  <c r="BQ12" i="39"/>
  <c r="AI96" i="36"/>
  <c r="M67" i="40"/>
  <c r="BX96" i="41"/>
  <c r="CT13" i="40"/>
  <c r="CU89" i="37"/>
  <c r="T12" i="26"/>
  <c r="DA17" i="40"/>
  <c r="CI29" i="38"/>
  <c r="CR71" i="39"/>
  <c r="CH53" i="41"/>
  <c r="BI62" i="37"/>
  <c r="AO75" i="36"/>
  <c r="AX34" i="38"/>
  <c r="CI17" i="38"/>
  <c r="AJ17" i="25"/>
  <c r="H67" i="26"/>
  <c r="AU29" i="38"/>
  <c r="BC34" i="40"/>
  <c r="AQ34" i="26"/>
  <c r="BX81" i="37"/>
  <c r="V34" i="40"/>
  <c r="CP45" i="40"/>
  <c r="AV30" i="37"/>
  <c r="BT13" i="41"/>
  <c r="BE9" i="38"/>
  <c r="S13" i="26"/>
  <c r="CV29" i="41"/>
  <c r="S62" i="1"/>
  <c r="AT65" i="25"/>
  <c r="N17" i="1"/>
  <c r="P54" i="38"/>
  <c r="BO17" i="37"/>
  <c r="AP37" i="36"/>
  <c r="BQ21" i="38"/>
  <c r="CE98" i="1"/>
  <c r="AA62" i="25"/>
  <c r="BZ25" i="41"/>
  <c r="BX50" i="26"/>
  <c r="N61" i="26"/>
  <c r="Y67" i="38"/>
  <c r="BV45" i="26"/>
  <c r="CK96" i="38"/>
  <c r="Y61" i="39"/>
  <c r="CB50" i="26"/>
  <c r="CN58" i="37"/>
  <c r="CS66" i="37"/>
  <c r="BW67" i="26"/>
  <c r="BV10" i="36"/>
  <c r="AS89" i="26"/>
  <c r="CX12" i="39"/>
  <c r="W24" i="38"/>
  <c r="CM18" i="41"/>
  <c r="CP54" i="40"/>
  <c r="BB89" i="39"/>
  <c r="CL103" i="36"/>
  <c r="AA75" i="1"/>
  <c r="CU103" i="36"/>
  <c r="J78" i="60"/>
  <c r="G75" i="60"/>
  <c r="I63" i="60"/>
  <c r="V34" i="39"/>
  <c r="AW79" i="38"/>
  <c r="BT60" i="36"/>
  <c r="AY60" i="40"/>
  <c r="CB49" i="41"/>
  <c r="Z48" i="38"/>
  <c r="G92" i="36"/>
  <c r="BH34" i="40"/>
  <c r="AF89" i="36"/>
  <c r="CB59" i="1"/>
  <c r="CF96" i="26"/>
  <c r="CO67" i="36"/>
  <c r="AW45" i="37"/>
  <c r="BC92" i="36"/>
  <c r="AC49" i="41"/>
  <c r="BO54" i="37"/>
  <c r="CB58" i="41"/>
  <c r="CK30" i="39"/>
  <c r="CP79" i="41"/>
  <c r="L30" i="39"/>
  <c r="W62" i="39"/>
  <c r="I29" i="38"/>
  <c r="N26" i="36"/>
  <c r="K73" i="60"/>
  <c r="CF12" i="39"/>
  <c r="AF10" i="39"/>
  <c r="AG18" i="25"/>
  <c r="DF92" i="25"/>
  <c r="BA71" i="41"/>
  <c r="BS102" i="25"/>
  <c r="Y21" i="39"/>
  <c r="AJ71" i="36"/>
  <c r="BH50" i="37"/>
  <c r="AZ81" i="40"/>
  <c r="BZ79" i="39"/>
  <c r="AT37" i="25"/>
  <c r="BW50" i="38"/>
  <c r="S67" i="1"/>
  <c r="AA54" i="25"/>
  <c r="CL102" i="37"/>
  <c r="CX102" i="36"/>
  <c r="AS12" i="36"/>
  <c r="AN12" i="40"/>
  <c r="CH91" i="36"/>
  <c r="CY34" i="1"/>
  <c r="BD58" i="38"/>
  <c r="CA81" i="26"/>
  <c r="M47" i="59"/>
  <c r="AW49" i="36"/>
  <c r="AA89" i="25"/>
  <c r="AN9" i="38"/>
  <c r="AY92" i="37"/>
  <c r="AM96" i="41"/>
  <c r="DD61" i="37"/>
  <c r="CR53" i="41"/>
  <c r="AG27" i="1"/>
  <c r="CQ45" i="38"/>
  <c r="DE71" i="25"/>
  <c r="CO17" i="26"/>
  <c r="CG102" i="38"/>
  <c r="P67" i="38"/>
  <c r="X48" i="25"/>
  <c r="J53" i="1"/>
  <c r="AC57" i="1"/>
  <c r="BQ58" i="41"/>
  <c r="K53" i="38"/>
  <c r="BS24" i="38"/>
  <c r="AE61" i="39"/>
  <c r="J86" i="60"/>
  <c r="DF17" i="26"/>
  <c r="CO62" i="40"/>
  <c r="DB62" i="1"/>
  <c r="W17" i="37"/>
  <c r="M18" i="41"/>
  <c r="DE96" i="1"/>
  <c r="AZ57" i="26"/>
  <c r="I8" i="64"/>
  <c r="BQ27" i="38"/>
  <c r="S18" i="41"/>
  <c r="AU26" i="38"/>
  <c r="T10" i="36"/>
  <c r="CX9" i="36"/>
  <c r="AP12" i="38"/>
  <c r="M12" i="26"/>
  <c r="CS24" i="37"/>
  <c r="AI27" i="39"/>
  <c r="BS66" i="39"/>
  <c r="BV79" i="40"/>
  <c r="BV89" i="37"/>
  <c r="AM92" i="39"/>
  <c r="CB89" i="36"/>
  <c r="DA9" i="1"/>
  <c r="CV92" i="25"/>
  <c r="AW17" i="39"/>
  <c r="CQ37" i="1"/>
  <c r="AD61" i="26"/>
  <c r="BD60" i="40"/>
  <c r="BA26" i="36"/>
  <c r="N49" i="1"/>
  <c r="CA96" i="1"/>
  <c r="CT98" i="38"/>
  <c r="CQ13" i="25"/>
  <c r="AU34" i="37"/>
  <c r="BO96" i="1"/>
  <c r="CS21" i="26"/>
  <c r="CE12" i="26"/>
  <c r="DA71" i="38"/>
  <c r="BH54" i="38"/>
  <c r="CM98" i="26"/>
  <c r="CZ29" i="38"/>
  <c r="BP91" i="40"/>
  <c r="CQ27" i="26"/>
  <c r="CY53" i="39"/>
  <c r="AN81" i="25"/>
  <c r="CA66" i="40"/>
  <c r="BO71" i="41"/>
  <c r="J59" i="41"/>
  <c r="CX49" i="38"/>
  <c r="G71" i="64"/>
  <c r="Y58" i="40"/>
  <c r="AR50" i="38"/>
  <c r="AU91" i="38"/>
  <c r="AJ12" i="38"/>
  <c r="M37" i="46"/>
  <c r="P49" i="36"/>
  <c r="BC81" i="39"/>
  <c r="BB12" i="40"/>
  <c r="M60" i="37"/>
  <c r="P61" i="39"/>
  <c r="CU54" i="25"/>
  <c r="AV9" i="1"/>
  <c r="DE98" i="1"/>
  <c r="BE67" i="40"/>
  <c r="X49" i="37"/>
  <c r="AY30" i="26"/>
  <c r="CV48" i="1"/>
  <c r="AC24" i="37"/>
  <c r="CB103" i="26"/>
  <c r="CL49" i="26"/>
  <c r="AW37" i="1"/>
  <c r="M81" i="38"/>
  <c r="AT89" i="38"/>
  <c r="BX66" i="38"/>
  <c r="BO30" i="1"/>
  <c r="BR89" i="25"/>
  <c r="CT79" i="1"/>
  <c r="J71" i="41"/>
  <c r="L35" i="60"/>
  <c r="BW27" i="39"/>
  <c r="CG24" i="41"/>
  <c r="BP50" i="26"/>
  <c r="P102" i="25"/>
  <c r="DE24" i="40"/>
  <c r="DC75" i="1"/>
  <c r="CD60" i="36"/>
  <c r="BB60" i="38"/>
  <c r="BX60" i="37"/>
  <c r="AB18" i="1"/>
  <c r="AP59" i="38"/>
  <c r="BW66" i="36"/>
  <c r="AS48" i="39"/>
  <c r="AQ75" i="41"/>
  <c r="BT49" i="37"/>
  <c r="CJ60" i="41"/>
  <c r="CG13" i="38"/>
  <c r="M48" i="25"/>
  <c r="P50" i="39"/>
  <c r="BB45" i="37"/>
  <c r="AY75" i="36"/>
  <c r="AY9" i="25"/>
  <c r="AN79" i="1"/>
  <c r="CN13" i="41"/>
  <c r="BT67" i="39"/>
  <c r="CB71" i="37"/>
  <c r="AN48" i="41"/>
  <c r="AX10" i="37"/>
  <c r="AS9" i="1"/>
  <c r="CL59" i="36"/>
  <c r="BZ92" i="37"/>
  <c r="AC65" i="38"/>
  <c r="AZ92" i="37"/>
  <c r="CC18" i="40"/>
  <c r="BR50" i="40"/>
  <c r="BC48" i="25"/>
  <c r="CX17" i="38"/>
  <c r="CO10" i="25"/>
  <c r="AC81" i="40"/>
  <c r="K67" i="40"/>
  <c r="AU21" i="40"/>
  <c r="W26" i="26"/>
  <c r="AM26" i="40"/>
  <c r="AE37" i="41"/>
  <c r="M57" i="60"/>
  <c r="DD92" i="41"/>
  <c r="J6" i="59"/>
  <c r="Y27" i="40"/>
  <c r="CJ79" i="40"/>
  <c r="CU102" i="37"/>
  <c r="CX62" i="40"/>
  <c r="AF66" i="40"/>
  <c r="CB27" i="26"/>
  <c r="BU24" i="39"/>
  <c r="G12" i="36"/>
  <c r="CT9" i="1"/>
  <c r="CX45" i="37"/>
  <c r="BS92" i="26"/>
  <c r="CB75" i="40"/>
  <c r="CA62" i="37"/>
  <c r="AG27" i="40"/>
  <c r="BZ103" i="41"/>
  <c r="CR98" i="1"/>
  <c r="BV53" i="25"/>
  <c r="CC59" i="1"/>
  <c r="AU75" i="40"/>
  <c r="AW61" i="41"/>
  <c r="BT67" i="37"/>
  <c r="CK66" i="26"/>
  <c r="BX75" i="39"/>
  <c r="DA30" i="26"/>
  <c r="CQ96" i="1"/>
  <c r="V67" i="37"/>
  <c r="AS9" i="38"/>
  <c r="CO103" i="38"/>
  <c r="I9" i="39"/>
  <c r="BI71" i="37"/>
  <c r="BX62" i="38"/>
  <c r="AU9" i="40"/>
  <c r="BU12" i="39"/>
  <c r="AO66" i="39"/>
  <c r="CX49" i="37"/>
  <c r="U25" i="37"/>
  <c r="AI102" i="39"/>
  <c r="DA21" i="40"/>
  <c r="AJ79" i="25"/>
  <c r="AR13" i="39"/>
  <c r="DF81" i="39"/>
  <c r="M96" i="38"/>
  <c r="CM58" i="26"/>
  <c r="AM61" i="38"/>
  <c r="BC57" i="41"/>
  <c r="AC67" i="36"/>
  <c r="H60" i="59"/>
  <c r="CM79" i="41"/>
  <c r="BV34" i="40"/>
  <c r="CU96" i="41"/>
  <c r="O79" i="39"/>
  <c r="CC66" i="38"/>
  <c r="CR57" i="40"/>
  <c r="Z60" i="1"/>
  <c r="CQ89" i="41"/>
  <c r="AJ34" i="37"/>
  <c r="CL57" i="40"/>
  <c r="I67" i="36"/>
  <c r="BA125" i="47"/>
  <c r="K8" i="59"/>
  <c r="W67" i="38"/>
  <c r="AW57" i="37"/>
  <c r="AC48" i="38"/>
  <c r="BZ61" i="25"/>
  <c r="CI91" i="41"/>
  <c r="AC96" i="25"/>
  <c r="AS29" i="25"/>
  <c r="DB26" i="40"/>
  <c r="BE67" i="41"/>
  <c r="AJ18" i="1"/>
  <c r="AY96" i="37"/>
  <c r="CN57" i="1"/>
  <c r="AQ24" i="1"/>
  <c r="AV102" i="41"/>
  <c r="BA75" i="41"/>
  <c r="CW45" i="41"/>
  <c r="BZ60" i="37"/>
  <c r="DE25" i="1"/>
  <c r="CH37" i="36"/>
  <c r="Y24" i="41"/>
  <c r="CI89" i="38"/>
  <c r="DA57" i="26"/>
  <c r="M54" i="36"/>
  <c r="CJ49" i="41"/>
  <c r="AY98" i="26"/>
  <c r="BV30" i="36"/>
  <c r="O45" i="26"/>
  <c r="AF75" i="1"/>
  <c r="BD58" i="39"/>
  <c r="AR50" i="39"/>
  <c r="BV79" i="1"/>
  <c r="AW58" i="41"/>
  <c r="AD17" i="40"/>
  <c r="AT45" i="41"/>
  <c r="CA10" i="36"/>
  <c r="I60" i="1"/>
  <c r="CO103" i="36"/>
  <c r="CG10" i="39"/>
  <c r="CG81" i="39"/>
  <c r="AP71" i="36"/>
  <c r="P71" i="1"/>
  <c r="BQ66" i="41"/>
  <c r="CT10" i="25"/>
  <c r="BX67" i="41"/>
  <c r="BQ18" i="40"/>
  <c r="BW58" i="41"/>
  <c r="BI66" i="36"/>
  <c r="AH91" i="40"/>
  <c r="BD13" i="39"/>
  <c r="CX81" i="37"/>
  <c r="CO30" i="1"/>
  <c r="CU60" i="36"/>
  <c r="Y49" i="25"/>
  <c r="CH75" i="25"/>
  <c r="BB121" i="47"/>
  <c r="DB53" i="25"/>
  <c r="BY10" i="41"/>
  <c r="CP18" i="1"/>
  <c r="AX29" i="25"/>
  <c r="Z92" i="37"/>
  <c r="CK21" i="36"/>
  <c r="AU58" i="40"/>
  <c r="AC34" i="26"/>
  <c r="DA103" i="39"/>
  <c r="AC45" i="26"/>
  <c r="CQ24" i="36"/>
  <c r="CR45" i="37"/>
  <c r="BO18" i="37"/>
  <c r="AO79" i="26"/>
  <c r="BS59" i="25"/>
  <c r="DC9" i="41"/>
  <c r="D34" i="59"/>
  <c r="DC58" i="26"/>
  <c r="H92" i="26"/>
  <c r="CR37" i="25"/>
  <c r="AO21" i="26"/>
  <c r="DC27" i="41"/>
  <c r="BR75" i="26"/>
  <c r="CI27" i="40"/>
  <c r="I26" i="41"/>
  <c r="H60" i="36"/>
  <c r="AT58" i="40"/>
  <c r="AR48" i="41"/>
  <c r="AH89" i="38"/>
  <c r="BS59" i="37"/>
  <c r="CY25" i="26"/>
  <c r="BS17" i="37"/>
  <c r="DE10" i="37"/>
  <c r="AS25" i="25"/>
  <c r="G17" i="40"/>
  <c r="CT92" i="41"/>
  <c r="CJ27" i="41"/>
  <c r="DE65" i="25"/>
  <c r="AU54" i="1"/>
  <c r="AP58" i="38"/>
  <c r="CU98" i="36"/>
  <c r="DA21" i="37"/>
  <c r="CY26" i="39"/>
  <c r="CG48" i="26"/>
  <c r="X81" i="38"/>
  <c r="V71" i="39"/>
  <c r="BO48" i="38"/>
  <c r="Y18" i="1"/>
  <c r="I13" i="37"/>
  <c r="H18" i="36"/>
  <c r="N96" i="37"/>
  <c r="BQ65" i="38"/>
  <c r="CB26" i="39"/>
  <c r="S67" i="37"/>
  <c r="CF30" i="39"/>
  <c r="BD9" i="37"/>
  <c r="BZ48" i="26"/>
  <c r="X30" i="41"/>
  <c r="BT91" i="26"/>
  <c r="AF53" i="38"/>
  <c r="AB10" i="40"/>
  <c r="CL37" i="36"/>
  <c r="J21" i="1"/>
  <c r="CQ12" i="37"/>
  <c r="N102" i="38"/>
  <c r="BS62" i="36"/>
  <c r="CY81" i="38"/>
  <c r="CH17" i="36"/>
  <c r="BI21" i="25"/>
  <c r="BV9" i="39"/>
  <c r="BZ30" i="36"/>
  <c r="BY18" i="39"/>
  <c r="J71" i="64"/>
  <c r="V62" i="41"/>
  <c r="T58" i="25"/>
  <c r="AB81" i="1"/>
  <c r="V66" i="1"/>
  <c r="BR27" i="39"/>
  <c r="BO34" i="1"/>
  <c r="AF81" i="40"/>
  <c r="BB81" i="25"/>
  <c r="AE48" i="40"/>
  <c r="CO66" i="39"/>
  <c r="BI50" i="38"/>
  <c r="AY9" i="26"/>
  <c r="DB9" i="38"/>
  <c r="CR18" i="1"/>
  <c r="H71" i="36"/>
  <c r="BP62" i="39"/>
  <c r="CM29" i="41"/>
  <c r="AO62" i="41"/>
  <c r="AG27" i="37"/>
  <c r="CX81" i="26"/>
  <c r="AX50" i="39"/>
  <c r="P53" i="41"/>
  <c r="AU61" i="37"/>
  <c r="I61" i="38"/>
  <c r="AP62" i="26"/>
  <c r="Y50" i="1"/>
  <c r="CQ79" i="37"/>
  <c r="AQ91" i="40"/>
  <c r="M34" i="26"/>
  <c r="CU65" i="25"/>
  <c r="U29" i="41"/>
  <c r="BS91" i="36"/>
  <c r="BZ81" i="40"/>
  <c r="K49" i="60"/>
  <c r="X21" i="37"/>
  <c r="CP66" i="26"/>
  <c r="L60" i="1"/>
  <c r="DE34" i="25"/>
  <c r="E9" i="64"/>
  <c r="CJ103" i="37"/>
  <c r="L73" i="64"/>
  <c r="BA9" i="40"/>
  <c r="BZ10" i="25"/>
  <c r="AI12" i="38"/>
  <c r="AY27" i="36"/>
  <c r="AR92" i="39"/>
  <c r="AC71" i="40"/>
  <c r="CN37" i="41"/>
  <c r="BH34" i="25"/>
  <c r="CO48" i="39"/>
  <c r="DD27" i="37"/>
  <c r="CU10" i="38"/>
  <c r="CO92" i="39"/>
  <c r="CU48" i="40"/>
  <c r="CD21" i="37"/>
  <c r="CH30" i="39"/>
  <c r="BE24" i="41"/>
  <c r="CM18" i="26"/>
  <c r="DF102" i="26"/>
  <c r="Z58" i="39"/>
  <c r="CR62" i="37"/>
  <c r="AA18" i="26"/>
  <c r="AY54" i="25"/>
  <c r="AQ12" i="36"/>
  <c r="BZ29" i="39"/>
  <c r="I17" i="41"/>
  <c r="CB53" i="37"/>
  <c r="BY65" i="39"/>
  <c r="CG91" i="38"/>
  <c r="BQ13" i="39"/>
  <c r="BD10" i="37"/>
  <c r="V66" i="40"/>
  <c r="CM30" i="39"/>
  <c r="CP54" i="1"/>
  <c r="CY65" i="40"/>
  <c r="H75" i="60"/>
  <c r="BY9" i="38"/>
  <c r="BW12" i="40"/>
  <c r="CB17" i="26"/>
  <c r="AH98" i="37"/>
  <c r="BV58" i="1"/>
  <c r="CS71" i="38"/>
  <c r="CK66" i="25"/>
  <c r="CV103" i="25"/>
  <c r="AJ54" i="41"/>
  <c r="BH18" i="36"/>
  <c r="BU58" i="41"/>
  <c r="V57" i="36"/>
  <c r="AG9" i="40"/>
  <c r="AH67" i="25"/>
  <c r="BV13" i="26"/>
  <c r="BV24" i="38"/>
  <c r="CB53" i="40"/>
  <c r="CN49" i="26"/>
  <c r="X50" i="36"/>
  <c r="BA10" i="36"/>
  <c r="CD10" i="39"/>
  <c r="AQ61" i="36"/>
  <c r="AV58" i="37"/>
  <c r="DA34" i="25"/>
  <c r="AJ98" i="25"/>
  <c r="AU102" i="1"/>
  <c r="DA10" i="38"/>
  <c r="CY21" i="25"/>
  <c r="CZ98" i="38"/>
  <c r="CN17" i="41"/>
  <c r="AD34" i="39"/>
  <c r="CH61" i="41"/>
  <c r="AC71" i="37"/>
  <c r="BH65" i="36"/>
  <c r="AH58" i="40"/>
  <c r="BE24" i="40"/>
  <c r="CE98" i="40"/>
  <c r="AA34" i="40"/>
  <c r="BW18" i="36"/>
  <c r="Y10" i="41"/>
  <c r="AJ65" i="40"/>
  <c r="BB29" i="39"/>
  <c r="DC25" i="39"/>
  <c r="P27" i="26"/>
  <c r="CI24" i="38"/>
  <c r="T25" i="36"/>
  <c r="CK10" i="26"/>
  <c r="AV61" i="39"/>
  <c r="CT66" i="25"/>
  <c r="T102" i="41"/>
  <c r="H18" i="25"/>
  <c r="G18" i="46"/>
  <c r="I58" i="1"/>
  <c r="CH17" i="1"/>
  <c r="BR48" i="36"/>
  <c r="DF89" i="39"/>
  <c r="G46" i="60"/>
  <c r="AF45" i="1"/>
  <c r="BZ37" i="26"/>
  <c r="DC102" i="41"/>
  <c r="AD98" i="37"/>
  <c r="BT18" i="38"/>
  <c r="BO66" i="25"/>
  <c r="K91" i="26"/>
  <c r="BV49" i="26"/>
  <c r="AJ91" i="25"/>
  <c r="CU67" i="38"/>
  <c r="G26" i="36"/>
  <c r="CC37" i="25"/>
  <c r="AO96" i="1"/>
  <c r="BX92" i="1"/>
  <c r="G13" i="36"/>
  <c r="BU96" i="40"/>
  <c r="AE17" i="25"/>
  <c r="BY12" i="36"/>
  <c r="CU59" i="40"/>
  <c r="Y66" i="40"/>
  <c r="AP30" i="41"/>
  <c r="CA81" i="36"/>
  <c r="AX37" i="26"/>
  <c r="AN27" i="36"/>
  <c r="CP102" i="40"/>
  <c r="BV103" i="41"/>
  <c r="CQ98" i="1"/>
  <c r="X27" i="40"/>
  <c r="BP29" i="37"/>
  <c r="DE57" i="26"/>
  <c r="CT54" i="37"/>
  <c r="BA89" i="40"/>
  <c r="Y81" i="1"/>
  <c r="CP26" i="25"/>
  <c r="CX103" i="36"/>
  <c r="BT48" i="40"/>
  <c r="W27" i="41"/>
  <c r="AM25" i="26"/>
  <c r="AF30" i="25"/>
  <c r="AY65" i="26"/>
  <c r="P10" i="38"/>
  <c r="DA75" i="1"/>
  <c r="BQ27" i="40"/>
  <c r="AB91" i="39"/>
  <c r="CA66" i="38"/>
  <c r="AI65" i="39"/>
  <c r="AV10" i="25"/>
  <c r="I60" i="40"/>
  <c r="L50" i="25"/>
  <c r="K89" i="39"/>
  <c r="M62" i="41"/>
  <c r="G12" i="26"/>
  <c r="AS18" i="26"/>
  <c r="CE103" i="38"/>
  <c r="AA61" i="26"/>
  <c r="G72" i="64"/>
  <c r="G17" i="36"/>
  <c r="CJ17" i="38"/>
  <c r="BT75" i="40"/>
  <c r="BQ89" i="37"/>
  <c r="AC37" i="40"/>
  <c r="AO92" i="37"/>
  <c r="DE12" i="1"/>
  <c r="BO54" i="25"/>
  <c r="CW79" i="39"/>
  <c r="AB26" i="36"/>
  <c r="M89" i="25"/>
  <c r="CV54" i="25"/>
  <c r="AR81" i="25"/>
  <c r="CN71" i="26"/>
  <c r="AH10" i="26"/>
  <c r="AS21" i="39"/>
  <c r="CD24" i="38"/>
  <c r="CV49" i="37"/>
  <c r="CT24" i="40"/>
  <c r="BB37" i="25"/>
  <c r="AB29" i="25"/>
  <c r="AZ314" i="47"/>
  <c r="X66" i="38"/>
  <c r="CB67" i="40"/>
  <c r="BE57" i="1"/>
  <c r="BS54" i="25"/>
  <c r="CN26" i="37"/>
  <c r="H9" i="26"/>
  <c r="AO54" i="40"/>
  <c r="AE50" i="40"/>
  <c r="BT61" i="1"/>
  <c r="L59" i="1"/>
  <c r="X54" i="25"/>
  <c r="CS89" i="40"/>
  <c r="CA75" i="36"/>
  <c r="AH57" i="36"/>
  <c r="CB91" i="38"/>
  <c r="DF26" i="36"/>
  <c r="U53" i="38"/>
  <c r="X17" i="26"/>
  <c r="AE26" i="38"/>
  <c r="AD34" i="25"/>
  <c r="CM17" i="36"/>
  <c r="BV12" i="36"/>
  <c r="L52" i="64"/>
  <c r="CO21" i="41"/>
  <c r="N13" i="41"/>
  <c r="K79" i="1"/>
  <c r="BW62" i="39"/>
  <c r="CQ17" i="36"/>
  <c r="BY71" i="38"/>
  <c r="CW34" i="26"/>
  <c r="AZ75" i="39"/>
  <c r="BR25" i="41"/>
  <c r="S18" i="36"/>
  <c r="AP30" i="39"/>
  <c r="BT98" i="1"/>
  <c r="CR26" i="36"/>
  <c r="CH12" i="25"/>
  <c r="CX60" i="38"/>
  <c r="AE50" i="38"/>
  <c r="BS37" i="37"/>
  <c r="BV10" i="39"/>
  <c r="AO59" i="38"/>
  <c r="BU98" i="25"/>
  <c r="H24" i="60"/>
  <c r="Y92" i="25"/>
  <c r="AY18" i="39"/>
  <c r="BT49" i="41"/>
  <c r="J9" i="1"/>
  <c r="BU58" i="37"/>
  <c r="CZ37" i="41"/>
  <c r="Y48" i="41"/>
  <c r="CX17" i="37"/>
  <c r="CF65" i="41"/>
  <c r="CT91" i="40"/>
  <c r="CC49" i="38"/>
  <c r="CQ75" i="25"/>
  <c r="G30" i="37"/>
  <c r="T75" i="40"/>
  <c r="AN60" i="40"/>
  <c r="CH65" i="40"/>
  <c r="CZ79" i="26"/>
  <c r="AD66" i="41"/>
  <c r="AO29" i="26"/>
  <c r="BH54" i="40"/>
  <c r="AF27" i="36"/>
  <c r="CT50" i="36"/>
  <c r="CX59" i="39"/>
  <c r="BQ30" i="39"/>
  <c r="BD26" i="40"/>
  <c r="AI10" i="25"/>
  <c r="AI58" i="26"/>
  <c r="AJ37" i="39"/>
  <c r="CI30" i="41"/>
  <c r="DC65" i="40"/>
  <c r="CP29" i="1"/>
  <c r="BX50" i="38"/>
  <c r="L34" i="25"/>
  <c r="W89" i="37"/>
  <c r="CH12" i="36"/>
  <c r="CB54" i="41"/>
  <c r="AG37" i="37"/>
  <c r="AN50" i="38"/>
  <c r="CV98" i="41"/>
  <c r="AX62" i="38"/>
  <c r="CW65" i="26"/>
  <c r="CI26" i="36"/>
  <c r="BB9" i="38"/>
  <c r="AG54" i="37"/>
  <c r="X81" i="41"/>
  <c r="CU49" i="37"/>
  <c r="P10" i="39"/>
  <c r="BW17" i="26"/>
  <c r="O53" i="36"/>
  <c r="AZ59" i="37"/>
  <c r="BE66" i="38"/>
  <c r="AW50" i="1"/>
  <c r="AF89" i="38"/>
  <c r="AM26" i="25"/>
  <c r="L24" i="26"/>
  <c r="CD103" i="37"/>
  <c r="DE27" i="38"/>
  <c r="AC89" i="1"/>
  <c r="BO62" i="36"/>
  <c r="Z48" i="37"/>
  <c r="CI81" i="41"/>
  <c r="AC29" i="1"/>
  <c r="U79" i="26"/>
  <c r="G53" i="40"/>
  <c r="M37" i="25"/>
  <c r="DF62" i="39"/>
  <c r="BR18" i="1"/>
  <c r="BH18" i="40"/>
  <c r="CL91" i="39"/>
  <c r="CZ67" i="40"/>
  <c r="S92" i="1"/>
  <c r="CT12" i="26"/>
  <c r="T17" i="40"/>
  <c r="CX75" i="1"/>
  <c r="AT79" i="1"/>
  <c r="CA48" i="26"/>
  <c r="AH48" i="26"/>
  <c r="AB34" i="41"/>
  <c r="BE91" i="25"/>
  <c r="AT57" i="36"/>
  <c r="Z50" i="38"/>
  <c r="T54" i="36"/>
  <c r="BR29" i="36"/>
  <c r="CE89" i="39"/>
  <c r="CU54" i="36"/>
  <c r="DB75" i="38"/>
  <c r="AP21" i="41"/>
  <c r="K102" i="39"/>
  <c r="AW57" i="40"/>
  <c r="H37" i="37"/>
  <c r="BW66" i="41"/>
  <c r="AY311" i="47"/>
  <c r="AJ25" i="39"/>
  <c r="DA17" i="26"/>
  <c r="AU66" i="26"/>
  <c r="DE81" i="38"/>
  <c r="P57" i="37"/>
  <c r="CF71" i="41"/>
  <c r="J67" i="25"/>
  <c r="CU65" i="38"/>
  <c r="AG34" i="36"/>
  <c r="CD71" i="41"/>
  <c r="CW61" i="39"/>
  <c r="AW27" i="40"/>
  <c r="BQ21" i="37"/>
  <c r="BV102" i="41"/>
  <c r="AW92" i="37"/>
  <c r="AA58" i="38"/>
  <c r="CO61" i="1"/>
  <c r="AD10" i="1"/>
  <c r="CF34" i="1"/>
  <c r="BP89" i="25"/>
  <c r="CN24" i="1"/>
  <c r="U29" i="36"/>
  <c r="CD29" i="1"/>
  <c r="BT54" i="37"/>
  <c r="L62" i="25"/>
  <c r="CK61" i="26"/>
  <c r="AN65" i="36"/>
  <c r="BR71" i="26"/>
  <c r="BH13" i="37"/>
  <c r="Z57" i="1"/>
  <c r="BP75" i="37"/>
  <c r="CG37" i="25"/>
  <c r="DC66" i="26"/>
  <c r="F51" i="64"/>
  <c r="AE71" i="41"/>
  <c r="CH13" i="41"/>
  <c r="DB81" i="38"/>
  <c r="BO102" i="26"/>
  <c r="CE91" i="1"/>
  <c r="J37" i="41"/>
  <c r="AT61" i="38"/>
  <c r="CZ54" i="40"/>
  <c r="CK67" i="37"/>
  <c r="CN53" i="37"/>
  <c r="CL17" i="36"/>
  <c r="CK27" i="36"/>
  <c r="CM12" i="40"/>
  <c r="CW17" i="40"/>
  <c r="AR24" i="40"/>
  <c r="CR27" i="37"/>
  <c r="BY48" i="41"/>
  <c r="X10" i="40"/>
  <c r="I67" i="38"/>
  <c r="CH102" i="37"/>
  <c r="CO81" i="40"/>
  <c r="CG34" i="40"/>
  <c r="L67" i="40"/>
  <c r="Y91" i="41"/>
  <c r="K21" i="37"/>
  <c r="AJ13" i="1"/>
  <c r="DF67" i="37"/>
  <c r="BV34" i="1"/>
  <c r="AV96" i="40"/>
  <c r="CH10" i="39"/>
  <c r="S62" i="40"/>
  <c r="CQ65" i="38"/>
  <c r="DD50" i="41"/>
  <c r="J85" i="60"/>
  <c r="BP24" i="25"/>
  <c r="AJ102" i="1"/>
  <c r="AI48" i="40"/>
  <c r="CZ71" i="26"/>
  <c r="BO79" i="25"/>
  <c r="AQ57" i="41"/>
  <c r="BS27" i="36"/>
  <c r="O29" i="40"/>
  <c r="AU18" i="37"/>
  <c r="G79" i="39"/>
  <c r="G20" i="46"/>
  <c r="AC45" i="40"/>
  <c r="AM65" i="40"/>
  <c r="CG81" i="41"/>
  <c r="CI53" i="25"/>
  <c r="CM18" i="1"/>
  <c r="CI49" i="38"/>
  <c r="BA12" i="25"/>
  <c r="CB67" i="25"/>
  <c r="AM34" i="1"/>
  <c r="CT50" i="37"/>
  <c r="AA75" i="26"/>
  <c r="W58" i="36"/>
  <c r="AC59" i="39"/>
  <c r="BT54" i="38"/>
  <c r="CZ92" i="39"/>
  <c r="CP26" i="40"/>
  <c r="BS65" i="41"/>
  <c r="BH89" i="26"/>
  <c r="BZ75" i="26"/>
  <c r="AI58" i="38"/>
  <c r="BR13" i="41"/>
  <c r="BT62" i="25"/>
  <c r="H54" i="37"/>
  <c r="CB29" i="38"/>
  <c r="G60" i="25"/>
  <c r="AN75" i="40"/>
  <c r="CI13" i="38"/>
  <c r="K81" i="1"/>
  <c r="CX30" i="40"/>
  <c r="CI60" i="1"/>
  <c r="BE66" i="41"/>
  <c r="V24" i="39"/>
  <c r="CY81" i="37"/>
  <c r="CC48" i="25"/>
  <c r="BU45" i="38"/>
  <c r="CN58" i="40"/>
  <c r="CD27" i="39"/>
  <c r="AY9" i="38"/>
  <c r="CG27" i="26"/>
  <c r="P75" i="25"/>
  <c r="CI96" i="37"/>
  <c r="M14" i="64"/>
  <c r="DE9" i="26"/>
  <c r="CI13" i="1"/>
  <c r="AJ81" i="36"/>
  <c r="CR59" i="25"/>
  <c r="BD18" i="41"/>
  <c r="L8" i="64"/>
  <c r="BT98" i="40"/>
  <c r="M50" i="41"/>
  <c r="AE67" i="36"/>
  <c r="BV37" i="41"/>
  <c r="I92" i="39"/>
  <c r="AB62" i="38"/>
  <c r="AB61" i="41"/>
  <c r="DE24" i="37"/>
  <c r="CY9" i="40"/>
  <c r="AJ29" i="26"/>
  <c r="AB13" i="37"/>
  <c r="O59" i="38"/>
  <c r="BB12" i="25"/>
  <c r="CN12" i="26"/>
  <c r="BA126" i="47"/>
  <c r="BA92" i="26"/>
  <c r="DC102" i="38"/>
  <c r="AF45" i="41"/>
  <c r="AB49" i="1"/>
  <c r="BI12" i="38"/>
  <c r="AX53" i="1"/>
  <c r="S71" i="25"/>
  <c r="BS18" i="25"/>
  <c r="CN59" i="39"/>
  <c r="M62" i="40"/>
  <c r="DB96" i="26"/>
  <c r="BC24" i="40"/>
  <c r="CA24" i="39"/>
  <c r="CF92" i="40"/>
  <c r="CS30" i="1"/>
  <c r="CQ10" i="38"/>
  <c r="BP17" i="38"/>
  <c r="BE54" i="25"/>
  <c r="AU9" i="36"/>
  <c r="X61" i="37"/>
  <c r="AA17" i="36"/>
  <c r="DF37" i="41"/>
  <c r="CI66" i="1"/>
  <c r="BP60" i="26"/>
  <c r="U66" i="41"/>
  <c r="CQ10" i="26"/>
  <c r="BO30" i="26"/>
  <c r="CJ10" i="37"/>
  <c r="CN24" i="36"/>
  <c r="CO17" i="25"/>
  <c r="BS27" i="38"/>
  <c r="CX21" i="40"/>
  <c r="AA91" i="38"/>
  <c r="AO61" i="37"/>
  <c r="BO71" i="36"/>
  <c r="CQ61" i="38"/>
  <c r="AF10" i="1"/>
  <c r="BP26" i="1"/>
  <c r="BE13" i="25"/>
  <c r="K27" i="25"/>
  <c r="AQ54" i="1"/>
  <c r="BG312" i="47"/>
  <c r="CJ65" i="37"/>
  <c r="AY49" i="41"/>
  <c r="AC79" i="41"/>
  <c r="AN9" i="36"/>
  <c r="CS25" i="41"/>
  <c r="CK13" i="37"/>
  <c r="AF49" i="26"/>
  <c r="AX66" i="36"/>
  <c r="BT91" i="37"/>
  <c r="AE34" i="36"/>
  <c r="BQ67" i="37"/>
  <c r="CL103" i="39"/>
  <c r="BY48" i="37"/>
  <c r="N49" i="37"/>
  <c r="CH37" i="26"/>
  <c r="P71" i="37"/>
  <c r="AG21" i="36"/>
  <c r="DA60" i="38"/>
  <c r="DD60" i="36"/>
  <c r="U26" i="1"/>
  <c r="CS59" i="41"/>
  <c r="O60" i="25"/>
  <c r="AO25" i="1"/>
  <c r="AW96" i="41"/>
  <c r="AI53" i="39"/>
  <c r="DD27" i="26"/>
  <c r="BT54" i="39"/>
  <c r="CJ29" i="41"/>
  <c r="CD13" i="1"/>
  <c r="X18" i="38"/>
  <c r="AN13" i="25"/>
  <c r="BB89" i="37"/>
  <c r="BT10" i="37"/>
  <c r="BQ71" i="1"/>
  <c r="CC71" i="38"/>
  <c r="CA62" i="26"/>
  <c r="CL81" i="37"/>
  <c r="CQ37" i="26"/>
  <c r="CI21" i="37"/>
  <c r="K12" i="38"/>
  <c r="CH60" i="36"/>
  <c r="BQ25" i="36"/>
  <c r="V48" i="25"/>
  <c r="BS67" i="25"/>
  <c r="J34" i="37"/>
  <c r="CB81" i="39"/>
  <c r="M98" i="26"/>
  <c r="BX71" i="39"/>
  <c r="BR30" i="40"/>
  <c r="CG48" i="36"/>
  <c r="BD21" i="40"/>
  <c r="BU53" i="26"/>
  <c r="BW98" i="36"/>
  <c r="AT92" i="25"/>
  <c r="CX89" i="38"/>
  <c r="BT48" i="38"/>
  <c r="AB29" i="37"/>
  <c r="AH48" i="37"/>
  <c r="BV13" i="38"/>
  <c r="DA25" i="1"/>
  <c r="BQ50" i="39"/>
  <c r="DE30" i="38"/>
  <c r="BP60" i="36"/>
  <c r="L96" i="38"/>
  <c r="G45" i="40"/>
  <c r="AS75" i="25"/>
  <c r="BC66" i="39"/>
  <c r="CG48" i="38"/>
  <c r="CL53" i="26"/>
  <c r="BR103" i="25"/>
  <c r="AT34" i="25"/>
  <c r="CQ18" i="26"/>
  <c r="BE30" i="40"/>
  <c r="H67" i="41"/>
  <c r="AG30" i="41"/>
  <c r="AT96" i="1"/>
  <c r="CS12" i="25"/>
  <c r="BH102" i="38"/>
  <c r="AI61" i="25"/>
  <c r="BA62" i="1"/>
  <c r="CB10" i="39"/>
  <c r="BT17" i="26"/>
  <c r="BU57" i="41"/>
  <c r="AF17" i="41"/>
  <c r="CD50" i="36"/>
  <c r="L58" i="39"/>
  <c r="CM26" i="1"/>
  <c r="CO26" i="36"/>
  <c r="CT65" i="38"/>
  <c r="CS34" i="25"/>
  <c r="L89" i="41"/>
  <c r="CD103" i="39"/>
  <c r="K19" i="59"/>
  <c r="CP71" i="37"/>
  <c r="CW61" i="38"/>
  <c r="AW57" i="41"/>
  <c r="U12" i="41"/>
  <c r="AZ9" i="39"/>
  <c r="AH49" i="40"/>
  <c r="BO67" i="25"/>
  <c r="H15" i="60"/>
  <c r="J47" i="60"/>
  <c r="CW54" i="39"/>
  <c r="CS45" i="40"/>
  <c r="L62" i="40"/>
  <c r="AA66" i="41"/>
  <c r="BZ25" i="39"/>
  <c r="BC17" i="38"/>
  <c r="AR62" i="41"/>
  <c r="CS54" i="26"/>
  <c r="AT54" i="1"/>
  <c r="BH58" i="26"/>
  <c r="CJ75" i="25"/>
  <c r="AU30" i="39"/>
  <c r="BO71" i="38"/>
  <c r="I61" i="41"/>
  <c r="CO25" i="39"/>
  <c r="AN89" i="26"/>
  <c r="AY49" i="38"/>
  <c r="AO81" i="38"/>
  <c r="BA37" i="37"/>
  <c r="AP54" i="39"/>
  <c r="I62" i="39"/>
  <c r="V45" i="39"/>
  <c r="BA98" i="1"/>
  <c r="DA71" i="25"/>
  <c r="DE53" i="25"/>
  <c r="AA54" i="36"/>
  <c r="M49" i="41"/>
  <c r="CD59" i="38"/>
  <c r="H27" i="41"/>
  <c r="BS37" i="39"/>
  <c r="AR60" i="25"/>
  <c r="AD91" i="36"/>
  <c r="CL92" i="25"/>
  <c r="AR21" i="36"/>
  <c r="AJ54" i="1"/>
  <c r="AU65" i="38"/>
  <c r="L89" i="26"/>
  <c r="AX34" i="39"/>
  <c r="CL53" i="39"/>
  <c r="BV54" i="25"/>
  <c r="AM29" i="40"/>
  <c r="AY26" i="39"/>
  <c r="CH61" i="1"/>
  <c r="K27" i="26"/>
  <c r="BX61" i="40"/>
  <c r="BQ17" i="1"/>
  <c r="DD54" i="40"/>
  <c r="Z25" i="36"/>
  <c r="DB62" i="36"/>
  <c r="CD59" i="37"/>
  <c r="AR60" i="39"/>
  <c r="BE58" i="26"/>
  <c r="BU26" i="40"/>
  <c r="CN26" i="25"/>
  <c r="M18" i="40"/>
  <c r="AB75" i="36"/>
  <c r="CS75" i="25"/>
  <c r="CR9" i="37"/>
  <c r="AX18" i="36"/>
  <c r="AP27" i="37"/>
  <c r="AZ98" i="26"/>
  <c r="S60" i="38"/>
  <c r="BQ12" i="40"/>
  <c r="CN67" i="1"/>
  <c r="AG53" i="25"/>
  <c r="BE54" i="36"/>
  <c r="AF58" i="39"/>
  <c r="BR66" i="26"/>
  <c r="AG62" i="41"/>
  <c r="AQ66" i="26"/>
  <c r="CP57" i="39"/>
  <c r="L47" i="60"/>
  <c r="CH25" i="39"/>
  <c r="L26" i="40"/>
  <c r="I23" i="60"/>
  <c r="AW29" i="36"/>
  <c r="CA50" i="37"/>
  <c r="K81" i="37"/>
  <c r="BA66" i="1"/>
  <c r="I96" i="36"/>
  <c r="AY96" i="40"/>
  <c r="CU92" i="41"/>
  <c r="CC49" i="40"/>
  <c r="BE100" i="47"/>
  <c r="CD66" i="37"/>
  <c r="CY59" i="36"/>
  <c r="AZ37" i="38"/>
  <c r="BC30" i="38"/>
  <c r="CF75" i="39"/>
  <c r="DC53" i="38"/>
  <c r="DF21" i="39"/>
  <c r="DA66" i="41"/>
  <c r="BH26" i="36"/>
  <c r="CN34" i="37"/>
  <c r="CC18" i="25"/>
  <c r="BY59" i="37"/>
  <c r="CC17" i="36"/>
  <c r="AO50" i="41"/>
  <c r="CG71" i="36"/>
  <c r="CH21" i="41"/>
  <c r="Z67" i="25"/>
  <c r="BO75" i="41"/>
  <c r="AQ26" i="37"/>
  <c r="CZ102" i="26"/>
  <c r="DB62" i="39"/>
  <c r="CE9" i="40"/>
  <c r="CJ50" i="37"/>
  <c r="N60" i="26"/>
  <c r="BZ9" i="41"/>
  <c r="DE45" i="25"/>
  <c r="BQ102" i="36"/>
  <c r="H24" i="1"/>
  <c r="AF60" i="26"/>
  <c r="M24" i="60"/>
  <c r="M9" i="36"/>
  <c r="CA9" i="26"/>
  <c r="AD48" i="41"/>
  <c r="T37" i="40"/>
  <c r="CX17" i="39"/>
  <c r="CN79" i="39"/>
  <c r="AX62" i="26"/>
  <c r="AG91" i="1"/>
  <c r="BT24" i="26"/>
  <c r="BO71" i="26"/>
  <c r="AG58" i="41"/>
  <c r="DE59" i="38"/>
  <c r="K75" i="41"/>
  <c r="O18" i="26"/>
  <c r="AT60" i="1"/>
  <c r="J46" i="60"/>
  <c r="BC60" i="41"/>
  <c r="AX89" i="40"/>
  <c r="CE91" i="38"/>
  <c r="BD53" i="39"/>
  <c r="E88" i="60"/>
  <c r="CY18" i="37"/>
  <c r="BH29" i="41"/>
  <c r="CB67" i="39"/>
  <c r="K48" i="59"/>
  <c r="BC17" i="39"/>
  <c r="BC96" i="41"/>
  <c r="AE60" i="41"/>
  <c r="AB54" i="25"/>
  <c r="AD81" i="36"/>
  <c r="H12" i="59"/>
  <c r="BU54" i="39"/>
  <c r="BR91" i="25"/>
  <c r="CJ96" i="41"/>
  <c r="H18" i="40"/>
  <c r="DC45" i="37"/>
  <c r="BR18" i="36"/>
  <c r="AO91" i="25"/>
  <c r="CH30" i="38"/>
  <c r="AO71" i="38"/>
  <c r="BC13" i="25"/>
  <c r="BW96" i="40"/>
  <c r="BI58" i="41"/>
  <c r="CT61" i="25"/>
  <c r="CW60" i="1"/>
  <c r="Y13" i="36"/>
  <c r="J45" i="38"/>
  <c r="AI53" i="38"/>
  <c r="CS62" i="25"/>
  <c r="T54" i="26"/>
  <c r="AD81" i="25"/>
  <c r="BU27" i="40"/>
  <c r="AN30" i="26"/>
  <c r="CL27" i="38"/>
  <c r="G10" i="41"/>
  <c r="BI49" i="39"/>
  <c r="AZ89" i="39"/>
  <c r="AT21" i="38"/>
  <c r="O57" i="37"/>
  <c r="M53" i="38"/>
  <c r="AX59" i="40"/>
  <c r="AZ81" i="37"/>
  <c r="BG126" i="47"/>
  <c r="BW30" i="38"/>
  <c r="I89" i="60"/>
  <c r="AD49" i="26"/>
  <c r="BE53" i="37"/>
  <c r="AT57" i="41"/>
  <c r="AI21" i="26"/>
  <c r="AI34" i="37"/>
  <c r="BX54" i="26"/>
  <c r="BO30" i="40"/>
  <c r="CK58" i="40"/>
  <c r="CM57" i="41"/>
  <c r="CJ53" i="1"/>
  <c r="AQ57" i="38"/>
  <c r="CY26" i="1"/>
  <c r="CB103" i="41"/>
  <c r="AY71" i="38"/>
  <c r="AD102" i="26"/>
  <c r="CZ50" i="40"/>
  <c r="CT49" i="25"/>
  <c r="AT67" i="26"/>
  <c r="DD45" i="38"/>
  <c r="AD9" i="38"/>
  <c r="AZ13" i="39"/>
  <c r="BE17" i="26"/>
  <c r="CV53" i="36"/>
  <c r="BC89" i="26"/>
  <c r="BA129" i="47"/>
  <c r="O48" i="25"/>
  <c r="CL12" i="36"/>
  <c r="V17" i="36"/>
  <c r="CS27" i="36"/>
  <c r="CB24" i="39"/>
  <c r="CD29" i="41"/>
  <c r="AY26" i="36"/>
  <c r="Z81" i="36"/>
  <c r="AU102" i="38"/>
  <c r="BX27" i="26"/>
  <c r="X24" i="36"/>
  <c r="AX54" i="38"/>
  <c r="CH25" i="37"/>
  <c r="CD89" i="37"/>
  <c r="Y62" i="26"/>
  <c r="BT71" i="25"/>
  <c r="AM18" i="39"/>
  <c r="BQ18" i="37"/>
  <c r="Y17" i="41"/>
  <c r="AV62" i="37"/>
  <c r="CG37" i="40"/>
  <c r="O12" i="38"/>
  <c r="BC12" i="38"/>
  <c r="BZ9" i="40"/>
  <c r="AB58" i="25"/>
  <c r="DA92" i="1"/>
  <c r="DB54" i="40"/>
  <c r="CC13" i="40"/>
  <c r="CR81" i="41"/>
  <c r="AF71" i="39"/>
  <c r="K20" i="46"/>
  <c r="CP37" i="25"/>
  <c r="BZ98" i="36"/>
  <c r="L75" i="64"/>
  <c r="CJ45" i="25"/>
  <c r="J69" i="64"/>
  <c r="AH92" i="37"/>
  <c r="BW96" i="39"/>
  <c r="BP50" i="41"/>
  <c r="CG18" i="41"/>
  <c r="BV91" i="38"/>
  <c r="BX17" i="36"/>
  <c r="CD59" i="25"/>
  <c r="J75" i="64"/>
  <c r="AC92" i="40"/>
  <c r="P102" i="26"/>
  <c r="I58" i="40"/>
  <c r="AU96" i="36"/>
  <c r="CU29" i="38"/>
  <c r="S30" i="41"/>
  <c r="H9" i="36"/>
  <c r="AD37" i="1"/>
  <c r="U71" i="36"/>
  <c r="DB29" i="37"/>
  <c r="DB27" i="40"/>
  <c r="Y65" i="37"/>
  <c r="X34" i="26"/>
  <c r="BZ92" i="39"/>
  <c r="X66" i="1"/>
  <c r="AB62" i="40"/>
  <c r="CZ18" i="41"/>
  <c r="AB30" i="1"/>
  <c r="CQ9" i="36"/>
  <c r="DB50" i="41"/>
  <c r="DB25" i="38"/>
  <c r="AU29" i="39"/>
  <c r="CJ30" i="41"/>
  <c r="AU57" i="39"/>
  <c r="AQ13" i="39"/>
  <c r="U48" i="41"/>
  <c r="N29" i="36"/>
  <c r="DD61" i="1"/>
  <c r="Z57" i="38"/>
  <c r="CD34" i="1"/>
  <c r="AP29" i="36"/>
  <c r="CC79" i="26"/>
  <c r="G62" i="26"/>
  <c r="DA103" i="40"/>
  <c r="CF34" i="36"/>
  <c r="CT49" i="40"/>
  <c r="BR48" i="37"/>
  <c r="BB60" i="41"/>
  <c r="AU12" i="41"/>
  <c r="CN18" i="25"/>
  <c r="U24" i="25"/>
  <c r="H13" i="26"/>
  <c r="BI61" i="40"/>
  <c r="DC49" i="25"/>
  <c r="P18" i="26"/>
  <c r="K74" i="64"/>
  <c r="CE53" i="38"/>
  <c r="BW65" i="1"/>
  <c r="AW62" i="26"/>
  <c r="DF92" i="26"/>
  <c r="CQ54" i="26"/>
  <c r="AO26" i="41"/>
  <c r="N27" i="41"/>
  <c r="AW66" i="1"/>
  <c r="AU48" i="41"/>
  <c r="CP75" i="40"/>
  <c r="AR53" i="40"/>
  <c r="AB37" i="37"/>
  <c r="BH29" i="1"/>
  <c r="AS53" i="26"/>
  <c r="AT21" i="41"/>
  <c r="DF75" i="1"/>
  <c r="BY103" i="37"/>
  <c r="BZ54" i="36"/>
  <c r="CU71" i="1"/>
  <c r="K89" i="26"/>
  <c r="BY53" i="1"/>
  <c r="Y29" i="39"/>
  <c r="DD48" i="39"/>
  <c r="BU60" i="41"/>
  <c r="AH26" i="36"/>
  <c r="M60" i="26"/>
  <c r="CX98" i="25"/>
  <c r="DA25" i="38"/>
  <c r="G75" i="38"/>
  <c r="CD62" i="36"/>
  <c r="DE60" i="37"/>
  <c r="AI26" i="1"/>
  <c r="CI17" i="37"/>
  <c r="BX71" i="36"/>
  <c r="T10" i="40"/>
  <c r="AY37" i="38"/>
  <c r="BV67" i="1"/>
  <c r="P45" i="37"/>
  <c r="S12" i="26"/>
  <c r="AF81" i="36"/>
  <c r="AJ29" i="1"/>
  <c r="Y98" i="1"/>
  <c r="CI66" i="41"/>
  <c r="I34" i="59"/>
  <c r="CA10" i="38"/>
  <c r="K89" i="41"/>
  <c r="BO98" i="39"/>
  <c r="Y89" i="38"/>
  <c r="V92" i="25"/>
  <c r="H48" i="64"/>
  <c r="Y13" i="1"/>
  <c r="AM53" i="38"/>
  <c r="BW57" i="36"/>
  <c r="BT53" i="25"/>
  <c r="H18" i="1"/>
  <c r="K27" i="36"/>
  <c r="K9" i="64"/>
  <c r="AC91" i="39"/>
  <c r="AW27" i="1"/>
  <c r="AC17" i="25"/>
  <c r="BA102" i="40"/>
  <c r="CH62" i="25"/>
  <c r="BS96" i="39"/>
  <c r="AW60" i="37"/>
  <c r="P102" i="38"/>
  <c r="CY54" i="41"/>
  <c r="CD57" i="37"/>
  <c r="CG34" i="1"/>
  <c r="BD98" i="37"/>
  <c r="CF53" i="37"/>
  <c r="CQ91" i="38"/>
  <c r="BX71" i="1"/>
  <c r="CM61" i="41"/>
  <c r="AU48" i="26"/>
  <c r="CD98" i="26"/>
  <c r="AD102" i="38"/>
  <c r="BU75" i="26"/>
  <c r="CJ27" i="1"/>
  <c r="CI57" i="1"/>
  <c r="CD53" i="38"/>
  <c r="E45" i="60"/>
  <c r="G26" i="37"/>
  <c r="M61" i="39"/>
  <c r="Y66" i="37"/>
  <c r="AB25" i="38"/>
  <c r="AS27" i="37"/>
  <c r="BQ75" i="36"/>
  <c r="CY9" i="39"/>
  <c r="AA18" i="37"/>
  <c r="BT62" i="26"/>
  <c r="I79" i="39"/>
  <c r="BC98" i="40"/>
  <c r="BC62" i="1"/>
  <c r="CV75" i="39"/>
  <c r="CB12" i="25"/>
  <c r="DB79" i="36"/>
  <c r="CW71" i="41"/>
  <c r="O81" i="26"/>
  <c r="AF60" i="39"/>
  <c r="BA45" i="25"/>
  <c r="AS71" i="25"/>
  <c r="CT61" i="26"/>
  <c r="M50" i="25"/>
  <c r="BT26" i="39"/>
  <c r="U17" i="38"/>
  <c r="AD91" i="40"/>
  <c r="AJ98" i="41"/>
  <c r="BH48" i="1"/>
  <c r="BW45" i="26"/>
  <c r="CS81" i="1"/>
  <c r="CB89" i="25"/>
  <c r="CZ71" i="36"/>
  <c r="CV24" i="41"/>
  <c r="AN79" i="37"/>
  <c r="I24" i="37"/>
  <c r="L98" i="39"/>
  <c r="CW103" i="39"/>
  <c r="O18" i="41"/>
  <c r="CE34" i="40"/>
  <c r="CB57" i="39"/>
  <c r="AQ65" i="36"/>
  <c r="BA61" i="38"/>
  <c r="BX12" i="40"/>
  <c r="BI45" i="25"/>
  <c r="AQ30" i="39"/>
  <c r="BR98" i="25"/>
  <c r="CX98" i="36"/>
  <c r="AN67" i="38"/>
  <c r="AA13" i="36"/>
  <c r="DD53" i="36"/>
  <c r="H37" i="26"/>
  <c r="BY34" i="38"/>
  <c r="CV71" i="1"/>
  <c r="AX102" i="41"/>
  <c r="N65" i="1"/>
  <c r="BR48" i="41"/>
  <c r="BT53" i="39"/>
  <c r="DF91" i="38"/>
  <c r="CX59" i="38"/>
  <c r="CL37" i="40"/>
  <c r="E24" i="60"/>
  <c r="BH58" i="36"/>
  <c r="AX45" i="38"/>
  <c r="AB58" i="1"/>
  <c r="T25" i="26"/>
  <c r="BZ49" i="25"/>
  <c r="AX79" i="39"/>
  <c r="CR58" i="39"/>
  <c r="BB92" i="38"/>
  <c r="CM58" i="39"/>
  <c r="AV27" i="1"/>
  <c r="CQ13" i="1"/>
  <c r="CB58" i="40"/>
  <c r="AS26" i="41"/>
  <c r="F74" i="60"/>
  <c r="CM89" i="25"/>
  <c r="CG66" i="38"/>
  <c r="K44" i="59"/>
  <c r="BY79" i="40"/>
  <c r="AM10" i="36"/>
  <c r="S92" i="39"/>
  <c r="AE45" i="36"/>
  <c r="P25" i="26"/>
  <c r="CQ66" i="37"/>
  <c r="AQ24" i="36"/>
  <c r="AR57" i="37"/>
  <c r="AY21" i="41"/>
  <c r="AV45" i="40"/>
  <c r="E55" i="64"/>
  <c r="AD98" i="1"/>
  <c r="AQ67" i="40"/>
  <c r="Z92" i="36"/>
  <c r="AA81" i="41"/>
  <c r="BV103" i="26"/>
  <c r="DC54" i="37"/>
  <c r="DC59" i="26"/>
  <c r="AJ81" i="25"/>
  <c r="BH45" i="1"/>
  <c r="AQ58" i="26"/>
  <c r="AA61" i="37"/>
  <c r="DA25" i="26"/>
  <c r="CU98" i="38"/>
  <c r="BD17" i="26"/>
  <c r="BA49" i="36"/>
  <c r="X91" i="26"/>
  <c r="CD49" i="26"/>
  <c r="AR57" i="38"/>
  <c r="X49" i="38"/>
  <c r="BZ27" i="36"/>
  <c r="S29" i="36"/>
  <c r="AH26" i="37"/>
  <c r="AM45" i="26"/>
  <c r="CF37" i="36"/>
  <c r="AR49" i="26"/>
  <c r="DB48" i="26"/>
  <c r="AF12" i="37"/>
  <c r="CC91" i="37"/>
  <c r="CN9" i="36"/>
  <c r="H26" i="25"/>
  <c r="AR66" i="37"/>
  <c r="AM60" i="41"/>
  <c r="BW58" i="40"/>
  <c r="CV18" i="1"/>
  <c r="AU29" i="25"/>
  <c r="Z98" i="40"/>
  <c r="AZ129" i="47"/>
  <c r="AD13" i="39"/>
  <c r="BO13" i="36"/>
  <c r="CQ60" i="36"/>
  <c r="J48" i="25"/>
  <c r="AW59" i="36"/>
  <c r="DA79" i="39"/>
  <c r="CI102" i="26"/>
  <c r="I37" i="36"/>
  <c r="CI59" i="26"/>
  <c r="I21" i="1"/>
  <c r="CC67" i="1"/>
  <c r="AQ89" i="36"/>
  <c r="AY65" i="37"/>
  <c r="AU60" i="36"/>
  <c r="AJ62" i="41"/>
  <c r="AR59" i="26"/>
  <c r="CP60" i="41"/>
  <c r="BH50" i="39"/>
  <c r="CQ9" i="40"/>
  <c r="AZ91" i="25"/>
  <c r="DB65" i="41"/>
  <c r="G49" i="1"/>
  <c r="BC34" i="39"/>
  <c r="BD30" i="40"/>
  <c r="CL50" i="1"/>
  <c r="Z59" i="25"/>
  <c r="CN62" i="26"/>
  <c r="AN37" i="26"/>
  <c r="BA71" i="39"/>
  <c r="BQ89" i="39"/>
  <c r="BH79" i="37"/>
  <c r="CI10" i="38"/>
  <c r="CC17" i="38"/>
  <c r="BB58" i="40"/>
  <c r="BV62" i="39"/>
  <c r="CD67" i="26"/>
  <c r="AT9" i="39"/>
  <c r="AA60" i="26"/>
  <c r="X79" i="26"/>
  <c r="X60" i="37"/>
  <c r="CL62" i="26"/>
  <c r="BQ61" i="26"/>
  <c r="DF24" i="26"/>
  <c r="CC12" i="37"/>
  <c r="CR54" i="1"/>
  <c r="DB54" i="37"/>
  <c r="AY17" i="36"/>
  <c r="CE45" i="26"/>
  <c r="AG89" i="38"/>
  <c r="BW59" i="40"/>
  <c r="AR59" i="40"/>
  <c r="AU13" i="25"/>
  <c r="AD75" i="25"/>
  <c r="V75" i="36"/>
  <c r="CN54" i="38"/>
  <c r="AR21" i="40"/>
  <c r="BI18" i="1"/>
  <c r="H91" i="36"/>
  <c r="CZ10" i="26"/>
  <c r="AF21" i="38"/>
  <c r="BO91" i="40"/>
  <c r="AZ29" i="36"/>
  <c r="H21" i="38"/>
  <c r="CR81" i="26"/>
  <c r="BC81" i="41"/>
  <c r="V66" i="37"/>
  <c r="J57" i="41"/>
  <c r="AD92" i="25"/>
  <c r="CX29" i="40"/>
  <c r="CF59" i="38"/>
  <c r="BR92" i="26"/>
  <c r="CH53" i="40"/>
  <c r="K58" i="40"/>
  <c r="DB12" i="41"/>
  <c r="DD79" i="37"/>
  <c r="AS92" i="39"/>
  <c r="BE102" i="39"/>
  <c r="CH65" i="25"/>
  <c r="L9" i="36"/>
  <c r="CI98" i="38"/>
  <c r="AC53" i="41"/>
  <c r="CH65" i="37"/>
  <c r="K53" i="41"/>
  <c r="BO27" i="38"/>
  <c r="DC21" i="25"/>
  <c r="G54" i="37"/>
  <c r="AR49" i="40"/>
  <c r="AO49" i="25"/>
  <c r="CZ71" i="39"/>
  <c r="CQ62" i="41"/>
  <c r="DF37" i="36"/>
  <c r="AA60" i="41"/>
  <c r="CK12" i="38"/>
  <c r="DE98" i="36"/>
  <c r="CK57" i="26"/>
  <c r="BI75" i="38"/>
  <c r="AM89" i="25"/>
  <c r="AP49" i="40"/>
  <c r="BT75" i="25"/>
  <c r="L57" i="60"/>
  <c r="F20" i="50"/>
  <c r="BZ27" i="40"/>
  <c r="BE89" i="26"/>
  <c r="AZ9" i="41"/>
  <c r="BZ103" i="26"/>
  <c r="AM102" i="1"/>
  <c r="CO26" i="26"/>
  <c r="T27" i="39"/>
  <c r="CU65" i="41"/>
  <c r="AZ67" i="38"/>
  <c r="BV81" i="40"/>
  <c r="CF103" i="26"/>
  <c r="CA58" i="37"/>
  <c r="CD54" i="36"/>
  <c r="J98" i="25"/>
  <c r="CG62" i="37"/>
  <c r="CF18" i="25"/>
  <c r="CG89" i="40"/>
  <c r="M65" i="36"/>
  <c r="BQ102" i="41"/>
  <c r="T67" i="1"/>
  <c r="CQ27" i="1"/>
  <c r="AO30" i="26"/>
  <c r="AG25" i="39"/>
  <c r="CS34" i="1"/>
  <c r="AT96" i="25"/>
  <c r="H61" i="41"/>
  <c r="DA75" i="36"/>
  <c r="CQ50" i="41"/>
  <c r="AC37" i="38"/>
  <c r="CG17" i="1"/>
  <c r="L89" i="39"/>
  <c r="CL12" i="41"/>
  <c r="CY102" i="25"/>
  <c r="M19" i="46"/>
  <c r="BB318" i="47"/>
  <c r="BV45" i="41"/>
  <c r="Z24" i="39"/>
  <c r="V34" i="26"/>
  <c r="CL58" i="1"/>
  <c r="M12" i="39"/>
  <c r="CY30" i="25"/>
  <c r="CP79" i="39"/>
  <c r="DF18" i="36"/>
  <c r="BQ13" i="36"/>
  <c r="P37" i="1"/>
  <c r="BC307" i="47"/>
  <c r="BR34" i="37"/>
  <c r="CX21" i="25"/>
  <c r="AH92" i="25"/>
  <c r="CW89" i="26"/>
  <c r="Y45" i="40"/>
  <c r="AR66" i="1"/>
  <c r="Z59" i="41"/>
  <c r="AV37" i="38"/>
  <c r="CD54" i="37"/>
  <c r="L12" i="40"/>
  <c r="AY81" i="26"/>
  <c r="BS65" i="25"/>
  <c r="BZ65" i="40"/>
  <c r="DA49" i="38"/>
  <c r="G79" i="25"/>
  <c r="CS30" i="39"/>
  <c r="BW49" i="40"/>
  <c r="N102" i="36"/>
  <c r="CK25" i="41"/>
  <c r="L24" i="37"/>
  <c r="CC66" i="26"/>
  <c r="AV58" i="1"/>
  <c r="BD75" i="40"/>
  <c r="AD17" i="26"/>
  <c r="AQ10" i="41"/>
  <c r="H75" i="36"/>
  <c r="AT21" i="37"/>
  <c r="CF49" i="37"/>
  <c r="CN29" i="1"/>
  <c r="CU30" i="38"/>
  <c r="AM91" i="39"/>
  <c r="BV37" i="36"/>
  <c r="J10" i="40"/>
  <c r="DA25" i="36"/>
  <c r="AQ49" i="41"/>
  <c r="CS98" i="38"/>
  <c r="BH26" i="40"/>
  <c r="CW10" i="26"/>
  <c r="BB98" i="26"/>
  <c r="BP50" i="37"/>
  <c r="AV45" i="41"/>
  <c r="U49" i="40"/>
  <c r="U21" i="39"/>
  <c r="T10" i="38"/>
  <c r="DA17" i="25"/>
  <c r="CP67" i="40"/>
  <c r="BP61" i="37"/>
  <c r="AF12" i="39"/>
  <c r="AC27" i="25"/>
  <c r="BH17" i="1"/>
  <c r="CC29" i="39"/>
  <c r="BS81" i="1"/>
  <c r="CY75" i="36"/>
  <c r="CS60" i="39"/>
  <c r="CO34" i="40"/>
  <c r="CO60" i="1"/>
  <c r="CJ66" i="36"/>
  <c r="BY27" i="40"/>
  <c r="Z45" i="39"/>
  <c r="BW29" i="38"/>
  <c r="CB49" i="37"/>
  <c r="BB18" i="38"/>
  <c r="CT53" i="38"/>
  <c r="M73" i="64"/>
  <c r="CH17" i="38"/>
  <c r="W75" i="1"/>
  <c r="BY25" i="1"/>
  <c r="O26" i="1"/>
  <c r="L21" i="36"/>
  <c r="CK27" i="26"/>
  <c r="U79" i="38"/>
  <c r="AM58" i="1"/>
  <c r="U26" i="40"/>
  <c r="K61" i="26"/>
  <c r="BR21" i="41"/>
  <c r="CA98" i="36"/>
  <c r="AG98" i="25"/>
  <c r="AH53" i="37"/>
  <c r="G10" i="39"/>
  <c r="I12" i="59"/>
  <c r="DB96" i="25"/>
  <c r="AT18" i="1"/>
  <c r="Y17" i="37"/>
  <c r="CF92" i="36"/>
  <c r="U67" i="38"/>
  <c r="CQ21" i="36"/>
  <c r="BP57" i="37"/>
  <c r="DB103" i="1"/>
  <c r="AR57" i="39"/>
  <c r="DC17" i="39"/>
  <c r="AI18" i="1"/>
  <c r="AC24" i="41"/>
  <c r="AH75" i="39"/>
  <c r="AQ29" i="39"/>
  <c r="W10" i="41"/>
  <c r="CV25" i="25"/>
  <c r="K75" i="60"/>
  <c r="AJ37" i="38"/>
  <c r="J69" i="60"/>
  <c r="CP57" i="38"/>
  <c r="AT61" i="41"/>
  <c r="CY10" i="1"/>
  <c r="CQ29" i="39"/>
  <c r="L61" i="26"/>
  <c r="Z66" i="38"/>
  <c r="J52" i="59"/>
  <c r="BS62" i="37"/>
  <c r="Z54" i="41"/>
  <c r="L10" i="1"/>
  <c r="BW24" i="40"/>
  <c r="AF71" i="26"/>
  <c r="BP96" i="39"/>
  <c r="U89" i="25"/>
  <c r="BQ103" i="40"/>
  <c r="CH59" i="37"/>
  <c r="CS67" i="41"/>
  <c r="CR89" i="1"/>
  <c r="BX60" i="41"/>
  <c r="M37" i="40"/>
  <c r="AY67" i="40"/>
  <c r="AO57" i="36"/>
  <c r="P9" i="41"/>
  <c r="AI91" i="25"/>
  <c r="M54" i="26"/>
  <c r="CV29" i="37"/>
  <c r="AF67" i="37"/>
  <c r="CO53" i="37"/>
  <c r="CA81" i="38"/>
  <c r="DB61" i="1"/>
  <c r="K13" i="26"/>
  <c r="AZ48" i="38"/>
  <c r="BP57" i="41"/>
  <c r="CA81" i="25"/>
  <c r="BS89" i="41"/>
  <c r="BW50" i="39"/>
  <c r="CP13" i="39"/>
  <c r="BE18" i="37"/>
  <c r="AY130" i="47"/>
  <c r="CD62" i="38"/>
  <c r="AR92" i="1"/>
  <c r="J13" i="36"/>
  <c r="CH21" i="25"/>
  <c r="F12" i="64"/>
  <c r="BS26" i="26"/>
  <c r="AF13" i="40"/>
  <c r="DD71" i="26"/>
  <c r="AV67" i="38"/>
  <c r="CR30" i="1"/>
  <c r="BX81" i="40"/>
  <c r="AT9" i="40"/>
  <c r="CP30" i="39"/>
  <c r="CO81" i="41"/>
  <c r="CQ24" i="39"/>
  <c r="DC53" i="40"/>
  <c r="AW18" i="37"/>
  <c r="CT57" i="26"/>
  <c r="DD102" i="41"/>
  <c r="AD34" i="41"/>
  <c r="CM48" i="25"/>
  <c r="CX102" i="1"/>
  <c r="CS50" i="40"/>
  <c r="CO27" i="38"/>
  <c r="L71" i="39"/>
  <c r="G96" i="41"/>
  <c r="BA54" i="36"/>
  <c r="CF10" i="39"/>
  <c r="CV75" i="25"/>
  <c r="CO91" i="25"/>
  <c r="CF49" i="41"/>
  <c r="BI37" i="26"/>
  <c r="AN98" i="39"/>
  <c r="W50" i="26"/>
  <c r="CA26" i="26"/>
  <c r="M10" i="39"/>
  <c r="BI96" i="41"/>
  <c r="O92" i="1"/>
  <c r="BH67" i="41"/>
  <c r="CQ18" i="1"/>
  <c r="CO50" i="40"/>
  <c r="CN98" i="26"/>
  <c r="CG75" i="40"/>
  <c r="DC29" i="25"/>
  <c r="CK53" i="39"/>
  <c r="CX58" i="26"/>
  <c r="AS17" i="41"/>
  <c r="BR45" i="38"/>
  <c r="BR61" i="39"/>
  <c r="N13" i="25"/>
  <c r="CP62" i="25"/>
  <c r="AV27" i="41"/>
  <c r="CW79" i="36"/>
  <c r="AA26" i="26"/>
  <c r="CX102" i="37"/>
  <c r="BA18" i="41"/>
  <c r="AG13" i="36"/>
  <c r="BI10" i="40"/>
  <c r="CF45" i="25"/>
  <c r="CO98" i="38"/>
  <c r="P62" i="36"/>
  <c r="H61" i="36"/>
  <c r="BH67" i="38"/>
  <c r="CB50" i="41"/>
  <c r="CU49" i="40"/>
  <c r="CD34" i="38"/>
  <c r="AX49" i="37"/>
  <c r="BP79" i="41"/>
  <c r="AI25" i="25"/>
  <c r="BE62" i="40"/>
  <c r="BT96" i="37"/>
  <c r="BB29" i="1"/>
  <c r="AY92" i="25"/>
  <c r="K17" i="37"/>
  <c r="AB59" i="40"/>
  <c r="BP37" i="38"/>
  <c r="CF37" i="38"/>
  <c r="AV66" i="1"/>
  <c r="CK54" i="40"/>
  <c r="AZ71" i="37"/>
  <c r="AV96" i="41"/>
  <c r="CO37" i="37"/>
  <c r="CZ17" i="25"/>
  <c r="BW53" i="39"/>
  <c r="P30" i="1"/>
  <c r="CW79" i="41"/>
  <c r="U57" i="40"/>
  <c r="AI24" i="38"/>
  <c r="AY81" i="37"/>
  <c r="CS10" i="39"/>
  <c r="AG34" i="1"/>
  <c r="AG26" i="40"/>
  <c r="BP30" i="36"/>
  <c r="CP26" i="41"/>
  <c r="BQ79" i="38"/>
  <c r="AT17" i="26"/>
  <c r="BX62" i="41"/>
  <c r="CR18" i="37"/>
  <c r="AD37" i="36"/>
  <c r="Y27" i="36"/>
  <c r="DC81" i="1"/>
  <c r="BA96" i="26"/>
  <c r="CH71" i="36"/>
  <c r="DB75" i="36"/>
  <c r="CU98" i="40"/>
  <c r="CB12" i="37"/>
  <c r="AT92" i="40"/>
  <c r="CV24" i="36"/>
  <c r="CC81" i="39"/>
  <c r="DE29" i="36"/>
  <c r="BT24" i="39"/>
  <c r="CO98" i="1"/>
  <c r="CI75" i="36"/>
  <c r="BV57" i="37"/>
  <c r="DB98" i="39"/>
  <c r="BT57" i="40"/>
  <c r="CK62" i="1"/>
  <c r="BE60" i="39"/>
  <c r="CK49" i="38"/>
  <c r="BP79" i="36"/>
  <c r="CZ102" i="25"/>
  <c r="AT54" i="25"/>
  <c r="T49" i="36"/>
  <c r="CQ102" i="39"/>
  <c r="AX27" i="40"/>
  <c r="BZ26" i="40"/>
  <c r="BB17" i="38"/>
  <c r="CH75" i="38"/>
  <c r="BQ98" i="1"/>
  <c r="BI60" i="39"/>
  <c r="AP37" i="39"/>
  <c r="CS27" i="1"/>
  <c r="CG25" i="36"/>
  <c r="X58" i="41"/>
  <c r="DB57" i="40"/>
  <c r="K29" i="1"/>
  <c r="AQ59" i="41"/>
  <c r="AE60" i="36"/>
  <c r="DE25" i="41"/>
  <c r="BT91" i="41"/>
  <c r="AY21" i="37"/>
  <c r="BZ21" i="25"/>
  <c r="BZ75" i="39"/>
  <c r="M62" i="1"/>
  <c r="CY50" i="36"/>
  <c r="BQ62" i="41"/>
  <c r="AP59" i="1"/>
  <c r="G102" i="37"/>
  <c r="BD27" i="25"/>
  <c r="Z27" i="39"/>
  <c r="BE96" i="25"/>
  <c r="BQ59" i="26"/>
  <c r="AG26" i="39"/>
  <c r="BA12" i="41"/>
  <c r="BW10" i="41"/>
  <c r="CA50" i="36"/>
  <c r="CO12" i="38"/>
  <c r="AH18" i="1"/>
  <c r="CE66" i="1"/>
  <c r="CL59" i="38"/>
  <c r="U75" i="26"/>
  <c r="CV98" i="25"/>
  <c r="AQ53" i="40"/>
  <c r="CE9" i="39"/>
  <c r="BX67" i="37"/>
  <c r="P21" i="1"/>
  <c r="BV13" i="39"/>
  <c r="AH45" i="36"/>
  <c r="AO89" i="1"/>
  <c r="BD96" i="1"/>
  <c r="Y79" i="26"/>
  <c r="CB75" i="38"/>
  <c r="AV57" i="1"/>
  <c r="BE59" i="37"/>
  <c r="AR17" i="26"/>
  <c r="AO34" i="1"/>
  <c r="AU67" i="25"/>
  <c r="T66" i="25"/>
  <c r="H24" i="26"/>
  <c r="CI58" i="25"/>
  <c r="BI67" i="39"/>
  <c r="DD59" i="40"/>
  <c r="DE65" i="41"/>
  <c r="Z26" i="41"/>
  <c r="AE65" i="39"/>
  <c r="CX53" i="25"/>
  <c r="AN92" i="39"/>
  <c r="BU60" i="38"/>
  <c r="AQ25" i="39"/>
  <c r="CO66" i="37"/>
  <c r="AP58" i="37"/>
  <c r="BC21" i="39"/>
  <c r="T89" i="39"/>
  <c r="BY13" i="26"/>
  <c r="CY103" i="36"/>
  <c r="DA25" i="40"/>
  <c r="H81" i="1"/>
  <c r="AF30" i="40"/>
  <c r="AI59" i="37"/>
  <c r="CY75" i="1"/>
  <c r="F48" i="46"/>
  <c r="AW48" i="36"/>
  <c r="CS10" i="38"/>
  <c r="CP48" i="39"/>
  <c r="DB65" i="37"/>
  <c r="AU48" i="39"/>
  <c r="BH13" i="36"/>
  <c r="L45" i="59"/>
  <c r="BC25" i="40"/>
  <c r="AU65" i="25"/>
  <c r="AD67" i="41"/>
  <c r="V18" i="36"/>
  <c r="CL26" i="36"/>
  <c r="CR54" i="26"/>
  <c r="J62" i="38"/>
  <c r="CP50" i="37"/>
  <c r="BS62" i="39"/>
  <c r="AY48" i="40"/>
  <c r="DA26" i="26"/>
  <c r="K54" i="37"/>
  <c r="CR45" i="36"/>
  <c r="BB57" i="41"/>
  <c r="CR79" i="1"/>
  <c r="DF96" i="1"/>
  <c r="CI26" i="39"/>
  <c r="CR26" i="39"/>
  <c r="CV34" i="39"/>
  <c r="AV71" i="26"/>
  <c r="BB91" i="39"/>
  <c r="CG67" i="41"/>
  <c r="I98" i="41"/>
  <c r="CJ79" i="38"/>
  <c r="DA34" i="41"/>
  <c r="AD37" i="25"/>
  <c r="DD13" i="36"/>
  <c r="CU10" i="1"/>
  <c r="L79" i="40"/>
  <c r="CD81" i="40"/>
  <c r="AP96" i="40"/>
  <c r="AF91" i="25"/>
  <c r="CZ21" i="39"/>
  <c r="AU67" i="41"/>
  <c r="BD29" i="36"/>
  <c r="BU48" i="41"/>
  <c r="DA79" i="25"/>
  <c r="AT49" i="38"/>
  <c r="BB10" i="25"/>
  <c r="CY66" i="36"/>
  <c r="CQ53" i="40"/>
  <c r="BD54" i="37"/>
  <c r="AE13" i="37"/>
  <c r="CW25" i="26"/>
  <c r="CS59" i="25"/>
  <c r="BB98" i="41"/>
  <c r="Y79" i="36"/>
  <c r="BV57" i="25"/>
  <c r="AP92" i="37"/>
  <c r="AE26" i="1"/>
  <c r="AA12" i="36"/>
  <c r="CN102" i="41"/>
  <c r="CE34" i="41"/>
  <c r="O62" i="37"/>
  <c r="L61" i="25"/>
  <c r="CC66" i="41"/>
  <c r="I86" i="60"/>
  <c r="V29" i="40"/>
  <c r="Y58" i="1"/>
  <c r="CX103" i="39"/>
  <c r="AY96" i="39"/>
  <c r="AB13" i="36"/>
  <c r="CA58" i="25"/>
  <c r="E91" i="64"/>
  <c r="AD57" i="40"/>
  <c r="AX50" i="40"/>
  <c r="DD81" i="1"/>
  <c r="BX103" i="41"/>
  <c r="CE27" i="1"/>
  <c r="AA89" i="40"/>
  <c r="AR9" i="39"/>
  <c r="CO10" i="36"/>
  <c r="BO58" i="1"/>
  <c r="BO96" i="37"/>
  <c r="BX21" i="39"/>
  <c r="M19" i="64"/>
  <c r="Y75" i="38"/>
  <c r="BD61" i="1"/>
  <c r="BQ10" i="25"/>
  <c r="CN9" i="38"/>
  <c r="AD27" i="40"/>
  <c r="CD26" i="41"/>
  <c r="CE96" i="25"/>
  <c r="J89" i="64"/>
  <c r="CT21" i="25"/>
  <c r="K12" i="40"/>
  <c r="AN50" i="37"/>
  <c r="AP45" i="41"/>
  <c r="I16" i="60"/>
  <c r="BD316" i="47"/>
  <c r="CJ24" i="37"/>
  <c r="AS98" i="39"/>
  <c r="DF65" i="40"/>
  <c r="M9" i="39"/>
  <c r="CN13" i="40"/>
  <c r="O21" i="41"/>
  <c r="CL12" i="37"/>
  <c r="CO29" i="40"/>
  <c r="W12" i="25"/>
  <c r="BS9" i="40"/>
  <c r="S29" i="37"/>
  <c r="CA12" i="1"/>
  <c r="L66" i="25"/>
  <c r="CP60" i="38"/>
  <c r="BE54" i="40"/>
  <c r="N25" i="40"/>
  <c r="AW67" i="37"/>
  <c r="CY61" i="25"/>
  <c r="AT91" i="39"/>
  <c r="K47" i="59"/>
  <c r="AU9" i="39"/>
  <c r="AW75" i="26"/>
  <c r="S59" i="25"/>
  <c r="AP49" i="38"/>
  <c r="CX79" i="36"/>
  <c r="BV89" i="26"/>
  <c r="M79" i="1"/>
  <c r="CY18" i="39"/>
  <c r="BC62" i="40"/>
  <c r="CD59" i="1"/>
  <c r="BU54" i="41"/>
  <c r="CZ48" i="38"/>
  <c r="CA17" i="1"/>
  <c r="AC26" i="38"/>
  <c r="CU34" i="26"/>
  <c r="AQ54" i="41"/>
  <c r="P59" i="38"/>
  <c r="AR10" i="36"/>
  <c r="AH92" i="38"/>
  <c r="CG13" i="25"/>
  <c r="DF21" i="37"/>
  <c r="CT50" i="26"/>
  <c r="AF54" i="37"/>
  <c r="BC25" i="26"/>
  <c r="AH48" i="38"/>
  <c r="CL53" i="25"/>
  <c r="Z57" i="36"/>
  <c r="CK34" i="37"/>
  <c r="N6" i="59"/>
  <c r="DF67" i="26"/>
  <c r="P75" i="40"/>
  <c r="AW66" i="37"/>
  <c r="BE65" i="38"/>
  <c r="E92" i="60"/>
  <c r="J48" i="1"/>
  <c r="CB18" i="36"/>
  <c r="DB71" i="1"/>
  <c r="BI98" i="40"/>
  <c r="CR53" i="1"/>
  <c r="CW48" i="38"/>
  <c r="CS21" i="37"/>
  <c r="AE61" i="38"/>
  <c r="AU37" i="25"/>
  <c r="CB37" i="40"/>
  <c r="BX92" i="39"/>
  <c r="CF45" i="1"/>
  <c r="L26" i="25"/>
  <c r="CM34" i="36"/>
  <c r="BA9" i="37"/>
  <c r="AV21" i="38"/>
  <c r="AQ49" i="1"/>
  <c r="CO89" i="25"/>
  <c r="BA98" i="39"/>
  <c r="CO53" i="26"/>
  <c r="CA62" i="40"/>
  <c r="H10" i="60"/>
  <c r="O51" i="59"/>
  <c r="DF25" i="41"/>
  <c r="Z53" i="36"/>
  <c r="G76" i="64"/>
  <c r="CJ49" i="39"/>
  <c r="K61" i="36"/>
  <c r="AE29" i="38"/>
  <c r="CP49" i="25"/>
  <c r="L89" i="25"/>
  <c r="CM98" i="41"/>
  <c r="CU60" i="38"/>
  <c r="BE9" i="25"/>
  <c r="AW25" i="38"/>
  <c r="CV58" i="39"/>
  <c r="AH37" i="36"/>
  <c r="AJ37" i="37"/>
  <c r="CJ71" i="1"/>
  <c r="P12" i="38"/>
  <c r="O48" i="26"/>
  <c r="P57" i="41"/>
  <c r="CC98" i="39"/>
  <c r="CJ66" i="26"/>
  <c r="AE13" i="38"/>
  <c r="CO37" i="26"/>
  <c r="BD12" i="40"/>
  <c r="U27" i="36"/>
  <c r="M17" i="64"/>
  <c r="BZ57" i="39"/>
  <c r="AY58" i="40"/>
  <c r="AD53" i="1"/>
  <c r="AG79" i="39"/>
  <c r="CJ79" i="39"/>
  <c r="BV9" i="41"/>
  <c r="AF60" i="38"/>
  <c r="CD17" i="25"/>
  <c r="CM10" i="26"/>
  <c r="CV79" i="37"/>
  <c r="AN45" i="39"/>
  <c r="CL81" i="26"/>
  <c r="CI49" i="40"/>
  <c r="BY58" i="41"/>
  <c r="G16" i="46"/>
  <c r="AB89" i="38"/>
  <c r="BE21" i="40"/>
  <c r="DA29" i="25"/>
  <c r="BQ57" i="41"/>
  <c r="AT102" i="41"/>
  <c r="CR57" i="41"/>
  <c r="DD71" i="38"/>
  <c r="BO29" i="36"/>
  <c r="CG65" i="36"/>
  <c r="W75" i="36"/>
  <c r="CI89" i="40"/>
  <c r="BY96" i="38"/>
  <c r="BZ13" i="38"/>
  <c r="P53" i="40"/>
  <c r="CD66" i="36"/>
  <c r="CY92" i="36"/>
  <c r="X60" i="39"/>
  <c r="DE75" i="26"/>
  <c r="I58" i="26"/>
  <c r="O25" i="26"/>
  <c r="CW37" i="41"/>
  <c r="BZ10" i="41"/>
  <c r="CJ57" i="36"/>
  <c r="N92" i="38"/>
  <c r="DC102" i="39"/>
  <c r="U61" i="1"/>
  <c r="CD17" i="37"/>
  <c r="CO26" i="39"/>
  <c r="BX17" i="41"/>
  <c r="CY79" i="38"/>
  <c r="O71" i="1"/>
  <c r="H65" i="25"/>
  <c r="AS60" i="1"/>
  <c r="CO71" i="39"/>
  <c r="BB61" i="37"/>
  <c r="Y60" i="40"/>
  <c r="G49" i="25"/>
  <c r="AN24" i="1"/>
  <c r="M60" i="1"/>
  <c r="CX50" i="36"/>
  <c r="T60" i="25"/>
  <c r="CO79" i="39"/>
  <c r="S71" i="41"/>
  <c r="DB66" i="37"/>
  <c r="CF48" i="25"/>
  <c r="BI25" i="36"/>
  <c r="BT103" i="41"/>
  <c r="AU18" i="38"/>
  <c r="CD96" i="40"/>
  <c r="L79" i="25"/>
  <c r="CJ30" i="26"/>
  <c r="CG91" i="40"/>
  <c r="CV25" i="37"/>
  <c r="BV29" i="36"/>
  <c r="AS50" i="40"/>
  <c r="AV102" i="39"/>
  <c r="BX62" i="36"/>
  <c r="DF53" i="26"/>
  <c r="AQ67" i="37"/>
  <c r="CD96" i="37"/>
  <c r="AB50" i="36"/>
  <c r="CI45" i="40"/>
  <c r="DF29" i="40"/>
  <c r="AN66" i="25"/>
  <c r="CQ25" i="41"/>
  <c r="AH9" i="40"/>
  <c r="N36" i="46"/>
  <c r="AR29" i="38"/>
  <c r="DA96" i="38"/>
  <c r="CU50" i="1"/>
  <c r="AS65" i="26"/>
  <c r="AA81" i="25"/>
  <c r="P92" i="25"/>
  <c r="CO62" i="26"/>
  <c r="CQ91" i="36"/>
  <c r="AV102" i="36"/>
  <c r="CF79" i="36"/>
  <c r="P25" i="41"/>
  <c r="H59" i="1"/>
  <c r="CR53" i="38"/>
  <c r="BZ98" i="40"/>
  <c r="AH75" i="40"/>
  <c r="CE75" i="40"/>
  <c r="CP18" i="36"/>
  <c r="CZ53" i="1"/>
  <c r="AD24" i="40"/>
  <c r="DA53" i="1"/>
  <c r="CV57" i="37"/>
  <c r="CK62" i="40"/>
  <c r="AP71" i="41"/>
  <c r="AN53" i="25"/>
  <c r="AZ57" i="25"/>
  <c r="BD45" i="36"/>
  <c r="CB21" i="26"/>
  <c r="DB79" i="37"/>
  <c r="BZ12" i="26"/>
  <c r="AP37" i="38"/>
  <c r="CD17" i="41"/>
  <c r="AI45" i="1"/>
  <c r="CK37" i="37"/>
  <c r="BX57" i="1"/>
  <c r="AS24" i="25"/>
  <c r="DD75" i="40"/>
  <c r="Y45" i="41"/>
  <c r="L26" i="37"/>
  <c r="X10" i="25"/>
  <c r="BB27" i="40"/>
  <c r="AH61" i="40"/>
  <c r="CT27" i="25"/>
  <c r="DF98" i="26"/>
  <c r="AQ65" i="38"/>
  <c r="CR26" i="38"/>
  <c r="BE79" i="26"/>
  <c r="AW13" i="38"/>
  <c r="AD54" i="40"/>
  <c r="CG57" i="36"/>
  <c r="I30" i="26"/>
  <c r="AV75" i="40"/>
  <c r="AB57" i="1"/>
  <c r="CZ12" i="1"/>
  <c r="CX79" i="40"/>
  <c r="CT96" i="26"/>
  <c r="DC49" i="26"/>
  <c r="BS27" i="37"/>
  <c r="G70" i="60"/>
  <c r="BD102" i="25"/>
  <c r="K48" i="41"/>
  <c r="AH57" i="40"/>
  <c r="AZ29" i="40"/>
  <c r="CD92" i="39"/>
  <c r="J48" i="46"/>
  <c r="CU103" i="40"/>
  <c r="BP45" i="1"/>
  <c r="P26" i="38"/>
  <c r="BA30" i="1"/>
  <c r="AX37" i="25"/>
  <c r="CT75" i="36"/>
  <c r="CO75" i="26"/>
  <c r="P71" i="36"/>
  <c r="AY12" i="40"/>
  <c r="AY10" i="41"/>
  <c r="CQ58" i="26"/>
  <c r="BU61" i="26"/>
  <c r="AQ89" i="37"/>
  <c r="CT45" i="1"/>
  <c r="CA24" i="1"/>
  <c r="M84" i="60"/>
  <c r="AV102" i="26"/>
  <c r="G67" i="41"/>
  <c r="AM62" i="25"/>
  <c r="AM50" i="38"/>
  <c r="CN103" i="36"/>
  <c r="AM10" i="26"/>
  <c r="CP54" i="25"/>
  <c r="AR12" i="38"/>
  <c r="CW17" i="36"/>
  <c r="G53" i="38"/>
  <c r="BX27" i="40"/>
  <c r="AH17" i="39"/>
  <c r="W54" i="1"/>
  <c r="AV26" i="40"/>
  <c r="CI45" i="1"/>
  <c r="AY89" i="40"/>
  <c r="P59" i="36"/>
  <c r="CQ29" i="38"/>
  <c r="CP66" i="39"/>
  <c r="CP79" i="25"/>
  <c r="DA96" i="37"/>
  <c r="X60" i="38"/>
  <c r="BD9" i="39"/>
  <c r="AW9" i="1"/>
  <c r="AT53" i="1"/>
  <c r="CJ98" i="25"/>
  <c r="T37" i="36"/>
  <c r="CE75" i="25"/>
  <c r="AW61" i="40"/>
  <c r="CM24" i="41"/>
  <c r="AD45" i="1"/>
  <c r="BI25" i="1"/>
  <c r="AW45" i="40"/>
  <c r="BI30" i="39"/>
  <c r="DF66" i="1"/>
  <c r="BS92" i="41"/>
  <c r="BB67" i="40"/>
  <c r="T61" i="40"/>
  <c r="CQ92" i="25"/>
  <c r="AF27" i="1"/>
  <c r="F8" i="64"/>
  <c r="AU98" i="1"/>
  <c r="AA92" i="1"/>
  <c r="AO60" i="26"/>
  <c r="CQ65" i="1"/>
  <c r="AJ48" i="41"/>
  <c r="DC17" i="1"/>
  <c r="CM21" i="25"/>
  <c r="CR71" i="37"/>
  <c r="AU89" i="37"/>
  <c r="BI79" i="25"/>
  <c r="CZ37" i="38"/>
  <c r="BI98" i="25"/>
  <c r="CO34" i="37"/>
  <c r="BA60" i="37"/>
  <c r="AO45" i="40"/>
  <c r="T49" i="38"/>
  <c r="AI67" i="40"/>
  <c r="CT50" i="38"/>
  <c r="CL9" i="40"/>
  <c r="Z96" i="26"/>
  <c r="BS27" i="26"/>
  <c r="K29" i="37"/>
  <c r="CN67" i="25"/>
  <c r="AR61" i="41"/>
  <c r="CC96" i="36"/>
  <c r="BZ9" i="39"/>
  <c r="CB21" i="37"/>
  <c r="CW53" i="1"/>
  <c r="CD66" i="38"/>
  <c r="DF53" i="41"/>
  <c r="AH60" i="41"/>
  <c r="CB96" i="41"/>
  <c r="Z81" i="1"/>
  <c r="AO54" i="39"/>
  <c r="CW89" i="38"/>
  <c r="H91" i="64"/>
  <c r="BV91" i="36"/>
  <c r="AE79" i="40"/>
  <c r="BH26" i="39"/>
  <c r="AC79" i="26"/>
  <c r="AH65" i="36"/>
  <c r="AJ9" i="39"/>
  <c r="DF79" i="40"/>
  <c r="V62" i="39"/>
  <c r="AS30" i="38"/>
  <c r="X37" i="41"/>
  <c r="M13" i="60"/>
  <c r="AP48" i="37"/>
  <c r="K75" i="39"/>
  <c r="BZ67" i="26"/>
  <c r="DB71" i="41"/>
  <c r="DD12" i="1"/>
  <c r="CN53" i="40"/>
  <c r="CY91" i="41"/>
  <c r="AY17" i="1"/>
  <c r="P96" i="39"/>
  <c r="DD79" i="39"/>
  <c r="CA79" i="1"/>
  <c r="BO79" i="36"/>
  <c r="CB26" i="37"/>
  <c r="X10" i="37"/>
  <c r="AF75" i="26"/>
  <c r="CN24" i="38"/>
  <c r="AO65" i="25"/>
  <c r="AB27" i="25"/>
  <c r="AR29" i="26"/>
  <c r="BE71" i="26"/>
  <c r="BR81" i="25"/>
  <c r="AC24" i="38"/>
  <c r="DD37" i="1"/>
  <c r="BU50" i="36"/>
  <c r="N17" i="46"/>
  <c r="BS10" i="41"/>
  <c r="AW91" i="39"/>
  <c r="AN92" i="1"/>
  <c r="DF79" i="39"/>
  <c r="CN29" i="39"/>
  <c r="CK21" i="39"/>
  <c r="CP59" i="26"/>
  <c r="AX17" i="40"/>
  <c r="AI75" i="36"/>
  <c r="AX60" i="37"/>
  <c r="AT67" i="1"/>
  <c r="N50" i="37"/>
  <c r="BV66" i="41"/>
  <c r="BE58" i="1"/>
  <c r="BY98" i="39"/>
  <c r="CQ79" i="36"/>
  <c r="CT13" i="41"/>
  <c r="AP34" i="25"/>
  <c r="AN17" i="25"/>
  <c r="BW12" i="1"/>
  <c r="CM45" i="40"/>
  <c r="CV102" i="36"/>
  <c r="CB59" i="39"/>
  <c r="CV17" i="26"/>
  <c r="N62" i="38"/>
  <c r="V17" i="41"/>
  <c r="H30" i="37"/>
  <c r="AS13" i="26"/>
  <c r="CW9" i="37"/>
  <c r="AW34" i="25"/>
  <c r="AO48" i="38"/>
  <c r="CO62" i="37"/>
  <c r="BC75" i="1"/>
  <c r="DB75" i="39"/>
  <c r="AN89" i="40"/>
  <c r="CJ60" i="1"/>
  <c r="BW18" i="37"/>
  <c r="DA102" i="26"/>
  <c r="CH59" i="26"/>
  <c r="BU67" i="37"/>
  <c r="CZ58" i="39"/>
  <c r="CW12" i="40"/>
  <c r="AC79" i="36"/>
  <c r="CF67" i="25"/>
  <c r="O54" i="37"/>
  <c r="CS27" i="41"/>
  <c r="X96" i="39"/>
  <c r="BA10" i="41"/>
  <c r="G75" i="25"/>
  <c r="AZ79" i="1"/>
  <c r="P92" i="41"/>
  <c r="AA30" i="40"/>
  <c r="T58" i="36"/>
  <c r="AB17" i="1"/>
  <c r="BO12" i="41"/>
  <c r="CW71" i="36"/>
  <c r="CE98" i="37"/>
  <c r="AV57" i="41"/>
  <c r="AW58" i="37"/>
  <c r="BD26" i="1"/>
  <c r="AN29" i="36"/>
  <c r="AA57" i="39"/>
  <c r="AX98" i="25"/>
  <c r="BI50" i="1"/>
  <c r="CS30" i="41"/>
  <c r="DE18" i="26"/>
  <c r="E82" i="60"/>
  <c r="CA25" i="40"/>
  <c r="AO92" i="41"/>
  <c r="CB58" i="25"/>
  <c r="AY89" i="41"/>
  <c r="BQ58" i="37"/>
  <c r="DF96" i="37"/>
  <c r="CG75" i="1"/>
  <c r="G59" i="41"/>
  <c r="DB25" i="40"/>
  <c r="BD21" i="37"/>
  <c r="AN34" i="37"/>
  <c r="AT49" i="26"/>
  <c r="CP26" i="37"/>
  <c r="CG89" i="26"/>
  <c r="W17" i="41"/>
  <c r="CC21" i="1"/>
  <c r="AV10" i="39"/>
  <c r="CU29" i="25"/>
  <c r="V21" i="26"/>
  <c r="CJ57" i="39"/>
  <c r="L57" i="40"/>
  <c r="AZ9" i="26"/>
  <c r="DB59" i="1"/>
  <c r="J59" i="26"/>
  <c r="AQ21" i="40"/>
  <c r="AY27" i="39"/>
  <c r="AG89" i="40"/>
  <c r="BD98" i="25"/>
  <c r="CZ57" i="36"/>
  <c r="CZ58" i="36"/>
  <c r="BR49" i="26"/>
  <c r="BZ18" i="39"/>
  <c r="CW81" i="37"/>
  <c r="BZ48" i="40"/>
  <c r="BR71" i="25"/>
  <c r="DA59" i="40"/>
  <c r="CE71" i="37"/>
  <c r="AU67" i="36"/>
  <c r="BH17" i="26"/>
  <c r="Y26" i="37"/>
  <c r="AF79" i="37"/>
  <c r="AI54" i="25"/>
  <c r="CO59" i="25"/>
  <c r="X26" i="25"/>
  <c r="BI59" i="40"/>
  <c r="E46" i="60"/>
  <c r="AG91" i="41"/>
  <c r="CK58" i="36"/>
  <c r="CU50" i="38"/>
  <c r="CO45" i="37"/>
  <c r="BS79" i="37"/>
  <c r="S58" i="37"/>
  <c r="BP62" i="26"/>
  <c r="AU25" i="38"/>
  <c r="AV37" i="37"/>
  <c r="CB17" i="38"/>
  <c r="AV26" i="41"/>
  <c r="W66" i="38"/>
  <c r="BW71" i="36"/>
  <c r="CO59" i="26"/>
  <c r="U65" i="36"/>
  <c r="CI102" i="37"/>
  <c r="BE48" i="25"/>
  <c r="P27" i="37"/>
  <c r="G60" i="40"/>
  <c r="AJ18" i="41"/>
  <c r="AW27" i="38"/>
  <c r="BE18" i="26"/>
  <c r="AJ79" i="37"/>
  <c r="AA30" i="41"/>
  <c r="AV30" i="38"/>
  <c r="BR48" i="1"/>
  <c r="BA9" i="26"/>
  <c r="CQ66" i="39"/>
  <c r="Z25" i="41"/>
  <c r="CL61" i="41"/>
  <c r="CL17" i="40"/>
  <c r="BU71" i="25"/>
  <c r="BA59" i="25"/>
  <c r="DA66" i="37"/>
  <c r="DC71" i="40"/>
  <c r="AT18" i="25"/>
  <c r="Z65" i="38"/>
  <c r="BD25" i="41"/>
  <c r="AE9" i="38"/>
  <c r="P65" i="41"/>
  <c r="CU9" i="1"/>
  <c r="BV12" i="39"/>
  <c r="I79" i="41"/>
  <c r="AY12" i="36"/>
  <c r="Y58" i="26"/>
  <c r="AI75" i="40"/>
  <c r="AS66" i="25"/>
  <c r="BZ102" i="26"/>
  <c r="CR61" i="39"/>
  <c r="CJ45" i="38"/>
  <c r="BY91" i="1"/>
  <c r="I50" i="39"/>
  <c r="CE102" i="36"/>
  <c r="AE81" i="25"/>
  <c r="BC311" i="47"/>
  <c r="L50" i="46"/>
  <c r="BE89" i="40"/>
  <c r="BC71" i="37"/>
  <c r="BI21" i="1"/>
  <c r="BV60" i="25"/>
  <c r="AA50" i="41"/>
  <c r="AU18" i="26"/>
  <c r="AN57" i="39"/>
  <c r="DE13" i="39"/>
  <c r="CX62" i="26"/>
  <c r="BA53" i="1"/>
  <c r="AY61" i="41"/>
  <c r="BX27" i="38"/>
  <c r="CQ57" i="1"/>
  <c r="CB13" i="40"/>
  <c r="M27" i="38"/>
  <c r="DC21" i="40"/>
  <c r="BP27" i="41"/>
  <c r="CA79" i="40"/>
  <c r="CR37" i="26"/>
  <c r="DC102" i="26"/>
  <c r="G59" i="40"/>
  <c r="J74" i="64"/>
  <c r="CS60" i="37"/>
  <c r="P75" i="36"/>
  <c r="CU66" i="37"/>
  <c r="BV9" i="40"/>
  <c r="CO12" i="36"/>
  <c r="CS13" i="37"/>
  <c r="BV66" i="38"/>
  <c r="CZ9" i="41"/>
  <c r="BR91" i="26"/>
  <c r="DD98" i="39"/>
  <c r="BD34" i="39"/>
  <c r="CE61" i="37"/>
  <c r="AC71" i="25"/>
  <c r="J17" i="26"/>
  <c r="AB34" i="40"/>
  <c r="BR57" i="26"/>
  <c r="CQ13" i="36"/>
  <c r="AH30" i="38"/>
  <c r="DC26" i="40"/>
  <c r="BH65" i="40"/>
  <c r="K10" i="59"/>
  <c r="BT75" i="39"/>
  <c r="X45" i="38"/>
  <c r="P21" i="25"/>
  <c r="CY102" i="39"/>
  <c r="DB13" i="1"/>
  <c r="BT103" i="1"/>
  <c r="CV50" i="40"/>
  <c r="CC81" i="41"/>
  <c r="AM61" i="41"/>
  <c r="CT26" i="37"/>
  <c r="T13" i="25"/>
  <c r="CP21" i="38"/>
  <c r="CM53" i="40"/>
  <c r="CH37" i="25"/>
  <c r="BV103" i="38"/>
  <c r="AI65" i="36"/>
  <c r="CO37" i="25"/>
  <c r="CB98" i="36"/>
  <c r="BD26" i="41"/>
  <c r="CO45" i="41"/>
  <c r="BQ37" i="26"/>
  <c r="AC18" i="25"/>
  <c r="N10" i="40"/>
  <c r="BY10" i="38"/>
  <c r="CB102" i="41"/>
  <c r="BE49" i="1"/>
  <c r="AQ10" i="40"/>
  <c r="AX75" i="41"/>
  <c r="BE57" i="25"/>
  <c r="BQ49" i="25"/>
  <c r="DE96" i="40"/>
  <c r="BO102" i="37"/>
  <c r="L55" i="64"/>
  <c r="F8" i="60"/>
  <c r="CE53" i="41"/>
  <c r="CH89" i="40"/>
  <c r="Z92" i="40"/>
  <c r="AP60" i="1"/>
  <c r="S102" i="26"/>
  <c r="J9" i="37"/>
  <c r="BI66" i="26"/>
  <c r="CQ81" i="40"/>
  <c r="AM26" i="1"/>
  <c r="BU67" i="26"/>
  <c r="BH48" i="25"/>
  <c r="I34" i="36"/>
  <c r="BP18" i="41"/>
  <c r="CJ67" i="26"/>
  <c r="CT58" i="36"/>
  <c r="AR34" i="26"/>
  <c r="CX12" i="37"/>
  <c r="BE79" i="1"/>
  <c r="U37" i="36"/>
  <c r="DA81" i="41"/>
  <c r="AV60" i="40"/>
  <c r="CM45" i="26"/>
  <c r="Z79" i="41"/>
  <c r="CU25" i="40"/>
  <c r="BP49" i="40"/>
  <c r="AV53" i="36"/>
  <c r="J16" i="64"/>
  <c r="CS24" i="36"/>
  <c r="W61" i="38"/>
  <c r="CV79" i="1"/>
  <c r="CU30" i="41"/>
  <c r="BR75" i="39"/>
  <c r="CN29" i="41"/>
  <c r="CV30" i="40"/>
  <c r="Y54" i="38"/>
  <c r="J33" i="60"/>
  <c r="CC75" i="26"/>
  <c r="DF34" i="25"/>
  <c r="BZ81" i="39"/>
  <c r="CJ92" i="39"/>
  <c r="X61" i="25"/>
  <c r="AT62" i="26"/>
  <c r="BT29" i="40"/>
  <c r="CD71" i="40"/>
  <c r="BI89" i="36"/>
  <c r="AX71" i="40"/>
  <c r="BC59" i="1"/>
  <c r="L17" i="59"/>
  <c r="AI98" i="36"/>
  <c r="AM59" i="41"/>
  <c r="CC54" i="25"/>
  <c r="CL61" i="25"/>
  <c r="O24" i="37"/>
  <c r="CW25" i="39"/>
  <c r="CN17" i="38"/>
  <c r="AZ62" i="36"/>
  <c r="CJ60" i="37"/>
  <c r="BV81" i="1"/>
  <c r="J18" i="41"/>
  <c r="AZ66" i="25"/>
  <c r="M98" i="25"/>
  <c r="CV13" i="26"/>
  <c r="BC67" i="25"/>
  <c r="CF96" i="1"/>
  <c r="Y96" i="41"/>
  <c r="AM45" i="1"/>
  <c r="CH48" i="40"/>
  <c r="AS98" i="38"/>
  <c r="CN27" i="38"/>
  <c r="CF58" i="26"/>
  <c r="DE75" i="36"/>
  <c r="P21" i="26"/>
  <c r="AJ26" i="39"/>
  <c r="BS103" i="41"/>
  <c r="K13" i="41"/>
  <c r="N65" i="25"/>
  <c r="P30" i="26"/>
  <c r="CE79" i="25"/>
  <c r="K48" i="46"/>
  <c r="BZ18" i="40"/>
  <c r="L67" i="39"/>
  <c r="CQ61" i="1"/>
  <c r="AS60" i="38"/>
  <c r="CR48" i="25"/>
  <c r="BT98" i="36"/>
  <c r="CV59" i="36"/>
  <c r="AR98" i="39"/>
  <c r="BD65" i="37"/>
  <c r="CC37" i="40"/>
  <c r="N49" i="36"/>
  <c r="V62" i="1"/>
  <c r="AH89" i="26"/>
  <c r="BY48" i="40"/>
  <c r="CK21" i="26"/>
  <c r="BZ59" i="1"/>
  <c r="BD37" i="41"/>
  <c r="AN54" i="41"/>
  <c r="AI75" i="38"/>
  <c r="J102" i="40"/>
  <c r="AA49" i="36"/>
  <c r="CC81" i="37"/>
  <c r="CR98" i="26"/>
  <c r="AV54" i="41"/>
  <c r="AV62" i="41"/>
  <c r="BU9" i="26"/>
  <c r="G8" i="60"/>
  <c r="BI54" i="36"/>
  <c r="Z96" i="41"/>
  <c r="AI37" i="36"/>
  <c r="CR57" i="25"/>
  <c r="CP27" i="25"/>
  <c r="CC50" i="39"/>
  <c r="AC57" i="25"/>
  <c r="CT57" i="25"/>
  <c r="CW60" i="25"/>
  <c r="CK54" i="1"/>
  <c r="CY54" i="37"/>
  <c r="BR13" i="40"/>
  <c r="AX59" i="39"/>
  <c r="BZ45" i="26"/>
  <c r="CT27" i="26"/>
  <c r="J17" i="39"/>
  <c r="CQ30" i="37"/>
  <c r="AU26" i="1"/>
  <c r="J23" i="60"/>
  <c r="AS49" i="38"/>
  <c r="AE30" i="39"/>
  <c r="BX18" i="39"/>
  <c r="BC18" i="36"/>
  <c r="AI27" i="40"/>
  <c r="U25" i="25"/>
  <c r="AS91" i="37"/>
  <c r="CJ96" i="40"/>
  <c r="AT48" i="1"/>
  <c r="DD26" i="41"/>
  <c r="AX96" i="36"/>
  <c r="CY81" i="1"/>
  <c r="BT66" i="38"/>
  <c r="BU9" i="41"/>
  <c r="BO27" i="26"/>
  <c r="CH89" i="41"/>
  <c r="H49" i="41"/>
  <c r="N34" i="26"/>
  <c r="BY30" i="37"/>
  <c r="K58" i="25"/>
  <c r="BH21" i="26"/>
  <c r="BV79" i="39"/>
  <c r="P92" i="38"/>
  <c r="BO50" i="41"/>
  <c r="CY65" i="39"/>
  <c r="X29" i="39"/>
  <c r="BV45" i="37"/>
  <c r="L14" i="64"/>
  <c r="AA67" i="40"/>
  <c r="AE17" i="41"/>
  <c r="CG61" i="39"/>
  <c r="AH49" i="36"/>
  <c r="AB24" i="25"/>
  <c r="DD49" i="38"/>
  <c r="CG65" i="39"/>
  <c r="U65" i="39"/>
  <c r="AZ91" i="39"/>
  <c r="CE13" i="39"/>
  <c r="Y18" i="40"/>
  <c r="AA71" i="38"/>
  <c r="I12" i="64"/>
  <c r="V30" i="25"/>
  <c r="K27" i="41"/>
  <c r="M49" i="60"/>
  <c r="L96" i="36"/>
  <c r="AM48" i="38"/>
  <c r="CQ54" i="38"/>
  <c r="AW79" i="39"/>
  <c r="AP81" i="1"/>
  <c r="H53" i="1"/>
  <c r="AQ60" i="39"/>
  <c r="AD91" i="38"/>
  <c r="BB17" i="40"/>
  <c r="AP91" i="40"/>
  <c r="AG53" i="1"/>
  <c r="CA18" i="37"/>
  <c r="CP65" i="26"/>
  <c r="BR66" i="41"/>
  <c r="AG45" i="37"/>
  <c r="H48" i="59"/>
  <c r="AB18" i="41"/>
  <c r="AO27" i="26"/>
  <c r="AY124" i="47"/>
  <c r="T34" i="40"/>
  <c r="AT61" i="39"/>
  <c r="CW49" i="38"/>
  <c r="CF13" i="40"/>
  <c r="L54" i="25"/>
  <c r="BP30" i="41"/>
  <c r="AV60" i="39"/>
  <c r="T66" i="37"/>
  <c r="T98" i="26"/>
  <c r="CT27" i="38"/>
  <c r="BS49" i="36"/>
  <c r="BD61" i="36"/>
  <c r="BB58" i="36"/>
  <c r="BH29" i="26"/>
  <c r="CT67" i="1"/>
  <c r="BV61" i="38"/>
  <c r="AA9" i="38"/>
  <c r="CN79" i="40"/>
  <c r="CZ61" i="40"/>
  <c r="DA71" i="1"/>
  <c r="CO59" i="40"/>
  <c r="CB29" i="39"/>
  <c r="AP102" i="37"/>
  <c r="CN18" i="41"/>
  <c r="BV50" i="37"/>
  <c r="P57" i="38"/>
  <c r="E75" i="60"/>
  <c r="CA67" i="39"/>
  <c r="CP89" i="38"/>
  <c r="CI50" i="38"/>
  <c r="CY12" i="1"/>
  <c r="O8" i="59"/>
  <c r="K75" i="64"/>
  <c r="I24" i="36"/>
  <c r="Z13" i="1"/>
  <c r="BT17" i="40"/>
  <c r="BY103" i="39"/>
  <c r="CS54" i="25"/>
  <c r="AI30" i="40"/>
  <c r="L59" i="36"/>
  <c r="CL81" i="40"/>
  <c r="CT96" i="1"/>
  <c r="CD50" i="40"/>
  <c r="BB91" i="41"/>
  <c r="U67" i="36"/>
  <c r="CK48" i="39"/>
  <c r="W79" i="37"/>
  <c r="AD10" i="37"/>
  <c r="AI59" i="36"/>
  <c r="BC96" i="26"/>
  <c r="AJ91" i="36"/>
  <c r="T37" i="38"/>
  <c r="CB59" i="38"/>
  <c r="T26" i="40"/>
  <c r="H26" i="38"/>
  <c r="BD24" i="40"/>
  <c r="AP91" i="25"/>
  <c r="BB65" i="39"/>
  <c r="AM65" i="39"/>
  <c r="DA57" i="38"/>
  <c r="CH45" i="40"/>
  <c r="BZ10" i="1"/>
  <c r="N45" i="37"/>
  <c r="AH27" i="25"/>
  <c r="M61" i="25"/>
  <c r="T96" i="1"/>
  <c r="CY79" i="37"/>
  <c r="U45" i="38"/>
  <c r="G48" i="39"/>
  <c r="Y17" i="25"/>
  <c r="AE45" i="41"/>
  <c r="F76" i="64"/>
  <c r="BY60" i="38"/>
  <c r="CX67" i="25"/>
  <c r="CA71" i="1"/>
  <c r="BO59" i="37"/>
  <c r="CG53" i="41"/>
  <c r="CL10" i="41"/>
  <c r="BY27" i="25"/>
  <c r="K27" i="38"/>
  <c r="AE59" i="36"/>
  <c r="CF89" i="40"/>
  <c r="DE58" i="1"/>
  <c r="CP89" i="36"/>
  <c r="J51" i="59"/>
  <c r="I49" i="39"/>
  <c r="BW21" i="25"/>
  <c r="BT48" i="39"/>
  <c r="CH57" i="1"/>
  <c r="G57" i="39"/>
  <c r="AT81" i="26"/>
  <c r="G34" i="26"/>
  <c r="AQ75" i="38"/>
  <c r="AJ49" i="25"/>
  <c r="CS102" i="1"/>
  <c r="DE66" i="41"/>
  <c r="BZ54" i="26"/>
  <c r="CK34" i="26"/>
  <c r="AX65" i="25"/>
  <c r="AB21" i="36"/>
  <c r="AZ18" i="41"/>
  <c r="AB29" i="1"/>
  <c r="AJ27" i="41"/>
  <c r="AQ61" i="25"/>
  <c r="AW92" i="36"/>
  <c r="G66" i="40"/>
  <c r="AT81" i="37"/>
  <c r="AQ53" i="1"/>
  <c r="CM71" i="26"/>
  <c r="BY53" i="40"/>
  <c r="AO89" i="36"/>
  <c r="AH71" i="25"/>
  <c r="BH34" i="37"/>
  <c r="DF59" i="36"/>
  <c r="AB61" i="39"/>
  <c r="AO21" i="1"/>
  <c r="BS57" i="40"/>
  <c r="AN102" i="37"/>
  <c r="AZ104" i="47"/>
  <c r="CH24" i="40"/>
  <c r="H88" i="60"/>
  <c r="CS66" i="41"/>
  <c r="BT18" i="36"/>
  <c r="CF9" i="39"/>
  <c r="Y13" i="40"/>
  <c r="BX89" i="41"/>
  <c r="BQ79" i="41"/>
  <c r="AE45" i="39"/>
  <c r="S57" i="39"/>
  <c r="CH89" i="1"/>
  <c r="CN18" i="26"/>
  <c r="AB98" i="41"/>
  <c r="L91" i="25"/>
  <c r="M59" i="40"/>
  <c r="CC92" i="37"/>
  <c r="AE10" i="1"/>
  <c r="AX71" i="37"/>
  <c r="DA34" i="36"/>
  <c r="CR79" i="40"/>
  <c r="BE54" i="37"/>
  <c r="CL89" i="36"/>
  <c r="BU12" i="36"/>
  <c r="AQ10" i="1"/>
  <c r="N54" i="38"/>
  <c r="DF67" i="38"/>
  <c r="N66" i="40"/>
  <c r="CA30" i="39"/>
  <c r="BR25" i="38"/>
  <c r="Z13" i="26"/>
  <c r="AF62" i="36"/>
  <c r="BS29" i="25"/>
  <c r="AR89" i="38"/>
  <c r="H62" i="36"/>
  <c r="AT92" i="36"/>
  <c r="AX71" i="38"/>
  <c r="AG27" i="38"/>
  <c r="BU59" i="36"/>
  <c r="AJ37" i="36"/>
  <c r="CU34" i="40"/>
  <c r="BR18" i="37"/>
  <c r="CJ26" i="41"/>
  <c r="CO48" i="40"/>
  <c r="V54" i="39"/>
  <c r="CZ10" i="39"/>
  <c r="DF75" i="38"/>
  <c r="DD49" i="41"/>
  <c r="E56" i="60"/>
  <c r="AW21" i="40"/>
  <c r="AW67" i="26"/>
  <c r="CN30" i="39"/>
  <c r="CT102" i="38"/>
  <c r="CX81" i="38"/>
  <c r="CV12" i="1"/>
  <c r="O79" i="26"/>
  <c r="CH92" i="36"/>
  <c r="CM75" i="38"/>
  <c r="AT57" i="1"/>
  <c r="AM26" i="39"/>
  <c r="M9" i="41"/>
  <c r="V50" i="36"/>
  <c r="DD45" i="37"/>
  <c r="BA30" i="37"/>
  <c r="P53" i="25"/>
  <c r="H21" i="26"/>
  <c r="CE98" i="39"/>
  <c r="AO37" i="25"/>
  <c r="CJ9" i="25"/>
  <c r="AF102" i="25"/>
  <c r="BU10" i="1"/>
  <c r="AV59" i="39"/>
  <c r="BS91" i="26"/>
  <c r="AU57" i="37"/>
  <c r="U48" i="38"/>
  <c r="BZ96" i="41"/>
  <c r="CU81" i="37"/>
  <c r="BY66" i="25"/>
  <c r="CG96" i="25"/>
  <c r="BY13" i="40"/>
  <c r="BZ62" i="25"/>
  <c r="CM53" i="41"/>
  <c r="AI98" i="41"/>
  <c r="DA92" i="38"/>
  <c r="CT102" i="37"/>
  <c r="DB21" i="41"/>
  <c r="CK79" i="38"/>
  <c r="CP66" i="36"/>
  <c r="BE125" i="47"/>
  <c r="AU98" i="39"/>
  <c r="AS59" i="26"/>
  <c r="AH67" i="37"/>
  <c r="BT17" i="1"/>
  <c r="Y25" i="1"/>
  <c r="DE96" i="41"/>
  <c r="AA24" i="1"/>
  <c r="AV21" i="37"/>
  <c r="DE25" i="26"/>
  <c r="BS26" i="41"/>
  <c r="Z37" i="1"/>
  <c r="CY61" i="41"/>
  <c r="X50" i="25"/>
  <c r="I50" i="25"/>
  <c r="AH81" i="37"/>
  <c r="DE60" i="25"/>
  <c r="T92" i="40"/>
  <c r="J60" i="26"/>
  <c r="CG48" i="41"/>
  <c r="CB21" i="36"/>
  <c r="CE61" i="40"/>
  <c r="AC45" i="39"/>
  <c r="BI61" i="39"/>
  <c r="AO29" i="25"/>
  <c r="BD24" i="38"/>
  <c r="CC60" i="39"/>
  <c r="DF59" i="39"/>
  <c r="CQ81" i="36"/>
  <c r="CJ103" i="1"/>
  <c r="CQ48" i="40"/>
  <c r="CB79" i="41"/>
  <c r="BY26" i="25"/>
  <c r="Z96" i="25"/>
  <c r="AV49" i="25"/>
  <c r="U62" i="25"/>
  <c r="AU66" i="36"/>
  <c r="AJ50" i="1"/>
  <c r="AP54" i="26"/>
  <c r="CJ27" i="25"/>
  <c r="AU17" i="37"/>
  <c r="BD102" i="37"/>
  <c r="CQ25" i="40"/>
  <c r="DC30" i="1"/>
  <c r="BB58" i="39"/>
  <c r="CP67" i="36"/>
  <c r="J60" i="38"/>
  <c r="CL61" i="1"/>
  <c r="P34" i="37"/>
  <c r="DE34" i="36"/>
  <c r="AR71" i="40"/>
  <c r="BQ37" i="40"/>
  <c r="CN102" i="36"/>
  <c r="DC61" i="38"/>
  <c r="BR103" i="39"/>
  <c r="O96" i="38"/>
  <c r="BC12" i="36"/>
  <c r="BE96" i="40"/>
  <c r="CO24" i="1"/>
  <c r="AV18" i="37"/>
  <c r="CW48" i="40"/>
  <c r="BV65" i="25"/>
  <c r="DD53" i="26"/>
  <c r="AZ58" i="37"/>
  <c r="AT49" i="39"/>
  <c r="Z66" i="26"/>
  <c r="DE10" i="1"/>
  <c r="CY89" i="25"/>
  <c r="CZ81" i="25"/>
  <c r="BX79" i="39"/>
  <c r="CK9" i="26"/>
  <c r="DE37" i="41"/>
  <c r="I17" i="25"/>
  <c r="CI17" i="26"/>
  <c r="CG30" i="26"/>
  <c r="BZ54" i="38"/>
  <c r="DA96" i="36"/>
  <c r="AE75" i="37"/>
  <c r="BI58" i="26"/>
  <c r="BW53" i="38"/>
  <c r="CQ9" i="25"/>
  <c r="DA30" i="38"/>
  <c r="CO58" i="38"/>
  <c r="CJ57" i="25"/>
  <c r="CZ98" i="36"/>
  <c r="H92" i="1"/>
  <c r="CU25" i="38"/>
  <c r="AI67" i="36"/>
  <c r="AQ98" i="36"/>
  <c r="CC24" i="38"/>
  <c r="BI24" i="40"/>
  <c r="AX98" i="37"/>
  <c r="H26" i="37"/>
  <c r="L81" i="39"/>
  <c r="BE12" i="37"/>
  <c r="CZ79" i="38"/>
  <c r="BC91" i="26"/>
  <c r="BZ81" i="38"/>
  <c r="CH53" i="39"/>
  <c r="CP10" i="36"/>
  <c r="DE65" i="38"/>
  <c r="BA54" i="38"/>
  <c r="BT29" i="36"/>
  <c r="CB21" i="41"/>
  <c r="W48" i="39"/>
  <c r="G10" i="25"/>
  <c r="K98" i="40"/>
  <c r="AT37" i="38"/>
  <c r="CW49" i="25"/>
  <c r="Y9" i="41"/>
  <c r="AS30" i="1"/>
  <c r="CT60" i="40"/>
  <c r="CP26" i="26"/>
  <c r="BS9" i="25"/>
  <c r="X98" i="40"/>
  <c r="M87" i="60"/>
  <c r="BS27" i="25"/>
  <c r="CC30" i="38"/>
  <c r="I17" i="64"/>
  <c r="CW59" i="37"/>
  <c r="H12" i="37"/>
  <c r="N37" i="59"/>
  <c r="CZ66" i="37"/>
  <c r="DB18" i="38"/>
  <c r="BU102" i="26"/>
  <c r="N26" i="39"/>
  <c r="CN48" i="36"/>
  <c r="BO48" i="26"/>
  <c r="CY21" i="39"/>
  <c r="H53" i="41"/>
  <c r="DC53" i="26"/>
  <c r="BS10" i="25"/>
  <c r="CT26" i="38"/>
  <c r="X49" i="1"/>
  <c r="E22" i="60"/>
  <c r="CI65" i="25"/>
  <c r="BD12" i="1"/>
  <c r="CL12" i="38"/>
  <c r="BH21" i="25"/>
  <c r="CR54" i="38"/>
  <c r="AO62" i="40"/>
  <c r="S10" i="41"/>
  <c r="BX37" i="40"/>
  <c r="CD96" i="26"/>
  <c r="AZ10" i="36"/>
  <c r="O65" i="36"/>
  <c r="CV91" i="39"/>
  <c r="BT13" i="40"/>
  <c r="L16" i="46"/>
  <c r="AT81" i="25"/>
  <c r="J49" i="39"/>
  <c r="AB48" i="39"/>
  <c r="CJ13" i="41"/>
  <c r="AI34" i="38"/>
  <c r="I81" i="40"/>
  <c r="AS81" i="26"/>
  <c r="BC10" i="37"/>
  <c r="T98" i="38"/>
  <c r="Z66" i="36"/>
  <c r="BI25" i="37"/>
  <c r="CC34" i="25"/>
  <c r="AM89" i="39"/>
  <c r="CB98" i="40"/>
  <c r="AZ27" i="37"/>
  <c r="DF98" i="41"/>
  <c r="CO61" i="26"/>
  <c r="P26" i="25"/>
  <c r="M14" i="60"/>
  <c r="AB49" i="25"/>
  <c r="CE62" i="40"/>
  <c r="S24" i="39"/>
  <c r="BC61" i="39"/>
  <c r="CD67" i="38"/>
  <c r="CT62" i="1"/>
  <c r="CD66" i="26"/>
  <c r="BP37" i="26"/>
  <c r="AV79" i="37"/>
  <c r="BW17" i="39"/>
  <c r="AY25" i="1"/>
  <c r="AE91" i="37"/>
  <c r="AJ71" i="40"/>
  <c r="CX48" i="1"/>
  <c r="AV21" i="41"/>
  <c r="G67" i="26"/>
  <c r="CQ10" i="41"/>
  <c r="BT13" i="36"/>
  <c r="AU53" i="26"/>
  <c r="AU49" i="1"/>
  <c r="CF103" i="1"/>
  <c r="Y89" i="37"/>
  <c r="BD49" i="25"/>
  <c r="BP21" i="40"/>
  <c r="AQ92" i="36"/>
  <c r="CR98" i="37"/>
  <c r="CG21" i="25"/>
  <c r="CT61" i="37"/>
  <c r="G102" i="36"/>
  <c r="AC13" i="41"/>
  <c r="BY37" i="39"/>
  <c r="CO98" i="40"/>
  <c r="CM45" i="37"/>
  <c r="BU71" i="36"/>
  <c r="DA10" i="36"/>
  <c r="DF21" i="41"/>
  <c r="AR21" i="37"/>
  <c r="J9" i="38"/>
  <c r="CV13" i="39"/>
  <c r="CO58" i="25"/>
  <c r="AS10" i="40"/>
  <c r="S18" i="26"/>
  <c r="CE96" i="37"/>
  <c r="BR89" i="37"/>
  <c r="BX24" i="36"/>
  <c r="CH21" i="37"/>
  <c r="AE79" i="36"/>
  <c r="CQ53" i="1"/>
  <c r="CL89" i="37"/>
  <c r="AC53" i="25"/>
  <c r="K61" i="40"/>
  <c r="BO66" i="39"/>
  <c r="BQ91" i="41"/>
  <c r="Y96" i="38"/>
  <c r="CJ29" i="26"/>
  <c r="DC27" i="38"/>
  <c r="CH59" i="38"/>
  <c r="W34" i="1"/>
  <c r="AO50" i="1"/>
  <c r="CH57" i="36"/>
  <c r="CB79" i="36"/>
  <c r="DC37" i="25"/>
  <c r="AQ57" i="40"/>
  <c r="W62" i="37"/>
  <c r="AO75" i="38"/>
  <c r="CC12" i="36"/>
  <c r="BH60" i="40"/>
  <c r="CO103" i="37"/>
  <c r="CC49" i="1"/>
  <c r="AW21" i="39"/>
  <c r="AI65" i="1"/>
  <c r="CO79" i="40"/>
  <c r="BV53" i="26"/>
  <c r="Y62" i="25"/>
  <c r="CA98" i="39"/>
  <c r="BE58" i="25"/>
  <c r="X89" i="25"/>
  <c r="DA81" i="39"/>
  <c r="AC67" i="40"/>
  <c r="CK67" i="39"/>
  <c r="AV65" i="26"/>
  <c r="BE318" i="47"/>
  <c r="AE59" i="38"/>
  <c r="CL71" i="39"/>
  <c r="CJ24" i="39"/>
  <c r="CL79" i="39"/>
  <c r="BW91" i="41"/>
  <c r="CW96" i="36"/>
  <c r="Y24" i="37"/>
  <c r="AG37" i="40"/>
  <c r="CG27" i="25"/>
  <c r="CM17" i="40"/>
  <c r="AU45" i="39"/>
  <c r="AO45" i="41"/>
  <c r="AE60" i="37"/>
  <c r="I33" i="60"/>
  <c r="DC29" i="26"/>
  <c r="BC37" i="38"/>
  <c r="K37" i="36"/>
  <c r="AQ24" i="26"/>
  <c r="CS18" i="1"/>
  <c r="T24" i="41"/>
  <c r="CQ103" i="36"/>
  <c r="H33" i="60"/>
  <c r="DB98" i="37"/>
  <c r="M12" i="64"/>
  <c r="BO17" i="1"/>
  <c r="DD54" i="25"/>
  <c r="AP24" i="36"/>
  <c r="BX30" i="38"/>
  <c r="AT66" i="25"/>
  <c r="AO25" i="26"/>
  <c r="BW89" i="38"/>
  <c r="N89" i="37"/>
  <c r="AO96" i="36"/>
  <c r="AZ49" i="39"/>
  <c r="BW24" i="38"/>
  <c r="AW48" i="40"/>
  <c r="AQ17" i="40"/>
  <c r="CI27" i="39"/>
  <c r="BP57" i="38"/>
  <c r="J15" i="60"/>
  <c r="CF59" i="36"/>
  <c r="N96" i="25"/>
  <c r="P98" i="26"/>
  <c r="BH9" i="25"/>
  <c r="CV26" i="38"/>
  <c r="CG66" i="36"/>
  <c r="DF59" i="26"/>
  <c r="BA60" i="41"/>
  <c r="BQ58" i="1"/>
  <c r="AH98" i="40"/>
  <c r="BA102" i="26"/>
  <c r="H51" i="46"/>
  <c r="AI27" i="1"/>
  <c r="AA45" i="39"/>
  <c r="BU89" i="41"/>
  <c r="CG29" i="26"/>
  <c r="AS60" i="36"/>
  <c r="CI53" i="36"/>
  <c r="CG17" i="38"/>
  <c r="DC91" i="41"/>
  <c r="AT50" i="26"/>
  <c r="M15" i="64"/>
  <c r="CS102" i="26"/>
  <c r="BU50" i="40"/>
  <c r="K89" i="64"/>
  <c r="CQ65" i="25"/>
  <c r="BR81" i="41"/>
  <c r="BU65" i="1"/>
  <c r="AM96" i="39"/>
  <c r="CA98" i="1"/>
  <c r="AF26" i="39"/>
  <c r="AF12" i="40"/>
  <c r="DC60" i="26"/>
  <c r="CR9" i="38"/>
  <c r="BW12" i="25"/>
  <c r="CS18" i="26"/>
  <c r="Y30" i="39"/>
  <c r="DA26" i="41"/>
  <c r="AD29" i="1"/>
  <c r="M37" i="26"/>
  <c r="BT54" i="41"/>
  <c r="CY92" i="37"/>
  <c r="M12" i="41"/>
  <c r="BH34" i="39"/>
  <c r="AH37" i="40"/>
  <c r="BA60" i="1"/>
  <c r="AF92" i="1"/>
  <c r="BY79" i="37"/>
  <c r="BW48" i="25"/>
  <c r="BX34" i="37"/>
  <c r="CK49" i="1"/>
  <c r="CM45" i="25"/>
  <c r="O21" i="39"/>
  <c r="S75" i="41"/>
  <c r="AX75" i="40"/>
  <c r="CF9" i="26"/>
  <c r="O79" i="36"/>
  <c r="BV27" i="38"/>
  <c r="AT66" i="36"/>
  <c r="AX27" i="41"/>
  <c r="CS103" i="37"/>
  <c r="BS62" i="1"/>
  <c r="CG58" i="26"/>
  <c r="CG89" i="36"/>
  <c r="AG81" i="41"/>
  <c r="CC10" i="41"/>
  <c r="O18" i="37"/>
  <c r="BD25" i="26"/>
  <c r="CE75" i="38"/>
  <c r="CM61" i="37"/>
  <c r="AM37" i="38"/>
  <c r="CH18" i="39"/>
  <c r="CK13" i="1"/>
  <c r="AW37" i="40"/>
  <c r="AM98" i="37"/>
  <c r="AF24" i="40"/>
  <c r="AM71" i="25"/>
  <c r="AI57" i="1"/>
  <c r="AR58" i="1"/>
  <c r="AT58" i="1"/>
  <c r="CO24" i="37"/>
  <c r="AB48" i="36"/>
  <c r="DF81" i="37"/>
  <c r="AB12" i="40"/>
  <c r="BT71" i="41"/>
  <c r="CT48" i="40"/>
  <c r="I54" i="40"/>
  <c r="CN26" i="26"/>
  <c r="CS66" i="1"/>
  <c r="BT57" i="39"/>
  <c r="AU59" i="41"/>
  <c r="BQ54" i="41"/>
  <c r="DE58" i="25"/>
  <c r="BZ21" i="1"/>
  <c r="AT27" i="39"/>
  <c r="I81" i="26"/>
  <c r="S26" i="41"/>
  <c r="CV10" i="41"/>
  <c r="F75" i="60"/>
  <c r="CM60" i="37"/>
  <c r="AG25" i="1"/>
  <c r="M59" i="37"/>
  <c r="AP79" i="1"/>
  <c r="CZ58" i="41"/>
  <c r="CT60" i="39"/>
  <c r="X91" i="41"/>
  <c r="BI58" i="25"/>
  <c r="Y67" i="40"/>
  <c r="CC71" i="36"/>
  <c r="CX12" i="38"/>
  <c r="AJ10" i="41"/>
  <c r="AV66" i="25"/>
  <c r="BC67" i="37"/>
  <c r="BT18" i="41"/>
  <c r="S65" i="40"/>
  <c r="CI92" i="37"/>
  <c r="M75" i="40"/>
  <c r="L65" i="41"/>
  <c r="DB34" i="41"/>
  <c r="Z81" i="26"/>
  <c r="K57" i="40"/>
  <c r="CB103" i="37"/>
  <c r="AM58" i="41"/>
  <c r="CA66" i="1"/>
  <c r="T67" i="26"/>
  <c r="AI18" i="39"/>
  <c r="AP58" i="39"/>
  <c r="BA18" i="40"/>
  <c r="CW25" i="25"/>
  <c r="O50" i="38"/>
  <c r="P9" i="59"/>
  <c r="N57" i="1"/>
  <c r="AJ59" i="25"/>
  <c r="CW81" i="1"/>
  <c r="CD79" i="26"/>
  <c r="AG50" i="39"/>
  <c r="BW60" i="1"/>
  <c r="AV89" i="39"/>
  <c r="H62" i="41"/>
  <c r="CA60" i="26"/>
  <c r="AV91" i="36"/>
  <c r="CZ60" i="39"/>
  <c r="CS21" i="36"/>
  <c r="G16" i="60"/>
  <c r="CC79" i="36"/>
  <c r="BT71" i="38"/>
  <c r="AR92" i="36"/>
  <c r="DD62" i="38"/>
  <c r="CT10" i="26"/>
  <c r="AB60" i="36"/>
  <c r="CT30" i="1"/>
  <c r="BV48" i="1"/>
  <c r="AI75" i="37"/>
  <c r="AC25" i="1"/>
  <c r="CH45" i="38"/>
  <c r="H64" i="64"/>
  <c r="CH79" i="36"/>
  <c r="CW92" i="41"/>
  <c r="DB50" i="37"/>
  <c r="CC58" i="1"/>
  <c r="CN71" i="41"/>
  <c r="G49" i="60"/>
  <c r="BD89" i="26"/>
  <c r="AS89" i="39"/>
  <c r="BB26" i="36"/>
  <c r="BO67" i="39"/>
  <c r="CX21" i="26"/>
  <c r="T10" i="25"/>
  <c r="I47" i="59"/>
  <c r="CH81" i="26"/>
  <c r="AC21" i="41"/>
  <c r="L18" i="25"/>
  <c r="AI65" i="41"/>
  <c r="BQ34" i="37"/>
  <c r="CD91" i="39"/>
  <c r="CU10" i="39"/>
  <c r="Y49" i="1"/>
  <c r="BA58" i="37"/>
  <c r="DF66" i="25"/>
  <c r="H45" i="39"/>
  <c r="AS96" i="41"/>
  <c r="BZ66" i="25"/>
  <c r="AF71" i="37"/>
  <c r="AC61" i="37"/>
  <c r="CH58" i="25"/>
  <c r="DB24" i="1"/>
  <c r="CD18" i="37"/>
  <c r="G37" i="41"/>
  <c r="AP26" i="37"/>
  <c r="BW48" i="36"/>
  <c r="AO27" i="1"/>
  <c r="CD53" i="1"/>
  <c r="AQ62" i="25"/>
  <c r="CC26" i="25"/>
  <c r="BU57" i="38"/>
  <c r="AH30" i="25"/>
  <c r="N60" i="40"/>
  <c r="BC91" i="38"/>
  <c r="CX12" i="1"/>
  <c r="CH98" i="26"/>
  <c r="AO49" i="1"/>
  <c r="BS54" i="26"/>
  <c r="AC81" i="36"/>
  <c r="Z48" i="36"/>
  <c r="CW34" i="38"/>
  <c r="CP17" i="25"/>
  <c r="AB45" i="1"/>
  <c r="DA30" i="37"/>
  <c r="CK58" i="26"/>
  <c r="AD13" i="25"/>
  <c r="CO102" i="41"/>
  <c r="AD24" i="25"/>
  <c r="BY61" i="41"/>
  <c r="BR66" i="36"/>
  <c r="AU102" i="36"/>
  <c r="CE12" i="25"/>
  <c r="DA10" i="1"/>
  <c r="AA18" i="40"/>
  <c r="CC27" i="1"/>
  <c r="N24" i="26"/>
  <c r="BT13" i="38"/>
  <c r="AI96" i="39"/>
  <c r="CA75" i="39"/>
  <c r="CD98" i="38"/>
  <c r="DA61" i="41"/>
  <c r="BZ79" i="25"/>
  <c r="BI58" i="39"/>
  <c r="G23" i="60"/>
  <c r="BI62" i="40"/>
  <c r="BT10" i="1"/>
  <c r="AT98" i="41"/>
  <c r="O45" i="1"/>
  <c r="G30" i="41"/>
  <c r="BF100" i="47"/>
  <c r="DA37" i="1"/>
  <c r="L17" i="26"/>
  <c r="CA96" i="36"/>
  <c r="AT62" i="25"/>
  <c r="DD96" i="39"/>
  <c r="AG48" i="1"/>
  <c r="AW62" i="41"/>
  <c r="P11" i="59"/>
  <c r="AA98" i="39"/>
  <c r="BU45" i="40"/>
  <c r="G48" i="25"/>
  <c r="DF34" i="38"/>
  <c r="CZ45" i="25"/>
  <c r="O71" i="40"/>
  <c r="AV45" i="26"/>
  <c r="M50" i="39"/>
  <c r="CW50" i="40"/>
  <c r="BX53" i="26"/>
  <c r="AE57" i="41"/>
  <c r="CG81" i="36"/>
  <c r="AN17" i="41"/>
  <c r="BR67" i="37"/>
  <c r="DD60" i="26"/>
  <c r="BA30" i="41"/>
  <c r="BR103" i="40"/>
  <c r="CG24" i="37"/>
  <c r="BW60" i="41"/>
  <c r="AN62" i="36"/>
  <c r="G66" i="1"/>
  <c r="AU49" i="25"/>
  <c r="BX29" i="41"/>
  <c r="BG124" i="47"/>
  <c r="AD27" i="41"/>
  <c r="X59" i="37"/>
  <c r="BS10" i="40"/>
  <c r="BA29" i="40"/>
  <c r="BZ81" i="1"/>
  <c r="CO50" i="41"/>
  <c r="CD61" i="38"/>
  <c r="P89" i="39"/>
  <c r="AO9" i="36"/>
  <c r="M75" i="25"/>
  <c r="AW58" i="38"/>
  <c r="AN59" i="36"/>
  <c r="CN58" i="36"/>
  <c r="AV25" i="37"/>
  <c r="CS24" i="40"/>
  <c r="CS49" i="1"/>
  <c r="DD67" i="36"/>
  <c r="BP48" i="41"/>
  <c r="AX13" i="36"/>
  <c r="CT27" i="1"/>
  <c r="Z91" i="41"/>
  <c r="BT79" i="41"/>
  <c r="CC71" i="1"/>
  <c r="BS29" i="1"/>
  <c r="AD67" i="38"/>
  <c r="DA9" i="38"/>
  <c r="CF29" i="25"/>
  <c r="F91" i="64"/>
  <c r="CK45" i="36"/>
  <c r="AI92" i="38"/>
  <c r="CA49" i="41"/>
  <c r="I89" i="26"/>
  <c r="AT49" i="1"/>
  <c r="AW18" i="39"/>
  <c r="CS61" i="38"/>
  <c r="T50" i="41"/>
  <c r="BX30" i="40"/>
  <c r="BA311" i="47"/>
  <c r="CV34" i="38"/>
  <c r="AQ59" i="36"/>
  <c r="AU27" i="40"/>
  <c r="AS30" i="41"/>
  <c r="BS66" i="36"/>
  <c r="DE58" i="38"/>
  <c r="AH30" i="39"/>
  <c r="H12" i="60"/>
  <c r="CC54" i="39"/>
  <c r="BE50" i="26"/>
  <c r="CI34" i="38"/>
  <c r="AH50" i="1"/>
  <c r="CH54" i="1"/>
  <c r="CI50" i="39"/>
  <c r="AQ61" i="39"/>
  <c r="P13" i="36"/>
  <c r="BS26" i="37"/>
  <c r="CF59" i="1"/>
  <c r="AD58" i="26"/>
  <c r="AG59" i="40"/>
  <c r="AF21" i="1"/>
  <c r="L67" i="41"/>
  <c r="CO61" i="37"/>
  <c r="CI59" i="38"/>
  <c r="DE62" i="26"/>
  <c r="G24" i="39"/>
  <c r="CN45" i="40"/>
  <c r="AJ92" i="38"/>
  <c r="CQ53" i="36"/>
  <c r="AQ30" i="37"/>
  <c r="AU61" i="40"/>
  <c r="BV21" i="36"/>
  <c r="CH48" i="26"/>
  <c r="O10" i="40"/>
  <c r="CG67" i="37"/>
  <c r="CM9" i="37"/>
  <c r="AJ54" i="25"/>
  <c r="AN26" i="40"/>
  <c r="CF30" i="1"/>
  <c r="F13" i="64"/>
  <c r="AN65" i="26"/>
  <c r="W71" i="41"/>
  <c r="BD81" i="26"/>
  <c r="CZ92" i="25"/>
  <c r="CQ12" i="36"/>
  <c r="CA26" i="41"/>
  <c r="CV29" i="36"/>
  <c r="G36" i="46"/>
  <c r="CL34" i="39"/>
  <c r="AI96" i="37"/>
  <c r="BC21" i="26"/>
  <c r="CP81" i="1"/>
  <c r="Z29" i="26"/>
  <c r="CK62" i="41"/>
  <c r="CU62" i="38"/>
  <c r="AA75" i="40"/>
  <c r="DA53" i="39"/>
  <c r="N10" i="39"/>
  <c r="BS61" i="38"/>
  <c r="CQ9" i="41"/>
  <c r="BZ98" i="25"/>
  <c r="S17" i="26"/>
  <c r="BV103" i="39"/>
  <c r="CY65" i="41"/>
  <c r="S60" i="25"/>
  <c r="BX25" i="39"/>
  <c r="AJ12" i="37"/>
  <c r="BH26" i="38"/>
  <c r="AX24" i="37"/>
  <c r="DA49" i="41"/>
  <c r="CQ30" i="1"/>
  <c r="AS67" i="1"/>
  <c r="BY48" i="39"/>
  <c r="BO79" i="40"/>
  <c r="DC60" i="36"/>
  <c r="G54" i="26"/>
  <c r="AU54" i="25"/>
  <c r="AC75" i="39"/>
  <c r="CO98" i="41"/>
  <c r="BQ98" i="41"/>
  <c r="BY102" i="39"/>
  <c r="BS96" i="1"/>
  <c r="CW66" i="38"/>
  <c r="DA21" i="25"/>
  <c r="AI75" i="1"/>
  <c r="AU10" i="1"/>
  <c r="AQ12" i="38"/>
  <c r="CB102" i="39"/>
  <c r="CN92" i="40"/>
  <c r="CN10" i="40"/>
  <c r="AP75" i="25"/>
  <c r="U13" i="37"/>
  <c r="H9" i="41"/>
  <c r="O58" i="26"/>
  <c r="H37" i="25"/>
  <c r="DE30" i="1"/>
  <c r="BC123" i="47"/>
  <c r="CX57" i="38"/>
  <c r="G49" i="37"/>
  <c r="BR24" i="25"/>
  <c r="AA53" i="25"/>
  <c r="L89" i="38"/>
  <c r="BP21" i="36"/>
  <c r="BV98" i="41"/>
  <c r="T29" i="37"/>
  <c r="J89" i="1"/>
  <c r="X30" i="40"/>
  <c r="BU81" i="40"/>
  <c r="BA102" i="38"/>
  <c r="V27" i="26"/>
  <c r="CS62" i="37"/>
  <c r="AV57" i="37"/>
  <c r="BP25" i="39"/>
  <c r="BY30" i="26"/>
  <c r="I57" i="38"/>
  <c r="AD79" i="38"/>
  <c r="AB30" i="40"/>
  <c r="CG103" i="25"/>
  <c r="BS59" i="39"/>
  <c r="AI53" i="40"/>
  <c r="AA21" i="40"/>
  <c r="X53" i="39"/>
  <c r="AY102" i="39"/>
  <c r="DC75" i="39"/>
  <c r="BU89" i="38"/>
  <c r="AU91" i="26"/>
  <c r="H96" i="26"/>
  <c r="BH24" i="37"/>
  <c r="L65" i="36"/>
  <c r="AF75" i="36"/>
  <c r="CV102" i="37"/>
  <c r="CB45" i="38"/>
  <c r="I54" i="41"/>
  <c r="AM12" i="40"/>
  <c r="J26" i="25"/>
  <c r="CN37" i="36"/>
  <c r="BI54" i="41"/>
  <c r="AG21" i="26"/>
  <c r="AQ98" i="25"/>
  <c r="CJ12" i="1"/>
  <c r="BX96" i="39"/>
  <c r="AH92" i="36"/>
  <c r="AO18" i="41"/>
  <c r="AN54" i="40"/>
  <c r="S57" i="36"/>
  <c r="BX45" i="25"/>
  <c r="AR48" i="36"/>
  <c r="BF307" i="47"/>
  <c r="CP92" i="40"/>
  <c r="DD102" i="36"/>
  <c r="BW21" i="39"/>
  <c r="CL103" i="26"/>
  <c r="BA21" i="38"/>
  <c r="CG103" i="40"/>
  <c r="DD102" i="25"/>
  <c r="AH61" i="39"/>
  <c r="K37" i="38"/>
  <c r="O62" i="26"/>
  <c r="AA50" i="38"/>
  <c r="BD75" i="37"/>
  <c r="AR59" i="38"/>
  <c r="V10" i="1"/>
  <c r="CD29" i="37"/>
  <c r="AJ21" i="1"/>
  <c r="CV79" i="41"/>
  <c r="AS98" i="40"/>
  <c r="BS24" i="25"/>
  <c r="CP9" i="38"/>
  <c r="CG34" i="25"/>
  <c r="T29" i="38"/>
  <c r="AS50" i="1"/>
  <c r="BI48" i="26"/>
  <c r="AJ54" i="39"/>
  <c r="BU89" i="37"/>
  <c r="CE103" i="37"/>
  <c r="DB75" i="25"/>
  <c r="CS25" i="37"/>
  <c r="CG18" i="39"/>
  <c r="BY24" i="41"/>
  <c r="BR17" i="39"/>
  <c r="BU48" i="26"/>
  <c r="S54" i="39"/>
  <c r="CE61" i="25"/>
  <c r="S98" i="41"/>
  <c r="AJ60" i="38"/>
  <c r="CA91" i="25"/>
  <c r="CO45" i="38"/>
  <c r="DC65" i="39"/>
  <c r="BD89" i="25"/>
  <c r="K27" i="1"/>
  <c r="BR29" i="25"/>
  <c r="AX79" i="36"/>
  <c r="CU60" i="26"/>
  <c r="BH49" i="1"/>
  <c r="AC49" i="26"/>
  <c r="AV45" i="1"/>
  <c r="CK96" i="1"/>
  <c r="AN102" i="36"/>
  <c r="DD57" i="38"/>
  <c r="CK17" i="40"/>
  <c r="CV9" i="36"/>
  <c r="BW50" i="26"/>
  <c r="BT65" i="41"/>
  <c r="AB13" i="40"/>
  <c r="BS37" i="41"/>
  <c r="L19" i="64"/>
  <c r="AD34" i="40"/>
  <c r="AT13" i="36"/>
  <c r="V54" i="40"/>
  <c r="BD9" i="41"/>
  <c r="G37" i="25"/>
  <c r="CI30" i="36"/>
  <c r="H17" i="39"/>
  <c r="BX102" i="40"/>
  <c r="BE37" i="37"/>
  <c r="CH60" i="25"/>
  <c r="AA10" i="41"/>
  <c r="T65" i="39"/>
  <c r="AJ57" i="26"/>
  <c r="AD66" i="39"/>
  <c r="DC67" i="26"/>
  <c r="H26" i="46"/>
  <c r="BT61" i="36"/>
  <c r="AT96" i="36"/>
  <c r="BY18" i="41"/>
  <c r="AD62" i="37"/>
  <c r="AC96" i="1"/>
  <c r="DF29" i="36"/>
  <c r="CF91" i="36"/>
  <c r="CY102" i="38"/>
  <c r="CA54" i="39"/>
  <c r="X89" i="37"/>
  <c r="Y67" i="37"/>
  <c r="W54" i="40"/>
  <c r="CF50" i="25"/>
  <c r="DB98" i="38"/>
  <c r="X65" i="26"/>
  <c r="AI98" i="25"/>
  <c r="BW71" i="38"/>
  <c r="K54" i="40"/>
  <c r="K48" i="37"/>
  <c r="CA92" i="37"/>
  <c r="K30" i="37"/>
  <c r="BT60" i="26"/>
  <c r="AE75" i="1"/>
  <c r="O89" i="38"/>
  <c r="CL26" i="25"/>
  <c r="BU21" i="37"/>
  <c r="G66" i="38"/>
  <c r="BS75" i="36"/>
  <c r="G50" i="1"/>
  <c r="X45" i="36"/>
  <c r="G75" i="36"/>
  <c r="CI57" i="40"/>
  <c r="L62" i="1"/>
  <c r="BU10" i="38"/>
  <c r="CS12" i="37"/>
  <c r="AW89" i="1"/>
  <c r="AQ45" i="41"/>
  <c r="I9" i="26"/>
  <c r="BD24" i="36"/>
  <c r="K57" i="1"/>
  <c r="BZ91" i="40"/>
  <c r="BD59" i="26"/>
  <c r="CN48" i="37"/>
  <c r="AC98" i="38"/>
  <c r="AI53" i="25"/>
  <c r="L34" i="36"/>
  <c r="AU17" i="36"/>
  <c r="CX24" i="39"/>
  <c r="BU21" i="38"/>
  <c r="U45" i="39"/>
  <c r="J81" i="25"/>
  <c r="CB21" i="40"/>
  <c r="CC18" i="37"/>
  <c r="BX9" i="41"/>
  <c r="AE98" i="25"/>
  <c r="L92" i="26"/>
  <c r="BI75" i="1"/>
  <c r="DA25" i="25"/>
  <c r="CV9" i="40"/>
  <c r="W18" i="37"/>
  <c r="AS21" i="41"/>
  <c r="AE49" i="1"/>
  <c r="BR24" i="1"/>
  <c r="O7" i="59"/>
  <c r="AB45" i="25"/>
  <c r="AZ34" i="1"/>
  <c r="N60" i="39"/>
  <c r="AN60" i="1"/>
  <c r="AN59" i="39"/>
  <c r="CW102" i="39"/>
  <c r="I59" i="60"/>
  <c r="AT75" i="1"/>
  <c r="AT65" i="36"/>
  <c r="J27" i="1"/>
  <c r="CU81" i="1"/>
  <c r="AY17" i="41"/>
  <c r="CL13" i="36"/>
  <c r="BW26" i="36"/>
  <c r="AX24" i="40"/>
  <c r="BH49" i="39"/>
  <c r="BS13" i="37"/>
  <c r="AT66" i="40"/>
  <c r="CQ27" i="39"/>
  <c r="BY66" i="40"/>
  <c r="N21" i="41"/>
  <c r="CQ92" i="1"/>
  <c r="AC49" i="37"/>
  <c r="CO61" i="25"/>
  <c r="BW25" i="41"/>
  <c r="DF75" i="39"/>
  <c r="BX18" i="1"/>
  <c r="CC12" i="39"/>
  <c r="O60" i="59"/>
  <c r="DE12" i="37"/>
  <c r="AA98" i="25"/>
  <c r="AF75" i="39"/>
  <c r="AW57" i="39"/>
  <c r="Z49" i="1"/>
  <c r="BC25" i="41"/>
  <c r="BT12" i="37"/>
  <c r="CF48" i="1"/>
  <c r="I53" i="41"/>
  <c r="AP50" i="36"/>
  <c r="AX17" i="37"/>
  <c r="AG26" i="37"/>
  <c r="L92" i="40"/>
  <c r="AJ17" i="1"/>
  <c r="BR49" i="41"/>
  <c r="BU17" i="1"/>
  <c r="BZ67" i="41"/>
  <c r="CC9" i="26"/>
  <c r="AM79" i="1"/>
  <c r="BQ60" i="39"/>
  <c r="DB67" i="1"/>
  <c r="CL57" i="41"/>
  <c r="AA81" i="36"/>
  <c r="Y75" i="36"/>
  <c r="I98" i="26"/>
  <c r="AU98" i="37"/>
  <c r="CN17" i="39"/>
  <c r="L74" i="60"/>
  <c r="BW26" i="37"/>
  <c r="BE107" i="47"/>
  <c r="CL30" i="25"/>
  <c r="CB18" i="38"/>
  <c r="CU57" i="40"/>
  <c r="AC26" i="41"/>
  <c r="AX24" i="39"/>
  <c r="J98" i="39"/>
  <c r="AX48" i="38"/>
  <c r="AV12" i="37"/>
  <c r="J71" i="40"/>
  <c r="AI92" i="25"/>
  <c r="T67" i="40"/>
  <c r="AT29" i="40"/>
  <c r="AQ10" i="36"/>
  <c r="I71" i="60"/>
  <c r="CL58" i="39"/>
  <c r="BT30" i="26"/>
  <c r="AW48" i="37"/>
  <c r="AP9" i="37"/>
  <c r="L7" i="59"/>
  <c r="BX26" i="38"/>
  <c r="AZ71" i="1"/>
  <c r="CW92" i="39"/>
  <c r="L29" i="1"/>
  <c r="O19" i="59"/>
  <c r="CQ102" i="41"/>
  <c r="CC67" i="39"/>
  <c r="AX27" i="37"/>
  <c r="CZ75" i="25"/>
  <c r="CC48" i="41"/>
  <c r="AJ10" i="40"/>
  <c r="BA62" i="25"/>
  <c r="BT25" i="25"/>
  <c r="G88" i="64"/>
  <c r="CW58" i="39"/>
  <c r="BW92" i="39"/>
  <c r="AX57" i="1"/>
  <c r="CT57" i="38"/>
  <c r="AP48" i="41"/>
  <c r="DC65" i="26"/>
  <c r="CJ75" i="26"/>
  <c r="AV29" i="25"/>
  <c r="DA53" i="41"/>
  <c r="CO92" i="37"/>
  <c r="CA54" i="26"/>
  <c r="BC34" i="41"/>
  <c r="CV65" i="26"/>
  <c r="BR92" i="36"/>
  <c r="BD54" i="41"/>
  <c r="CM9" i="26"/>
  <c r="BR10" i="39"/>
  <c r="CG21" i="1"/>
  <c r="CC96" i="37"/>
  <c r="Z18" i="39"/>
  <c r="AE91" i="1"/>
  <c r="AB26" i="40"/>
  <c r="AI26" i="37"/>
  <c r="AO29" i="38"/>
  <c r="CG24" i="38"/>
  <c r="AZ81" i="41"/>
  <c r="AX21" i="37"/>
  <c r="L21" i="39"/>
  <c r="BC10" i="41"/>
  <c r="P81" i="25"/>
  <c r="BD79" i="41"/>
  <c r="BA65" i="39"/>
  <c r="L49" i="25"/>
  <c r="CH98" i="36"/>
  <c r="AY27" i="41"/>
  <c r="CA102" i="25"/>
  <c r="AC26" i="39"/>
  <c r="AB25" i="1"/>
  <c r="BI30" i="1"/>
  <c r="N53" i="41"/>
  <c r="X10" i="39"/>
  <c r="AR17" i="41"/>
  <c r="AW17" i="40"/>
  <c r="M18" i="39"/>
  <c r="CN25" i="37"/>
  <c r="DC13" i="1"/>
  <c r="BE18" i="41"/>
  <c r="AV98" i="40"/>
  <c r="K50" i="1"/>
  <c r="BR37" i="39"/>
  <c r="CI61" i="26"/>
  <c r="AN79" i="26"/>
  <c r="AI21" i="37"/>
  <c r="BO58" i="36"/>
  <c r="AG75" i="25"/>
  <c r="BV59" i="25"/>
  <c r="BP26" i="39"/>
  <c r="P58" i="39"/>
  <c r="DC103" i="40"/>
  <c r="DB75" i="40"/>
  <c r="DE98" i="39"/>
  <c r="BE48" i="39"/>
  <c r="BD62" i="1"/>
  <c r="U61" i="39"/>
  <c r="O49" i="26"/>
  <c r="BC21" i="38"/>
  <c r="CD59" i="26"/>
  <c r="DC79" i="37"/>
  <c r="M30" i="40"/>
  <c r="CN103" i="25"/>
  <c r="AU12" i="40"/>
  <c r="CU27" i="39"/>
  <c r="CL75" i="41"/>
  <c r="BX75" i="26"/>
  <c r="AD17" i="36"/>
  <c r="BV102" i="25"/>
  <c r="CN96" i="38"/>
  <c r="N92" i="41"/>
  <c r="AQ17" i="39"/>
  <c r="AD10" i="39"/>
  <c r="BW58" i="25"/>
  <c r="AN29" i="25"/>
  <c r="AW9" i="40"/>
  <c r="AP26" i="38"/>
  <c r="AO102" i="38"/>
  <c r="X66" i="26"/>
  <c r="BH67" i="1"/>
  <c r="CE59" i="25"/>
  <c r="DC24" i="40"/>
  <c r="G102" i="41"/>
  <c r="U17" i="37"/>
  <c r="BV24" i="36"/>
  <c r="L26" i="41"/>
  <c r="K21" i="38"/>
  <c r="DB89" i="1"/>
  <c r="AW71" i="37"/>
  <c r="S67" i="25"/>
  <c r="N50" i="59"/>
  <c r="W13" i="26"/>
  <c r="BB21" i="26"/>
  <c r="N75" i="1"/>
  <c r="DC26" i="39"/>
  <c r="F50" i="46"/>
  <c r="BB310" i="47"/>
  <c r="BV53" i="40"/>
  <c r="AV30" i="41"/>
  <c r="AE92" i="37"/>
  <c r="BV50" i="39"/>
  <c r="G48" i="40"/>
  <c r="CC102" i="1"/>
  <c r="AG66" i="25"/>
  <c r="DA98" i="37"/>
  <c r="CR49" i="26"/>
  <c r="CF79" i="25"/>
  <c r="CI61" i="40"/>
  <c r="K57" i="38"/>
  <c r="AQ37" i="41"/>
  <c r="CN10" i="1"/>
  <c r="AY27" i="25"/>
  <c r="DC10" i="40"/>
  <c r="AM48" i="37"/>
  <c r="P62" i="39"/>
  <c r="U48" i="26"/>
  <c r="CZ58" i="26"/>
  <c r="AY17" i="25"/>
  <c r="CD18" i="1"/>
  <c r="BQ18" i="39"/>
  <c r="AD25" i="36"/>
  <c r="BA37" i="41"/>
  <c r="AH89" i="39"/>
  <c r="CY62" i="38"/>
  <c r="M29" i="40"/>
  <c r="G29" i="36"/>
  <c r="BW10" i="40"/>
  <c r="W61" i="39"/>
  <c r="CM75" i="39"/>
  <c r="BX98" i="40"/>
  <c r="CX58" i="38"/>
  <c r="CR103" i="39"/>
  <c r="CY103" i="39"/>
  <c r="BU58" i="39"/>
  <c r="CD89" i="26"/>
  <c r="CK18" i="39"/>
  <c r="CB26" i="25"/>
  <c r="AM45" i="39"/>
  <c r="AQ30" i="38"/>
  <c r="CY75" i="26"/>
  <c r="DD91" i="36"/>
  <c r="DA62" i="26"/>
  <c r="AA18" i="1"/>
  <c r="AJ30" i="38"/>
  <c r="BA89" i="26"/>
  <c r="BH91" i="36"/>
  <c r="BR59" i="26"/>
  <c r="K26" i="26"/>
  <c r="BX71" i="38"/>
  <c r="K96" i="25"/>
  <c r="CS24" i="1"/>
  <c r="U26" i="25"/>
  <c r="AS29" i="40"/>
  <c r="DA59" i="39"/>
  <c r="CL30" i="40"/>
  <c r="G59" i="37"/>
  <c r="CF58" i="36"/>
  <c r="P45" i="38"/>
  <c r="BX17" i="1"/>
  <c r="O59" i="26"/>
  <c r="CV13" i="25"/>
  <c r="Y58" i="37"/>
  <c r="CD12" i="37"/>
  <c r="CJ62" i="40"/>
  <c r="CQ61" i="36"/>
  <c r="DD92" i="26"/>
  <c r="BC48" i="37"/>
  <c r="CA48" i="40"/>
  <c r="AC102" i="40"/>
  <c r="CG45" i="36"/>
  <c r="AC102" i="37"/>
  <c r="N20" i="50"/>
  <c r="AW26" i="25"/>
  <c r="AO13" i="25"/>
  <c r="AD12" i="38"/>
  <c r="V57" i="37"/>
  <c r="L30" i="1"/>
  <c r="DC61" i="26"/>
  <c r="CA92" i="38"/>
  <c r="AU30" i="41"/>
  <c r="O71" i="36"/>
  <c r="AT58" i="41"/>
  <c r="BV96" i="1"/>
  <c r="AT60" i="40"/>
  <c r="BS53" i="25"/>
  <c r="BX24" i="1"/>
  <c r="AB37" i="38"/>
  <c r="AM34" i="25"/>
  <c r="O45" i="39"/>
  <c r="CJ12" i="41"/>
  <c r="N89" i="40"/>
  <c r="CP12" i="38"/>
  <c r="CR75" i="39"/>
  <c r="BP24" i="1"/>
  <c r="BX37" i="1"/>
  <c r="BH13" i="39"/>
  <c r="BH67" i="39"/>
  <c r="N27" i="36"/>
  <c r="AZ53" i="40"/>
  <c r="DE91" i="37"/>
  <c r="CY54" i="38"/>
  <c r="CF79" i="41"/>
  <c r="AH17" i="25"/>
  <c r="AD98" i="36"/>
  <c r="AX48" i="26"/>
  <c r="AI27" i="25"/>
  <c r="AN92" i="41"/>
  <c r="BO24" i="38"/>
  <c r="CK17" i="38"/>
  <c r="Z34" i="39"/>
  <c r="CV17" i="1"/>
  <c r="CP50" i="38"/>
  <c r="CE37" i="36"/>
  <c r="BW37" i="39"/>
  <c r="AM25" i="37"/>
  <c r="J81" i="37"/>
  <c r="CR12" i="25"/>
  <c r="AR13" i="38"/>
  <c r="AS62" i="41"/>
  <c r="CI81" i="39"/>
  <c r="DB58" i="37"/>
  <c r="AA67" i="38"/>
  <c r="G96" i="25"/>
  <c r="M53" i="59"/>
  <c r="CW102" i="37"/>
  <c r="DD89" i="37"/>
  <c r="CI18" i="38"/>
  <c r="AH45" i="25"/>
  <c r="M17" i="26"/>
  <c r="DE92" i="38"/>
  <c r="AH102" i="37"/>
  <c r="CO9" i="26"/>
  <c r="DA58" i="36"/>
  <c r="DD17" i="1"/>
  <c r="DA58" i="25"/>
  <c r="S25" i="38"/>
  <c r="BR81" i="40"/>
  <c r="CH49" i="37"/>
  <c r="AY233" i="47"/>
  <c r="S61" i="1"/>
  <c r="CE79" i="41"/>
  <c r="CC45" i="38"/>
  <c r="CX89" i="1"/>
  <c r="DE81" i="25"/>
  <c r="AX61" i="36"/>
  <c r="AP18" i="40"/>
  <c r="BS34" i="36"/>
  <c r="I29" i="25"/>
  <c r="BO66" i="40"/>
  <c r="AV81" i="25"/>
  <c r="CI49" i="1"/>
  <c r="BA71" i="25"/>
  <c r="CH98" i="25"/>
  <c r="P13" i="25"/>
  <c r="BS81" i="38"/>
  <c r="I48" i="1"/>
  <c r="AR54" i="36"/>
  <c r="CN91" i="38"/>
  <c r="CV91" i="26"/>
  <c r="CE12" i="40"/>
  <c r="CN48" i="40"/>
  <c r="AS102" i="39"/>
  <c r="CY53" i="25"/>
  <c r="AX98" i="38"/>
  <c r="BX62" i="26"/>
  <c r="AM89" i="37"/>
  <c r="CZ25" i="39"/>
  <c r="BV25" i="36"/>
  <c r="CD17" i="39"/>
  <c r="AG75" i="41"/>
  <c r="CT30" i="26"/>
  <c r="BV65" i="41"/>
  <c r="Y57" i="37"/>
  <c r="CK98" i="39"/>
  <c r="AO66" i="26"/>
  <c r="CI21" i="26"/>
  <c r="AM58" i="40"/>
  <c r="CV29" i="26"/>
  <c r="CJ45" i="1"/>
  <c r="CG102" i="1"/>
  <c r="Y98" i="38"/>
  <c r="AY60" i="39"/>
  <c r="CC58" i="26"/>
  <c r="CF81" i="36"/>
  <c r="BH98" i="38"/>
  <c r="CL75" i="40"/>
  <c r="AJ102" i="39"/>
  <c r="K34" i="26"/>
  <c r="BU26" i="1"/>
  <c r="CC10" i="38"/>
  <c r="BA104" i="47"/>
  <c r="BR45" i="40"/>
  <c r="AJ24" i="39"/>
  <c r="L61" i="37"/>
  <c r="BP58" i="37"/>
  <c r="AB49" i="36"/>
  <c r="X98" i="25"/>
  <c r="CW57" i="36"/>
  <c r="CU79" i="37"/>
  <c r="L53" i="36"/>
  <c r="CU24" i="38"/>
  <c r="Y10" i="37"/>
  <c r="AQ29" i="1"/>
  <c r="X13" i="25"/>
  <c r="BO17" i="39"/>
  <c r="AT92" i="39"/>
  <c r="J30" i="41"/>
  <c r="BI59" i="37"/>
  <c r="CV61" i="26"/>
  <c r="I52" i="59"/>
  <c r="S61" i="40"/>
  <c r="J92" i="41"/>
  <c r="BD96" i="40"/>
  <c r="CK34" i="36"/>
  <c r="AM57" i="41"/>
  <c r="X54" i="39"/>
  <c r="BO98" i="38"/>
  <c r="AA79" i="37"/>
  <c r="N81" i="40"/>
  <c r="AV48" i="1"/>
  <c r="AU62" i="40"/>
  <c r="I66" i="39"/>
  <c r="BR79" i="39"/>
  <c r="DE91" i="1"/>
  <c r="DF65" i="37"/>
  <c r="AZ318" i="47"/>
  <c r="AB102" i="40"/>
  <c r="V25" i="39"/>
  <c r="CE18" i="38"/>
  <c r="T62" i="26"/>
  <c r="AN50" i="36"/>
  <c r="BF247" i="47"/>
  <c r="BH37" i="37"/>
  <c r="BP79" i="39"/>
  <c r="CF89" i="37"/>
  <c r="CI26" i="37"/>
  <c r="BR58" i="41"/>
  <c r="G81" i="41"/>
  <c r="DA65" i="36"/>
  <c r="P47" i="59"/>
  <c r="AB18" i="40"/>
  <c r="AU58" i="37"/>
  <c r="CC79" i="25"/>
  <c r="AC25" i="39"/>
  <c r="S61" i="37"/>
  <c r="CM49" i="40"/>
  <c r="AI24" i="40"/>
  <c r="CA79" i="39"/>
  <c r="AR17" i="39"/>
  <c r="BU65" i="39"/>
  <c r="U53" i="39"/>
  <c r="AM9" i="25"/>
  <c r="CJ62" i="41"/>
  <c r="AJ12" i="1"/>
  <c r="BP91" i="41"/>
  <c r="AM92" i="1"/>
  <c r="AC30" i="39"/>
  <c r="CO91" i="39"/>
  <c r="T61" i="38"/>
  <c r="AB81" i="37"/>
  <c r="M90" i="60"/>
  <c r="O67" i="39"/>
  <c r="CO96" i="25"/>
  <c r="BD60" i="37"/>
  <c r="CE67" i="25"/>
  <c r="AF27" i="40"/>
  <c r="BY9" i="40"/>
  <c r="DF24" i="36"/>
  <c r="CE12" i="38"/>
  <c r="CE62" i="41"/>
  <c r="CG62" i="26"/>
  <c r="BU18" i="41"/>
  <c r="DE30" i="36"/>
  <c r="BG311" i="47"/>
  <c r="CW9" i="36"/>
  <c r="O54" i="26"/>
  <c r="DE26" i="37"/>
  <c r="G71" i="25"/>
  <c r="AG91" i="38"/>
  <c r="CK91" i="1"/>
  <c r="DD37" i="37"/>
  <c r="BH25" i="40"/>
  <c r="AT29" i="26"/>
  <c r="BD79" i="37"/>
  <c r="K92" i="26"/>
  <c r="AZ62" i="37"/>
  <c r="J54" i="64"/>
  <c r="P50" i="38"/>
  <c r="CM61" i="36"/>
  <c r="AE66" i="37"/>
  <c r="CW53" i="25"/>
  <c r="CM26" i="25"/>
  <c r="BX54" i="36"/>
  <c r="CH25" i="26"/>
  <c r="BR54" i="38"/>
  <c r="N30" i="39"/>
  <c r="P59" i="41"/>
  <c r="AD26" i="25"/>
  <c r="CI61" i="36"/>
  <c r="AT25" i="40"/>
  <c r="K50" i="25"/>
  <c r="Z60" i="38"/>
  <c r="BA53" i="25"/>
  <c r="BE81" i="38"/>
  <c r="BY57" i="37"/>
  <c r="W12" i="38"/>
  <c r="N62" i="41"/>
  <c r="G45" i="1"/>
  <c r="AB21" i="41"/>
  <c r="BB34" i="38"/>
  <c r="BE98" i="25"/>
  <c r="AM45" i="41"/>
  <c r="BV67" i="39"/>
  <c r="DD62" i="40"/>
  <c r="K92" i="36"/>
  <c r="CN75" i="39"/>
  <c r="CI48" i="41"/>
  <c r="CO75" i="37"/>
  <c r="CX98" i="37"/>
  <c r="AX61" i="40"/>
  <c r="CZ60" i="38"/>
  <c r="G54" i="38"/>
  <c r="AU30" i="37"/>
  <c r="AT62" i="41"/>
  <c r="CS79" i="40"/>
  <c r="BE9" i="41"/>
  <c r="BC89" i="39"/>
  <c r="BZ58" i="40"/>
  <c r="AQ61" i="26"/>
  <c r="BY30" i="40"/>
  <c r="T59" i="38"/>
  <c r="DF10" i="1"/>
  <c r="I17" i="36"/>
  <c r="CG62" i="40"/>
  <c r="Z98" i="41"/>
  <c r="AC17" i="41"/>
  <c r="AV9" i="26"/>
  <c r="AT102" i="39"/>
  <c r="W54" i="39"/>
  <c r="CE27" i="25"/>
  <c r="CM25" i="37"/>
  <c r="Z96" i="40"/>
  <c r="AB26" i="26"/>
  <c r="AD21" i="1"/>
  <c r="AM91" i="1"/>
  <c r="K60" i="59"/>
  <c r="AH81" i="40"/>
  <c r="AG54" i="41"/>
  <c r="O21" i="38"/>
  <c r="J81" i="26"/>
  <c r="BP50" i="39"/>
  <c r="BV49" i="25"/>
  <c r="AY12" i="38"/>
  <c r="CC102" i="36"/>
  <c r="BV60" i="38"/>
  <c r="DC91" i="38"/>
  <c r="G69" i="60"/>
  <c r="M50" i="59"/>
  <c r="Y13" i="39"/>
  <c r="AA27" i="38"/>
  <c r="BO61" i="36"/>
  <c r="CR25" i="1"/>
  <c r="AY308" i="47"/>
  <c r="DF96" i="40"/>
  <c r="AG49" i="41"/>
  <c r="CF102" i="36"/>
  <c r="AT12" i="1"/>
  <c r="AE60" i="38"/>
  <c r="Z30" i="40"/>
  <c r="CS25" i="26"/>
  <c r="CZ24" i="38"/>
  <c r="AD58" i="36"/>
  <c r="CR18" i="36"/>
  <c r="X18" i="1"/>
  <c r="CF75" i="26"/>
  <c r="DC21" i="38"/>
  <c r="CS53" i="41"/>
  <c r="CG58" i="41"/>
  <c r="DF58" i="39"/>
  <c r="BX61" i="25"/>
  <c r="DD57" i="25"/>
  <c r="H59" i="26"/>
  <c r="AD67" i="1"/>
  <c r="BE91" i="39"/>
  <c r="CO67" i="38"/>
  <c r="CI49" i="26"/>
  <c r="BX49" i="39"/>
  <c r="CF25" i="37"/>
  <c r="CL103" i="38"/>
  <c r="J62" i="37"/>
  <c r="I54" i="37"/>
  <c r="J37" i="36"/>
  <c r="BO26" i="36"/>
  <c r="AI89" i="37"/>
  <c r="CN92" i="26"/>
  <c r="AZ50" i="37"/>
  <c r="BE62" i="1"/>
  <c r="CX10" i="41"/>
  <c r="CL48" i="38"/>
  <c r="BS37" i="38"/>
  <c r="CF92" i="37"/>
  <c r="CA48" i="38"/>
  <c r="CV71" i="38"/>
  <c r="BW45" i="39"/>
  <c r="BT54" i="1"/>
  <c r="AW12" i="38"/>
  <c r="BQ66" i="1"/>
  <c r="F10" i="60"/>
  <c r="BU96" i="39"/>
  <c r="AE13" i="40"/>
  <c r="AS17" i="40"/>
  <c r="CW89" i="37"/>
  <c r="BQ26" i="40"/>
  <c r="U92" i="40"/>
  <c r="AJ26" i="37"/>
  <c r="AA29" i="40"/>
  <c r="AA71" i="25"/>
  <c r="BA59" i="36"/>
  <c r="AR10" i="25"/>
  <c r="BD75" i="36"/>
  <c r="BU67" i="40"/>
  <c r="CU81" i="25"/>
  <c r="W71" i="37"/>
  <c r="AS96" i="39"/>
  <c r="AZ61" i="38"/>
  <c r="CD98" i="25"/>
  <c r="CY37" i="40"/>
  <c r="CV102" i="26"/>
  <c r="BU30" i="1"/>
  <c r="V60" i="26"/>
  <c r="CR75" i="41"/>
  <c r="BD89" i="38"/>
  <c r="I102" i="1"/>
  <c r="CV75" i="37"/>
  <c r="AJ49" i="26"/>
  <c r="CP49" i="37"/>
  <c r="CA27" i="41"/>
  <c r="BT54" i="25"/>
  <c r="CR65" i="39"/>
  <c r="BW12" i="38"/>
  <c r="AX30" i="39"/>
  <c r="CI24" i="40"/>
  <c r="AP25" i="39"/>
  <c r="DF26" i="41"/>
  <c r="AC12" i="39"/>
  <c r="E88" i="64"/>
  <c r="DA21" i="39"/>
  <c r="AT24" i="40"/>
  <c r="X79" i="38"/>
  <c r="AS81" i="37"/>
  <c r="AX24" i="36"/>
  <c r="G20" i="50"/>
  <c r="AB10" i="1"/>
  <c r="W67" i="26"/>
  <c r="BZ12" i="25"/>
  <c r="L19" i="46"/>
  <c r="Y34" i="26"/>
  <c r="Z75" i="37"/>
  <c r="CZ59" i="25"/>
  <c r="J28" i="59"/>
  <c r="S98" i="40"/>
  <c r="S67" i="40"/>
  <c r="BW45" i="41"/>
  <c r="BY91" i="40"/>
  <c r="K75" i="37"/>
  <c r="CC57" i="37"/>
  <c r="G66" i="41"/>
  <c r="AX102" i="26"/>
  <c r="AP30" i="38"/>
  <c r="CL29" i="1"/>
  <c r="P10" i="36"/>
  <c r="AX12" i="39"/>
  <c r="BE124" i="47"/>
  <c r="CK26" i="41"/>
  <c r="CV96" i="26"/>
  <c r="BV21" i="26"/>
  <c r="CB92" i="1"/>
  <c r="W25" i="40"/>
  <c r="CI10" i="26"/>
  <c r="M65" i="40"/>
  <c r="BV53" i="36"/>
  <c r="AU18" i="36"/>
  <c r="N61" i="37"/>
  <c r="BR91" i="38"/>
  <c r="CC25" i="25"/>
  <c r="L60" i="37"/>
  <c r="T30" i="38"/>
  <c r="AI60" i="25"/>
  <c r="BB128" i="47"/>
  <c r="BE18" i="38"/>
  <c r="AB24" i="36"/>
  <c r="I66" i="38"/>
  <c r="M60" i="25"/>
  <c r="CL9" i="1"/>
  <c r="AU54" i="26"/>
  <c r="AX26" i="1"/>
  <c r="L59" i="40"/>
  <c r="AN9" i="1"/>
  <c r="W48" i="41"/>
  <c r="CX96" i="38"/>
  <c r="AU75" i="41"/>
  <c r="BR27" i="40"/>
  <c r="CH25" i="41"/>
  <c r="BB61" i="40"/>
  <c r="AR10" i="39"/>
  <c r="AS10" i="1"/>
  <c r="AX17" i="36"/>
  <c r="BU62" i="39"/>
  <c r="BW75" i="26"/>
  <c r="CE49" i="25"/>
  <c r="AR66" i="36"/>
  <c r="T65" i="41"/>
  <c r="CN45" i="26"/>
  <c r="AY57" i="40"/>
  <c r="CE96" i="39"/>
  <c r="G24" i="37"/>
  <c r="CC17" i="39"/>
  <c r="BB26" i="26"/>
  <c r="CH48" i="1"/>
  <c r="BH59" i="26"/>
  <c r="AH17" i="37"/>
  <c r="BY18" i="40"/>
  <c r="O71" i="38"/>
  <c r="BP48" i="38"/>
  <c r="I9" i="41"/>
  <c r="CW89" i="41"/>
  <c r="BB48" i="1"/>
  <c r="CW75" i="41"/>
  <c r="CC62" i="1"/>
  <c r="BZ12" i="40"/>
  <c r="CW9" i="38"/>
  <c r="AZ315" i="47"/>
  <c r="AS45" i="36"/>
  <c r="AT96" i="40"/>
  <c r="T96" i="39"/>
  <c r="CM65" i="41"/>
  <c r="BC25" i="36"/>
  <c r="CY29" i="40"/>
  <c r="BX50" i="39"/>
  <c r="BC102" i="25"/>
  <c r="CR12" i="39"/>
  <c r="CR18" i="38"/>
  <c r="CK59" i="26"/>
  <c r="S96" i="25"/>
  <c r="CC57" i="36"/>
  <c r="S26" i="1"/>
  <c r="CZ50" i="25"/>
  <c r="BS29" i="26"/>
  <c r="DB62" i="41"/>
  <c r="L96" i="37"/>
  <c r="W25" i="36"/>
  <c r="BA24" i="39"/>
  <c r="BY65" i="40"/>
  <c r="BI13" i="25"/>
  <c r="CN50" i="37"/>
  <c r="H30" i="36"/>
  <c r="DD26" i="38"/>
  <c r="BS102" i="41"/>
  <c r="CB54" i="25"/>
  <c r="CV67" i="38"/>
  <c r="BC65" i="37"/>
  <c r="BE30" i="38"/>
  <c r="T29" i="26"/>
  <c r="CS50" i="37"/>
  <c r="BZ67" i="36"/>
  <c r="CR102" i="26"/>
  <c r="AU59" i="26"/>
  <c r="L13" i="60"/>
  <c r="K58" i="26"/>
  <c r="BQ12" i="26"/>
  <c r="AH21" i="1"/>
  <c r="AM58" i="26"/>
  <c r="CA45" i="25"/>
  <c r="CQ103" i="40"/>
  <c r="AB13" i="38"/>
  <c r="DD66" i="25"/>
  <c r="BS98" i="37"/>
  <c r="DE24" i="38"/>
  <c r="BA12" i="38"/>
  <c r="CV62" i="40"/>
  <c r="H54" i="25"/>
  <c r="BO26" i="26"/>
  <c r="CJ24" i="26"/>
  <c r="CT89" i="1"/>
  <c r="M50" i="36"/>
  <c r="DD21" i="36"/>
  <c r="CV65" i="37"/>
  <c r="BU92" i="1"/>
  <c r="AD62" i="41"/>
  <c r="H96" i="38"/>
  <c r="BA9" i="25"/>
  <c r="CS17" i="1"/>
  <c r="AI45" i="40"/>
  <c r="H48" i="26"/>
  <c r="AT71" i="41"/>
  <c r="CN71" i="39"/>
  <c r="X45" i="37"/>
  <c r="BZ21" i="26"/>
  <c r="BY58" i="40"/>
  <c r="CA53" i="41"/>
  <c r="AV29" i="41"/>
  <c r="DC49" i="39"/>
  <c r="CS50" i="36"/>
  <c r="BU9" i="39"/>
  <c r="AT9" i="37"/>
  <c r="CD12" i="25"/>
  <c r="AZ50" i="1"/>
  <c r="K98" i="41"/>
  <c r="U60" i="39"/>
  <c r="CQ71" i="38"/>
  <c r="AI10" i="38"/>
  <c r="BE24" i="25"/>
  <c r="CL53" i="38"/>
  <c r="AZ102" i="41"/>
  <c r="BB17" i="25"/>
  <c r="M71" i="25"/>
  <c r="CD67" i="1"/>
  <c r="CZ13" i="40"/>
  <c r="CP65" i="40"/>
  <c r="L30" i="37"/>
  <c r="DB102" i="1"/>
  <c r="AC61" i="36"/>
  <c r="H65" i="1"/>
  <c r="W37" i="1"/>
  <c r="AJ24" i="25"/>
  <c r="K9" i="38"/>
  <c r="CY13" i="39"/>
  <c r="BE37" i="36"/>
  <c r="AF57" i="36"/>
  <c r="AC53" i="36"/>
  <c r="BB81" i="41"/>
  <c r="BS89" i="36"/>
  <c r="AR67" i="38"/>
  <c r="H30" i="41"/>
  <c r="M81" i="39"/>
  <c r="CM66" i="26"/>
  <c r="CW24" i="41"/>
  <c r="CX60" i="41"/>
  <c r="CD29" i="38"/>
  <c r="AQ57" i="25"/>
  <c r="AD12" i="41"/>
  <c r="AU27" i="41"/>
  <c r="H92" i="40"/>
  <c r="CM37" i="36"/>
  <c r="CC98" i="37"/>
  <c r="CT53" i="40"/>
  <c r="Y18" i="26"/>
  <c r="DD91" i="38"/>
  <c r="CV50" i="37"/>
  <c r="BI71" i="38"/>
  <c r="BC62" i="26"/>
  <c r="CM18" i="38"/>
  <c r="CC59" i="36"/>
  <c r="CY24" i="38"/>
  <c r="CV79" i="25"/>
  <c r="DA21" i="36"/>
  <c r="DD58" i="39"/>
  <c r="AZ67" i="40"/>
  <c r="AU65" i="26"/>
  <c r="AN18" i="26"/>
  <c r="E87" i="60"/>
  <c r="AB26" i="38"/>
  <c r="S26" i="39"/>
  <c r="DB12" i="40"/>
  <c r="BR12" i="37"/>
  <c r="CG25" i="39"/>
  <c r="AG81" i="36"/>
  <c r="BZ61" i="1"/>
  <c r="BD17" i="36"/>
  <c r="AT48" i="38"/>
  <c r="Z59" i="36"/>
  <c r="L49" i="38"/>
  <c r="CT75" i="26"/>
  <c r="BZ60" i="25"/>
  <c r="DF53" i="40"/>
  <c r="CS96" i="39"/>
  <c r="AV81" i="39"/>
  <c r="AW50" i="25"/>
  <c r="BY13" i="25"/>
  <c r="I50" i="1"/>
  <c r="O66" i="39"/>
  <c r="AM37" i="40"/>
  <c r="CD45" i="36"/>
  <c r="CF10" i="26"/>
  <c r="DA45" i="40"/>
  <c r="CC89" i="40"/>
  <c r="AN54" i="25"/>
  <c r="O53" i="41"/>
  <c r="J24" i="39"/>
  <c r="AH24" i="38"/>
  <c r="CA54" i="37"/>
  <c r="BS92" i="25"/>
  <c r="AB57" i="40"/>
  <c r="AG18" i="36"/>
  <c r="W91" i="38"/>
  <c r="CT102" i="1"/>
  <c r="J53" i="25"/>
  <c r="DC98" i="1"/>
  <c r="AA24" i="26"/>
  <c r="CJ62" i="39"/>
  <c r="AA65" i="38"/>
  <c r="AE26" i="26"/>
  <c r="CS102" i="39"/>
  <c r="AI49" i="26"/>
  <c r="Z49" i="41"/>
  <c r="AD45" i="25"/>
  <c r="U30" i="41"/>
  <c r="AT30" i="38"/>
  <c r="BY45" i="41"/>
  <c r="CZ96" i="41"/>
  <c r="AN67" i="39"/>
  <c r="CN61" i="41"/>
  <c r="BS49" i="26"/>
  <c r="BT81" i="40"/>
  <c r="DC57" i="41"/>
  <c r="BY54" i="41"/>
  <c r="Y65" i="38"/>
  <c r="S81" i="41"/>
  <c r="BA24" i="41"/>
  <c r="BY103" i="38"/>
  <c r="CJ91" i="41"/>
  <c r="AG102" i="39"/>
  <c r="CK13" i="36"/>
  <c r="AJ96" i="1"/>
  <c r="CO49" i="37"/>
  <c r="AX102" i="38"/>
  <c r="DF79" i="38"/>
  <c r="CI53" i="1"/>
  <c r="BO26" i="39"/>
  <c r="AG45" i="39"/>
  <c r="BY62" i="1"/>
  <c r="T27" i="40"/>
  <c r="CC29" i="36"/>
  <c r="O13" i="38"/>
  <c r="CG17" i="26"/>
  <c r="CL96" i="38"/>
  <c r="CS37" i="36"/>
  <c r="DC9" i="38"/>
  <c r="AX29" i="40"/>
  <c r="AB21" i="39"/>
  <c r="G47" i="60"/>
  <c r="AY10" i="26"/>
  <c r="N17" i="25"/>
  <c r="J11" i="64"/>
  <c r="CG81" i="40"/>
  <c r="DA26" i="38"/>
  <c r="AG37" i="39"/>
  <c r="CM91" i="1"/>
  <c r="K66" i="25"/>
  <c r="CJ96" i="38"/>
  <c r="AZ48" i="39"/>
  <c r="AQ58" i="38"/>
  <c r="E70" i="60"/>
  <c r="BP37" i="1"/>
  <c r="CM103" i="39"/>
  <c r="BX103" i="26"/>
  <c r="DE18" i="40"/>
  <c r="BV62" i="37"/>
  <c r="AY91" i="25"/>
  <c r="DD9" i="36"/>
  <c r="BZ89" i="1"/>
  <c r="CX81" i="25"/>
  <c r="H10" i="39"/>
  <c r="Z21" i="1"/>
  <c r="AM30" i="26"/>
  <c r="CE65" i="26"/>
  <c r="J66" i="38"/>
  <c r="CV50" i="41"/>
  <c r="CT91" i="1"/>
  <c r="J57" i="1"/>
  <c r="CF50" i="38"/>
  <c r="CS92" i="36"/>
  <c r="U45" i="1"/>
  <c r="BY60" i="1"/>
  <c r="CQ60" i="40"/>
  <c r="BA49" i="26"/>
  <c r="AM50" i="25"/>
  <c r="CV59" i="25"/>
  <c r="Z12" i="36"/>
  <c r="CC61" i="26"/>
  <c r="CK12" i="26"/>
  <c r="CA12" i="38"/>
  <c r="T65" i="40"/>
  <c r="W71" i="26"/>
  <c r="AC58" i="38"/>
  <c r="M98" i="37"/>
  <c r="CE48" i="39"/>
  <c r="AC30" i="26"/>
  <c r="O28" i="59"/>
  <c r="BW49" i="1"/>
  <c r="G25" i="41"/>
  <c r="M61" i="37"/>
  <c r="DF48" i="38"/>
  <c r="DC24" i="25"/>
  <c r="CL75" i="38"/>
  <c r="AE24" i="1"/>
  <c r="AU34" i="41"/>
  <c r="CA98" i="37"/>
  <c r="Y30" i="37"/>
  <c r="CA30" i="36"/>
  <c r="G29" i="25"/>
  <c r="CW81" i="41"/>
  <c r="AS59" i="38"/>
  <c r="CM10" i="41"/>
  <c r="AG67" i="36"/>
  <c r="CC81" i="36"/>
  <c r="K50" i="26"/>
  <c r="CF58" i="1"/>
  <c r="AS67" i="41"/>
  <c r="AA59" i="38"/>
  <c r="DF13" i="25"/>
  <c r="F20" i="46"/>
  <c r="BB17" i="26"/>
  <c r="CQ18" i="38"/>
  <c r="CM30" i="41"/>
  <c r="L102" i="41"/>
  <c r="CU54" i="1"/>
  <c r="AF26" i="37"/>
  <c r="CD57" i="25"/>
  <c r="L12" i="36"/>
  <c r="J63" i="59"/>
  <c r="CF18" i="37"/>
  <c r="CT89" i="36"/>
  <c r="AR21" i="1"/>
  <c r="CH96" i="38"/>
  <c r="BX9" i="25"/>
  <c r="AR9" i="38"/>
  <c r="CL53" i="37"/>
  <c r="V25" i="26"/>
  <c r="G67" i="39"/>
  <c r="S30" i="1"/>
  <c r="AF24" i="25"/>
  <c r="CZ45" i="38"/>
  <c r="BS102" i="38"/>
  <c r="CF81" i="1"/>
  <c r="CM53" i="39"/>
  <c r="T24" i="25"/>
  <c r="Z50" i="25"/>
  <c r="DC53" i="36"/>
  <c r="CV45" i="38"/>
  <c r="CU27" i="41"/>
  <c r="CT10" i="38"/>
  <c r="CA9" i="36"/>
  <c r="BZ34" i="39"/>
  <c r="AZ50" i="41"/>
  <c r="J48" i="38"/>
  <c r="AX24" i="25"/>
  <c r="AG98" i="41"/>
  <c r="BD13" i="1"/>
  <c r="AI45" i="25"/>
  <c r="CZ53" i="41"/>
  <c r="AC98" i="39"/>
  <c r="BD21" i="38"/>
  <c r="CB50" i="38"/>
  <c r="CD26" i="39"/>
  <c r="AM71" i="40"/>
  <c r="BY26" i="36"/>
  <c r="AH57" i="1"/>
  <c r="CR103" i="37"/>
  <c r="AI66" i="40"/>
  <c r="BY48" i="36"/>
  <c r="CI96" i="1"/>
  <c r="DE27" i="41"/>
  <c r="Y18" i="41"/>
  <c r="CE24" i="39"/>
  <c r="CR91" i="1"/>
  <c r="CX53" i="26"/>
  <c r="AV79" i="26"/>
  <c r="AR91" i="25"/>
  <c r="AY53" i="38"/>
  <c r="DD81" i="25"/>
  <c r="DE48" i="26"/>
  <c r="BX45" i="36"/>
  <c r="BW17" i="36"/>
  <c r="N66" i="37"/>
  <c r="CN81" i="26"/>
  <c r="BV65" i="39"/>
  <c r="AX60" i="41"/>
  <c r="J58" i="1"/>
  <c r="BB67" i="41"/>
  <c r="N45" i="36"/>
  <c r="CC92" i="36"/>
  <c r="CW65" i="38"/>
  <c r="CM12" i="37"/>
  <c r="CA45" i="1"/>
  <c r="BB61" i="41"/>
  <c r="W37" i="41"/>
  <c r="CM65" i="25"/>
  <c r="AF91" i="26"/>
  <c r="CH30" i="25"/>
  <c r="AP25" i="26"/>
  <c r="O25" i="1"/>
  <c r="CB66" i="39"/>
  <c r="AQ26" i="25"/>
  <c r="AM75" i="26"/>
  <c r="AD26" i="39"/>
  <c r="AE26" i="41"/>
  <c r="BH37" i="40"/>
  <c r="BQ79" i="26"/>
  <c r="BA59" i="40"/>
  <c r="CN21" i="37"/>
  <c r="CT27" i="41"/>
  <c r="DF25" i="37"/>
  <c r="V57" i="39"/>
  <c r="DA21" i="38"/>
  <c r="BB62" i="1"/>
  <c r="BY62" i="36"/>
  <c r="AO10" i="38"/>
  <c r="AM75" i="40"/>
  <c r="CE92" i="36"/>
  <c r="BX10" i="39"/>
  <c r="BI21" i="39"/>
  <c r="CT45" i="40"/>
  <c r="G21" i="38"/>
  <c r="AF59" i="41"/>
  <c r="CA103" i="39"/>
  <c r="O79" i="40"/>
  <c r="AU66" i="39"/>
  <c r="CZ75" i="37"/>
  <c r="AH18" i="37"/>
  <c r="AC37" i="25"/>
  <c r="CA24" i="41"/>
  <c r="AT57" i="40"/>
  <c r="CA50" i="40"/>
  <c r="AT50" i="39"/>
  <c r="I24" i="26"/>
  <c r="M44" i="59"/>
  <c r="AC12" i="37"/>
  <c r="M57" i="26"/>
  <c r="BD12" i="36"/>
  <c r="BT24" i="37"/>
  <c r="AZ54" i="39"/>
  <c r="DC27" i="39"/>
  <c r="AR53" i="1"/>
  <c r="AO25" i="40"/>
  <c r="BW62" i="38"/>
  <c r="CG34" i="41"/>
  <c r="J96" i="40"/>
  <c r="DB91" i="40"/>
  <c r="AN60" i="36"/>
  <c r="CD65" i="1"/>
  <c r="DC25" i="25"/>
  <c r="CI27" i="38"/>
  <c r="CY9" i="36"/>
  <c r="DF81" i="26"/>
  <c r="BS13" i="39"/>
  <c r="CI29" i="39"/>
  <c r="P37" i="40"/>
  <c r="CN81" i="40"/>
  <c r="CJ57" i="26"/>
  <c r="AO30" i="38"/>
  <c r="L17" i="46"/>
  <c r="CD37" i="38"/>
  <c r="M102" i="41"/>
  <c r="AV75" i="25"/>
  <c r="K26" i="39"/>
  <c r="CV25" i="38"/>
  <c r="AV24" i="37"/>
  <c r="CZ62" i="38"/>
  <c r="BP59" i="37"/>
  <c r="BS12" i="26"/>
  <c r="AF25" i="41"/>
  <c r="BW17" i="37"/>
  <c r="CN81" i="1"/>
  <c r="BT66" i="41"/>
  <c r="CB50" i="40"/>
  <c r="CM34" i="1"/>
  <c r="CT29" i="40"/>
  <c r="CM59" i="39"/>
  <c r="AI67" i="37"/>
  <c r="AW59" i="39"/>
  <c r="L10" i="36"/>
  <c r="CC13" i="37"/>
  <c r="AZ79" i="41"/>
  <c r="CM48" i="40"/>
  <c r="G53" i="39"/>
  <c r="AU17" i="38"/>
  <c r="BH75" i="36"/>
  <c r="AZ12" i="26"/>
  <c r="CL18" i="40"/>
  <c r="AZ12" i="38"/>
  <c r="J67" i="39"/>
  <c r="AI30" i="37"/>
  <c r="AN13" i="26"/>
  <c r="AT17" i="25"/>
  <c r="AE10" i="36"/>
  <c r="CJ98" i="40"/>
  <c r="BC26" i="38"/>
  <c r="CF98" i="41"/>
  <c r="BA57" i="38"/>
  <c r="AQ79" i="38"/>
  <c r="CP30" i="36"/>
  <c r="AT12" i="25"/>
  <c r="CJ103" i="41"/>
  <c r="AF9" i="1"/>
  <c r="BT24" i="36"/>
  <c r="BB9" i="37"/>
  <c r="H102" i="36"/>
  <c r="CA29" i="25"/>
  <c r="AI61" i="39"/>
  <c r="AH37" i="41"/>
  <c r="BI17" i="41"/>
  <c r="L98" i="37"/>
  <c r="M57" i="41"/>
  <c r="CD45" i="26"/>
  <c r="CL67" i="36"/>
  <c r="BD12" i="38"/>
  <c r="CN27" i="1"/>
  <c r="CG66" i="37"/>
  <c r="CH58" i="38"/>
  <c r="CT53" i="41"/>
  <c r="G45" i="37"/>
  <c r="CN61" i="26"/>
  <c r="CT26" i="26"/>
  <c r="CX98" i="38"/>
  <c r="CN9" i="26"/>
  <c r="S54" i="37"/>
  <c r="BO54" i="40"/>
  <c r="S25" i="37"/>
  <c r="X54" i="26"/>
  <c r="CS57" i="39"/>
  <c r="AT48" i="41"/>
  <c r="CB30" i="37"/>
  <c r="BS27" i="40"/>
  <c r="AN102" i="25"/>
  <c r="F83" i="60"/>
  <c r="CE79" i="26"/>
  <c r="AA9" i="37"/>
  <c r="AB59" i="41"/>
  <c r="CL50" i="26"/>
  <c r="L50" i="1"/>
  <c r="CZ91" i="26"/>
  <c r="CC91" i="41"/>
  <c r="Z29" i="25"/>
  <c r="AI13" i="38"/>
  <c r="AF27" i="26"/>
  <c r="H58" i="36"/>
  <c r="BO60" i="25"/>
  <c r="BE9" i="1"/>
  <c r="AF18" i="36"/>
  <c r="CI53" i="37"/>
  <c r="H26" i="39"/>
  <c r="H65" i="40"/>
  <c r="CC62" i="25"/>
  <c r="AU24" i="1"/>
  <c r="T17" i="25"/>
  <c r="M96" i="37"/>
  <c r="BT9" i="41"/>
  <c r="CQ10" i="39"/>
  <c r="CH9" i="38"/>
  <c r="BF121" i="47"/>
  <c r="AX45" i="40"/>
  <c r="AN34" i="26"/>
  <c r="BR75" i="1"/>
  <c r="CP45" i="25"/>
  <c r="BE312" i="47"/>
  <c r="I18" i="1"/>
  <c r="AH13" i="25"/>
  <c r="BT27" i="25"/>
  <c r="BU21" i="1"/>
  <c r="AP54" i="36"/>
  <c r="AW54" i="40"/>
  <c r="CT59" i="41"/>
  <c r="BO103" i="25"/>
  <c r="L61" i="39"/>
  <c r="AY79" i="25"/>
  <c r="DE25" i="39"/>
  <c r="CS53" i="39"/>
  <c r="BC53" i="41"/>
  <c r="CK34" i="40"/>
  <c r="J65" i="25"/>
  <c r="M27" i="26"/>
  <c r="O98" i="41"/>
  <c r="AX29" i="39"/>
  <c r="BS67" i="26"/>
  <c r="AE37" i="25"/>
  <c r="AZ91" i="40"/>
  <c r="BP89" i="1"/>
  <c r="CT9" i="37"/>
  <c r="AH65" i="40"/>
  <c r="CS48" i="1"/>
  <c r="AS10" i="39"/>
  <c r="BH30" i="26"/>
  <c r="BB66" i="39"/>
  <c r="CS53" i="36"/>
  <c r="S58" i="39"/>
  <c r="AR71" i="36"/>
  <c r="AX65" i="39"/>
  <c r="AY79" i="38"/>
  <c r="AG61" i="41"/>
  <c r="AY59" i="39"/>
  <c r="K89" i="38"/>
  <c r="N79" i="41"/>
  <c r="BQ54" i="39"/>
  <c r="AA89" i="38"/>
  <c r="DB34" i="1"/>
  <c r="AD37" i="38"/>
  <c r="AS61" i="38"/>
  <c r="AO75" i="39"/>
  <c r="BE91" i="36"/>
  <c r="CW29" i="39"/>
  <c r="AX89" i="1"/>
  <c r="Z50" i="26"/>
  <c r="CC50" i="36"/>
  <c r="BC96" i="25"/>
  <c r="AI45" i="36"/>
  <c r="AD29" i="40"/>
  <c r="U34" i="1"/>
  <c r="AY25" i="40"/>
  <c r="AB50" i="39"/>
  <c r="V79" i="25"/>
  <c r="CV89" i="37"/>
  <c r="BC103" i="47"/>
  <c r="CY10" i="41"/>
  <c r="CC65" i="37"/>
  <c r="AM92" i="36"/>
  <c r="J67" i="41"/>
  <c r="BP60" i="37"/>
  <c r="AH58" i="41"/>
  <c r="CW103" i="40"/>
  <c r="I61" i="25"/>
  <c r="AO26" i="1"/>
  <c r="BS89" i="39"/>
  <c r="AJ34" i="26"/>
  <c r="CC60" i="25"/>
  <c r="BW89" i="39"/>
  <c r="M45" i="60"/>
  <c r="J62" i="41"/>
  <c r="DF54" i="36"/>
  <c r="S13" i="1"/>
  <c r="AA49" i="41"/>
  <c r="Z75" i="36"/>
  <c r="AP18" i="39"/>
  <c r="AS92" i="37"/>
  <c r="BZ37" i="39"/>
  <c r="CX65" i="37"/>
  <c r="CU91" i="40"/>
  <c r="AW29" i="40"/>
  <c r="AM98" i="36"/>
  <c r="BE25" i="26"/>
  <c r="CD75" i="26"/>
  <c r="Y12" i="41"/>
  <c r="BH58" i="40"/>
  <c r="AX29" i="26"/>
  <c r="BI79" i="40"/>
  <c r="J30" i="26"/>
  <c r="CA9" i="25"/>
  <c r="BI65" i="37"/>
  <c r="CN58" i="1"/>
  <c r="L68" i="64"/>
  <c r="AT27" i="36"/>
  <c r="Z71" i="25"/>
  <c r="AQ89" i="40"/>
  <c r="CW62" i="38"/>
  <c r="CJ54" i="36"/>
  <c r="DF102" i="41"/>
  <c r="AG25" i="38"/>
  <c r="G66" i="37"/>
  <c r="CJ91" i="36"/>
  <c r="CS10" i="26"/>
  <c r="CE21" i="36"/>
  <c r="X58" i="1"/>
  <c r="BQ79" i="1"/>
  <c r="AQ58" i="39"/>
  <c r="BH65" i="41"/>
  <c r="H13" i="36"/>
  <c r="CN45" i="1"/>
  <c r="AA26" i="25"/>
  <c r="AU29" i="1"/>
  <c r="O34" i="26"/>
  <c r="W49" i="41"/>
  <c r="AG58" i="39"/>
  <c r="AG62" i="39"/>
  <c r="AB59" i="25"/>
  <c r="BU24" i="36"/>
  <c r="BH65" i="39"/>
  <c r="Y49" i="26"/>
  <c r="BU91" i="1"/>
  <c r="AO62" i="1"/>
  <c r="J76" i="60"/>
  <c r="AE65" i="41"/>
  <c r="CB96" i="37"/>
  <c r="CI79" i="36"/>
  <c r="AT75" i="26"/>
  <c r="W60" i="38"/>
  <c r="AE10" i="41"/>
  <c r="BV57" i="38"/>
  <c r="U57" i="25"/>
  <c r="AN21" i="37"/>
  <c r="AX92" i="26"/>
  <c r="AT71" i="25"/>
  <c r="AC50" i="36"/>
  <c r="BH79" i="36"/>
  <c r="CS65" i="38"/>
  <c r="BO17" i="41"/>
  <c r="CH12" i="40"/>
  <c r="DE18" i="25"/>
  <c r="AP57" i="39"/>
  <c r="BU45" i="41"/>
  <c r="S21" i="26"/>
  <c r="CN60" i="38"/>
  <c r="G24" i="41"/>
  <c r="CL54" i="1"/>
  <c r="CY102" i="37"/>
  <c r="AR24" i="26"/>
  <c r="BP10" i="37"/>
  <c r="BI10" i="36"/>
  <c r="J96" i="41"/>
  <c r="N13" i="26"/>
  <c r="AG102" i="26"/>
  <c r="CX61" i="39"/>
  <c r="AY62" i="38"/>
  <c r="BZ17" i="40"/>
  <c r="CP53" i="40"/>
  <c r="BV57" i="41"/>
  <c r="CW58" i="40"/>
  <c r="BQ89" i="36"/>
  <c r="CG21" i="36"/>
  <c r="CX103" i="38"/>
  <c r="CA71" i="38"/>
  <c r="AX24" i="1"/>
  <c r="CJ65" i="26"/>
  <c r="AS27" i="25"/>
  <c r="AB10" i="39"/>
  <c r="CE61" i="38"/>
  <c r="AF18" i="40"/>
  <c r="AJ67" i="36"/>
  <c r="CX92" i="26"/>
  <c r="V21" i="36"/>
  <c r="BB102" i="40"/>
  <c r="AA25" i="26"/>
  <c r="CN102" i="40"/>
  <c r="AR29" i="40"/>
  <c r="N12" i="25"/>
  <c r="G10" i="36"/>
  <c r="BO66" i="26"/>
  <c r="CT62" i="39"/>
  <c r="CF92" i="41"/>
  <c r="BQ62" i="25"/>
  <c r="AO75" i="40"/>
  <c r="AT18" i="39"/>
  <c r="BV34" i="38"/>
  <c r="CX91" i="1"/>
  <c r="BY30" i="1"/>
  <c r="AD34" i="38"/>
  <c r="V91" i="1"/>
  <c r="J17" i="59"/>
  <c r="L33" i="60"/>
  <c r="X79" i="25"/>
  <c r="I46" i="60"/>
  <c r="G54" i="25"/>
  <c r="AR57" i="41"/>
  <c r="J20" i="46"/>
  <c r="BT12" i="25"/>
  <c r="J35" i="60"/>
  <c r="O66" i="38"/>
  <c r="L67" i="26"/>
  <c r="V26" i="40"/>
  <c r="CX25" i="41"/>
  <c r="M67" i="38"/>
  <c r="AU89" i="26"/>
  <c r="AJ62" i="38"/>
  <c r="AH65" i="37"/>
  <c r="AO79" i="37"/>
  <c r="BI12" i="37"/>
  <c r="AM9" i="1"/>
  <c r="AP67" i="26"/>
  <c r="CL27" i="41"/>
  <c r="AX66" i="1"/>
  <c r="BD50" i="39"/>
  <c r="CC34" i="40"/>
  <c r="DC65" i="25"/>
  <c r="BY92" i="36"/>
  <c r="AP50" i="41"/>
  <c r="DF103" i="37"/>
  <c r="BU30" i="40"/>
  <c r="CC62" i="40"/>
  <c r="AA81" i="1"/>
  <c r="AM10" i="38"/>
  <c r="CW62" i="37"/>
  <c r="CZ25" i="36"/>
  <c r="BA27" i="41"/>
  <c r="CP24" i="40"/>
  <c r="V25" i="40"/>
  <c r="AY12" i="37"/>
  <c r="CW66" i="40"/>
  <c r="AU60" i="40"/>
  <c r="CG91" i="37"/>
  <c r="BO37" i="1"/>
  <c r="CM79" i="38"/>
  <c r="AO25" i="25"/>
  <c r="W89" i="41"/>
  <c r="DF24" i="1"/>
  <c r="N63" i="59"/>
  <c r="J62" i="25"/>
  <c r="BA50" i="1"/>
  <c r="CT13" i="1"/>
  <c r="T67" i="37"/>
  <c r="H81" i="38"/>
  <c r="AV66" i="39"/>
  <c r="CK57" i="40"/>
  <c r="BA91" i="38"/>
  <c r="BW66" i="1"/>
  <c r="CT98" i="36"/>
  <c r="T29" i="40"/>
  <c r="AA25" i="37"/>
  <c r="K57" i="25"/>
  <c r="AI17" i="36"/>
  <c r="AM67" i="37"/>
  <c r="DD92" i="36"/>
  <c r="DC58" i="38"/>
  <c r="BA96" i="25"/>
  <c r="N79" i="26"/>
  <c r="BA58" i="39"/>
  <c r="U61" i="26"/>
  <c r="T62" i="38"/>
  <c r="BQ10" i="1"/>
  <c r="DB60" i="26"/>
  <c r="CW37" i="37"/>
  <c r="J59" i="36"/>
  <c r="BY27" i="37"/>
  <c r="AO91" i="26"/>
  <c r="CF21" i="38"/>
  <c r="BW37" i="37"/>
  <c r="BZ17" i="37"/>
  <c r="CP98" i="37"/>
  <c r="AC57" i="38"/>
  <c r="CQ103" i="25"/>
  <c r="AZ59" i="40"/>
  <c r="BR18" i="26"/>
  <c r="AY96" i="1"/>
  <c r="CJ34" i="38"/>
  <c r="CW75" i="39"/>
  <c r="AD60" i="26"/>
  <c r="Y13" i="41"/>
  <c r="BW59" i="38"/>
  <c r="BW12" i="26"/>
  <c r="AM27" i="37"/>
  <c r="U59" i="37"/>
  <c r="BP65" i="1"/>
  <c r="I48" i="37"/>
  <c r="I79" i="37"/>
  <c r="AJ102" i="37"/>
  <c r="BT98" i="38"/>
  <c r="T53" i="40"/>
  <c r="CY89" i="40"/>
  <c r="AS54" i="37"/>
  <c r="N58" i="26"/>
  <c r="AP29" i="25"/>
  <c r="H73" i="60"/>
  <c r="AO61" i="1"/>
  <c r="CC27" i="37"/>
  <c r="CQ92" i="37"/>
  <c r="P102" i="41"/>
  <c r="CZ89" i="38"/>
  <c r="AX98" i="1"/>
  <c r="CA71" i="25"/>
  <c r="AX91" i="26"/>
  <c r="AS9" i="37"/>
  <c r="AT13" i="40"/>
  <c r="AN91" i="36"/>
  <c r="BH98" i="40"/>
  <c r="CX71" i="1"/>
  <c r="J29" i="39"/>
  <c r="DA48" i="1"/>
  <c r="CD50" i="1"/>
  <c r="T61" i="1"/>
  <c r="AZ66" i="36"/>
  <c r="AH59" i="39"/>
  <c r="AA61" i="39"/>
  <c r="DA50" i="36"/>
  <c r="AU71" i="37"/>
  <c r="Z45" i="36"/>
  <c r="AO9" i="25"/>
  <c r="CX53" i="1"/>
  <c r="AW9" i="39"/>
  <c r="AB67" i="26"/>
  <c r="BD12" i="41"/>
  <c r="Z89" i="26"/>
  <c r="AM29" i="38"/>
  <c r="DE25" i="36"/>
  <c r="J37" i="37"/>
  <c r="BY62" i="38"/>
  <c r="H53" i="59"/>
  <c r="CD13" i="40"/>
  <c r="BW66" i="37"/>
  <c r="CV81" i="39"/>
  <c r="AU57" i="25"/>
  <c r="CD26" i="38"/>
  <c r="CS30" i="40"/>
  <c r="CU12" i="40"/>
  <c r="CC9" i="39"/>
  <c r="CG50" i="26"/>
  <c r="CD60" i="26"/>
  <c r="K25" i="39"/>
  <c r="CT17" i="38"/>
  <c r="CH92" i="41"/>
  <c r="CM26" i="37"/>
  <c r="K17" i="25"/>
  <c r="CH53" i="26"/>
  <c r="BO60" i="36"/>
  <c r="AV24" i="26"/>
  <c r="BZ103" i="38"/>
  <c r="CY9" i="41"/>
  <c r="CH75" i="26"/>
  <c r="CD53" i="36"/>
  <c r="U92" i="1"/>
  <c r="K69" i="64"/>
  <c r="H91" i="37"/>
  <c r="AN24" i="41"/>
  <c r="M79" i="26"/>
  <c r="CW92" i="25"/>
  <c r="CD60" i="38"/>
  <c r="K45" i="38"/>
  <c r="Y50" i="40"/>
  <c r="AB45" i="37"/>
  <c r="CY57" i="36"/>
  <c r="AD65" i="1"/>
  <c r="CT91" i="38"/>
  <c r="AC81" i="41"/>
  <c r="M34" i="25"/>
  <c r="AZ48" i="40"/>
  <c r="W24" i="40"/>
  <c r="BI27" i="38"/>
  <c r="CZ62" i="26"/>
  <c r="BC98" i="25"/>
  <c r="AW17" i="37"/>
  <c r="CY60" i="36"/>
  <c r="AJ13" i="39"/>
  <c r="I6" i="59"/>
  <c r="DD66" i="39"/>
  <c r="AB17" i="38"/>
  <c r="AM53" i="26"/>
  <c r="AG66" i="41"/>
  <c r="CC75" i="25"/>
  <c r="CU75" i="25"/>
  <c r="CU60" i="39"/>
  <c r="CD27" i="38"/>
  <c r="CM54" i="40"/>
  <c r="CR79" i="36"/>
  <c r="AY60" i="41"/>
  <c r="CO18" i="39"/>
  <c r="BX59" i="41"/>
  <c r="CI34" i="25"/>
  <c r="BB24" i="41"/>
  <c r="CB25" i="37"/>
  <c r="CN26" i="40"/>
  <c r="BP71" i="39"/>
  <c r="DA96" i="40"/>
  <c r="CS34" i="40"/>
  <c r="CH27" i="1"/>
  <c r="AH67" i="39"/>
  <c r="V34" i="1"/>
  <c r="K102" i="40"/>
  <c r="CK75" i="41"/>
  <c r="BY18" i="38"/>
  <c r="CS12" i="36"/>
  <c r="BQ18" i="26"/>
  <c r="Y54" i="26"/>
  <c r="L66" i="39"/>
  <c r="S62" i="41"/>
  <c r="BH89" i="36"/>
  <c r="DC89" i="1"/>
  <c r="O54" i="39"/>
  <c r="BB58" i="25"/>
  <c r="CQ50" i="40"/>
  <c r="BS58" i="41"/>
  <c r="AX12" i="41"/>
  <c r="P102" i="1"/>
  <c r="BW34" i="39"/>
  <c r="V37" i="38"/>
  <c r="CC10" i="25"/>
  <c r="BY24" i="40"/>
  <c r="Z26" i="25"/>
  <c r="Y71" i="41"/>
  <c r="BC37" i="37"/>
  <c r="BZ29" i="37"/>
  <c r="BV92" i="41"/>
  <c r="BE104" i="47"/>
  <c r="CA66" i="26"/>
  <c r="BO50" i="25"/>
  <c r="CY50" i="37"/>
  <c r="Y57" i="36"/>
  <c r="CR54" i="37"/>
  <c r="CA81" i="37"/>
  <c r="CC61" i="36"/>
  <c r="L27" i="26"/>
  <c r="BQ98" i="36"/>
  <c r="BH65" i="25"/>
  <c r="H27" i="1"/>
  <c r="G15" i="60"/>
  <c r="H48" i="38"/>
  <c r="G71" i="26"/>
  <c r="O81" i="25"/>
  <c r="BH48" i="26"/>
  <c r="CT18" i="25"/>
  <c r="AF75" i="37"/>
  <c r="AA66" i="1"/>
  <c r="DA12" i="1"/>
  <c r="AZ101" i="47"/>
  <c r="L52" i="59"/>
  <c r="CF79" i="26"/>
  <c r="AS58" i="36"/>
  <c r="BX79" i="25"/>
  <c r="AY34" i="36"/>
  <c r="DA57" i="25"/>
  <c r="E68" i="64"/>
  <c r="T21" i="26"/>
  <c r="CO10" i="1"/>
  <c r="CJ89" i="38"/>
  <c r="U25" i="41"/>
  <c r="V54" i="1"/>
  <c r="U50" i="1"/>
  <c r="BE81" i="40"/>
  <c r="CB96" i="25"/>
  <c r="CQ9" i="1"/>
  <c r="BI62" i="36"/>
  <c r="BH17" i="41"/>
  <c r="AE25" i="38"/>
  <c r="O96" i="25"/>
  <c r="CH25" i="25"/>
  <c r="CU71" i="26"/>
  <c r="AW65" i="39"/>
  <c r="AR67" i="40"/>
  <c r="AU13" i="40"/>
  <c r="CB54" i="36"/>
  <c r="CM81" i="1"/>
  <c r="AY58" i="41"/>
  <c r="AC102" i="39"/>
  <c r="N12" i="26"/>
  <c r="DF27" i="25"/>
  <c r="AR21" i="39"/>
  <c r="CZ53" i="26"/>
  <c r="CM10" i="36"/>
  <c r="K62" i="37"/>
  <c r="CZ9" i="39"/>
  <c r="BZ103" i="36"/>
  <c r="AZ75" i="38"/>
  <c r="AR81" i="41"/>
  <c r="CM12" i="25"/>
  <c r="DD92" i="38"/>
  <c r="DB66" i="1"/>
  <c r="AT27" i="25"/>
  <c r="AG58" i="1"/>
  <c r="BH12" i="26"/>
  <c r="S18" i="40"/>
  <c r="CZ10" i="40"/>
  <c r="AZ311" i="47"/>
  <c r="M13" i="1"/>
  <c r="M37" i="1"/>
  <c r="P34" i="41"/>
  <c r="CA18" i="39"/>
  <c r="BD18" i="37"/>
  <c r="AS58" i="1"/>
  <c r="BB67" i="39"/>
  <c r="AG26" i="26"/>
  <c r="AW13" i="1"/>
  <c r="AF17" i="25"/>
  <c r="AI18" i="26"/>
  <c r="AG54" i="36"/>
  <c r="AS13" i="36"/>
  <c r="CK53" i="26"/>
  <c r="AY53" i="26"/>
  <c r="CF54" i="37"/>
  <c r="BC92" i="40"/>
  <c r="AT48" i="40"/>
  <c r="AP12" i="39"/>
  <c r="G17" i="41"/>
  <c r="CN71" i="1"/>
  <c r="CD102" i="39"/>
  <c r="DE79" i="25"/>
  <c r="CB62" i="38"/>
  <c r="G37" i="39"/>
  <c r="DB21" i="1"/>
  <c r="DB62" i="25"/>
  <c r="CD57" i="39"/>
  <c r="DF60" i="41"/>
  <c r="O66" i="37"/>
  <c r="AD58" i="1"/>
  <c r="J62" i="1"/>
  <c r="AU62" i="38"/>
  <c r="AQ34" i="40"/>
  <c r="G29" i="1"/>
  <c r="DA81" i="26"/>
  <c r="BY103" i="25"/>
  <c r="CJ66" i="37"/>
  <c r="BQ67" i="39"/>
  <c r="Z9" i="36"/>
  <c r="AJ89" i="40"/>
  <c r="BU24" i="38"/>
  <c r="BI49" i="37"/>
  <c r="BP103" i="25"/>
  <c r="AJ67" i="38"/>
  <c r="J65" i="38"/>
  <c r="AJ75" i="38"/>
  <c r="U17" i="40"/>
  <c r="N48" i="38"/>
  <c r="BC45" i="41"/>
  <c r="AR67" i="26"/>
  <c r="BS25" i="40"/>
  <c r="AT57" i="39"/>
  <c r="BI45" i="38"/>
  <c r="CX45" i="26"/>
  <c r="AC25" i="37"/>
  <c r="CS45" i="36"/>
  <c r="CJ58" i="39"/>
  <c r="DC62" i="26"/>
  <c r="DD34" i="36"/>
  <c r="CS75" i="38"/>
  <c r="U79" i="37"/>
  <c r="AN30" i="38"/>
  <c r="AO61" i="25"/>
  <c r="AB96" i="40"/>
  <c r="CS81" i="40"/>
  <c r="BB25" i="26"/>
  <c r="AO54" i="37"/>
  <c r="AJ91" i="1"/>
  <c r="BX48" i="41"/>
  <c r="BO62" i="38"/>
  <c r="BR30" i="38"/>
  <c r="BC65" i="25"/>
  <c r="CZ57" i="38"/>
  <c r="CV57" i="26"/>
  <c r="CZ9" i="37"/>
  <c r="CL54" i="39"/>
  <c r="S25" i="1"/>
  <c r="N66" i="38"/>
  <c r="Z96" i="38"/>
  <c r="CX25" i="39"/>
  <c r="AP49" i="39"/>
  <c r="CH66" i="26"/>
  <c r="CC27" i="38"/>
  <c r="AQ61" i="40"/>
  <c r="DC54" i="36"/>
  <c r="CJ49" i="37"/>
  <c r="DB27" i="26"/>
  <c r="CZ29" i="40"/>
  <c r="CL48" i="36"/>
  <c r="BH26" i="26"/>
  <c r="CI57" i="26"/>
  <c r="CB92" i="37"/>
  <c r="AE53" i="40"/>
  <c r="BD10" i="1"/>
  <c r="CP54" i="41"/>
  <c r="CH24" i="38"/>
  <c r="AT21" i="25"/>
  <c r="M48" i="39"/>
  <c r="AT60" i="25"/>
  <c r="X92" i="40"/>
  <c r="CE79" i="39"/>
  <c r="AR66" i="39"/>
  <c r="DA60" i="1"/>
  <c r="CI17" i="39"/>
  <c r="CU102" i="25"/>
  <c r="V18" i="1"/>
  <c r="CW12" i="36"/>
  <c r="G53" i="37"/>
  <c r="AC53" i="26"/>
  <c r="AG26" i="41"/>
  <c r="BA65" i="40"/>
  <c r="AE34" i="39"/>
  <c r="BA18" i="39"/>
  <c r="I59" i="1"/>
  <c r="AU62" i="25"/>
  <c r="L92" i="36"/>
  <c r="P45" i="59"/>
  <c r="AY24" i="40"/>
  <c r="CX65" i="39"/>
  <c r="DE67" i="38"/>
  <c r="BX50" i="40"/>
  <c r="AM17" i="25"/>
  <c r="AI98" i="26"/>
  <c r="CE25" i="40"/>
  <c r="BE92" i="38"/>
  <c r="DC58" i="39"/>
  <c r="BX58" i="38"/>
  <c r="S61" i="39"/>
  <c r="DF89" i="1"/>
  <c r="CY49" i="37"/>
  <c r="AZ65" i="25"/>
  <c r="CD27" i="40"/>
  <c r="AR65" i="38"/>
  <c r="L18" i="41"/>
  <c r="AA27" i="36"/>
  <c r="CI37" i="37"/>
  <c r="CY30" i="26"/>
  <c r="BV17" i="36"/>
  <c r="CQ12" i="26"/>
  <c r="CR17" i="38"/>
  <c r="BY17" i="41"/>
  <c r="DA62" i="38"/>
  <c r="AQ98" i="38"/>
  <c r="CF54" i="39"/>
  <c r="CA58" i="38"/>
  <c r="CT49" i="37"/>
  <c r="L67" i="64"/>
  <c r="AI13" i="40"/>
  <c r="DB17" i="25"/>
  <c r="I45" i="40"/>
  <c r="DF53" i="36"/>
  <c r="CZ48" i="41"/>
  <c r="CP102" i="36"/>
  <c r="G89" i="26"/>
  <c r="DB67" i="26"/>
  <c r="BS53" i="36"/>
  <c r="AU54" i="37"/>
  <c r="CZ58" i="25"/>
  <c r="BX9" i="40"/>
  <c r="H10" i="59"/>
  <c r="CW102" i="25"/>
  <c r="N50" i="26"/>
  <c r="H71" i="60"/>
  <c r="CW13" i="39"/>
  <c r="CV53" i="39"/>
  <c r="BY65" i="41"/>
  <c r="CT75" i="39"/>
  <c r="CR61" i="37"/>
  <c r="AZ89" i="25"/>
  <c r="DB27" i="25"/>
  <c r="CK25" i="36"/>
  <c r="AS54" i="25"/>
  <c r="U17" i="1"/>
  <c r="AQ12" i="40"/>
  <c r="BX29" i="36"/>
  <c r="BS10" i="26"/>
  <c r="AI92" i="39"/>
  <c r="AM12" i="25"/>
  <c r="AP91" i="36"/>
  <c r="BD57" i="41"/>
  <c r="DB53" i="36"/>
  <c r="AD71" i="26"/>
  <c r="CA65" i="26"/>
  <c r="AP9" i="1"/>
  <c r="AX25" i="39"/>
  <c r="DE30" i="26"/>
  <c r="AP9" i="26"/>
  <c r="BZ53" i="37"/>
  <c r="CX10" i="40"/>
  <c r="U49" i="37"/>
  <c r="DC81" i="37"/>
  <c r="DA67" i="39"/>
  <c r="BA101" i="47"/>
  <c r="AV18" i="36"/>
  <c r="P37" i="59"/>
  <c r="AB89" i="37"/>
  <c r="G12" i="40"/>
  <c r="K21" i="40"/>
  <c r="AV53" i="38"/>
  <c r="BQ67" i="1"/>
  <c r="AV59" i="40"/>
  <c r="AT59" i="25"/>
  <c r="AO9" i="1"/>
  <c r="Z66" i="37"/>
  <c r="CL25" i="40"/>
  <c r="V67" i="26"/>
  <c r="BC54" i="41"/>
  <c r="CS59" i="40"/>
  <c r="I65" i="37"/>
  <c r="AA25" i="40"/>
  <c r="BR26" i="39"/>
  <c r="AQ53" i="36"/>
  <c r="U59" i="41"/>
  <c r="CJ102" i="1"/>
  <c r="CE81" i="37"/>
  <c r="CQ27" i="40"/>
  <c r="H12" i="36"/>
  <c r="L26" i="1"/>
  <c r="CF18" i="38"/>
  <c r="V25" i="36"/>
  <c r="CG10" i="26"/>
  <c r="BU79" i="26"/>
  <c r="W59" i="25"/>
  <c r="P71" i="38"/>
  <c r="AD91" i="39"/>
  <c r="AU75" i="25"/>
  <c r="AM54" i="38"/>
  <c r="CV79" i="26"/>
  <c r="BB98" i="39"/>
  <c r="BW92" i="40"/>
  <c r="CK25" i="25"/>
  <c r="AS62" i="38"/>
  <c r="AJ60" i="41"/>
  <c r="CL57" i="38"/>
  <c r="BI57" i="39"/>
  <c r="AO67" i="1"/>
  <c r="DB49" i="1"/>
  <c r="AI54" i="38"/>
  <c r="X25" i="40"/>
  <c r="AG12" i="40"/>
  <c r="CI61" i="1"/>
  <c r="AC45" i="37"/>
  <c r="CK34" i="41"/>
  <c r="DD61" i="39"/>
  <c r="AB59" i="39"/>
  <c r="AP92" i="26"/>
  <c r="AG92" i="41"/>
  <c r="CN25" i="25"/>
  <c r="CP58" i="37"/>
  <c r="CS57" i="1"/>
  <c r="AN37" i="36"/>
  <c r="CG71" i="25"/>
  <c r="AB98" i="1"/>
  <c r="O75" i="37"/>
  <c r="BX96" i="36"/>
  <c r="BD81" i="25"/>
  <c r="DC12" i="41"/>
  <c r="I71" i="26"/>
  <c r="CG60" i="25"/>
  <c r="O9" i="59"/>
  <c r="X17" i="25"/>
  <c r="BS50" i="41"/>
  <c r="AP25" i="36"/>
  <c r="AV92" i="37"/>
  <c r="CI91" i="37"/>
  <c r="AH9" i="36"/>
  <c r="AG34" i="37"/>
  <c r="CF57" i="38"/>
  <c r="CV9" i="39"/>
  <c r="CK59" i="37"/>
  <c r="BT17" i="41"/>
  <c r="DD9" i="1"/>
  <c r="K34" i="1"/>
  <c r="T25" i="40"/>
  <c r="AX37" i="37"/>
  <c r="BT89" i="38"/>
  <c r="DF92" i="1"/>
  <c r="CT67" i="40"/>
  <c r="J83" i="60"/>
  <c r="CJ18" i="1"/>
  <c r="AA53" i="37"/>
  <c r="CH67" i="1"/>
  <c r="Y98" i="37"/>
  <c r="BP26" i="37"/>
  <c r="CH45" i="37"/>
  <c r="CB79" i="37"/>
  <c r="AH9" i="1"/>
  <c r="AH98" i="36"/>
  <c r="AY13" i="25"/>
  <c r="DE71" i="26"/>
  <c r="AR61" i="40"/>
  <c r="BU45" i="26"/>
  <c r="CC50" i="41"/>
  <c r="AP67" i="36"/>
  <c r="BD66" i="41"/>
  <c r="BY75" i="26"/>
  <c r="BH24" i="39"/>
  <c r="AO67" i="41"/>
  <c r="L48" i="40"/>
  <c r="DB89" i="41"/>
  <c r="I48" i="25"/>
  <c r="AI53" i="37"/>
  <c r="CK71" i="39"/>
  <c r="AZ29" i="1"/>
  <c r="DD53" i="1"/>
  <c r="P79" i="25"/>
  <c r="AC66" i="40"/>
  <c r="H25" i="38"/>
  <c r="CR103" i="25"/>
  <c r="CU57" i="39"/>
  <c r="H65" i="38"/>
  <c r="CL30" i="1"/>
  <c r="G69" i="64"/>
  <c r="DB58" i="38"/>
  <c r="AF66" i="38"/>
  <c r="BE21" i="1"/>
  <c r="CI98" i="36"/>
  <c r="DB34" i="37"/>
  <c r="AH79" i="38"/>
  <c r="AN45" i="1"/>
  <c r="AM49" i="38"/>
  <c r="DD49" i="37"/>
  <c r="BY13" i="1"/>
  <c r="P58" i="41"/>
  <c r="AS21" i="40"/>
  <c r="AR26" i="37"/>
  <c r="M34" i="41"/>
  <c r="CZ12" i="39"/>
  <c r="AA12" i="41"/>
  <c r="N34" i="40"/>
  <c r="CP59" i="40"/>
  <c r="CZ13" i="1"/>
  <c r="BR26" i="36"/>
  <c r="CT34" i="36"/>
  <c r="BW79" i="1"/>
  <c r="L79" i="1"/>
  <c r="AC49" i="40"/>
  <c r="CT62" i="38"/>
  <c r="CI49" i="25"/>
  <c r="AG18" i="39"/>
  <c r="BX25" i="41"/>
  <c r="CR91" i="40"/>
  <c r="CG37" i="41"/>
  <c r="AR54" i="26"/>
  <c r="CF12" i="40"/>
  <c r="H10" i="36"/>
  <c r="V92" i="37"/>
  <c r="CI92" i="1"/>
  <c r="H60" i="25"/>
  <c r="AJ75" i="26"/>
  <c r="F72" i="60"/>
  <c r="CW10" i="36"/>
  <c r="AA53" i="40"/>
  <c r="T92" i="37"/>
  <c r="BA57" i="39"/>
  <c r="AO79" i="1"/>
  <c r="CQ98" i="40"/>
  <c r="W29" i="40"/>
  <c r="AF67" i="26"/>
  <c r="AC26" i="25"/>
  <c r="AT53" i="38"/>
  <c r="O92" i="41"/>
  <c r="AS92" i="38"/>
  <c r="CK60" i="38"/>
  <c r="AF66" i="1"/>
  <c r="CW49" i="26"/>
  <c r="N9" i="59"/>
  <c r="AC18" i="1"/>
  <c r="CY12" i="26"/>
  <c r="CW9" i="25"/>
  <c r="AJ12" i="40"/>
  <c r="CA37" i="40"/>
  <c r="X17" i="37"/>
  <c r="DF49" i="26"/>
  <c r="DB45" i="40"/>
  <c r="W71" i="1"/>
  <c r="BT21" i="26"/>
  <c r="CF54" i="41"/>
  <c r="I50" i="46"/>
  <c r="DF10" i="41"/>
  <c r="BI59" i="25"/>
  <c r="BD102" i="26"/>
  <c r="AI57" i="26"/>
  <c r="CB57" i="36"/>
  <c r="AF66" i="37"/>
  <c r="X21" i="36"/>
  <c r="AQ30" i="26"/>
  <c r="AZ91" i="26"/>
  <c r="AH75" i="37"/>
  <c r="Y71" i="37"/>
  <c r="AS37" i="26"/>
  <c r="T66" i="40"/>
  <c r="CP34" i="36"/>
  <c r="BV75" i="36"/>
  <c r="AU61" i="25"/>
  <c r="BQ89" i="40"/>
  <c r="AI67" i="39"/>
  <c r="O98" i="38"/>
  <c r="CS29" i="25"/>
  <c r="BB58" i="37"/>
  <c r="AZ67" i="41"/>
  <c r="AY66" i="1"/>
  <c r="CU67" i="26"/>
  <c r="AV50" i="25"/>
  <c r="CE92" i="41"/>
  <c r="CO34" i="1"/>
  <c r="BZ91" i="26"/>
  <c r="AU26" i="37"/>
  <c r="W60" i="37"/>
  <c r="AZ26" i="37"/>
  <c r="AP96" i="1"/>
  <c r="AB79" i="39"/>
  <c r="AP17" i="36"/>
  <c r="AZ50" i="36"/>
  <c r="CR10" i="40"/>
  <c r="V37" i="40"/>
  <c r="CG24" i="36"/>
  <c r="BC91" i="25"/>
  <c r="BR79" i="40"/>
  <c r="BT37" i="38"/>
  <c r="BD58" i="26"/>
  <c r="BH37" i="39"/>
  <c r="J102" i="36"/>
  <c r="Y66" i="36"/>
  <c r="CS26" i="26"/>
  <c r="CK53" i="41"/>
  <c r="V60" i="38"/>
  <c r="AN48" i="37"/>
  <c r="DA59" i="41"/>
  <c r="BX81" i="41"/>
  <c r="G98" i="37"/>
  <c r="CT24" i="39"/>
  <c r="CM59" i="36"/>
  <c r="CL59" i="40"/>
  <c r="AQ9" i="26"/>
  <c r="AC62" i="37"/>
  <c r="AE9" i="37"/>
  <c r="AO54" i="38"/>
  <c r="CX54" i="1"/>
  <c r="CP58" i="25"/>
  <c r="CL62" i="25"/>
  <c r="CC26" i="39"/>
  <c r="AR48" i="37"/>
  <c r="BB50" i="41"/>
  <c r="BB25" i="37"/>
  <c r="BP13" i="41"/>
  <c r="BD79" i="38"/>
  <c r="AU25" i="41"/>
  <c r="P10" i="25"/>
  <c r="CL89" i="41"/>
  <c r="AM58" i="38"/>
  <c r="I53" i="25"/>
  <c r="AP29" i="38"/>
  <c r="AR34" i="39"/>
  <c r="CG17" i="37"/>
  <c r="AN98" i="36"/>
  <c r="K98" i="38"/>
  <c r="CZ89" i="41"/>
  <c r="BO103" i="38"/>
  <c r="BO60" i="41"/>
  <c r="DA89" i="25"/>
  <c r="K10" i="25"/>
  <c r="BU71" i="37"/>
  <c r="O37" i="36"/>
  <c r="AZ18" i="39"/>
  <c r="CD58" i="25"/>
  <c r="CU37" i="38"/>
  <c r="CQ37" i="38"/>
  <c r="AP53" i="39"/>
  <c r="K37" i="26"/>
  <c r="T54" i="37"/>
  <c r="AQ13" i="36"/>
  <c r="CG102" i="39"/>
  <c r="BE27" i="25"/>
  <c r="CQ18" i="25"/>
  <c r="AA25" i="1"/>
  <c r="BS21" i="38"/>
  <c r="AJ81" i="41"/>
  <c r="BU67" i="1"/>
  <c r="X10" i="36"/>
  <c r="AC30" i="37"/>
  <c r="AM50" i="37"/>
  <c r="Z10" i="41"/>
  <c r="M81" i="1"/>
  <c r="BY45" i="40"/>
  <c r="CE17" i="26"/>
  <c r="CD58" i="39"/>
  <c r="CH49" i="38"/>
  <c r="O10" i="39"/>
  <c r="AZ29" i="41"/>
  <c r="CA59" i="26"/>
  <c r="BY89" i="39"/>
  <c r="CX29" i="39"/>
  <c r="I66" i="46"/>
  <c r="L69" i="60"/>
  <c r="X34" i="36"/>
  <c r="DA71" i="37"/>
  <c r="N98" i="39"/>
  <c r="M102" i="25"/>
  <c r="BP13" i="40"/>
  <c r="G8" i="64"/>
  <c r="Z37" i="41"/>
  <c r="CT50" i="1"/>
  <c r="CO54" i="36"/>
  <c r="BE21" i="39"/>
  <c r="O79" i="37"/>
  <c r="CJ48" i="40"/>
  <c r="BQ48" i="36"/>
  <c r="BC127" i="47"/>
  <c r="BZ13" i="26"/>
  <c r="BD60" i="26"/>
  <c r="CF103" i="38"/>
  <c r="V75" i="39"/>
  <c r="W37" i="37"/>
  <c r="CQ18" i="37"/>
  <c r="Z30" i="26"/>
  <c r="BR98" i="26"/>
  <c r="AP24" i="40"/>
  <c r="AJ98" i="36"/>
  <c r="V48" i="39"/>
  <c r="DD21" i="37"/>
  <c r="CB26" i="26"/>
  <c r="Z13" i="37"/>
  <c r="CF13" i="25"/>
  <c r="AD58" i="38"/>
  <c r="DD34" i="26"/>
  <c r="CT12" i="39"/>
  <c r="T98" i="41"/>
  <c r="CB49" i="38"/>
  <c r="BC61" i="25"/>
  <c r="CJ10" i="40"/>
  <c r="CI49" i="36"/>
  <c r="DA91" i="37"/>
  <c r="BP60" i="40"/>
  <c r="DB79" i="39"/>
  <c r="H16" i="59"/>
  <c r="CV81" i="40"/>
  <c r="O21" i="26"/>
  <c r="CF29" i="37"/>
  <c r="AP13" i="26"/>
  <c r="AX92" i="1"/>
  <c r="AZ67" i="1"/>
  <c r="AX59" i="38"/>
  <c r="P91" i="40"/>
  <c r="CO67" i="37"/>
  <c r="AQ92" i="38"/>
  <c r="G21" i="26"/>
  <c r="CD53" i="40"/>
  <c r="AQ27" i="39"/>
  <c r="H29" i="38"/>
  <c r="CB54" i="37"/>
  <c r="CY13" i="36"/>
  <c r="DF79" i="41"/>
  <c r="I53" i="38"/>
  <c r="CW91" i="39"/>
  <c r="AH54" i="1"/>
  <c r="BI12" i="26"/>
  <c r="BH48" i="36"/>
  <c r="AR45" i="26"/>
  <c r="BT26" i="41"/>
  <c r="AF92" i="26"/>
  <c r="DB29" i="40"/>
  <c r="BY53" i="25"/>
  <c r="CS71" i="25"/>
  <c r="CY10" i="26"/>
  <c r="BX67" i="26"/>
  <c r="CV103" i="26"/>
  <c r="CE30" i="38"/>
  <c r="CY62" i="37"/>
  <c r="AN67" i="26"/>
  <c r="BA10" i="40"/>
  <c r="AC102" i="1"/>
  <c r="O81" i="40"/>
  <c r="CM92" i="36"/>
  <c r="CR60" i="41"/>
  <c r="CL65" i="37"/>
  <c r="N12" i="37"/>
  <c r="BZ9" i="26"/>
  <c r="CF103" i="40"/>
  <c r="DB60" i="40"/>
  <c r="N81" i="39"/>
  <c r="J49" i="36"/>
  <c r="BU75" i="39"/>
  <c r="BW49" i="39"/>
  <c r="J17" i="37"/>
  <c r="AE9" i="40"/>
  <c r="AD81" i="37"/>
  <c r="BZ12" i="37"/>
  <c r="AY92" i="1"/>
  <c r="AC21" i="36"/>
  <c r="CV10" i="1"/>
  <c r="BE57" i="40"/>
  <c r="DF59" i="37"/>
  <c r="BU66" i="26"/>
  <c r="CI54" i="41"/>
  <c r="CC59" i="38"/>
  <c r="BB9" i="1"/>
  <c r="AX67" i="37"/>
  <c r="AV75" i="38"/>
  <c r="BA13" i="37"/>
  <c r="CR21" i="40"/>
  <c r="BQ98" i="25"/>
  <c r="CO81" i="36"/>
  <c r="L10" i="38"/>
  <c r="I75" i="60"/>
  <c r="BT10" i="40"/>
  <c r="BC81" i="25"/>
  <c r="BO54" i="1"/>
  <c r="I96" i="40"/>
  <c r="AY13" i="36"/>
  <c r="AS75" i="40"/>
  <c r="J81" i="41"/>
  <c r="BC79" i="37"/>
  <c r="AQ49" i="40"/>
  <c r="Z12" i="39"/>
  <c r="AV48" i="39"/>
  <c r="BR96" i="1"/>
  <c r="AI57" i="39"/>
  <c r="DF67" i="36"/>
  <c r="CF62" i="26"/>
  <c r="CX29" i="26"/>
  <c r="DD81" i="37"/>
  <c r="BA66" i="40"/>
  <c r="CK65" i="36"/>
  <c r="AY91" i="36"/>
  <c r="AZ45" i="38"/>
  <c r="E47" i="64"/>
  <c r="DC71" i="25"/>
  <c r="U49" i="1"/>
  <c r="BH57" i="37"/>
  <c r="BA53" i="37"/>
  <c r="CR13" i="40"/>
  <c r="BY12" i="41"/>
  <c r="P79" i="26"/>
  <c r="BS61" i="25"/>
  <c r="M49" i="40"/>
  <c r="M54" i="1"/>
  <c r="AX50" i="36"/>
  <c r="BG233" i="47"/>
  <c r="I18" i="26"/>
  <c r="AD30" i="37"/>
  <c r="AY27" i="38"/>
  <c r="BS48" i="1"/>
  <c r="BH37" i="1"/>
  <c r="BB66" i="25"/>
  <c r="CW12" i="26"/>
  <c r="AD58" i="25"/>
  <c r="Z92" i="38"/>
  <c r="AU17" i="25"/>
  <c r="BB9" i="40"/>
  <c r="Y91" i="26"/>
  <c r="BV75" i="38"/>
  <c r="DC54" i="40"/>
  <c r="AI30" i="26"/>
  <c r="CR102" i="38"/>
  <c r="I65" i="25"/>
  <c r="CO59" i="1"/>
  <c r="BZ71" i="40"/>
  <c r="AY66" i="38"/>
  <c r="BQ25" i="37"/>
  <c r="CH29" i="37"/>
  <c r="S37" i="37"/>
  <c r="BC27" i="41"/>
  <c r="CT30" i="36"/>
  <c r="S26" i="40"/>
  <c r="AD18" i="37"/>
  <c r="DB59" i="26"/>
  <c r="DF57" i="26"/>
  <c r="AZ49" i="36"/>
  <c r="BU49" i="39"/>
  <c r="BS30" i="36"/>
  <c r="CZ21" i="37"/>
  <c r="BZ24" i="25"/>
  <c r="AX59" i="1"/>
  <c r="AU89" i="41"/>
  <c r="CH24" i="25"/>
  <c r="BH61" i="40"/>
  <c r="S79" i="26"/>
  <c r="CL66" i="36"/>
  <c r="BO10" i="26"/>
  <c r="AM75" i="25"/>
  <c r="AH91" i="25"/>
  <c r="E85" i="60"/>
  <c r="BZ60" i="41"/>
  <c r="BW37" i="25"/>
  <c r="AZ48" i="26"/>
  <c r="BQ26" i="1"/>
  <c r="BU25" i="39"/>
  <c r="DE53" i="38"/>
  <c r="M66" i="25"/>
  <c r="CK92" i="1"/>
  <c r="AT66" i="39"/>
  <c r="BE79" i="25"/>
  <c r="N65" i="37"/>
  <c r="P66" i="1"/>
  <c r="CC9" i="1"/>
  <c r="CI67" i="26"/>
  <c r="M49" i="37"/>
  <c r="AE92" i="41"/>
  <c r="BQ24" i="26"/>
  <c r="I49" i="37"/>
  <c r="BS65" i="26"/>
  <c r="BX26" i="40"/>
  <c r="N37" i="1"/>
  <c r="W62" i="36"/>
  <c r="AQ34" i="1"/>
  <c r="DF103" i="36"/>
  <c r="L45" i="25"/>
  <c r="AH26" i="26"/>
  <c r="E86" i="60"/>
  <c r="CK98" i="37"/>
  <c r="AQ81" i="25"/>
  <c r="AW21" i="36"/>
  <c r="BX25" i="25"/>
  <c r="DA37" i="41"/>
  <c r="K9" i="41"/>
  <c r="CA59" i="41"/>
  <c r="BP66" i="37"/>
  <c r="Z98" i="36"/>
  <c r="Z37" i="37"/>
  <c r="E59" i="60"/>
  <c r="O89" i="37"/>
  <c r="H65" i="39"/>
  <c r="K12" i="36"/>
  <c r="AN37" i="37"/>
  <c r="AH81" i="36"/>
  <c r="DC91" i="40"/>
  <c r="BU17" i="26"/>
  <c r="S91" i="1"/>
  <c r="CK10" i="36"/>
  <c r="Z98" i="25"/>
  <c r="CN61" i="1"/>
  <c r="AJ49" i="41"/>
  <c r="BR71" i="37"/>
  <c r="BH24" i="25"/>
  <c r="AO27" i="38"/>
  <c r="T34" i="36"/>
  <c r="BB53" i="38"/>
  <c r="AD89" i="41"/>
  <c r="H68" i="64"/>
  <c r="BR37" i="36"/>
  <c r="AW75" i="1"/>
  <c r="AD24" i="36"/>
  <c r="CH91" i="26"/>
  <c r="CP65" i="38"/>
  <c r="BH17" i="38"/>
  <c r="DE26" i="36"/>
  <c r="AS67" i="40"/>
  <c r="I12" i="36"/>
  <c r="AA89" i="36"/>
  <c r="H92" i="60"/>
  <c r="I74" i="60"/>
  <c r="CM50" i="41"/>
  <c r="K7" i="59"/>
  <c r="AN10" i="39"/>
  <c r="AV58" i="40"/>
  <c r="CI12" i="40"/>
  <c r="CB10" i="1"/>
  <c r="BW98" i="40"/>
  <c r="G92" i="38"/>
  <c r="CT79" i="41"/>
  <c r="AF17" i="40"/>
  <c r="AZ75" i="25"/>
  <c r="BO54" i="36"/>
  <c r="DE91" i="40"/>
  <c r="AV12" i="40"/>
  <c r="L16" i="60"/>
  <c r="J71" i="36"/>
  <c r="X92" i="41"/>
  <c r="BV18" i="40"/>
  <c r="BZ50" i="36"/>
  <c r="CD75" i="37"/>
  <c r="H30" i="40"/>
  <c r="T89" i="26"/>
  <c r="U34" i="39"/>
  <c r="CZ60" i="40"/>
  <c r="CC30" i="41"/>
  <c r="BD21" i="26"/>
  <c r="P96" i="41"/>
  <c r="CL67" i="41"/>
  <c r="AT24" i="38"/>
  <c r="CL24" i="26"/>
  <c r="BZ58" i="41"/>
  <c r="AC91" i="1"/>
  <c r="CQ49" i="26"/>
  <c r="K59" i="59"/>
  <c r="CF26" i="41"/>
  <c r="BS54" i="41"/>
  <c r="CB62" i="41"/>
  <c r="K60" i="41"/>
  <c r="BR102" i="36"/>
  <c r="BC89" i="41"/>
  <c r="AU58" i="1"/>
  <c r="CY10" i="38"/>
  <c r="CC96" i="40"/>
  <c r="K58" i="37"/>
  <c r="AQ48" i="25"/>
  <c r="CZ91" i="37"/>
  <c r="AM65" i="36"/>
  <c r="CF65" i="25"/>
  <c r="BA75" i="40"/>
  <c r="AU9" i="38"/>
  <c r="BE60" i="40"/>
  <c r="AO21" i="37"/>
  <c r="T34" i="26"/>
  <c r="CP81" i="25"/>
  <c r="AZ67" i="25"/>
  <c r="CM81" i="25"/>
  <c r="H98" i="40"/>
  <c r="BS29" i="39"/>
  <c r="S30" i="26"/>
  <c r="AU27" i="25"/>
  <c r="CE18" i="1"/>
  <c r="O50" i="26"/>
  <c r="AQ75" i="37"/>
  <c r="BE71" i="25"/>
  <c r="CB96" i="26"/>
  <c r="BZ59" i="39"/>
  <c r="H19" i="59"/>
  <c r="CN79" i="25"/>
  <c r="BZ12" i="38"/>
  <c r="BT12" i="1"/>
  <c r="AZ66" i="39"/>
  <c r="CE12" i="39"/>
  <c r="AS58" i="40"/>
  <c r="AP29" i="40"/>
  <c r="BX34" i="26"/>
  <c r="CE66" i="36"/>
  <c r="CW21" i="37"/>
  <c r="BE67" i="38"/>
  <c r="BP30" i="38"/>
  <c r="DA48" i="40"/>
  <c r="BO34" i="26"/>
  <c r="AY13" i="37"/>
  <c r="BE62" i="26"/>
  <c r="CA61" i="1"/>
  <c r="CB98" i="38"/>
  <c r="CJ26" i="36"/>
  <c r="CG102" i="25"/>
  <c r="CS89" i="39"/>
  <c r="N10" i="1"/>
  <c r="BV10" i="26"/>
  <c r="AM53" i="37"/>
  <c r="BH57" i="1"/>
  <c r="BW67" i="37"/>
  <c r="G49" i="40"/>
  <c r="DB65" i="26"/>
  <c r="AD60" i="40"/>
  <c r="CQ102" i="37"/>
  <c r="CJ45" i="36"/>
  <c r="BX48" i="1"/>
  <c r="CU71" i="37"/>
  <c r="AM27" i="39"/>
  <c r="DE30" i="41"/>
  <c r="BE79" i="39"/>
  <c r="BY67" i="36"/>
  <c r="CS26" i="40"/>
  <c r="CM45" i="39"/>
  <c r="AE12" i="26"/>
  <c r="AC17" i="37"/>
  <c r="CX67" i="37"/>
  <c r="BT50" i="25"/>
  <c r="T57" i="39"/>
  <c r="CV92" i="36"/>
  <c r="CW62" i="1"/>
  <c r="AR24" i="36"/>
  <c r="S29" i="25"/>
  <c r="Y21" i="37"/>
  <c r="BC75" i="39"/>
  <c r="AW25" i="41"/>
  <c r="AF79" i="25"/>
  <c r="AT18" i="41"/>
  <c r="CW103" i="37"/>
  <c r="CY60" i="26"/>
  <c r="M102" i="40"/>
  <c r="J30" i="37"/>
  <c r="T60" i="40"/>
  <c r="AT60" i="36"/>
  <c r="AQ25" i="41"/>
  <c r="BD9" i="25"/>
  <c r="BC21" i="40"/>
  <c r="I18" i="59"/>
  <c r="CW54" i="41"/>
  <c r="BX62" i="40"/>
  <c r="AA49" i="1"/>
  <c r="V61" i="37"/>
  <c r="J60" i="40"/>
  <c r="CQ26" i="41"/>
  <c r="J87" i="64"/>
  <c r="K45" i="60"/>
  <c r="AM26" i="41"/>
  <c r="BY103" i="26"/>
  <c r="AF53" i="39"/>
  <c r="CJ66" i="41"/>
  <c r="AR89" i="37"/>
  <c r="BY67" i="26"/>
  <c r="AR58" i="37"/>
  <c r="CR25" i="25"/>
  <c r="CI79" i="1"/>
  <c r="BG318" i="47"/>
  <c r="AV26" i="37"/>
  <c r="DC54" i="25"/>
  <c r="CM34" i="26"/>
  <c r="AM91" i="36"/>
  <c r="CH54" i="26"/>
  <c r="L66" i="36"/>
  <c r="CR24" i="40"/>
  <c r="AM60" i="38"/>
  <c r="BP49" i="25"/>
  <c r="L27" i="37"/>
  <c r="CX27" i="41"/>
  <c r="CJ103" i="26"/>
  <c r="BZ54" i="25"/>
  <c r="CO25" i="26"/>
  <c r="AY71" i="25"/>
  <c r="AA66" i="26"/>
  <c r="DD37" i="36"/>
  <c r="CT10" i="40"/>
  <c r="AN48" i="38"/>
  <c r="BP25" i="25"/>
  <c r="BV10" i="25"/>
  <c r="BE92" i="41"/>
  <c r="CB29" i="25"/>
  <c r="Y9" i="40"/>
  <c r="CG54" i="41"/>
  <c r="AV27" i="40"/>
  <c r="BB60" i="36"/>
  <c r="BD13" i="25"/>
  <c r="CJ98" i="41"/>
  <c r="DD89" i="36"/>
  <c r="CD79" i="41"/>
  <c r="CI25" i="26"/>
  <c r="CH27" i="26"/>
  <c r="H31" i="4"/>
  <c r="K30" i="41"/>
  <c r="BH66" i="41"/>
  <c r="DB57" i="38"/>
  <c r="CH26" i="40"/>
  <c r="CX54" i="36"/>
  <c r="BQ58" i="26"/>
  <c r="BR89" i="38"/>
  <c r="AO10" i="25"/>
  <c r="CW27" i="1"/>
  <c r="BV34" i="37"/>
  <c r="X37" i="37"/>
  <c r="BI45" i="40"/>
  <c r="DD79" i="25"/>
  <c r="AY18" i="26"/>
  <c r="AN10" i="36"/>
  <c r="CN24" i="25"/>
  <c r="BA17" i="40"/>
  <c r="AU96" i="38"/>
  <c r="BX89" i="26"/>
  <c r="CG61" i="40"/>
  <c r="BH98" i="39"/>
  <c r="BI57" i="1"/>
  <c r="AE92" i="26"/>
  <c r="BI57" i="38"/>
  <c r="CC62" i="38"/>
  <c r="BV17" i="25"/>
  <c r="DC54" i="1"/>
  <c r="CD103" i="36"/>
  <c r="CV58" i="26"/>
  <c r="AH13" i="1"/>
  <c r="P71" i="25"/>
  <c r="CZ103" i="40"/>
  <c r="CU9" i="36"/>
  <c r="DA58" i="39"/>
  <c r="CM9" i="1"/>
  <c r="BS57" i="41"/>
  <c r="AF53" i="37"/>
  <c r="H66" i="25"/>
  <c r="AA67" i="39"/>
  <c r="AU34" i="40"/>
  <c r="BU27" i="39"/>
  <c r="BR49" i="39"/>
  <c r="N30" i="38"/>
  <c r="AP37" i="37"/>
  <c r="BS61" i="37"/>
  <c r="CN9" i="25"/>
  <c r="BB75" i="37"/>
  <c r="BZ49" i="37"/>
  <c r="CL98" i="1"/>
  <c r="G96" i="36"/>
  <c r="K30" i="26"/>
  <c r="DB10" i="37"/>
  <c r="I61" i="36"/>
  <c r="BT92" i="41"/>
  <c r="CB59" i="40"/>
  <c r="CR50" i="38"/>
  <c r="AZ21" i="37"/>
  <c r="CV66" i="26"/>
  <c r="L30" i="41"/>
  <c r="AA71" i="37"/>
  <c r="N98" i="25"/>
  <c r="I102" i="41"/>
  <c r="S92" i="25"/>
  <c r="X89" i="36"/>
  <c r="BI25" i="26"/>
  <c r="BV59" i="37"/>
  <c r="BZ103" i="39"/>
  <c r="CN12" i="41"/>
  <c r="DF53" i="25"/>
  <c r="CS61" i="37"/>
  <c r="M58" i="40"/>
  <c r="DB25" i="36"/>
  <c r="DD71" i="39"/>
  <c r="U29" i="26"/>
  <c r="G78" i="60"/>
  <c r="BT57" i="1"/>
  <c r="BY27" i="41"/>
  <c r="DF103" i="39"/>
  <c r="CY58" i="36"/>
  <c r="CO9" i="39"/>
  <c r="CX21" i="1"/>
  <c r="CM62" i="41"/>
  <c r="V60" i="36"/>
  <c r="CC13" i="36"/>
  <c r="CC103" i="40"/>
  <c r="Y54" i="41"/>
  <c r="CD103" i="26"/>
  <c r="CJ66" i="1"/>
  <c r="DD103" i="40"/>
  <c r="X26" i="26"/>
  <c r="BS79" i="41"/>
  <c r="AC75" i="25"/>
  <c r="CX50" i="40"/>
  <c r="AF67" i="39"/>
  <c r="CO66" i="25"/>
  <c r="L98" i="36"/>
  <c r="CU89" i="38"/>
  <c r="BA45" i="40"/>
  <c r="BI98" i="36"/>
  <c r="DD50" i="38"/>
  <c r="BP12" i="38"/>
  <c r="AT60" i="38"/>
  <c r="BF122" i="47"/>
  <c r="K90" i="60"/>
  <c r="J58" i="36"/>
  <c r="AP21" i="38"/>
  <c r="AT75" i="36"/>
  <c r="CC91" i="40"/>
  <c r="X59" i="1"/>
  <c r="AR29" i="39"/>
  <c r="DA89" i="40"/>
  <c r="AX10" i="25"/>
  <c r="AY81" i="1"/>
  <c r="BB9" i="41"/>
  <c r="AJ75" i="36"/>
  <c r="BH54" i="41"/>
  <c r="BO57" i="37"/>
  <c r="AJ91" i="38"/>
  <c r="L98" i="40"/>
  <c r="X54" i="1"/>
  <c r="BV92" i="38"/>
  <c r="AI12" i="26"/>
  <c r="CC60" i="36"/>
  <c r="AN53" i="38"/>
  <c r="CZ27" i="1"/>
  <c r="DF27" i="36"/>
  <c r="J44" i="60"/>
  <c r="CW34" i="41"/>
  <c r="DB53" i="40"/>
  <c r="J18" i="1"/>
  <c r="AE26" i="37"/>
  <c r="DD45" i="25"/>
  <c r="N48" i="40"/>
  <c r="CE60" i="41"/>
  <c r="BX89" i="1"/>
  <c r="CG50" i="39"/>
  <c r="CZ62" i="40"/>
  <c r="CF48" i="37"/>
  <c r="AV54" i="25"/>
  <c r="DB24" i="36"/>
  <c r="J71" i="26"/>
  <c r="AH89" i="40"/>
  <c r="BY10" i="37"/>
  <c r="W49" i="37"/>
  <c r="AZ89" i="1"/>
  <c r="DA27" i="41"/>
  <c r="BB18" i="1"/>
  <c r="U57" i="26"/>
  <c r="CX65" i="40"/>
  <c r="BQ57" i="39"/>
  <c r="AQ25" i="37"/>
  <c r="DB92" i="41"/>
  <c r="BC59" i="26"/>
  <c r="BY81" i="25"/>
  <c r="H27" i="26"/>
  <c r="AR53" i="36"/>
  <c r="Z49" i="38"/>
  <c r="BP34" i="37"/>
  <c r="BT48" i="37"/>
  <c r="BE34" i="25"/>
  <c r="BB75" i="36"/>
  <c r="CG89" i="37"/>
  <c r="G81" i="1"/>
  <c r="BV18" i="39"/>
  <c r="BV81" i="38"/>
  <c r="CU45" i="36"/>
  <c r="DF62" i="40"/>
  <c r="BO62" i="37"/>
  <c r="T61" i="26"/>
  <c r="U75" i="36"/>
  <c r="CZ67" i="25"/>
  <c r="CF71" i="38"/>
  <c r="J15" i="64"/>
  <c r="AY65" i="25"/>
  <c r="AZ250" i="47"/>
  <c r="CD75" i="25"/>
  <c r="AH92" i="1"/>
  <c r="AG37" i="36"/>
  <c r="BW67" i="41"/>
  <c r="AW50" i="41"/>
  <c r="BD30" i="41"/>
  <c r="O21" i="36"/>
  <c r="CQ60" i="39"/>
  <c r="BD18" i="40"/>
  <c r="AE13" i="26"/>
  <c r="H71" i="37"/>
  <c r="CG79" i="39"/>
  <c r="BS89" i="26"/>
  <c r="AS98" i="25"/>
  <c r="CH75" i="40"/>
  <c r="CU27" i="38"/>
  <c r="O30" i="36"/>
  <c r="CS79" i="41"/>
  <c r="BW98" i="25"/>
  <c r="AD18" i="38"/>
  <c r="BI29" i="40"/>
  <c r="J84" i="60"/>
  <c r="CG13" i="37"/>
  <c r="AO27" i="25"/>
  <c r="AO50" i="36"/>
  <c r="CN50" i="39"/>
  <c r="CQ48" i="38"/>
  <c r="DB61" i="25"/>
  <c r="V24" i="37"/>
  <c r="M49" i="39"/>
  <c r="AZ13" i="26"/>
  <c r="BH61" i="36"/>
  <c r="CY25" i="40"/>
  <c r="BD62" i="37"/>
  <c r="AD50" i="37"/>
  <c r="BS67" i="38"/>
  <c r="AH53" i="25"/>
  <c r="G17" i="46"/>
  <c r="X37" i="38"/>
  <c r="AB10" i="38"/>
  <c r="CT71" i="37"/>
  <c r="DE58" i="36"/>
  <c r="AG62" i="25"/>
  <c r="BX25" i="40"/>
  <c r="DC26" i="38"/>
  <c r="CK98" i="1"/>
  <c r="CI98" i="37"/>
  <c r="CA89" i="38"/>
  <c r="L65" i="38"/>
  <c r="BY50" i="36"/>
  <c r="CS54" i="38"/>
  <c r="AH58" i="39"/>
  <c r="CM98" i="1"/>
  <c r="CE58" i="36"/>
  <c r="CD102" i="37"/>
  <c r="AZ75" i="26"/>
  <c r="BS62" i="40"/>
  <c r="AA61" i="40"/>
  <c r="CE91" i="40"/>
  <c r="K79" i="38"/>
  <c r="CS48" i="40"/>
  <c r="AC12" i="40"/>
  <c r="CL30" i="41"/>
  <c r="AX66" i="40"/>
  <c r="CR27" i="36"/>
  <c r="N91" i="37"/>
  <c r="DC21" i="37"/>
  <c r="CC60" i="37"/>
  <c r="AX45" i="1"/>
  <c r="CV29" i="25"/>
  <c r="AC102" i="41"/>
  <c r="BI98" i="37"/>
  <c r="DB91" i="38"/>
  <c r="CA27" i="38"/>
  <c r="BA67" i="38"/>
  <c r="BA13" i="40"/>
  <c r="AX30" i="25"/>
  <c r="CN10" i="25"/>
  <c r="BR21" i="36"/>
  <c r="AT29" i="39"/>
  <c r="AZ12" i="40"/>
  <c r="CR67" i="36"/>
  <c r="BB79" i="36"/>
  <c r="AY17" i="37"/>
  <c r="AR81" i="36"/>
  <c r="CV66" i="39"/>
  <c r="BY60" i="26"/>
  <c r="G50" i="26"/>
  <c r="AO61" i="41"/>
  <c r="O75" i="36"/>
  <c r="H9" i="64"/>
  <c r="AF62" i="37"/>
  <c r="CS98" i="40"/>
  <c r="J34" i="1"/>
  <c r="CB59" i="26"/>
  <c r="BO49" i="25"/>
  <c r="AQ89" i="38"/>
  <c r="CG81" i="25"/>
  <c r="CF17" i="41"/>
  <c r="CT81" i="38"/>
  <c r="DC49" i="37"/>
  <c r="DF91" i="1"/>
  <c r="AN65" i="1"/>
  <c r="P71" i="40"/>
  <c r="AQ30" i="41"/>
  <c r="AA26" i="36"/>
  <c r="BV24" i="26"/>
  <c r="BU48" i="25"/>
  <c r="J90" i="64"/>
  <c r="AU60" i="37"/>
  <c r="CO67" i="1"/>
  <c r="CU29" i="1"/>
  <c r="AE17" i="37"/>
  <c r="AR96" i="37"/>
  <c r="BW58" i="38"/>
  <c r="CI45" i="39"/>
  <c r="K29" i="36"/>
  <c r="AC54" i="36"/>
  <c r="Z34" i="37"/>
  <c r="CF59" i="39"/>
  <c r="DF34" i="39"/>
  <c r="K17" i="64"/>
  <c r="O89" i="39"/>
  <c r="V12" i="36"/>
  <c r="BI34" i="1"/>
  <c r="AJ79" i="41"/>
  <c r="AY102" i="25"/>
  <c r="DA27" i="25"/>
  <c r="L16" i="59"/>
  <c r="CF66" i="40"/>
  <c r="AS26" i="37"/>
  <c r="BC59" i="25"/>
  <c r="CM54" i="41"/>
  <c r="N60" i="1"/>
  <c r="BX65" i="1"/>
  <c r="BV66" i="36"/>
  <c r="DA61" i="26"/>
  <c r="CQ60" i="1"/>
  <c r="Y24" i="40"/>
  <c r="CW12" i="39"/>
  <c r="BH49" i="41"/>
  <c r="CC102" i="41"/>
  <c r="BA27" i="25"/>
  <c r="AJ91" i="40"/>
  <c r="BV49" i="36"/>
  <c r="CX96" i="40"/>
  <c r="AN37" i="39"/>
  <c r="AW10" i="36"/>
  <c r="DC26" i="25"/>
  <c r="K58" i="36"/>
  <c r="BB45" i="36"/>
  <c r="BF118" i="47"/>
  <c r="CP66" i="41"/>
  <c r="AR67" i="36"/>
  <c r="CW61" i="26"/>
  <c r="Z96" i="1"/>
  <c r="AR50" i="1"/>
  <c r="BD96" i="38"/>
  <c r="CM66" i="1"/>
  <c r="I26" i="25"/>
  <c r="BD308" i="47"/>
  <c r="BV91" i="25"/>
  <c r="P50" i="41"/>
  <c r="P59" i="1"/>
  <c r="BY21" i="26"/>
  <c r="AA17" i="1"/>
  <c r="CK91" i="37"/>
  <c r="CL9" i="36"/>
  <c r="X71" i="37"/>
  <c r="AA89" i="1"/>
  <c r="CP65" i="37"/>
  <c r="BG103" i="47"/>
  <c r="BR49" i="38"/>
  <c r="CD25" i="26"/>
  <c r="BU13" i="26"/>
  <c r="CY12" i="40"/>
  <c r="H92" i="39"/>
  <c r="AH29" i="36"/>
  <c r="AH50" i="25"/>
  <c r="CW67" i="41"/>
  <c r="CK48" i="1"/>
  <c r="CN92" i="38"/>
  <c r="CA65" i="40"/>
  <c r="K98" i="39"/>
  <c r="CL48" i="40"/>
  <c r="AU81" i="1"/>
  <c r="BC17" i="26"/>
  <c r="BT66" i="36"/>
  <c r="X17" i="41"/>
  <c r="CN50" i="36"/>
  <c r="AQ92" i="40"/>
  <c r="CQ34" i="26"/>
  <c r="N91" i="40"/>
  <c r="CL81" i="36"/>
  <c r="BO30" i="39"/>
  <c r="BT17" i="36"/>
  <c r="AV58" i="36"/>
  <c r="V25" i="41"/>
  <c r="CD79" i="1"/>
  <c r="CV50" i="25"/>
  <c r="DB79" i="41"/>
  <c r="H59" i="38"/>
  <c r="AY75" i="41"/>
  <c r="DF60" i="39"/>
  <c r="H57" i="40"/>
  <c r="T102" i="40"/>
  <c r="J10" i="41"/>
  <c r="BR92" i="38"/>
  <c r="AH37" i="25"/>
  <c r="CX89" i="26"/>
  <c r="CT62" i="41"/>
  <c r="AA37" i="26"/>
  <c r="AH102" i="36"/>
  <c r="CY18" i="25"/>
  <c r="AI49" i="41"/>
  <c r="AS75" i="38"/>
  <c r="BO25" i="38"/>
  <c r="BW62" i="41"/>
  <c r="BD21" i="41"/>
  <c r="AI81" i="1"/>
  <c r="CX48" i="40"/>
  <c r="BZ65" i="1"/>
  <c r="AA37" i="25"/>
  <c r="CT21" i="36"/>
  <c r="DD29" i="26"/>
  <c r="DA89" i="39"/>
  <c r="DF62" i="26"/>
  <c r="CG21" i="38"/>
  <c r="AH53" i="38"/>
  <c r="AU102" i="25"/>
  <c r="Y25" i="41"/>
  <c r="AQ26" i="38"/>
  <c r="AO37" i="40"/>
  <c r="V17" i="25"/>
  <c r="BX21" i="37"/>
  <c r="K67" i="26"/>
  <c r="BU66" i="1"/>
  <c r="CL27" i="1"/>
  <c r="CY53" i="36"/>
  <c r="BR57" i="37"/>
  <c r="CL10" i="26"/>
  <c r="Y30" i="1"/>
  <c r="L37" i="46"/>
  <c r="M24" i="38"/>
  <c r="DF96" i="39"/>
  <c r="N21" i="37"/>
  <c r="AW59" i="25"/>
  <c r="AX53" i="36"/>
  <c r="AE48" i="38"/>
  <c r="BY66" i="1"/>
  <c r="CW62" i="39"/>
  <c r="AC18" i="26"/>
  <c r="CC96" i="38"/>
  <c r="AQ10" i="37"/>
  <c r="CM13" i="41"/>
  <c r="AV12" i="41"/>
  <c r="CW57" i="40"/>
  <c r="I88" i="64"/>
  <c r="AR12" i="41"/>
  <c r="CH27" i="36"/>
  <c r="AY62" i="1"/>
  <c r="S62" i="25"/>
  <c r="AN26" i="41"/>
  <c r="AT24" i="1"/>
  <c r="DB58" i="40"/>
  <c r="DE49" i="41"/>
  <c r="AR96" i="41"/>
  <c r="AX98" i="41"/>
  <c r="CB96" i="1"/>
  <c r="BR24" i="40"/>
  <c r="E70" i="64"/>
  <c r="BR54" i="37"/>
  <c r="AQ61" i="37"/>
  <c r="CK60" i="36"/>
  <c r="S65" i="1"/>
  <c r="BQ91" i="37"/>
  <c r="DF25" i="39"/>
  <c r="AA58" i="41"/>
  <c r="CR29" i="1"/>
  <c r="AV62" i="36"/>
  <c r="BV91" i="26"/>
  <c r="CT66" i="41"/>
  <c r="N67" i="46"/>
  <c r="S102" i="41"/>
  <c r="K79" i="36"/>
  <c r="V75" i="25"/>
  <c r="CX21" i="36"/>
  <c r="CE48" i="41"/>
  <c r="BB49" i="40"/>
  <c r="CR34" i="38"/>
  <c r="BX48" i="37"/>
  <c r="W65" i="26"/>
  <c r="L10" i="25"/>
  <c r="BR10" i="26"/>
  <c r="BZ24" i="26"/>
  <c r="AB75" i="40"/>
  <c r="CF27" i="40"/>
  <c r="BE27" i="40"/>
  <c r="CL67" i="1"/>
  <c r="V17" i="39"/>
  <c r="I24" i="25"/>
  <c r="Y57" i="38"/>
  <c r="AW24" i="36"/>
  <c r="BW57" i="38"/>
  <c r="BE66" i="25"/>
  <c r="AF58" i="40"/>
  <c r="BE61" i="1"/>
  <c r="V45" i="37"/>
  <c r="AG29" i="40"/>
  <c r="CC98" i="26"/>
  <c r="AW96" i="25"/>
  <c r="N29" i="25"/>
  <c r="DC79" i="38"/>
  <c r="BR17" i="37"/>
  <c r="AD9" i="37"/>
  <c r="CD89" i="39"/>
  <c r="AW61" i="25"/>
  <c r="AI53" i="1"/>
  <c r="AF10" i="25"/>
  <c r="BD10" i="36"/>
  <c r="CS75" i="36"/>
  <c r="BS66" i="38"/>
  <c r="AN30" i="1"/>
  <c r="AG17" i="1"/>
  <c r="BR67" i="41"/>
  <c r="BX10" i="37"/>
  <c r="AH62" i="39"/>
  <c r="BH57" i="26"/>
  <c r="T98" i="37"/>
  <c r="AF98" i="25"/>
  <c r="CU24" i="39"/>
  <c r="CD79" i="36"/>
  <c r="H37" i="59"/>
  <c r="CR57" i="26"/>
  <c r="BW25" i="26"/>
  <c r="BE89" i="36"/>
  <c r="AF65" i="39"/>
  <c r="AD54" i="37"/>
  <c r="BT102" i="1"/>
  <c r="DA92" i="25"/>
  <c r="CE9" i="36"/>
  <c r="X29" i="38"/>
  <c r="CF30" i="40"/>
  <c r="AP65" i="25"/>
  <c r="CP62" i="39"/>
  <c r="AW34" i="36"/>
  <c r="AZ26" i="25"/>
  <c r="CC9" i="41"/>
  <c r="DE79" i="1"/>
  <c r="CJ25" i="40"/>
  <c r="Y79" i="1"/>
  <c r="AE30" i="41"/>
  <c r="AP12" i="36"/>
  <c r="BV58" i="41"/>
  <c r="DF59" i="1"/>
  <c r="AH102" i="26"/>
  <c r="Z60" i="40"/>
  <c r="DA91" i="36"/>
  <c r="CZ12" i="40"/>
  <c r="DE54" i="38"/>
  <c r="AY58" i="39"/>
  <c r="CT37" i="26"/>
  <c r="AP89" i="36"/>
  <c r="V50" i="37"/>
  <c r="CG71" i="37"/>
  <c r="CX96" i="1"/>
  <c r="AG13" i="25"/>
  <c r="AF13" i="38"/>
  <c r="DB89" i="38"/>
  <c r="BR12" i="25"/>
  <c r="G45" i="41"/>
  <c r="K54" i="1"/>
  <c r="K92" i="39"/>
  <c r="I19" i="46"/>
  <c r="AG91" i="39"/>
  <c r="BD29" i="41"/>
  <c r="CB58" i="38"/>
  <c r="CW37" i="40"/>
  <c r="Y24" i="25"/>
  <c r="N9" i="25"/>
  <c r="CR9" i="26"/>
  <c r="CU24" i="25"/>
  <c r="AA66" i="38"/>
  <c r="Y17" i="26"/>
  <c r="DF26" i="25"/>
  <c r="CT67" i="37"/>
  <c r="AH58" i="25"/>
  <c r="CQ12" i="41"/>
  <c r="G62" i="39"/>
  <c r="CW102" i="26"/>
  <c r="CH79" i="25"/>
  <c r="BA50" i="26"/>
  <c r="CY45" i="26"/>
  <c r="CZ79" i="1"/>
  <c r="BB13" i="36"/>
  <c r="CS66" i="36"/>
  <c r="CP58" i="1"/>
  <c r="AU58" i="26"/>
  <c r="AF9" i="41"/>
  <c r="CX60" i="36"/>
  <c r="CO92" i="36"/>
  <c r="DA60" i="36"/>
  <c r="AU92" i="26"/>
  <c r="BT30" i="40"/>
  <c r="M34" i="38"/>
  <c r="K18" i="38"/>
  <c r="CB65" i="26"/>
  <c r="CM60" i="25"/>
  <c r="DF29" i="26"/>
  <c r="M16" i="46"/>
  <c r="K16" i="59"/>
  <c r="CP48" i="37"/>
  <c r="CI79" i="40"/>
  <c r="CG13" i="26"/>
  <c r="AQ29" i="40"/>
  <c r="CN71" i="25"/>
  <c r="CP12" i="41"/>
  <c r="AV24" i="39"/>
  <c r="CZ50" i="38"/>
  <c r="M25" i="26"/>
  <c r="L76" i="60"/>
  <c r="I47" i="60"/>
  <c r="BE65" i="25"/>
  <c r="F89" i="60"/>
  <c r="BZ30" i="37"/>
  <c r="I29" i="26"/>
  <c r="BW92" i="37"/>
  <c r="T26" i="26"/>
  <c r="CK57" i="37"/>
  <c r="AI66" i="26"/>
  <c r="BW91" i="39"/>
  <c r="M72" i="64"/>
  <c r="BB65" i="26"/>
  <c r="AC54" i="40"/>
  <c r="BA13" i="41"/>
  <c r="BP27" i="40"/>
  <c r="AP59" i="39"/>
  <c r="AW66" i="26"/>
  <c r="BW34" i="37"/>
  <c r="DC62" i="39"/>
  <c r="AE60" i="26"/>
  <c r="AN58" i="25"/>
  <c r="AX98" i="40"/>
  <c r="O24" i="25"/>
  <c r="BV53" i="38"/>
  <c r="CY13" i="38"/>
  <c r="I9" i="64"/>
  <c r="DB102" i="25"/>
  <c r="BA92" i="36"/>
  <c r="CZ27" i="37"/>
  <c r="BY61" i="25"/>
  <c r="AB10" i="37"/>
  <c r="DA67" i="1"/>
  <c r="AB79" i="36"/>
  <c r="O9" i="41"/>
  <c r="G92" i="60"/>
  <c r="CT54" i="1"/>
  <c r="AV65" i="37"/>
  <c r="AB45" i="41"/>
  <c r="BH27" i="25"/>
  <c r="CN67" i="26"/>
  <c r="AZ59" i="26"/>
  <c r="DA67" i="38"/>
  <c r="CV103" i="37"/>
  <c r="G71" i="39"/>
  <c r="DB24" i="25"/>
  <c r="BH59" i="40"/>
  <c r="BH62" i="1"/>
  <c r="CH53" i="1"/>
  <c r="AX60" i="1"/>
  <c r="CC96" i="26"/>
  <c r="CY48" i="41"/>
  <c r="CG66" i="25"/>
  <c r="AA54" i="40"/>
  <c r="T65" i="26"/>
  <c r="DB60" i="39"/>
  <c r="BT92" i="40"/>
  <c r="BR79" i="1"/>
  <c r="BR65" i="25"/>
  <c r="CP58" i="26"/>
  <c r="BD26" i="25"/>
  <c r="BC27" i="36"/>
  <c r="AJ49" i="38"/>
  <c r="AP24" i="26"/>
  <c r="AZ130" i="47"/>
  <c r="S57" i="37"/>
  <c r="CN66" i="38"/>
  <c r="BH12" i="41"/>
  <c r="CE45" i="36"/>
  <c r="CH9" i="37"/>
  <c r="O98" i="37"/>
  <c r="BA58" i="25"/>
  <c r="BR21" i="38"/>
  <c r="AF98" i="1"/>
  <c r="DA96" i="39"/>
  <c r="P8" i="59"/>
  <c r="CF29" i="1"/>
  <c r="CG79" i="36"/>
  <c r="BA61" i="1"/>
  <c r="CM103" i="37"/>
  <c r="AD13" i="38"/>
  <c r="AW79" i="25"/>
  <c r="BP27" i="1"/>
  <c r="AB91" i="40"/>
  <c r="M65" i="39"/>
  <c r="AT67" i="37"/>
  <c r="CR10" i="26"/>
  <c r="AJ37" i="26"/>
  <c r="G10" i="1"/>
  <c r="AY24" i="26"/>
  <c r="CH61" i="26"/>
  <c r="DC34" i="1"/>
  <c r="M59" i="39"/>
  <c r="O24" i="36"/>
  <c r="CU81" i="38"/>
  <c r="BI21" i="40"/>
  <c r="T57" i="26"/>
  <c r="BX53" i="25"/>
  <c r="BB89" i="40"/>
  <c r="CE26" i="1"/>
  <c r="AR27" i="39"/>
  <c r="H29" i="1"/>
  <c r="AR25" i="40"/>
  <c r="BP54" i="41"/>
  <c r="BB124" i="47"/>
  <c r="T27" i="37"/>
  <c r="CJ21" i="37"/>
  <c r="J91" i="64"/>
  <c r="CO48" i="1"/>
  <c r="CG75" i="37"/>
  <c r="L50" i="38"/>
  <c r="Z13" i="40"/>
  <c r="BA30" i="39"/>
  <c r="U59" i="39"/>
  <c r="M96" i="1"/>
  <c r="AZ312" i="47"/>
  <c r="AJ57" i="25"/>
  <c r="CG67" i="40"/>
  <c r="AY30" i="36"/>
  <c r="DB66" i="25"/>
  <c r="AT89" i="25"/>
  <c r="BP79" i="37"/>
  <c r="CS50" i="25"/>
  <c r="CK25" i="38"/>
  <c r="K9" i="1"/>
  <c r="CD34" i="37"/>
  <c r="DD59" i="1"/>
  <c r="BZ48" i="1"/>
  <c r="AC12" i="36"/>
  <c r="U91" i="36"/>
  <c r="CK34" i="39"/>
  <c r="L66" i="41"/>
  <c r="AZ18" i="38"/>
  <c r="AE57" i="39"/>
  <c r="CA12" i="36"/>
  <c r="BW102" i="41"/>
  <c r="Z24" i="38"/>
  <c r="AC89" i="40"/>
  <c r="AM98" i="25"/>
  <c r="BC37" i="26"/>
  <c r="CY58" i="41"/>
  <c r="CF21" i="39"/>
  <c r="CB71" i="41"/>
  <c r="AO48" i="41"/>
  <c r="BV27" i="37"/>
  <c r="BZ89" i="41"/>
  <c r="AH17" i="36"/>
  <c r="AG13" i="40"/>
  <c r="O27" i="26"/>
  <c r="AQ24" i="25"/>
  <c r="BI96" i="39"/>
  <c r="L53" i="40"/>
  <c r="W12" i="1"/>
  <c r="CO30" i="26"/>
  <c r="CD50" i="25"/>
  <c r="BQ48" i="25"/>
  <c r="AF81" i="25"/>
  <c r="AM34" i="38"/>
  <c r="CM45" i="41"/>
  <c r="CH53" i="37"/>
  <c r="AV92" i="26"/>
  <c r="BR17" i="40"/>
  <c r="CK24" i="41"/>
  <c r="BA21" i="40"/>
  <c r="X62" i="37"/>
  <c r="M53" i="1"/>
  <c r="AO49" i="38"/>
  <c r="AA29" i="37"/>
  <c r="V79" i="36"/>
  <c r="AI91" i="26"/>
  <c r="K98" i="25"/>
  <c r="BI71" i="26"/>
  <c r="CJ58" i="36"/>
  <c r="AI26" i="39"/>
  <c r="CJ61" i="39"/>
  <c r="BV65" i="26"/>
  <c r="Z49" i="26"/>
  <c r="CM79" i="1"/>
  <c r="CL18" i="26"/>
  <c r="BT81" i="25"/>
  <c r="DA61" i="39"/>
  <c r="AA30" i="39"/>
  <c r="AU96" i="26"/>
  <c r="BT79" i="38"/>
  <c r="DE25" i="25"/>
  <c r="CU61" i="36"/>
  <c r="I45" i="39"/>
  <c r="CT71" i="40"/>
  <c r="H33" i="59"/>
  <c r="DC96" i="26"/>
  <c r="AJ17" i="39"/>
  <c r="BZ54" i="1"/>
  <c r="CR71" i="41"/>
  <c r="CE54" i="40"/>
  <c r="CQ60" i="38"/>
  <c r="AR75" i="40"/>
  <c r="AR60" i="41"/>
  <c r="CN79" i="37"/>
  <c r="AM81" i="41"/>
  <c r="AW53" i="40"/>
  <c r="CF10" i="38"/>
  <c r="CH12" i="26"/>
  <c r="AR26" i="39"/>
  <c r="CR57" i="36"/>
  <c r="AM98" i="40"/>
  <c r="AN96" i="38"/>
  <c r="BD29" i="40"/>
  <c r="AN102" i="1"/>
  <c r="AS13" i="41"/>
  <c r="V91" i="38"/>
  <c r="V67" i="39"/>
  <c r="AI37" i="25"/>
  <c r="DF49" i="39"/>
  <c r="O54" i="40"/>
  <c r="CU27" i="26"/>
  <c r="U30" i="26"/>
  <c r="BO61" i="26"/>
  <c r="CP58" i="39"/>
  <c r="BP58" i="25"/>
  <c r="BP58" i="1"/>
  <c r="T29" i="1"/>
  <c r="BT57" i="36"/>
  <c r="N54" i="41"/>
  <c r="CH75" i="41"/>
  <c r="BZ96" i="39"/>
  <c r="DA50" i="1"/>
  <c r="BV57" i="40"/>
  <c r="CN75" i="1"/>
  <c r="AS102" i="26"/>
  <c r="AP65" i="36"/>
  <c r="DB49" i="40"/>
  <c r="DC12" i="36"/>
  <c r="CO66" i="26"/>
  <c r="CZ49" i="25"/>
  <c r="AU60" i="38"/>
  <c r="CU65" i="40"/>
  <c r="BI45" i="26"/>
  <c r="BW34" i="40"/>
  <c r="CS27" i="26"/>
  <c r="AY75" i="37"/>
  <c r="DF75" i="41"/>
  <c r="BZ79" i="41"/>
  <c r="CV30" i="41"/>
  <c r="DF89" i="38"/>
  <c r="BT26" i="38"/>
  <c r="K25" i="26"/>
  <c r="CA18" i="41"/>
  <c r="AC65" i="41"/>
  <c r="AP81" i="25"/>
  <c r="AJ81" i="38"/>
  <c r="K52" i="59"/>
  <c r="AD25" i="26"/>
  <c r="DE26" i="41"/>
  <c r="CU37" i="26"/>
  <c r="CW61" i="37"/>
  <c r="DD50" i="26"/>
  <c r="CJ50" i="36"/>
  <c r="CH60" i="39"/>
  <c r="CF57" i="26"/>
  <c r="CG103" i="1"/>
  <c r="AP89" i="25"/>
  <c r="DD48" i="1"/>
  <c r="CU57" i="25"/>
  <c r="AU102" i="39"/>
  <c r="Y48" i="37"/>
  <c r="K102" i="36"/>
  <c r="CN29" i="38"/>
  <c r="AD49" i="41"/>
  <c r="U57" i="38"/>
  <c r="CL98" i="37"/>
  <c r="AP48" i="39"/>
  <c r="CI13" i="40"/>
  <c r="AM27" i="38"/>
  <c r="CF59" i="37"/>
  <c r="CY71" i="38"/>
  <c r="CC98" i="1"/>
  <c r="DB26" i="38"/>
  <c r="CZ25" i="41"/>
  <c r="BW34" i="1"/>
  <c r="AZ71" i="41"/>
  <c r="AH54" i="41"/>
  <c r="AN92" i="40"/>
  <c r="BD30" i="36"/>
  <c r="BP71" i="37"/>
  <c r="BH17" i="40"/>
  <c r="CV96" i="36"/>
  <c r="BX37" i="36"/>
  <c r="AS49" i="37"/>
  <c r="AZ58" i="40"/>
  <c r="DC61" i="41"/>
  <c r="BT54" i="26"/>
  <c r="G59" i="38"/>
  <c r="J68" i="64"/>
  <c r="CK92" i="25"/>
  <c r="AT67" i="38"/>
  <c r="BY59" i="40"/>
  <c r="CP103" i="39"/>
  <c r="AQ71" i="37"/>
  <c r="CW62" i="40"/>
  <c r="AQ30" i="40"/>
  <c r="CL65" i="40"/>
  <c r="CW48" i="39"/>
  <c r="CO58" i="39"/>
  <c r="CW27" i="25"/>
  <c r="CB34" i="39"/>
  <c r="CP61" i="36"/>
  <c r="M59" i="60"/>
  <c r="CB12" i="1"/>
  <c r="AN57" i="25"/>
  <c r="CG26" i="40"/>
  <c r="BB48" i="38"/>
  <c r="BE102" i="26"/>
  <c r="H27" i="39"/>
  <c r="CA53" i="40"/>
  <c r="BD54" i="25"/>
  <c r="AA66" i="40"/>
  <c r="CU102" i="39"/>
  <c r="BQ27" i="1"/>
  <c r="J62" i="40"/>
  <c r="BA98" i="40"/>
  <c r="BY29" i="1"/>
  <c r="DC13" i="38"/>
  <c r="BP60" i="41"/>
  <c r="BR102" i="1"/>
  <c r="CP29" i="37"/>
  <c r="AB58" i="26"/>
  <c r="CE13" i="37"/>
  <c r="CP37" i="37"/>
  <c r="I89" i="25"/>
  <c r="CC29" i="26"/>
  <c r="CE13" i="1"/>
  <c r="CT103" i="39"/>
  <c r="CZ27" i="25"/>
  <c r="Y98" i="36"/>
  <c r="CW60" i="41"/>
  <c r="AO34" i="36"/>
  <c r="CH53" i="25"/>
  <c r="V12" i="39"/>
  <c r="CH48" i="25"/>
  <c r="CY26" i="41"/>
  <c r="AI59" i="1"/>
  <c r="I24" i="60"/>
  <c r="AF45" i="39"/>
  <c r="AO49" i="37"/>
  <c r="CR79" i="25"/>
  <c r="AS18" i="37"/>
  <c r="I9" i="38"/>
  <c r="CS96" i="25"/>
  <c r="AM62" i="1"/>
  <c r="H45" i="41"/>
  <c r="CB37" i="36"/>
  <c r="AH66" i="1"/>
  <c r="M11" i="59"/>
  <c r="BQ49" i="38"/>
  <c r="AN53" i="37"/>
  <c r="K36" i="46"/>
  <c r="BO59" i="25"/>
  <c r="DC71" i="37"/>
  <c r="BI10" i="1"/>
  <c r="BR13" i="26"/>
  <c r="S48" i="37"/>
  <c r="BA71" i="1"/>
  <c r="BB79" i="37"/>
  <c r="CX49" i="25"/>
  <c r="AM71" i="26"/>
  <c r="BT50" i="41"/>
  <c r="AU96" i="39"/>
  <c r="CS45" i="38"/>
  <c r="Y21" i="40"/>
  <c r="BX26" i="37"/>
  <c r="AZ48" i="25"/>
  <c r="AC13" i="38"/>
  <c r="CJ59" i="39"/>
  <c r="CQ57" i="25"/>
  <c r="AV10" i="37"/>
  <c r="Z21" i="41"/>
  <c r="CT75" i="1"/>
  <c r="BQ21" i="36"/>
  <c r="CL48" i="41"/>
  <c r="H61" i="39"/>
  <c r="BR57" i="1"/>
  <c r="AP34" i="36"/>
  <c r="J57" i="59"/>
  <c r="AW45" i="36"/>
  <c r="BW9" i="41"/>
  <c r="AR27" i="41"/>
  <c r="CS103" i="25"/>
  <c r="DC10" i="25"/>
  <c r="V89" i="1"/>
  <c r="CK58" i="38"/>
  <c r="K18" i="25"/>
  <c r="AV13" i="41"/>
  <c r="CA59" i="37"/>
  <c r="AE48" i="36"/>
  <c r="DC25" i="41"/>
  <c r="AX58" i="41"/>
  <c r="X24" i="26"/>
  <c r="BW21" i="40"/>
  <c r="BC53" i="39"/>
  <c r="AX53" i="40"/>
  <c r="CT25" i="39"/>
  <c r="AM24" i="41"/>
  <c r="CG75" i="26"/>
  <c r="BU25" i="1"/>
  <c r="AP71" i="25"/>
  <c r="AO18" i="37"/>
  <c r="BH62" i="39"/>
  <c r="CB27" i="40"/>
  <c r="F24" i="60"/>
  <c r="BR103" i="37"/>
  <c r="CN30" i="38"/>
  <c r="AE25" i="39"/>
  <c r="O12" i="40"/>
  <c r="BD102" i="39"/>
  <c r="W27" i="37"/>
  <c r="CP60" i="1"/>
  <c r="BT48" i="41"/>
  <c r="BU48" i="39"/>
  <c r="DE57" i="25"/>
  <c r="Z12" i="26"/>
  <c r="CF62" i="36"/>
  <c r="BQ29" i="37"/>
  <c r="BY17" i="26"/>
  <c r="CH18" i="25"/>
  <c r="CD65" i="37"/>
  <c r="BW91" i="25"/>
  <c r="BY71" i="25"/>
  <c r="BY9" i="1"/>
  <c r="BR21" i="37"/>
  <c r="Y61" i="36"/>
  <c r="CU103" i="26"/>
  <c r="AE49" i="41"/>
  <c r="BU62" i="25"/>
  <c r="K60" i="36"/>
  <c r="CW79" i="26"/>
  <c r="AX24" i="26"/>
  <c r="CI59" i="40"/>
  <c r="DB29" i="26"/>
  <c r="AJ48" i="36"/>
  <c r="DC37" i="37"/>
  <c r="BW65" i="39"/>
  <c r="CN12" i="25"/>
  <c r="BS29" i="38"/>
  <c r="BO61" i="41"/>
  <c r="CZ103" i="1"/>
  <c r="BE89" i="25"/>
  <c r="BT21" i="36"/>
  <c r="AV61" i="26"/>
  <c r="AG62" i="40"/>
  <c r="AA26" i="39"/>
  <c r="AC60" i="37"/>
  <c r="CG25" i="38"/>
  <c r="AE30" i="36"/>
  <c r="AH57" i="25"/>
  <c r="O17" i="38"/>
  <c r="BE10" i="40"/>
  <c r="J91" i="1"/>
  <c r="CM50" i="40"/>
  <c r="AE29" i="25"/>
  <c r="BU53" i="1"/>
  <c r="X34" i="40"/>
  <c r="F81" i="60"/>
  <c r="J53" i="40"/>
  <c r="CV18" i="37"/>
  <c r="AA9" i="41"/>
  <c r="BI21" i="36"/>
  <c r="BQ26" i="36"/>
  <c r="CU98" i="1"/>
  <c r="BV60" i="40"/>
  <c r="X27" i="38"/>
  <c r="Y27" i="41"/>
  <c r="W58" i="37"/>
  <c r="CV71" i="39"/>
  <c r="AY30" i="39"/>
  <c r="BY49" i="37"/>
  <c r="BA18" i="26"/>
  <c r="DD54" i="37"/>
  <c r="DF66" i="38"/>
  <c r="CK61" i="1"/>
  <c r="CX25" i="1"/>
  <c r="AI21" i="40"/>
  <c r="AH75" i="26"/>
  <c r="AD13" i="1"/>
  <c r="DA62" i="39"/>
  <c r="AB24" i="40"/>
  <c r="BH24" i="26"/>
  <c r="CP45" i="1"/>
  <c r="CQ57" i="38"/>
  <c r="K37" i="1"/>
  <c r="AC13" i="36"/>
  <c r="BI26" i="25"/>
  <c r="CB18" i="1"/>
  <c r="AS91" i="1"/>
  <c r="CY12" i="38"/>
  <c r="U50" i="40"/>
  <c r="AC18" i="37"/>
  <c r="AN37" i="38"/>
  <c r="CU59" i="26"/>
  <c r="AO60" i="39"/>
  <c r="AT18" i="40"/>
  <c r="BI30" i="41"/>
  <c r="CT66" i="26"/>
  <c r="CB103" i="40"/>
  <c r="I17" i="37"/>
  <c r="V30" i="1"/>
  <c r="DE54" i="41"/>
  <c r="W37" i="26"/>
  <c r="BP62" i="38"/>
  <c r="CW54" i="36"/>
  <c r="BW9" i="25"/>
  <c r="DC57" i="40"/>
  <c r="W60" i="25"/>
  <c r="AQ13" i="26"/>
  <c r="BI12" i="25"/>
  <c r="BS71" i="38"/>
  <c r="N59" i="38"/>
  <c r="CX24" i="37"/>
  <c r="V71" i="25"/>
  <c r="AV61" i="1"/>
  <c r="DA103" i="38"/>
  <c r="AW91" i="25"/>
  <c r="CV21" i="1"/>
  <c r="J50" i="41"/>
  <c r="CU37" i="37"/>
  <c r="U75" i="38"/>
  <c r="CM102" i="39"/>
  <c r="BE67" i="25"/>
  <c r="AT10" i="38"/>
  <c r="AW17" i="1"/>
  <c r="BD65" i="38"/>
  <c r="AT10" i="41"/>
  <c r="L45" i="26"/>
  <c r="AZ71" i="36"/>
  <c r="BD53" i="25"/>
  <c r="AB24" i="39"/>
  <c r="O102" i="38"/>
  <c r="AI66" i="25"/>
  <c r="AN62" i="26"/>
  <c r="L25" i="37"/>
  <c r="AI12" i="36"/>
  <c r="BA21" i="1"/>
  <c r="CH37" i="37"/>
  <c r="CI103" i="38"/>
  <c r="BW10" i="25"/>
  <c r="BO89" i="25"/>
  <c r="I98" i="38"/>
  <c r="BU17" i="25"/>
  <c r="BV24" i="40"/>
  <c r="CE60" i="38"/>
  <c r="AO17" i="40"/>
  <c r="CM75" i="41"/>
  <c r="T57" i="38"/>
  <c r="AY96" i="38"/>
  <c r="CJ98" i="37"/>
  <c r="BO10" i="36"/>
  <c r="H79" i="38"/>
  <c r="BH25" i="39"/>
  <c r="BQ17" i="39"/>
  <c r="CL96" i="1"/>
  <c r="N62" i="37"/>
  <c r="BC34" i="1"/>
  <c r="CO27" i="26"/>
  <c r="H14" i="60"/>
  <c r="CE12" i="1"/>
  <c r="AQ102" i="1"/>
  <c r="CP96" i="41"/>
  <c r="CE98" i="38"/>
  <c r="CS79" i="25"/>
  <c r="AQ67" i="1"/>
  <c r="AE62" i="37"/>
  <c r="DE67" i="39"/>
  <c r="P50" i="36"/>
  <c r="BE45" i="1"/>
  <c r="CG66" i="39"/>
  <c r="CD21" i="1"/>
  <c r="CM59" i="40"/>
  <c r="T18" i="37"/>
  <c r="N10" i="37"/>
  <c r="W10" i="36"/>
  <c r="DF48" i="36"/>
  <c r="AA13" i="38"/>
  <c r="BT66" i="39"/>
  <c r="BR71" i="40"/>
  <c r="CI58" i="38"/>
  <c r="V30" i="37"/>
  <c r="CD62" i="37"/>
  <c r="U21" i="36"/>
  <c r="BR17" i="36"/>
  <c r="BA98" i="25"/>
  <c r="O58" i="25"/>
  <c r="CO58" i="26"/>
  <c r="AR67" i="1"/>
  <c r="BO49" i="41"/>
  <c r="CJ102" i="25"/>
  <c r="CK79" i="1"/>
  <c r="BB49" i="25"/>
  <c r="DB92" i="25"/>
  <c r="DE9" i="40"/>
  <c r="DB58" i="25"/>
  <c r="CF61" i="37"/>
  <c r="BC10" i="38"/>
  <c r="Y12" i="1"/>
  <c r="CK92" i="36"/>
  <c r="BB62" i="36"/>
  <c r="AR45" i="1"/>
  <c r="BI50" i="40"/>
  <c r="BP102" i="1"/>
  <c r="CA81" i="1"/>
  <c r="BH9" i="39"/>
  <c r="X13" i="36"/>
  <c r="BC29" i="1"/>
  <c r="K65" i="39"/>
  <c r="CC66" i="37"/>
  <c r="AD48" i="1"/>
  <c r="CT24" i="36"/>
  <c r="M6" i="59"/>
  <c r="CV18" i="26"/>
  <c r="BE65" i="1"/>
  <c r="N34" i="37"/>
  <c r="CR30" i="39"/>
  <c r="CR58" i="40"/>
  <c r="BT62" i="36"/>
  <c r="J13" i="41"/>
  <c r="AU58" i="25"/>
  <c r="AG29" i="38"/>
  <c r="BP66" i="39"/>
  <c r="AF18" i="38"/>
  <c r="BX75" i="1"/>
  <c r="W54" i="38"/>
  <c r="CZ26" i="37"/>
  <c r="N66" i="26"/>
  <c r="E69" i="60"/>
  <c r="BV75" i="25"/>
  <c r="CW29" i="26"/>
  <c r="CG18" i="1"/>
  <c r="AX45" i="26"/>
  <c r="CT50" i="25"/>
  <c r="CK71" i="25"/>
  <c r="BO66" i="36"/>
  <c r="AX67" i="36"/>
  <c r="BE54" i="1"/>
  <c r="AZ66" i="40"/>
  <c r="AG81" i="25"/>
  <c r="BP29" i="26"/>
  <c r="BB10" i="39"/>
  <c r="AA60" i="37"/>
  <c r="AH98" i="1"/>
  <c r="M27" i="36"/>
  <c r="BR102" i="38"/>
  <c r="H74" i="60"/>
  <c r="AJ12" i="36"/>
  <c r="BY81" i="1"/>
  <c r="DD81" i="40"/>
  <c r="H82" i="60"/>
  <c r="BT27" i="36"/>
  <c r="K16" i="60"/>
  <c r="E87" i="64"/>
  <c r="AH26" i="25"/>
  <c r="CG54" i="40"/>
  <c r="G21" i="39"/>
  <c r="BI26" i="40"/>
  <c r="AJ79" i="26"/>
  <c r="CW89" i="36"/>
  <c r="AV89" i="26"/>
  <c r="L96" i="39"/>
  <c r="AT49" i="37"/>
  <c r="W58" i="25"/>
  <c r="V54" i="25"/>
  <c r="O45" i="40"/>
  <c r="CP17" i="38"/>
  <c r="O53" i="40"/>
  <c r="CO89" i="40"/>
  <c r="Y91" i="39"/>
  <c r="CS71" i="37"/>
  <c r="CT61" i="1"/>
  <c r="AG79" i="25"/>
  <c r="AB62" i="25"/>
  <c r="S10" i="25"/>
  <c r="AH57" i="39"/>
  <c r="AT92" i="1"/>
  <c r="AM9" i="39"/>
  <c r="BA27" i="36"/>
  <c r="CW92" i="38"/>
  <c r="CW98" i="40"/>
  <c r="W65" i="39"/>
  <c r="I24" i="40"/>
  <c r="G89" i="25"/>
  <c r="AH10" i="38"/>
  <c r="CR81" i="40"/>
  <c r="BU81" i="41"/>
  <c r="DA34" i="39"/>
  <c r="BP60" i="39"/>
  <c r="CO54" i="26"/>
  <c r="AV21" i="40"/>
  <c r="N92" i="37"/>
  <c r="DD79" i="1"/>
  <c r="AT9" i="41"/>
  <c r="J49" i="1"/>
  <c r="Y61" i="26"/>
  <c r="K71" i="36"/>
  <c r="CM34" i="25"/>
  <c r="AR96" i="26"/>
  <c r="G13" i="26"/>
  <c r="J25" i="38"/>
  <c r="AS71" i="39"/>
  <c r="CI27" i="1"/>
  <c r="CE50" i="25"/>
  <c r="DD102" i="39"/>
  <c r="CM103" i="38"/>
  <c r="BD57" i="1"/>
  <c r="CC91" i="38"/>
  <c r="AG98" i="37"/>
  <c r="CV89" i="26"/>
  <c r="CC18" i="1"/>
  <c r="DD61" i="36"/>
  <c r="O102" i="39"/>
  <c r="DF27" i="40"/>
  <c r="M12" i="59"/>
  <c r="AY10" i="40"/>
  <c r="CB21" i="25"/>
  <c r="BS48" i="25"/>
  <c r="DB54" i="25"/>
  <c r="I60" i="39"/>
  <c r="AC26" i="1"/>
  <c r="G66" i="36"/>
  <c r="CD21" i="39"/>
  <c r="AW91" i="26"/>
  <c r="BQ75" i="39"/>
  <c r="CO65" i="40"/>
  <c r="CL91" i="40"/>
  <c r="BR48" i="26"/>
  <c r="CX71" i="41"/>
  <c r="I57" i="1"/>
  <c r="CZ75" i="36"/>
  <c r="AU65" i="36"/>
  <c r="U37" i="37"/>
  <c r="AA58" i="36"/>
  <c r="AM18" i="38"/>
  <c r="CE65" i="39"/>
  <c r="BQ71" i="39"/>
  <c r="AD21" i="39"/>
  <c r="CN65" i="38"/>
  <c r="BE25" i="40"/>
  <c r="CT60" i="25"/>
  <c r="BY62" i="26"/>
  <c r="AA89" i="37"/>
  <c r="AM58" i="25"/>
  <c r="M58" i="37"/>
  <c r="DB81" i="39"/>
  <c r="O81" i="38"/>
  <c r="J34" i="41"/>
  <c r="CJ26" i="1"/>
  <c r="K54" i="64"/>
  <c r="P96" i="38"/>
  <c r="S37" i="1"/>
  <c r="H85" i="60"/>
  <c r="BX24" i="38"/>
  <c r="AN66" i="40"/>
  <c r="BT92" i="38"/>
  <c r="AA45" i="37"/>
  <c r="W12" i="26"/>
  <c r="CA29" i="40"/>
  <c r="K66" i="26"/>
  <c r="BQ96" i="38"/>
  <c r="AW71" i="25"/>
  <c r="AC89" i="37"/>
  <c r="CR58" i="41"/>
  <c r="AG89" i="41"/>
  <c r="BW92" i="38"/>
  <c r="N79" i="39"/>
  <c r="U29" i="39"/>
  <c r="DF34" i="37"/>
  <c r="Y57" i="1"/>
  <c r="H61" i="26"/>
  <c r="AH25" i="41"/>
  <c r="AI62" i="38"/>
  <c r="AX13" i="1"/>
  <c r="CC27" i="25"/>
  <c r="AQ71" i="1"/>
  <c r="CW59" i="38"/>
  <c r="CS27" i="25"/>
  <c r="CT71" i="1"/>
  <c r="AT26" i="40"/>
  <c r="CJ67" i="39"/>
  <c r="W49" i="36"/>
  <c r="AU71" i="1"/>
  <c r="BD67" i="36"/>
  <c r="CX57" i="37"/>
  <c r="BD98" i="38"/>
  <c r="AU61" i="36"/>
  <c r="L96" i="26"/>
  <c r="DE27" i="39"/>
  <c r="AD29" i="37"/>
  <c r="BC62" i="25"/>
  <c r="BE71" i="1"/>
  <c r="N8" i="59"/>
  <c r="CK17" i="26"/>
  <c r="N60" i="59"/>
  <c r="AM67" i="36"/>
  <c r="AD98" i="38"/>
  <c r="CL9" i="39"/>
  <c r="DA30" i="40"/>
  <c r="DF10" i="38"/>
  <c r="AQ18" i="1"/>
  <c r="BR79" i="37"/>
  <c r="CL54" i="41"/>
  <c r="AQ18" i="26"/>
  <c r="CY92" i="38"/>
  <c r="CB58" i="39"/>
  <c r="M8" i="64"/>
  <c r="BW21" i="36"/>
  <c r="H89" i="60"/>
  <c r="AO17" i="36"/>
  <c r="AT17" i="38"/>
  <c r="BB62" i="26"/>
  <c r="Z24" i="1"/>
  <c r="BQ12" i="36"/>
  <c r="BD45" i="41"/>
  <c r="CD25" i="39"/>
  <c r="BD101" i="47"/>
  <c r="AT65" i="26"/>
  <c r="V29" i="36"/>
  <c r="CW53" i="38"/>
  <c r="CA29" i="38"/>
  <c r="CP61" i="37"/>
  <c r="BH57" i="39"/>
  <c r="BS59" i="1"/>
  <c r="CY50" i="40"/>
  <c r="W21" i="39"/>
  <c r="AB25" i="39"/>
  <c r="CP71" i="36"/>
  <c r="K61" i="39"/>
  <c r="BG316" i="47"/>
  <c r="BH59" i="25"/>
  <c r="CI65" i="37"/>
  <c r="CK24" i="25"/>
  <c r="BO27" i="1"/>
  <c r="CY67" i="26"/>
  <c r="BU17" i="37"/>
  <c r="CR27" i="40"/>
  <c r="CI92" i="36"/>
  <c r="DD75" i="25"/>
  <c r="CS29" i="1"/>
  <c r="V29" i="1"/>
  <c r="CK58" i="25"/>
  <c r="AI91" i="38"/>
  <c r="AC102" i="36"/>
  <c r="K91" i="37"/>
  <c r="BW13" i="36"/>
  <c r="AN92" i="36"/>
  <c r="M29" i="37"/>
  <c r="CM54" i="25"/>
  <c r="N58" i="40"/>
  <c r="T26" i="38"/>
  <c r="AR34" i="1"/>
  <c r="E86" i="64"/>
  <c r="AZ91" i="36"/>
  <c r="AY27" i="26"/>
  <c r="X26" i="37"/>
  <c r="BV50" i="1"/>
  <c r="H89" i="39"/>
  <c r="BQ96" i="39"/>
  <c r="P57" i="40"/>
  <c r="J66" i="36"/>
  <c r="L59" i="26"/>
  <c r="CJ66" i="39"/>
  <c r="AX89" i="25"/>
  <c r="DE71" i="36"/>
  <c r="CQ81" i="39"/>
  <c r="AQ60" i="1"/>
  <c r="CU58" i="41"/>
  <c r="BZ71" i="38"/>
  <c r="CX66" i="1"/>
  <c r="BE81" i="39"/>
  <c r="CJ89" i="25"/>
  <c r="BC57" i="39"/>
  <c r="AW102" i="1"/>
  <c r="CL34" i="41"/>
  <c r="CJ98" i="36"/>
  <c r="CQ98" i="26"/>
  <c r="V66" i="39"/>
  <c r="AN53" i="40"/>
  <c r="X24" i="40"/>
  <c r="CS81" i="25"/>
  <c r="BU34" i="40"/>
  <c r="DD89" i="39"/>
  <c r="AR53" i="37"/>
  <c r="CY34" i="25"/>
  <c r="AG21" i="40"/>
  <c r="O59" i="40"/>
  <c r="AQ65" i="1"/>
  <c r="N13" i="36"/>
  <c r="BQ103" i="36"/>
  <c r="BO66" i="37"/>
  <c r="AP9" i="41"/>
  <c r="CA17" i="38"/>
  <c r="DD66" i="38"/>
  <c r="CD89" i="38"/>
  <c r="BP60" i="38"/>
  <c r="AP79" i="41"/>
  <c r="I92" i="25"/>
  <c r="Z61" i="39"/>
  <c r="AG61" i="26"/>
  <c r="S50" i="37"/>
  <c r="CG62" i="36"/>
  <c r="CC13" i="38"/>
  <c r="T60" i="38"/>
  <c r="AR10" i="37"/>
  <c r="CN102" i="39"/>
  <c r="P62" i="1"/>
  <c r="BP18" i="40"/>
  <c r="BA62" i="36"/>
  <c r="BS18" i="41"/>
  <c r="DC12" i="26"/>
  <c r="CH75" i="37"/>
  <c r="AC57" i="41"/>
  <c r="BW61" i="37"/>
  <c r="CE25" i="25"/>
  <c r="AZ67" i="37"/>
  <c r="BQ49" i="39"/>
  <c r="CH75" i="1"/>
  <c r="W89" i="36"/>
  <c r="AG34" i="25"/>
  <c r="J60" i="37"/>
  <c r="BU9" i="38"/>
  <c r="AF37" i="36"/>
  <c r="CH58" i="1"/>
  <c r="DA18" i="26"/>
  <c r="CL29" i="40"/>
  <c r="DD27" i="25"/>
  <c r="AA45" i="26"/>
  <c r="CT61" i="39"/>
  <c r="BE92" i="25"/>
  <c r="CT24" i="1"/>
  <c r="BH102" i="39"/>
  <c r="BC75" i="25"/>
  <c r="CJ49" i="26"/>
  <c r="CG21" i="41"/>
  <c r="CR50" i="39"/>
  <c r="G92" i="37"/>
  <c r="AZ62" i="38"/>
  <c r="CB53" i="39"/>
  <c r="AJ25" i="41"/>
  <c r="BT37" i="37"/>
  <c r="CT91" i="39"/>
  <c r="W59" i="1"/>
  <c r="J36" i="46"/>
  <c r="CV57" i="40"/>
  <c r="BC62" i="36"/>
  <c r="BB91" i="26"/>
  <c r="Z9" i="26"/>
  <c r="CJ30" i="38"/>
  <c r="CA89" i="36"/>
  <c r="CY17" i="37"/>
  <c r="CH91" i="38"/>
  <c r="AH67" i="26"/>
  <c r="CZ91" i="38"/>
  <c r="AZ61" i="37"/>
  <c r="CY24" i="40"/>
  <c r="BE27" i="38"/>
  <c r="AC13" i="26"/>
  <c r="BB96" i="40"/>
  <c r="CW24" i="36"/>
  <c r="S89" i="40"/>
  <c r="AQ60" i="38"/>
  <c r="AX91" i="37"/>
  <c r="AD37" i="37"/>
  <c r="CJ71" i="37"/>
  <c r="V37" i="25"/>
  <c r="AI60" i="36"/>
  <c r="CK10" i="37"/>
  <c r="BV81" i="26"/>
  <c r="N49" i="39"/>
  <c r="BU21" i="39"/>
  <c r="N25" i="39"/>
  <c r="CI103" i="25"/>
  <c r="AG65" i="40"/>
  <c r="BW81" i="26"/>
  <c r="CP62" i="36"/>
  <c r="AO49" i="36"/>
  <c r="DB96" i="1"/>
  <c r="AC61" i="40"/>
  <c r="BZ92" i="36"/>
  <c r="AD89" i="40"/>
  <c r="AS18" i="40"/>
  <c r="CI10" i="39"/>
  <c r="CB21" i="39"/>
  <c r="BI89" i="1"/>
  <c r="AM49" i="26"/>
  <c r="CJ59" i="41"/>
  <c r="J12" i="36"/>
  <c r="BH75" i="26"/>
  <c r="T53" i="36"/>
  <c r="AU18" i="41"/>
  <c r="AH59" i="36"/>
  <c r="J65" i="41"/>
  <c r="BZ50" i="25"/>
  <c r="CY92" i="1"/>
  <c r="BA9" i="39"/>
  <c r="AU34" i="36"/>
  <c r="M53" i="41"/>
  <c r="S58" i="38"/>
  <c r="CY54" i="25"/>
  <c r="P81" i="38"/>
  <c r="BR24" i="39"/>
  <c r="CM67" i="36"/>
  <c r="DB37" i="1"/>
  <c r="CH34" i="1"/>
  <c r="L27" i="40"/>
  <c r="V27" i="36"/>
  <c r="DE103" i="26"/>
  <c r="AB45" i="36"/>
  <c r="CA30" i="40"/>
  <c r="BE96" i="38"/>
  <c r="AB12" i="41"/>
  <c r="CM48" i="36"/>
  <c r="AY48" i="37"/>
  <c r="AX96" i="40"/>
  <c r="CK103" i="1"/>
  <c r="DD54" i="41"/>
  <c r="CH67" i="25"/>
  <c r="I51" i="64"/>
  <c r="CY89" i="39"/>
  <c r="CL61" i="40"/>
  <c r="J17" i="38"/>
  <c r="AO60" i="41"/>
  <c r="CN10" i="39"/>
  <c r="CH61" i="38"/>
  <c r="H47" i="59"/>
  <c r="AO65" i="40"/>
  <c r="BV50" i="26"/>
  <c r="AI79" i="25"/>
  <c r="BX9" i="26"/>
  <c r="CJ62" i="25"/>
  <c r="BA75" i="39"/>
  <c r="DC58" i="25"/>
  <c r="AT75" i="38"/>
  <c r="AX66" i="37"/>
  <c r="BI58" i="38"/>
  <c r="DE58" i="37"/>
  <c r="BV21" i="39"/>
  <c r="AE66" i="40"/>
  <c r="AT71" i="38"/>
  <c r="AO102" i="26"/>
  <c r="N33" i="59"/>
  <c r="AH60" i="40"/>
  <c r="BB25" i="41"/>
  <c r="M8" i="59"/>
  <c r="CT50" i="41"/>
  <c r="CA54" i="1"/>
  <c r="BZ54" i="40"/>
  <c r="CP17" i="1"/>
  <c r="AM92" i="41"/>
  <c r="CJ24" i="41"/>
  <c r="AX18" i="25"/>
  <c r="L17" i="41"/>
  <c r="BR34" i="39"/>
  <c r="AU62" i="36"/>
  <c r="CB49" i="1"/>
  <c r="AX12" i="26"/>
  <c r="BZ49" i="26"/>
  <c r="CE62" i="39"/>
  <c r="AQ9" i="38"/>
  <c r="DF9" i="37"/>
  <c r="J25" i="39"/>
  <c r="BZ102" i="36"/>
  <c r="BY54" i="1"/>
  <c r="AD29" i="41"/>
  <c r="CW13" i="41"/>
  <c r="AA59" i="40"/>
  <c r="AJ98" i="37"/>
  <c r="I18" i="38"/>
  <c r="DF34" i="36"/>
  <c r="AZ10" i="25"/>
  <c r="DB61" i="40"/>
  <c r="BA57" i="25"/>
  <c r="AN29" i="1"/>
  <c r="CU18" i="39"/>
  <c r="L78" i="60"/>
  <c r="CE26" i="41"/>
  <c r="AD67" i="39"/>
  <c r="CP9" i="39"/>
  <c r="Y9" i="1"/>
  <c r="CZ50" i="41"/>
  <c r="AW75" i="36"/>
  <c r="CJ50" i="39"/>
  <c r="AX71" i="41"/>
  <c r="CM96" i="40"/>
  <c r="AN45" i="26"/>
  <c r="G27" i="26"/>
  <c r="CZ66" i="40"/>
  <c r="AO59" i="36"/>
  <c r="P60" i="59"/>
  <c r="DA98" i="39"/>
  <c r="G24" i="25"/>
  <c r="P12" i="59"/>
  <c r="BS45" i="39"/>
  <c r="CW92" i="40"/>
  <c r="BP18" i="37"/>
  <c r="BY81" i="39"/>
  <c r="AH37" i="38"/>
  <c r="BC92" i="38"/>
  <c r="CE98" i="25"/>
  <c r="I61" i="40"/>
  <c r="X53" i="37"/>
  <c r="Z34" i="26"/>
  <c r="AW81" i="25"/>
  <c r="CP49" i="41"/>
  <c r="BU25" i="36"/>
  <c r="AD18" i="26"/>
  <c r="DC81" i="26"/>
  <c r="L13" i="64"/>
  <c r="BH60" i="41"/>
  <c r="AE98" i="40"/>
  <c r="AN58" i="38"/>
  <c r="M13" i="38"/>
  <c r="W75" i="41"/>
  <c r="CC48" i="39"/>
  <c r="AB102" i="1"/>
  <c r="AP45" i="25"/>
  <c r="CY48" i="37"/>
  <c r="BY21" i="40"/>
  <c r="U92" i="39"/>
  <c r="AQ9" i="37"/>
  <c r="CG67" i="26"/>
  <c r="CL12" i="39"/>
  <c r="BI67" i="26"/>
  <c r="X50" i="40"/>
  <c r="CH62" i="40"/>
  <c r="S62" i="26"/>
  <c r="H29" i="36"/>
  <c r="CF49" i="36"/>
  <c r="DC66" i="41"/>
  <c r="BD48" i="38"/>
  <c r="T26" i="39"/>
  <c r="AO21" i="36"/>
  <c r="CP29" i="40"/>
  <c r="AH49" i="37"/>
  <c r="I10" i="41"/>
  <c r="I65" i="26"/>
  <c r="F15" i="64"/>
  <c r="BT10" i="36"/>
  <c r="Y21" i="26"/>
  <c r="CU34" i="39"/>
  <c r="AB17" i="41"/>
  <c r="T30" i="41"/>
  <c r="BQ65" i="26"/>
  <c r="CT29" i="37"/>
  <c r="BQ98" i="40"/>
  <c r="AH26" i="1"/>
  <c r="BY24" i="25"/>
  <c r="AA34" i="25"/>
  <c r="BY60" i="36"/>
  <c r="CI12" i="39"/>
  <c r="AV65" i="40"/>
  <c r="AV79" i="40"/>
  <c r="DF67" i="41"/>
  <c r="AO30" i="25"/>
  <c r="CC12" i="1"/>
  <c r="AH29" i="26"/>
  <c r="BV71" i="25"/>
  <c r="CV26" i="36"/>
  <c r="U45" i="40"/>
  <c r="BU98" i="1"/>
  <c r="AT50" i="25"/>
  <c r="BT34" i="1"/>
  <c r="BZ67" i="37"/>
  <c r="G81" i="36"/>
  <c r="G29" i="26"/>
  <c r="CO50" i="1"/>
  <c r="AH75" i="1"/>
  <c r="BR71" i="1"/>
  <c r="AB49" i="41"/>
  <c r="BI48" i="1"/>
  <c r="BX66" i="40"/>
  <c r="CM102" i="41"/>
  <c r="J90" i="60"/>
  <c r="L96" i="40"/>
  <c r="AC62" i="39"/>
  <c r="CK57" i="39"/>
  <c r="CQ54" i="36"/>
  <c r="CI25" i="1"/>
  <c r="AR71" i="25"/>
  <c r="BH65" i="1"/>
  <c r="BU102" i="37"/>
  <c r="N58" i="36"/>
  <c r="CA9" i="37"/>
  <c r="H91" i="40"/>
  <c r="AX92" i="41"/>
  <c r="AD89" i="36"/>
  <c r="G24" i="36"/>
  <c r="S37" i="39"/>
  <c r="AD30" i="39"/>
  <c r="AQ71" i="39"/>
  <c r="CG37" i="38"/>
  <c r="CX25" i="37"/>
  <c r="Z79" i="36"/>
  <c r="CO98" i="36"/>
  <c r="AQ98" i="40"/>
  <c r="BX71" i="25"/>
  <c r="BI34" i="26"/>
  <c r="CI89" i="41"/>
  <c r="I74" i="64"/>
  <c r="CJ18" i="36"/>
  <c r="L49" i="37"/>
  <c r="CO54" i="37"/>
  <c r="CG75" i="36"/>
  <c r="CX62" i="39"/>
  <c r="CY92" i="41"/>
  <c r="CW54" i="25"/>
  <c r="CY71" i="39"/>
  <c r="BA79" i="38"/>
  <c r="AO45" i="26"/>
  <c r="BC65" i="39"/>
  <c r="DA79" i="26"/>
  <c r="AC92" i="26"/>
  <c r="CS59" i="26"/>
  <c r="BV96" i="36"/>
  <c r="CU9" i="25"/>
  <c r="CQ26" i="40"/>
  <c r="AV34" i="25"/>
  <c r="AU24" i="25"/>
  <c r="F33" i="60"/>
  <c r="CC17" i="37"/>
  <c r="BD9" i="26"/>
  <c r="CG59" i="36"/>
  <c r="U54" i="40"/>
  <c r="CS21" i="1"/>
  <c r="AH9" i="38"/>
  <c r="CF98" i="37"/>
  <c r="L81" i="40"/>
  <c r="S49" i="39"/>
  <c r="K49" i="1"/>
  <c r="BW75" i="39"/>
  <c r="CM9" i="36"/>
  <c r="DC17" i="25"/>
  <c r="DE34" i="37"/>
  <c r="O10" i="25"/>
  <c r="CN102" i="37"/>
  <c r="CK65" i="26"/>
  <c r="CH57" i="38"/>
  <c r="K33" i="59"/>
  <c r="AQ81" i="1"/>
  <c r="S18" i="1"/>
  <c r="CR59" i="38"/>
  <c r="DD62" i="25"/>
  <c r="X67" i="39"/>
  <c r="H61" i="38"/>
  <c r="BV67" i="41"/>
  <c r="BX29" i="26"/>
  <c r="DB37" i="37"/>
  <c r="CZ34" i="26"/>
  <c r="CT92" i="25"/>
  <c r="AA30" i="25"/>
  <c r="DB34" i="26"/>
  <c r="BE61" i="26"/>
  <c r="CX66" i="37"/>
  <c r="CE79" i="36"/>
  <c r="DA103" i="1"/>
  <c r="AC81" i="25"/>
  <c r="P12" i="25"/>
  <c r="K67" i="41"/>
  <c r="CE13" i="26"/>
  <c r="G89" i="36"/>
  <c r="CG96" i="36"/>
  <c r="AD45" i="37"/>
  <c r="CN57" i="25"/>
  <c r="CY67" i="41"/>
  <c r="CC24" i="26"/>
  <c r="BR9" i="25"/>
  <c r="AV98" i="39"/>
  <c r="CA18" i="26"/>
  <c r="BU48" i="40"/>
  <c r="AI27" i="26"/>
  <c r="AH53" i="36"/>
  <c r="G37" i="46"/>
  <c r="AU37" i="1"/>
  <c r="CP50" i="1"/>
  <c r="CM48" i="39"/>
  <c r="BZ75" i="1"/>
  <c r="DD50" i="1"/>
  <c r="AN91" i="37"/>
  <c r="BP10" i="39"/>
  <c r="S48" i="26"/>
  <c r="BZ26" i="25"/>
  <c r="CX58" i="37"/>
  <c r="CV66" i="38"/>
  <c r="CU26" i="1"/>
  <c r="DE45" i="36"/>
  <c r="BR37" i="1"/>
  <c r="CG71" i="38"/>
  <c r="CF102" i="26"/>
  <c r="V48" i="40"/>
  <c r="CU57" i="26"/>
  <c r="AO89" i="26"/>
  <c r="AE62" i="40"/>
  <c r="AC13" i="37"/>
  <c r="AI21" i="41"/>
  <c r="CW65" i="36"/>
  <c r="M17" i="40"/>
  <c r="BD29" i="1"/>
  <c r="BO96" i="26"/>
  <c r="AU50" i="37"/>
  <c r="BP18" i="36"/>
  <c r="DF71" i="26"/>
  <c r="CQ92" i="39"/>
  <c r="O89" i="40"/>
  <c r="BC57" i="25"/>
  <c r="AS58" i="41"/>
  <c r="BD96" i="39"/>
  <c r="CN81" i="39"/>
  <c r="AA18" i="41"/>
  <c r="E75" i="64"/>
  <c r="CK48" i="38"/>
  <c r="BY81" i="38"/>
  <c r="H58" i="41"/>
  <c r="CE96" i="40"/>
  <c r="CD27" i="36"/>
  <c r="W48" i="37"/>
  <c r="AW17" i="36"/>
  <c r="J9" i="41"/>
  <c r="BP48" i="40"/>
  <c r="CS60" i="26"/>
  <c r="AY316" i="47"/>
  <c r="BQ79" i="39"/>
  <c r="BP102" i="40"/>
  <c r="CB65" i="25"/>
  <c r="BQ91" i="38"/>
  <c r="CM79" i="26"/>
  <c r="CX17" i="25"/>
  <c r="AZ49" i="38"/>
  <c r="CO30" i="38"/>
  <c r="CA102" i="36"/>
  <c r="BG98" i="47"/>
  <c r="BP103" i="26"/>
  <c r="CA13" i="39"/>
  <c r="BP12" i="39"/>
  <c r="CK49" i="37"/>
  <c r="AZ98" i="1"/>
  <c r="BE34" i="26"/>
  <c r="AM65" i="38"/>
  <c r="CB91" i="25"/>
  <c r="AP13" i="36"/>
  <c r="DE18" i="37"/>
  <c r="BT9" i="37"/>
  <c r="L24" i="25"/>
  <c r="AR50" i="41"/>
  <c r="H10" i="1"/>
  <c r="DB25" i="41"/>
  <c r="DE57" i="41"/>
  <c r="AW58" i="26"/>
  <c r="H59" i="60"/>
  <c r="DC66" i="39"/>
  <c r="S59" i="38"/>
  <c r="CB54" i="26"/>
  <c r="BH75" i="38"/>
  <c r="CV34" i="36"/>
  <c r="DB102" i="36"/>
  <c r="BU53" i="38"/>
  <c r="DA13" i="36"/>
  <c r="M67" i="41"/>
  <c r="AM66" i="26"/>
  <c r="CF45" i="36"/>
  <c r="CI67" i="37"/>
  <c r="X17" i="39"/>
  <c r="W17" i="25"/>
  <c r="CF67" i="39"/>
  <c r="AZ34" i="38"/>
  <c r="DD26" i="36"/>
  <c r="DC54" i="38"/>
  <c r="AB26" i="37"/>
  <c r="BT21" i="40"/>
  <c r="L92" i="64"/>
  <c r="AS30" i="37"/>
  <c r="CN75" i="36"/>
  <c r="CQ98" i="25"/>
  <c r="CE50" i="26"/>
  <c r="BX91" i="25"/>
  <c r="DA13" i="38"/>
  <c r="CO17" i="38"/>
  <c r="AN102" i="40"/>
  <c r="BI79" i="26"/>
  <c r="U60" i="41"/>
  <c r="U71" i="39"/>
  <c r="M21" i="40"/>
  <c r="P9" i="1"/>
  <c r="CB67" i="41"/>
  <c r="U89" i="39"/>
  <c r="E73" i="60"/>
  <c r="AD49" i="39"/>
  <c r="AI10" i="1"/>
  <c r="CC66" i="25"/>
  <c r="G59" i="60"/>
  <c r="Y65" i="39"/>
  <c r="AY91" i="39"/>
  <c r="AJ27" i="39"/>
  <c r="AF37" i="25"/>
  <c r="BW27" i="1"/>
  <c r="AE89" i="39"/>
  <c r="CT45" i="38"/>
  <c r="BV13" i="36"/>
  <c r="P26" i="39"/>
  <c r="DD96" i="37"/>
  <c r="AZ59" i="25"/>
  <c r="CZ98" i="40"/>
  <c r="BC91" i="39"/>
  <c r="AP9" i="39"/>
  <c r="BD27" i="1"/>
  <c r="T48" i="39"/>
  <c r="DF61" i="39"/>
  <c r="J26" i="41"/>
  <c r="AO24" i="36"/>
  <c r="BT30" i="38"/>
  <c r="BB21" i="36"/>
  <c r="AG30" i="36"/>
  <c r="AS67" i="25"/>
  <c r="CS53" i="25"/>
  <c r="AC37" i="37"/>
  <c r="BV17" i="37"/>
  <c r="AV25" i="41"/>
  <c r="AR61" i="38"/>
  <c r="CW27" i="36"/>
  <c r="CF81" i="25"/>
  <c r="H52" i="59"/>
  <c r="CC24" i="36"/>
  <c r="CU102" i="26"/>
  <c r="CT50" i="40"/>
  <c r="P60" i="26"/>
  <c r="DF18" i="1"/>
  <c r="BC98" i="1"/>
  <c r="AO21" i="41"/>
  <c r="DC12" i="38"/>
  <c r="CV25" i="26"/>
  <c r="CL79" i="1"/>
  <c r="CJ48" i="41"/>
  <c r="Y81" i="26"/>
  <c r="AH34" i="36"/>
  <c r="Y92" i="1"/>
  <c r="O18" i="39"/>
  <c r="J17" i="36"/>
  <c r="AJ58" i="37"/>
  <c r="CO58" i="36"/>
  <c r="DD65" i="26"/>
  <c r="N62" i="26"/>
  <c r="CK29" i="1"/>
  <c r="AF12" i="38"/>
  <c r="BD18" i="1"/>
  <c r="CB25" i="25"/>
  <c r="BC102" i="39"/>
  <c r="AU12" i="36"/>
  <c r="AS27" i="39"/>
  <c r="BY21" i="39"/>
  <c r="CN21" i="40"/>
  <c r="DC18" i="38"/>
  <c r="BT89" i="1"/>
  <c r="I45" i="1"/>
  <c r="AS10" i="37"/>
  <c r="CI48" i="36"/>
  <c r="BD50" i="38"/>
  <c r="CU25" i="41"/>
  <c r="CW18" i="1"/>
  <c r="AB54" i="39"/>
  <c r="DE65" i="1"/>
  <c r="O102" i="1"/>
  <c r="BA26" i="38"/>
  <c r="AJ24" i="37"/>
  <c r="AA45" i="1"/>
  <c r="CR17" i="37"/>
  <c r="AQ49" i="37"/>
  <c r="BB110" i="47"/>
  <c r="CV71" i="36"/>
  <c r="AY65" i="41"/>
  <c r="CK54" i="37"/>
  <c r="H24" i="25"/>
  <c r="AQ17" i="36"/>
  <c r="BY27" i="38"/>
  <c r="CI60" i="39"/>
  <c r="CD17" i="38"/>
  <c r="DA66" i="38"/>
  <c r="CC37" i="39"/>
  <c r="AD9" i="36"/>
  <c r="M51" i="59"/>
  <c r="AT29" i="25"/>
  <c r="CR103" i="26"/>
  <c r="O91" i="40"/>
  <c r="CG50" i="1"/>
  <c r="CG49" i="39"/>
  <c r="CE59" i="40"/>
  <c r="Z13" i="36"/>
  <c r="CN102" i="26"/>
  <c r="BU59" i="38"/>
  <c r="AB48" i="26"/>
  <c r="AV98" i="37"/>
  <c r="W71" i="36"/>
  <c r="BP37" i="36"/>
  <c r="BD61" i="25"/>
  <c r="AX102" i="40"/>
  <c r="AG9" i="36"/>
  <c r="CA102" i="41"/>
  <c r="AY12" i="39"/>
  <c r="AB18" i="36"/>
  <c r="V45" i="41"/>
  <c r="X29" i="37"/>
  <c r="I87" i="60"/>
  <c r="CV12" i="36"/>
  <c r="CJ50" i="26"/>
  <c r="CO13" i="36"/>
  <c r="I11" i="59"/>
  <c r="AD79" i="36"/>
  <c r="G60" i="41"/>
  <c r="M63" i="59"/>
  <c r="AE79" i="25"/>
  <c r="DE18" i="41"/>
  <c r="CO34" i="39"/>
  <c r="CB30" i="40"/>
  <c r="AY96" i="26"/>
  <c r="CJ102" i="39"/>
  <c r="AT89" i="41"/>
  <c r="Z24" i="25"/>
  <c r="CE45" i="38"/>
  <c r="CM12" i="1"/>
  <c r="CW59" i="36"/>
  <c r="AD98" i="26"/>
  <c r="L66" i="1"/>
  <c r="BS60" i="36"/>
  <c r="AG89" i="36"/>
  <c r="Z21" i="37"/>
  <c r="BC58" i="39"/>
  <c r="BQ10" i="26"/>
  <c r="P81" i="36"/>
  <c r="J18" i="38"/>
  <c r="X34" i="1"/>
  <c r="H59" i="59"/>
  <c r="DA98" i="41"/>
  <c r="H50" i="25"/>
  <c r="CV98" i="1"/>
  <c r="L59" i="38"/>
  <c r="AO12" i="36"/>
  <c r="BD75" i="25"/>
  <c r="CI34" i="41"/>
  <c r="BX17" i="38"/>
  <c r="CW21" i="39"/>
  <c r="CD61" i="1"/>
  <c r="BZ48" i="37"/>
  <c r="CY27" i="39"/>
  <c r="DE50" i="39"/>
  <c r="U25" i="39"/>
  <c r="CK81" i="1"/>
  <c r="CT27" i="36"/>
  <c r="BO60" i="37"/>
  <c r="BS34" i="39"/>
  <c r="L67" i="1"/>
  <c r="AE81" i="39"/>
  <c r="J25" i="26"/>
  <c r="L47" i="59"/>
  <c r="DE10" i="38"/>
  <c r="AZ123" i="47"/>
  <c r="CK61" i="40"/>
  <c r="CY30" i="37"/>
  <c r="AN66" i="37"/>
  <c r="N53" i="39"/>
  <c r="F67" i="46"/>
  <c r="DB58" i="39"/>
  <c r="CM34" i="37"/>
  <c r="CJ81" i="37"/>
  <c r="CG45" i="41"/>
  <c r="AB92" i="1"/>
  <c r="J91" i="39"/>
  <c r="CH17" i="25"/>
  <c r="AW48" i="41"/>
  <c r="AP65" i="37"/>
  <c r="AZ48" i="41"/>
  <c r="BE26" i="26"/>
  <c r="AX53" i="26"/>
  <c r="BW92" i="25"/>
  <c r="F61" i="60"/>
  <c r="AR102" i="38"/>
  <c r="AC91" i="26"/>
  <c r="CQ96" i="37"/>
  <c r="DB9" i="41"/>
  <c r="AE92" i="1"/>
  <c r="DB102" i="37"/>
  <c r="BT49" i="25"/>
  <c r="S13" i="40"/>
  <c r="CP27" i="1"/>
  <c r="BT59" i="37"/>
  <c r="AU54" i="38"/>
  <c r="T18" i="39"/>
  <c r="BW21" i="26"/>
  <c r="Z89" i="37"/>
  <c r="DC62" i="25"/>
  <c r="K37" i="41"/>
  <c r="CY67" i="25"/>
  <c r="Y25" i="37"/>
  <c r="L58" i="1"/>
  <c r="V34" i="36"/>
  <c r="BE98" i="47"/>
  <c r="Y89" i="40"/>
  <c r="AH89" i="41"/>
  <c r="AZ105" i="47"/>
  <c r="CH62" i="26"/>
  <c r="CP59" i="41"/>
  <c r="BP34" i="25"/>
  <c r="BV65" i="40"/>
  <c r="BV27" i="39"/>
  <c r="DD62" i="36"/>
  <c r="N62" i="39"/>
  <c r="BI13" i="39"/>
  <c r="X79" i="39"/>
  <c r="BD92" i="1"/>
  <c r="AQ98" i="41"/>
  <c r="BS61" i="36"/>
  <c r="AV45" i="36"/>
  <c r="Y49" i="41"/>
  <c r="BW49" i="26"/>
  <c r="BS17" i="38"/>
  <c r="AM26" i="38"/>
  <c r="CD9" i="40"/>
  <c r="BU62" i="41"/>
  <c r="AZ98" i="36"/>
  <c r="BB25" i="1"/>
  <c r="BA12" i="39"/>
  <c r="Z62" i="38"/>
  <c r="AB27" i="1"/>
  <c r="BX48" i="39"/>
  <c r="BR75" i="36"/>
  <c r="CA9" i="38"/>
  <c r="CJ53" i="25"/>
  <c r="AE45" i="25"/>
  <c r="CN67" i="40"/>
  <c r="CG12" i="1"/>
  <c r="AV54" i="40"/>
  <c r="BA75" i="26"/>
  <c r="AY18" i="1"/>
  <c r="BR61" i="1"/>
  <c r="CN34" i="36"/>
  <c r="CZ92" i="40"/>
  <c r="BB57" i="1"/>
  <c r="AF29" i="25"/>
  <c r="T96" i="26"/>
  <c r="BS79" i="38"/>
  <c r="BR96" i="36"/>
  <c r="BQ49" i="41"/>
  <c r="BU37" i="25"/>
  <c r="CF12" i="37"/>
  <c r="AC27" i="38"/>
  <c r="AM34" i="36"/>
  <c r="V65" i="1"/>
  <c r="CR98" i="25"/>
  <c r="AO9" i="41"/>
  <c r="Z61" i="1"/>
  <c r="BY92" i="25"/>
  <c r="BB98" i="36"/>
  <c r="CE102" i="41"/>
  <c r="G102" i="38"/>
  <c r="W91" i="41"/>
  <c r="Y60" i="37"/>
  <c r="U18" i="26"/>
  <c r="K102" i="37"/>
  <c r="DE27" i="40"/>
  <c r="CZ29" i="36"/>
  <c r="BR48" i="40"/>
  <c r="BC57" i="37"/>
  <c r="AZ24" i="41"/>
  <c r="CA12" i="40"/>
  <c r="CT75" i="41"/>
  <c r="CP34" i="39"/>
  <c r="AF61" i="26"/>
  <c r="DB71" i="40"/>
  <c r="BW25" i="38"/>
  <c r="BB79" i="40"/>
  <c r="AZ53" i="25"/>
  <c r="BS71" i="36"/>
  <c r="U37" i="39"/>
  <c r="CX60" i="40"/>
  <c r="AQ34" i="41"/>
  <c r="AO45" i="1"/>
  <c r="S89" i="36"/>
  <c r="I10" i="26"/>
  <c r="DD48" i="38"/>
  <c r="AP10" i="39"/>
  <c r="W67" i="41"/>
  <c r="U17" i="26"/>
  <c r="CI79" i="41"/>
  <c r="BZ10" i="37"/>
  <c r="BI98" i="26"/>
  <c r="DE17" i="40"/>
  <c r="AV49" i="1"/>
  <c r="CR71" i="36"/>
  <c r="Y59" i="39"/>
  <c r="DC81" i="41"/>
  <c r="K53" i="26"/>
  <c r="BB25" i="38"/>
  <c r="DE67" i="26"/>
  <c r="BC58" i="26"/>
  <c r="CE92" i="40"/>
  <c r="AQ59" i="25"/>
  <c r="N18" i="40"/>
  <c r="L26" i="36"/>
  <c r="BC102" i="36"/>
  <c r="AQ58" i="37"/>
  <c r="CR96" i="26"/>
  <c r="BV79" i="26"/>
  <c r="AS25" i="41"/>
  <c r="CW18" i="37"/>
  <c r="BE26" i="41"/>
  <c r="AV67" i="41"/>
  <c r="CY102" i="26"/>
  <c r="AM37" i="26"/>
  <c r="BI27" i="40"/>
  <c r="F68" i="64"/>
  <c r="CY67" i="38"/>
  <c r="BD311" i="47"/>
  <c r="J10" i="26"/>
  <c r="DB10" i="41"/>
  <c r="AP75" i="40"/>
  <c r="CG59" i="38"/>
  <c r="CC54" i="36"/>
  <c r="CC30" i="25"/>
  <c r="AS25" i="1"/>
  <c r="AP66" i="40"/>
  <c r="CU53" i="26"/>
  <c r="AS12" i="1"/>
  <c r="AQ45" i="1"/>
  <c r="S75" i="36"/>
  <c r="AO29" i="36"/>
  <c r="AA30" i="1"/>
  <c r="CK26" i="39"/>
  <c r="CK66" i="38"/>
  <c r="CC48" i="37"/>
  <c r="P92" i="36"/>
  <c r="AP79" i="37"/>
  <c r="CD67" i="36"/>
  <c r="BP54" i="26"/>
  <c r="U89" i="36"/>
  <c r="BY96" i="40"/>
  <c r="BU49" i="41"/>
  <c r="AW75" i="37"/>
  <c r="CN27" i="36"/>
  <c r="BH60" i="36"/>
  <c r="DF66" i="39"/>
  <c r="M92" i="40"/>
  <c r="N53" i="38"/>
  <c r="CN26" i="39"/>
  <c r="N25" i="36"/>
  <c r="AY123" i="47"/>
  <c r="Z60" i="36"/>
  <c r="BU17" i="40"/>
  <c r="CH49" i="1"/>
  <c r="BQ10" i="38"/>
  <c r="AY100" i="47"/>
  <c r="BX53" i="41"/>
  <c r="DE49" i="36"/>
  <c r="P18" i="59"/>
  <c r="BP17" i="40"/>
  <c r="AS79" i="40"/>
  <c r="BW49" i="38"/>
  <c r="W30" i="26"/>
  <c r="BC48" i="39"/>
  <c r="AX61" i="41"/>
  <c r="H10" i="38"/>
  <c r="P18" i="38"/>
  <c r="BU27" i="26"/>
  <c r="CS26" i="37"/>
  <c r="CC102" i="26"/>
  <c r="S49" i="25"/>
  <c r="CP25" i="25"/>
  <c r="BV12" i="25"/>
  <c r="DE49" i="26"/>
  <c r="BH12" i="38"/>
  <c r="CZ27" i="38"/>
  <c r="CH102" i="1"/>
  <c r="CU75" i="26"/>
  <c r="CX50" i="37"/>
  <c r="CU13" i="39"/>
  <c r="K54" i="41"/>
  <c r="BX49" i="26"/>
  <c r="AD26" i="40"/>
  <c r="CF26" i="26"/>
  <c r="AP48" i="40"/>
  <c r="AA21" i="1"/>
  <c r="BZ71" i="39"/>
  <c r="AD60" i="39"/>
  <c r="BS49" i="39"/>
  <c r="AB45" i="38"/>
  <c r="CM67" i="1"/>
  <c r="CU53" i="40"/>
  <c r="K10" i="26"/>
  <c r="DB61" i="41"/>
  <c r="V27" i="37"/>
  <c r="CA102" i="40"/>
  <c r="CF66" i="37"/>
  <c r="BZ37" i="40"/>
  <c r="DC61" i="25"/>
  <c r="CO13" i="1"/>
  <c r="BT24" i="38"/>
  <c r="AJ59" i="36"/>
  <c r="CX37" i="40"/>
  <c r="CI65" i="26"/>
  <c r="AB37" i="41"/>
  <c r="AJ92" i="1"/>
  <c r="CR17" i="39"/>
  <c r="CG98" i="40"/>
  <c r="BI50" i="39"/>
  <c r="I92" i="40"/>
  <c r="CC21" i="26"/>
  <c r="CJ18" i="26"/>
  <c r="AN71" i="36"/>
  <c r="M66" i="36"/>
  <c r="AR12" i="25"/>
  <c r="DC66" i="1"/>
  <c r="BB59" i="39"/>
  <c r="DE49" i="37"/>
  <c r="BI17" i="39"/>
  <c r="T45" i="38"/>
  <c r="BT57" i="26"/>
  <c r="CZ57" i="1"/>
  <c r="CF91" i="38"/>
  <c r="CL89" i="38"/>
  <c r="N17" i="26"/>
  <c r="DB60" i="41"/>
  <c r="CX48" i="41"/>
  <c r="I72" i="60"/>
  <c r="CE37" i="39"/>
  <c r="CS67" i="37"/>
  <c r="X12" i="36"/>
  <c r="AA102" i="26"/>
  <c r="S34" i="1"/>
  <c r="CN60" i="37"/>
  <c r="BQ25" i="38"/>
  <c r="DC92" i="1"/>
  <c r="DC96" i="1"/>
  <c r="AD58" i="37"/>
  <c r="BW34" i="25"/>
  <c r="O10" i="37"/>
  <c r="BU71" i="41"/>
  <c r="T53" i="38"/>
  <c r="BD9" i="1"/>
  <c r="CD48" i="40"/>
  <c r="AS54" i="1"/>
  <c r="DE92" i="25"/>
  <c r="CH45" i="41"/>
  <c r="CJ53" i="41"/>
  <c r="X98" i="26"/>
  <c r="BA26" i="25"/>
  <c r="Z17" i="36"/>
  <c r="AN54" i="26"/>
  <c r="BB89" i="26"/>
  <c r="U24" i="37"/>
  <c r="BT61" i="39"/>
  <c r="T18" i="26"/>
  <c r="S91" i="41"/>
  <c r="CS91" i="25"/>
  <c r="AS27" i="26"/>
  <c r="V71" i="40"/>
  <c r="AI24" i="36"/>
  <c r="AA81" i="38"/>
  <c r="AQ89" i="25"/>
  <c r="N59" i="25"/>
  <c r="BO12" i="25"/>
  <c r="CZ57" i="41"/>
  <c r="CR66" i="38"/>
  <c r="BV59" i="36"/>
  <c r="BO13" i="39"/>
  <c r="AP79" i="38"/>
  <c r="L34" i="38"/>
  <c r="AD61" i="37"/>
  <c r="CZ9" i="1"/>
  <c r="DC13" i="37"/>
  <c r="AE71" i="38"/>
  <c r="AI59" i="39"/>
  <c r="AW37" i="41"/>
  <c r="BU54" i="37"/>
  <c r="AR37" i="25"/>
  <c r="BW53" i="41"/>
  <c r="DC34" i="25"/>
  <c r="AI58" i="41"/>
  <c r="CU79" i="40"/>
  <c r="CF91" i="37"/>
  <c r="AZ98" i="41"/>
  <c r="BR12" i="1"/>
  <c r="CA59" i="39"/>
  <c r="AR60" i="1"/>
  <c r="AO34" i="39"/>
  <c r="AA30" i="36"/>
  <c r="DB48" i="38"/>
  <c r="CA24" i="37"/>
  <c r="CH62" i="36"/>
  <c r="CX29" i="37"/>
  <c r="AI21" i="25"/>
  <c r="AJ98" i="26"/>
  <c r="CR53" i="26"/>
  <c r="Y24" i="39"/>
  <c r="AS26" i="1"/>
  <c r="CY17" i="25"/>
  <c r="DC92" i="41"/>
  <c r="AR65" i="39"/>
  <c r="DC26" i="1"/>
  <c r="AC48" i="39"/>
  <c r="CY60" i="1"/>
  <c r="CR65" i="25"/>
  <c r="CW26" i="39"/>
  <c r="CZ18" i="1"/>
  <c r="BO26" i="37"/>
  <c r="N48" i="1"/>
  <c r="AH29" i="1"/>
  <c r="BU79" i="41"/>
  <c r="AQ53" i="41"/>
  <c r="CR103" i="1"/>
  <c r="CC60" i="38"/>
  <c r="H49" i="40"/>
  <c r="CI18" i="25"/>
  <c r="CF57" i="39"/>
  <c r="AM89" i="38"/>
  <c r="CP29" i="41"/>
  <c r="CL96" i="40"/>
  <c r="BQ29" i="26"/>
  <c r="P62" i="38"/>
  <c r="DF75" i="36"/>
  <c r="AO48" i="25"/>
  <c r="BP18" i="38"/>
  <c r="V18" i="38"/>
  <c r="L75" i="39"/>
  <c r="AH30" i="37"/>
  <c r="BX79" i="26"/>
  <c r="AY60" i="37"/>
  <c r="X98" i="37"/>
  <c r="BZ103" i="37"/>
  <c r="X61" i="40"/>
  <c r="AH75" i="41"/>
  <c r="CA24" i="25"/>
  <c r="AV59" i="37"/>
  <c r="CK30" i="36"/>
  <c r="U34" i="26"/>
  <c r="CA61" i="40"/>
  <c r="BT67" i="40"/>
  <c r="BA91" i="26"/>
  <c r="CZ18" i="38"/>
  <c r="CG89" i="38"/>
  <c r="AU57" i="41"/>
  <c r="CS13" i="25"/>
  <c r="BV34" i="36"/>
  <c r="CJ59" i="26"/>
  <c r="M45" i="41"/>
  <c r="M13" i="37"/>
  <c r="X67" i="38"/>
  <c r="AY21" i="25"/>
  <c r="AC79" i="37"/>
  <c r="BB24" i="1"/>
  <c r="N66" i="46"/>
  <c r="BP34" i="39"/>
  <c r="CB57" i="38"/>
  <c r="BT71" i="1"/>
  <c r="CG79" i="37"/>
  <c r="P33" i="59"/>
  <c r="V75" i="38"/>
  <c r="AQ54" i="25"/>
  <c r="CA96" i="26"/>
  <c r="DF98" i="39"/>
  <c r="CG59" i="25"/>
  <c r="CD49" i="36"/>
  <c r="AV59" i="1"/>
  <c r="BA48" i="25"/>
  <c r="CG59" i="41"/>
  <c r="U45" i="36"/>
  <c r="CF37" i="1"/>
  <c r="AH53" i="26"/>
  <c r="BD9" i="40"/>
  <c r="AC89" i="41"/>
  <c r="CK57" i="25"/>
  <c r="DB58" i="41"/>
  <c r="BV27" i="26"/>
  <c r="P34" i="1"/>
  <c r="CE49" i="39"/>
  <c r="AM13" i="26"/>
  <c r="BW24" i="1"/>
  <c r="CN66" i="36"/>
  <c r="AH17" i="40"/>
  <c r="V61" i="40"/>
  <c r="BS71" i="37"/>
  <c r="L12" i="38"/>
  <c r="BI17" i="36"/>
  <c r="BC24" i="38"/>
  <c r="AN79" i="40"/>
  <c r="U79" i="25"/>
  <c r="BT10" i="39"/>
  <c r="BY57" i="38"/>
  <c r="AC13" i="39"/>
  <c r="AJ24" i="1"/>
  <c r="CG29" i="41"/>
  <c r="AJ26" i="41"/>
  <c r="CS17" i="26"/>
  <c r="M92" i="26"/>
  <c r="DC48" i="36"/>
  <c r="Y67" i="36"/>
  <c r="BZ27" i="37"/>
  <c r="U61" i="25"/>
  <c r="DE29" i="38"/>
  <c r="AG54" i="40"/>
  <c r="CY62" i="41"/>
  <c r="AM21" i="41"/>
  <c r="BE96" i="1"/>
  <c r="DD45" i="39"/>
  <c r="I29" i="36"/>
  <c r="AX60" i="39"/>
  <c r="BW12" i="39"/>
  <c r="BA49" i="25"/>
  <c r="AN48" i="36"/>
  <c r="U60" i="25"/>
  <c r="K34" i="40"/>
  <c r="AY10" i="38"/>
  <c r="BC49" i="37"/>
  <c r="K96" i="26"/>
  <c r="AH91" i="26"/>
  <c r="BS60" i="26"/>
  <c r="AC48" i="36"/>
  <c r="AR13" i="37"/>
  <c r="AW75" i="40"/>
  <c r="CC96" i="1"/>
  <c r="CO103" i="1"/>
  <c r="CU18" i="41"/>
  <c r="M92" i="1"/>
  <c r="BZ37" i="38"/>
  <c r="M71" i="37"/>
  <c r="AA59" i="36"/>
  <c r="AV71" i="1"/>
  <c r="CR66" i="25"/>
  <c r="CM54" i="38"/>
  <c r="G57" i="38"/>
  <c r="CU26" i="41"/>
  <c r="Z71" i="39"/>
  <c r="I27" i="40"/>
  <c r="CG49" i="26"/>
  <c r="BS49" i="40"/>
  <c r="AP58" i="40"/>
  <c r="BV13" i="25"/>
  <c r="DB89" i="26"/>
  <c r="I92" i="1"/>
  <c r="DA89" i="26"/>
  <c r="CR26" i="25"/>
  <c r="CQ67" i="37"/>
  <c r="BV29" i="40"/>
  <c r="BE89" i="39"/>
  <c r="BX98" i="41"/>
  <c r="G65" i="1"/>
  <c r="N50" i="36"/>
  <c r="CA27" i="37"/>
  <c r="BU96" i="36"/>
  <c r="AF49" i="25"/>
  <c r="AQ66" i="36"/>
  <c r="CU58" i="25"/>
  <c r="AN21" i="26"/>
  <c r="BT65" i="37"/>
  <c r="AS61" i="36"/>
  <c r="BQ12" i="41"/>
  <c r="BV13" i="40"/>
  <c r="AJ12" i="41"/>
  <c r="AG79" i="40"/>
  <c r="BS67" i="40"/>
  <c r="BH10" i="38"/>
  <c r="AZ9" i="40"/>
  <c r="U61" i="38"/>
  <c r="DF10" i="39"/>
  <c r="CC67" i="40"/>
  <c r="AD9" i="41"/>
  <c r="AV81" i="40"/>
  <c r="CK60" i="26"/>
  <c r="Y25" i="38"/>
  <c r="CE81" i="26"/>
  <c r="G48" i="46"/>
  <c r="CJ62" i="37"/>
  <c r="BR66" i="39"/>
  <c r="BO21" i="37"/>
  <c r="CG30" i="1"/>
  <c r="AD61" i="1"/>
  <c r="CJ79" i="1"/>
  <c r="AB96" i="26"/>
  <c r="N17" i="36"/>
  <c r="AR10" i="41"/>
  <c r="CX62" i="37"/>
  <c r="CJ92" i="40"/>
  <c r="CN49" i="1"/>
  <c r="BE29" i="37"/>
  <c r="CN98" i="40"/>
  <c r="J81" i="36"/>
  <c r="BX71" i="40"/>
  <c r="AR24" i="39"/>
  <c r="BZ25" i="37"/>
  <c r="BA24" i="40"/>
  <c r="K24" i="60"/>
  <c r="CX57" i="26"/>
  <c r="AR54" i="39"/>
  <c r="AU49" i="38"/>
  <c r="AR21" i="25"/>
  <c r="DE89" i="36"/>
  <c r="CN37" i="26"/>
  <c r="M48" i="40"/>
  <c r="AT65" i="41"/>
  <c r="CX81" i="41"/>
  <c r="CZ12" i="36"/>
  <c r="AB61" i="25"/>
  <c r="M85" i="60"/>
  <c r="AD57" i="25"/>
  <c r="N102" i="41"/>
  <c r="H71" i="1"/>
  <c r="CM26" i="38"/>
  <c r="CM91" i="40"/>
  <c r="V13" i="26"/>
  <c r="CS65" i="37"/>
  <c r="AW61" i="39"/>
  <c r="BZ37" i="25"/>
  <c r="AW79" i="37"/>
  <c r="BR67" i="40"/>
  <c r="CI57" i="39"/>
  <c r="BE37" i="38"/>
  <c r="E8" i="60"/>
  <c r="AD29" i="26"/>
  <c r="AD37" i="26"/>
  <c r="BS30" i="41"/>
  <c r="BT30" i="25"/>
  <c r="CE59" i="38"/>
  <c r="V26" i="38"/>
  <c r="BB60" i="37"/>
  <c r="CV75" i="26"/>
  <c r="AM102" i="36"/>
  <c r="H96" i="37"/>
  <c r="AN24" i="37"/>
  <c r="AG102" i="25"/>
  <c r="AZ54" i="25"/>
  <c r="BA21" i="37"/>
  <c r="W29" i="25"/>
  <c r="CJ13" i="39"/>
  <c r="DF96" i="25"/>
  <c r="J12" i="39"/>
  <c r="AR96" i="1"/>
  <c r="BD49" i="1"/>
  <c r="H29" i="40"/>
  <c r="CZ30" i="1"/>
  <c r="BW24" i="36"/>
  <c r="L75" i="40"/>
  <c r="CI79" i="38"/>
  <c r="P91" i="37"/>
  <c r="CD48" i="38"/>
  <c r="AJ61" i="26"/>
  <c r="CP58" i="38"/>
  <c r="AD59" i="1"/>
  <c r="CA50" i="1"/>
  <c r="AY49" i="25"/>
  <c r="AZ48" i="36"/>
  <c r="AV29" i="36"/>
  <c r="AM49" i="40"/>
  <c r="AB98" i="37"/>
  <c r="G81" i="60"/>
  <c r="BP48" i="37"/>
  <c r="BE71" i="38"/>
  <c r="AO66" i="25"/>
  <c r="AE81" i="40"/>
  <c r="CE29" i="1"/>
  <c r="BO13" i="40"/>
  <c r="DC67" i="38"/>
  <c r="AI61" i="1"/>
  <c r="AZ96" i="25"/>
  <c r="BQ12" i="1"/>
  <c r="BV30" i="25"/>
  <c r="AP75" i="26"/>
  <c r="M92" i="37"/>
  <c r="CE67" i="40"/>
  <c r="S25" i="36"/>
  <c r="AH45" i="26"/>
  <c r="CO67" i="40"/>
  <c r="BZ12" i="41"/>
  <c r="J75" i="38"/>
  <c r="CQ30" i="40"/>
  <c r="CX75" i="41"/>
  <c r="CC49" i="39"/>
  <c r="CG60" i="39"/>
  <c r="X29" i="1"/>
  <c r="H49" i="59"/>
  <c r="BT25" i="41"/>
  <c r="BE48" i="38"/>
  <c r="AJ62" i="1"/>
  <c r="BT60" i="39"/>
  <c r="Z53" i="39"/>
  <c r="AE12" i="40"/>
  <c r="AJ53" i="38"/>
  <c r="BA59" i="38"/>
  <c r="BA62" i="38"/>
  <c r="AU10" i="26"/>
  <c r="CB59" i="37"/>
  <c r="DB65" i="36"/>
  <c r="DE50" i="40"/>
  <c r="BB98" i="47"/>
  <c r="F66" i="46"/>
  <c r="BC102" i="37"/>
  <c r="W13" i="25"/>
  <c r="CU9" i="26"/>
  <c r="BX103" i="38"/>
  <c r="X60" i="36"/>
  <c r="CN26" i="1"/>
  <c r="AM24" i="26"/>
  <c r="CF79" i="38"/>
  <c r="V34" i="37"/>
  <c r="CX98" i="1"/>
  <c r="H45" i="26"/>
  <c r="AD37" i="39"/>
  <c r="BQ60" i="37"/>
  <c r="G59" i="25"/>
  <c r="AZ102" i="1"/>
  <c r="AN29" i="39"/>
  <c r="CX30" i="37"/>
  <c r="AY89" i="1"/>
  <c r="AH89" i="36"/>
  <c r="AP37" i="1"/>
  <c r="P58" i="36"/>
  <c r="BD130" i="47"/>
  <c r="BO27" i="25"/>
  <c r="BE49" i="26"/>
  <c r="CG17" i="25"/>
  <c r="BY30" i="36"/>
  <c r="CT30" i="37"/>
  <c r="CE81" i="39"/>
  <c r="CT59" i="37"/>
  <c r="CW98" i="37"/>
  <c r="AC21" i="1"/>
  <c r="BP25" i="36"/>
  <c r="CR92" i="25"/>
  <c r="AJ60" i="39"/>
  <c r="BE127" i="47"/>
  <c r="CF25" i="41"/>
  <c r="CZ49" i="41"/>
  <c r="CD75" i="38"/>
  <c r="T10" i="41"/>
  <c r="BT91" i="40"/>
  <c r="CR75" i="37"/>
  <c r="CT58" i="39"/>
  <c r="BZ59" i="26"/>
  <c r="AB30" i="39"/>
  <c r="K6" i="59"/>
  <c r="L62" i="36"/>
  <c r="P81" i="37"/>
  <c r="CT24" i="38"/>
  <c r="BV24" i="39"/>
  <c r="CS37" i="25"/>
  <c r="AQ21" i="41"/>
  <c r="CX49" i="26"/>
  <c r="X29" i="36"/>
  <c r="CM54" i="26"/>
  <c r="CP92" i="39"/>
  <c r="AF50" i="36"/>
  <c r="AY26" i="38"/>
  <c r="AJ13" i="36"/>
  <c r="Z12" i="25"/>
  <c r="BD104" i="47"/>
  <c r="CM75" i="37"/>
  <c r="DA29" i="1"/>
  <c r="Z9" i="1"/>
  <c r="BC59" i="40"/>
  <c r="I73" i="60"/>
  <c r="AO58" i="41"/>
  <c r="BA54" i="39"/>
  <c r="CV30" i="38"/>
  <c r="BO50" i="40"/>
  <c r="AB67" i="25"/>
  <c r="BX18" i="36"/>
  <c r="AW26" i="39"/>
  <c r="M33" i="60"/>
  <c r="CP102" i="39"/>
  <c r="BZ45" i="39"/>
  <c r="BT75" i="36"/>
  <c r="BI12" i="39"/>
  <c r="CX67" i="1"/>
  <c r="AX66" i="39"/>
  <c r="AF12" i="1"/>
  <c r="BX24" i="37"/>
  <c r="CA102" i="1"/>
  <c r="AZ21" i="26"/>
  <c r="J18" i="40"/>
  <c r="CK79" i="36"/>
  <c r="BO17" i="38"/>
  <c r="CZ60" i="36"/>
  <c r="AN58" i="39"/>
  <c r="BB53" i="37"/>
  <c r="AA27" i="26"/>
  <c r="M98" i="1"/>
  <c r="L53" i="41"/>
  <c r="BQ13" i="1"/>
  <c r="N79" i="37"/>
  <c r="AH18" i="26"/>
  <c r="BG122" i="47"/>
  <c r="BB50" i="26"/>
  <c r="AZ18" i="25"/>
  <c r="BZ62" i="36"/>
  <c r="Y13" i="37"/>
  <c r="AM65" i="1"/>
  <c r="AG53" i="36"/>
  <c r="N48" i="26"/>
  <c r="AH30" i="1"/>
  <c r="BU12" i="26"/>
  <c r="BE98" i="40"/>
  <c r="CG91" i="26"/>
  <c r="I65" i="1"/>
  <c r="BE26" i="40"/>
  <c r="CD18" i="25"/>
  <c r="BS13" i="1"/>
  <c r="DB67" i="37"/>
  <c r="K62" i="38"/>
  <c r="CA29" i="39"/>
  <c r="L96" i="25"/>
  <c r="CZ13" i="41"/>
  <c r="CP62" i="41"/>
  <c r="AH12" i="39"/>
  <c r="DD25" i="41"/>
  <c r="CJ17" i="39"/>
  <c r="H18" i="46"/>
  <c r="K50" i="39"/>
  <c r="J50" i="40"/>
  <c r="CL89" i="25"/>
  <c r="CF102" i="41"/>
  <c r="M56" i="60"/>
  <c r="CF102" i="40"/>
  <c r="AV18" i="1"/>
  <c r="G65" i="36"/>
  <c r="BW58" i="1"/>
  <c r="AN75" i="41"/>
  <c r="BB29" i="26"/>
  <c r="DC45" i="25"/>
  <c r="BE18" i="1"/>
  <c r="AF66" i="39"/>
  <c r="BA37" i="26"/>
  <c r="AH49" i="41"/>
  <c r="AT66" i="37"/>
  <c r="AV17" i="40"/>
  <c r="BP13" i="37"/>
  <c r="AO96" i="38"/>
  <c r="AF53" i="25"/>
  <c r="CD18" i="38"/>
  <c r="BX26" i="41"/>
  <c r="P66" i="39"/>
  <c r="AN75" i="38"/>
  <c r="V58" i="41"/>
  <c r="CY29" i="38"/>
  <c r="U54" i="39"/>
  <c r="CJ59" i="38"/>
  <c r="BE101" i="47"/>
  <c r="AM24" i="40"/>
  <c r="U92" i="41"/>
  <c r="AR49" i="25"/>
  <c r="BC12" i="26"/>
  <c r="AP102" i="41"/>
  <c r="BO21" i="25"/>
  <c r="BU96" i="38"/>
  <c r="CN34" i="25"/>
  <c r="Z18" i="1"/>
  <c r="BI66" i="25"/>
  <c r="L9" i="1"/>
  <c r="AV25" i="25"/>
  <c r="BC66" i="25"/>
  <c r="BB66" i="26"/>
  <c r="AW71" i="39"/>
  <c r="CW57" i="38"/>
  <c r="AW25" i="36"/>
  <c r="DC45" i="40"/>
  <c r="J12" i="40"/>
  <c r="S21" i="1"/>
  <c r="AA92" i="36"/>
  <c r="CQ45" i="25"/>
  <c r="P89" i="38"/>
  <c r="AC13" i="1"/>
  <c r="AX25" i="38"/>
  <c r="O71" i="41"/>
  <c r="BE57" i="26"/>
  <c r="DD29" i="39"/>
  <c r="AI24" i="41"/>
  <c r="J70" i="60"/>
  <c r="BZ53" i="26"/>
  <c r="CY66" i="26"/>
  <c r="CD9" i="38"/>
  <c r="AA34" i="1"/>
  <c r="BA66" i="37"/>
  <c r="CF53" i="25"/>
  <c r="BS12" i="36"/>
  <c r="CF29" i="26"/>
  <c r="CN58" i="39"/>
  <c r="CC102" i="37"/>
  <c r="Y62" i="1"/>
  <c r="BA13" i="38"/>
  <c r="AP54" i="40"/>
  <c r="AM21" i="40"/>
  <c r="L85" i="60"/>
  <c r="BE108" i="47"/>
  <c r="BR58" i="39"/>
  <c r="W67" i="39"/>
  <c r="CR26" i="40"/>
  <c r="K71" i="41"/>
  <c r="AW98" i="38"/>
  <c r="AO53" i="1"/>
  <c r="J27" i="26"/>
  <c r="CD81" i="39"/>
  <c r="Y37" i="25"/>
  <c r="H51" i="59"/>
  <c r="AP12" i="37"/>
  <c r="I58" i="41"/>
  <c r="CP18" i="38"/>
  <c r="BZ61" i="38"/>
  <c r="J61" i="26"/>
  <c r="BU26" i="38"/>
  <c r="K91" i="64"/>
  <c r="BD102" i="47"/>
  <c r="CB18" i="37"/>
  <c r="BR49" i="40"/>
  <c r="AG30" i="39"/>
  <c r="BY61" i="36"/>
  <c r="BE89" i="41"/>
  <c r="AZ98" i="40"/>
  <c r="DA49" i="36"/>
  <c r="CQ103" i="41"/>
  <c r="BU60" i="40"/>
  <c r="CC75" i="39"/>
  <c r="CL71" i="40"/>
  <c r="BF127" i="47"/>
  <c r="AS12" i="26"/>
  <c r="BY57" i="36"/>
  <c r="H26" i="36"/>
  <c r="W13" i="37"/>
  <c r="BQ48" i="1"/>
  <c r="AN91" i="1"/>
  <c r="BF130" i="47"/>
  <c r="AS53" i="25"/>
  <c r="CI92" i="41"/>
  <c r="AT102" i="37"/>
  <c r="DD24" i="37"/>
  <c r="BV61" i="40"/>
  <c r="DD26" i="39"/>
  <c r="DB17" i="26"/>
  <c r="AV34" i="37"/>
  <c r="AN61" i="26"/>
  <c r="CF91" i="39"/>
  <c r="AS91" i="40"/>
  <c r="BQ59" i="38"/>
  <c r="AU10" i="41"/>
  <c r="AR65" i="1"/>
  <c r="T66" i="41"/>
  <c r="AG91" i="36"/>
  <c r="DE91" i="38"/>
  <c r="K9" i="26"/>
  <c r="CC57" i="39"/>
  <c r="BZ92" i="38"/>
  <c r="H10" i="25"/>
  <c r="AY79" i="40"/>
  <c r="AG29" i="37"/>
  <c r="DD58" i="41"/>
  <c r="BU12" i="25"/>
  <c r="CA21" i="40"/>
  <c r="CB57" i="1"/>
  <c r="CS25" i="25"/>
  <c r="DD67" i="38"/>
  <c r="T61" i="25"/>
  <c r="AG34" i="26"/>
  <c r="BX66" i="36"/>
  <c r="W71" i="39"/>
  <c r="BX54" i="40"/>
  <c r="BA13" i="39"/>
  <c r="AS54" i="36"/>
  <c r="CT91" i="37"/>
  <c r="T49" i="25"/>
  <c r="AN24" i="26"/>
  <c r="P67" i="26"/>
  <c r="AE62" i="25"/>
  <c r="BW17" i="40"/>
  <c r="K13" i="64"/>
  <c r="AU81" i="26"/>
  <c r="BP61" i="40"/>
  <c r="BW98" i="39"/>
  <c r="CZ67" i="26"/>
  <c r="U29" i="38"/>
  <c r="L9" i="25"/>
  <c r="CJ29" i="40"/>
  <c r="CM30" i="37"/>
  <c r="CM58" i="36"/>
  <c r="BO12" i="26"/>
  <c r="CX25" i="26"/>
  <c r="CG98" i="1"/>
  <c r="I21" i="38"/>
  <c r="CU61" i="37"/>
  <c r="AT26" i="41"/>
  <c r="AV24" i="1"/>
  <c r="AB62" i="26"/>
  <c r="BO34" i="38"/>
  <c r="CY91" i="36"/>
  <c r="CQ66" i="36"/>
  <c r="CB27" i="37"/>
  <c r="AP53" i="25"/>
  <c r="CR102" i="41"/>
  <c r="AW49" i="26"/>
  <c r="AE50" i="36"/>
  <c r="G96" i="37"/>
  <c r="CZ26" i="38"/>
  <c r="CS62" i="1"/>
  <c r="DB102" i="39"/>
  <c r="BU60" i="37"/>
  <c r="CB103" i="25"/>
  <c r="CK81" i="25"/>
  <c r="CZ27" i="41"/>
  <c r="BO71" i="37"/>
  <c r="BS92" i="1"/>
  <c r="AM45" i="36"/>
  <c r="DD59" i="26"/>
  <c r="N21" i="39"/>
  <c r="BE102" i="25"/>
  <c r="CZ62" i="25"/>
  <c r="DA53" i="25"/>
  <c r="AO21" i="39"/>
  <c r="U62" i="41"/>
  <c r="CE61" i="41"/>
  <c r="BE53" i="26"/>
  <c r="AO98" i="38"/>
  <c r="DE17" i="1"/>
  <c r="CL79" i="26"/>
  <c r="CU21" i="37"/>
  <c r="BP62" i="37"/>
  <c r="BU18" i="25"/>
  <c r="CY59" i="37"/>
  <c r="AX54" i="1"/>
  <c r="CP59" i="38"/>
  <c r="K22" i="60"/>
  <c r="BV59" i="1"/>
  <c r="DF30" i="40"/>
  <c r="BY37" i="41"/>
  <c r="CU89" i="41"/>
  <c r="BD21" i="36"/>
  <c r="AG9" i="39"/>
  <c r="BW79" i="38"/>
  <c r="DD27" i="36"/>
  <c r="CF12" i="38"/>
  <c r="BI60" i="38"/>
  <c r="AN102" i="26"/>
  <c r="BB66" i="40"/>
  <c r="BC65" i="36"/>
  <c r="BW10" i="26"/>
  <c r="BT75" i="41"/>
  <c r="AO53" i="26"/>
  <c r="Z57" i="26"/>
  <c r="G86" i="64"/>
  <c r="BP26" i="26"/>
  <c r="CB66" i="25"/>
  <c r="CQ49" i="40"/>
  <c r="H59" i="36"/>
  <c r="AE45" i="26"/>
  <c r="CM17" i="26"/>
  <c r="U13" i="38"/>
  <c r="AE75" i="39"/>
  <c r="BB103" i="47"/>
  <c r="O26" i="37"/>
  <c r="L26" i="46"/>
  <c r="BW75" i="41"/>
  <c r="CL91" i="41"/>
  <c r="P21" i="36"/>
  <c r="P21" i="37"/>
  <c r="BA75" i="36"/>
  <c r="BC54" i="36"/>
  <c r="H44" i="59"/>
  <c r="BU102" i="40"/>
  <c r="CI25" i="38"/>
  <c r="BW65" i="41"/>
  <c r="CF27" i="36"/>
  <c r="BS18" i="36"/>
  <c r="BC310" i="47"/>
  <c r="CL50" i="41"/>
  <c r="K73" i="64"/>
  <c r="CF29" i="36"/>
  <c r="CT37" i="1"/>
  <c r="CZ65" i="39"/>
  <c r="BB12" i="41"/>
  <c r="CJ21" i="1"/>
  <c r="DD29" i="38"/>
  <c r="N18" i="37"/>
  <c r="CX57" i="25"/>
  <c r="CD29" i="25"/>
  <c r="AO25" i="41"/>
  <c r="BP34" i="41"/>
  <c r="AI79" i="26"/>
  <c r="BC49" i="26"/>
  <c r="CL26" i="37"/>
  <c r="K70" i="60"/>
  <c r="O81" i="41"/>
  <c r="AG25" i="25"/>
  <c r="CB25" i="1"/>
  <c r="CG59" i="37"/>
  <c r="CX45" i="39"/>
  <c r="BP50" i="25"/>
  <c r="CX91" i="37"/>
  <c r="CM50" i="25"/>
  <c r="AZ79" i="38"/>
  <c r="CE75" i="1"/>
  <c r="BC13" i="1"/>
  <c r="CV54" i="40"/>
  <c r="H50" i="38"/>
  <c r="CR59" i="26"/>
  <c r="M24" i="1"/>
  <c r="CK18" i="41"/>
  <c r="L66" i="46"/>
  <c r="AM13" i="39"/>
  <c r="BD71" i="38"/>
  <c r="CE59" i="1"/>
  <c r="CZ89" i="1"/>
  <c r="CD92" i="26"/>
  <c r="V59" i="25"/>
  <c r="AF21" i="25"/>
  <c r="CN91" i="36"/>
  <c r="AH48" i="36"/>
  <c r="AA98" i="36"/>
  <c r="I98" i="25"/>
  <c r="W13" i="40"/>
  <c r="AR18" i="26"/>
  <c r="H48" i="46"/>
  <c r="BX102" i="41"/>
  <c r="CP91" i="41"/>
  <c r="CJ49" i="1"/>
  <c r="BZ45" i="40"/>
  <c r="DD13" i="25"/>
  <c r="O27" i="37"/>
  <c r="BS17" i="1"/>
  <c r="I45" i="59"/>
  <c r="CE98" i="41"/>
  <c r="BC53" i="38"/>
  <c r="Y25" i="39"/>
  <c r="CW98" i="38"/>
  <c r="AT66" i="26"/>
  <c r="CS89" i="37"/>
  <c r="K6" i="60"/>
  <c r="AM60" i="40"/>
  <c r="U75" i="1"/>
  <c r="U10" i="37"/>
  <c r="AT67" i="41"/>
  <c r="CY29" i="25"/>
  <c r="CH98" i="39"/>
  <c r="AP57" i="25"/>
  <c r="CY18" i="38"/>
  <c r="CP53" i="26"/>
  <c r="BW24" i="37"/>
  <c r="P29" i="40"/>
  <c r="CB60" i="37"/>
  <c r="DE54" i="1"/>
  <c r="BX91" i="26"/>
  <c r="BP37" i="41"/>
  <c r="H18" i="37"/>
  <c r="DA92" i="40"/>
  <c r="G57" i="1"/>
  <c r="S49" i="26"/>
  <c r="AN79" i="36"/>
  <c r="DF103" i="40"/>
  <c r="I48" i="38"/>
  <c r="AW65" i="1"/>
  <c r="AP58" i="36"/>
  <c r="L75" i="36"/>
  <c r="AE66" i="1"/>
  <c r="S50" i="25"/>
  <c r="CH27" i="25"/>
  <c r="BQ62" i="40"/>
  <c r="AW53" i="41"/>
  <c r="M54" i="25"/>
  <c r="BT29" i="25"/>
  <c r="N59" i="37"/>
  <c r="G18" i="40"/>
  <c r="DE60" i="41"/>
  <c r="AH81" i="26"/>
  <c r="CQ17" i="40"/>
  <c r="CN30" i="26"/>
  <c r="T25" i="25"/>
  <c r="DB26" i="25"/>
  <c r="S89" i="25"/>
  <c r="BO67" i="1"/>
  <c r="AX57" i="25"/>
  <c r="DA81" i="40"/>
  <c r="AP17" i="1"/>
  <c r="CJ92" i="25"/>
  <c r="AZ316" i="47"/>
  <c r="BV62" i="25"/>
  <c r="BY45" i="38"/>
  <c r="BP37" i="25"/>
  <c r="CE24" i="26"/>
  <c r="CK37" i="36"/>
  <c r="AO96" i="25"/>
  <c r="CP92" i="36"/>
  <c r="DB81" i="36"/>
  <c r="CA75" i="37"/>
  <c r="W58" i="40"/>
  <c r="BP75" i="38"/>
  <c r="BW71" i="41"/>
  <c r="CX67" i="36"/>
  <c r="G64" i="64"/>
  <c r="AQ96" i="25"/>
  <c r="J48" i="59"/>
  <c r="AM50" i="1"/>
  <c r="CH61" i="40"/>
  <c r="CR9" i="39"/>
  <c r="CJ98" i="39"/>
  <c r="AY66" i="41"/>
  <c r="CF66" i="36"/>
  <c r="AV58" i="39"/>
  <c r="AO89" i="39"/>
  <c r="E53" i="64"/>
  <c r="AF65" i="40"/>
  <c r="BS92" i="39"/>
  <c r="AX92" i="40"/>
  <c r="CT98" i="1"/>
  <c r="BD98" i="40"/>
  <c r="BI13" i="36"/>
  <c r="AO37" i="26"/>
  <c r="U30" i="38"/>
  <c r="V30" i="39"/>
  <c r="M48" i="46"/>
  <c r="CF24" i="41"/>
  <c r="BU65" i="38"/>
  <c r="T12" i="36"/>
  <c r="AS71" i="26"/>
  <c r="AP91" i="39"/>
  <c r="BZ75" i="40"/>
  <c r="BE91" i="40"/>
  <c r="J92" i="64"/>
  <c r="CD60" i="40"/>
  <c r="T59" i="1"/>
  <c r="CK12" i="39"/>
  <c r="CO13" i="25"/>
  <c r="CN89" i="26"/>
  <c r="CB75" i="39"/>
  <c r="AF9" i="38"/>
  <c r="DE60" i="40"/>
  <c r="BU89" i="25"/>
  <c r="BG247" i="47"/>
  <c r="DC66" i="40"/>
  <c r="BO65" i="41"/>
  <c r="CI60" i="26"/>
  <c r="AS53" i="38"/>
  <c r="T67" i="38"/>
  <c r="AT60" i="39"/>
  <c r="CZ50" i="26"/>
  <c r="I96" i="39"/>
  <c r="AM48" i="26"/>
  <c r="AA102" i="40"/>
  <c r="AW71" i="26"/>
  <c r="DB49" i="36"/>
  <c r="X25" i="41"/>
  <c r="BO57" i="1"/>
  <c r="H18" i="38"/>
  <c r="L29" i="36"/>
  <c r="AO13" i="40"/>
  <c r="Z65" i="25"/>
  <c r="DA66" i="36"/>
  <c r="AT45" i="39"/>
  <c r="V89" i="39"/>
  <c r="BE67" i="39"/>
  <c r="O53" i="26"/>
  <c r="AF29" i="36"/>
  <c r="AH91" i="39"/>
  <c r="BW65" i="26"/>
  <c r="BZ66" i="37"/>
  <c r="G17" i="39"/>
  <c r="BE49" i="40"/>
  <c r="AN54" i="1"/>
  <c r="BQ24" i="38"/>
  <c r="AH59" i="40"/>
  <c r="CB66" i="37"/>
  <c r="BA54" i="41"/>
  <c r="BH34" i="1"/>
  <c r="BT12" i="39"/>
  <c r="BD18" i="36"/>
  <c r="AY24" i="37"/>
  <c r="AG27" i="25"/>
  <c r="BS91" i="25"/>
  <c r="AM61" i="37"/>
  <c r="O62" i="25"/>
  <c r="AC81" i="26"/>
  <c r="AZ18" i="1"/>
  <c r="BY45" i="37"/>
  <c r="N9" i="37"/>
  <c r="AP27" i="1"/>
  <c r="AM49" i="1"/>
  <c r="O61" i="37"/>
  <c r="BC75" i="36"/>
  <c r="X61" i="26"/>
  <c r="CP18" i="41"/>
  <c r="DB9" i="37"/>
  <c r="AH65" i="26"/>
  <c r="DC50" i="37"/>
  <c r="X25" i="39"/>
  <c r="T65" i="37"/>
  <c r="Z25" i="25"/>
  <c r="CM92" i="41"/>
  <c r="BQ60" i="38"/>
  <c r="CK71" i="37"/>
  <c r="I81" i="25"/>
  <c r="CF12" i="1"/>
  <c r="BB30" i="37"/>
  <c r="U60" i="40"/>
  <c r="AP61" i="37"/>
  <c r="CM79" i="39"/>
  <c r="CD60" i="39"/>
  <c r="AV49" i="41"/>
  <c r="CS60" i="40"/>
  <c r="CM81" i="40"/>
  <c r="DF12" i="40"/>
  <c r="AG67" i="37"/>
  <c r="AE98" i="37"/>
  <c r="Y59" i="37"/>
  <c r="BY30" i="25"/>
  <c r="CA37" i="36"/>
  <c r="CL58" i="38"/>
  <c r="BU10" i="39"/>
  <c r="M10" i="26"/>
  <c r="AU50" i="26"/>
  <c r="DD29" i="37"/>
  <c r="CW13" i="25"/>
  <c r="L37" i="41"/>
  <c r="CC67" i="26"/>
  <c r="AO53" i="25"/>
  <c r="AR59" i="37"/>
  <c r="AR62" i="25"/>
  <c r="CA98" i="26"/>
  <c r="BH13" i="25"/>
  <c r="O91" i="1"/>
  <c r="DA75" i="39"/>
  <c r="CQ62" i="39"/>
  <c r="AW26" i="38"/>
  <c r="CX96" i="41"/>
  <c r="AA13" i="41"/>
  <c r="W21" i="38"/>
  <c r="G90" i="60"/>
  <c r="W37" i="25"/>
  <c r="BB75" i="38"/>
  <c r="CF24" i="1"/>
  <c r="AA37" i="41"/>
  <c r="AX30" i="38"/>
  <c r="M26" i="1"/>
  <c r="CH62" i="38"/>
  <c r="AY12" i="1"/>
  <c r="AD12" i="36"/>
  <c r="Z60" i="25"/>
  <c r="BW13" i="26"/>
  <c r="S66" i="37"/>
  <c r="CA91" i="36"/>
  <c r="DA27" i="1"/>
  <c r="CE18" i="39"/>
  <c r="BS27" i="1"/>
  <c r="X62" i="41"/>
  <c r="CE25" i="38"/>
  <c r="BP71" i="38"/>
  <c r="BQ79" i="37"/>
  <c r="CX27" i="39"/>
  <c r="AQ102" i="36"/>
  <c r="I86" i="64"/>
  <c r="Z24" i="36"/>
  <c r="DC103" i="1"/>
  <c r="CD62" i="25"/>
  <c r="CW71" i="40"/>
  <c r="X89" i="41"/>
  <c r="AP10" i="41"/>
  <c r="CA67" i="40"/>
  <c r="CN27" i="39"/>
  <c r="Z91" i="26"/>
  <c r="L91" i="36"/>
  <c r="CQ71" i="25"/>
  <c r="K96" i="41"/>
  <c r="BI9" i="39"/>
  <c r="AM91" i="38"/>
  <c r="AF24" i="26"/>
  <c r="BO102" i="1"/>
  <c r="AT34" i="40"/>
  <c r="M12" i="37"/>
  <c r="CU65" i="39"/>
  <c r="AI102" i="37"/>
  <c r="S27" i="39"/>
  <c r="CV27" i="38"/>
  <c r="H25" i="25"/>
  <c r="BA27" i="37"/>
  <c r="AG102" i="38"/>
  <c r="AA37" i="39"/>
  <c r="BB26" i="41"/>
  <c r="CV18" i="39"/>
  <c r="CM45" i="1"/>
  <c r="BQ65" i="36"/>
  <c r="AX24" i="38"/>
  <c r="BA313" i="47"/>
  <c r="BO67" i="36"/>
  <c r="AO10" i="37"/>
  <c r="BS103" i="26"/>
  <c r="AH92" i="39"/>
  <c r="DF10" i="40"/>
  <c r="J26" i="39"/>
  <c r="J13" i="60"/>
  <c r="BH91" i="1"/>
  <c r="BE61" i="37"/>
  <c r="S61" i="38"/>
  <c r="CG96" i="39"/>
  <c r="BB37" i="41"/>
  <c r="CV96" i="40"/>
  <c r="CT13" i="26"/>
  <c r="BP65" i="26"/>
  <c r="AB66" i="1"/>
  <c r="AC9" i="36"/>
  <c r="AX89" i="41"/>
  <c r="S18" i="39"/>
  <c r="CK45" i="25"/>
  <c r="AQ10" i="38"/>
  <c r="AU96" i="25"/>
  <c r="CY37" i="41"/>
  <c r="AF26" i="1"/>
  <c r="AD12" i="1"/>
  <c r="BH89" i="40"/>
  <c r="AF61" i="38"/>
  <c r="CG37" i="37"/>
  <c r="DF9" i="25"/>
  <c r="O60" i="39"/>
  <c r="P67" i="37"/>
  <c r="CJ13" i="26"/>
  <c r="DF57" i="37"/>
  <c r="AW10" i="39"/>
  <c r="L91" i="38"/>
  <c r="BE25" i="38"/>
  <c r="T34" i="41"/>
  <c r="CI91" i="26"/>
  <c r="CP89" i="1"/>
  <c r="BD21" i="1"/>
  <c r="L71" i="37"/>
  <c r="BT25" i="1"/>
  <c r="J65" i="36"/>
  <c r="Z92" i="39"/>
  <c r="CN81" i="41"/>
  <c r="AY102" i="47"/>
  <c r="BR9" i="1"/>
  <c r="J61" i="36"/>
  <c r="J51" i="46"/>
  <c r="L17" i="38"/>
  <c r="CV17" i="37"/>
  <c r="BV96" i="39"/>
  <c r="AW50" i="38"/>
  <c r="AZ57" i="41"/>
  <c r="DB17" i="38"/>
  <c r="DA102" i="1"/>
  <c r="AX75" i="36"/>
  <c r="AJ71" i="26"/>
  <c r="AS102" i="25"/>
  <c r="U49" i="25"/>
  <c r="CR91" i="41"/>
  <c r="T13" i="39"/>
  <c r="BX103" i="40"/>
  <c r="J13" i="64"/>
  <c r="X37" i="40"/>
  <c r="CW96" i="41"/>
  <c r="AU13" i="39"/>
  <c r="H89" i="1"/>
  <c r="CU96" i="39"/>
  <c r="BV29" i="38"/>
  <c r="BB59" i="37"/>
  <c r="AC30" i="40"/>
  <c r="J89" i="37"/>
  <c r="N102" i="25"/>
  <c r="BC67" i="36"/>
  <c r="S48" i="36"/>
  <c r="AM58" i="37"/>
  <c r="CP12" i="40"/>
  <c r="L81" i="1"/>
  <c r="Y59" i="40"/>
  <c r="Y30" i="38"/>
  <c r="M65" i="26"/>
  <c r="AE71" i="26"/>
  <c r="T25" i="1"/>
  <c r="P60" i="1"/>
  <c r="CT92" i="40"/>
  <c r="DA61" i="37"/>
  <c r="BD65" i="39"/>
  <c r="W65" i="25"/>
  <c r="BD24" i="25"/>
  <c r="AH71" i="41"/>
  <c r="CL45" i="25"/>
  <c r="AZ59" i="39"/>
  <c r="CZ92" i="1"/>
  <c r="BR62" i="36"/>
  <c r="BS103" i="1"/>
  <c r="AG9" i="38"/>
  <c r="Z59" i="37"/>
  <c r="V81" i="37"/>
  <c r="CQ13" i="37"/>
  <c r="BP26" i="40"/>
  <c r="AY10" i="36"/>
  <c r="L45" i="39"/>
  <c r="CP13" i="36"/>
  <c r="G50" i="40"/>
  <c r="DF10" i="26"/>
  <c r="BA45" i="36"/>
  <c r="CO48" i="36"/>
  <c r="CS18" i="40"/>
  <c r="BY62" i="37"/>
  <c r="BV34" i="39"/>
  <c r="BX65" i="41"/>
  <c r="BX48" i="26"/>
  <c r="AH12" i="41"/>
  <c r="CQ24" i="40"/>
  <c r="BS48" i="40"/>
  <c r="CK30" i="26"/>
  <c r="M49" i="64"/>
  <c r="CP89" i="26"/>
  <c r="AG71" i="1"/>
  <c r="BA66" i="38"/>
  <c r="Y37" i="41"/>
  <c r="N11" i="59"/>
  <c r="AN60" i="25"/>
  <c r="DE29" i="39"/>
  <c r="G62" i="41"/>
  <c r="BA96" i="37"/>
  <c r="X50" i="26"/>
  <c r="BV10" i="40"/>
  <c r="BO37" i="39"/>
  <c r="CP12" i="26"/>
  <c r="Z58" i="40"/>
  <c r="AP53" i="36"/>
  <c r="AP66" i="1"/>
  <c r="CW45" i="25"/>
  <c r="BQ18" i="41"/>
  <c r="DF79" i="37"/>
  <c r="AJ66" i="1"/>
  <c r="CB60" i="26"/>
  <c r="AG21" i="39"/>
  <c r="BU21" i="26"/>
  <c r="AM92" i="40"/>
  <c r="BB67" i="26"/>
  <c r="AM71" i="36"/>
  <c r="DB96" i="41"/>
  <c r="BO34" i="36"/>
  <c r="CW102" i="38"/>
  <c r="CO13" i="41"/>
  <c r="Z10" i="1"/>
  <c r="AE67" i="37"/>
  <c r="X91" i="38"/>
  <c r="AA27" i="1"/>
  <c r="AP65" i="40"/>
  <c r="CZ81" i="41"/>
  <c r="BH79" i="25"/>
  <c r="CQ67" i="25"/>
  <c r="AW12" i="39"/>
  <c r="CT71" i="38"/>
  <c r="CM60" i="36"/>
  <c r="BX26" i="36"/>
  <c r="BZ92" i="1"/>
  <c r="CL45" i="41"/>
  <c r="CK65" i="37"/>
  <c r="AX9" i="36"/>
  <c r="BX89" i="40"/>
  <c r="CC12" i="26"/>
  <c r="AD17" i="41"/>
  <c r="AI59" i="41"/>
  <c r="M59" i="38"/>
  <c r="AH27" i="40"/>
  <c r="CE92" i="37"/>
  <c r="AG57" i="36"/>
  <c r="AP30" i="37"/>
  <c r="CN57" i="36"/>
  <c r="K9" i="39"/>
  <c r="CQ29" i="41"/>
  <c r="CX58" i="39"/>
  <c r="BE24" i="37"/>
  <c r="CO71" i="40"/>
  <c r="I24" i="39"/>
  <c r="BI29" i="1"/>
  <c r="BV12" i="38"/>
  <c r="CH75" i="36"/>
  <c r="AJ65" i="26"/>
  <c r="AD79" i="37"/>
  <c r="P53" i="37"/>
  <c r="AG18" i="37"/>
  <c r="CV54" i="1"/>
  <c r="CT21" i="26"/>
  <c r="CO102" i="1"/>
  <c r="N27" i="37"/>
  <c r="BH21" i="38"/>
  <c r="CE13" i="36"/>
  <c r="AF50" i="38"/>
  <c r="AQ81" i="40"/>
  <c r="CH18" i="1"/>
  <c r="P25" i="25"/>
  <c r="AF17" i="39"/>
  <c r="CK59" i="40"/>
  <c r="AA71" i="36"/>
  <c r="CR61" i="41"/>
  <c r="BE92" i="39"/>
  <c r="E84" i="60"/>
  <c r="AA27" i="37"/>
  <c r="J102" i="25"/>
  <c r="CB30" i="36"/>
  <c r="DE89" i="26"/>
  <c r="AJ34" i="36"/>
  <c r="AZ71" i="40"/>
  <c r="AU25" i="25"/>
  <c r="BB13" i="1"/>
  <c r="CX58" i="36"/>
  <c r="BI60" i="25"/>
  <c r="AO53" i="36"/>
  <c r="Y45" i="38"/>
  <c r="AA26" i="41"/>
  <c r="BS25" i="25"/>
  <c r="BR50" i="36"/>
  <c r="AU81" i="25"/>
  <c r="AJ67" i="39"/>
  <c r="BS89" i="40"/>
  <c r="G27" i="1"/>
  <c r="AC50" i="37"/>
  <c r="CP57" i="36"/>
  <c r="AV75" i="37"/>
  <c r="AR81" i="39"/>
  <c r="AU17" i="1"/>
  <c r="CA17" i="26"/>
  <c r="AB10" i="26"/>
  <c r="DC75" i="41"/>
  <c r="BD127" i="47"/>
  <c r="I62" i="26"/>
  <c r="G51" i="64"/>
  <c r="CM57" i="39"/>
  <c r="AT91" i="36"/>
  <c r="AW25" i="37"/>
  <c r="CW12" i="41"/>
  <c r="AS37" i="1"/>
  <c r="BC121" i="47"/>
  <c r="CP50" i="26"/>
  <c r="M81" i="60"/>
  <c r="CB37" i="1"/>
  <c r="O89" i="25"/>
  <c r="AH79" i="40"/>
  <c r="CX10" i="37"/>
  <c r="Z71" i="26"/>
  <c r="CR49" i="1"/>
  <c r="BB129" i="47"/>
  <c r="AO60" i="1"/>
  <c r="CE89" i="26"/>
  <c r="CU89" i="39"/>
  <c r="AY129" i="47"/>
  <c r="CC30" i="39"/>
  <c r="CP13" i="40"/>
  <c r="DE96" i="36"/>
  <c r="DC30" i="37"/>
  <c r="AS21" i="1"/>
  <c r="BT58" i="40"/>
  <c r="AD12" i="25"/>
  <c r="CE49" i="36"/>
  <c r="DA24" i="41"/>
  <c r="BW57" i="39"/>
  <c r="AS48" i="38"/>
  <c r="DB54" i="41"/>
  <c r="AE81" i="41"/>
  <c r="DB26" i="39"/>
  <c r="CS66" i="26"/>
  <c r="AT96" i="41"/>
  <c r="CW29" i="41"/>
  <c r="AO10" i="26"/>
  <c r="AO59" i="40"/>
  <c r="AC67" i="38"/>
  <c r="U10" i="41"/>
  <c r="BU25" i="37"/>
  <c r="Y48" i="40"/>
  <c r="AD67" i="25"/>
  <c r="H60" i="37"/>
  <c r="L66" i="40"/>
  <c r="BP59" i="40"/>
  <c r="CC61" i="37"/>
  <c r="CN61" i="37"/>
  <c r="DC98" i="40"/>
  <c r="AN89" i="36"/>
  <c r="BU24" i="40"/>
  <c r="G91" i="60"/>
  <c r="CR26" i="1"/>
  <c r="CD67" i="39"/>
  <c r="H13" i="1"/>
  <c r="CV10" i="37"/>
  <c r="CM50" i="1"/>
  <c r="CJ17" i="26"/>
  <c r="CK92" i="37"/>
  <c r="X34" i="37"/>
  <c r="CS91" i="38"/>
  <c r="AM34" i="37"/>
  <c r="S102" i="36"/>
  <c r="AR37" i="36"/>
  <c r="BA17" i="25"/>
  <c r="BV61" i="36"/>
  <c r="CV27" i="40"/>
  <c r="AG66" i="38"/>
  <c r="AY59" i="40"/>
  <c r="CM71" i="36"/>
  <c r="DB92" i="39"/>
  <c r="CB34" i="41"/>
  <c r="CG57" i="38"/>
  <c r="CK18" i="37"/>
  <c r="I78" i="60"/>
  <c r="N19" i="59"/>
  <c r="AP30" i="36"/>
  <c r="BA45" i="41"/>
  <c r="CJ96" i="37"/>
  <c r="K53" i="1"/>
  <c r="AO81" i="26"/>
  <c r="CR89" i="38"/>
  <c r="AC102" i="26"/>
  <c r="M37" i="38"/>
  <c r="DE17" i="26"/>
  <c r="BO49" i="26"/>
  <c r="AJ62" i="25"/>
  <c r="BA37" i="40"/>
  <c r="W29" i="26"/>
  <c r="AW62" i="36"/>
  <c r="AM65" i="41"/>
  <c r="CP75" i="36"/>
  <c r="CT37" i="40"/>
  <c r="AU98" i="26"/>
  <c r="CO34" i="26"/>
  <c r="DC50" i="41"/>
  <c r="CO66" i="1"/>
  <c r="CS79" i="38"/>
  <c r="H50" i="46"/>
  <c r="CA54" i="38"/>
  <c r="CU91" i="41"/>
  <c r="DC9" i="25"/>
  <c r="BC12" i="41"/>
  <c r="CW18" i="40"/>
  <c r="DB9" i="40"/>
  <c r="CQ61" i="25"/>
  <c r="Y37" i="1"/>
  <c r="DD48" i="40"/>
  <c r="CB65" i="37"/>
  <c r="CO26" i="38"/>
  <c r="CM103" i="26"/>
  <c r="BA26" i="41"/>
  <c r="CN67" i="38"/>
  <c r="AD24" i="26"/>
  <c r="AF21" i="39"/>
  <c r="AH66" i="41"/>
  <c r="AR89" i="39"/>
  <c r="AG12" i="36"/>
  <c r="AS45" i="26"/>
  <c r="BV34" i="25"/>
  <c r="CN89" i="25"/>
  <c r="X81" i="39"/>
  <c r="BS50" i="37"/>
  <c r="AM71" i="37"/>
  <c r="DE92" i="40"/>
  <c r="AD98" i="41"/>
  <c r="CF92" i="25"/>
  <c r="CS18" i="36"/>
  <c r="BR58" i="38"/>
  <c r="BV25" i="26"/>
  <c r="CA50" i="41"/>
  <c r="AF25" i="40"/>
  <c r="I91" i="1"/>
  <c r="BZ34" i="26"/>
  <c r="U58" i="41"/>
  <c r="CZ71" i="25"/>
  <c r="AP13" i="1"/>
  <c r="AW92" i="38"/>
  <c r="AZ96" i="39"/>
  <c r="CF24" i="40"/>
  <c r="AU98" i="38"/>
  <c r="CI9" i="1"/>
  <c r="BU13" i="1"/>
  <c r="BP21" i="37"/>
  <c r="E12" i="60"/>
  <c r="N50" i="25"/>
  <c r="BR98" i="1"/>
  <c r="AJ50" i="36"/>
  <c r="BC50" i="41"/>
  <c r="AV59" i="25"/>
  <c r="Y25" i="26"/>
  <c r="S24" i="41"/>
  <c r="BP54" i="40"/>
  <c r="O17" i="41"/>
  <c r="AE98" i="41"/>
  <c r="BC37" i="39"/>
  <c r="BA91" i="39"/>
  <c r="AV29" i="26"/>
  <c r="AF17" i="1"/>
  <c r="AO65" i="39"/>
  <c r="DC17" i="41"/>
  <c r="AU59" i="1"/>
  <c r="BR57" i="25"/>
  <c r="BC75" i="40"/>
  <c r="L29" i="40"/>
  <c r="AQ24" i="41"/>
  <c r="BU50" i="37"/>
  <c r="AX10" i="40"/>
  <c r="AR48" i="38"/>
  <c r="BA12" i="37"/>
  <c r="BA58" i="40"/>
  <c r="AY34" i="37"/>
  <c r="AO98" i="39"/>
  <c r="I96" i="25"/>
  <c r="Z75" i="41"/>
  <c r="CE54" i="25"/>
  <c r="BI34" i="36"/>
  <c r="DF21" i="36"/>
  <c r="CU10" i="25"/>
  <c r="CE71" i="38"/>
  <c r="W25" i="41"/>
  <c r="K57" i="26"/>
  <c r="DF25" i="26"/>
  <c r="DC66" i="36"/>
  <c r="BS54" i="37"/>
  <c r="CO18" i="25"/>
  <c r="AO81" i="41"/>
  <c r="BZ92" i="26"/>
  <c r="AB37" i="25"/>
  <c r="DA48" i="38"/>
  <c r="AS37" i="25"/>
  <c r="AG102" i="37"/>
  <c r="E89" i="64"/>
  <c r="J89" i="26"/>
  <c r="L53" i="59"/>
  <c r="BB54" i="37"/>
  <c r="DB37" i="38"/>
  <c r="DC57" i="1"/>
  <c r="AZ59" i="1"/>
  <c r="CG30" i="40"/>
  <c r="DC60" i="41"/>
  <c r="BR53" i="1"/>
  <c r="BW49" i="36"/>
  <c r="BV91" i="41"/>
  <c r="CZ57" i="26"/>
  <c r="AE75" i="26"/>
  <c r="BB102" i="1"/>
  <c r="AR30" i="39"/>
  <c r="AG26" i="36"/>
  <c r="AM61" i="25"/>
  <c r="DB91" i="1"/>
  <c r="AT49" i="40"/>
  <c r="CF34" i="26"/>
  <c r="AV12" i="36"/>
  <c r="CG53" i="37"/>
  <c r="BX61" i="1"/>
  <c r="AQ12" i="26"/>
  <c r="DB37" i="40"/>
  <c r="CM103" i="1"/>
  <c r="CK79" i="37"/>
  <c r="DE59" i="39"/>
  <c r="CP10" i="41"/>
  <c r="CQ29" i="40"/>
  <c r="X24" i="38"/>
  <c r="AF59" i="36"/>
  <c r="CV25" i="40"/>
  <c r="P29" i="25"/>
  <c r="AH10" i="40"/>
  <c r="BV29" i="39"/>
  <c r="DC9" i="40"/>
  <c r="V66" i="36"/>
  <c r="G57" i="36"/>
  <c r="M53" i="64"/>
  <c r="CE26" i="38"/>
  <c r="CO96" i="40"/>
  <c r="G34" i="37"/>
  <c r="AZ65" i="39"/>
  <c r="AS98" i="36"/>
  <c r="X71" i="25"/>
  <c r="AZ13" i="38"/>
  <c r="L79" i="36"/>
  <c r="AH75" i="38"/>
  <c r="CW30" i="40"/>
  <c r="BB54" i="38"/>
  <c r="CK103" i="26"/>
  <c r="T17" i="38"/>
  <c r="BW58" i="36"/>
  <c r="O91" i="41"/>
  <c r="J59" i="59"/>
  <c r="AM27" i="36"/>
  <c r="AD48" i="36"/>
  <c r="T65" i="38"/>
  <c r="AH13" i="37"/>
  <c r="CK53" i="36"/>
  <c r="AP66" i="25"/>
  <c r="V71" i="36"/>
  <c r="V65" i="36"/>
  <c r="BV45" i="40"/>
  <c r="CC71" i="39"/>
  <c r="AS26" i="25"/>
  <c r="CQ65" i="37"/>
  <c r="CJ79" i="41"/>
  <c r="CJ81" i="26"/>
  <c r="CN10" i="36"/>
  <c r="BC27" i="26"/>
  <c r="Y12" i="36"/>
  <c r="AZ9" i="1"/>
  <c r="G53" i="25"/>
  <c r="AN27" i="1"/>
  <c r="AN79" i="39"/>
  <c r="AI89" i="26"/>
  <c r="DE29" i="37"/>
  <c r="L84" i="60"/>
  <c r="CF45" i="38"/>
  <c r="BT98" i="41"/>
  <c r="CZ75" i="41"/>
  <c r="U12" i="1"/>
  <c r="CC34" i="26"/>
  <c r="BE57" i="37"/>
  <c r="DA45" i="25"/>
  <c r="CX75" i="25"/>
  <c r="AI29" i="39"/>
  <c r="CL26" i="40"/>
  <c r="V48" i="38"/>
  <c r="F46" i="60"/>
  <c r="AU24" i="38"/>
  <c r="DC89" i="37"/>
  <c r="G25" i="25"/>
  <c r="AB27" i="36"/>
  <c r="BZ58" i="36"/>
  <c r="K17" i="1"/>
  <c r="CJ92" i="26"/>
  <c r="CT81" i="39"/>
  <c r="CG29" i="38"/>
  <c r="CG24" i="39"/>
  <c r="AU53" i="38"/>
  <c r="CH59" i="39"/>
  <c r="CH91" i="41"/>
  <c r="CU66" i="39"/>
  <c r="AE67" i="25"/>
  <c r="CG59" i="40"/>
  <c r="DE102" i="40"/>
  <c r="V49" i="40"/>
  <c r="BP24" i="37"/>
  <c r="CK45" i="1"/>
  <c r="BR54" i="26"/>
  <c r="CV37" i="26"/>
  <c r="T98" i="40"/>
  <c r="DE13" i="41"/>
  <c r="CA9" i="1"/>
  <c r="CK65" i="40"/>
  <c r="AW53" i="37"/>
  <c r="CS48" i="25"/>
  <c r="CB48" i="38"/>
  <c r="M60" i="38"/>
  <c r="AC58" i="41"/>
  <c r="BQ66" i="36"/>
  <c r="AJ61" i="25"/>
  <c r="AJ58" i="39"/>
  <c r="CX27" i="40"/>
  <c r="I11" i="64"/>
  <c r="CO29" i="41"/>
  <c r="BS49" i="38"/>
  <c r="AA25" i="39"/>
  <c r="BV54" i="36"/>
  <c r="AV30" i="1"/>
  <c r="CG91" i="1"/>
  <c r="CT25" i="26"/>
  <c r="P29" i="36"/>
  <c r="DD21" i="26"/>
  <c r="AM53" i="41"/>
  <c r="CT18" i="41"/>
  <c r="AH81" i="38"/>
  <c r="CM89" i="41"/>
  <c r="AO58" i="26"/>
  <c r="BC10" i="25"/>
  <c r="BI30" i="36"/>
  <c r="CD45" i="38"/>
  <c r="BE53" i="40"/>
  <c r="BP54" i="39"/>
  <c r="G34" i="41"/>
  <c r="CT65" i="1"/>
  <c r="I26" i="40"/>
  <c r="AP75" i="37"/>
  <c r="CK29" i="38"/>
  <c r="CX13" i="37"/>
  <c r="AO67" i="26"/>
  <c r="CH79" i="1"/>
  <c r="CN67" i="36"/>
  <c r="AG60" i="1"/>
  <c r="BY37" i="1"/>
  <c r="BO102" i="25"/>
  <c r="CP45" i="37"/>
  <c r="CE27" i="37"/>
  <c r="BD45" i="40"/>
  <c r="CL37" i="41"/>
  <c r="AX81" i="41"/>
  <c r="DC29" i="41"/>
  <c r="CT79" i="39"/>
  <c r="AC71" i="39"/>
  <c r="AJ53" i="41"/>
  <c r="CI103" i="1"/>
  <c r="BD62" i="40"/>
  <c r="BH25" i="25"/>
  <c r="E71" i="60"/>
  <c r="BZ96" i="26"/>
  <c r="AS45" i="39"/>
  <c r="BU21" i="41"/>
  <c r="AN37" i="41"/>
  <c r="CQ65" i="39"/>
  <c r="BU29" i="40"/>
  <c r="AA62" i="38"/>
  <c r="P66" i="40"/>
  <c r="CO27" i="1"/>
  <c r="DC67" i="37"/>
  <c r="CS25" i="1"/>
  <c r="AI67" i="25"/>
  <c r="AW9" i="26"/>
  <c r="AC54" i="25"/>
  <c r="BE26" i="1"/>
  <c r="CB30" i="26"/>
  <c r="BT30" i="36"/>
  <c r="CX53" i="39"/>
  <c r="T25" i="37"/>
  <c r="AG9" i="26"/>
  <c r="AS91" i="26"/>
  <c r="DD27" i="39"/>
  <c r="AV21" i="39"/>
  <c r="K65" i="26"/>
  <c r="BP75" i="1"/>
  <c r="AR27" i="37"/>
  <c r="CC17" i="1"/>
  <c r="W17" i="38"/>
  <c r="AV57" i="25"/>
  <c r="AQ75" i="26"/>
  <c r="AE62" i="26"/>
  <c r="Z10" i="39"/>
  <c r="CP102" i="25"/>
  <c r="BU25" i="26"/>
  <c r="K30" i="25"/>
  <c r="DE58" i="26"/>
  <c r="BD37" i="36"/>
  <c r="BI10" i="26"/>
  <c r="CO96" i="37"/>
  <c r="CD92" i="1"/>
  <c r="T18" i="41"/>
  <c r="AV48" i="26"/>
  <c r="AQ89" i="1"/>
  <c r="BZ24" i="36"/>
  <c r="H29" i="37"/>
  <c r="AY125" i="47"/>
  <c r="DA92" i="37"/>
  <c r="BA49" i="39"/>
  <c r="N102" i="40"/>
  <c r="AC17" i="40"/>
  <c r="Y58" i="38"/>
  <c r="CD98" i="37"/>
  <c r="BS58" i="38"/>
  <c r="CF24" i="36"/>
  <c r="G65" i="26"/>
  <c r="AI79" i="40"/>
  <c r="Z92" i="41"/>
  <c r="AZ10" i="41"/>
  <c r="O57" i="41"/>
  <c r="CI71" i="37"/>
  <c r="CV13" i="41"/>
  <c r="AS61" i="39"/>
  <c r="DC59" i="1"/>
  <c r="CW75" i="1"/>
  <c r="AP60" i="36"/>
  <c r="CY26" i="40"/>
  <c r="G49" i="36"/>
  <c r="AI92" i="36"/>
  <c r="O9" i="38"/>
  <c r="AH61" i="26"/>
  <c r="BI62" i="41"/>
  <c r="DE103" i="36"/>
  <c r="BS26" i="1"/>
  <c r="CC54" i="38"/>
  <c r="J24" i="41"/>
  <c r="BV91" i="37"/>
  <c r="AT24" i="26"/>
  <c r="AH18" i="38"/>
  <c r="CR62" i="1"/>
  <c r="G49" i="39"/>
  <c r="AF61" i="1"/>
  <c r="CF53" i="36"/>
  <c r="CN34" i="1"/>
  <c r="CX91" i="39"/>
  <c r="CP30" i="40"/>
  <c r="BE27" i="26"/>
  <c r="CX91" i="25"/>
  <c r="AF26" i="38"/>
  <c r="AG98" i="39"/>
  <c r="CB81" i="37"/>
  <c r="W60" i="40"/>
  <c r="BB98" i="25"/>
  <c r="AR37" i="39"/>
  <c r="AP27" i="41"/>
  <c r="AR25" i="39"/>
  <c r="AZ89" i="38"/>
  <c r="CW30" i="1"/>
  <c r="CI29" i="36"/>
  <c r="K91" i="60"/>
  <c r="CL24" i="39"/>
  <c r="BC59" i="36"/>
  <c r="CN54" i="41"/>
  <c r="BR59" i="39"/>
  <c r="M26" i="25"/>
  <c r="CL18" i="36"/>
  <c r="AF21" i="26"/>
  <c r="BX50" i="37"/>
  <c r="S54" i="36"/>
  <c r="BQ37" i="1"/>
  <c r="H27" i="36"/>
  <c r="CO27" i="39"/>
  <c r="AB21" i="26"/>
  <c r="BS9" i="36"/>
  <c r="BP91" i="37"/>
  <c r="K61" i="41"/>
  <c r="BC13" i="37"/>
  <c r="CI34" i="39"/>
  <c r="DE26" i="25"/>
  <c r="AB98" i="39"/>
  <c r="AC66" i="41"/>
  <c r="AF62" i="41"/>
  <c r="CS21" i="39"/>
  <c r="CW71" i="39"/>
  <c r="M81" i="40"/>
  <c r="CS75" i="37"/>
  <c r="BX92" i="38"/>
  <c r="J13" i="25"/>
  <c r="CG27" i="41"/>
  <c r="BV96" i="25"/>
  <c r="AQ91" i="36"/>
  <c r="AJ61" i="40"/>
  <c r="CD49" i="40"/>
  <c r="CM91" i="39"/>
  <c r="DC24" i="41"/>
  <c r="BA81" i="36"/>
  <c r="CG96" i="38"/>
  <c r="AV91" i="38"/>
  <c r="BZ37" i="37"/>
  <c r="H34" i="1"/>
  <c r="CX89" i="36"/>
  <c r="AI48" i="36"/>
  <c r="O37" i="41"/>
  <c r="CX53" i="41"/>
  <c r="AM98" i="41"/>
  <c r="CL67" i="25"/>
  <c r="BQ10" i="41"/>
  <c r="AW57" i="1"/>
  <c r="E394" i="46"/>
  <c r="CC57" i="40"/>
  <c r="DA18" i="36"/>
  <c r="CQ10" i="1"/>
  <c r="J12" i="64"/>
  <c r="CR102" i="1"/>
  <c r="CB34" i="26"/>
  <c r="CS102" i="38"/>
  <c r="CD9" i="41"/>
  <c r="CB53" i="25"/>
  <c r="M10" i="59"/>
  <c r="DF66" i="37"/>
  <c r="CD58" i="1"/>
  <c r="CU37" i="36"/>
  <c r="DE26" i="38"/>
  <c r="CS65" i="39"/>
  <c r="AB26" i="41"/>
  <c r="S79" i="25"/>
  <c r="CB57" i="37"/>
  <c r="CO30" i="37"/>
  <c r="X9" i="39"/>
  <c r="BD307" i="47"/>
  <c r="AD25" i="39"/>
  <c r="CM30" i="1"/>
  <c r="CH30" i="26"/>
  <c r="CI91" i="38"/>
  <c r="H81" i="41"/>
  <c r="G61" i="37"/>
  <c r="AG9" i="41"/>
  <c r="BC96" i="39"/>
  <c r="BR34" i="38"/>
  <c r="O37" i="1"/>
  <c r="BB9" i="25"/>
  <c r="H61" i="60"/>
  <c r="CA61" i="25"/>
  <c r="AP60" i="38"/>
  <c r="BH29" i="36"/>
  <c r="AJ37" i="40"/>
  <c r="DB66" i="36"/>
  <c r="BV13" i="37"/>
  <c r="CY50" i="38"/>
  <c r="BC62" i="39"/>
  <c r="V21" i="39"/>
  <c r="DA48" i="41"/>
  <c r="AD26" i="1"/>
  <c r="BE29" i="41"/>
  <c r="BY24" i="1"/>
  <c r="BP102" i="37"/>
  <c r="DA24" i="36"/>
  <c r="CD91" i="36"/>
  <c r="CK9" i="25"/>
  <c r="DB34" i="38"/>
  <c r="BQ26" i="25"/>
  <c r="G49" i="26"/>
  <c r="BZ91" i="39"/>
  <c r="AJ79" i="1"/>
  <c r="CG37" i="26"/>
  <c r="AV61" i="41"/>
  <c r="O81" i="1"/>
  <c r="CP53" i="39"/>
  <c r="AY313" i="47"/>
  <c r="BT81" i="39"/>
  <c r="AQ12" i="39"/>
  <c r="N91" i="41"/>
  <c r="BS45" i="26"/>
  <c r="CK59" i="38"/>
  <c r="U60" i="1"/>
  <c r="W10" i="38"/>
  <c r="H89" i="40"/>
  <c r="AZ17" i="25"/>
  <c r="BS60" i="38"/>
  <c r="CI48" i="40"/>
  <c r="AA25" i="36"/>
  <c r="CP103" i="38"/>
  <c r="CB45" i="41"/>
  <c r="AY122" i="47"/>
  <c r="AS81" i="40"/>
  <c r="AX53" i="38"/>
  <c r="CH48" i="36"/>
  <c r="CJ71" i="39"/>
  <c r="AB49" i="26"/>
  <c r="AE24" i="37"/>
  <c r="S27" i="1"/>
  <c r="AX67" i="39"/>
  <c r="BU103" i="26"/>
  <c r="CA29" i="41"/>
  <c r="V13" i="36"/>
  <c r="DA45" i="41"/>
  <c r="V26" i="1"/>
  <c r="CD30" i="37"/>
  <c r="CK53" i="37"/>
  <c r="CD49" i="37"/>
  <c r="AY17" i="38"/>
  <c r="CV9" i="37"/>
  <c r="CO27" i="37"/>
  <c r="N51" i="46"/>
  <c r="Y81" i="37"/>
  <c r="BS102" i="37"/>
  <c r="J67" i="37"/>
  <c r="AN75" i="26"/>
  <c r="O57" i="59"/>
  <c r="CQ29" i="37"/>
  <c r="AZ30" i="39"/>
  <c r="CP12" i="25"/>
  <c r="CU9" i="38"/>
  <c r="BX66" i="41"/>
  <c r="AQ71" i="40"/>
  <c r="AB34" i="36"/>
  <c r="Z45" i="41"/>
  <c r="G96" i="38"/>
  <c r="AB17" i="26"/>
  <c r="P60" i="36"/>
  <c r="DE61" i="25"/>
  <c r="CX79" i="41"/>
  <c r="DC25" i="40"/>
  <c r="L17" i="1"/>
  <c r="M37" i="36"/>
  <c r="CL9" i="38"/>
  <c r="AI26" i="26"/>
  <c r="J50" i="37"/>
  <c r="AS50" i="39"/>
  <c r="CD53" i="37"/>
  <c r="BS81" i="26"/>
  <c r="BI48" i="37"/>
  <c r="BA26" i="40"/>
  <c r="DC71" i="36"/>
  <c r="AE65" i="40"/>
  <c r="BR12" i="26"/>
  <c r="CG13" i="36"/>
  <c r="CQ66" i="40"/>
  <c r="K26" i="1"/>
  <c r="CD29" i="36"/>
  <c r="Z25" i="39"/>
  <c r="BW91" i="37"/>
  <c r="CU45" i="1"/>
  <c r="AV34" i="41"/>
  <c r="CQ65" i="36"/>
  <c r="BY18" i="37"/>
  <c r="V89" i="40"/>
  <c r="AF62" i="26"/>
  <c r="CF98" i="1"/>
  <c r="BH10" i="40"/>
  <c r="AB48" i="41"/>
  <c r="CS103" i="1"/>
  <c r="H79" i="41"/>
  <c r="AZ18" i="26"/>
  <c r="G72" i="60"/>
  <c r="O29" i="26"/>
  <c r="CM66" i="36"/>
  <c r="BZ18" i="26"/>
  <c r="L61" i="41"/>
  <c r="BX66" i="26"/>
  <c r="G102" i="40"/>
  <c r="CO102" i="26"/>
  <c r="I27" i="36"/>
  <c r="CC27" i="26"/>
  <c r="M27" i="37"/>
  <c r="DB24" i="26"/>
  <c r="BO18" i="1"/>
  <c r="CW12" i="38"/>
  <c r="O21" i="25"/>
  <c r="CN65" i="41"/>
  <c r="M10" i="36"/>
  <c r="M17" i="37"/>
  <c r="AZ66" i="1"/>
  <c r="CL50" i="25"/>
  <c r="O24" i="40"/>
  <c r="BR53" i="37"/>
  <c r="BV98" i="25"/>
  <c r="L49" i="36"/>
  <c r="BO54" i="41"/>
  <c r="S49" i="37"/>
  <c r="BH24" i="40"/>
  <c r="Y49" i="36"/>
  <c r="AT18" i="36"/>
  <c r="CD79" i="25"/>
  <c r="CA67" i="37"/>
  <c r="BY24" i="37"/>
  <c r="BH89" i="39"/>
  <c r="J67" i="26"/>
  <c r="AV21" i="26"/>
  <c r="AS10" i="26"/>
  <c r="Z81" i="40"/>
  <c r="Y37" i="38"/>
  <c r="CN66" i="1"/>
  <c r="CN61" i="38"/>
  <c r="O12" i="25"/>
  <c r="AO57" i="25"/>
  <c r="AP18" i="36"/>
  <c r="CJ58" i="26"/>
  <c r="CN29" i="37"/>
  <c r="CE102" i="40"/>
  <c r="CG60" i="38"/>
  <c r="AE50" i="25"/>
  <c r="J34" i="39"/>
  <c r="CB25" i="26"/>
  <c r="CL102" i="1"/>
  <c r="AH45" i="37"/>
  <c r="X27" i="1"/>
  <c r="J54" i="37"/>
  <c r="AJ49" i="40"/>
  <c r="H98" i="1"/>
  <c r="AR27" i="40"/>
  <c r="CI81" i="40"/>
  <c r="X48" i="38"/>
  <c r="G92" i="39"/>
  <c r="CZ57" i="40"/>
  <c r="BZ26" i="37"/>
  <c r="CM62" i="37"/>
  <c r="CK21" i="37"/>
  <c r="M93" i="64"/>
  <c r="BF316" i="47"/>
  <c r="DF49" i="40"/>
  <c r="BW25" i="36"/>
  <c r="U26" i="26"/>
  <c r="AX9" i="26"/>
  <c r="U24" i="39"/>
  <c r="BZ49" i="40"/>
  <c r="AF45" i="37"/>
  <c r="AH30" i="26"/>
  <c r="BS57" i="26"/>
  <c r="DE66" i="26"/>
  <c r="DB45" i="1"/>
  <c r="BW48" i="39"/>
  <c r="CI12" i="26"/>
  <c r="DC37" i="39"/>
  <c r="J37" i="25"/>
  <c r="Y54" i="39"/>
  <c r="AA66" i="37"/>
  <c r="P30" i="38"/>
  <c r="AG21" i="38"/>
  <c r="U53" i="40"/>
  <c r="AY18" i="25"/>
  <c r="DE102" i="37"/>
  <c r="CW98" i="26"/>
  <c r="CR66" i="40"/>
  <c r="CO102" i="37"/>
  <c r="H60" i="38"/>
  <c r="AR30" i="37"/>
  <c r="CE21" i="38"/>
  <c r="T50" i="36"/>
  <c r="DB59" i="25"/>
  <c r="U91" i="37"/>
  <c r="AZ37" i="25"/>
  <c r="AV53" i="41"/>
  <c r="AY48" i="25"/>
  <c r="CX53" i="37"/>
  <c r="V59" i="40"/>
  <c r="J30" i="1"/>
  <c r="AJ71" i="39"/>
  <c r="K59" i="25"/>
  <c r="BQ13" i="41"/>
  <c r="DD75" i="26"/>
  <c r="CN79" i="1"/>
  <c r="CO50" i="25"/>
  <c r="AA75" i="25"/>
  <c r="N48" i="36"/>
  <c r="CB91" i="40"/>
  <c r="CF65" i="40"/>
  <c r="J48" i="36"/>
  <c r="AN60" i="26"/>
  <c r="CN18" i="39"/>
  <c r="CC49" i="25"/>
  <c r="BP24" i="38"/>
  <c r="BA50" i="37"/>
  <c r="DD10" i="40"/>
  <c r="CS58" i="1"/>
  <c r="DD53" i="41"/>
  <c r="AM92" i="26"/>
  <c r="G53" i="64"/>
  <c r="DB34" i="39"/>
  <c r="BD122" i="47"/>
  <c r="AX9" i="25"/>
  <c r="CO10" i="41"/>
  <c r="S67" i="41"/>
  <c r="L67" i="37"/>
  <c r="BU37" i="37"/>
  <c r="CA13" i="37"/>
  <c r="Z10" i="37"/>
  <c r="BD108" i="47"/>
  <c r="AV91" i="1"/>
  <c r="BE48" i="41"/>
  <c r="CF54" i="36"/>
  <c r="AP26" i="41"/>
  <c r="BR29" i="39"/>
  <c r="W58" i="1"/>
  <c r="N34" i="59"/>
  <c r="J54" i="26"/>
  <c r="CR81" i="39"/>
  <c r="AT59" i="37"/>
  <c r="BB104" i="47"/>
  <c r="O9" i="37"/>
  <c r="BS37" i="1"/>
  <c r="AP89" i="39"/>
  <c r="BE26" i="39"/>
  <c r="BD60" i="41"/>
  <c r="DE92" i="41"/>
  <c r="BC26" i="1"/>
  <c r="AR91" i="40"/>
  <c r="AR62" i="40"/>
  <c r="AI81" i="26"/>
  <c r="AS81" i="25"/>
  <c r="AF65" i="25"/>
  <c r="AR25" i="38"/>
  <c r="CT60" i="37"/>
  <c r="P49" i="59"/>
  <c r="AV96" i="25"/>
  <c r="AV10" i="36"/>
  <c r="AV53" i="1"/>
  <c r="BO57" i="40"/>
  <c r="CM66" i="41"/>
  <c r="J27" i="39"/>
  <c r="AS67" i="26"/>
  <c r="CL60" i="26"/>
  <c r="BA12" i="36"/>
  <c r="CL29" i="25"/>
  <c r="M51" i="46"/>
  <c r="J48" i="40"/>
  <c r="BU49" i="1"/>
  <c r="H34" i="39"/>
  <c r="CW75" i="37"/>
  <c r="X65" i="1"/>
  <c r="P13" i="39"/>
  <c r="CE62" i="38"/>
  <c r="CF91" i="25"/>
  <c r="S91" i="38"/>
  <c r="BX103" i="39"/>
  <c r="BY12" i="26"/>
  <c r="CQ26" i="25"/>
  <c r="BQ66" i="25"/>
  <c r="AI29" i="25"/>
  <c r="CH91" i="40"/>
  <c r="M50" i="1"/>
  <c r="CO57" i="40"/>
  <c r="N57" i="36"/>
  <c r="L24" i="41"/>
  <c r="BA53" i="36"/>
  <c r="BV75" i="1"/>
  <c r="CK67" i="36"/>
  <c r="CW102" i="36"/>
  <c r="BX37" i="25"/>
  <c r="W91" i="37"/>
  <c r="AV81" i="26"/>
  <c r="CR89" i="40"/>
  <c r="AP96" i="26"/>
  <c r="BP103" i="39"/>
  <c r="BU61" i="40"/>
  <c r="CG92" i="41"/>
  <c r="CK89" i="41"/>
  <c r="AU75" i="1"/>
  <c r="BU49" i="26"/>
  <c r="CE17" i="41"/>
  <c r="CC103" i="41"/>
  <c r="BV13" i="41"/>
  <c r="AT96" i="26"/>
  <c r="AF27" i="37"/>
  <c r="AX45" i="41"/>
  <c r="N26" i="41"/>
  <c r="AT27" i="40"/>
  <c r="DA30" i="41"/>
  <c r="I50" i="36"/>
  <c r="AZ65" i="37"/>
  <c r="BE79" i="37"/>
  <c r="P12" i="39"/>
  <c r="AA59" i="26"/>
  <c r="H53" i="39"/>
  <c r="BS66" i="25"/>
  <c r="AE27" i="39"/>
  <c r="AG10" i="38"/>
  <c r="M26" i="39"/>
  <c r="AG65" i="37"/>
  <c r="AI13" i="37"/>
  <c r="CZ13" i="37"/>
  <c r="CQ54" i="40"/>
  <c r="CG48" i="37"/>
  <c r="AW21" i="37"/>
  <c r="BE66" i="37"/>
  <c r="H47" i="60"/>
  <c r="AE29" i="26"/>
  <c r="CT96" i="36"/>
  <c r="S17" i="36"/>
  <c r="AX89" i="38"/>
  <c r="AM27" i="1"/>
  <c r="AT65" i="39"/>
  <c r="CY91" i="1"/>
  <c r="AO57" i="38"/>
  <c r="AE58" i="26"/>
  <c r="BC102" i="47"/>
  <c r="CH103" i="37"/>
  <c r="DC10" i="1"/>
  <c r="CY34" i="26"/>
  <c r="O18" i="25"/>
  <c r="CJ92" i="41"/>
  <c r="CD10" i="37"/>
  <c r="CN61" i="40"/>
  <c r="V30" i="40"/>
  <c r="CU103" i="37"/>
  <c r="CU54" i="37"/>
  <c r="BP102" i="38"/>
  <c r="S34" i="41"/>
  <c r="CN34" i="26"/>
  <c r="CM27" i="40"/>
  <c r="BW37" i="40"/>
  <c r="BX26" i="25"/>
  <c r="CP96" i="36"/>
  <c r="AZ21" i="41"/>
  <c r="CV92" i="37"/>
  <c r="AH67" i="1"/>
  <c r="BD62" i="38"/>
  <c r="BY66" i="41"/>
  <c r="CY62" i="25"/>
  <c r="BC89" i="25"/>
  <c r="BT60" i="38"/>
  <c r="AW26" i="1"/>
  <c r="BC66" i="26"/>
  <c r="DD45" i="1"/>
  <c r="N60" i="41"/>
  <c r="AW27" i="26"/>
  <c r="BY71" i="26"/>
  <c r="CA66" i="41"/>
  <c r="H17" i="40"/>
  <c r="CO17" i="36"/>
  <c r="BD49" i="37"/>
  <c r="AO102" i="36"/>
  <c r="AC12" i="38"/>
  <c r="Z21" i="26"/>
  <c r="AJ75" i="1"/>
  <c r="BZ71" i="36"/>
  <c r="DC13" i="36"/>
  <c r="M45" i="26"/>
  <c r="AU65" i="41"/>
  <c r="AP25" i="40"/>
  <c r="AW45" i="41"/>
  <c r="CU62" i="40"/>
  <c r="CF65" i="36"/>
  <c r="CF49" i="25"/>
  <c r="AH26" i="38"/>
  <c r="AW98" i="26"/>
  <c r="AZ54" i="1"/>
  <c r="CU53" i="38"/>
  <c r="BC18" i="40"/>
  <c r="X96" i="40"/>
  <c r="BQ37" i="25"/>
  <c r="AJ25" i="1"/>
  <c r="CU61" i="25"/>
  <c r="CQ37" i="36"/>
  <c r="W62" i="40"/>
  <c r="AS58" i="39"/>
  <c r="Y62" i="40"/>
  <c r="BR71" i="36"/>
  <c r="AH79" i="25"/>
  <c r="AS10" i="36"/>
  <c r="T89" i="40"/>
  <c r="AC37" i="41"/>
  <c r="L66" i="38"/>
  <c r="G12" i="39"/>
  <c r="DA98" i="36"/>
  <c r="AU45" i="36"/>
  <c r="BY49" i="41"/>
  <c r="O26" i="40"/>
  <c r="G60" i="26"/>
  <c r="Z57" i="25"/>
  <c r="AY54" i="36"/>
  <c r="DA53" i="40"/>
  <c r="AP66" i="41"/>
  <c r="BB71" i="1"/>
  <c r="CX53" i="36"/>
  <c r="BV48" i="41"/>
  <c r="DB57" i="1"/>
  <c r="AR45" i="25"/>
  <c r="CH66" i="38"/>
  <c r="AU48" i="40"/>
  <c r="CG26" i="36"/>
  <c r="AG13" i="38"/>
  <c r="CS102" i="36"/>
  <c r="CS102" i="40"/>
  <c r="J71" i="37"/>
  <c r="DB59" i="37"/>
  <c r="BA34" i="36"/>
  <c r="AO65" i="41"/>
  <c r="CM91" i="25"/>
  <c r="CD13" i="25"/>
  <c r="CL18" i="38"/>
  <c r="BU25" i="25"/>
  <c r="AF48" i="26"/>
  <c r="DF89" i="36"/>
  <c r="CW103" i="36"/>
  <c r="BT45" i="40"/>
  <c r="CJ79" i="26"/>
  <c r="L89" i="60"/>
  <c r="BY59" i="25"/>
  <c r="BA71" i="36"/>
  <c r="BZ37" i="41"/>
  <c r="I47" i="64"/>
  <c r="J89" i="40"/>
  <c r="AZ102" i="37"/>
  <c r="CH79" i="41"/>
  <c r="DA12" i="39"/>
  <c r="CC29" i="37"/>
  <c r="AQ9" i="1"/>
  <c r="BC92" i="25"/>
  <c r="DA21" i="26"/>
  <c r="CV96" i="37"/>
  <c r="CL17" i="1"/>
  <c r="AJ59" i="41"/>
  <c r="H53" i="26"/>
  <c r="CL92" i="40"/>
  <c r="CU37" i="39"/>
  <c r="CI67" i="41"/>
  <c r="O18" i="59"/>
  <c r="CT12" i="38"/>
  <c r="AP27" i="40"/>
  <c r="CH92" i="1"/>
  <c r="AS29" i="1"/>
  <c r="BW102" i="39"/>
  <c r="BA27" i="1"/>
  <c r="AW91" i="41"/>
  <c r="DD13" i="38"/>
  <c r="BT21" i="41"/>
  <c r="AH34" i="37"/>
  <c r="AJ53" i="26"/>
  <c r="CH81" i="39"/>
  <c r="L10" i="59"/>
  <c r="AU48" i="38"/>
  <c r="AE62" i="39"/>
  <c r="F36" i="46"/>
  <c r="DD30" i="41"/>
  <c r="BZ58" i="38"/>
  <c r="CK66" i="36"/>
  <c r="BR27" i="1"/>
  <c r="CO25" i="25"/>
  <c r="I54" i="64"/>
  <c r="AF65" i="41"/>
  <c r="AR61" i="26"/>
  <c r="AB50" i="41"/>
  <c r="DA10" i="40"/>
  <c r="DF26" i="39"/>
  <c r="AC61" i="41"/>
  <c r="CL81" i="25"/>
  <c r="BU18" i="37"/>
  <c r="G66" i="26"/>
  <c r="CJ12" i="39"/>
  <c r="BO98" i="26"/>
  <c r="DC67" i="39"/>
  <c r="DA103" i="41"/>
  <c r="DD10" i="1"/>
  <c r="BV81" i="36"/>
  <c r="AZ61" i="1"/>
  <c r="P58" i="26"/>
  <c r="H51" i="64"/>
  <c r="AO59" i="1"/>
  <c r="CI59" i="36"/>
  <c r="CT49" i="26"/>
  <c r="J57" i="40"/>
  <c r="AJ61" i="39"/>
  <c r="DE48" i="38"/>
  <c r="BW58" i="37"/>
  <c r="CB75" i="36"/>
  <c r="AH24" i="1"/>
  <c r="BY24" i="26"/>
  <c r="CE89" i="37"/>
  <c r="AA17" i="41"/>
  <c r="K57" i="39"/>
  <c r="Y92" i="40"/>
  <c r="CX50" i="38"/>
  <c r="I96" i="38"/>
  <c r="W49" i="1"/>
  <c r="Z89" i="41"/>
  <c r="CS75" i="41"/>
  <c r="L58" i="26"/>
  <c r="CE29" i="39"/>
  <c r="CT17" i="41"/>
  <c r="CT81" i="37"/>
  <c r="T30" i="39"/>
  <c r="AY18" i="37"/>
  <c r="DF54" i="26"/>
  <c r="AR17" i="37"/>
  <c r="I67" i="1"/>
  <c r="AE53" i="41"/>
  <c r="AO17" i="25"/>
  <c r="BT49" i="38"/>
  <c r="J62" i="39"/>
  <c r="DC92" i="26"/>
  <c r="BP75" i="40"/>
  <c r="CM92" i="26"/>
  <c r="CA89" i="25"/>
  <c r="AC30" i="1"/>
  <c r="AZ66" i="26"/>
  <c r="H76" i="60"/>
  <c r="AO91" i="39"/>
  <c r="BQ96" i="25"/>
  <c r="O45" i="37"/>
  <c r="I91" i="37"/>
  <c r="AH18" i="40"/>
  <c r="CS71" i="41"/>
  <c r="CA53" i="38"/>
  <c r="CS45" i="37"/>
  <c r="CF98" i="38"/>
  <c r="AA79" i="1"/>
  <c r="DC13" i="41"/>
  <c r="AN34" i="40"/>
  <c r="K24" i="40"/>
  <c r="BD128" i="47"/>
  <c r="DF27" i="26"/>
  <c r="BW25" i="37"/>
  <c r="I81" i="60"/>
  <c r="AS34" i="38"/>
  <c r="AI49" i="1"/>
  <c r="AB65" i="40"/>
  <c r="CF21" i="37"/>
  <c r="AY29" i="40"/>
  <c r="BS25" i="38"/>
  <c r="CA81" i="40"/>
  <c r="BX102" i="38"/>
  <c r="G17" i="38"/>
  <c r="CF27" i="1"/>
  <c r="H72" i="60"/>
  <c r="CO57" i="1"/>
  <c r="AF92" i="39"/>
  <c r="AW89" i="25"/>
  <c r="CL37" i="38"/>
  <c r="CH67" i="41"/>
  <c r="M20" i="50"/>
  <c r="DB30" i="25"/>
  <c r="CJ81" i="39"/>
  <c r="CD62" i="41"/>
  <c r="CF102" i="1"/>
  <c r="CK81" i="38"/>
  <c r="M49" i="25"/>
  <c r="BB71" i="36"/>
  <c r="AN27" i="37"/>
  <c r="BE9" i="36"/>
  <c r="CC67" i="38"/>
  <c r="V24" i="25"/>
  <c r="F48" i="64"/>
  <c r="K65" i="37"/>
  <c r="DC48" i="40"/>
  <c r="AV67" i="37"/>
  <c r="CA79" i="38"/>
  <c r="AM61" i="26"/>
  <c r="T25" i="38"/>
  <c r="S66" i="40"/>
  <c r="CS91" i="39"/>
  <c r="S60" i="1"/>
  <c r="AG17" i="37"/>
  <c r="CK59" i="1"/>
  <c r="AN96" i="37"/>
  <c r="H6" i="60"/>
  <c r="AY49" i="39"/>
  <c r="BS91" i="1"/>
  <c r="M40" i="64"/>
  <c r="BH17" i="25"/>
  <c r="I9" i="37"/>
  <c r="DF24" i="41"/>
  <c r="AU62" i="39"/>
  <c r="CR81" i="38"/>
  <c r="CU71" i="25"/>
  <c r="N57" i="26"/>
  <c r="BP17" i="41"/>
  <c r="S50" i="1"/>
  <c r="BQ24" i="41"/>
  <c r="AD12" i="39"/>
  <c r="K18" i="1"/>
  <c r="BV26" i="26"/>
  <c r="CW21" i="1"/>
  <c r="CS66" i="25"/>
  <c r="CM49" i="1"/>
  <c r="X30" i="1"/>
  <c r="CD24" i="25"/>
  <c r="BP67" i="41"/>
  <c r="DB17" i="37"/>
  <c r="CF67" i="38"/>
  <c r="CO103" i="40"/>
  <c r="CE57" i="37"/>
  <c r="CG12" i="36"/>
  <c r="AE102" i="40"/>
  <c r="DE59" i="25"/>
  <c r="BC59" i="39"/>
  <c r="I63" i="59"/>
  <c r="L69" i="64"/>
  <c r="I89" i="1"/>
  <c r="BD30" i="37"/>
  <c r="CF75" i="25"/>
  <c r="L81" i="60"/>
  <c r="CI30" i="25"/>
  <c r="H54" i="1"/>
  <c r="O47" i="59"/>
  <c r="AC45" i="36"/>
  <c r="L62" i="38"/>
  <c r="AC75" i="41"/>
  <c r="DC24" i="1"/>
  <c r="CQ89" i="25"/>
  <c r="AE65" i="26"/>
  <c r="M96" i="41"/>
  <c r="N48" i="59"/>
  <c r="BZ58" i="39"/>
  <c r="CV65" i="39"/>
  <c r="BC29" i="26"/>
  <c r="V49" i="37"/>
  <c r="AX49" i="26"/>
  <c r="AV60" i="1"/>
  <c r="P48" i="41"/>
  <c r="S50" i="26"/>
  <c r="CS57" i="25"/>
  <c r="BO37" i="26"/>
  <c r="CL50" i="36"/>
  <c r="AO12" i="1"/>
  <c r="AW96" i="37"/>
  <c r="CU12" i="39"/>
  <c r="H53" i="36"/>
  <c r="CR48" i="41"/>
  <c r="L57" i="36"/>
  <c r="S71" i="1"/>
  <c r="AF89" i="41"/>
  <c r="AE29" i="41"/>
  <c r="DF57" i="1"/>
  <c r="X98" i="41"/>
  <c r="CW21" i="26"/>
  <c r="K45" i="37"/>
  <c r="Z91" i="38"/>
  <c r="CT102" i="40"/>
  <c r="W21" i="25"/>
  <c r="CW10" i="40"/>
  <c r="BA25" i="38"/>
  <c r="BX12" i="38"/>
  <c r="AX92" i="38"/>
  <c r="S91" i="25"/>
  <c r="M59" i="26"/>
  <c r="AC34" i="1"/>
  <c r="DD61" i="26"/>
  <c r="CE79" i="40"/>
  <c r="AX92" i="36"/>
  <c r="AM21" i="25"/>
  <c r="CG9" i="38"/>
  <c r="AR18" i="40"/>
  <c r="AR54" i="37"/>
  <c r="H9" i="1"/>
  <c r="O52" i="59"/>
  <c r="BW21" i="1"/>
  <c r="H25" i="41"/>
  <c r="BI13" i="37"/>
  <c r="H89" i="36"/>
  <c r="AN50" i="41"/>
  <c r="CE48" i="38"/>
  <c r="CJ9" i="41"/>
  <c r="S91" i="40"/>
  <c r="AI65" i="40"/>
  <c r="BR75" i="37"/>
  <c r="CZ81" i="37"/>
  <c r="K76" i="60"/>
  <c r="AP21" i="40"/>
  <c r="AW54" i="41"/>
  <c r="T98" i="25"/>
  <c r="BB17" i="1"/>
  <c r="DF48" i="41"/>
  <c r="DE13" i="37"/>
  <c r="AV48" i="25"/>
  <c r="DC57" i="36"/>
  <c r="BR89" i="40"/>
  <c r="L47" i="64"/>
  <c r="L26" i="39"/>
  <c r="CB27" i="36"/>
  <c r="AB27" i="26"/>
  <c r="AB67" i="41"/>
  <c r="CL17" i="39"/>
  <c r="AC96" i="39"/>
  <c r="CT91" i="25"/>
  <c r="CZ91" i="36"/>
  <c r="CB62" i="26"/>
  <c r="CE103" i="26"/>
  <c r="S75" i="39"/>
  <c r="AR81" i="1"/>
  <c r="CW75" i="36"/>
  <c r="CM13" i="40"/>
  <c r="DA71" i="36"/>
  <c r="CX102" i="25"/>
  <c r="AR50" i="25"/>
  <c r="G48" i="64"/>
  <c r="CY50" i="41"/>
  <c r="BZ13" i="25"/>
  <c r="AW25" i="25"/>
  <c r="DE66" i="38"/>
  <c r="BO24" i="25"/>
  <c r="AW49" i="40"/>
  <c r="CZ48" i="1"/>
  <c r="AX25" i="26"/>
  <c r="BH58" i="38"/>
  <c r="BV49" i="39"/>
  <c r="CI81" i="26"/>
  <c r="CW67" i="39"/>
  <c r="AZ17" i="38"/>
  <c r="G13" i="60"/>
  <c r="BS50" i="36"/>
  <c r="AF81" i="37"/>
  <c r="M92" i="36"/>
  <c r="CX57" i="40"/>
  <c r="CG61" i="37"/>
  <c r="AR9" i="26"/>
  <c r="CI9" i="41"/>
  <c r="AT24" i="39"/>
  <c r="AS60" i="40"/>
  <c r="J91" i="25"/>
  <c r="AJ53" i="1"/>
  <c r="CQ57" i="26"/>
  <c r="BU29" i="39"/>
  <c r="Z27" i="40"/>
  <c r="BT60" i="25"/>
  <c r="CI45" i="26"/>
  <c r="AT71" i="40"/>
  <c r="BU12" i="37"/>
  <c r="AH60" i="36"/>
  <c r="AF98" i="39"/>
  <c r="BA57" i="37"/>
  <c r="BA24" i="25"/>
  <c r="K58" i="39"/>
  <c r="BZ66" i="39"/>
  <c r="CP49" i="36"/>
  <c r="DC29" i="39"/>
  <c r="BV54" i="41"/>
  <c r="CO65" i="39"/>
  <c r="CM57" i="36"/>
  <c r="BD25" i="40"/>
  <c r="DF58" i="40"/>
  <c r="M91" i="40"/>
  <c r="AT61" i="37"/>
  <c r="V45" i="40"/>
  <c r="AM10" i="40"/>
  <c r="G60" i="38"/>
  <c r="O50" i="1"/>
  <c r="CK10" i="40"/>
  <c r="P62" i="25"/>
  <c r="N75" i="40"/>
  <c r="N44" i="59"/>
  <c r="AM66" i="36"/>
  <c r="AJ17" i="36"/>
  <c r="BR81" i="36"/>
  <c r="AF13" i="37"/>
  <c r="AV13" i="39"/>
  <c r="DD18" i="1"/>
  <c r="CU67" i="1"/>
  <c r="BB30" i="1"/>
  <c r="CN65" i="37"/>
  <c r="AW54" i="39"/>
  <c r="G65" i="37"/>
  <c r="AD45" i="41"/>
  <c r="AT34" i="37"/>
  <c r="BY62" i="40"/>
  <c r="H81" i="37"/>
  <c r="Y27" i="1"/>
  <c r="J50" i="25"/>
  <c r="AE26" i="36"/>
  <c r="AV57" i="39"/>
  <c r="U27" i="26"/>
  <c r="X30" i="36"/>
  <c r="BC13" i="39"/>
  <c r="H93" i="64"/>
  <c r="CB92" i="26"/>
  <c r="I75" i="26"/>
  <c r="AM45" i="38"/>
  <c r="CP96" i="25"/>
  <c r="Y65" i="36"/>
  <c r="T59" i="41"/>
  <c r="CC18" i="36"/>
  <c r="BX57" i="37"/>
  <c r="AY34" i="41"/>
  <c r="BE49" i="37"/>
  <c r="CZ62" i="1"/>
  <c r="DC96" i="39"/>
  <c r="BZ53" i="1"/>
  <c r="BD21" i="39"/>
  <c r="AV13" i="25"/>
  <c r="Z18" i="37"/>
  <c r="AP60" i="26"/>
  <c r="P27" i="38"/>
  <c r="H92" i="36"/>
  <c r="AE59" i="37"/>
  <c r="CU103" i="25"/>
  <c r="AJ10" i="36"/>
  <c r="CA24" i="26"/>
  <c r="CO102" i="36"/>
  <c r="CY25" i="1"/>
  <c r="G98" i="41"/>
  <c r="AO71" i="40"/>
  <c r="BS34" i="40"/>
  <c r="CO25" i="38"/>
  <c r="BU29" i="38"/>
  <c r="BX98" i="36"/>
  <c r="Y67" i="25"/>
  <c r="CA96" i="41"/>
  <c r="I91" i="64"/>
  <c r="BQ57" i="40"/>
  <c r="AO50" i="37"/>
  <c r="K63" i="59"/>
  <c r="DE29" i="40"/>
  <c r="CJ29" i="36"/>
  <c r="AF75" i="40"/>
  <c r="CC79" i="40"/>
  <c r="G81" i="40"/>
  <c r="Z66" i="40"/>
  <c r="BC79" i="38"/>
  <c r="AT75" i="41"/>
  <c r="BA37" i="38"/>
  <c r="BB89" i="38"/>
  <c r="AM96" i="1"/>
  <c r="CJ29" i="38"/>
  <c r="CK60" i="37"/>
  <c r="J58" i="37"/>
  <c r="CL58" i="36"/>
  <c r="BT29" i="39"/>
  <c r="CX18" i="37"/>
  <c r="AU29" i="40"/>
  <c r="AZ98" i="37"/>
  <c r="BA9" i="41"/>
  <c r="I27" i="41"/>
  <c r="L8" i="59"/>
  <c r="AY13" i="40"/>
  <c r="I21" i="37"/>
  <c r="CW34" i="1"/>
  <c r="DF17" i="38"/>
  <c r="CM96" i="38"/>
  <c r="AG61" i="40"/>
  <c r="CX58" i="41"/>
  <c r="AT12" i="39"/>
  <c r="AU79" i="41"/>
  <c r="BH57" i="25"/>
  <c r="AY27" i="37"/>
  <c r="T79" i="26"/>
  <c r="P9" i="38"/>
  <c r="AV66" i="37"/>
  <c r="AM45" i="37"/>
  <c r="AU27" i="38"/>
  <c r="BD25" i="1"/>
  <c r="O34" i="38"/>
  <c r="CG62" i="39"/>
  <c r="AB12" i="26"/>
  <c r="BT50" i="39"/>
  <c r="BZ53" i="40"/>
  <c r="CZ34" i="38"/>
  <c r="AF65" i="36"/>
  <c r="AE66" i="38"/>
  <c r="CZ57" i="25"/>
  <c r="I71" i="41"/>
  <c r="K67" i="46"/>
  <c r="N65" i="36"/>
  <c r="CH92" i="39"/>
  <c r="CP24" i="39"/>
  <c r="J86" i="64"/>
  <c r="CY71" i="36"/>
  <c r="CV60" i="41"/>
  <c r="S26" i="38"/>
  <c r="DD65" i="1"/>
  <c r="CR103" i="41"/>
  <c r="CI92" i="39"/>
  <c r="BA30" i="36"/>
  <c r="BU18" i="39"/>
  <c r="E76" i="64"/>
  <c r="AD59" i="38"/>
  <c r="DB89" i="39"/>
  <c r="CA103" i="26"/>
  <c r="DC37" i="38"/>
  <c r="AO58" i="1"/>
  <c r="CX27" i="38"/>
  <c r="CS49" i="41"/>
  <c r="CY102" i="40"/>
  <c r="H87" i="60"/>
  <c r="AI98" i="39"/>
  <c r="CS26" i="25"/>
  <c r="O25" i="38"/>
  <c r="V12" i="1"/>
  <c r="CF45" i="39"/>
  <c r="AA98" i="40"/>
  <c r="BA62" i="26"/>
  <c r="BD50" i="26"/>
  <c r="CE57" i="41"/>
  <c r="CG9" i="25"/>
  <c r="BB311" i="47"/>
  <c r="CF48" i="36"/>
  <c r="G51" i="46"/>
  <c r="AD48" i="39"/>
  <c r="CD48" i="39"/>
  <c r="CP13" i="1"/>
  <c r="AY45" i="37"/>
  <c r="CQ102" i="26"/>
  <c r="AN29" i="38"/>
  <c r="CL79" i="41"/>
  <c r="BE81" i="36"/>
  <c r="AT58" i="25"/>
  <c r="CM9" i="25"/>
  <c r="CL30" i="37"/>
  <c r="AG49" i="40"/>
  <c r="CJ75" i="36"/>
  <c r="AF79" i="26"/>
  <c r="BD121" i="47"/>
  <c r="K29" i="38"/>
  <c r="CS89" i="38"/>
  <c r="AC66" i="1"/>
  <c r="CN59" i="40"/>
  <c r="BT89" i="39"/>
  <c r="CL89" i="1"/>
  <c r="DA96" i="26"/>
  <c r="BO18" i="26"/>
  <c r="BA26" i="1"/>
  <c r="AX53" i="37"/>
  <c r="O24" i="41"/>
  <c r="BI59" i="38"/>
  <c r="CY27" i="25"/>
  <c r="J96" i="36"/>
  <c r="BY71" i="39"/>
  <c r="CS67" i="39"/>
  <c r="CP92" i="37"/>
  <c r="I28" i="59"/>
  <c r="Y91" i="25"/>
  <c r="CI37" i="26"/>
  <c r="CF30" i="36"/>
  <c r="BH17" i="39"/>
  <c r="DD103" i="39"/>
  <c r="BQ17" i="37"/>
  <c r="AI53" i="41"/>
  <c r="CT54" i="40"/>
  <c r="G81" i="39"/>
  <c r="BE105" i="47"/>
  <c r="AP37" i="41"/>
  <c r="P91" i="25"/>
  <c r="CI49" i="41"/>
  <c r="J79" i="1"/>
  <c r="CY45" i="38"/>
  <c r="CP65" i="25"/>
  <c r="BC104" i="47"/>
  <c r="S13" i="38"/>
  <c r="M67" i="39"/>
  <c r="CU58" i="26"/>
  <c r="BD60" i="1"/>
  <c r="O96" i="1"/>
  <c r="AP27" i="38"/>
  <c r="BU26" i="41"/>
  <c r="M62" i="38"/>
  <c r="CN9" i="40"/>
  <c r="M98" i="38"/>
  <c r="AM61" i="39"/>
  <c r="AA50" i="40"/>
  <c r="AB67" i="1"/>
  <c r="M58" i="1"/>
  <c r="CA65" i="1"/>
  <c r="F23" i="60"/>
  <c r="BX103" i="1"/>
  <c r="CL81" i="39"/>
  <c r="BH25" i="37"/>
  <c r="P53" i="38"/>
  <c r="DF65" i="25"/>
  <c r="CQ25" i="26"/>
  <c r="CY67" i="36"/>
  <c r="N46" i="59"/>
  <c r="DC48" i="41"/>
  <c r="M16" i="60"/>
  <c r="AZ30" i="37"/>
  <c r="CX34" i="40"/>
  <c r="BC107" i="47"/>
  <c r="CK27" i="39"/>
  <c r="AP89" i="41"/>
  <c r="AC66" i="39"/>
  <c r="AV75" i="41"/>
  <c r="O49" i="40"/>
  <c r="CW67" i="38"/>
  <c r="AS25" i="36"/>
  <c r="Z29" i="39"/>
  <c r="CD92" i="37"/>
  <c r="U53" i="37"/>
  <c r="CK71" i="1"/>
  <c r="CC30" i="36"/>
  <c r="CV103" i="39"/>
  <c r="AG65" i="25"/>
  <c r="BH66" i="37"/>
  <c r="L75" i="60"/>
  <c r="Z53" i="38"/>
  <c r="CA10" i="39"/>
  <c r="AX12" i="37"/>
  <c r="BT57" i="41"/>
  <c r="E49" i="64"/>
  <c r="BU34" i="25"/>
  <c r="U71" i="26"/>
  <c r="AY96" i="36"/>
  <c r="BZ102" i="39"/>
  <c r="CK91" i="40"/>
  <c r="AN12" i="37"/>
  <c r="W18" i="25"/>
  <c r="BE81" i="41"/>
  <c r="BX66" i="39"/>
  <c r="DF98" i="1"/>
  <c r="AP62" i="37"/>
  <c r="AF54" i="26"/>
  <c r="CY58" i="37"/>
  <c r="K86" i="60"/>
  <c r="CR75" i="40"/>
  <c r="G98" i="39"/>
  <c r="I26" i="1"/>
  <c r="M48" i="64"/>
  <c r="CR9" i="41"/>
  <c r="AC60" i="26"/>
  <c r="AP89" i="26"/>
  <c r="DC25" i="1"/>
  <c r="AR54" i="41"/>
  <c r="AU65" i="37"/>
  <c r="BX75" i="41"/>
  <c r="N75" i="37"/>
  <c r="BH75" i="41"/>
  <c r="AH34" i="41"/>
  <c r="BX25" i="37"/>
  <c r="CZ13" i="26"/>
  <c r="CM92" i="25"/>
  <c r="BH98" i="36"/>
  <c r="BP49" i="36"/>
  <c r="AX62" i="41"/>
  <c r="X9" i="1"/>
  <c r="CS54" i="36"/>
  <c r="CN49" i="37"/>
  <c r="CP17" i="39"/>
  <c r="CA65" i="36"/>
  <c r="CB45" i="39"/>
  <c r="AF30" i="37"/>
  <c r="S61" i="26"/>
  <c r="CB60" i="25"/>
  <c r="CX26" i="39"/>
  <c r="DD37" i="25"/>
  <c r="BH13" i="1"/>
  <c r="CI96" i="38"/>
  <c r="DE53" i="1"/>
  <c r="CE13" i="41"/>
  <c r="K9" i="25"/>
  <c r="AB34" i="39"/>
  <c r="BZ34" i="1"/>
  <c r="CC27" i="40"/>
  <c r="P9" i="26"/>
  <c r="CL89" i="26"/>
  <c r="CT9" i="38"/>
  <c r="CB75" i="25"/>
  <c r="W24" i="37"/>
  <c r="N17" i="40"/>
  <c r="DD34" i="41"/>
  <c r="BR67" i="26"/>
  <c r="J48" i="37"/>
  <c r="DF60" i="25"/>
  <c r="CL60" i="40"/>
  <c r="CZ48" i="40"/>
  <c r="I59" i="36"/>
  <c r="BE12" i="38"/>
  <c r="I16" i="46"/>
  <c r="AI37" i="37"/>
  <c r="CG98" i="25"/>
  <c r="CJ81" i="41"/>
  <c r="BO24" i="39"/>
  <c r="CQ98" i="39"/>
  <c r="BB308" i="47"/>
  <c r="U30" i="40"/>
  <c r="BR49" i="1"/>
  <c r="N37" i="38"/>
  <c r="L45" i="38"/>
  <c r="AH54" i="40"/>
  <c r="T30" i="1"/>
  <c r="I13" i="60"/>
  <c r="BA57" i="1"/>
  <c r="CK71" i="26"/>
  <c r="CQ48" i="1"/>
  <c r="AP102" i="25"/>
  <c r="AX30" i="26"/>
  <c r="S24" i="26"/>
  <c r="AH79" i="37"/>
  <c r="K54" i="59"/>
  <c r="CQ98" i="36"/>
  <c r="CO21" i="26"/>
  <c r="Z57" i="41"/>
  <c r="CF21" i="26"/>
  <c r="CH25" i="1"/>
  <c r="CY54" i="26"/>
  <c r="CQ89" i="1"/>
  <c r="CC57" i="26"/>
  <c r="AV18" i="25"/>
  <c r="CR98" i="38"/>
  <c r="U37" i="1"/>
  <c r="AD60" i="1"/>
  <c r="AV91" i="25"/>
  <c r="BS98" i="38"/>
  <c r="M37" i="59"/>
  <c r="CR45" i="26"/>
  <c r="AA13" i="26"/>
  <c r="AX17" i="41"/>
  <c r="BE13" i="39"/>
  <c r="CW62" i="36"/>
  <c r="K96" i="40"/>
  <c r="CS98" i="25"/>
  <c r="BX25" i="36"/>
  <c r="O59" i="36"/>
  <c r="CM96" i="36"/>
  <c r="CU17" i="40"/>
  <c r="BR81" i="37"/>
  <c r="BD49" i="41"/>
  <c r="BD60" i="36"/>
  <c r="BO65" i="26"/>
  <c r="AJ50" i="25"/>
  <c r="BI75" i="26"/>
  <c r="Y61" i="38"/>
  <c r="BS26" i="25"/>
  <c r="CB53" i="41"/>
  <c r="BV67" i="36"/>
  <c r="M57" i="40"/>
  <c r="DF45" i="38"/>
  <c r="I59" i="40"/>
  <c r="CZ61" i="25"/>
  <c r="DD24" i="1"/>
  <c r="BO61" i="25"/>
  <c r="BI57" i="25"/>
  <c r="H46" i="60"/>
  <c r="AR34" i="25"/>
  <c r="AB92" i="36"/>
  <c r="BO26" i="41"/>
  <c r="AC34" i="25"/>
  <c r="AY48" i="38"/>
  <c r="AU48" i="25"/>
  <c r="AM50" i="41"/>
  <c r="H49" i="26"/>
  <c r="CC89" i="41"/>
  <c r="AY91" i="40"/>
  <c r="E69" i="64"/>
  <c r="AF98" i="37"/>
  <c r="O25" i="36"/>
  <c r="CA49" i="37"/>
  <c r="CF17" i="39"/>
  <c r="AE27" i="25"/>
  <c r="CN62" i="1"/>
  <c r="AS79" i="36"/>
  <c r="CV53" i="1"/>
  <c r="CU21" i="1"/>
  <c r="AA34" i="41"/>
  <c r="DC98" i="25"/>
  <c r="CJ9" i="38"/>
  <c r="AR60" i="26"/>
  <c r="I61" i="39"/>
  <c r="AA58" i="37"/>
  <c r="CE60" i="39"/>
  <c r="BS67" i="37"/>
  <c r="CG102" i="36"/>
  <c r="J53" i="36"/>
  <c r="CH53" i="38"/>
  <c r="DC81" i="39"/>
  <c r="Y17" i="36"/>
  <c r="DE17" i="38"/>
  <c r="CL67" i="26"/>
  <c r="CH89" i="38"/>
  <c r="AW92" i="25"/>
  <c r="AH25" i="37"/>
  <c r="AS21" i="26"/>
  <c r="DA48" i="36"/>
  <c r="BU37" i="40"/>
  <c r="Y9" i="39"/>
  <c r="DC50" i="36"/>
  <c r="CX45" i="41"/>
  <c r="V48" i="1"/>
  <c r="AT37" i="36"/>
  <c r="J45" i="37"/>
  <c r="BB67" i="25"/>
  <c r="AN48" i="39"/>
  <c r="H52" i="64"/>
  <c r="CW92" i="36"/>
  <c r="BW91" i="38"/>
  <c r="CQ53" i="26"/>
  <c r="BY98" i="40"/>
  <c r="CW29" i="37"/>
  <c r="L27" i="1"/>
  <c r="CC37" i="41"/>
  <c r="M66" i="37"/>
  <c r="BQ103" i="37"/>
  <c r="CT37" i="37"/>
  <c r="AO12" i="41"/>
  <c r="BH98" i="1"/>
  <c r="BD81" i="41"/>
  <c r="DC34" i="39"/>
  <c r="AB66" i="36"/>
  <c r="CU75" i="39"/>
  <c r="Y61" i="40"/>
  <c r="DE45" i="39"/>
  <c r="BA66" i="25"/>
  <c r="AJ92" i="41"/>
  <c r="DB53" i="38"/>
  <c r="BH49" i="26"/>
  <c r="AR25" i="25"/>
  <c r="AX75" i="37"/>
  <c r="BX102" i="37"/>
  <c r="BH91" i="39"/>
  <c r="BD24" i="39"/>
  <c r="L21" i="38"/>
  <c r="O61" i="41"/>
  <c r="BD45" i="26"/>
  <c r="AU9" i="41"/>
  <c r="AC71" i="38"/>
  <c r="CA103" i="36"/>
  <c r="BB12" i="37"/>
  <c r="AU91" i="36"/>
  <c r="BP29" i="41"/>
  <c r="CK21" i="38"/>
  <c r="AG12" i="38"/>
  <c r="CK81" i="40"/>
  <c r="DF103" i="38"/>
  <c r="AP17" i="39"/>
  <c r="AB66" i="39"/>
  <c r="AY57" i="37"/>
  <c r="CT25" i="37"/>
  <c r="AG62" i="26"/>
  <c r="CX102" i="39"/>
  <c r="CO34" i="38"/>
  <c r="BV30" i="39"/>
  <c r="G21" i="40"/>
  <c r="AT92" i="37"/>
  <c r="AY13" i="38"/>
  <c r="BY26" i="41"/>
  <c r="AD91" i="25"/>
  <c r="AA67" i="37"/>
  <c r="BI37" i="1"/>
  <c r="CG53" i="1"/>
  <c r="X92" i="38"/>
  <c r="H49" i="36"/>
  <c r="M64" i="64"/>
  <c r="DA102" i="39"/>
  <c r="AT50" i="38"/>
  <c r="H69" i="60"/>
  <c r="CF24" i="39"/>
  <c r="AJ30" i="39"/>
  <c r="BE34" i="39"/>
  <c r="AD61" i="36"/>
  <c r="AA66" i="25"/>
  <c r="CT12" i="1"/>
  <c r="K17" i="40"/>
  <c r="CX62" i="38"/>
  <c r="M57" i="59"/>
  <c r="P98" i="36"/>
  <c r="L89" i="40"/>
  <c r="AI13" i="26"/>
  <c r="BU17" i="36"/>
  <c r="K60" i="25"/>
  <c r="K51" i="64"/>
  <c r="AH21" i="36"/>
  <c r="N50" i="41"/>
  <c r="BZ13" i="37"/>
  <c r="BI26" i="41"/>
  <c r="DE96" i="25"/>
  <c r="BA314" i="47"/>
  <c r="N53" i="1"/>
  <c r="AI62" i="26"/>
  <c r="BD102" i="36"/>
  <c r="AR25" i="41"/>
  <c r="BB18" i="41"/>
  <c r="BC91" i="41"/>
  <c r="AW60" i="36"/>
  <c r="BO89" i="41"/>
  <c r="CW96" i="38"/>
  <c r="DD75" i="37"/>
  <c r="BW67" i="39"/>
  <c r="CH59" i="41"/>
  <c r="AB54" i="41"/>
  <c r="H60" i="39"/>
  <c r="AW18" i="26"/>
  <c r="CP12" i="37"/>
  <c r="AG81" i="1"/>
  <c r="BS9" i="38"/>
  <c r="CG10" i="25"/>
  <c r="CJ96" i="36"/>
  <c r="CA53" i="1"/>
  <c r="BW79" i="26"/>
  <c r="CS24" i="25"/>
  <c r="N71" i="37"/>
  <c r="CF59" i="40"/>
  <c r="CY59" i="26"/>
  <c r="BZ89" i="26"/>
  <c r="N29" i="38"/>
  <c r="AU18" i="25"/>
  <c r="CF65" i="26"/>
  <c r="AG17" i="41"/>
  <c r="BP65" i="39"/>
  <c r="AX57" i="38"/>
  <c r="BH13" i="40"/>
  <c r="AO30" i="40"/>
  <c r="AS71" i="40"/>
  <c r="P48" i="1"/>
  <c r="CH30" i="1"/>
  <c r="CV34" i="37"/>
  <c r="BO65" i="40"/>
  <c r="AX58" i="37"/>
  <c r="CS91" i="36"/>
  <c r="DE71" i="37"/>
  <c r="BC29" i="36"/>
  <c r="G89" i="64"/>
  <c r="Y91" i="36"/>
  <c r="BW27" i="26"/>
  <c r="N54" i="59"/>
  <c r="AS60" i="39"/>
  <c r="CM29" i="25"/>
  <c r="BY79" i="39"/>
  <c r="AY96" i="41"/>
  <c r="I45" i="36"/>
  <c r="BC60" i="40"/>
  <c r="BI58" i="36"/>
  <c r="AY50" i="36"/>
  <c r="BS75" i="40"/>
  <c r="BT58" i="26"/>
  <c r="AW49" i="38"/>
  <c r="G45" i="26"/>
  <c r="G98" i="25"/>
  <c r="BE71" i="37"/>
  <c r="CQ59" i="37"/>
  <c r="BE59" i="40"/>
  <c r="AY314" i="47"/>
  <c r="CQ26" i="39"/>
  <c r="BD66" i="37"/>
  <c r="AH27" i="26"/>
  <c r="BP91" i="36"/>
  <c r="BX21" i="41"/>
  <c r="AX58" i="1"/>
  <c r="BH79" i="26"/>
  <c r="AA96" i="38"/>
  <c r="BE53" i="25"/>
  <c r="CC17" i="25"/>
  <c r="CA25" i="26"/>
  <c r="CM67" i="38"/>
  <c r="CI27" i="25"/>
  <c r="AS61" i="26"/>
  <c r="AT18" i="37"/>
  <c r="CN67" i="41"/>
  <c r="O13" i="26"/>
  <c r="BB34" i="36"/>
  <c r="DB65" i="39"/>
  <c r="CV67" i="39"/>
  <c r="DA18" i="40"/>
  <c r="AO26" i="38"/>
  <c r="AG59" i="37"/>
  <c r="BY58" i="26"/>
  <c r="CT26" i="40"/>
  <c r="F14" i="64"/>
  <c r="BX13" i="41"/>
  <c r="AT13" i="37"/>
  <c r="Y37" i="36"/>
  <c r="AW54" i="1"/>
  <c r="BZ48" i="38"/>
  <c r="AA24" i="37"/>
  <c r="DD67" i="1"/>
  <c r="Z60" i="39"/>
  <c r="CL26" i="1"/>
  <c r="S27" i="41"/>
  <c r="U91" i="1"/>
  <c r="CB37" i="38"/>
  <c r="AX102" i="36"/>
  <c r="CO89" i="26"/>
  <c r="Z65" i="37"/>
  <c r="W79" i="39"/>
  <c r="BI37" i="39"/>
  <c r="AG60" i="25"/>
  <c r="DB59" i="40"/>
  <c r="CO45" i="40"/>
  <c r="AB58" i="40"/>
  <c r="DE103" i="38"/>
  <c r="AV50" i="26"/>
  <c r="I50" i="40"/>
  <c r="BV9" i="37"/>
  <c r="DC29" i="40"/>
  <c r="AZ60" i="39"/>
  <c r="CN66" i="25"/>
  <c r="BA45" i="39"/>
  <c r="T65" i="36"/>
  <c r="AS29" i="36"/>
  <c r="AP17" i="38"/>
  <c r="DF18" i="40"/>
  <c r="AY67" i="25"/>
  <c r="AF37" i="40"/>
  <c r="AT13" i="39"/>
  <c r="H67" i="1"/>
  <c r="BU54" i="1"/>
  <c r="AO61" i="40"/>
  <c r="BX89" i="39"/>
  <c r="BY27" i="36"/>
  <c r="AM30" i="40"/>
  <c r="X75" i="39"/>
  <c r="BH48" i="41"/>
  <c r="BU12" i="1"/>
  <c r="CB66" i="26"/>
  <c r="AV60" i="26"/>
  <c r="BX9" i="1"/>
  <c r="CW29" i="1"/>
  <c r="BV53" i="41"/>
  <c r="X12" i="37"/>
  <c r="H59" i="37"/>
  <c r="H26" i="40"/>
  <c r="DF45" i="1"/>
  <c r="CQ48" i="39"/>
  <c r="H30" i="1"/>
  <c r="L49" i="64"/>
  <c r="BT27" i="37"/>
  <c r="M67" i="37"/>
  <c r="BY91" i="25"/>
  <c r="BE91" i="38"/>
  <c r="CU29" i="39"/>
  <c r="CY92" i="26"/>
  <c r="U27" i="39"/>
  <c r="CX37" i="38"/>
  <c r="CN96" i="25"/>
  <c r="AQ49" i="38"/>
  <c r="AO92" i="39"/>
  <c r="CG62" i="38"/>
  <c r="CG9" i="37"/>
  <c r="AR81" i="40"/>
  <c r="CS54" i="41"/>
  <c r="BP89" i="41"/>
  <c r="BZ62" i="37"/>
  <c r="U60" i="36"/>
  <c r="Y59" i="26"/>
  <c r="BU49" i="25"/>
  <c r="BZ58" i="37"/>
  <c r="AW58" i="1"/>
  <c r="DB37" i="36"/>
  <c r="CF79" i="37"/>
  <c r="J92" i="26"/>
  <c r="AR62" i="1"/>
  <c r="CT48" i="26"/>
  <c r="U61" i="41"/>
  <c r="CG27" i="1"/>
  <c r="Z34" i="41"/>
  <c r="AS45" i="41"/>
  <c r="CD71" i="25"/>
  <c r="CU48" i="36"/>
  <c r="K10" i="60"/>
  <c r="X79" i="1"/>
  <c r="BV48" i="40"/>
  <c r="AA12" i="40"/>
  <c r="CR65" i="37"/>
  <c r="CV37" i="25"/>
  <c r="AV60" i="41"/>
  <c r="CF89" i="39"/>
  <c r="AH81" i="1"/>
  <c r="BQ60" i="25"/>
  <c r="CX66" i="41"/>
  <c r="CL9" i="37"/>
  <c r="J24" i="25"/>
  <c r="V24" i="41"/>
  <c r="AE79" i="1"/>
  <c r="BT24" i="25"/>
  <c r="BU45" i="39"/>
  <c r="DC12" i="1"/>
  <c r="CX27" i="26"/>
  <c r="BT48" i="25"/>
  <c r="CN54" i="25"/>
  <c r="CB13" i="25"/>
  <c r="CG62" i="1"/>
  <c r="G50" i="64"/>
  <c r="AB67" i="40"/>
  <c r="S50" i="40"/>
  <c r="BV92" i="26"/>
  <c r="CT81" i="41"/>
  <c r="K57" i="60"/>
  <c r="BI27" i="36"/>
  <c r="AC45" i="1"/>
  <c r="W27" i="38"/>
  <c r="BB54" i="41"/>
  <c r="BV81" i="25"/>
  <c r="AO79" i="25"/>
  <c r="AI12" i="41"/>
  <c r="T75" i="38"/>
  <c r="CS9" i="40"/>
  <c r="AZ53" i="37"/>
  <c r="BY27" i="26"/>
  <c r="DA48" i="39"/>
  <c r="CT34" i="38"/>
  <c r="BS62" i="41"/>
  <c r="DB79" i="38"/>
  <c r="AZ30" i="41"/>
  <c r="CI18" i="39"/>
  <c r="AI102" i="41"/>
  <c r="BI37" i="37"/>
  <c r="DE53" i="39"/>
  <c r="DF9" i="26"/>
  <c r="BX75" i="36"/>
  <c r="CY81" i="41"/>
  <c r="CM102" i="40"/>
  <c r="X67" i="36"/>
  <c r="CU18" i="40"/>
  <c r="CH26" i="38"/>
  <c r="J29" i="25"/>
  <c r="BC54" i="25"/>
  <c r="DE59" i="37"/>
  <c r="AQ26" i="40"/>
  <c r="BR18" i="25"/>
  <c r="J70" i="64"/>
  <c r="AH102" i="38"/>
  <c r="AW66" i="40"/>
  <c r="DB48" i="36"/>
  <c r="AF34" i="41"/>
  <c r="Y79" i="40"/>
  <c r="AX62" i="37"/>
  <c r="CF96" i="36"/>
  <c r="T27" i="25"/>
  <c r="CZ81" i="38"/>
  <c r="M21" i="1"/>
  <c r="L88" i="60"/>
  <c r="CU71" i="38"/>
  <c r="Z81" i="38"/>
  <c r="BD18" i="39"/>
  <c r="CJ102" i="41"/>
  <c r="CN58" i="38"/>
  <c r="CR21" i="26"/>
  <c r="CY18" i="1"/>
  <c r="DB13" i="40"/>
  <c r="Y71" i="1"/>
  <c r="CR37" i="1"/>
  <c r="BZ10" i="26"/>
  <c r="AI96" i="26"/>
  <c r="BZ71" i="37"/>
  <c r="CS9" i="37"/>
  <c r="U12" i="25"/>
  <c r="CT67" i="25"/>
  <c r="AY247" i="47"/>
  <c r="V29" i="38"/>
  <c r="CU13" i="41"/>
  <c r="AY48" i="39"/>
  <c r="G65" i="39"/>
  <c r="CD24" i="37"/>
  <c r="BO10" i="40"/>
  <c r="AF102" i="39"/>
  <c r="CI13" i="25"/>
  <c r="J25" i="36"/>
  <c r="T49" i="39"/>
  <c r="BO24" i="40"/>
  <c r="AT59" i="38"/>
  <c r="BY89" i="26"/>
  <c r="CE102" i="26"/>
  <c r="BA71" i="38"/>
  <c r="CT98" i="37"/>
  <c r="U26" i="39"/>
  <c r="M92" i="41"/>
  <c r="AA60" i="39"/>
  <c r="BW27" i="37"/>
  <c r="BQ18" i="36"/>
  <c r="BR10" i="37"/>
  <c r="AA61" i="36"/>
  <c r="AI91" i="36"/>
  <c r="CA65" i="38"/>
  <c r="DD58" i="26"/>
  <c r="AU10" i="36"/>
  <c r="AF60" i="37"/>
  <c r="BH48" i="38"/>
  <c r="CZ18" i="40"/>
  <c r="CZ21" i="26"/>
  <c r="AI13" i="25"/>
  <c r="AA21" i="26"/>
  <c r="AS13" i="38"/>
  <c r="CY60" i="39"/>
  <c r="N81" i="38"/>
  <c r="CM37" i="37"/>
  <c r="BE34" i="40"/>
  <c r="AE58" i="41"/>
  <c r="BB30" i="25"/>
  <c r="AI48" i="41"/>
  <c r="BB92" i="1"/>
  <c r="BI45" i="39"/>
  <c r="X67" i="40"/>
  <c r="CD13" i="37"/>
  <c r="BV59" i="26"/>
  <c r="AJ57" i="41"/>
  <c r="P29" i="41"/>
  <c r="W27" i="25"/>
  <c r="BU103" i="41"/>
  <c r="AU60" i="25"/>
  <c r="CV75" i="38"/>
  <c r="AC71" i="41"/>
  <c r="AM29" i="26"/>
  <c r="CG66" i="1"/>
  <c r="CD34" i="36"/>
  <c r="BQ10" i="39"/>
  <c r="AN21" i="38"/>
  <c r="BS54" i="40"/>
  <c r="H17" i="26"/>
  <c r="CH57" i="26"/>
  <c r="AO75" i="41"/>
  <c r="AC98" i="40"/>
  <c r="CI29" i="40"/>
  <c r="CK49" i="41"/>
  <c r="CG58" i="36"/>
  <c r="DB61" i="38"/>
  <c r="BR29" i="37"/>
  <c r="BV17" i="40"/>
  <c r="AN30" i="40"/>
  <c r="AC71" i="36"/>
  <c r="CV30" i="26"/>
  <c r="CG10" i="36"/>
  <c r="U53" i="25"/>
  <c r="L72" i="60"/>
  <c r="CJ58" i="37"/>
  <c r="BC233" i="47"/>
  <c r="W61" i="26"/>
  <c r="BI62" i="25"/>
  <c r="DB18" i="41"/>
  <c r="U24" i="40"/>
  <c r="S96" i="1"/>
  <c r="CB102" i="25"/>
  <c r="CQ98" i="37"/>
  <c r="BI50" i="41"/>
  <c r="E12" i="64"/>
  <c r="DC102" i="36"/>
  <c r="AB92" i="37"/>
  <c r="CL65" i="1"/>
  <c r="CD75" i="1"/>
  <c r="BX34" i="41"/>
  <c r="AB18" i="26"/>
  <c r="AZ91" i="1"/>
  <c r="AN49" i="26"/>
  <c r="AZ21" i="40"/>
  <c r="Y62" i="41"/>
  <c r="CQ49" i="39"/>
  <c r="AC18" i="36"/>
  <c r="CB10" i="38"/>
  <c r="AJ9" i="37"/>
  <c r="CS60" i="36"/>
  <c r="AM66" i="25"/>
  <c r="CE71" i="26"/>
  <c r="BS102" i="39"/>
  <c r="AM67" i="41"/>
  <c r="BU91" i="39"/>
  <c r="CW24" i="37"/>
  <c r="AZ27" i="41"/>
  <c r="CC75" i="40"/>
  <c r="CS9" i="1"/>
  <c r="K11" i="64"/>
  <c r="AV71" i="39"/>
  <c r="CD53" i="26"/>
  <c r="CB13" i="39"/>
  <c r="X26" i="39"/>
  <c r="AM27" i="40"/>
  <c r="AO58" i="37"/>
  <c r="O75" i="40"/>
  <c r="AZ92" i="1"/>
  <c r="BQ48" i="39"/>
  <c r="DC65" i="38"/>
  <c r="Z25" i="38"/>
  <c r="AE21" i="38"/>
  <c r="AY106" i="47"/>
  <c r="AQ79" i="25"/>
  <c r="Z96" i="36"/>
  <c r="CN91" i="39"/>
  <c r="DA59" i="37"/>
  <c r="BI30" i="25"/>
  <c r="BW65" i="38"/>
  <c r="AE65" i="37"/>
  <c r="CL27" i="36"/>
  <c r="CQ91" i="1"/>
  <c r="AE81" i="1"/>
  <c r="AT45" i="36"/>
  <c r="BC30" i="26"/>
  <c r="CQ17" i="41"/>
  <c r="CX96" i="25"/>
  <c r="CU62" i="37"/>
  <c r="V67" i="41"/>
  <c r="U13" i="41"/>
  <c r="CB65" i="40"/>
  <c r="O50" i="59"/>
  <c r="V10" i="41"/>
  <c r="AN24" i="39"/>
  <c r="AZ9" i="36"/>
  <c r="BS18" i="37"/>
  <c r="CH17" i="40"/>
  <c r="BQ21" i="25"/>
  <c r="BX18" i="25"/>
  <c r="AG60" i="26"/>
  <c r="BT65" i="38"/>
  <c r="CI91" i="39"/>
  <c r="BS48" i="39"/>
  <c r="AB29" i="26"/>
  <c r="DA24" i="39"/>
  <c r="CP62" i="1"/>
  <c r="BA57" i="26"/>
  <c r="J56" i="60"/>
  <c r="CH9" i="41"/>
  <c r="BQ96" i="36"/>
  <c r="CS96" i="26"/>
  <c r="H27" i="40"/>
  <c r="BX57" i="38"/>
  <c r="BE9" i="26"/>
  <c r="AS102" i="36"/>
  <c r="CJ29" i="39"/>
  <c r="AA54" i="1"/>
  <c r="BO59" i="1"/>
  <c r="DC103" i="36"/>
  <c r="CV27" i="41"/>
  <c r="O37" i="37"/>
  <c r="BD71" i="40"/>
  <c r="I15" i="64"/>
  <c r="DC58" i="41"/>
  <c r="BO48" i="25"/>
  <c r="AM29" i="1"/>
  <c r="CU66" i="40"/>
  <c r="AT75" i="37"/>
  <c r="Z29" i="37"/>
  <c r="AO10" i="1"/>
  <c r="CO10" i="38"/>
  <c r="CQ81" i="26"/>
  <c r="T79" i="25"/>
  <c r="CD66" i="25"/>
  <c r="DA61" i="40"/>
  <c r="M98" i="40"/>
  <c r="DA12" i="40"/>
  <c r="X24" i="37"/>
  <c r="W66" i="41"/>
  <c r="AO18" i="39"/>
  <c r="BA92" i="39"/>
  <c r="CO62" i="41"/>
  <c r="BX59" i="38"/>
  <c r="BA48" i="41"/>
  <c r="W50" i="25"/>
  <c r="CX25" i="25"/>
  <c r="I45" i="37"/>
  <c r="Y58" i="36"/>
  <c r="AC91" i="40"/>
  <c r="BI48" i="38"/>
  <c r="DA75" i="41"/>
  <c r="DE61" i="26"/>
  <c r="K59" i="41"/>
  <c r="AT34" i="1"/>
  <c r="M27" i="41"/>
  <c r="DD61" i="41"/>
  <c r="BH27" i="41"/>
  <c r="AJ89" i="1"/>
  <c r="BD27" i="39"/>
  <c r="AR67" i="39"/>
  <c r="BS17" i="36"/>
  <c r="BT34" i="38"/>
  <c r="AX81" i="36"/>
  <c r="BH49" i="38"/>
  <c r="DA57" i="1"/>
  <c r="H58" i="38"/>
  <c r="AQ58" i="1"/>
  <c r="Z37" i="36"/>
  <c r="CW26" i="41"/>
  <c r="S59" i="37"/>
  <c r="CN71" i="36"/>
  <c r="CA26" i="39"/>
  <c r="AZ96" i="40"/>
  <c r="AX91" i="36"/>
  <c r="Z10" i="25"/>
  <c r="BS49" i="1"/>
  <c r="CT18" i="26"/>
  <c r="AF57" i="38"/>
  <c r="AG60" i="36"/>
  <c r="DC102" i="37"/>
  <c r="AA59" i="25"/>
  <c r="G30" i="38"/>
  <c r="AX29" i="41"/>
  <c r="BU79" i="37"/>
  <c r="AP34" i="39"/>
  <c r="AG29" i="36"/>
  <c r="K13" i="38"/>
  <c r="AW92" i="41"/>
  <c r="L66" i="26"/>
  <c r="AZ45" i="39"/>
  <c r="BI66" i="41"/>
  <c r="AX57" i="26"/>
  <c r="AV79" i="1"/>
  <c r="T48" i="26"/>
  <c r="M48" i="38"/>
  <c r="AS53" i="39"/>
  <c r="CF17" i="1"/>
  <c r="BP30" i="39"/>
  <c r="AE92" i="25"/>
  <c r="AT59" i="41"/>
  <c r="AH66" i="26"/>
  <c r="BB58" i="26"/>
  <c r="J91" i="36"/>
  <c r="CV61" i="36"/>
  <c r="I91" i="38"/>
  <c r="M96" i="36"/>
  <c r="DC75" i="37"/>
  <c r="CS103" i="38"/>
  <c r="AO37" i="1"/>
  <c r="AG25" i="40"/>
  <c r="I37" i="41"/>
  <c r="AV10" i="41"/>
  <c r="BT103" i="37"/>
  <c r="I53" i="39"/>
  <c r="AY50" i="37"/>
  <c r="AP53" i="1"/>
  <c r="BT18" i="40"/>
  <c r="H17" i="25"/>
  <c r="DC58" i="40"/>
  <c r="BS62" i="26"/>
  <c r="BY91" i="36"/>
  <c r="CK18" i="1"/>
  <c r="AA54" i="39"/>
  <c r="G26" i="38"/>
  <c r="S67" i="38"/>
  <c r="AJ89" i="38"/>
  <c r="BP61" i="1"/>
  <c r="G65" i="25"/>
  <c r="CX54" i="39"/>
  <c r="AM59" i="38"/>
  <c r="AB79" i="25"/>
  <c r="AE48" i="37"/>
  <c r="BW102" i="26"/>
  <c r="CF96" i="39"/>
  <c r="BE61" i="40"/>
  <c r="CG67" i="39"/>
  <c r="BY102" i="38"/>
  <c r="AP67" i="40"/>
  <c r="AG58" i="38"/>
  <c r="K68" i="64"/>
  <c r="BC48" i="26"/>
  <c r="AW66" i="25"/>
  <c r="M25" i="39"/>
  <c r="BX21" i="38"/>
  <c r="AD75" i="39"/>
  <c r="BI48" i="25"/>
  <c r="BA98" i="38"/>
  <c r="CP102" i="41"/>
  <c r="BU98" i="37"/>
  <c r="AQ102" i="41"/>
  <c r="Y91" i="1"/>
  <c r="T96" i="36"/>
  <c r="AT29" i="37"/>
  <c r="AN91" i="41"/>
  <c r="DF17" i="37"/>
  <c r="CA29" i="37"/>
  <c r="AY310" i="47"/>
  <c r="BB50" i="1"/>
  <c r="BB91" i="37"/>
  <c r="F13" i="60"/>
  <c r="BS13" i="25"/>
  <c r="AY98" i="40"/>
  <c r="CB54" i="38"/>
  <c r="AG58" i="40"/>
  <c r="M55" i="64"/>
  <c r="Z45" i="26"/>
  <c r="H21" i="36"/>
  <c r="CY57" i="25"/>
  <c r="U71" i="41"/>
  <c r="CV60" i="36"/>
  <c r="CU58" i="36"/>
  <c r="AV37" i="40"/>
  <c r="BU13" i="41"/>
  <c r="CK48" i="41"/>
  <c r="CN30" i="37"/>
  <c r="Y96" i="25"/>
  <c r="G66" i="46"/>
  <c r="K91" i="1"/>
  <c r="BT57" i="38"/>
  <c r="CJ45" i="41"/>
  <c r="BD105" i="47"/>
  <c r="G48" i="38"/>
  <c r="DE81" i="40"/>
  <c r="L37" i="38"/>
  <c r="P91" i="38"/>
  <c r="BE45" i="25"/>
  <c r="AC25" i="38"/>
  <c r="CC53" i="25"/>
  <c r="CS26" i="36"/>
  <c r="AR79" i="1"/>
  <c r="L71" i="36"/>
  <c r="AI48" i="38"/>
  <c r="G31" i="4"/>
  <c r="DE65" i="40"/>
  <c r="DB50" i="25"/>
  <c r="AW59" i="37"/>
  <c r="Y62" i="37"/>
  <c r="AF9" i="37"/>
  <c r="AI49" i="36"/>
  <c r="CT25" i="40"/>
  <c r="AS34" i="40"/>
  <c r="P53" i="1"/>
  <c r="K12" i="64"/>
  <c r="BD53" i="26"/>
  <c r="AO58" i="39"/>
  <c r="AO50" i="40"/>
  <c r="BB89" i="25"/>
  <c r="BY62" i="39"/>
  <c r="AQ81" i="39"/>
  <c r="DC21" i="41"/>
  <c r="AJ60" i="40"/>
  <c r="CC79" i="39"/>
  <c r="CG12" i="25"/>
  <c r="AM18" i="37"/>
  <c r="CS65" i="41"/>
  <c r="AC29" i="38"/>
  <c r="BD102" i="41"/>
  <c r="L12" i="37"/>
  <c r="BB127" i="47"/>
  <c r="CF25" i="1"/>
  <c r="CR29" i="39"/>
  <c r="AC10" i="1"/>
  <c r="Y71" i="38"/>
  <c r="AR91" i="37"/>
  <c r="AR37" i="37"/>
  <c r="Z89" i="25"/>
  <c r="L61" i="60"/>
  <c r="T24" i="38"/>
  <c r="AG66" i="36"/>
  <c r="AT34" i="36"/>
  <c r="CB61" i="37"/>
  <c r="BO30" i="37"/>
  <c r="CD10" i="40"/>
  <c r="BO65" i="36"/>
  <c r="BP49" i="41"/>
  <c r="DC48" i="39"/>
  <c r="BI49" i="1"/>
  <c r="CI92" i="40"/>
  <c r="BI89" i="26"/>
  <c r="AX96" i="1"/>
  <c r="CL96" i="37"/>
  <c r="Z67" i="39"/>
  <c r="CD37" i="26"/>
  <c r="CC9" i="40"/>
  <c r="CQ29" i="1"/>
  <c r="CZ17" i="26"/>
  <c r="CR17" i="36"/>
  <c r="S91" i="36"/>
  <c r="BO21" i="41"/>
  <c r="O24" i="38"/>
  <c r="BG108" i="47"/>
  <c r="BO89" i="1"/>
  <c r="DD25" i="39"/>
  <c r="CZ65" i="1"/>
  <c r="AW12" i="40"/>
  <c r="BA13" i="1"/>
  <c r="H13" i="64"/>
  <c r="AD54" i="1"/>
  <c r="CA53" i="25"/>
  <c r="BI58" i="1"/>
  <c r="CG57" i="41"/>
  <c r="AI71" i="26"/>
  <c r="L45" i="37"/>
  <c r="O54" i="25"/>
  <c r="BR66" i="1"/>
  <c r="BY50" i="26"/>
  <c r="DB30" i="40"/>
  <c r="M34" i="40"/>
  <c r="M53" i="26"/>
  <c r="BR34" i="40"/>
  <c r="CL67" i="37"/>
  <c r="CR21" i="41"/>
  <c r="AZ13" i="1"/>
  <c r="BQ54" i="40"/>
  <c r="V12" i="41"/>
  <c r="I91" i="41"/>
  <c r="AA12" i="39"/>
  <c r="BC17" i="1"/>
  <c r="CF49" i="39"/>
  <c r="AA61" i="25"/>
  <c r="AX61" i="1"/>
  <c r="T53" i="1"/>
  <c r="M68" i="64"/>
  <c r="AD65" i="36"/>
  <c r="U30" i="37"/>
  <c r="AG21" i="37"/>
  <c r="G91" i="26"/>
  <c r="CQ54" i="37"/>
  <c r="CP75" i="39"/>
  <c r="AQ102" i="26"/>
  <c r="CG49" i="37"/>
  <c r="J76" i="64"/>
  <c r="BI26" i="39"/>
  <c r="CU9" i="41"/>
  <c r="AS24" i="39"/>
  <c r="CK17" i="25"/>
  <c r="AQ79" i="26"/>
  <c r="BV71" i="38"/>
  <c r="DB29" i="38"/>
  <c r="CI18" i="41"/>
  <c r="AM9" i="36"/>
  <c r="CW9" i="1"/>
  <c r="CZ9" i="40"/>
  <c r="AV91" i="26"/>
  <c r="CI103" i="39"/>
  <c r="BC102" i="40"/>
  <c r="BT65" i="36"/>
  <c r="CR24" i="38"/>
  <c r="CO25" i="36"/>
  <c r="AM62" i="40"/>
  <c r="K67" i="25"/>
  <c r="AS67" i="36"/>
  <c r="CR49" i="38"/>
  <c r="CA49" i="40"/>
  <c r="BT17" i="37"/>
  <c r="AR91" i="39"/>
  <c r="X13" i="41"/>
  <c r="V89" i="25"/>
  <c r="AA24" i="39"/>
  <c r="CD37" i="1"/>
  <c r="AO71" i="25"/>
  <c r="DA13" i="41"/>
  <c r="AF17" i="38"/>
  <c r="CJ102" i="37"/>
  <c r="CY65" i="36"/>
  <c r="AS17" i="38"/>
  <c r="G60" i="1"/>
  <c r="X98" i="1"/>
  <c r="BY25" i="38"/>
  <c r="AB61" i="37"/>
  <c r="AN59" i="40"/>
  <c r="AW49" i="25"/>
  <c r="BV96" i="40"/>
  <c r="BH17" i="36"/>
  <c r="AZ25" i="40"/>
  <c r="CK24" i="1"/>
  <c r="BI75" i="41"/>
  <c r="CZ62" i="39"/>
  <c r="G62" i="40"/>
  <c r="BI9" i="40"/>
  <c r="CX12" i="25"/>
  <c r="AP102" i="26"/>
  <c r="DF13" i="38"/>
  <c r="AQ65" i="41"/>
  <c r="CW27" i="38"/>
  <c r="AZ62" i="25"/>
  <c r="BZ12" i="39"/>
  <c r="CX92" i="38"/>
  <c r="BZ62" i="38"/>
  <c r="I91" i="36"/>
  <c r="BQ57" i="26"/>
  <c r="AQ17" i="38"/>
  <c r="Z75" i="25"/>
  <c r="T58" i="41"/>
  <c r="AB10" i="36"/>
  <c r="AW75" i="25"/>
  <c r="CZ24" i="25"/>
  <c r="BB57" i="39"/>
  <c r="BY34" i="41"/>
  <c r="CB89" i="40"/>
  <c r="CX17" i="40"/>
  <c r="DC96" i="37"/>
  <c r="AR45" i="36"/>
  <c r="AU67" i="37"/>
  <c r="BX25" i="26"/>
  <c r="AG53" i="26"/>
  <c r="W18" i="41"/>
  <c r="CB10" i="26"/>
  <c r="CJ17" i="36"/>
  <c r="AG49" i="36"/>
  <c r="CI37" i="40"/>
  <c r="CQ103" i="39"/>
  <c r="O53" i="37"/>
  <c r="O92" i="26"/>
  <c r="CO91" i="41"/>
  <c r="AN67" i="1"/>
  <c r="BV50" i="40"/>
  <c r="CN48" i="1"/>
  <c r="H34" i="25"/>
  <c r="BP59" i="39"/>
  <c r="AN75" i="25"/>
  <c r="AV75" i="36"/>
  <c r="BX9" i="36"/>
  <c r="BU61" i="1"/>
  <c r="AJ50" i="40"/>
  <c r="CI75" i="1"/>
  <c r="AJ29" i="38"/>
  <c r="U58" i="38"/>
  <c r="P89" i="41"/>
  <c r="AS65" i="38"/>
  <c r="AM96" i="36"/>
  <c r="H29" i="26"/>
  <c r="DD17" i="38"/>
  <c r="AV25" i="1"/>
  <c r="P58" i="25"/>
  <c r="CG30" i="36"/>
  <c r="W66" i="1"/>
  <c r="U34" i="37"/>
  <c r="CR13" i="38"/>
  <c r="AH92" i="41"/>
  <c r="CR71" i="1"/>
  <c r="BP25" i="40"/>
  <c r="J9" i="36"/>
  <c r="DB25" i="37"/>
  <c r="AY25" i="39"/>
  <c r="BS34" i="25"/>
  <c r="CG98" i="36"/>
  <c r="AM58" i="39"/>
  <c r="AV9" i="25"/>
  <c r="AA102" i="39"/>
  <c r="CL59" i="41"/>
  <c r="Z21" i="40"/>
  <c r="BI17" i="37"/>
  <c r="AC53" i="1"/>
  <c r="AI12" i="37"/>
  <c r="L17" i="40"/>
  <c r="CP59" i="36"/>
  <c r="CU17" i="37"/>
  <c r="CF10" i="36"/>
  <c r="AR61" i="1"/>
  <c r="AN81" i="37"/>
  <c r="AC21" i="37"/>
  <c r="BZ98" i="39"/>
  <c r="T34" i="37"/>
  <c r="T102" i="26"/>
  <c r="CF37" i="25"/>
  <c r="BE53" i="36"/>
  <c r="CG49" i="1"/>
  <c r="BY54" i="38"/>
  <c r="CV62" i="25"/>
  <c r="W62" i="38"/>
  <c r="E93" i="64"/>
  <c r="T54" i="40"/>
  <c r="CJ71" i="25"/>
  <c r="CH17" i="41"/>
  <c r="CS60" i="38"/>
  <c r="CK13" i="26"/>
  <c r="AR12" i="37"/>
  <c r="BB102" i="41"/>
  <c r="CU49" i="41"/>
  <c r="CS34" i="41"/>
  <c r="CG92" i="38"/>
  <c r="V49" i="38"/>
  <c r="CY21" i="37"/>
  <c r="CB98" i="1"/>
  <c r="K34" i="36"/>
  <c r="AN30" i="36"/>
  <c r="DE98" i="41"/>
  <c r="CJ75" i="39"/>
  <c r="CC79" i="37"/>
  <c r="CW96" i="1"/>
  <c r="CV10" i="36"/>
  <c r="W18" i="38"/>
  <c r="CO79" i="41"/>
  <c r="AX49" i="38"/>
  <c r="BB24" i="40"/>
  <c r="X21" i="25"/>
  <c r="CW65" i="40"/>
  <c r="CU50" i="26"/>
  <c r="AJ57" i="36"/>
  <c r="AS60" i="25"/>
  <c r="W25" i="37"/>
  <c r="CJ13" i="37"/>
  <c r="CO27" i="41"/>
  <c r="BH30" i="39"/>
  <c r="CJ17" i="1"/>
  <c r="Z26" i="39"/>
  <c r="CC65" i="36"/>
  <c r="BR21" i="25"/>
  <c r="AI10" i="37"/>
  <c r="CE89" i="25"/>
  <c r="AJ37" i="25"/>
  <c r="BO75" i="38"/>
  <c r="DC45" i="41"/>
  <c r="T54" i="41"/>
  <c r="I44" i="60"/>
  <c r="Y75" i="41"/>
  <c r="BA53" i="41"/>
  <c r="CE9" i="1"/>
  <c r="Y96" i="39"/>
  <c r="CW57" i="37"/>
  <c r="H79" i="36"/>
  <c r="BV66" i="40"/>
  <c r="AQ53" i="38"/>
  <c r="AB89" i="36"/>
  <c r="AG45" i="41"/>
  <c r="BE13" i="26"/>
  <c r="BB50" i="36"/>
  <c r="CP27" i="37"/>
  <c r="CH79" i="26"/>
  <c r="CI57" i="36"/>
  <c r="BI21" i="37"/>
  <c r="CI89" i="1"/>
  <c r="CI103" i="41"/>
  <c r="CQ71" i="41"/>
  <c r="CV48" i="39"/>
  <c r="CC24" i="40"/>
  <c r="O48" i="41"/>
  <c r="CS18" i="25"/>
  <c r="AV81" i="38"/>
  <c r="BY92" i="41"/>
  <c r="DB24" i="38"/>
  <c r="K89" i="1"/>
  <c r="U91" i="38"/>
  <c r="AY59" i="36"/>
  <c r="CD48" i="37"/>
  <c r="P17" i="1"/>
  <c r="AZ30" i="1"/>
  <c r="DA45" i="36"/>
  <c r="AP71" i="1"/>
  <c r="DB29" i="41"/>
  <c r="DD26" i="40"/>
  <c r="CD29" i="39"/>
  <c r="BU92" i="26"/>
  <c r="CE57" i="1"/>
  <c r="AE102" i="36"/>
  <c r="S25" i="40"/>
  <c r="CF65" i="38"/>
  <c r="I17" i="59"/>
  <c r="BG102" i="47"/>
  <c r="X67" i="25"/>
  <c r="CR67" i="1"/>
  <c r="CL66" i="40"/>
  <c r="H75" i="38"/>
  <c r="CS71" i="1"/>
  <c r="CL59" i="39"/>
  <c r="T92" i="26"/>
  <c r="CL29" i="37"/>
  <c r="I93" i="64"/>
  <c r="BT92" i="36"/>
  <c r="DA79" i="41"/>
  <c r="AP96" i="36"/>
  <c r="M46" i="59"/>
  <c r="X81" i="26"/>
  <c r="CE65" i="36"/>
  <c r="DB17" i="39"/>
  <c r="AV61" i="40"/>
  <c r="BV48" i="38"/>
  <c r="AF30" i="38"/>
  <c r="BP71" i="41"/>
  <c r="AB66" i="37"/>
  <c r="AQ13" i="1"/>
  <c r="I8" i="59"/>
  <c r="AR98" i="36"/>
  <c r="AT27" i="26"/>
  <c r="CR30" i="38"/>
  <c r="CZ96" i="25"/>
  <c r="DF27" i="1"/>
  <c r="CV53" i="25"/>
  <c r="CH91" i="25"/>
  <c r="M45" i="38"/>
  <c r="BR60" i="26"/>
  <c r="K13" i="1"/>
  <c r="CN48" i="39"/>
  <c r="M78" i="60"/>
  <c r="BU37" i="41"/>
  <c r="L18" i="1"/>
  <c r="CL60" i="41"/>
  <c r="L54" i="37"/>
  <c r="CP49" i="38"/>
  <c r="X10" i="38"/>
  <c r="AN29" i="37"/>
  <c r="AY29" i="36"/>
  <c r="AD21" i="26"/>
  <c r="O49" i="36"/>
  <c r="BE91" i="1"/>
  <c r="AM67" i="26"/>
  <c r="DD67" i="26"/>
  <c r="P60" i="25"/>
  <c r="BA48" i="38"/>
  <c r="BH24" i="38"/>
  <c r="BS53" i="26"/>
  <c r="CC92" i="41"/>
  <c r="BE49" i="25"/>
  <c r="AS54" i="26"/>
  <c r="AW26" i="41"/>
  <c r="CE29" i="36"/>
  <c r="AG67" i="39"/>
  <c r="CH102" i="40"/>
  <c r="AT49" i="25"/>
  <c r="BD54" i="39"/>
  <c r="BH9" i="37"/>
  <c r="K29" i="39"/>
  <c r="BW66" i="39"/>
  <c r="AA91" i="39"/>
  <c r="AC59" i="26"/>
  <c r="CS30" i="36"/>
  <c r="J81" i="38"/>
  <c r="AJ13" i="40"/>
  <c r="BA61" i="39"/>
  <c r="CD34" i="41"/>
  <c r="AB96" i="37"/>
  <c r="BT96" i="26"/>
  <c r="AA24" i="36"/>
  <c r="CM9" i="40"/>
  <c r="AP13" i="41"/>
  <c r="BW21" i="37"/>
  <c r="BZ48" i="36"/>
  <c r="DD27" i="40"/>
  <c r="G92" i="41"/>
  <c r="CY17" i="26"/>
  <c r="CD54" i="26"/>
  <c r="BU37" i="39"/>
  <c r="CC58" i="37"/>
  <c r="AF37" i="26"/>
  <c r="CU18" i="37"/>
  <c r="BY65" i="1"/>
  <c r="AT12" i="41"/>
  <c r="BC30" i="36"/>
  <c r="BR96" i="26"/>
  <c r="G27" i="25"/>
  <c r="U34" i="40"/>
  <c r="DA34" i="26"/>
  <c r="AO98" i="36"/>
  <c r="AY29" i="37"/>
  <c r="CZ9" i="38"/>
  <c r="CK66" i="1"/>
  <c r="N12" i="1"/>
  <c r="AP17" i="25"/>
  <c r="M9" i="25"/>
  <c r="CQ96" i="38"/>
  <c r="BS48" i="36"/>
  <c r="CD18" i="39"/>
  <c r="J75" i="60"/>
  <c r="AY92" i="36"/>
  <c r="DD12" i="38"/>
  <c r="BB102" i="38"/>
  <c r="AC9" i="41"/>
  <c r="BP58" i="41"/>
  <c r="AT45" i="1"/>
  <c r="BQ49" i="36"/>
  <c r="DC71" i="38"/>
  <c r="AO98" i="37"/>
  <c r="T48" i="36"/>
  <c r="CP17" i="41"/>
  <c r="Z9" i="38"/>
  <c r="DC13" i="26"/>
  <c r="AM21" i="36"/>
  <c r="H60" i="41"/>
  <c r="AQ37" i="40"/>
  <c r="K89" i="25"/>
  <c r="BY67" i="38"/>
  <c r="AE10" i="25"/>
  <c r="CN17" i="37"/>
  <c r="BD37" i="39"/>
  <c r="AB79" i="41"/>
  <c r="L62" i="26"/>
  <c r="AX18" i="40"/>
  <c r="AG24" i="38"/>
  <c r="CI96" i="39"/>
  <c r="AJ60" i="25"/>
  <c r="AV102" i="40"/>
  <c r="CM81" i="39"/>
  <c r="AB12" i="36"/>
  <c r="AE58" i="37"/>
  <c r="CU12" i="41"/>
  <c r="T79" i="39"/>
  <c r="BQ34" i="38"/>
  <c r="AS98" i="26"/>
  <c r="X89" i="26"/>
  <c r="BB24" i="38"/>
  <c r="AX18" i="38"/>
  <c r="BX12" i="41"/>
  <c r="AH34" i="26"/>
  <c r="I79" i="1"/>
  <c r="CV98" i="38"/>
  <c r="CR48" i="40"/>
  <c r="BQ24" i="39"/>
  <c r="CV59" i="37"/>
  <c r="H48" i="41"/>
  <c r="BU49" i="40"/>
  <c r="CL57" i="39"/>
  <c r="AX54" i="26"/>
  <c r="BH50" i="36"/>
  <c r="CX17" i="41"/>
  <c r="P12" i="41"/>
  <c r="AZ124" i="47"/>
  <c r="H102" i="26"/>
  <c r="BO79" i="1"/>
  <c r="BY59" i="41"/>
  <c r="BW59" i="41"/>
  <c r="BW48" i="1"/>
  <c r="BZ54" i="37"/>
  <c r="H91" i="38"/>
  <c r="CA59" i="36"/>
  <c r="Y58" i="25"/>
  <c r="O9" i="26"/>
  <c r="BB102" i="36"/>
  <c r="BQ61" i="25"/>
  <c r="BT67" i="36"/>
  <c r="F44" i="60"/>
  <c r="BI79" i="37"/>
  <c r="Z26" i="26"/>
  <c r="BR58" i="25"/>
  <c r="BS12" i="25"/>
  <c r="CF18" i="1"/>
  <c r="BW103" i="38"/>
  <c r="CP10" i="25"/>
  <c r="I53" i="37"/>
  <c r="CC67" i="37"/>
  <c r="AX62" i="1"/>
  <c r="BU62" i="26"/>
  <c r="W29" i="41"/>
  <c r="V58" i="26"/>
  <c r="AV29" i="40"/>
  <c r="S10" i="37"/>
  <c r="CE92" i="26"/>
  <c r="BS30" i="40"/>
  <c r="G75" i="41"/>
  <c r="BI24" i="41"/>
  <c r="CS24" i="41"/>
  <c r="BU102" i="38"/>
  <c r="AY65" i="36"/>
  <c r="CL60" i="39"/>
  <c r="AW13" i="25"/>
  <c r="X98" i="39"/>
  <c r="AO102" i="39"/>
  <c r="BB48" i="39"/>
  <c r="CV81" i="36"/>
  <c r="CE65" i="40"/>
  <c r="CV48" i="38"/>
  <c r="N61" i="38"/>
  <c r="CG49" i="25"/>
  <c r="BE27" i="41"/>
  <c r="CP37" i="40"/>
  <c r="AR57" i="25"/>
  <c r="F50" i="64"/>
  <c r="CL65" i="26"/>
  <c r="M17" i="38"/>
  <c r="CU67" i="41"/>
  <c r="AB61" i="36"/>
  <c r="DC17" i="40"/>
  <c r="BZ75" i="41"/>
  <c r="AW54" i="37"/>
  <c r="BU91" i="41"/>
  <c r="K81" i="38"/>
  <c r="CN102" i="38"/>
  <c r="BR53" i="39"/>
  <c r="DA29" i="39"/>
  <c r="CS65" i="25"/>
  <c r="O48" i="37"/>
  <c r="CU102" i="40"/>
  <c r="Z18" i="36"/>
  <c r="M26" i="38"/>
  <c r="BX26" i="39"/>
  <c r="AB91" i="37"/>
  <c r="AU79" i="40"/>
  <c r="CD12" i="26"/>
  <c r="AM102" i="38"/>
  <c r="AD10" i="38"/>
  <c r="DD10" i="38"/>
  <c r="G24" i="26"/>
  <c r="DB12" i="26"/>
  <c r="AU24" i="41"/>
  <c r="CV50" i="39"/>
  <c r="AT25" i="37"/>
  <c r="AQ50" i="25"/>
  <c r="DC50" i="39"/>
  <c r="CE98" i="36"/>
  <c r="Z79" i="25"/>
  <c r="CV17" i="39"/>
  <c r="K18" i="39"/>
  <c r="CU54" i="39"/>
  <c r="AX10" i="36"/>
  <c r="CO45" i="39"/>
  <c r="DF53" i="1"/>
  <c r="BO91" i="38"/>
  <c r="AP45" i="36"/>
  <c r="CW58" i="25"/>
  <c r="AA30" i="26"/>
  <c r="CF103" i="37"/>
  <c r="T17" i="36"/>
  <c r="BC13" i="41"/>
  <c r="BV24" i="1"/>
  <c r="DF50" i="40"/>
  <c r="Y96" i="1"/>
  <c r="AC49" i="25"/>
  <c r="O65" i="41"/>
  <c r="X25" i="37"/>
  <c r="BI37" i="36"/>
  <c r="G21" i="1"/>
  <c r="DD60" i="1"/>
  <c r="AO45" i="36"/>
  <c r="BE12" i="36"/>
  <c r="CX98" i="40"/>
  <c r="X17" i="1"/>
  <c r="AH102" i="40"/>
  <c r="CF66" i="1"/>
  <c r="CJ9" i="40"/>
  <c r="S57" i="40"/>
  <c r="AF92" i="37"/>
  <c r="BP18" i="1"/>
  <c r="BW49" i="41"/>
  <c r="AT10" i="1"/>
  <c r="BI10" i="37"/>
  <c r="CR18" i="25"/>
  <c r="K13" i="36"/>
  <c r="CW25" i="36"/>
  <c r="CZ30" i="37"/>
  <c r="DF37" i="25"/>
  <c r="BP30" i="25"/>
  <c r="L48" i="46"/>
  <c r="AS29" i="39"/>
  <c r="AY34" i="38"/>
  <c r="AP81" i="36"/>
  <c r="CM21" i="26"/>
  <c r="P89" i="26"/>
  <c r="CX103" i="37"/>
  <c r="CC96" i="39"/>
  <c r="AM102" i="25"/>
  <c r="CC34" i="38"/>
  <c r="DC103" i="25"/>
  <c r="CA67" i="36"/>
  <c r="BC67" i="41"/>
  <c r="Y34" i="1"/>
  <c r="CZ98" i="37"/>
  <c r="AQ67" i="39"/>
  <c r="G67" i="46"/>
  <c r="BD247" i="47"/>
  <c r="BB10" i="41"/>
  <c r="BP50" i="1"/>
  <c r="CK98" i="38"/>
  <c r="Z37" i="26"/>
  <c r="CO61" i="40"/>
  <c r="CL24" i="38"/>
  <c r="CH24" i="1"/>
  <c r="I66" i="26"/>
  <c r="BO91" i="41"/>
  <c r="CR102" i="25"/>
  <c r="CM65" i="37"/>
  <c r="DB65" i="40"/>
  <c r="CJ53" i="37"/>
  <c r="CR25" i="26"/>
  <c r="M24" i="36"/>
  <c r="CN53" i="41"/>
  <c r="AT79" i="25"/>
  <c r="I91" i="39"/>
  <c r="M90" i="64"/>
  <c r="T45" i="25"/>
  <c r="CB30" i="25"/>
  <c r="AB66" i="41"/>
  <c r="BC102" i="1"/>
  <c r="N79" i="25"/>
  <c r="CX61" i="41"/>
  <c r="AI30" i="25"/>
  <c r="DB60" i="1"/>
  <c r="CK26" i="26"/>
  <c r="W67" i="1"/>
  <c r="AQ48" i="36"/>
  <c r="AB81" i="25"/>
  <c r="BA81" i="39"/>
  <c r="AE49" i="25"/>
  <c r="CK29" i="41"/>
  <c r="DC45" i="38"/>
  <c r="CX60" i="25"/>
  <c r="BX34" i="39"/>
  <c r="BP103" i="36"/>
  <c r="BR57" i="36"/>
  <c r="BZ65" i="41"/>
  <c r="BR96" i="41"/>
  <c r="CV49" i="40"/>
  <c r="BH98" i="41"/>
  <c r="CN65" i="1"/>
  <c r="AU24" i="36"/>
  <c r="K81" i="41"/>
  <c r="H66" i="36"/>
  <c r="AW67" i="38"/>
  <c r="AQ27" i="25"/>
  <c r="AM62" i="26"/>
  <c r="CD18" i="36"/>
  <c r="V57" i="41"/>
  <c r="DE34" i="40"/>
  <c r="Z45" i="38"/>
  <c r="DC24" i="38"/>
  <c r="CZ17" i="40"/>
  <c r="DF54" i="40"/>
  <c r="AS92" i="40"/>
  <c r="DD34" i="25"/>
  <c r="AB59" i="26"/>
  <c r="Y61" i="1"/>
  <c r="AW12" i="1"/>
  <c r="P91" i="41"/>
  <c r="S81" i="40"/>
  <c r="AE17" i="1"/>
  <c r="CQ50" i="39"/>
  <c r="DE50" i="41"/>
  <c r="CU66" i="41"/>
  <c r="K18" i="41"/>
  <c r="AY21" i="39"/>
  <c r="CT29" i="39"/>
  <c r="CU21" i="36"/>
  <c r="BV54" i="37"/>
  <c r="K63" i="60"/>
  <c r="CE10" i="36"/>
  <c r="DF12" i="26"/>
  <c r="BB67" i="36"/>
  <c r="DA21" i="1"/>
  <c r="CM71" i="41"/>
  <c r="CN96" i="39"/>
  <c r="N21" i="36"/>
  <c r="CQ58" i="39"/>
  <c r="AU59" i="38"/>
  <c r="BB89" i="36"/>
  <c r="BE61" i="36"/>
  <c r="K66" i="37"/>
  <c r="AC29" i="41"/>
  <c r="AX25" i="36"/>
  <c r="BQ61" i="36"/>
  <c r="J53" i="39"/>
  <c r="AU48" i="36"/>
  <c r="AZ9" i="25"/>
  <c r="AJ34" i="41"/>
  <c r="CE17" i="37"/>
  <c r="AN102" i="39"/>
  <c r="U54" i="38"/>
  <c r="DE10" i="39"/>
  <c r="G34" i="1"/>
  <c r="L21" i="37"/>
  <c r="AC29" i="39"/>
  <c r="CR24" i="26"/>
  <c r="DD71" i="41"/>
  <c r="P71" i="41"/>
  <c r="V92" i="40"/>
  <c r="V13" i="1"/>
  <c r="AN98" i="37"/>
  <c r="CR37" i="38"/>
  <c r="X50" i="1"/>
  <c r="CZ81" i="39"/>
  <c r="L59" i="60"/>
  <c r="BB48" i="36"/>
  <c r="BY102" i="25"/>
  <c r="BT60" i="41"/>
  <c r="BA65" i="25"/>
  <c r="BR45" i="26"/>
  <c r="AE59" i="41"/>
  <c r="CT91" i="36"/>
  <c r="AT13" i="26"/>
  <c r="CA49" i="36"/>
  <c r="G6" i="60"/>
  <c r="J27" i="25"/>
  <c r="L13" i="41"/>
  <c r="AY79" i="41"/>
  <c r="CN92" i="36"/>
  <c r="AH24" i="26"/>
  <c r="CF13" i="37"/>
  <c r="AI62" i="41"/>
  <c r="CA57" i="37"/>
  <c r="DB30" i="39"/>
  <c r="CZ34" i="40"/>
  <c r="CE10" i="39"/>
  <c r="AJ49" i="1"/>
  <c r="DA53" i="26"/>
  <c r="BA45" i="37"/>
  <c r="AQ75" i="36"/>
  <c r="U89" i="37"/>
  <c r="Y81" i="38"/>
  <c r="CN58" i="41"/>
  <c r="X26" i="1"/>
  <c r="CA34" i="1"/>
  <c r="CY48" i="1"/>
  <c r="AJ62" i="40"/>
  <c r="AZ49" i="41"/>
  <c r="J27" i="40"/>
  <c r="CS57" i="38"/>
  <c r="BZ65" i="25"/>
  <c r="AZ49" i="26"/>
  <c r="AX49" i="40"/>
  <c r="CH9" i="39"/>
  <c r="BB233" i="47"/>
  <c r="DC27" i="36"/>
  <c r="AR13" i="41"/>
  <c r="DA10" i="25"/>
  <c r="BV25" i="40"/>
  <c r="CI62" i="41"/>
  <c r="AX60" i="36"/>
  <c r="N13" i="1"/>
  <c r="CO60" i="25"/>
  <c r="AC92" i="38"/>
  <c r="CR13" i="37"/>
  <c r="AI65" i="26"/>
  <c r="BI79" i="39"/>
  <c r="K28" i="59"/>
  <c r="BW30" i="26"/>
  <c r="AP49" i="37"/>
  <c r="CV21" i="41"/>
  <c r="AG102" i="1"/>
  <c r="BA67" i="41"/>
  <c r="BR71" i="39"/>
  <c r="CP89" i="25"/>
  <c r="N17" i="39"/>
  <c r="CC57" i="38"/>
  <c r="DF49" i="38"/>
  <c r="BD92" i="25"/>
  <c r="P54" i="25"/>
  <c r="AJ89" i="26"/>
  <c r="CB71" i="39"/>
  <c r="AW27" i="41"/>
  <c r="CK13" i="40"/>
  <c r="J54" i="38"/>
  <c r="AA61" i="1"/>
  <c r="CL21" i="38"/>
  <c r="BU21" i="25"/>
  <c r="BT29" i="37"/>
  <c r="G14" i="64"/>
  <c r="BQ66" i="40"/>
  <c r="BU49" i="38"/>
  <c r="AG89" i="39"/>
  <c r="BP66" i="41"/>
  <c r="T53" i="41"/>
  <c r="BB66" i="36"/>
  <c r="Y60" i="1"/>
  <c r="BU71" i="26"/>
  <c r="CU62" i="41"/>
  <c r="CK25" i="40"/>
  <c r="AJ34" i="38"/>
  <c r="N75" i="26"/>
  <c r="CJ89" i="36"/>
  <c r="AU50" i="1"/>
  <c r="AF37" i="41"/>
  <c r="CK103" i="41"/>
  <c r="I27" i="26"/>
  <c r="BS57" i="1"/>
  <c r="J24" i="26"/>
  <c r="CL96" i="26"/>
  <c r="CX89" i="37"/>
  <c r="CE58" i="37"/>
  <c r="BC25" i="1"/>
  <c r="AP62" i="36"/>
  <c r="AR98" i="25"/>
  <c r="AU27" i="37"/>
  <c r="BA60" i="25"/>
  <c r="J48" i="64"/>
  <c r="AS60" i="37"/>
  <c r="CD48" i="26"/>
  <c r="X18" i="39"/>
  <c r="BT91" i="39"/>
  <c r="AB30" i="37"/>
  <c r="K96" i="1"/>
  <c r="AE58" i="36"/>
  <c r="CY67" i="37"/>
  <c r="DF13" i="37"/>
  <c r="AD37" i="40"/>
  <c r="AJ54" i="36"/>
  <c r="BB71" i="26"/>
  <c r="K67" i="37"/>
  <c r="AW102" i="36"/>
  <c r="BQ71" i="40"/>
  <c r="CD62" i="40"/>
  <c r="BF110" i="47"/>
  <c r="L81" i="25"/>
  <c r="BD54" i="38"/>
  <c r="I53" i="64"/>
  <c r="BD50" i="36"/>
  <c r="CL66" i="38"/>
  <c r="CY65" i="25"/>
  <c r="DC49" i="36"/>
  <c r="CN60" i="1"/>
  <c r="L71" i="60"/>
  <c r="CF48" i="39"/>
  <c r="P45" i="1"/>
  <c r="J21" i="36"/>
  <c r="AB61" i="38"/>
  <c r="L81" i="37"/>
  <c r="AD92" i="39"/>
  <c r="BS75" i="25"/>
  <c r="BW81" i="40"/>
  <c r="BO10" i="25"/>
  <c r="H22" i="60"/>
  <c r="CN17" i="26"/>
  <c r="BS60" i="41"/>
  <c r="CP91" i="39"/>
  <c r="AB102" i="39"/>
  <c r="DF9" i="36"/>
  <c r="CB67" i="1"/>
  <c r="CF17" i="36"/>
  <c r="CR17" i="40"/>
  <c r="DB13" i="37"/>
  <c r="CX54" i="25"/>
  <c r="N12" i="38"/>
  <c r="BA48" i="1"/>
  <c r="CA102" i="38"/>
  <c r="AR96" i="39"/>
  <c r="AV71" i="41"/>
  <c r="CR21" i="37"/>
  <c r="AJ91" i="41"/>
  <c r="CN10" i="38"/>
  <c r="CW18" i="38"/>
  <c r="BA48" i="39"/>
  <c r="S66" i="39"/>
  <c r="CA71" i="39"/>
  <c r="BD96" i="25"/>
  <c r="S79" i="1"/>
  <c r="K92" i="64"/>
  <c r="CI61" i="37"/>
  <c r="CU91" i="25"/>
  <c r="AJ102" i="38"/>
  <c r="S34" i="36"/>
  <c r="AW50" i="26"/>
  <c r="CJ57" i="37"/>
  <c r="I10" i="38"/>
  <c r="BD54" i="40"/>
  <c r="CI24" i="36"/>
  <c r="CT34" i="1"/>
  <c r="AV9" i="39"/>
  <c r="AJ30" i="1"/>
  <c r="CK81" i="37"/>
  <c r="Y98" i="39"/>
  <c r="E50" i="60"/>
  <c r="AQ57" i="1"/>
  <c r="BD12" i="37"/>
  <c r="CK48" i="40"/>
  <c r="CF9" i="36"/>
  <c r="CP10" i="38"/>
  <c r="CO29" i="38"/>
  <c r="AM25" i="25"/>
  <c r="DD37" i="38"/>
  <c r="P92" i="39"/>
  <c r="AA66" i="39"/>
  <c r="BT45" i="26"/>
  <c r="CY65" i="26"/>
  <c r="CS61" i="39"/>
  <c r="CY45" i="37"/>
  <c r="CN91" i="40"/>
  <c r="AQ62" i="39"/>
  <c r="AQ10" i="39"/>
  <c r="CB17" i="37"/>
  <c r="V60" i="39"/>
  <c r="M58" i="39"/>
  <c r="CL92" i="38"/>
  <c r="BX25" i="38"/>
  <c r="BQ24" i="36"/>
  <c r="F47" i="64"/>
  <c r="AY29" i="41"/>
  <c r="K70" i="64"/>
  <c r="AB29" i="36"/>
  <c r="CL21" i="39"/>
  <c r="CZ66" i="39"/>
  <c r="DC79" i="26"/>
  <c r="BZ103" i="25"/>
  <c r="CF75" i="38"/>
  <c r="U27" i="38"/>
  <c r="H18" i="41"/>
  <c r="AW71" i="36"/>
  <c r="CC30" i="40"/>
  <c r="M45" i="59"/>
  <c r="DA27" i="38"/>
  <c r="G71" i="36"/>
  <c r="BS29" i="41"/>
  <c r="CZ59" i="38"/>
  <c r="BC108" i="47"/>
  <c r="AR79" i="36"/>
  <c r="AG21" i="25"/>
  <c r="U79" i="41"/>
  <c r="CK61" i="41"/>
  <c r="M52" i="64"/>
  <c r="CS26" i="39"/>
  <c r="AE98" i="1"/>
  <c r="BO102" i="38"/>
  <c r="CL58" i="41"/>
  <c r="AT91" i="25"/>
  <c r="CU61" i="1"/>
  <c r="CV49" i="26"/>
  <c r="CV45" i="39"/>
  <c r="AY30" i="41"/>
  <c r="AI17" i="40"/>
  <c r="CQ12" i="38"/>
  <c r="BA10" i="26"/>
  <c r="BD57" i="38"/>
  <c r="AW18" i="25"/>
  <c r="BD65" i="40"/>
  <c r="BY59" i="26"/>
  <c r="BV30" i="38"/>
  <c r="CX103" i="40"/>
  <c r="L92" i="38"/>
  <c r="V62" i="26"/>
  <c r="BW59" i="26"/>
  <c r="AE37" i="26"/>
  <c r="BZ58" i="25"/>
  <c r="CX34" i="37"/>
  <c r="AE65" i="38"/>
  <c r="P52" i="59"/>
  <c r="BU61" i="38"/>
  <c r="BT58" i="36"/>
  <c r="X25" i="1"/>
  <c r="BW62" i="25"/>
  <c r="P9" i="37"/>
  <c r="CQ34" i="36"/>
  <c r="BU30" i="38"/>
  <c r="I22" i="60"/>
  <c r="H23" i="60"/>
  <c r="AR65" i="25"/>
  <c r="I52" i="64"/>
  <c r="CR37" i="39"/>
  <c r="AB92" i="26"/>
  <c r="Y17" i="38"/>
  <c r="AQ49" i="25"/>
  <c r="O102" i="41"/>
  <c r="BP98" i="25"/>
  <c r="AF13" i="41"/>
  <c r="CW92" i="1"/>
  <c r="CI62" i="37"/>
  <c r="AE29" i="39"/>
  <c r="Z89" i="38"/>
  <c r="BB10" i="37"/>
  <c r="CS37" i="26"/>
  <c r="AM59" i="40"/>
  <c r="W12" i="40"/>
  <c r="N98" i="37"/>
  <c r="CZ21" i="38"/>
  <c r="W57" i="41"/>
  <c r="BO79" i="38"/>
  <c r="N31" i="4"/>
  <c r="AS89" i="41"/>
  <c r="I10" i="37"/>
  <c r="BB49" i="1"/>
  <c r="P53" i="26"/>
  <c r="M79" i="37"/>
  <c r="BX58" i="37"/>
  <c r="CY61" i="1"/>
  <c r="AY102" i="37"/>
  <c r="CY65" i="38"/>
  <c r="AI21" i="36"/>
  <c r="M92" i="25"/>
  <c r="AO9" i="37"/>
  <c r="BP17" i="36"/>
  <c r="BV67" i="26"/>
  <c r="CV98" i="39"/>
  <c r="AQ98" i="26"/>
  <c r="CE54" i="39"/>
  <c r="V92" i="26"/>
  <c r="CZ48" i="25"/>
  <c r="CA103" i="25"/>
  <c r="CK66" i="40"/>
  <c r="D33" i="59"/>
  <c r="AM54" i="41"/>
  <c r="BR98" i="40"/>
  <c r="CB25" i="41"/>
  <c r="AY49" i="1"/>
  <c r="AB21" i="37"/>
  <c r="CA71" i="40"/>
  <c r="DD60" i="41"/>
  <c r="DE71" i="39"/>
  <c r="BV26" i="40"/>
  <c r="AC18" i="39"/>
  <c r="CM48" i="1"/>
  <c r="AG67" i="41"/>
  <c r="BH75" i="37"/>
  <c r="CV53" i="38"/>
  <c r="CJ24" i="1"/>
  <c r="AM67" i="38"/>
  <c r="AF37" i="37"/>
  <c r="DE37" i="40"/>
  <c r="M54" i="39"/>
  <c r="AT30" i="36"/>
  <c r="CK61" i="37"/>
  <c r="K57" i="59"/>
  <c r="AG92" i="36"/>
  <c r="AU26" i="39"/>
  <c r="DA25" i="37"/>
  <c r="T45" i="41"/>
  <c r="BP98" i="37"/>
  <c r="CH67" i="36"/>
  <c r="DE45" i="26"/>
  <c r="N60" i="38"/>
  <c r="AE71" i="25"/>
  <c r="BU61" i="41"/>
  <c r="AS37" i="38"/>
  <c r="X66" i="39"/>
  <c r="K35" i="60"/>
  <c r="AY92" i="26"/>
  <c r="CG30" i="38"/>
  <c r="AM17" i="39"/>
  <c r="BA100" i="47"/>
  <c r="S96" i="41"/>
  <c r="BU54" i="25"/>
  <c r="CB98" i="25"/>
  <c r="AO37" i="37"/>
  <c r="Z34" i="40"/>
  <c r="BY96" i="39"/>
  <c r="BV53" i="37"/>
  <c r="CI59" i="1"/>
  <c r="CS92" i="1"/>
  <c r="BS45" i="36"/>
  <c r="AC96" i="37"/>
  <c r="CR58" i="25"/>
  <c r="CS50" i="26"/>
  <c r="AI48" i="1"/>
  <c r="CJ34" i="36"/>
  <c r="CQ53" i="25"/>
  <c r="CI59" i="25"/>
  <c r="CC29" i="40"/>
  <c r="AP61" i="40"/>
  <c r="AX17" i="26"/>
  <c r="CS79" i="37"/>
  <c r="BW49" i="25"/>
  <c r="CE24" i="41"/>
  <c r="AD59" i="40"/>
  <c r="CF81" i="41"/>
  <c r="L67" i="38"/>
  <c r="BX24" i="40"/>
  <c r="CZ96" i="40"/>
  <c r="CL9" i="41"/>
  <c r="CJ53" i="36"/>
  <c r="BE59" i="36"/>
  <c r="H44" i="60"/>
  <c r="BE18" i="36"/>
  <c r="AI60" i="38"/>
  <c r="CX18" i="1"/>
  <c r="DD96" i="41"/>
  <c r="AV27" i="38"/>
  <c r="Z29" i="40"/>
  <c r="J54" i="39"/>
  <c r="DD66" i="1"/>
  <c r="AM58" i="36"/>
  <c r="T49" i="1"/>
  <c r="I46" i="59"/>
  <c r="CQ21" i="37"/>
  <c r="AN34" i="39"/>
  <c r="F71" i="64"/>
  <c r="BE65" i="40"/>
  <c r="H13" i="38"/>
  <c r="AU92" i="40"/>
  <c r="BI50" i="37"/>
  <c r="CK10" i="1"/>
  <c r="AE79" i="41"/>
  <c r="BQ60" i="26"/>
  <c r="CJ62" i="1"/>
  <c r="CB25" i="36"/>
  <c r="CV12" i="39"/>
  <c r="P18" i="37"/>
  <c r="CW81" i="38"/>
  <c r="BE25" i="41"/>
  <c r="AA65" i="39"/>
  <c r="DF89" i="40"/>
  <c r="BW45" i="37"/>
  <c r="CT103" i="40"/>
  <c r="I92" i="37"/>
  <c r="BR54" i="25"/>
  <c r="CZ60" i="37"/>
  <c r="CO75" i="40"/>
  <c r="BB53" i="40"/>
  <c r="AO67" i="40"/>
  <c r="CK48" i="25"/>
  <c r="I16" i="64"/>
  <c r="H89" i="25"/>
  <c r="CG10" i="41"/>
  <c r="CD66" i="40"/>
  <c r="CB48" i="1"/>
  <c r="CW67" i="26"/>
  <c r="CE91" i="39"/>
  <c r="DC75" i="36"/>
  <c r="DB49" i="41"/>
  <c r="X66" i="41"/>
  <c r="O25" i="25"/>
  <c r="E71" i="64"/>
  <c r="M75" i="1"/>
  <c r="DB25" i="1"/>
  <c r="BC247" i="47"/>
  <c r="AJ53" i="40"/>
  <c r="BB10" i="26"/>
  <c r="G44" i="60"/>
  <c r="Y59" i="41"/>
  <c r="K15" i="60"/>
  <c r="AA57" i="41"/>
  <c r="AZ29" i="25"/>
  <c r="BW30" i="36"/>
  <c r="AR102" i="41"/>
  <c r="AS57" i="25"/>
  <c r="CB79" i="25"/>
  <c r="AH59" i="25"/>
  <c r="BV27" i="40"/>
  <c r="CX27" i="36"/>
  <c r="CZ50" i="37"/>
  <c r="I89" i="39"/>
  <c r="CN18" i="37"/>
  <c r="AC49" i="39"/>
  <c r="CA98" i="25"/>
  <c r="BF125" i="47"/>
  <c r="BR54" i="40"/>
  <c r="W59" i="38"/>
  <c r="CF75" i="1"/>
  <c r="N45" i="59"/>
  <c r="BB59" i="41"/>
  <c r="AP26" i="40"/>
  <c r="CY91" i="37"/>
  <c r="CA27" i="25"/>
  <c r="AG24" i="36"/>
  <c r="CH58" i="41"/>
  <c r="DC34" i="37"/>
  <c r="AV79" i="25"/>
  <c r="CR91" i="26"/>
  <c r="E74" i="64"/>
  <c r="AY21" i="1"/>
  <c r="CL24" i="37"/>
  <c r="DC48" i="26"/>
  <c r="X81" i="1"/>
  <c r="AR61" i="25"/>
  <c r="Z25" i="26"/>
  <c r="CJ103" i="38"/>
  <c r="CQ12" i="39"/>
  <c r="CW65" i="41"/>
  <c r="CE89" i="40"/>
  <c r="CY89" i="1"/>
  <c r="BR12" i="38"/>
  <c r="DD62" i="37"/>
  <c r="CF66" i="25"/>
  <c r="BX89" i="37"/>
  <c r="CT48" i="37"/>
  <c r="I92" i="38"/>
  <c r="H20" i="50"/>
  <c r="CR71" i="40"/>
  <c r="V13" i="40"/>
  <c r="CE103" i="40"/>
  <c r="CI24" i="26"/>
  <c r="CY9" i="26"/>
  <c r="BT9" i="25"/>
  <c r="T57" i="25"/>
  <c r="DF49" i="36"/>
  <c r="AR24" i="37"/>
  <c r="DC60" i="1"/>
  <c r="BS25" i="1"/>
  <c r="H50" i="64"/>
  <c r="AG66" i="37"/>
  <c r="AR9" i="25"/>
  <c r="AQ12" i="41"/>
  <c r="BP25" i="1"/>
  <c r="BE45" i="39"/>
  <c r="H49" i="1"/>
  <c r="CY30" i="36"/>
  <c r="DD13" i="1"/>
  <c r="P79" i="38"/>
  <c r="BV103" i="36"/>
  <c r="CR13" i="39"/>
  <c r="AQ79" i="39"/>
  <c r="AI45" i="41"/>
  <c r="AG71" i="37"/>
  <c r="P48" i="25"/>
  <c r="K75" i="40"/>
  <c r="BP62" i="1"/>
  <c r="AM66" i="1"/>
  <c r="AU45" i="37"/>
  <c r="G21" i="25"/>
  <c r="CN57" i="40"/>
  <c r="DF92" i="38"/>
  <c r="BA29" i="1"/>
  <c r="CR45" i="41"/>
  <c r="O66" i="41"/>
  <c r="AD65" i="25"/>
  <c r="CT29" i="1"/>
  <c r="H28" i="59"/>
  <c r="BH29" i="39"/>
  <c r="CS50" i="41"/>
  <c r="CM13" i="39"/>
  <c r="BT25" i="40"/>
  <c r="AR59" i="39"/>
  <c r="CG29" i="1"/>
  <c r="AT17" i="41"/>
  <c r="CE54" i="1"/>
  <c r="DD57" i="39"/>
  <c r="CB50" i="36"/>
  <c r="CA37" i="39"/>
  <c r="CQ61" i="26"/>
  <c r="AI34" i="1"/>
  <c r="BB62" i="37"/>
  <c r="DB98" i="25"/>
  <c r="BY10" i="40"/>
  <c r="F71" i="60"/>
  <c r="T58" i="40"/>
  <c r="BS49" i="25"/>
  <c r="CF50" i="36"/>
  <c r="AW53" i="26"/>
  <c r="AU53" i="39"/>
  <c r="H12" i="40"/>
  <c r="AN57" i="36"/>
  <c r="AP21" i="1"/>
  <c r="CV102" i="40"/>
  <c r="CU54" i="41"/>
  <c r="CQ65" i="40"/>
  <c r="CF60" i="39"/>
  <c r="CV67" i="40"/>
  <c r="CI66" i="40"/>
  <c r="CL66" i="25"/>
  <c r="Z26" i="37"/>
  <c r="AA89" i="26"/>
  <c r="CE26" i="39"/>
  <c r="AD54" i="25"/>
  <c r="BV12" i="26"/>
  <c r="DA13" i="37"/>
  <c r="CK29" i="37"/>
  <c r="BQ98" i="26"/>
  <c r="Z59" i="40"/>
  <c r="W12" i="36"/>
  <c r="CO67" i="25"/>
  <c r="CK50" i="25"/>
  <c r="CJ45" i="26"/>
  <c r="P13" i="41"/>
  <c r="AX54" i="36"/>
  <c r="X81" i="40"/>
  <c r="CW65" i="37"/>
  <c r="CW13" i="1"/>
  <c r="K81" i="40"/>
  <c r="AO26" i="37"/>
  <c r="BO66" i="38"/>
  <c r="AS24" i="26"/>
  <c r="BC58" i="37"/>
  <c r="G95" i="64"/>
  <c r="BS53" i="39"/>
  <c r="Y10" i="36"/>
  <c r="T49" i="41"/>
  <c r="P98" i="38"/>
  <c r="AP24" i="25"/>
  <c r="CZ24" i="36"/>
  <c r="BB91" i="36"/>
  <c r="J57" i="26"/>
  <c r="CL60" i="36"/>
  <c r="M18" i="37"/>
  <c r="AG91" i="37"/>
  <c r="AP48" i="38"/>
  <c r="AH26" i="40"/>
  <c r="BE106" i="47"/>
  <c r="O49" i="39"/>
  <c r="O34" i="1"/>
  <c r="CF98" i="26"/>
  <c r="BU58" i="26"/>
  <c r="CU96" i="25"/>
  <c r="BA62" i="41"/>
  <c r="BT53" i="1"/>
  <c r="S13" i="36"/>
  <c r="AN67" i="41"/>
  <c r="K66" i="36"/>
  <c r="BC45" i="39"/>
  <c r="BU25" i="41"/>
  <c r="CP59" i="1"/>
  <c r="BI89" i="37"/>
  <c r="S71" i="37"/>
  <c r="BY34" i="25"/>
  <c r="CP92" i="1"/>
  <c r="DA62" i="40"/>
  <c r="J96" i="1"/>
  <c r="CF10" i="37"/>
  <c r="AV50" i="41"/>
  <c r="BY58" i="36"/>
  <c r="AM60" i="36"/>
  <c r="M12" i="60"/>
  <c r="BC54" i="37"/>
  <c r="AW71" i="41"/>
  <c r="AW12" i="25"/>
  <c r="CI59" i="37"/>
  <c r="AO45" i="39"/>
  <c r="V50" i="25"/>
  <c r="AH66" i="37"/>
  <c r="AX53" i="25"/>
  <c r="BE25" i="39"/>
  <c r="AO89" i="38"/>
  <c r="AS12" i="25"/>
  <c r="CO37" i="1"/>
  <c r="BW96" i="41"/>
  <c r="BY75" i="41"/>
  <c r="CO49" i="38"/>
  <c r="BY50" i="37"/>
  <c r="J13" i="39"/>
  <c r="DD34" i="38"/>
  <c r="CA53" i="36"/>
  <c r="T61" i="37"/>
  <c r="DC75" i="38"/>
  <c r="BZ34" i="41"/>
  <c r="BF108" i="47"/>
  <c r="AI66" i="37"/>
  <c r="AV81" i="37"/>
  <c r="CK89" i="26"/>
  <c r="AM66" i="39"/>
  <c r="AA89" i="39"/>
  <c r="AR71" i="39"/>
  <c r="L21" i="26"/>
  <c r="AT57" i="38"/>
  <c r="J27" i="38"/>
  <c r="AI37" i="1"/>
  <c r="BS57" i="38"/>
  <c r="DF81" i="41"/>
  <c r="AV50" i="39"/>
  <c r="BW30" i="25"/>
  <c r="BX59" i="25"/>
  <c r="CK50" i="41"/>
  <c r="AN12" i="38"/>
  <c r="AN30" i="39"/>
  <c r="CC26" i="41"/>
  <c r="BB27" i="25"/>
  <c r="BC34" i="37"/>
  <c r="W10" i="1"/>
  <c r="S54" i="40"/>
  <c r="DA65" i="41"/>
  <c r="BV21" i="41"/>
  <c r="CX91" i="41"/>
  <c r="BA50" i="40"/>
  <c r="CH48" i="38"/>
  <c r="BT59" i="40"/>
  <c r="BS81" i="37"/>
  <c r="AA62" i="40"/>
  <c r="AN65" i="40"/>
  <c r="CR61" i="1"/>
  <c r="CQ49" i="25"/>
  <c r="CJ34" i="25"/>
  <c r="AI92" i="40"/>
  <c r="CD65" i="41"/>
  <c r="Y66" i="26"/>
  <c r="AV13" i="38"/>
  <c r="CR25" i="36"/>
  <c r="AF91" i="37"/>
  <c r="AY26" i="41"/>
  <c r="CY75" i="39"/>
  <c r="BT37" i="36"/>
  <c r="H61" i="25"/>
  <c r="AQ13" i="41"/>
  <c r="CX9" i="41"/>
  <c r="O50" i="37"/>
  <c r="F35" i="60"/>
  <c r="BZ98" i="41"/>
  <c r="AX92" i="39"/>
  <c r="DB66" i="26"/>
  <c r="CB29" i="41"/>
  <c r="DD102" i="1"/>
  <c r="BQ102" i="40"/>
  <c r="BU61" i="39"/>
  <c r="AO67" i="38"/>
  <c r="AW57" i="26"/>
  <c r="AI18" i="36"/>
  <c r="CK75" i="26"/>
  <c r="CF61" i="25"/>
  <c r="Z48" i="40"/>
  <c r="CL24" i="25"/>
  <c r="BX10" i="38"/>
  <c r="AH27" i="39"/>
  <c r="CX81" i="36"/>
  <c r="DE26" i="40"/>
  <c r="N49" i="25"/>
  <c r="CX24" i="36"/>
  <c r="AV18" i="39"/>
  <c r="BE75" i="39"/>
  <c r="DF50" i="36"/>
  <c r="AB13" i="39"/>
  <c r="BQ66" i="26"/>
  <c r="AC98" i="37"/>
  <c r="AT59" i="39"/>
  <c r="DC92" i="39"/>
  <c r="F87" i="60"/>
  <c r="BO91" i="39"/>
  <c r="AA102" i="41"/>
  <c r="DE59" i="36"/>
  <c r="K66" i="1"/>
  <c r="BA127" i="47"/>
  <c r="DA26" i="39"/>
  <c r="V30" i="38"/>
  <c r="G67" i="25"/>
  <c r="CW103" i="38"/>
  <c r="L60" i="40"/>
  <c r="CF29" i="39"/>
  <c r="CJ61" i="40"/>
  <c r="CF25" i="36"/>
  <c r="CX57" i="36"/>
  <c r="CU50" i="41"/>
  <c r="CT96" i="38"/>
  <c r="O45" i="59"/>
  <c r="CI13" i="37"/>
  <c r="AA96" i="40"/>
  <c r="DF17" i="36"/>
  <c r="CW34" i="37"/>
  <c r="CG61" i="41"/>
  <c r="N53" i="36"/>
  <c r="Z53" i="41"/>
  <c r="AJ34" i="1"/>
  <c r="BA59" i="39"/>
  <c r="CU24" i="26"/>
  <c r="DB29" i="36"/>
  <c r="X92" i="25"/>
  <c r="AN59" i="41"/>
  <c r="N49" i="41"/>
  <c r="H30" i="39"/>
  <c r="AS34" i="1"/>
  <c r="CG89" i="25"/>
  <c r="K30" i="36"/>
  <c r="AY59" i="25"/>
  <c r="CW89" i="39"/>
  <c r="BY79" i="36"/>
  <c r="DB66" i="38"/>
  <c r="AF37" i="38"/>
  <c r="DA12" i="36"/>
  <c r="AU59" i="40"/>
  <c r="CA18" i="40"/>
  <c r="M13" i="39"/>
  <c r="AT30" i="40"/>
  <c r="CD96" i="36"/>
  <c r="AC49" i="1"/>
  <c r="G34" i="38"/>
  <c r="DC18" i="37"/>
  <c r="CT18" i="39"/>
  <c r="AC59" i="38"/>
  <c r="BI96" i="38"/>
  <c r="BW54" i="38"/>
  <c r="CH79" i="39"/>
  <c r="AN79" i="41"/>
  <c r="CY66" i="25"/>
  <c r="E95" i="64"/>
  <c r="L93" i="64"/>
  <c r="CH50" i="26"/>
  <c r="BB108" i="47"/>
  <c r="BU50" i="1"/>
  <c r="P96" i="1"/>
  <c r="Z24" i="26"/>
  <c r="CE30" i="1"/>
  <c r="CC89" i="39"/>
  <c r="AU89" i="39"/>
  <c r="AR10" i="26"/>
  <c r="V75" i="37"/>
  <c r="CP98" i="39"/>
  <c r="DA34" i="38"/>
  <c r="BE10" i="36"/>
  <c r="O65" i="26"/>
  <c r="BD37" i="26"/>
  <c r="DE89" i="40"/>
  <c r="BO96" i="39"/>
  <c r="CJ17" i="40"/>
  <c r="CM98" i="37"/>
  <c r="CH30" i="41"/>
  <c r="CB102" i="37"/>
  <c r="S71" i="38"/>
  <c r="W79" i="1"/>
  <c r="AY34" i="40"/>
  <c r="AW53" i="25"/>
  <c r="CF96" i="25"/>
  <c r="CR92" i="38"/>
  <c r="AR79" i="39"/>
  <c r="BA92" i="37"/>
  <c r="AA65" i="41"/>
  <c r="N9" i="36"/>
  <c r="AV91" i="40"/>
  <c r="BC92" i="39"/>
  <c r="N27" i="1"/>
  <c r="AP50" i="1"/>
  <c r="X48" i="41"/>
  <c r="AN18" i="36"/>
  <c r="AT21" i="1"/>
  <c r="G85" i="60"/>
  <c r="CQ91" i="41"/>
  <c r="O10" i="36"/>
  <c r="V79" i="37"/>
  <c r="CE21" i="26"/>
  <c r="CL17" i="26"/>
  <c r="M44" i="60"/>
  <c r="H9" i="25"/>
  <c r="CQ24" i="26"/>
  <c r="DC89" i="36"/>
  <c r="CJ58" i="40"/>
  <c r="CF27" i="26"/>
  <c r="AF75" i="41"/>
  <c r="AF92" i="40"/>
  <c r="AO58" i="25"/>
  <c r="AD25" i="1"/>
  <c r="J75" i="25"/>
  <c r="CY61" i="40"/>
  <c r="BS65" i="37"/>
  <c r="L89" i="1"/>
  <c r="AB60" i="26"/>
  <c r="I49" i="25"/>
  <c r="DC17" i="26"/>
  <c r="DA54" i="36"/>
  <c r="X18" i="40"/>
  <c r="N20" i="46"/>
  <c r="CP12" i="36"/>
  <c r="CO62" i="39"/>
  <c r="AT81" i="41"/>
  <c r="L57" i="37"/>
  <c r="AD49" i="25"/>
  <c r="CC81" i="26"/>
  <c r="G57" i="41"/>
  <c r="AB50" i="37"/>
  <c r="L9" i="41"/>
  <c r="L57" i="39"/>
  <c r="CD65" i="38"/>
  <c r="CI59" i="39"/>
  <c r="DB21" i="39"/>
  <c r="BD91" i="40"/>
  <c r="DF24" i="25"/>
  <c r="AB26" i="1"/>
  <c r="F85" i="60"/>
  <c r="N34" i="25"/>
  <c r="CE75" i="39"/>
  <c r="AE58" i="40"/>
  <c r="S24" i="36"/>
  <c r="CV89" i="36"/>
  <c r="CO9" i="36"/>
  <c r="Z18" i="41"/>
  <c r="K17" i="38"/>
  <c r="CG26" i="41"/>
  <c r="CD34" i="40"/>
  <c r="AW21" i="25"/>
  <c r="O17" i="1"/>
  <c r="AT26" i="26"/>
  <c r="AH50" i="38"/>
  <c r="U48" i="1"/>
  <c r="CR66" i="36"/>
  <c r="BP58" i="40"/>
  <c r="DC21" i="1"/>
  <c r="CN26" i="38"/>
  <c r="BX24" i="39"/>
  <c r="AE13" i="41"/>
  <c r="DA18" i="1"/>
  <c r="H88" i="64"/>
  <c r="BS18" i="39"/>
  <c r="AX49" i="25"/>
  <c r="AY71" i="39"/>
  <c r="BT24" i="41"/>
  <c r="CH59" i="36"/>
  <c r="DC75" i="40"/>
  <c r="DD21" i="39"/>
  <c r="AC29" i="40"/>
  <c r="BS75" i="41"/>
  <c r="N34" i="1"/>
  <c r="T17" i="1"/>
  <c r="BQ29" i="38"/>
  <c r="CH71" i="38"/>
  <c r="BX37" i="38"/>
  <c r="CO81" i="38"/>
  <c r="CR27" i="41"/>
  <c r="BT61" i="26"/>
  <c r="CV30" i="1"/>
  <c r="P67" i="39"/>
  <c r="BZ25" i="1"/>
  <c r="L36" i="46"/>
  <c r="AX18" i="26"/>
  <c r="AR45" i="41"/>
  <c r="CL30" i="36"/>
  <c r="CP21" i="26"/>
  <c r="BR89" i="41"/>
  <c r="BQ89" i="25"/>
  <c r="CB27" i="1"/>
  <c r="DF66" i="41"/>
  <c r="T13" i="38"/>
  <c r="DE103" i="25"/>
  <c r="AV58" i="41"/>
  <c r="W91" i="40"/>
  <c r="BX49" i="38"/>
  <c r="CS57" i="26"/>
  <c r="CR12" i="40"/>
  <c r="BQ96" i="40"/>
  <c r="J58" i="38"/>
  <c r="I12" i="38"/>
  <c r="AR50" i="37"/>
  <c r="AS65" i="40"/>
  <c r="CX79" i="1"/>
  <c r="W60" i="41"/>
  <c r="Y92" i="39"/>
  <c r="AA17" i="26"/>
  <c r="AQ71" i="26"/>
  <c r="DF54" i="25"/>
  <c r="I81" i="37"/>
  <c r="CR60" i="40"/>
  <c r="BQ103" i="41"/>
  <c r="W13" i="36"/>
  <c r="S50" i="41"/>
  <c r="L27" i="41"/>
  <c r="AZ102" i="47"/>
  <c r="BX45" i="37"/>
  <c r="W34" i="38"/>
  <c r="M25" i="40"/>
  <c r="AQ30" i="36"/>
  <c r="AR53" i="25"/>
  <c r="CC18" i="39"/>
  <c r="BX60" i="39"/>
  <c r="AE24" i="40"/>
  <c r="CU57" i="38"/>
  <c r="CW30" i="26"/>
  <c r="X92" i="1"/>
  <c r="G37" i="38"/>
  <c r="CJ54" i="1"/>
  <c r="AF53" i="36"/>
  <c r="X81" i="25"/>
  <c r="AG50" i="26"/>
  <c r="BQ60" i="1"/>
  <c r="CI25" i="39"/>
  <c r="BP48" i="36"/>
  <c r="CA92" i="26"/>
  <c r="CX65" i="36"/>
  <c r="CG26" i="25"/>
  <c r="CT102" i="25"/>
  <c r="CC30" i="37"/>
  <c r="AE65" i="25"/>
  <c r="AC30" i="36"/>
  <c r="DC102" i="25"/>
  <c r="CJ34" i="41"/>
  <c r="CQ58" i="40"/>
  <c r="BE59" i="26"/>
  <c r="CK89" i="37"/>
  <c r="BB54" i="40"/>
  <c r="CS25" i="38"/>
  <c r="DC24" i="36"/>
  <c r="X21" i="1"/>
  <c r="S25" i="41"/>
  <c r="CI62" i="39"/>
  <c r="Z79" i="37"/>
  <c r="AX66" i="26"/>
  <c r="CG29" i="37"/>
  <c r="K79" i="25"/>
  <c r="AS17" i="39"/>
  <c r="E52" i="64"/>
  <c r="AR79" i="37"/>
  <c r="AV60" i="36"/>
  <c r="U62" i="1"/>
  <c r="AM34" i="41"/>
  <c r="CH37" i="38"/>
  <c r="CQ18" i="36"/>
  <c r="AS79" i="25"/>
  <c r="Z75" i="39"/>
  <c r="BC45" i="37"/>
  <c r="CO49" i="26"/>
  <c r="AY62" i="37"/>
  <c r="AI59" i="25"/>
  <c r="AC27" i="1"/>
  <c r="CW67" i="25"/>
  <c r="V10" i="37"/>
  <c r="S34" i="25"/>
  <c r="AU59" i="25"/>
  <c r="CB57" i="25"/>
  <c r="CB59" i="36"/>
  <c r="CY49" i="1"/>
  <c r="AA92" i="40"/>
  <c r="J48" i="41"/>
  <c r="AZ24" i="1"/>
  <c r="BH10" i="25"/>
  <c r="AG65" i="1"/>
  <c r="S12" i="1"/>
  <c r="CX60" i="37"/>
  <c r="CY45" i="41"/>
  <c r="AA58" i="25"/>
  <c r="J74" i="60"/>
  <c r="BB61" i="25"/>
  <c r="AW21" i="38"/>
  <c r="AU21" i="39"/>
  <c r="W65" i="37"/>
  <c r="BD66" i="40"/>
  <c r="BS9" i="41"/>
  <c r="P10" i="41"/>
  <c r="CF45" i="37"/>
  <c r="CE10" i="25"/>
  <c r="BS75" i="38"/>
  <c r="P24" i="40"/>
  <c r="N9" i="39"/>
  <c r="W67" i="25"/>
  <c r="G53" i="26"/>
  <c r="BH98" i="26"/>
  <c r="O59" i="25"/>
  <c r="CZ62" i="41"/>
  <c r="V37" i="1"/>
  <c r="CU45" i="38"/>
  <c r="J25" i="1"/>
  <c r="BW17" i="1"/>
  <c r="CY58" i="1"/>
  <c r="AP60" i="25"/>
  <c r="AV26" i="39"/>
  <c r="H30" i="25"/>
  <c r="I37" i="46"/>
  <c r="Z34" i="1"/>
  <c r="CR92" i="41"/>
  <c r="BA118" i="47"/>
  <c r="AC12" i="41"/>
  <c r="AZ53" i="39"/>
  <c r="Y65" i="26"/>
  <c r="CS102" i="41"/>
  <c r="AW59" i="26"/>
  <c r="CC34" i="1"/>
  <c r="CH29" i="1"/>
  <c r="BH37" i="38"/>
  <c r="DE102" i="26"/>
  <c r="AR79" i="38"/>
  <c r="CW98" i="1"/>
  <c r="CD79" i="40"/>
  <c r="DF26" i="1"/>
  <c r="K13" i="39"/>
  <c r="CK12" i="1"/>
  <c r="AS18" i="41"/>
  <c r="BC58" i="36"/>
  <c r="AF26" i="36"/>
  <c r="CR34" i="37"/>
  <c r="AU34" i="1"/>
  <c r="CV62" i="37"/>
  <c r="CV53" i="37"/>
  <c r="BT50" i="40"/>
  <c r="AN48" i="1"/>
  <c r="AS57" i="38"/>
  <c r="CS49" i="37"/>
  <c r="AD92" i="37"/>
  <c r="CC37" i="26"/>
  <c r="L13" i="1"/>
  <c r="AQ96" i="36"/>
  <c r="AT62" i="37"/>
  <c r="AT50" i="1"/>
  <c r="CE102" i="25"/>
  <c r="BZ21" i="38"/>
  <c r="X96" i="36"/>
  <c r="O29" i="39"/>
  <c r="BT50" i="26"/>
  <c r="O27" i="41"/>
  <c r="BC24" i="39"/>
  <c r="CR21" i="38"/>
  <c r="BD57" i="25"/>
  <c r="CL61" i="26"/>
  <c r="CD91" i="37"/>
  <c r="U60" i="26"/>
  <c r="BW59" i="39"/>
  <c r="CW103" i="25"/>
  <c r="BH50" i="1"/>
  <c r="AN57" i="26"/>
  <c r="BR37" i="26"/>
  <c r="H81" i="25"/>
  <c r="DB30" i="36"/>
  <c r="BO75" i="36"/>
  <c r="BQ54" i="1"/>
  <c r="DE49" i="38"/>
  <c r="BR29" i="41"/>
  <c r="BC65" i="1"/>
  <c r="BY37" i="40"/>
  <c r="AA92" i="41"/>
  <c r="M71" i="26"/>
  <c r="AP24" i="1"/>
  <c r="AI89" i="41"/>
  <c r="AT96" i="39"/>
  <c r="AO67" i="36"/>
  <c r="BR98" i="37"/>
  <c r="CX25" i="38"/>
  <c r="H90" i="64"/>
  <c r="L13" i="39"/>
  <c r="CU10" i="37"/>
  <c r="BS96" i="36"/>
  <c r="CQ57" i="37"/>
  <c r="AC65" i="25"/>
  <c r="BU9" i="36"/>
  <c r="AN81" i="26"/>
  <c r="CS9" i="39"/>
  <c r="BA53" i="26"/>
  <c r="BH66" i="36"/>
  <c r="CI98" i="41"/>
  <c r="M25" i="41"/>
  <c r="AO34" i="26"/>
  <c r="N60" i="36"/>
  <c r="BH18" i="25"/>
  <c r="G45" i="60"/>
  <c r="DF18" i="37"/>
  <c r="AF48" i="25"/>
  <c r="J71" i="38"/>
  <c r="BR18" i="41"/>
  <c r="CD30" i="39"/>
  <c r="BU57" i="36"/>
  <c r="DC65" i="1"/>
  <c r="CU59" i="1"/>
  <c r="AA18" i="38"/>
  <c r="W57" i="40"/>
  <c r="AQ66" i="25"/>
  <c r="DF12" i="37"/>
  <c r="AR92" i="26"/>
  <c r="BS53" i="38"/>
  <c r="DF45" i="39"/>
  <c r="AD30" i="26"/>
  <c r="G59" i="36"/>
  <c r="AS57" i="26"/>
  <c r="S30" i="39"/>
  <c r="BA89" i="1"/>
  <c r="BI24" i="25"/>
  <c r="P48" i="36"/>
  <c r="P96" i="26"/>
  <c r="CO37" i="38"/>
  <c r="BW65" i="36"/>
  <c r="CT54" i="25"/>
  <c r="BC60" i="38"/>
  <c r="AZ30" i="25"/>
  <c r="CA103" i="37"/>
  <c r="CM58" i="1"/>
  <c r="CK96" i="36"/>
  <c r="BP62" i="36"/>
  <c r="BS37" i="36"/>
  <c r="AM67" i="1"/>
  <c r="M66" i="40"/>
  <c r="N10" i="59"/>
  <c r="S66" i="36"/>
  <c r="DE96" i="39"/>
  <c r="BP65" i="40"/>
  <c r="BZ71" i="25"/>
  <c r="DC50" i="40"/>
  <c r="CB62" i="37"/>
  <c r="CM92" i="39"/>
  <c r="CC59" i="40"/>
  <c r="BB50" i="40"/>
  <c r="BY49" i="38"/>
  <c r="BW48" i="40"/>
  <c r="F75" i="64"/>
  <c r="CZ49" i="1"/>
  <c r="BZ57" i="38"/>
  <c r="AI96" i="25"/>
  <c r="AW60" i="26"/>
  <c r="Y98" i="25"/>
  <c r="CK18" i="26"/>
  <c r="BI27" i="37"/>
  <c r="J45" i="59"/>
  <c r="G58" i="37"/>
  <c r="BG104" i="47"/>
  <c r="CA96" i="40"/>
  <c r="BY53" i="41"/>
  <c r="CH49" i="26"/>
  <c r="BH10" i="37"/>
  <c r="DA37" i="40"/>
  <c r="BD54" i="26"/>
  <c r="DA65" i="25"/>
  <c r="X13" i="1"/>
  <c r="BR53" i="26"/>
  <c r="DA71" i="40"/>
  <c r="BV50" i="36"/>
  <c r="CE61" i="36"/>
  <c r="L51" i="64"/>
  <c r="S62" i="36"/>
  <c r="DA57" i="40"/>
  <c r="CJ18" i="40"/>
  <c r="AA18" i="36"/>
  <c r="DD9" i="38"/>
  <c r="CG98" i="26"/>
  <c r="M18" i="59"/>
  <c r="AZ308" i="47"/>
  <c r="K50" i="41"/>
  <c r="AP12" i="25"/>
  <c r="CO79" i="37"/>
  <c r="CA57" i="1"/>
  <c r="CB58" i="26"/>
  <c r="AZ91" i="37"/>
  <c r="H67" i="36"/>
  <c r="CE59" i="39"/>
  <c r="DB24" i="37"/>
  <c r="X79" i="41"/>
  <c r="AC60" i="38"/>
  <c r="K83" i="60"/>
  <c r="CE66" i="41"/>
  <c r="CB17" i="39"/>
  <c r="CE53" i="36"/>
  <c r="CZ98" i="41"/>
  <c r="CV65" i="41"/>
  <c r="AE34" i="37"/>
  <c r="V24" i="38"/>
  <c r="M79" i="25"/>
  <c r="AH50" i="41"/>
  <c r="CV96" i="1"/>
  <c r="K59" i="40"/>
  <c r="CV12" i="41"/>
  <c r="DC12" i="37"/>
  <c r="BX59" i="26"/>
  <c r="AG71" i="36"/>
  <c r="DC58" i="37"/>
  <c r="DB21" i="36"/>
  <c r="AR102" i="26"/>
  <c r="AQ67" i="26"/>
  <c r="DB49" i="39"/>
  <c r="K34" i="59"/>
  <c r="CG79" i="38"/>
  <c r="CM66" i="40"/>
  <c r="CA37" i="38"/>
  <c r="BA81" i="37"/>
  <c r="AF34" i="37"/>
  <c r="N62" i="36"/>
  <c r="AB24" i="37"/>
  <c r="N9" i="1"/>
  <c r="CC53" i="26"/>
  <c r="AO48" i="40"/>
  <c r="CC45" i="37"/>
  <c r="BA108" i="47"/>
  <c r="N98" i="1"/>
  <c r="CL48" i="39"/>
  <c r="BV21" i="1"/>
  <c r="I102" i="25"/>
  <c r="L50" i="40"/>
  <c r="I13" i="1"/>
  <c r="BQ103" i="26"/>
  <c r="CN50" i="25"/>
  <c r="CW26" i="1"/>
  <c r="AX91" i="40"/>
  <c r="CS57" i="36"/>
  <c r="CM30" i="38"/>
  <c r="X37" i="1"/>
  <c r="BX57" i="25"/>
  <c r="AD49" i="38"/>
  <c r="CW75" i="26"/>
  <c r="BD250" i="47"/>
  <c r="BX79" i="36"/>
  <c r="CE92" i="38"/>
  <c r="BD110" i="47"/>
  <c r="X60" i="40"/>
  <c r="BQ27" i="41"/>
  <c r="BA60" i="26"/>
  <c r="H45" i="40"/>
  <c r="CW48" i="37"/>
  <c r="CL27" i="26"/>
  <c r="W54" i="41"/>
  <c r="AI54" i="26"/>
  <c r="I25" i="1"/>
  <c r="AQ18" i="41"/>
  <c r="CD81" i="37"/>
  <c r="BR27" i="25"/>
  <c r="P37" i="26"/>
  <c r="AB57" i="25"/>
  <c r="AN26" i="38"/>
  <c r="CX59" i="25"/>
  <c r="BP29" i="39"/>
  <c r="AH18" i="36"/>
  <c r="S75" i="25"/>
  <c r="CF61" i="40"/>
  <c r="CW18" i="39"/>
  <c r="I76" i="64"/>
  <c r="CP61" i="40"/>
  <c r="AU71" i="41"/>
  <c r="AY102" i="36"/>
  <c r="G74" i="60"/>
  <c r="CS24" i="38"/>
  <c r="CV17" i="40"/>
  <c r="DF75" i="26"/>
  <c r="BR59" i="40"/>
  <c r="AG58" i="25"/>
  <c r="DE17" i="39"/>
  <c r="BP25" i="38"/>
  <c r="P79" i="41"/>
  <c r="Y12" i="40"/>
  <c r="DD24" i="25"/>
  <c r="DD13" i="37"/>
  <c r="DB67" i="39"/>
  <c r="CY49" i="40"/>
  <c r="I89" i="38"/>
  <c r="CF9" i="25"/>
  <c r="BV98" i="38"/>
  <c r="T12" i="39"/>
  <c r="AC65" i="39"/>
  <c r="DD92" i="37"/>
  <c r="K49" i="41"/>
  <c r="BE17" i="37"/>
  <c r="DB91" i="39"/>
  <c r="CW67" i="1"/>
  <c r="BB37" i="36"/>
  <c r="I26" i="38"/>
  <c r="CP29" i="38"/>
  <c r="AA57" i="1"/>
  <c r="CP89" i="41"/>
  <c r="AR91" i="26"/>
  <c r="AZ107" i="47"/>
  <c r="K29" i="41"/>
  <c r="Y58" i="41"/>
  <c r="CS92" i="26"/>
  <c r="CX92" i="25"/>
  <c r="S61" i="41"/>
  <c r="DC34" i="40"/>
  <c r="DD49" i="40"/>
  <c r="BV26" i="39"/>
  <c r="O49" i="38"/>
  <c r="BB12" i="39"/>
  <c r="CH65" i="39"/>
  <c r="BA30" i="38"/>
  <c r="BE10" i="41"/>
  <c r="BX34" i="36"/>
  <c r="M62" i="37"/>
  <c r="BU50" i="38"/>
  <c r="BR96" i="39"/>
  <c r="CS18" i="41"/>
  <c r="AU92" i="37"/>
  <c r="CB26" i="36"/>
  <c r="N50" i="46"/>
  <c r="BS96" i="25"/>
  <c r="AW17" i="26"/>
  <c r="Y45" i="39"/>
  <c r="AY71" i="1"/>
  <c r="BA25" i="1"/>
  <c r="BT12" i="36"/>
  <c r="P26" i="41"/>
  <c r="Z53" i="25"/>
  <c r="CJ21" i="40"/>
  <c r="AT102" i="38"/>
  <c r="Y54" i="40"/>
  <c r="CR102" i="40"/>
  <c r="W17" i="40"/>
  <c r="DD96" i="38"/>
  <c r="CS27" i="39"/>
  <c r="DA61" i="25"/>
  <c r="CM50" i="36"/>
  <c r="DF12" i="36"/>
  <c r="AQ102" i="37"/>
  <c r="G21" i="37"/>
  <c r="J11" i="59"/>
  <c r="AA91" i="37"/>
  <c r="CT103" i="36"/>
  <c r="AH59" i="37"/>
  <c r="AP24" i="41"/>
  <c r="BE24" i="39"/>
  <c r="AT25" i="39"/>
  <c r="BI48" i="36"/>
  <c r="AJ65" i="36"/>
  <c r="AG66" i="39"/>
  <c r="BC89" i="38"/>
  <c r="CA66" i="25"/>
  <c r="Z17" i="38"/>
  <c r="CI81" i="36"/>
  <c r="CN79" i="26"/>
  <c r="AF25" i="39"/>
  <c r="CP61" i="26"/>
  <c r="BA103" i="47"/>
  <c r="BC27" i="39"/>
  <c r="BA54" i="1"/>
  <c r="CB49" i="26"/>
  <c r="AQ30" i="25"/>
  <c r="AJ29" i="40"/>
  <c r="BI34" i="37"/>
  <c r="AG79" i="38"/>
  <c r="AH18" i="41"/>
  <c r="AY17" i="39"/>
  <c r="BP91" i="26"/>
  <c r="BU66" i="39"/>
  <c r="L54" i="1"/>
  <c r="CZ37" i="26"/>
  <c r="BE53" i="41"/>
  <c r="CJ71" i="26"/>
  <c r="CS12" i="26"/>
  <c r="CE12" i="36"/>
  <c r="J18" i="59"/>
  <c r="BW26" i="41"/>
  <c r="AX71" i="36"/>
  <c r="H91" i="39"/>
  <c r="AN53" i="1"/>
  <c r="J12" i="1"/>
  <c r="BE315" i="47"/>
  <c r="K53" i="25"/>
  <c r="CZ10" i="38"/>
  <c r="L21" i="25"/>
  <c r="BI57" i="37"/>
  <c r="AH54" i="36"/>
  <c r="DB10" i="40"/>
  <c r="CA18" i="36"/>
  <c r="AR49" i="37"/>
  <c r="AU91" i="1"/>
  <c r="CL29" i="26"/>
  <c r="DA92" i="41"/>
  <c r="CR96" i="25"/>
  <c r="AD89" i="39"/>
  <c r="AN53" i="41"/>
  <c r="CV26" i="39"/>
  <c r="BC49" i="36"/>
  <c r="CO91" i="40"/>
  <c r="BA21" i="25"/>
  <c r="CP62" i="26"/>
  <c r="BX81" i="38"/>
  <c r="CA17" i="39"/>
  <c r="DD75" i="39"/>
  <c r="BY21" i="1"/>
  <c r="M72" i="60"/>
  <c r="I59" i="59"/>
  <c r="CO57" i="41"/>
  <c r="BB60" i="26"/>
  <c r="K93" i="64"/>
  <c r="AC12" i="1"/>
  <c r="BW37" i="1"/>
  <c r="CC103" i="26"/>
  <c r="AV26" i="26"/>
  <c r="BT92" i="37"/>
  <c r="AE92" i="40"/>
  <c r="CI57" i="37"/>
  <c r="AN60" i="39"/>
  <c r="BP59" i="25"/>
  <c r="AO67" i="37"/>
  <c r="CI62" i="26"/>
  <c r="Y18" i="36"/>
  <c r="AQ9" i="25"/>
  <c r="BH61" i="37"/>
  <c r="CF98" i="39"/>
  <c r="H24" i="37"/>
  <c r="CM81" i="26"/>
  <c r="AY71" i="26"/>
  <c r="AX92" i="37"/>
  <c r="J21" i="25"/>
  <c r="P54" i="36"/>
  <c r="AI48" i="26"/>
  <c r="AN21" i="39"/>
  <c r="CD12" i="39"/>
  <c r="D36" i="59"/>
  <c r="AI27" i="36"/>
  <c r="CQ54" i="41"/>
  <c r="BD10" i="39"/>
  <c r="CX92" i="1"/>
  <c r="CZ49" i="37"/>
  <c r="H17" i="37"/>
  <c r="BW89" i="26"/>
  <c r="BE25" i="37"/>
  <c r="CE57" i="36"/>
  <c r="AN27" i="39"/>
  <c r="DE50" i="25"/>
  <c r="AO53" i="37"/>
  <c r="K26" i="25"/>
  <c r="G25" i="40"/>
  <c r="CX26" i="26"/>
  <c r="BE50" i="38"/>
  <c r="CI71" i="39"/>
  <c r="AE45" i="40"/>
  <c r="I17" i="39"/>
  <c r="AP67" i="37"/>
  <c r="L18" i="39"/>
  <c r="DD79" i="26"/>
  <c r="CL59" i="37"/>
  <c r="L91" i="37"/>
  <c r="AW10" i="25"/>
  <c r="DE89" i="37"/>
  <c r="N18" i="59"/>
  <c r="CG49" i="40"/>
  <c r="BB57" i="25"/>
  <c r="AW81" i="41"/>
  <c r="K60" i="37"/>
  <c r="AZ18" i="36"/>
  <c r="AB24" i="1"/>
  <c r="AT61" i="25"/>
  <c r="AT79" i="26"/>
  <c r="AC89" i="39"/>
  <c r="X57" i="41"/>
  <c r="CJ29" i="1"/>
  <c r="CV18" i="38"/>
  <c r="BX91" i="36"/>
  <c r="AJ49" i="36"/>
  <c r="BT61" i="38"/>
  <c r="BB49" i="36"/>
  <c r="BH34" i="41"/>
  <c r="AC65" i="37"/>
  <c r="BS45" i="38"/>
  <c r="CD24" i="40"/>
  <c r="AR29" i="25"/>
  <c r="CD96" i="38"/>
  <c r="BX49" i="36"/>
  <c r="AC79" i="38"/>
  <c r="DF10" i="36"/>
  <c r="BV25" i="38"/>
  <c r="CW60" i="40"/>
  <c r="CY60" i="40"/>
  <c r="M76" i="60"/>
  <c r="CK18" i="36"/>
  <c r="AY92" i="38"/>
  <c r="AE9" i="25"/>
  <c r="CP57" i="25"/>
  <c r="AS21" i="25"/>
  <c r="CV45" i="25"/>
  <c r="BH13" i="38"/>
  <c r="AJ58" i="26"/>
  <c r="CE17" i="38"/>
  <c r="CS58" i="39"/>
  <c r="DB81" i="1"/>
  <c r="AN26" i="37"/>
  <c r="CX98" i="39"/>
  <c r="AD92" i="40"/>
  <c r="CW17" i="41"/>
  <c r="AT10" i="39"/>
  <c r="CB24" i="25"/>
  <c r="BV71" i="40"/>
  <c r="AY18" i="38"/>
  <c r="AE18" i="26"/>
  <c r="AJ65" i="25"/>
  <c r="BO60" i="39"/>
  <c r="CG25" i="37"/>
  <c r="BE45" i="26"/>
  <c r="AY101" i="47"/>
  <c r="CH60" i="37"/>
  <c r="AX48" i="41"/>
  <c r="CL10" i="40"/>
  <c r="BA48" i="26"/>
  <c r="AJ89" i="39"/>
  <c r="BA81" i="26"/>
  <c r="BU98" i="40"/>
  <c r="H86" i="64"/>
  <c r="CL24" i="40"/>
  <c r="CH9" i="40"/>
  <c r="W79" i="41"/>
  <c r="CA29" i="26"/>
  <c r="AW29" i="39"/>
  <c r="Y48" i="38"/>
  <c r="CG71" i="1"/>
  <c r="AH50" i="39"/>
  <c r="AY92" i="41"/>
  <c r="CF71" i="40"/>
  <c r="BB81" i="37"/>
  <c r="CW91" i="40"/>
  <c r="BB10" i="36"/>
  <c r="T13" i="26"/>
  <c r="AT71" i="37"/>
  <c r="CN57" i="38"/>
  <c r="BD79" i="39"/>
  <c r="BV30" i="1"/>
  <c r="AE89" i="41"/>
  <c r="CI58" i="37"/>
  <c r="BI54" i="38"/>
  <c r="AD71" i="25"/>
  <c r="AW58" i="40"/>
  <c r="G29" i="40"/>
  <c r="AE58" i="38"/>
  <c r="DE50" i="26"/>
  <c r="AO13" i="26"/>
  <c r="CL91" i="26"/>
  <c r="AO12" i="38"/>
  <c r="H54" i="38"/>
  <c r="DC50" i="1"/>
  <c r="AB30" i="25"/>
  <c r="DA50" i="38"/>
  <c r="AX79" i="41"/>
  <c r="BO29" i="39"/>
  <c r="BX27" i="36"/>
  <c r="N61" i="39"/>
  <c r="CE30" i="39"/>
  <c r="DD9" i="40"/>
  <c r="AX21" i="26"/>
  <c r="CR53" i="36"/>
  <c r="N67" i="38"/>
  <c r="CN13" i="1"/>
  <c r="AX66" i="41"/>
  <c r="AX67" i="41"/>
  <c r="Y50" i="38"/>
  <c r="CT21" i="1"/>
  <c r="CW66" i="37"/>
  <c r="CY30" i="40"/>
  <c r="AS71" i="38"/>
  <c r="AY91" i="41"/>
  <c r="DA62" i="37"/>
  <c r="DE37" i="26"/>
  <c r="AH65" i="41"/>
  <c r="CT62" i="36"/>
  <c r="AE12" i="1"/>
  <c r="CV61" i="38"/>
  <c r="CP30" i="38"/>
  <c r="BV75" i="37"/>
  <c r="CS13" i="26"/>
  <c r="CY24" i="1"/>
  <c r="AP65" i="41"/>
  <c r="CX96" i="39"/>
  <c r="AZ53" i="1"/>
  <c r="CZ71" i="40"/>
  <c r="DB45" i="39"/>
  <c r="AM12" i="41"/>
  <c r="BU67" i="36"/>
  <c r="AQ92" i="41"/>
  <c r="DD50" i="37"/>
  <c r="DD61" i="38"/>
  <c r="BZ79" i="26"/>
  <c r="BW58" i="26"/>
  <c r="AF45" i="38"/>
  <c r="CI53" i="26"/>
  <c r="CW21" i="40"/>
  <c r="AN71" i="26"/>
  <c r="CK25" i="26"/>
  <c r="BQ30" i="41"/>
  <c r="H67" i="38"/>
  <c r="BD314" i="47"/>
  <c r="DC13" i="25"/>
  <c r="W34" i="41"/>
  <c r="V45" i="38"/>
  <c r="O59" i="1"/>
  <c r="BQ37" i="39"/>
  <c r="AC54" i="38"/>
  <c r="H76" i="64"/>
  <c r="T53" i="39"/>
  <c r="CJ34" i="26"/>
  <c r="G82" i="60"/>
  <c r="K46" i="60"/>
  <c r="DA30" i="1"/>
  <c r="AT59" i="26"/>
  <c r="BA29" i="41"/>
  <c r="DF13" i="40"/>
  <c r="CO91" i="36"/>
  <c r="CO26" i="1"/>
  <c r="K49" i="59"/>
  <c r="V61" i="41"/>
  <c r="CO98" i="26"/>
  <c r="BS50" i="39"/>
  <c r="AZ26" i="36"/>
  <c r="CG58" i="39"/>
  <c r="V24" i="40"/>
  <c r="S81" i="36"/>
  <c r="BQ58" i="36"/>
  <c r="BD59" i="39"/>
  <c r="X9" i="26"/>
  <c r="N49" i="40"/>
  <c r="BO71" i="25"/>
  <c r="AQ62" i="37"/>
  <c r="L31" i="4"/>
  <c r="BW96" i="25"/>
  <c r="AG27" i="41"/>
  <c r="BD29" i="26"/>
  <c r="AB54" i="26"/>
  <c r="H53" i="25"/>
  <c r="CA79" i="36"/>
  <c r="S18" i="37"/>
  <c r="AR71" i="26"/>
  <c r="CD37" i="25"/>
  <c r="CD12" i="41"/>
  <c r="AD75" i="40"/>
  <c r="AY53" i="36"/>
  <c r="CD79" i="37"/>
  <c r="CI61" i="38"/>
  <c r="W48" i="26"/>
  <c r="AR98" i="38"/>
  <c r="AG17" i="40"/>
  <c r="O98" i="40"/>
  <c r="AF75" i="25"/>
  <c r="BR53" i="25"/>
  <c r="AZ310" i="47"/>
  <c r="BX18" i="37"/>
  <c r="BZ34" i="40"/>
  <c r="J17" i="64"/>
  <c r="AI89" i="39"/>
  <c r="BO98" i="36"/>
  <c r="CN61" i="25"/>
  <c r="P98" i="39"/>
  <c r="CR71" i="26"/>
  <c r="CA89" i="37"/>
  <c r="G98" i="40"/>
  <c r="CS53" i="37"/>
  <c r="CF65" i="1"/>
  <c r="H89" i="64"/>
  <c r="J10" i="60"/>
  <c r="BX26" i="1"/>
  <c r="U34" i="25"/>
  <c r="BU65" i="26"/>
  <c r="AV25" i="40"/>
  <c r="CF50" i="40"/>
  <c r="P92" i="1"/>
  <c r="CU61" i="41"/>
  <c r="DB50" i="36"/>
  <c r="CE96" i="36"/>
  <c r="BA34" i="39"/>
  <c r="CG26" i="38"/>
  <c r="BC18" i="38"/>
  <c r="AZ106" i="47"/>
  <c r="BZ62" i="40"/>
  <c r="AE98" i="26"/>
  <c r="AU62" i="1"/>
  <c r="AI27" i="41"/>
  <c r="CK25" i="39"/>
  <c r="CA75" i="26"/>
  <c r="CD45" i="37"/>
  <c r="BC102" i="41"/>
  <c r="AD60" i="38"/>
  <c r="CS75" i="26"/>
  <c r="M75" i="64"/>
  <c r="CM75" i="36"/>
  <c r="BY102" i="26"/>
  <c r="H57" i="36"/>
  <c r="BO66" i="41"/>
  <c r="AR60" i="36"/>
  <c r="AP81" i="39"/>
  <c r="BV58" i="36"/>
  <c r="CH45" i="26"/>
  <c r="BP29" i="25"/>
  <c r="AZ61" i="26"/>
  <c r="M76" i="64"/>
  <c r="P17" i="37"/>
  <c r="X53" i="40"/>
  <c r="AA58" i="39"/>
  <c r="M89" i="1"/>
  <c r="AM71" i="1"/>
  <c r="F37" i="46"/>
  <c r="AW37" i="37"/>
  <c r="BS59" i="40"/>
  <c r="AO30" i="37"/>
  <c r="O6" i="59"/>
  <c r="V37" i="26"/>
  <c r="AH59" i="26"/>
  <c r="AW61" i="1"/>
  <c r="L92" i="1"/>
  <c r="BO91" i="26"/>
  <c r="AJ53" i="39"/>
  <c r="BB30" i="41"/>
  <c r="O66" i="1"/>
  <c r="AZ71" i="38"/>
  <c r="AH66" i="25"/>
  <c r="AT98" i="37"/>
  <c r="CO54" i="39"/>
  <c r="AC30" i="38"/>
  <c r="AI27" i="37"/>
  <c r="BZ66" i="38"/>
  <c r="BQ30" i="1"/>
  <c r="AJ57" i="1"/>
  <c r="H67" i="37"/>
  <c r="BB62" i="40"/>
  <c r="F54" i="64"/>
  <c r="CL62" i="37"/>
  <c r="AU54" i="36"/>
  <c r="M95" i="64"/>
  <c r="BW10" i="1"/>
  <c r="AI102" i="38"/>
  <c r="AR37" i="41"/>
  <c r="AZ233" i="47"/>
  <c r="DC98" i="41"/>
  <c r="BY102" i="1"/>
  <c r="CB26" i="38"/>
  <c r="BZ13" i="36"/>
  <c r="CU49" i="1"/>
  <c r="BE48" i="40"/>
  <c r="BA25" i="36"/>
  <c r="BX27" i="39"/>
  <c r="DA27" i="39"/>
  <c r="BX30" i="36"/>
  <c r="BR58" i="40"/>
  <c r="BE17" i="39"/>
  <c r="BO27" i="40"/>
  <c r="N53" i="40"/>
  <c r="H54" i="26"/>
  <c r="BB75" i="40"/>
  <c r="AG92" i="39"/>
  <c r="CW60" i="26"/>
  <c r="CS67" i="38"/>
  <c r="N91" i="38"/>
  <c r="BR92" i="39"/>
  <c r="CH37" i="39"/>
  <c r="H89" i="38"/>
  <c r="M49" i="38"/>
  <c r="BS48" i="38"/>
  <c r="AQ54" i="26"/>
  <c r="I12" i="40"/>
  <c r="AE89" i="1"/>
  <c r="CR98" i="39"/>
  <c r="AY48" i="1"/>
  <c r="AI81" i="37"/>
  <c r="V65" i="26"/>
  <c r="J34" i="26"/>
  <c r="M30" i="1"/>
  <c r="DE50" i="36"/>
  <c r="L98" i="41"/>
  <c r="H18" i="26"/>
  <c r="S98" i="39"/>
  <c r="AE57" i="26"/>
  <c r="AC71" i="1"/>
  <c r="DA96" i="41"/>
  <c r="BV26" i="1"/>
  <c r="CS37" i="41"/>
  <c r="BO13" i="37"/>
  <c r="BD71" i="26"/>
  <c r="U67" i="39"/>
  <c r="CH60" i="1"/>
  <c r="DA24" i="37"/>
  <c r="J17" i="41"/>
  <c r="CB81" i="38"/>
  <c r="AF25" i="37"/>
  <c r="O96" i="26"/>
  <c r="AT59" i="40"/>
  <c r="DD24" i="39"/>
  <c r="DE12" i="40"/>
  <c r="CY61" i="39"/>
  <c r="N21" i="1"/>
  <c r="CJ102" i="36"/>
  <c r="BX53" i="38"/>
  <c r="CA17" i="36"/>
  <c r="AR65" i="41"/>
  <c r="Y10" i="25"/>
  <c r="CL50" i="39"/>
  <c r="CH102" i="36"/>
  <c r="AD29" i="36"/>
  <c r="BI54" i="40"/>
  <c r="CI30" i="26"/>
  <c r="AO29" i="37"/>
  <c r="BV26" i="25"/>
  <c r="O34" i="37"/>
  <c r="BH21" i="41"/>
  <c r="CV59" i="1"/>
  <c r="CJ75" i="40"/>
  <c r="BR57" i="39"/>
  <c r="AW45" i="39"/>
  <c r="BX18" i="40"/>
  <c r="J48" i="39"/>
  <c r="G50" i="38"/>
  <c r="CT26" i="36"/>
  <c r="CP103" i="36"/>
  <c r="N60" i="25"/>
  <c r="DF102" i="25"/>
  <c r="AI21" i="39"/>
  <c r="CJ50" i="41"/>
  <c r="CT102" i="36"/>
  <c r="AM29" i="25"/>
  <c r="AQ62" i="40"/>
  <c r="I49" i="38"/>
  <c r="BT62" i="37"/>
  <c r="AO96" i="26"/>
  <c r="M50" i="38"/>
  <c r="CI26" i="41"/>
  <c r="V49" i="1"/>
  <c r="CS79" i="26"/>
  <c r="CZ59" i="26"/>
  <c r="CR61" i="25"/>
  <c r="G75" i="37"/>
  <c r="Z30" i="38"/>
  <c r="AS49" i="40"/>
  <c r="BO24" i="36"/>
  <c r="BI57" i="36"/>
  <c r="O46" i="59"/>
  <c r="DC26" i="36"/>
  <c r="I17" i="1"/>
  <c r="CQ24" i="38"/>
  <c r="AC60" i="25"/>
  <c r="CA53" i="39"/>
  <c r="BW67" i="38"/>
  <c r="H17" i="41"/>
  <c r="M26" i="46"/>
  <c r="BQ62" i="38"/>
  <c r="CY27" i="37"/>
  <c r="AC50" i="1"/>
  <c r="W61" i="36"/>
  <c r="BZ37" i="1"/>
  <c r="CX66" i="25"/>
  <c r="CR50" i="37"/>
  <c r="AV17" i="26"/>
  <c r="BX81" i="36"/>
  <c r="AF34" i="40"/>
  <c r="DE9" i="36"/>
  <c r="BD18" i="26"/>
  <c r="BQ34" i="41"/>
  <c r="M74" i="64"/>
  <c r="I49" i="64"/>
  <c r="CW37" i="38"/>
  <c r="O30" i="25"/>
  <c r="J24" i="40"/>
  <c r="CC92" i="25"/>
  <c r="AF81" i="39"/>
  <c r="AC21" i="40"/>
  <c r="AN92" i="25"/>
  <c r="AY79" i="37"/>
  <c r="DC18" i="26"/>
  <c r="V81" i="25"/>
  <c r="H62" i="25"/>
  <c r="CV25" i="36"/>
  <c r="CU54" i="26"/>
  <c r="BZ57" i="25"/>
  <c r="BH59" i="41"/>
  <c r="AE27" i="40"/>
  <c r="CH50" i="25"/>
  <c r="AZ103" i="47"/>
  <c r="BR66" i="25"/>
  <c r="X27" i="36"/>
  <c r="J8" i="60"/>
  <c r="I50" i="64"/>
  <c r="CF57" i="40"/>
  <c r="J61" i="41"/>
  <c r="CV12" i="37"/>
  <c r="X59" i="36"/>
  <c r="CL71" i="26"/>
  <c r="M37" i="37"/>
  <c r="BI26" i="38"/>
  <c r="BV48" i="36"/>
  <c r="CD66" i="41"/>
  <c r="CN30" i="36"/>
  <c r="Z49" i="37"/>
  <c r="AW49" i="41"/>
  <c r="AM29" i="37"/>
  <c r="CR13" i="25"/>
  <c r="N24" i="41"/>
  <c r="AQ54" i="40"/>
  <c r="CK103" i="40"/>
  <c r="CT34" i="39"/>
  <c r="CF67" i="36"/>
  <c r="CN91" i="41"/>
  <c r="CZ66" i="36"/>
  <c r="CU62" i="1"/>
  <c r="BA57" i="40"/>
  <c r="W27" i="39"/>
  <c r="CV21" i="39"/>
  <c r="BE49" i="39"/>
  <c r="CF89" i="26"/>
  <c r="AR53" i="38"/>
  <c r="CY81" i="25"/>
  <c r="AY89" i="39"/>
  <c r="CI37" i="39"/>
  <c r="CB34" i="38"/>
  <c r="BP60" i="1"/>
  <c r="BO27" i="36"/>
  <c r="AC57" i="37"/>
  <c r="BR9" i="41"/>
  <c r="BB118" i="47"/>
  <c r="DF30" i="1"/>
  <c r="BQ58" i="40"/>
  <c r="AY30" i="37"/>
  <c r="BC106" i="47"/>
  <c r="AO17" i="39"/>
  <c r="CK89" i="25"/>
  <c r="P51" i="59"/>
  <c r="J13" i="26"/>
  <c r="I85" i="60"/>
  <c r="BD12" i="25"/>
  <c r="DD89" i="26"/>
  <c r="BB71" i="39"/>
  <c r="I65" i="40"/>
  <c r="CF26" i="36"/>
  <c r="AB21" i="40"/>
  <c r="CC79" i="38"/>
  <c r="BU65" i="25"/>
  <c r="G87" i="60"/>
  <c r="CC102" i="38"/>
  <c r="AI81" i="36"/>
  <c r="CQ50" i="25"/>
  <c r="CI49" i="39"/>
  <c r="DE21" i="25"/>
  <c r="DF62" i="1"/>
  <c r="CK58" i="39"/>
  <c r="AT45" i="40"/>
  <c r="BS29" i="36"/>
  <c r="CR17" i="1"/>
  <c r="AE61" i="1"/>
  <c r="CF58" i="40"/>
  <c r="U25" i="1"/>
  <c r="CN81" i="38"/>
  <c r="CC62" i="39"/>
  <c r="CX54" i="26"/>
  <c r="H12" i="1"/>
  <c r="CB91" i="41"/>
  <c r="BU92" i="37"/>
  <c r="J102" i="39"/>
  <c r="AF24" i="39"/>
  <c r="DB27" i="1"/>
  <c r="AQ75" i="39"/>
  <c r="K54" i="39"/>
  <c r="CW49" i="40"/>
  <c r="DD30" i="25"/>
  <c r="X45" i="25"/>
  <c r="AH67" i="41"/>
  <c r="AG30" i="26"/>
  <c r="L59" i="37"/>
  <c r="BG107" i="47"/>
  <c r="BW25" i="40"/>
  <c r="CY71" i="37"/>
  <c r="CU50" i="36"/>
  <c r="BD54" i="36"/>
  <c r="W24" i="25"/>
  <c r="DC53" i="37"/>
  <c r="Y18" i="39"/>
  <c r="BH29" i="38"/>
  <c r="AX45" i="37"/>
  <c r="CS103" i="39"/>
  <c r="BR10" i="25"/>
  <c r="CE75" i="26"/>
  <c r="CZ29" i="41"/>
  <c r="AV53" i="25"/>
  <c r="CO60" i="36"/>
  <c r="CI65" i="41"/>
  <c r="BY102" i="37"/>
  <c r="AY75" i="39"/>
  <c r="O13" i="37"/>
  <c r="AV9" i="36"/>
  <c r="BO48" i="40"/>
  <c r="BH18" i="38"/>
  <c r="AV96" i="1"/>
  <c r="G12" i="38"/>
  <c r="CI21" i="38"/>
  <c r="P98" i="37"/>
  <c r="AR50" i="26"/>
  <c r="CA10" i="40"/>
  <c r="DA49" i="40"/>
  <c r="AO54" i="41"/>
  <c r="CW37" i="25"/>
  <c r="P62" i="26"/>
  <c r="CI34" i="1"/>
  <c r="AQ102" i="39"/>
  <c r="AO67" i="25"/>
  <c r="DF75" i="25"/>
  <c r="AM12" i="1"/>
  <c r="AI53" i="26"/>
  <c r="AI45" i="37"/>
  <c r="BW18" i="41"/>
  <c r="BP66" i="38"/>
  <c r="I48" i="64"/>
  <c r="BS48" i="26"/>
  <c r="DF37" i="38"/>
  <c r="CS92" i="40"/>
  <c r="CV50" i="36"/>
  <c r="AI89" i="1"/>
  <c r="CR34" i="25"/>
  <c r="CM26" i="40"/>
  <c r="CK75" i="38"/>
  <c r="BR89" i="36"/>
  <c r="AF34" i="39"/>
  <c r="CN21" i="38"/>
  <c r="CH89" i="39"/>
  <c r="BD10" i="26"/>
  <c r="N54" i="26"/>
  <c r="O48" i="38"/>
  <c r="BW71" i="25"/>
  <c r="CY17" i="36"/>
  <c r="L40" i="64"/>
  <c r="AR71" i="37"/>
  <c r="CL102" i="39"/>
  <c r="X66" i="36"/>
  <c r="L98" i="1"/>
  <c r="BD49" i="26"/>
  <c r="Y24" i="38"/>
  <c r="CC75" i="38"/>
  <c r="L50" i="64"/>
  <c r="I34" i="40"/>
  <c r="BY65" i="38"/>
  <c r="J20" i="50"/>
  <c r="BE21" i="25"/>
  <c r="CC62" i="36"/>
  <c r="AX102" i="25"/>
  <c r="K61" i="1"/>
  <c r="AZ29" i="37"/>
  <c r="K15" i="64"/>
  <c r="H79" i="1"/>
  <c r="AB96" i="38"/>
  <c r="AS75" i="36"/>
  <c r="CJ9" i="26"/>
  <c r="AD81" i="38"/>
  <c r="CC45" i="1"/>
  <c r="BQ65" i="41"/>
  <c r="U67" i="37"/>
  <c r="AI25" i="39"/>
  <c r="DA89" i="36"/>
  <c r="BD58" i="41"/>
  <c r="AD91" i="1"/>
  <c r="AV27" i="26"/>
  <c r="U27" i="37"/>
  <c r="BW53" i="37"/>
  <c r="AB75" i="26"/>
  <c r="CJ61" i="37"/>
  <c r="BS66" i="37"/>
  <c r="AN91" i="39"/>
  <c r="BD92" i="36"/>
  <c r="AW81" i="26"/>
  <c r="CV18" i="36"/>
  <c r="CH60" i="26"/>
  <c r="AV9" i="37"/>
  <c r="CP24" i="36"/>
  <c r="BI67" i="37"/>
  <c r="CP71" i="40"/>
  <c r="CW25" i="41"/>
  <c r="AF62" i="25"/>
  <c r="CG58" i="38"/>
  <c r="P24" i="26"/>
  <c r="AB17" i="39"/>
  <c r="E48" i="64"/>
  <c r="AW59" i="40"/>
  <c r="CQ58" i="37"/>
  <c r="P62" i="40"/>
  <c r="F9" i="64"/>
  <c r="K55" i="64"/>
  <c r="BQ24" i="40"/>
  <c r="CH26" i="36"/>
  <c r="AC21" i="25"/>
  <c r="CS25" i="40"/>
  <c r="CO60" i="38"/>
  <c r="AF30" i="41"/>
  <c r="CU59" i="41"/>
  <c r="O60" i="41"/>
  <c r="AD26" i="41"/>
  <c r="AW29" i="41"/>
  <c r="Y54" i="37"/>
  <c r="BT34" i="26"/>
  <c r="M91" i="37"/>
  <c r="CM103" i="36"/>
  <c r="AP25" i="41"/>
  <c r="CE45" i="40"/>
  <c r="BV61" i="25"/>
  <c r="AE25" i="26"/>
  <c r="BE10" i="25"/>
  <c r="H79" i="26"/>
  <c r="T12" i="25"/>
  <c r="AP13" i="39"/>
  <c r="L89" i="64"/>
  <c r="DC18" i="25"/>
  <c r="DB50" i="40"/>
  <c r="AB89" i="41"/>
  <c r="N9" i="26"/>
  <c r="AV24" i="36"/>
  <c r="CK54" i="38"/>
  <c r="AZ102" i="25"/>
  <c r="F17" i="46"/>
  <c r="P10" i="40"/>
  <c r="AE81" i="38"/>
  <c r="BB30" i="38"/>
  <c r="AX18" i="1"/>
  <c r="L57" i="41"/>
  <c r="AX49" i="41"/>
  <c r="CH75" i="39"/>
  <c r="CL58" i="40"/>
  <c r="BB79" i="1"/>
  <c r="L54" i="26"/>
  <c r="DF60" i="38"/>
  <c r="BQ103" i="39"/>
  <c r="CD89" i="1"/>
  <c r="BQ71" i="25"/>
  <c r="CZ12" i="41"/>
  <c r="AO18" i="36"/>
  <c r="AU61" i="26"/>
  <c r="BU81" i="37"/>
  <c r="AS96" i="36"/>
  <c r="L20" i="46"/>
  <c r="AE25" i="37"/>
  <c r="AF60" i="41"/>
  <c r="CG75" i="25"/>
  <c r="AJ17" i="40"/>
  <c r="CM91" i="36"/>
  <c r="CH103" i="25"/>
  <c r="BR18" i="40"/>
  <c r="K66" i="39"/>
  <c r="CD27" i="26"/>
  <c r="AQ61" i="41"/>
  <c r="AS81" i="39"/>
  <c r="BE250" i="47"/>
  <c r="BX18" i="38"/>
  <c r="H37" i="36"/>
  <c r="DD98" i="1"/>
  <c r="S60" i="26"/>
  <c r="Y75" i="25"/>
  <c r="AT30" i="1"/>
  <c r="CW27" i="39"/>
  <c r="AD54" i="36"/>
  <c r="AP66" i="26"/>
  <c r="AC25" i="40"/>
  <c r="CZ12" i="26"/>
  <c r="AM13" i="37"/>
  <c r="DB59" i="36"/>
  <c r="J33" i="59"/>
  <c r="CA34" i="41"/>
  <c r="M13" i="40"/>
  <c r="AD102" i="40"/>
  <c r="DC50" i="25"/>
  <c r="CR37" i="37"/>
  <c r="CM57" i="1"/>
  <c r="AQ53" i="39"/>
  <c r="BT30" i="41"/>
  <c r="P18" i="1"/>
  <c r="CC54" i="41"/>
  <c r="BV25" i="41"/>
  <c r="AJ66" i="38"/>
  <c r="CQ75" i="26"/>
  <c r="CY81" i="39"/>
  <c r="CQ71" i="1"/>
  <c r="CP54" i="39"/>
  <c r="BR91" i="41"/>
  <c r="CB92" i="39"/>
  <c r="CE75" i="41"/>
  <c r="BS60" i="37"/>
  <c r="AE60" i="39"/>
  <c r="BU62" i="40"/>
  <c r="BV60" i="39"/>
  <c r="AQ79" i="1"/>
  <c r="DF26" i="38"/>
  <c r="AC91" i="38"/>
  <c r="CH91" i="1"/>
  <c r="BO24" i="26"/>
  <c r="CD92" i="36"/>
  <c r="E92" i="64"/>
  <c r="BT96" i="41"/>
  <c r="BX65" i="40"/>
  <c r="P9" i="25"/>
  <c r="BZ79" i="40"/>
  <c r="CA30" i="41"/>
  <c r="CM89" i="40"/>
  <c r="CT27" i="40"/>
  <c r="CM103" i="40"/>
  <c r="CJ30" i="37"/>
  <c r="CS65" i="36"/>
  <c r="J81" i="40"/>
  <c r="E49" i="60"/>
  <c r="Z61" i="41"/>
  <c r="AZ61" i="25"/>
  <c r="CH26" i="37"/>
  <c r="H81" i="26"/>
  <c r="AO102" i="37"/>
  <c r="CT53" i="37"/>
  <c r="AN13" i="39"/>
  <c r="BE60" i="38"/>
  <c r="DD13" i="41"/>
  <c r="BU50" i="39"/>
  <c r="J21" i="41"/>
  <c r="CE60" i="40"/>
  <c r="P62" i="41"/>
  <c r="CB102" i="36"/>
  <c r="CL54" i="40"/>
  <c r="CS21" i="41"/>
  <c r="P102" i="40"/>
  <c r="L53" i="64"/>
  <c r="CI50" i="36"/>
  <c r="DC53" i="1"/>
  <c r="AZ49" i="25"/>
  <c r="BE71" i="39"/>
  <c r="F63" i="60"/>
  <c r="BB102" i="25"/>
  <c r="G34" i="25"/>
  <c r="DB89" i="37"/>
  <c r="L92" i="39"/>
  <c r="AR27" i="1"/>
  <c r="Z92" i="26"/>
  <c r="BR67" i="36"/>
  <c r="AY98" i="41"/>
  <c r="DC71" i="1"/>
  <c r="N27" i="39"/>
  <c r="S17" i="39"/>
  <c r="AA92" i="38"/>
  <c r="CP9" i="40"/>
  <c r="CG61" i="38"/>
  <c r="BT18" i="37"/>
  <c r="AM49" i="39"/>
  <c r="F69" i="60"/>
  <c r="DE9" i="25"/>
  <c r="K24" i="26"/>
  <c r="DC92" i="36"/>
  <c r="AF67" i="38"/>
  <c r="CL66" i="41"/>
  <c r="BU9" i="40"/>
  <c r="K96" i="36"/>
  <c r="CD98" i="41"/>
  <c r="AU50" i="41"/>
  <c r="BO18" i="40"/>
  <c r="AS79" i="41"/>
  <c r="CI67" i="36"/>
  <c r="BB18" i="25"/>
  <c r="BC50" i="36"/>
  <c r="CZ48" i="36"/>
  <c r="BP26" i="41"/>
  <c r="CP98" i="26"/>
  <c r="AD89" i="1"/>
  <c r="AA48" i="36"/>
  <c r="G89" i="37"/>
  <c r="CY71" i="1"/>
  <c r="BB100" i="47"/>
  <c r="BC71" i="38"/>
  <c r="DD89" i="25"/>
  <c r="CO12" i="37"/>
  <c r="J47" i="64"/>
  <c r="K79" i="26"/>
  <c r="BI10" i="38"/>
  <c r="BT53" i="38"/>
  <c r="BV91" i="40"/>
  <c r="AR96" i="38"/>
  <c r="CB102" i="38"/>
  <c r="BA65" i="36"/>
  <c r="CT54" i="26"/>
  <c r="P81" i="1"/>
  <c r="BW96" i="26"/>
  <c r="AX79" i="1"/>
  <c r="CD57" i="26"/>
  <c r="CK49" i="26"/>
  <c r="BB37" i="1"/>
  <c r="CC10" i="1"/>
  <c r="P89" i="36"/>
  <c r="CV75" i="40"/>
  <c r="CM26" i="41"/>
  <c r="DE27" i="25"/>
  <c r="CO10" i="39"/>
  <c r="M9" i="37"/>
  <c r="CK26" i="1"/>
  <c r="BX12" i="25"/>
  <c r="J96" i="38"/>
  <c r="CU45" i="40"/>
  <c r="BD58" i="1"/>
  <c r="AU29" i="37"/>
  <c r="BC110" i="47"/>
  <c r="CZ92" i="36"/>
  <c r="AZ59" i="38"/>
  <c r="AD81" i="41"/>
  <c r="AD60" i="37"/>
  <c r="CA92" i="36"/>
  <c r="BI24" i="39"/>
  <c r="CI12" i="41"/>
  <c r="DF71" i="40"/>
  <c r="H69" i="64"/>
  <c r="CC13" i="39"/>
  <c r="BY29" i="40"/>
  <c r="G102" i="1"/>
  <c r="AB66" i="25"/>
  <c r="CR13" i="1"/>
  <c r="S24" i="38"/>
  <c r="BC24" i="1"/>
  <c r="CR103" i="36"/>
  <c r="X60" i="41"/>
  <c r="M67" i="25"/>
  <c r="CO50" i="26"/>
  <c r="P91" i="39"/>
  <c r="CX92" i="40"/>
  <c r="AH27" i="37"/>
  <c r="CG58" i="1"/>
  <c r="J18" i="46"/>
  <c r="CF21" i="41"/>
  <c r="BA247" i="47"/>
  <c r="CA57" i="41"/>
  <c r="AU102" i="40"/>
  <c r="N58" i="25"/>
  <c r="AJ66" i="39"/>
  <c r="BU34" i="39"/>
  <c r="AR45" i="40"/>
  <c r="CQ25" i="1"/>
  <c r="CX75" i="39"/>
  <c r="T53" i="37"/>
  <c r="BC13" i="40"/>
  <c r="BB79" i="26"/>
  <c r="U49" i="39"/>
  <c r="BP75" i="25"/>
  <c r="DF18" i="38"/>
  <c r="CV58" i="36"/>
  <c r="AY25" i="37"/>
  <c r="BZ18" i="25"/>
  <c r="CY12" i="39"/>
  <c r="CO29" i="1"/>
  <c r="BC79" i="26"/>
  <c r="CR67" i="26"/>
  <c r="BY75" i="37"/>
  <c r="DC92" i="40"/>
  <c r="AZ34" i="37"/>
  <c r="CI66" i="25"/>
  <c r="N16" i="46"/>
  <c r="CU75" i="36"/>
  <c r="T65" i="1"/>
  <c r="AA102" i="1"/>
  <c r="BW50" i="36"/>
  <c r="AG60" i="40"/>
  <c r="L45" i="60"/>
  <c r="K87" i="64"/>
  <c r="BT30" i="39"/>
  <c r="J34" i="38"/>
  <c r="BB96" i="25"/>
  <c r="BT58" i="41"/>
  <c r="I49" i="59"/>
  <c r="BH66" i="40"/>
  <c r="AQ18" i="38"/>
  <c r="BW50" i="37"/>
  <c r="BT21" i="37"/>
  <c r="DF96" i="38"/>
  <c r="AU45" i="41"/>
  <c r="BC61" i="26"/>
  <c r="DA9" i="41"/>
  <c r="BE37" i="1"/>
  <c r="BU10" i="40"/>
  <c r="G24" i="1"/>
  <c r="M89" i="40"/>
  <c r="AF71" i="1"/>
  <c r="CJ53" i="40"/>
  <c r="AJ9" i="1"/>
  <c r="CD54" i="1"/>
  <c r="BD45" i="1"/>
  <c r="S50" i="39"/>
  <c r="AA17" i="37"/>
  <c r="AX30" i="40"/>
  <c r="BB75" i="39"/>
  <c r="G15" i="64"/>
  <c r="CQ13" i="26"/>
  <c r="DF91" i="36"/>
  <c r="AP48" i="1"/>
  <c r="DC60" i="40"/>
  <c r="BD50" i="25"/>
  <c r="BS61" i="39"/>
  <c r="CW49" i="39"/>
  <c r="AC17" i="38"/>
  <c r="BB34" i="37"/>
  <c r="O62" i="36"/>
  <c r="J65" i="39"/>
  <c r="CC17" i="41"/>
  <c r="AI30" i="1"/>
  <c r="AN17" i="36"/>
  <c r="CR34" i="26"/>
  <c r="K18" i="46"/>
  <c r="CH67" i="26"/>
  <c r="AZ53" i="41"/>
  <c r="CN54" i="39"/>
  <c r="M48" i="1"/>
  <c r="BY58" i="25"/>
  <c r="U29" i="37"/>
  <c r="BA9" i="38"/>
  <c r="BD57" i="39"/>
  <c r="BP89" i="36"/>
  <c r="AJ61" i="38"/>
  <c r="T21" i="39"/>
  <c r="M20" i="46"/>
  <c r="T89" i="36"/>
  <c r="CD98" i="1"/>
  <c r="AR30" i="36"/>
  <c r="AQ57" i="26"/>
  <c r="CF27" i="39"/>
  <c r="T92" i="41"/>
  <c r="H53" i="37"/>
  <c r="CW60" i="37"/>
  <c r="J75" i="36"/>
  <c r="BB61" i="26"/>
  <c r="CV57" i="25"/>
  <c r="BZ91" i="37"/>
  <c r="CR65" i="40"/>
  <c r="Z26" i="38"/>
  <c r="CQ49" i="37"/>
  <c r="DA29" i="40"/>
  <c r="DF29" i="25"/>
  <c r="CI60" i="37"/>
  <c r="BI10" i="39"/>
  <c r="CW79" i="40"/>
  <c r="CS103" i="26"/>
  <c r="CX10" i="39"/>
  <c r="BA81" i="41"/>
  <c r="T34" i="1"/>
  <c r="Y96" i="37"/>
  <c r="AY58" i="25"/>
  <c r="CJ53" i="26"/>
  <c r="CQ50" i="37"/>
  <c r="CU75" i="1"/>
  <c r="AW65" i="26"/>
  <c r="AQ21" i="25"/>
  <c r="AP89" i="40"/>
  <c r="AE21" i="40"/>
  <c r="AD81" i="40"/>
  <c r="CM25" i="26"/>
  <c r="AZ58" i="38"/>
  <c r="AC75" i="38"/>
  <c r="M92" i="64"/>
  <c r="CW50" i="38"/>
  <c r="BI29" i="38"/>
  <c r="AM75" i="41"/>
  <c r="T21" i="38"/>
  <c r="CF34" i="40"/>
  <c r="CZ49" i="39"/>
  <c r="CI34" i="26"/>
  <c r="K91" i="38"/>
  <c r="K62" i="36"/>
  <c r="M12" i="25"/>
  <c r="K98" i="26"/>
  <c r="BW79" i="37"/>
  <c r="AI81" i="38"/>
  <c r="BY26" i="40"/>
  <c r="G67" i="1"/>
  <c r="K91" i="41"/>
  <c r="CH45" i="36"/>
  <c r="CP102" i="38"/>
  <c r="AE10" i="26"/>
  <c r="BX79" i="41"/>
  <c r="V89" i="36"/>
  <c r="BC96" i="36"/>
  <c r="CS60" i="41"/>
  <c r="CD75" i="39"/>
  <c r="J50" i="26"/>
  <c r="BC91" i="37"/>
  <c r="BB34" i="26"/>
  <c r="M71" i="64"/>
  <c r="CF26" i="40"/>
  <c r="CZ53" i="36"/>
  <c r="DB21" i="38"/>
  <c r="BO96" i="36"/>
  <c r="T18" i="25"/>
  <c r="AO12" i="40"/>
  <c r="CD57" i="38"/>
  <c r="N25" i="38"/>
  <c r="AA62" i="39"/>
  <c r="S17" i="25"/>
  <c r="BE122" i="47"/>
  <c r="AC75" i="36"/>
  <c r="AZ12" i="39"/>
  <c r="AY89" i="26"/>
  <c r="CW17" i="1"/>
  <c r="K75" i="26"/>
  <c r="BS67" i="41"/>
  <c r="DE54" i="36"/>
  <c r="BU26" i="36"/>
  <c r="AJ59" i="38"/>
  <c r="AB61" i="40"/>
  <c r="CX27" i="25"/>
  <c r="AH61" i="38"/>
  <c r="AP13" i="38"/>
  <c r="I102" i="38"/>
  <c r="BY92" i="26"/>
  <c r="AX18" i="41"/>
  <c r="BO24" i="37"/>
  <c r="DD45" i="26"/>
  <c r="BS49" i="37"/>
  <c r="BZ96" i="40"/>
  <c r="K33" i="60"/>
  <c r="BE308" i="47"/>
  <c r="BD310" i="47"/>
  <c r="W30" i="37"/>
  <c r="BB49" i="38"/>
  <c r="DA62" i="41"/>
  <c r="G71" i="38"/>
  <c r="BV29" i="41"/>
  <c r="W60" i="36"/>
  <c r="I79" i="36"/>
  <c r="AB27" i="39"/>
  <c r="BD91" i="37"/>
  <c r="BP24" i="36"/>
  <c r="AY108" i="47"/>
  <c r="AH25" i="40"/>
  <c r="AO34" i="38"/>
  <c r="X45" i="26"/>
  <c r="CD61" i="25"/>
  <c r="J9" i="26"/>
  <c r="CS71" i="40"/>
  <c r="BX45" i="38"/>
  <c r="CT10" i="37"/>
  <c r="AR79" i="40"/>
  <c r="AR60" i="37"/>
  <c r="AF48" i="41"/>
  <c r="O61" i="1"/>
  <c r="CX62" i="25"/>
  <c r="BD30" i="25"/>
  <c r="AU59" i="39"/>
  <c r="L54" i="64"/>
  <c r="AW79" i="36"/>
  <c r="AX65" i="1"/>
  <c r="CS61" i="40"/>
  <c r="AE12" i="41"/>
  <c r="J29" i="1"/>
  <c r="K102" i="1"/>
  <c r="Z37" i="39"/>
  <c r="BH9" i="38"/>
  <c r="BZ89" i="38"/>
  <c r="S65" i="36"/>
  <c r="CW49" i="37"/>
  <c r="CK37" i="41"/>
  <c r="AA29" i="1"/>
  <c r="G81" i="26"/>
  <c r="CC10" i="39"/>
  <c r="AR65" i="26"/>
  <c r="CZ27" i="39"/>
  <c r="AE62" i="41"/>
  <c r="BY18" i="36"/>
  <c r="CX102" i="40"/>
  <c r="AY92" i="39"/>
  <c r="I37" i="38"/>
  <c r="CP98" i="25"/>
  <c r="CU17" i="36"/>
  <c r="T21" i="25"/>
  <c r="CZ89" i="39"/>
  <c r="S25" i="39"/>
  <c r="L13" i="26"/>
  <c r="CU24" i="36"/>
  <c r="BX91" i="41"/>
  <c r="CB66" i="36"/>
  <c r="Z58" i="1"/>
  <c r="BA57" i="41"/>
  <c r="BY60" i="25"/>
  <c r="AF37" i="39"/>
  <c r="CZ79" i="41"/>
  <c r="BS10" i="38"/>
  <c r="BO24" i="41"/>
  <c r="AW66" i="38"/>
  <c r="BZ57" i="26"/>
  <c r="BB27" i="1"/>
  <c r="AR21" i="41"/>
  <c r="BP24" i="41"/>
  <c r="CW81" i="36"/>
  <c r="CT98" i="41"/>
  <c r="CG60" i="26"/>
  <c r="J21" i="40"/>
  <c r="CZ9" i="26"/>
  <c r="K24" i="39"/>
  <c r="BP54" i="38"/>
  <c r="I34" i="39"/>
  <c r="M29" i="1"/>
  <c r="BA66" i="41"/>
  <c r="BY59" i="38"/>
  <c r="AI92" i="26"/>
  <c r="DB65" i="1"/>
  <c r="M17" i="59"/>
  <c r="BQ65" i="40"/>
  <c r="AP24" i="39"/>
  <c r="AY75" i="25"/>
  <c r="CP54" i="36"/>
  <c r="CF10" i="25"/>
  <c r="BS54" i="39"/>
  <c r="AN49" i="41"/>
  <c r="AF67" i="1"/>
  <c r="G12" i="1"/>
  <c r="AV29" i="37"/>
  <c r="AG58" i="37"/>
  <c r="AE13" i="1"/>
  <c r="H87" i="64"/>
  <c r="BA25" i="39"/>
  <c r="CA66" i="39"/>
  <c r="M51" i="64"/>
  <c r="CB65" i="1"/>
  <c r="AG34" i="40"/>
  <c r="CY58" i="38"/>
  <c r="AA27" i="39"/>
  <c r="BY13" i="41"/>
  <c r="U59" i="38"/>
  <c r="AN71" i="25"/>
  <c r="N18" i="25"/>
  <c r="AF67" i="41"/>
  <c r="AN92" i="37"/>
  <c r="AQ29" i="37"/>
  <c r="H62" i="26"/>
  <c r="CQ48" i="25"/>
  <c r="AF26" i="26"/>
  <c r="BR98" i="38"/>
  <c r="H13" i="39"/>
  <c r="BW60" i="38"/>
  <c r="AM89" i="36"/>
  <c r="T10" i="26"/>
  <c r="S54" i="26"/>
  <c r="BT103" i="36"/>
  <c r="AU89" i="25"/>
  <c r="W62" i="1"/>
  <c r="AV34" i="38"/>
  <c r="I53" i="59"/>
  <c r="BD25" i="25"/>
  <c r="CW48" i="26"/>
  <c r="AH61" i="37"/>
  <c r="K79" i="37"/>
  <c r="G57" i="26"/>
  <c r="V24" i="36"/>
  <c r="U17" i="36"/>
  <c r="AJ25" i="37"/>
  <c r="CM45" i="38"/>
  <c r="AP10" i="40"/>
  <c r="AE66" i="39"/>
  <c r="K61" i="25"/>
  <c r="BD65" i="36"/>
  <c r="AG54" i="26"/>
  <c r="CQ57" i="40"/>
  <c r="BX96" i="38"/>
  <c r="X13" i="40"/>
  <c r="CQ26" i="38"/>
  <c r="DE54" i="37"/>
  <c r="CR60" i="36"/>
  <c r="CV48" i="41"/>
  <c r="AY50" i="1"/>
  <c r="CF60" i="37"/>
  <c r="I9" i="1"/>
  <c r="CH50" i="1"/>
  <c r="DD12" i="36"/>
  <c r="AY65" i="38"/>
  <c r="AG50" i="1"/>
  <c r="CP24" i="1"/>
  <c r="CZ25" i="1"/>
  <c r="CN54" i="40"/>
  <c r="AS57" i="37"/>
  <c r="M47" i="64"/>
  <c r="W66" i="25"/>
  <c r="AJ27" i="37"/>
  <c r="CY53" i="1"/>
  <c r="CY53" i="40"/>
  <c r="BE102" i="38"/>
  <c r="AJ67" i="40"/>
  <c r="DF61" i="36"/>
  <c r="BE310" i="47"/>
  <c r="BI9" i="36"/>
  <c r="AJ89" i="41"/>
  <c r="BT13" i="39"/>
  <c r="AI89" i="25"/>
  <c r="BH30" i="1"/>
  <c r="AT48" i="37"/>
  <c r="BW103" i="1"/>
  <c r="M52" i="59"/>
  <c r="BW61" i="26"/>
  <c r="S49" i="40"/>
  <c r="W66" i="26"/>
  <c r="I66" i="36"/>
  <c r="BS103" i="36"/>
  <c r="BS79" i="1"/>
  <c r="AG92" i="1"/>
  <c r="AX49" i="1"/>
  <c r="AG61" i="1"/>
  <c r="AO24" i="41"/>
  <c r="AA34" i="38"/>
  <c r="CM48" i="26"/>
  <c r="CG48" i="25"/>
  <c r="DC45" i="1"/>
  <c r="BA34" i="25"/>
  <c r="DF37" i="37"/>
  <c r="CO30" i="36"/>
  <c r="CI27" i="36"/>
  <c r="CF21" i="25"/>
  <c r="M91" i="41"/>
  <c r="BW30" i="39"/>
  <c r="CK27" i="40"/>
  <c r="CK17" i="37"/>
  <c r="CB92" i="38"/>
  <c r="AS53" i="40"/>
  <c r="BO67" i="38"/>
  <c r="AO57" i="39"/>
  <c r="AT81" i="36"/>
  <c r="AS25" i="39"/>
  <c r="BT12" i="40"/>
  <c r="AZ126" i="47"/>
  <c r="AP81" i="38"/>
  <c r="AJ12" i="26"/>
  <c r="AG92" i="38"/>
  <c r="BS102" i="26"/>
  <c r="AX96" i="41"/>
  <c r="AE49" i="37"/>
  <c r="AD53" i="40"/>
  <c r="BX13" i="25"/>
  <c r="AJ53" i="37"/>
  <c r="N65" i="26"/>
  <c r="AB58" i="37"/>
  <c r="BE29" i="39"/>
  <c r="BY91" i="38"/>
  <c r="CY45" i="39"/>
  <c r="W62" i="41"/>
  <c r="T26" i="41"/>
  <c r="BO57" i="26"/>
  <c r="K84" i="60"/>
  <c r="AS96" i="1"/>
  <c r="X59" i="26"/>
  <c r="AP92" i="40"/>
  <c r="T48" i="38"/>
  <c r="CC103" i="36"/>
  <c r="CF17" i="37"/>
  <c r="CP81" i="26"/>
  <c r="AJ24" i="26"/>
  <c r="BB45" i="26"/>
  <c r="DB26" i="36"/>
  <c r="Z61" i="26"/>
  <c r="AE53" i="25"/>
  <c r="DE61" i="36"/>
  <c r="DC81" i="36"/>
  <c r="CV58" i="38"/>
  <c r="BE48" i="37"/>
  <c r="AG29" i="41"/>
  <c r="CT59" i="39"/>
  <c r="BV45" i="25"/>
  <c r="AI17" i="26"/>
  <c r="CI9" i="38"/>
  <c r="CL12" i="25"/>
  <c r="T21" i="37"/>
  <c r="CN103" i="39"/>
  <c r="N29" i="39"/>
  <c r="N18" i="26"/>
  <c r="AY54" i="1"/>
  <c r="AT12" i="36"/>
  <c r="AQ21" i="37"/>
  <c r="BU81" i="39"/>
  <c r="CM49" i="37"/>
  <c r="CX66" i="40"/>
  <c r="BZ96" i="37"/>
  <c r="AU30" i="38"/>
  <c r="AP17" i="40"/>
  <c r="CX65" i="1"/>
  <c r="CJ9" i="36"/>
  <c r="AV89" i="36"/>
  <c r="AO58" i="36"/>
  <c r="AN18" i="40"/>
  <c r="AP81" i="37"/>
  <c r="AE91" i="36"/>
  <c r="DE25" i="38"/>
  <c r="BE96" i="37"/>
  <c r="CS10" i="37"/>
  <c r="DB53" i="26"/>
  <c r="CT98" i="26"/>
  <c r="CF29" i="38"/>
  <c r="AX61" i="39"/>
  <c r="CK61" i="36"/>
  <c r="CS27" i="38"/>
  <c r="AF59" i="39"/>
  <c r="T24" i="37"/>
  <c r="BQ26" i="37"/>
  <c r="N61" i="25"/>
  <c r="BV92" i="39"/>
  <c r="DA75" i="37"/>
  <c r="CO102" i="39"/>
  <c r="AF92" i="25"/>
  <c r="AD54" i="39"/>
  <c r="H53" i="38"/>
  <c r="CL57" i="25"/>
  <c r="AG67" i="26"/>
  <c r="AN12" i="41"/>
  <c r="CU9" i="37"/>
  <c r="W30" i="39"/>
  <c r="CJ57" i="1"/>
  <c r="CH49" i="39"/>
  <c r="AO75" i="37"/>
  <c r="AP53" i="41"/>
  <c r="O89" i="36"/>
  <c r="I60" i="41"/>
  <c r="CM98" i="40"/>
  <c r="W89" i="1"/>
  <c r="BU10" i="37"/>
  <c r="BP49" i="26"/>
  <c r="CB21" i="1"/>
  <c r="CK102" i="41"/>
  <c r="AM57" i="39"/>
  <c r="BB59" i="25"/>
  <c r="W75" i="38"/>
  <c r="CG89" i="1"/>
  <c r="BV89" i="39"/>
  <c r="BX58" i="39"/>
  <c r="DE61" i="38"/>
  <c r="AR50" i="40"/>
  <c r="BX24" i="26"/>
  <c r="Z71" i="37"/>
  <c r="AU71" i="26"/>
  <c r="CF54" i="38"/>
  <c r="BA79" i="26"/>
  <c r="J24" i="36"/>
  <c r="I54" i="26"/>
  <c r="DD10" i="26"/>
  <c r="AX12" i="1"/>
  <c r="L57" i="26"/>
  <c r="M88" i="60"/>
  <c r="AX75" i="38"/>
  <c r="CN67" i="39"/>
  <c r="BP27" i="36"/>
  <c r="DF37" i="26"/>
  <c r="CT13" i="38"/>
  <c r="AV27" i="25"/>
  <c r="CA79" i="25"/>
  <c r="AE67" i="41"/>
  <c r="H17" i="1"/>
  <c r="I73" i="64"/>
  <c r="CX75" i="40"/>
  <c r="CT9" i="25"/>
  <c r="BB105" i="47"/>
  <c r="AD65" i="41"/>
  <c r="DF53" i="37"/>
  <c r="DA13" i="39"/>
  <c r="AD102" i="36"/>
  <c r="CB61" i="41"/>
  <c r="CQ89" i="36"/>
  <c r="AH57" i="26"/>
  <c r="U91" i="26"/>
  <c r="O29" i="37"/>
  <c r="DD103" i="36"/>
  <c r="CO57" i="39"/>
  <c r="CZ45" i="1"/>
  <c r="M48" i="36"/>
  <c r="CJ67" i="38"/>
  <c r="CV103" i="1"/>
  <c r="BX34" i="25"/>
  <c r="BU57" i="1"/>
  <c r="DB71" i="39"/>
  <c r="AA102" i="25"/>
  <c r="AD59" i="37"/>
  <c r="AU25" i="39"/>
  <c r="AM75" i="36"/>
  <c r="AB65" i="39"/>
  <c r="AD25" i="25"/>
  <c r="BR50" i="38"/>
  <c r="BY17" i="38"/>
  <c r="AS34" i="36"/>
  <c r="X45" i="1"/>
  <c r="AU30" i="25"/>
  <c r="BO27" i="39"/>
  <c r="CF54" i="40"/>
  <c r="DD79" i="38"/>
  <c r="BW62" i="40"/>
  <c r="AM50" i="39"/>
  <c r="AY30" i="40"/>
  <c r="AI50" i="36"/>
  <c r="P29" i="37"/>
  <c r="I37" i="59"/>
  <c r="V26" i="36"/>
  <c r="CT49" i="41"/>
  <c r="CB102" i="26"/>
  <c r="V92" i="41"/>
  <c r="CS25" i="39"/>
  <c r="BG314" i="47"/>
  <c r="CR12" i="26"/>
  <c r="CM29" i="37"/>
  <c r="BO65" i="38"/>
  <c r="AD53" i="36"/>
  <c r="AC59" i="40"/>
  <c r="CX24" i="1"/>
  <c r="AP92" i="38"/>
  <c r="AE29" i="1"/>
  <c r="AU30" i="26"/>
  <c r="CJ49" i="40"/>
  <c r="U24" i="41"/>
  <c r="AU9" i="26"/>
  <c r="L10" i="39"/>
  <c r="CD49" i="41"/>
  <c r="BC75" i="41"/>
  <c r="BY49" i="36"/>
  <c r="CX61" i="38"/>
  <c r="AM9" i="40"/>
  <c r="AN96" i="41"/>
  <c r="BZ89" i="36"/>
  <c r="CC37" i="1"/>
  <c r="BG106" i="47"/>
  <c r="BE57" i="38"/>
  <c r="J79" i="39"/>
  <c r="AW89" i="37"/>
  <c r="CD30" i="40"/>
  <c r="AV29" i="1"/>
  <c r="BB91" i="40"/>
  <c r="CO75" i="36"/>
  <c r="U21" i="41"/>
  <c r="AX96" i="37"/>
  <c r="AH34" i="25"/>
  <c r="AP96" i="37"/>
  <c r="CH102" i="38"/>
  <c r="AF98" i="36"/>
  <c r="AY45" i="38"/>
  <c r="BA10" i="38"/>
  <c r="AX34" i="40"/>
  <c r="AD91" i="37"/>
  <c r="BD65" i="41"/>
  <c r="BO91" i="1"/>
  <c r="CI92" i="26"/>
  <c r="I27" i="38"/>
  <c r="AT27" i="1"/>
  <c r="DE53" i="40"/>
  <c r="CP10" i="26"/>
  <c r="CB18" i="40"/>
  <c r="DA29" i="38"/>
  <c r="AB34" i="25"/>
  <c r="DF57" i="38"/>
  <c r="AV59" i="41"/>
  <c r="W30" i="25"/>
  <c r="CQ17" i="25"/>
  <c r="CI48" i="25"/>
  <c r="CX61" i="36"/>
  <c r="AG62" i="37"/>
  <c r="BP29" i="1"/>
  <c r="BD67" i="40"/>
  <c r="J93" i="64"/>
  <c r="CG60" i="37"/>
  <c r="I37" i="39"/>
  <c r="CX29" i="25"/>
  <c r="CO13" i="26"/>
  <c r="Y12" i="37"/>
  <c r="H66" i="46"/>
  <c r="X30" i="38"/>
  <c r="I75" i="40"/>
  <c r="BQ30" i="25"/>
  <c r="BQ54" i="26"/>
  <c r="P17" i="40"/>
  <c r="BO98" i="25"/>
  <c r="CD54" i="39"/>
  <c r="AD79" i="41"/>
  <c r="H57" i="26"/>
  <c r="AP57" i="37"/>
  <c r="CW48" i="1"/>
  <c r="BY9" i="41"/>
  <c r="CM12" i="36"/>
  <c r="AG59" i="26"/>
  <c r="AB65" i="37"/>
  <c r="CR18" i="39"/>
  <c r="S49" i="36"/>
  <c r="CU45" i="39"/>
  <c r="N12" i="36"/>
  <c r="CJ26" i="37"/>
  <c r="BY54" i="37"/>
  <c r="AZ67" i="36"/>
  <c r="L58" i="40"/>
  <c r="DC96" i="40"/>
  <c r="DB27" i="39"/>
  <c r="H40" i="64"/>
  <c r="CU30" i="40"/>
  <c r="BE53" i="1"/>
  <c r="CH12" i="41"/>
  <c r="AB57" i="37"/>
  <c r="CD25" i="1"/>
  <c r="H37" i="1"/>
  <c r="CE62" i="25"/>
  <c r="BA62" i="40"/>
  <c r="G88" i="60"/>
  <c r="BA96" i="40"/>
  <c r="AO60" i="36"/>
  <c r="CE50" i="39"/>
  <c r="BX54" i="41"/>
  <c r="F88" i="60"/>
  <c r="CJ18" i="41"/>
  <c r="DB37" i="41"/>
  <c r="CH59" i="1"/>
  <c r="AU37" i="40"/>
  <c r="CE103" i="39"/>
  <c r="AG57" i="41"/>
  <c r="CP13" i="37"/>
  <c r="CG18" i="37"/>
  <c r="AJ17" i="26"/>
  <c r="AZ65" i="1"/>
  <c r="AB79" i="26"/>
  <c r="BW53" i="26"/>
  <c r="BA250" i="47"/>
  <c r="CZ54" i="37"/>
  <c r="H67" i="46"/>
  <c r="AT81" i="1"/>
  <c r="CG34" i="38"/>
  <c r="BC101" i="47"/>
  <c r="M70" i="64"/>
  <c r="K52" i="64"/>
  <c r="BW12" i="36"/>
  <c r="N50" i="40"/>
  <c r="AY98" i="36"/>
  <c r="CQ89" i="39"/>
  <c r="BS24" i="41"/>
  <c r="T62" i="39"/>
  <c r="BD107" i="47" s="1"/>
  <c r="P17" i="59"/>
  <c r="CA96" i="39"/>
  <c r="CF53" i="1"/>
  <c r="H60" i="40"/>
  <c r="W27" i="36"/>
  <c r="CE81" i="40"/>
  <c r="AQ60" i="25"/>
  <c r="CI10" i="36"/>
  <c r="DB92" i="1"/>
  <c r="T66" i="26"/>
  <c r="Z62" i="26"/>
  <c r="G26" i="1"/>
  <c r="BT96" i="38"/>
  <c r="BQ29" i="40"/>
  <c r="AY104" i="47"/>
  <c r="DF10" i="25"/>
  <c r="BU103" i="40"/>
  <c r="BY13" i="37"/>
  <c r="CK27" i="1"/>
  <c r="CD91" i="40"/>
  <c r="T98" i="36"/>
  <c r="X27" i="25"/>
  <c r="CW13" i="38"/>
  <c r="CA65" i="37"/>
  <c r="AS24" i="40"/>
  <c r="AM62" i="41"/>
  <c r="DD60" i="25"/>
  <c r="CN37" i="40"/>
  <c r="AB13" i="41"/>
  <c r="AE9" i="36"/>
  <c r="J30" i="38"/>
  <c r="CT54" i="41"/>
  <c r="CI17" i="40"/>
  <c r="DA27" i="37"/>
  <c r="BD81" i="40"/>
  <c r="BZ24" i="39"/>
  <c r="BB9" i="36"/>
  <c r="BP57" i="26"/>
  <c r="BV66" i="26"/>
  <c r="BA59" i="37"/>
  <c r="BY50" i="40"/>
  <c r="AH66" i="40"/>
  <c r="CU18" i="36"/>
  <c r="AG59" i="36"/>
  <c r="Z71" i="40"/>
  <c r="AM48" i="36"/>
  <c r="AC92" i="37"/>
  <c r="AM61" i="40"/>
  <c r="AC48" i="26"/>
  <c r="AH17" i="38"/>
  <c r="CP21" i="40"/>
  <c r="AC79" i="39"/>
  <c r="AH24" i="36"/>
  <c r="BD124" i="47"/>
  <c r="AG18" i="41"/>
  <c r="CP37" i="1"/>
  <c r="M46" i="60"/>
  <c r="N29" i="41"/>
  <c r="N54" i="25"/>
  <c r="AT25" i="26"/>
  <c r="CK66" i="41"/>
  <c r="AZ30" i="40"/>
  <c r="CK50" i="40"/>
  <c r="BZ66" i="26"/>
  <c r="AF25" i="38"/>
  <c r="AE57" i="37"/>
  <c r="H63" i="59"/>
  <c r="CQ71" i="40"/>
  <c r="X79" i="37"/>
  <c r="BP34" i="40"/>
  <c r="CJ45" i="37"/>
  <c r="CG66" i="26"/>
  <c r="BD96" i="26"/>
  <c r="BX75" i="38"/>
  <c r="CI98" i="1"/>
  <c r="G65" i="41"/>
  <c r="V37" i="36"/>
  <c r="H59" i="25"/>
  <c r="AV92" i="41"/>
  <c r="AD21" i="36"/>
  <c r="W30" i="40"/>
  <c r="CM61" i="40"/>
  <c r="AG89" i="26"/>
  <c r="AG54" i="25"/>
  <c r="CW10" i="38"/>
  <c r="CU12" i="25"/>
  <c r="Z62" i="25"/>
  <c r="U25" i="36"/>
  <c r="BD45" i="38"/>
  <c r="DB12" i="36"/>
  <c r="U60" i="38"/>
  <c r="U21" i="1"/>
  <c r="I13" i="26"/>
  <c r="K48" i="40"/>
  <c r="CN60" i="25"/>
  <c r="AU34" i="39"/>
  <c r="DE13" i="38"/>
  <c r="AQ26" i="41"/>
  <c r="BF308" i="47"/>
  <c r="CQ45" i="26"/>
  <c r="CQ34" i="38"/>
  <c r="BW29" i="1"/>
  <c r="AJ18" i="37"/>
  <c r="F90" i="64"/>
  <c r="S66" i="41"/>
  <c r="BZ61" i="26"/>
  <c r="AB60" i="38"/>
  <c r="BZ21" i="40"/>
  <c r="BY18" i="25"/>
  <c r="BP59" i="1"/>
  <c r="L20" i="50"/>
  <c r="U26" i="41"/>
  <c r="AC53" i="40"/>
  <c r="AT54" i="38"/>
  <c r="CB60" i="40"/>
  <c r="U18" i="1"/>
  <c r="AO37" i="39"/>
  <c r="BY26" i="26"/>
  <c r="AP12" i="26"/>
  <c r="F11" i="64"/>
  <c r="Y60" i="38"/>
  <c r="AR92" i="37"/>
  <c r="CJ67" i="1"/>
  <c r="CS34" i="37"/>
  <c r="AE45" i="1"/>
  <c r="O27" i="1"/>
  <c r="DE98" i="25"/>
  <c r="AW10" i="1"/>
  <c r="CX81" i="39"/>
  <c r="I7" i="59"/>
  <c r="AZ96" i="41"/>
  <c r="BI12" i="40"/>
  <c r="CH29" i="41"/>
  <c r="CD13" i="38"/>
  <c r="AX9" i="41"/>
  <c r="J19" i="46"/>
  <c r="AM61" i="36"/>
  <c r="CF75" i="40"/>
  <c r="CG17" i="41"/>
  <c r="AI61" i="26"/>
  <c r="AS21" i="36"/>
  <c r="BO96" i="25"/>
  <c r="BS12" i="41"/>
  <c r="N96" i="26"/>
  <c r="BB29" i="41"/>
  <c r="CQ79" i="38"/>
  <c r="N21" i="25"/>
  <c r="CE34" i="36"/>
  <c r="CQ9" i="38"/>
  <c r="T27" i="41"/>
  <c r="AX50" i="38"/>
  <c r="CZ13" i="25"/>
  <c r="AD21" i="25"/>
  <c r="DC60" i="39"/>
  <c r="V89" i="37"/>
  <c r="J59" i="60"/>
  <c r="BY25" i="26"/>
  <c r="BT103" i="39"/>
  <c r="AC62" i="26"/>
  <c r="DC48" i="25"/>
  <c r="CN81" i="25"/>
  <c r="BG128" i="47"/>
  <c r="AT65" i="40"/>
  <c r="CZ26" i="36"/>
  <c r="CU96" i="40"/>
  <c r="DD9" i="26"/>
  <c r="BH54" i="39"/>
  <c r="AO21" i="38"/>
  <c r="AE102" i="37"/>
  <c r="CJ103" i="40"/>
  <c r="BC57" i="40"/>
  <c r="BA98" i="26"/>
  <c r="CM48" i="41"/>
  <c r="AA79" i="36"/>
  <c r="U92" i="36"/>
  <c r="CQ102" i="40"/>
  <c r="BU30" i="37"/>
  <c r="AA48" i="38"/>
  <c r="BI37" i="41"/>
  <c r="CE66" i="25"/>
  <c r="CG12" i="41"/>
  <c r="AR102" i="25"/>
  <c r="AM65" i="26"/>
  <c r="CU9" i="40"/>
  <c r="BY66" i="38"/>
  <c r="H57" i="37"/>
  <c r="BC49" i="39"/>
  <c r="CG92" i="36"/>
  <c r="BS79" i="40"/>
  <c r="G47" i="64"/>
  <c r="CM24" i="40"/>
  <c r="BS25" i="26"/>
  <c r="BB98" i="1"/>
  <c r="AF102" i="37"/>
  <c r="AJ96" i="39"/>
  <c r="O13" i="36"/>
  <c r="S102" i="38"/>
  <c r="Y45" i="37"/>
  <c r="AA54" i="26"/>
  <c r="CC92" i="38"/>
  <c r="BS89" i="37"/>
  <c r="U57" i="39"/>
  <c r="J47" i="59"/>
  <c r="AO62" i="25"/>
  <c r="AZ27" i="1"/>
  <c r="DF30" i="38"/>
  <c r="BR91" i="36"/>
  <c r="CP65" i="36"/>
  <c r="CB9" i="41"/>
  <c r="S57" i="1"/>
  <c r="AQ37" i="37"/>
  <c r="DA65" i="40"/>
  <c r="Y34" i="36"/>
  <c r="CQ34" i="40"/>
  <c r="DA89" i="37"/>
  <c r="BO13" i="1"/>
  <c r="G84" i="60"/>
  <c r="CZ61" i="1"/>
  <c r="BE62" i="25"/>
  <c r="CK61" i="25"/>
  <c r="CE21" i="41"/>
  <c r="CQ102" i="36"/>
  <c r="CC30" i="26"/>
  <c r="S24" i="25"/>
  <c r="DC53" i="39"/>
  <c r="P26" i="37"/>
  <c r="DB98" i="36"/>
  <c r="AY26" i="1"/>
  <c r="AZ60" i="1"/>
  <c r="O49" i="41"/>
  <c r="AV67" i="36"/>
  <c r="AS26" i="40"/>
  <c r="AC9" i="40"/>
  <c r="U59" i="36"/>
  <c r="CR67" i="38"/>
  <c r="AY54" i="26"/>
  <c r="AG30" i="37"/>
  <c r="BC100" i="47"/>
  <c r="AH60" i="1"/>
  <c r="U34" i="36"/>
  <c r="BP21" i="25"/>
  <c r="CX103" i="41"/>
  <c r="BP61" i="36"/>
  <c r="J79" i="41"/>
  <c r="AW79" i="26"/>
  <c r="T75" i="41"/>
  <c r="M54" i="59"/>
  <c r="AE57" i="36"/>
  <c r="DF79" i="26"/>
  <c r="X48" i="37"/>
  <c r="CQ17" i="37"/>
  <c r="DE37" i="39"/>
  <c r="AF59" i="1"/>
  <c r="BD65" i="26"/>
  <c r="BB13" i="41"/>
  <c r="AT61" i="40"/>
  <c r="BR27" i="38"/>
  <c r="BV89" i="25"/>
  <c r="AO13" i="1"/>
  <c r="DE10" i="36"/>
  <c r="AV71" i="37"/>
  <c r="AY128" i="47"/>
  <c r="CM75" i="1"/>
  <c r="AI18" i="38"/>
  <c r="J45" i="26"/>
  <c r="AG12" i="1"/>
  <c r="BQ49" i="1"/>
  <c r="AB81" i="41"/>
  <c r="CS58" i="37"/>
  <c r="AT60" i="41"/>
  <c r="BV50" i="25"/>
  <c r="DC30" i="38"/>
  <c r="I49" i="26"/>
  <c r="DD89" i="40"/>
  <c r="BE58" i="37"/>
  <c r="BV103" i="37"/>
  <c r="CE53" i="40"/>
  <c r="CY12" i="25"/>
  <c r="AA27" i="25"/>
  <c r="Y59" i="1"/>
  <c r="BX91" i="39"/>
  <c r="BU30" i="36"/>
  <c r="CK60" i="1"/>
  <c r="CS57" i="41"/>
  <c r="L12" i="39"/>
  <c r="CM81" i="38"/>
  <c r="K8" i="64"/>
  <c r="BP10" i="38"/>
  <c r="CM37" i="26"/>
  <c r="AR27" i="26"/>
  <c r="AX75" i="1"/>
  <c r="AB91" i="41"/>
  <c r="BS61" i="1"/>
  <c r="AH61" i="36"/>
  <c r="O21" i="40"/>
  <c r="CG34" i="37"/>
  <c r="AO25" i="39"/>
  <c r="BT92" i="25"/>
  <c r="AI62" i="40"/>
  <c r="CO21" i="39"/>
  <c r="BT24" i="1"/>
  <c r="AU21" i="37"/>
  <c r="DD65" i="38"/>
  <c r="AT58" i="37"/>
  <c r="P50" i="40"/>
  <c r="Y71" i="40"/>
  <c r="CB103" i="38"/>
  <c r="BY98" i="36"/>
  <c r="I96" i="37"/>
  <c r="AC62" i="40"/>
  <c r="CA62" i="25"/>
  <c r="AH12" i="25"/>
  <c r="CF79" i="1"/>
  <c r="CG48" i="40"/>
  <c r="CR65" i="41"/>
  <c r="BR62" i="25"/>
  <c r="CS29" i="39"/>
  <c r="AE57" i="1"/>
  <c r="AC75" i="40"/>
  <c r="M30" i="36"/>
  <c r="DE62" i="1"/>
  <c r="BU60" i="26"/>
  <c r="O91" i="26"/>
  <c r="CB34" i="37"/>
  <c r="AG48" i="41"/>
  <c r="AW59" i="41"/>
  <c r="L15" i="64"/>
  <c r="H55" i="64"/>
  <c r="CI65" i="39"/>
  <c r="M66" i="38"/>
  <c r="CE26" i="26"/>
  <c r="BT103" i="38"/>
  <c r="BU37" i="26"/>
  <c r="CL27" i="40"/>
  <c r="CR30" i="26"/>
  <c r="DF9" i="40"/>
  <c r="AU53" i="1"/>
  <c r="BR66" i="37"/>
  <c r="AT27" i="38"/>
  <c r="AB98" i="38"/>
  <c r="W10" i="37"/>
  <c r="CI89" i="26"/>
  <c r="K40" i="64"/>
  <c r="CC12" i="41"/>
  <c r="BU34" i="1"/>
  <c r="P34" i="40"/>
  <c r="CF61" i="38"/>
  <c r="AG57" i="26"/>
  <c r="BX13" i="37"/>
  <c r="DD79" i="41"/>
  <c r="AE21" i="39"/>
  <c r="BV58" i="26"/>
  <c r="CO12" i="26"/>
  <c r="BD92" i="37"/>
  <c r="CH18" i="40"/>
  <c r="AU58" i="36"/>
  <c r="BF126" i="47"/>
  <c r="I13" i="41"/>
  <c r="BC45" i="26"/>
  <c r="P24" i="41"/>
  <c r="CH79" i="37"/>
  <c r="CK48" i="37"/>
  <c r="AY58" i="26"/>
  <c r="CI50" i="37"/>
  <c r="CE18" i="37"/>
  <c r="AR92" i="40"/>
  <c r="T102" i="39"/>
  <c r="DF50" i="41"/>
  <c r="AN34" i="36"/>
  <c r="X89" i="1"/>
  <c r="BE60" i="36"/>
  <c r="CX58" i="1"/>
  <c r="L57" i="59"/>
  <c r="CJ54" i="40"/>
  <c r="CB96" i="38"/>
  <c r="AR25" i="36"/>
  <c r="CU91" i="26"/>
  <c r="AP29" i="37"/>
  <c r="AW67" i="40"/>
  <c r="BD34" i="38"/>
  <c r="V81" i="41"/>
  <c r="CJ89" i="40"/>
  <c r="CX59" i="40"/>
  <c r="DA26" i="36"/>
  <c r="CQ49" i="38"/>
  <c r="BA92" i="1"/>
  <c r="CL30" i="38"/>
  <c r="X65" i="37"/>
  <c r="BQ50" i="37"/>
  <c r="AG48" i="38"/>
  <c r="I70" i="60"/>
  <c r="G17" i="26"/>
  <c r="J59" i="40"/>
  <c r="U61" i="36"/>
  <c r="CP34" i="37"/>
  <c r="AI25" i="37"/>
  <c r="K49" i="64"/>
  <c r="CH58" i="40"/>
  <c r="AY105" i="47"/>
  <c r="AO50" i="26"/>
  <c r="M33" i="59"/>
  <c r="BE58" i="36"/>
  <c r="AC48" i="25"/>
  <c r="AJ26" i="25"/>
  <c r="AB60" i="41"/>
  <c r="K90" i="64"/>
  <c r="BH13" i="41"/>
  <c r="CN25" i="39"/>
  <c r="K31" i="4"/>
  <c r="E55" i="60"/>
  <c r="BO79" i="26"/>
  <c r="CN89" i="38"/>
  <c r="AJ89" i="37"/>
  <c r="CA49" i="38"/>
  <c r="BZ25" i="36"/>
  <c r="AT57" i="25"/>
  <c r="AG30" i="25"/>
  <c r="T26" i="1"/>
  <c r="BV102" i="36"/>
  <c r="AQ79" i="41"/>
  <c r="J66" i="26"/>
  <c r="K25" i="36"/>
  <c r="CN96" i="37"/>
  <c r="BG100" i="47"/>
  <c r="BU57" i="26"/>
  <c r="AU13" i="36"/>
  <c r="AI17" i="38"/>
  <c r="L10" i="60"/>
  <c r="BV37" i="25"/>
  <c r="CX71" i="40"/>
  <c r="AT89" i="1"/>
  <c r="AA65" i="26"/>
  <c r="M21" i="36"/>
  <c r="BE34" i="38"/>
  <c r="AY61" i="40"/>
  <c r="G12" i="25"/>
  <c r="AZ34" i="41"/>
  <c r="DF21" i="38"/>
  <c r="CS60" i="1"/>
  <c r="CX96" i="26"/>
  <c r="CX92" i="37"/>
  <c r="CY91" i="26"/>
  <c r="AP61" i="1"/>
  <c r="BV102" i="1"/>
  <c r="BB307" i="47"/>
  <c r="Y60" i="41"/>
  <c r="DE54" i="25"/>
  <c r="DE103" i="40"/>
  <c r="AO102" i="41"/>
  <c r="L102" i="40"/>
  <c r="BU10" i="26"/>
  <c r="DE66" i="40"/>
  <c r="Z27" i="26"/>
  <c r="AG89" i="1"/>
  <c r="BQ27" i="37"/>
  <c r="CC27" i="39"/>
  <c r="X12" i="39"/>
  <c r="W57" i="37"/>
  <c r="AY57" i="36"/>
  <c r="T58" i="39"/>
  <c r="CF62" i="40"/>
  <c r="BO58" i="26"/>
  <c r="DE13" i="36"/>
  <c r="DA45" i="26"/>
  <c r="AG98" i="1"/>
  <c r="AJ34" i="39"/>
  <c r="CE49" i="26"/>
  <c r="CS29" i="41"/>
  <c r="AX45" i="39"/>
  <c r="AZ10" i="39"/>
  <c r="CW48" i="25"/>
  <c r="N9" i="41"/>
  <c r="CG12" i="26"/>
  <c r="BB54" i="36"/>
  <c r="O61" i="39"/>
  <c r="CM29" i="1"/>
  <c r="CK62" i="26"/>
  <c r="CH27" i="38"/>
  <c r="CE29" i="25"/>
  <c r="AJ24" i="40"/>
  <c r="L33" i="59"/>
  <c r="CN59" i="38"/>
  <c r="AB60" i="39"/>
  <c r="BV61" i="26"/>
  <c r="BW37" i="38"/>
  <c r="CS67" i="26"/>
  <c r="CX59" i="1"/>
  <c r="DB29" i="25"/>
  <c r="AM60" i="25"/>
  <c r="AS102" i="37"/>
  <c r="DF48" i="40"/>
  <c r="DF96" i="36"/>
  <c r="DD60" i="37"/>
  <c r="K24" i="38"/>
  <c r="AC98" i="26"/>
  <c r="CS10" i="25"/>
  <c r="BQ27" i="26"/>
  <c r="P34" i="59"/>
  <c r="BR60" i="41"/>
  <c r="CM9" i="39"/>
  <c r="AP75" i="36"/>
  <c r="L72" i="64"/>
  <c r="BR61" i="40"/>
  <c r="BZ34" i="25"/>
  <c r="BC58" i="1"/>
  <c r="AB66" i="26"/>
  <c r="BZ60" i="40"/>
  <c r="BW29" i="40"/>
  <c r="AF34" i="26"/>
  <c r="J13" i="38"/>
  <c r="X21" i="41"/>
  <c r="K49" i="37"/>
  <c r="AU75" i="38"/>
  <c r="CS30" i="25"/>
  <c r="CN48" i="26"/>
  <c r="M50" i="64"/>
  <c r="BC71" i="1"/>
  <c r="AM50" i="40"/>
  <c r="H57" i="59"/>
  <c r="CH62" i="1"/>
  <c r="BB53" i="25"/>
  <c r="CB50" i="39"/>
  <c r="AN24" i="25"/>
  <c r="AA34" i="37"/>
  <c r="BH21" i="1"/>
  <c r="AQ24" i="39"/>
  <c r="Z81" i="25"/>
  <c r="U53" i="1"/>
  <c r="CD66" i="1"/>
  <c r="AX57" i="41"/>
  <c r="BC81" i="37"/>
  <c r="DA98" i="26"/>
  <c r="CJ48" i="25"/>
  <c r="BQ37" i="36"/>
  <c r="AT98" i="26"/>
  <c r="AS37" i="40"/>
  <c r="CM102" i="38"/>
  <c r="BO34" i="37"/>
  <c r="S34" i="39"/>
  <c r="AP18" i="26"/>
  <c r="BU24" i="25"/>
  <c r="CB48" i="37"/>
  <c r="K62" i="26"/>
  <c r="AE60" i="25"/>
  <c r="CG57" i="1"/>
  <c r="AU49" i="41"/>
  <c r="DA58" i="1"/>
  <c r="CL98" i="36"/>
  <c r="H10" i="37"/>
  <c r="BE103" i="47"/>
  <c r="BW89" i="25"/>
  <c r="CP71" i="1"/>
  <c r="CJ18" i="25"/>
  <c r="AZ21" i="36"/>
  <c r="AY13" i="1"/>
  <c r="DE24" i="1"/>
  <c r="H67" i="64"/>
  <c r="BA18" i="37"/>
  <c r="AS24" i="36"/>
  <c r="AV9" i="38"/>
  <c r="AC48" i="40"/>
  <c r="CA50" i="39"/>
  <c r="CC26" i="36"/>
  <c r="CM62" i="38"/>
  <c r="AY67" i="36"/>
  <c r="U58" i="36"/>
  <c r="AP57" i="36"/>
  <c r="N59" i="59"/>
  <c r="BA12" i="40"/>
  <c r="CL60" i="37"/>
  <c r="M62" i="39"/>
  <c r="T26" i="25"/>
  <c r="CY27" i="26"/>
  <c r="AR37" i="38"/>
  <c r="AT67" i="40"/>
  <c r="H13" i="41"/>
  <c r="DD81" i="38"/>
  <c r="CN92" i="37"/>
  <c r="AZ108" i="47"/>
  <c r="AG24" i="1"/>
  <c r="CM102" i="36"/>
  <c r="BB53" i="36"/>
  <c r="AS71" i="1"/>
  <c r="CV92" i="1"/>
  <c r="BZ27" i="26"/>
  <c r="CS65" i="26"/>
  <c r="CP79" i="1"/>
  <c r="AV58" i="26"/>
  <c r="AS54" i="38"/>
  <c r="Z71" i="38"/>
  <c r="AB12" i="39"/>
  <c r="BT75" i="38"/>
  <c r="CU29" i="40"/>
  <c r="BA98" i="47"/>
  <c r="AQ9" i="36"/>
  <c r="J92" i="39"/>
  <c r="AT24" i="36"/>
  <c r="BT49" i="26"/>
  <c r="AS27" i="36"/>
  <c r="DD50" i="36"/>
  <c r="M67" i="46"/>
  <c r="CB75" i="1"/>
  <c r="DD26" i="26"/>
  <c r="CS21" i="38"/>
  <c r="BY92" i="37"/>
  <c r="AS34" i="41"/>
  <c r="DD17" i="36"/>
  <c r="BA102" i="39"/>
  <c r="CG9" i="41"/>
  <c r="AM59" i="36"/>
  <c r="CX37" i="25"/>
  <c r="CI25" i="41"/>
  <c r="J50" i="38"/>
  <c r="AD50" i="38"/>
  <c r="Y50" i="36"/>
  <c r="L50" i="41"/>
  <c r="AU12" i="26"/>
  <c r="CC25" i="38"/>
  <c r="BZ89" i="40"/>
  <c r="BW57" i="25"/>
  <c r="BX21" i="1"/>
  <c r="H34" i="36"/>
  <c r="CP102" i="37"/>
  <c r="T27" i="26"/>
  <c r="J102" i="1"/>
  <c r="AZ37" i="26"/>
  <c r="Z30" i="39"/>
  <c r="DF48" i="39"/>
  <c r="BX29" i="40"/>
  <c r="AH66" i="39"/>
  <c r="W37" i="40"/>
  <c r="M66" i="39"/>
  <c r="AY26" i="26"/>
  <c r="CK103" i="36"/>
  <c r="AY34" i="26"/>
  <c r="CK71" i="36"/>
  <c r="DC92" i="38"/>
  <c r="I61" i="1"/>
  <c r="AZ45" i="37"/>
  <c r="T96" i="25"/>
  <c r="N59" i="1"/>
  <c r="L87" i="60"/>
  <c r="CC65" i="40"/>
  <c r="AX65" i="37"/>
  <c r="O27" i="39"/>
  <c r="X29" i="40"/>
  <c r="CT30" i="39"/>
  <c r="CM49" i="36"/>
  <c r="CF58" i="37"/>
  <c r="AT9" i="25"/>
  <c r="AX24" i="41"/>
  <c r="CX50" i="26"/>
  <c r="I88" i="60"/>
  <c r="X30" i="37"/>
  <c r="BE58" i="40"/>
  <c r="AU50" i="36"/>
  <c r="M21" i="26"/>
  <c r="W24" i="39"/>
  <c r="AP30" i="1"/>
  <c r="CN91" i="37"/>
  <c r="AI59" i="40"/>
  <c r="CE27" i="38"/>
  <c r="DB96" i="40"/>
  <c r="K87" i="60"/>
  <c r="CX67" i="38"/>
  <c r="L67" i="46"/>
  <c r="AB37" i="26"/>
  <c r="BB37" i="38"/>
  <c r="AS59" i="1"/>
  <c r="CM37" i="1"/>
  <c r="AN98" i="40"/>
  <c r="AF57" i="1"/>
  <c r="BD123" i="47"/>
  <c r="F40" i="64"/>
  <c r="CU58" i="37"/>
  <c r="BO27" i="37"/>
  <c r="AD49" i="37"/>
  <c r="CC61" i="41"/>
  <c r="CZ66" i="38"/>
  <c r="CK24" i="38"/>
  <c r="F93" i="64"/>
  <c r="E51" i="64"/>
  <c r="AR75" i="38"/>
  <c r="CM89" i="39"/>
  <c r="CV18" i="25"/>
  <c r="CP60" i="39"/>
  <c r="BQ58" i="38"/>
  <c r="Y9" i="25"/>
  <c r="CC59" i="25"/>
  <c r="BD75" i="26"/>
  <c r="CY81" i="36"/>
  <c r="AQ71" i="38"/>
  <c r="AN9" i="26"/>
  <c r="H20" i="46"/>
  <c r="CL45" i="1"/>
  <c r="AS18" i="36"/>
  <c r="CW58" i="38"/>
  <c r="CF79" i="40"/>
  <c r="CD10" i="38"/>
  <c r="N45" i="1"/>
  <c r="X58" i="36"/>
  <c r="AT96" i="37"/>
  <c r="M71" i="1"/>
  <c r="K92" i="38"/>
  <c r="AZ92" i="25"/>
  <c r="AF59" i="40"/>
  <c r="CX18" i="36"/>
  <c r="AN54" i="38"/>
  <c r="AH25" i="39"/>
  <c r="DE57" i="37"/>
  <c r="CK50" i="26"/>
  <c r="DC96" i="38"/>
  <c r="L58" i="36"/>
  <c r="CG45" i="37"/>
  <c r="CB9" i="39"/>
  <c r="L21" i="1"/>
  <c r="Y27" i="26"/>
  <c r="O92" i="37"/>
  <c r="CN17" i="40"/>
  <c r="DB91" i="25"/>
  <c r="Z37" i="40"/>
  <c r="J58" i="40"/>
  <c r="CB96" i="40"/>
  <c r="DA65" i="38"/>
  <c r="CI71" i="41"/>
  <c r="DC45" i="36"/>
  <c r="I13" i="25"/>
  <c r="L54" i="41"/>
  <c r="CN50" i="40"/>
  <c r="U75" i="37"/>
  <c r="AW66" i="36"/>
  <c r="Z65" i="40"/>
  <c r="BY49" i="1"/>
  <c r="DD67" i="41"/>
  <c r="CV12" i="38"/>
  <c r="E61" i="60"/>
  <c r="H71" i="40"/>
  <c r="CJ75" i="37"/>
  <c r="BQ54" i="36"/>
  <c r="BA102" i="25"/>
  <c r="AN67" i="37"/>
  <c r="BE110" i="47"/>
  <c r="CA89" i="40"/>
  <c r="BX102" i="26"/>
  <c r="S65" i="37"/>
  <c r="G61" i="25"/>
  <c r="AG18" i="1"/>
  <c r="CK12" i="36"/>
  <c r="Y98" i="26"/>
  <c r="H11" i="59"/>
  <c r="BO96" i="38"/>
  <c r="CN24" i="40"/>
  <c r="AI25" i="38"/>
  <c r="CS9" i="25"/>
  <c r="AM13" i="41"/>
  <c r="AO79" i="38"/>
  <c r="DC66" i="37"/>
  <c r="CK75" i="37"/>
  <c r="AT24" i="41"/>
  <c r="AV96" i="38"/>
  <c r="BB18" i="39"/>
  <c r="CO53" i="39"/>
  <c r="AN25" i="36"/>
  <c r="AU75" i="37"/>
  <c r="CG25" i="1"/>
  <c r="O12" i="59"/>
  <c r="CH60" i="41"/>
  <c r="CA54" i="41"/>
  <c r="BT79" i="37"/>
  <c r="CQ18" i="40"/>
  <c r="BW26" i="40"/>
  <c r="CO48" i="41"/>
  <c r="CN12" i="1"/>
  <c r="CD25" i="38"/>
  <c r="BP67" i="39"/>
  <c r="CN60" i="40"/>
  <c r="BG110" i="47"/>
  <c r="CP96" i="39"/>
  <c r="AO102" i="25"/>
  <c r="DF71" i="41"/>
  <c r="I91" i="60"/>
  <c r="AD71" i="36"/>
  <c r="AV37" i="36"/>
  <c r="I53" i="1"/>
  <c r="AP81" i="26"/>
  <c r="P17" i="25"/>
  <c r="DF49" i="1"/>
  <c r="AW24" i="26"/>
  <c r="BV75" i="26"/>
  <c r="CV60" i="37"/>
  <c r="CM98" i="36"/>
  <c r="T37" i="41"/>
  <c r="AU96" i="37"/>
  <c r="AG24" i="37"/>
  <c r="CX37" i="37"/>
  <c r="AM18" i="41"/>
  <c r="CF10" i="1"/>
  <c r="S12" i="40"/>
  <c r="AR89" i="1"/>
  <c r="AM65" i="37"/>
  <c r="CA91" i="41"/>
  <c r="CJ57" i="40"/>
  <c r="CZ13" i="39"/>
  <c r="K98" i="1"/>
  <c r="AI50" i="1"/>
  <c r="AW66" i="39"/>
  <c r="AG9" i="37"/>
  <c r="AN17" i="26"/>
  <c r="L13" i="36"/>
  <c r="CJ9" i="37"/>
  <c r="BA17" i="37"/>
  <c r="G58" i="25"/>
  <c r="H96" i="41"/>
  <c r="AZ247" i="47"/>
  <c r="BP49" i="1"/>
  <c r="CX92" i="39"/>
  <c r="I19" i="59"/>
  <c r="BB34" i="25"/>
  <c r="CI9" i="37"/>
  <c r="AJ91" i="37"/>
  <c r="BT26" i="25"/>
  <c r="CF58" i="25"/>
  <c r="I25" i="36"/>
  <c r="CR29" i="26"/>
  <c r="M91" i="60"/>
  <c r="T24" i="26"/>
  <c r="BY45" i="36"/>
  <c r="AU58" i="39"/>
  <c r="AT53" i="37"/>
  <c r="H84" i="60"/>
  <c r="BU103" i="25"/>
  <c r="CN34" i="40"/>
  <c r="AD50" i="1"/>
  <c r="CW12" i="25"/>
  <c r="DE21" i="36"/>
  <c r="BD48" i="1"/>
  <c r="CJ24" i="36"/>
  <c r="CD37" i="37"/>
  <c r="BI98" i="38"/>
  <c r="BU50" i="41"/>
  <c r="CV89" i="41"/>
  <c r="AT53" i="36"/>
  <c r="AY45" i="26"/>
  <c r="U89" i="41"/>
  <c r="M34" i="36"/>
  <c r="CU75" i="41"/>
  <c r="CY10" i="36"/>
  <c r="CD45" i="39"/>
  <c r="I54" i="25"/>
  <c r="CE65" i="1"/>
  <c r="BI67" i="1"/>
  <c r="BX59" i="37"/>
  <c r="CY12" i="36"/>
  <c r="I64" i="64"/>
  <c r="F53" i="64"/>
  <c r="X65" i="40"/>
  <c r="BY30" i="41"/>
  <c r="W65" i="36"/>
  <c r="U29" i="40"/>
  <c r="BX67" i="40"/>
  <c r="AC37" i="39"/>
  <c r="F49" i="64"/>
  <c r="AW34" i="40"/>
  <c r="BA49" i="40"/>
  <c r="CN62" i="39"/>
  <c r="Z9" i="37"/>
  <c r="CL59" i="26"/>
  <c r="F17" i="64"/>
  <c r="J71" i="60"/>
  <c r="U24" i="1"/>
  <c r="CC58" i="25"/>
  <c r="AA17" i="39"/>
  <c r="AR96" i="40"/>
  <c r="T62" i="36"/>
  <c r="I79" i="26"/>
  <c r="AP89" i="1"/>
  <c r="K37" i="59"/>
  <c r="CI66" i="38"/>
  <c r="BX54" i="39"/>
  <c r="T24" i="1"/>
  <c r="S89" i="26"/>
  <c r="CU79" i="41"/>
  <c r="CC21" i="37"/>
  <c r="CM66" i="37"/>
  <c r="DF26" i="37"/>
  <c r="CD18" i="40"/>
  <c r="AO62" i="37"/>
  <c r="AH13" i="39"/>
  <c r="AI50" i="37"/>
  <c r="CA61" i="37"/>
  <c r="K45" i="59"/>
  <c r="BO102" i="39"/>
  <c r="CW81" i="25"/>
  <c r="CJ96" i="1"/>
  <c r="CW66" i="41"/>
  <c r="CE34" i="38"/>
  <c r="AJ34" i="40"/>
  <c r="BA25" i="37"/>
  <c r="AW50" i="39"/>
  <c r="M57" i="36"/>
  <c r="BE29" i="38"/>
  <c r="K24" i="41"/>
  <c r="DD102" i="26"/>
  <c r="CU12" i="38"/>
  <c r="AD48" i="26"/>
  <c r="CY54" i="40"/>
  <c r="CV103" i="36"/>
  <c r="AZ92" i="39"/>
  <c r="CW66" i="26"/>
  <c r="L45" i="40"/>
  <c r="CX21" i="38"/>
  <c r="AH9" i="41"/>
  <c r="K18" i="40"/>
  <c r="CJ62" i="36"/>
  <c r="CS37" i="37"/>
  <c r="AN26" i="39"/>
  <c r="BT37" i="25"/>
  <c r="CU75" i="40"/>
  <c r="BB67" i="38"/>
  <c r="BV62" i="40"/>
  <c r="CF30" i="41"/>
  <c r="AU34" i="38"/>
  <c r="AG10" i="1"/>
  <c r="CV60" i="25"/>
  <c r="AV65" i="39"/>
  <c r="G29" i="39"/>
  <c r="Z17" i="26"/>
  <c r="CA62" i="41"/>
  <c r="CE102" i="1"/>
  <c r="AW60" i="40"/>
  <c r="BS13" i="38"/>
  <c r="X17" i="38"/>
  <c r="BO79" i="41"/>
  <c r="CF9" i="40"/>
  <c r="AB10" i="41"/>
  <c r="CJ30" i="1"/>
  <c r="DC45" i="26"/>
  <c r="I92" i="64"/>
  <c r="AA60" i="25"/>
  <c r="AX57" i="37"/>
  <c r="BZ61" i="36"/>
  <c r="S81" i="1"/>
  <c r="L13" i="37"/>
  <c r="BY91" i="26"/>
  <c r="I57" i="59"/>
  <c r="DF58" i="25"/>
  <c r="F87" i="64"/>
  <c r="CL10" i="38"/>
  <c r="P59" i="40"/>
  <c r="DE61" i="40"/>
  <c r="DA58" i="41"/>
  <c r="BH9" i="1"/>
  <c r="H49" i="38"/>
  <c r="W17" i="26"/>
  <c r="DD30" i="37"/>
  <c r="CW91" i="37"/>
  <c r="AV30" i="26"/>
  <c r="CX30" i="1"/>
  <c r="BA30" i="26"/>
  <c r="CH9" i="26"/>
  <c r="AT48" i="39"/>
  <c r="M81" i="25"/>
  <c r="CH96" i="39"/>
  <c r="DE67" i="41"/>
  <c r="BY71" i="1"/>
  <c r="BI18" i="41"/>
  <c r="DB21" i="40"/>
  <c r="CQ48" i="37"/>
  <c r="I57" i="37"/>
  <c r="M26" i="40"/>
  <c r="BA49" i="41"/>
  <c r="CA96" i="37"/>
  <c r="CF62" i="37"/>
  <c r="CB79" i="26"/>
  <c r="CL21" i="40"/>
  <c r="Z48" i="25"/>
  <c r="CR59" i="1"/>
  <c r="DB12" i="1"/>
  <c r="AH58" i="36"/>
  <c r="CV25" i="39"/>
  <c r="L28" i="59"/>
  <c r="BT34" i="39"/>
  <c r="CF13" i="36"/>
  <c r="AE66" i="25"/>
  <c r="AA24" i="25"/>
  <c r="DD18" i="25"/>
  <c r="CK13" i="39"/>
  <c r="AB102" i="25"/>
  <c r="CM17" i="38"/>
  <c r="CM49" i="38"/>
  <c r="L61" i="36"/>
  <c r="CK29" i="26"/>
  <c r="F59" i="60"/>
  <c r="BV50" i="38"/>
  <c r="AO30" i="36"/>
  <c r="AQ53" i="37"/>
  <c r="CT37" i="39"/>
  <c r="CQ75" i="1"/>
  <c r="BW59" i="36"/>
  <c r="P81" i="26"/>
  <c r="BA233" i="47"/>
  <c r="CN13" i="25"/>
  <c r="J26" i="46"/>
  <c r="W89" i="26"/>
  <c r="CF71" i="26"/>
  <c r="AV45" i="25"/>
  <c r="N54" i="37"/>
  <c r="M54" i="64"/>
  <c r="BA106" i="47"/>
  <c r="BT71" i="37"/>
  <c r="BO58" i="41"/>
  <c r="BS30" i="1"/>
  <c r="AV17" i="41"/>
  <c r="P25" i="1"/>
  <c r="BZ57" i="41"/>
  <c r="CP21" i="1"/>
  <c r="S21" i="36"/>
  <c r="CW18" i="26"/>
  <c r="CN59" i="26"/>
  <c r="CY62" i="40"/>
  <c r="AI66" i="1"/>
  <c r="CO24" i="39"/>
  <c r="BE92" i="26"/>
  <c r="CV37" i="41"/>
  <c r="N81" i="37"/>
  <c r="M89" i="60"/>
  <c r="BB250" i="47"/>
  <c r="Y30" i="40"/>
  <c r="H67" i="40"/>
  <c r="CW66" i="25"/>
  <c r="CQ50" i="1"/>
  <c r="AA34" i="36"/>
  <c r="AN50" i="1"/>
  <c r="P9" i="36"/>
  <c r="CP49" i="1"/>
  <c r="AW10" i="37"/>
  <c r="AV37" i="26"/>
  <c r="CR48" i="26"/>
  <c r="G54" i="64"/>
  <c r="AF13" i="1"/>
  <c r="CE54" i="36"/>
  <c r="CV62" i="38"/>
  <c r="AG98" i="26"/>
  <c r="DF65" i="39"/>
  <c r="AB67" i="38"/>
  <c r="BW57" i="40"/>
  <c r="BU27" i="36"/>
  <c r="Z50" i="39"/>
  <c r="BU62" i="1"/>
  <c r="CY58" i="26"/>
  <c r="S21" i="39"/>
  <c r="DD12" i="40"/>
  <c r="CV50" i="38"/>
  <c r="AU50" i="38"/>
  <c r="BC45" i="40"/>
  <c r="S17" i="38"/>
  <c r="CK12" i="25"/>
  <c r="AU91" i="41"/>
  <c r="AI45" i="26"/>
  <c r="J89" i="39"/>
  <c r="BY79" i="26"/>
  <c r="CN103" i="26"/>
  <c r="DA10" i="37"/>
  <c r="K48" i="64"/>
  <c r="AO24" i="38"/>
  <c r="AI60" i="37"/>
  <c r="CP18" i="25"/>
  <c r="CI21" i="40"/>
  <c r="AV17" i="36"/>
  <c r="Z17" i="25"/>
  <c r="BB24" i="37"/>
  <c r="O65" i="38"/>
  <c r="BH91" i="25"/>
  <c r="N18" i="39"/>
  <c r="BA18" i="38"/>
  <c r="CB12" i="40"/>
  <c r="BH67" i="26"/>
  <c r="AE59" i="39"/>
  <c r="DD48" i="41"/>
  <c r="CA17" i="41"/>
  <c r="BD48" i="41"/>
  <c r="AZ34" i="26"/>
  <c r="CH96" i="1"/>
  <c r="P18" i="25"/>
  <c r="G86" i="60"/>
  <c r="BX91" i="40"/>
  <c r="G13" i="41"/>
  <c r="AD21" i="38"/>
  <c r="AW25" i="40"/>
  <c r="BQ103" i="1"/>
  <c r="CM29" i="38"/>
  <c r="AQ50" i="40"/>
  <c r="L18" i="36"/>
  <c r="CX24" i="41"/>
  <c r="CM96" i="25"/>
  <c r="BE13" i="38"/>
  <c r="AN58" i="36"/>
  <c r="F67" i="64"/>
  <c r="CQ66" i="25"/>
  <c r="BT50" i="37"/>
  <c r="CC10" i="26"/>
  <c r="CN34" i="38"/>
  <c r="BT71" i="36"/>
  <c r="AQ21" i="38"/>
  <c r="DE81" i="37"/>
  <c r="AZ102" i="38"/>
  <c r="CP98" i="40"/>
  <c r="BP102" i="41"/>
  <c r="CN65" i="40"/>
  <c r="BQ67" i="25"/>
  <c r="AF24" i="41"/>
  <c r="CD17" i="40"/>
  <c r="BO12" i="37"/>
  <c r="CJ92" i="1"/>
  <c r="I69" i="60"/>
  <c r="AR61" i="36"/>
  <c r="AA18" i="25"/>
  <c r="K72" i="64"/>
  <c r="DC37" i="26"/>
  <c r="K12" i="37"/>
  <c r="BC312" i="47"/>
  <c r="CX18" i="38"/>
  <c r="S17" i="37"/>
  <c r="CB24" i="37"/>
  <c r="CR30" i="25"/>
  <c r="AM54" i="39"/>
  <c r="CG54" i="25"/>
  <c r="AR18" i="36"/>
  <c r="K89" i="60"/>
  <c r="CD75" i="41"/>
  <c r="CJ89" i="1"/>
  <c r="X59" i="25"/>
  <c r="BC61" i="1"/>
  <c r="U66" i="25"/>
  <c r="K24" i="36"/>
  <c r="BD81" i="37"/>
  <c r="Y71" i="25"/>
  <c r="CE29" i="41"/>
  <c r="AY110" i="47"/>
  <c r="AZ30" i="36"/>
  <c r="BA65" i="41"/>
  <c r="DD92" i="25"/>
  <c r="AH62" i="37"/>
  <c r="BR79" i="25"/>
  <c r="BQ65" i="25"/>
  <c r="BH12" i="36"/>
  <c r="AP30" i="40"/>
  <c r="O34" i="41"/>
  <c r="CU25" i="1"/>
  <c r="AI10" i="26"/>
  <c r="K25" i="1"/>
  <c r="CK102" i="36"/>
  <c r="DC62" i="1"/>
  <c r="DC26" i="37"/>
  <c r="BT24" i="40"/>
  <c r="K88" i="60"/>
  <c r="CL96" i="36"/>
  <c r="AR13" i="40"/>
  <c r="DC12" i="40"/>
  <c r="CU102" i="36"/>
  <c r="BT71" i="39"/>
  <c r="AS48" i="26"/>
  <c r="N34" i="39"/>
  <c r="CF59" i="26"/>
  <c r="Z49" i="40"/>
  <c r="CF75" i="37"/>
  <c r="Y61" i="37"/>
  <c r="AP26" i="26"/>
  <c r="CT12" i="36"/>
  <c r="H62" i="38"/>
  <c r="P18" i="39"/>
  <c r="AR91" i="41"/>
  <c r="T62" i="41"/>
  <c r="CN89" i="41"/>
  <c r="CZ45" i="40"/>
  <c r="AG81" i="37"/>
  <c r="AV26" i="38"/>
  <c r="DE53" i="36"/>
  <c r="AI34" i="39"/>
  <c r="BP12" i="1"/>
  <c r="CY24" i="25"/>
  <c r="W26" i="38"/>
  <c r="CZ37" i="39"/>
  <c r="AI17" i="1"/>
  <c r="CO66" i="40"/>
  <c r="BB92" i="37"/>
  <c r="CK27" i="25"/>
  <c r="BD67" i="37"/>
  <c r="AM17" i="40"/>
  <c r="Z50" i="41"/>
  <c r="DA59" i="26"/>
  <c r="BD37" i="1"/>
  <c r="BP91" i="25"/>
  <c r="F31" i="4"/>
  <c r="BB106" i="47"/>
  <c r="J40" i="64"/>
  <c r="CX13" i="41"/>
  <c r="BQ13" i="37"/>
  <c r="AX92" i="25"/>
  <c r="M10" i="40"/>
  <c r="CA25" i="39"/>
  <c r="AU89" i="36"/>
  <c r="BW103" i="25"/>
  <c r="BE12" i="25"/>
  <c r="H53" i="64"/>
  <c r="BD98" i="47"/>
  <c r="CM48" i="38"/>
  <c r="AA79" i="38"/>
  <c r="BE59" i="41"/>
  <c r="BQ27" i="36"/>
  <c r="AI26" i="38"/>
  <c r="AR96" i="25"/>
  <c r="CA21" i="41"/>
  <c r="L87" i="64"/>
  <c r="BR13" i="37"/>
  <c r="S91" i="39"/>
  <c r="T12" i="38"/>
  <c r="CA17" i="37"/>
  <c r="DB67" i="38"/>
  <c r="AW89" i="41"/>
  <c r="DA103" i="36"/>
  <c r="CX49" i="1"/>
  <c r="CT17" i="39"/>
  <c r="M66" i="46"/>
  <c r="BU91" i="40"/>
  <c r="BH27" i="40"/>
  <c r="X27" i="41"/>
  <c r="BO17" i="40"/>
  <c r="AM37" i="41"/>
  <c r="BW75" i="38"/>
  <c r="AU21" i="1"/>
  <c r="DD29" i="36"/>
  <c r="DE71" i="40"/>
  <c r="CP61" i="1"/>
  <c r="AT25" i="1"/>
  <c r="BD103" i="47"/>
  <c r="AR17" i="38"/>
  <c r="DE96" i="37"/>
  <c r="CG34" i="26"/>
  <c r="DB62" i="26"/>
  <c r="CC45" i="25"/>
  <c r="BP102" i="26"/>
  <c r="CY34" i="39"/>
  <c r="AT30" i="26"/>
  <c r="AF17" i="36"/>
  <c r="CQ62" i="1"/>
  <c r="CB71" i="40"/>
  <c r="F91" i="60"/>
  <c r="CQ48" i="41"/>
  <c r="BC10" i="40"/>
  <c r="BZ102" i="38"/>
  <c r="CZ102" i="40"/>
  <c r="AR12" i="39"/>
  <c r="U71" i="40"/>
  <c r="J16" i="46"/>
  <c r="BT21" i="38"/>
  <c r="H95" i="64"/>
  <c r="DE30" i="25"/>
  <c r="AP49" i="25"/>
  <c r="CX75" i="26"/>
  <c r="CT65" i="36"/>
  <c r="I27" i="25"/>
  <c r="CX45" i="40"/>
  <c r="DA37" i="25"/>
  <c r="CO96" i="1"/>
  <c r="AB49" i="40"/>
  <c r="BC96" i="37"/>
  <c r="CT48" i="25"/>
  <c r="CK71" i="41"/>
  <c r="AM53" i="36"/>
  <c r="BE29" i="1"/>
  <c r="BC17" i="37"/>
  <c r="P98" i="1"/>
  <c r="BT96" i="40"/>
  <c r="AW102" i="26"/>
  <c r="M86" i="60"/>
  <c r="AC91" i="25"/>
  <c r="X49" i="36"/>
  <c r="CV91" i="41"/>
  <c r="DC96" i="41"/>
  <c r="J75" i="41"/>
  <c r="AC10" i="37"/>
  <c r="AW60" i="1"/>
  <c r="AG65" i="36"/>
  <c r="AV49" i="39"/>
  <c r="CB48" i="25"/>
  <c r="BH12" i="37"/>
  <c r="CA10" i="26"/>
  <c r="AB60" i="40"/>
  <c r="BA34" i="41"/>
  <c r="CX92" i="41"/>
  <c r="CZ24" i="40"/>
  <c r="AD24" i="41"/>
  <c r="AT48" i="36"/>
  <c r="DD91" i="25"/>
  <c r="CO103" i="39"/>
  <c r="AJ66" i="37"/>
  <c r="CQ57" i="36"/>
  <c r="AO17" i="38"/>
  <c r="AD24" i="38"/>
  <c r="CZ79" i="37"/>
  <c r="CV48" i="25"/>
  <c r="BU89" i="40"/>
  <c r="CP62" i="37"/>
  <c r="CH10" i="37"/>
  <c r="AA67" i="1"/>
  <c r="BR30" i="25"/>
  <c r="AS102" i="1"/>
  <c r="CJ50" i="38"/>
  <c r="CE54" i="38"/>
  <c r="CU58" i="39"/>
  <c r="BS50" i="25"/>
  <c r="BW54" i="25"/>
  <c r="I49" i="41"/>
  <c r="J73" i="60"/>
  <c r="K25" i="25"/>
  <c r="CF34" i="39"/>
  <c r="CF13" i="41"/>
  <c r="BT91" i="36"/>
  <c r="M30" i="41"/>
  <c r="CM12" i="39"/>
  <c r="Y50" i="37"/>
  <c r="AQ13" i="40"/>
  <c r="BV49" i="1"/>
  <c r="AY48" i="41"/>
  <c r="AS45" i="40"/>
  <c r="CN45" i="36"/>
  <c r="BR49" i="25"/>
  <c r="AF21" i="40"/>
  <c r="H92" i="64"/>
  <c r="BV57" i="26"/>
  <c r="AM21" i="39"/>
  <c r="CR79" i="41"/>
  <c r="CD53" i="25"/>
  <c r="BE314" i="47"/>
  <c r="AA71" i="26"/>
  <c r="K27" i="40"/>
  <c r="CN53" i="36"/>
  <c r="CK102" i="26"/>
  <c r="V60" i="40"/>
  <c r="BY57" i="40"/>
  <c r="H102" i="39"/>
  <c r="P45" i="25"/>
  <c r="BE29" i="36"/>
  <c r="P19" i="59"/>
  <c r="AH81" i="39"/>
  <c r="CE49" i="40"/>
  <c r="BB92" i="40"/>
  <c r="V34" i="38"/>
  <c r="CO65" i="25"/>
  <c r="AQ66" i="39"/>
  <c r="N25" i="26"/>
  <c r="CP53" i="36"/>
  <c r="AR89" i="36"/>
  <c r="N18" i="36"/>
  <c r="AT26" i="38"/>
  <c r="BR17" i="25"/>
  <c r="AW96" i="36"/>
  <c r="DE60" i="26"/>
  <c r="CV71" i="41"/>
  <c r="BH49" i="36"/>
  <c r="CY49" i="38"/>
  <c r="BI49" i="25"/>
  <c r="H48" i="25"/>
  <c r="BS103" i="37"/>
  <c r="G91" i="25"/>
  <c r="I45" i="60"/>
  <c r="H58" i="25"/>
  <c r="CR79" i="26"/>
  <c r="AA10" i="36"/>
  <c r="AH27" i="38"/>
  <c r="DE75" i="38"/>
  <c r="DF26" i="40"/>
  <c r="BD91" i="26"/>
  <c r="AR29" i="37"/>
  <c r="Y57" i="26"/>
  <c r="CY45" i="25"/>
  <c r="CV71" i="37"/>
  <c r="BC102" i="26"/>
  <c r="AA50" i="26"/>
  <c r="T17" i="41"/>
  <c r="L95" i="64"/>
  <c r="DC57" i="38"/>
  <c r="DD59" i="37"/>
  <c r="BR48" i="38"/>
  <c r="M49" i="59"/>
  <c r="BT89" i="41"/>
  <c r="BV103" i="1"/>
  <c r="CC92" i="26"/>
  <c r="BA17" i="36"/>
  <c r="AM89" i="41"/>
  <c r="DE45" i="1"/>
  <c r="DE61" i="41"/>
  <c r="G45" i="25"/>
  <c r="BY26" i="37"/>
  <c r="DB71" i="36"/>
  <c r="P12" i="40"/>
  <c r="AA50" i="1"/>
  <c r="BU30" i="26"/>
  <c r="CN29" i="36"/>
  <c r="I30" i="37"/>
  <c r="DE9" i="41"/>
  <c r="DD26" i="25"/>
  <c r="AA98" i="37"/>
  <c r="AY57" i="38"/>
  <c r="BA122" i="47"/>
  <c r="M75" i="36"/>
  <c r="BR30" i="41"/>
  <c r="AD45" i="38"/>
  <c r="AR62" i="36"/>
  <c r="X53" i="38"/>
  <c r="CM57" i="40"/>
  <c r="AR81" i="37"/>
  <c r="DE53" i="41"/>
  <c r="CG103" i="37"/>
  <c r="BB30" i="26"/>
  <c r="X21" i="38"/>
  <c r="DB17" i="40"/>
  <c r="CP75" i="37"/>
  <c r="CN92" i="25"/>
  <c r="AQ59" i="37"/>
  <c r="Z92" i="1"/>
  <c r="J67" i="1"/>
  <c r="AH91" i="1"/>
  <c r="M21" i="41"/>
  <c r="AP57" i="26"/>
  <c r="AY62" i="41"/>
  <c r="CK81" i="39"/>
  <c r="CN102" i="1"/>
  <c r="E15" i="60"/>
  <c r="AZ98" i="39"/>
  <c r="DC67" i="41"/>
  <c r="AF12" i="41"/>
  <c r="M54" i="37"/>
  <c r="AT24" i="25"/>
  <c r="AN102" i="38"/>
  <c r="BX58" i="26"/>
  <c r="AB59" i="38"/>
  <c r="CZ102" i="1"/>
  <c r="J50" i="36"/>
  <c r="BI13" i="1"/>
  <c r="CG9" i="26"/>
  <c r="CO29" i="39"/>
  <c r="CF66" i="39"/>
  <c r="BE27" i="1"/>
  <c r="CB65" i="41"/>
  <c r="CE48" i="26"/>
  <c r="BR54" i="39"/>
  <c r="O60" i="26"/>
  <c r="BD96" i="36"/>
  <c r="DA81" i="36"/>
  <c r="Y21" i="41"/>
  <c r="BV18" i="1"/>
  <c r="CW24" i="39"/>
  <c r="AF102" i="1"/>
  <c r="AH60" i="26"/>
  <c r="CU65" i="36"/>
  <c r="M10" i="38"/>
  <c r="DE57" i="39"/>
  <c r="CS18" i="37"/>
  <c r="AR98" i="40"/>
  <c r="AN96" i="36"/>
  <c r="AG21" i="1"/>
  <c r="BC27" i="37"/>
  <c r="DD25" i="26"/>
  <c r="CT58" i="1"/>
  <c r="CA21" i="37"/>
  <c r="AT37" i="39"/>
  <c r="X75" i="40"/>
  <c r="AE37" i="37"/>
  <c r="T61" i="39"/>
  <c r="CX61" i="1"/>
  <c r="CQ103" i="37"/>
  <c r="CX12" i="26"/>
  <c r="AX54" i="37"/>
  <c r="AX98" i="36"/>
  <c r="AF49" i="1"/>
  <c r="BB101" i="47"/>
  <c r="BA45" i="1"/>
  <c r="CG59" i="26"/>
  <c r="J89" i="60"/>
  <c r="BT25" i="37"/>
  <c r="X18" i="26"/>
  <c r="BP24" i="40"/>
  <c r="BE79" i="41"/>
  <c r="BD53" i="36"/>
  <c r="BP37" i="37"/>
  <c r="S96" i="37"/>
  <c r="AT92" i="38"/>
  <c r="DC98" i="38"/>
  <c r="AF62" i="40"/>
  <c r="CG103" i="26"/>
  <c r="S18" i="38"/>
  <c r="AH102" i="25"/>
  <c r="CK79" i="40"/>
  <c r="BY48" i="25"/>
  <c r="BS57" i="37"/>
  <c r="N45" i="25"/>
  <c r="CB24" i="40"/>
  <c r="BT81" i="41"/>
  <c r="M79" i="40"/>
  <c r="J26" i="37"/>
  <c r="AE54" i="26"/>
  <c r="CM53" i="26"/>
  <c r="W29" i="39"/>
  <c r="BV60" i="41"/>
  <c r="BB96" i="1"/>
  <c r="I54" i="39"/>
  <c r="AY127" i="47"/>
  <c r="DD65" i="25"/>
  <c r="AP57" i="41"/>
  <c r="CC53" i="41"/>
  <c r="BU53" i="40"/>
  <c r="DF30" i="39"/>
  <c r="CP71" i="26"/>
  <c r="AA25" i="25"/>
  <c r="BA60" i="39"/>
  <c r="M34" i="1"/>
  <c r="V18" i="39"/>
  <c r="BP48" i="1"/>
  <c r="H45" i="37"/>
  <c r="AA89" i="41"/>
  <c r="CL37" i="26"/>
  <c r="AN66" i="26"/>
  <c r="V65" i="25"/>
  <c r="CY24" i="37"/>
  <c r="CB53" i="38"/>
  <c r="Y12" i="26"/>
  <c r="CE26" i="25"/>
  <c r="CA79" i="26"/>
  <c r="AS92" i="1"/>
  <c r="BW17" i="25"/>
  <c r="CN30" i="1"/>
  <c r="AD27" i="39"/>
  <c r="CI48" i="1"/>
  <c r="BC57" i="26"/>
  <c r="CG91" i="36"/>
  <c r="CE48" i="37"/>
  <c r="BU75" i="38"/>
  <c r="CE61" i="26"/>
  <c r="AP75" i="1"/>
  <c r="CN91" i="1"/>
  <c r="DC66" i="38"/>
  <c r="CZ60" i="25"/>
  <c r="AJ75" i="40"/>
  <c r="CQ48" i="36"/>
  <c r="AP62" i="41"/>
  <c r="CH18" i="26"/>
  <c r="AY9" i="36"/>
  <c r="BZ54" i="41"/>
  <c r="BA65" i="26"/>
  <c r="CK53" i="40"/>
  <c r="BQ29" i="25"/>
  <c r="CS27" i="37"/>
  <c r="AM24" i="36"/>
  <c r="BO18" i="39"/>
  <c r="J24" i="38"/>
  <c r="BA10" i="1"/>
  <c r="CP81" i="40"/>
  <c r="CM67" i="25"/>
  <c r="L50" i="39"/>
  <c r="W71" i="38"/>
  <c r="AU71" i="40"/>
  <c r="L65" i="37"/>
  <c r="O75" i="1"/>
  <c r="AX58" i="36"/>
  <c r="AQ45" i="39"/>
  <c r="K12" i="39"/>
  <c r="BV10" i="37"/>
  <c r="AN21" i="40"/>
  <c r="L30" i="25"/>
  <c r="K59" i="26"/>
  <c r="CI89" i="37"/>
  <c r="CE67" i="39"/>
  <c r="AG65" i="41"/>
  <c r="BX66" i="25"/>
  <c r="BC54" i="1"/>
  <c r="BR21" i="26"/>
  <c r="AV17" i="25"/>
  <c r="AG13" i="26"/>
  <c r="V81" i="1"/>
  <c r="CI9" i="26"/>
  <c r="BT89" i="37"/>
  <c r="N45" i="26"/>
  <c r="CM26" i="26"/>
  <c r="CZ96" i="39"/>
  <c r="DD60" i="38"/>
  <c r="CT75" i="40"/>
  <c r="AG29" i="1"/>
  <c r="AE18" i="36"/>
  <c r="CR57" i="38"/>
  <c r="AH71" i="39"/>
  <c r="V71" i="38"/>
  <c r="AQ45" i="37"/>
  <c r="BX10" i="25"/>
  <c r="BQ59" i="25"/>
  <c r="DE81" i="41"/>
  <c r="CH24" i="41"/>
  <c r="M13" i="25"/>
  <c r="BD66" i="25"/>
  <c r="DE75" i="39"/>
  <c r="AA96" i="36"/>
  <c r="BH29" i="25"/>
  <c r="AN10" i="41"/>
  <c r="L24" i="36"/>
  <c r="Z98" i="37"/>
  <c r="Z59" i="1"/>
  <c r="AH62" i="25"/>
  <c r="BU71" i="1"/>
  <c r="AZ29" i="39"/>
  <c r="BO30" i="25"/>
  <c r="P81" i="39"/>
  <c r="CH34" i="38"/>
  <c r="CU24" i="40"/>
  <c r="I34" i="37"/>
  <c r="DF98" i="38"/>
  <c r="CZ45" i="37"/>
  <c r="U79" i="39"/>
  <c r="AY48" i="26"/>
  <c r="BF314" i="47"/>
  <c r="CN60" i="26"/>
  <c r="L63" i="59"/>
  <c r="BB81" i="40"/>
  <c r="T58" i="1"/>
  <c r="AH48" i="41"/>
  <c r="CG24" i="1"/>
  <c r="G54" i="39"/>
  <c r="O37" i="59"/>
  <c r="K67" i="64"/>
  <c r="X34" i="25"/>
  <c r="CT34" i="41"/>
  <c r="CQ58" i="41"/>
  <c r="BR45" i="25"/>
  <c r="AW9" i="41"/>
  <c r="BE128" i="47"/>
  <c r="BA18" i="36"/>
  <c r="BI60" i="37"/>
  <c r="AB58" i="39"/>
  <c r="P27" i="41"/>
  <c r="AX59" i="25"/>
  <c r="CJ29" i="25"/>
  <c r="G11" i="64"/>
  <c r="CE13" i="40"/>
  <c r="BC54" i="26"/>
  <c r="G58" i="41"/>
  <c r="AD57" i="37"/>
  <c r="DF66" i="26"/>
  <c r="AZ26" i="39"/>
  <c r="DF12" i="39"/>
  <c r="BX59" i="36"/>
  <c r="I89" i="64"/>
  <c r="H27" i="38"/>
  <c r="G89" i="60"/>
  <c r="CQ26" i="36"/>
  <c r="CH66" i="36"/>
  <c r="N57" i="25"/>
  <c r="CB62" i="40"/>
  <c r="CN29" i="40"/>
  <c r="BV59" i="38"/>
  <c r="BP30" i="1"/>
  <c r="BG310" i="47"/>
  <c r="CP45" i="36"/>
  <c r="P49" i="25"/>
  <c r="H72" i="64"/>
  <c r="AF18" i="1"/>
  <c r="BC37" i="40"/>
  <c r="CT17" i="36"/>
  <c r="AE21" i="41"/>
  <c r="BE21" i="41"/>
  <c r="AS59" i="25"/>
  <c r="CQ37" i="37"/>
  <c r="CP71" i="41"/>
  <c r="AI61" i="38"/>
  <c r="CC75" i="36"/>
  <c r="AF79" i="38"/>
  <c r="AM59" i="37"/>
  <c r="CM79" i="36"/>
  <c r="AD12" i="37"/>
  <c r="L24" i="1"/>
  <c r="CM34" i="38"/>
  <c r="BC60" i="1"/>
  <c r="AZ9" i="38"/>
  <c r="DB103" i="26"/>
  <c r="CR18" i="40"/>
  <c r="G18" i="26"/>
  <c r="O67" i="41"/>
  <c r="AB49" i="37"/>
  <c r="AX91" i="39"/>
  <c r="T66" i="1"/>
  <c r="BH65" i="38"/>
  <c r="BQ91" i="40"/>
  <c r="CN9" i="41"/>
  <c r="M34" i="39"/>
  <c r="DD59" i="36"/>
  <c r="CY29" i="26"/>
  <c r="CJ89" i="37"/>
  <c r="J12" i="37"/>
  <c r="M29" i="39"/>
  <c r="AH61" i="41"/>
  <c r="AY57" i="1"/>
  <c r="AN54" i="39"/>
  <c r="X57" i="37"/>
  <c r="BV18" i="36"/>
  <c r="AX21" i="1"/>
  <c r="AM57" i="37"/>
  <c r="AN96" i="39"/>
  <c r="AA65" i="40"/>
  <c r="AZ57" i="1"/>
  <c r="AN91" i="25"/>
  <c r="U37" i="26"/>
  <c r="DB25" i="26"/>
  <c r="CR89" i="39"/>
  <c r="AW65" i="25"/>
  <c r="AV30" i="25"/>
  <c r="J55" i="64"/>
  <c r="DD58" i="25"/>
  <c r="AR34" i="40"/>
  <c r="BI61" i="36"/>
  <c r="DD13" i="40"/>
  <c r="CG71" i="39"/>
  <c r="CV91" i="38"/>
  <c r="O25" i="37"/>
  <c r="V91" i="37"/>
  <c r="BC24" i="37"/>
  <c r="AM57" i="38"/>
  <c r="CU30" i="1"/>
  <c r="CH62" i="37"/>
  <c r="AP34" i="26"/>
  <c r="BI75" i="37"/>
  <c r="S75" i="37"/>
  <c r="AS91" i="38"/>
  <c r="CS58" i="25"/>
  <c r="DC67" i="36"/>
  <c r="BE13" i="36"/>
  <c r="DF34" i="41"/>
  <c r="DB102" i="38"/>
  <c r="AB59" i="37"/>
  <c r="AH29" i="25"/>
  <c r="CE79" i="38"/>
  <c r="BR26" i="41"/>
  <c r="BS96" i="38"/>
  <c r="K71" i="1"/>
  <c r="AJ61" i="41"/>
  <c r="CT81" i="25"/>
  <c r="BU37" i="38"/>
  <c r="CY34" i="40"/>
  <c r="BZ45" i="1"/>
  <c r="CY37" i="25"/>
  <c r="BX65" i="37"/>
  <c r="BB13" i="38"/>
  <c r="E72" i="64"/>
  <c r="AT65" i="37"/>
  <c r="K10" i="38"/>
  <c r="J92" i="1"/>
  <c r="P81" i="41"/>
  <c r="AO61" i="39"/>
  <c r="CQ10" i="40"/>
  <c r="CA79" i="41"/>
  <c r="BP17" i="39"/>
  <c r="I45" i="38"/>
  <c r="BT58" i="37"/>
  <c r="AH65" i="25"/>
  <c r="CU30" i="39"/>
  <c r="DE21" i="40"/>
  <c r="J66" i="39"/>
  <c r="CJ89" i="41"/>
  <c r="CE12" i="37"/>
  <c r="CX26" i="36"/>
  <c r="CI45" i="38"/>
  <c r="AO53" i="39"/>
  <c r="AZ60" i="40"/>
  <c r="J66" i="1"/>
  <c r="BE50" i="36"/>
  <c r="CT30" i="38"/>
  <c r="DF57" i="25"/>
  <c r="CG45" i="38"/>
  <c r="CC61" i="1"/>
  <c r="BC24" i="36"/>
  <c r="CL17" i="25"/>
  <c r="CI29" i="37"/>
  <c r="DF91" i="37"/>
  <c r="F78" i="60"/>
  <c r="CF27" i="25"/>
  <c r="CD48" i="25"/>
  <c r="AH89" i="37"/>
  <c r="BY66" i="39"/>
  <c r="AA96" i="39"/>
  <c r="T13" i="1"/>
  <c r="CI26" i="26"/>
  <c r="T10" i="39"/>
  <c r="DA24" i="38"/>
  <c r="L12" i="25"/>
  <c r="V49" i="41"/>
  <c r="BB45" i="38"/>
  <c r="BO25" i="41"/>
  <c r="K64" i="64"/>
  <c r="DA12" i="38"/>
  <c r="AM54" i="1"/>
  <c r="AU34" i="25"/>
  <c r="AM98" i="38"/>
  <c r="I62" i="1"/>
  <c r="CB45" i="1"/>
  <c r="AC67" i="26"/>
  <c r="BW103" i="36"/>
  <c r="DE66" i="1"/>
  <c r="AN89" i="1"/>
  <c r="DC61" i="1"/>
  <c r="N37" i="36"/>
  <c r="BX102" i="25"/>
  <c r="BV92" i="36"/>
  <c r="AN27" i="25"/>
  <c r="F19" i="64"/>
  <c r="DE58" i="40"/>
  <c r="AV102" i="37"/>
  <c r="BP10" i="1"/>
  <c r="DE66" i="37"/>
  <c r="CZ13" i="38"/>
  <c r="CH96" i="36"/>
  <c r="I75" i="1"/>
  <c r="AX61" i="37"/>
  <c r="CN57" i="37"/>
  <c r="CD67" i="40"/>
  <c r="I54" i="59"/>
  <c r="BQ10" i="36"/>
  <c r="AY62" i="36"/>
  <c r="AG57" i="1"/>
  <c r="CJ21" i="38"/>
  <c r="DC60" i="25"/>
  <c r="AQ12" i="25"/>
  <c r="BY37" i="25"/>
  <c r="L34" i="26"/>
  <c r="BO58" i="39"/>
  <c r="AU29" i="26"/>
  <c r="J17" i="1"/>
  <c r="BT59" i="39"/>
  <c r="I102" i="37"/>
  <c r="AC24" i="1"/>
  <c r="AQ59" i="40"/>
  <c r="BW9" i="36"/>
  <c r="F76" i="60"/>
  <c r="M24" i="25"/>
  <c r="AY57" i="39"/>
  <c r="P34" i="38"/>
  <c r="V25" i="37"/>
  <c r="CB71" i="38"/>
  <c r="M89" i="36"/>
  <c r="BW67" i="40"/>
  <c r="BO34" i="39"/>
  <c r="BS58" i="1"/>
  <c r="CO26" i="25"/>
  <c r="P96" i="25"/>
  <c r="CK45" i="40"/>
  <c r="CM25" i="1"/>
  <c r="CO30" i="41"/>
  <c r="K18" i="59"/>
  <c r="CQ45" i="39"/>
  <c r="CC59" i="41"/>
  <c r="CJ57" i="38"/>
  <c r="K17" i="59"/>
  <c r="V59" i="26"/>
  <c r="BW9" i="37"/>
  <c r="CU91" i="39"/>
  <c r="L86" i="60"/>
  <c r="CL102" i="36"/>
  <c r="CB9" i="25"/>
  <c r="AF58" i="41"/>
  <c r="BI37" i="25"/>
  <c r="BB58" i="41"/>
  <c r="AA29" i="41"/>
  <c r="DC91" i="25"/>
  <c r="J29" i="41"/>
  <c r="CX27" i="37"/>
  <c r="CJ10" i="36"/>
  <c r="P96" i="36"/>
  <c r="H61" i="40"/>
  <c r="K91" i="25"/>
  <c r="O45" i="38"/>
  <c r="DA59" i="38"/>
  <c r="AI81" i="39"/>
  <c r="CT25" i="41"/>
  <c r="T13" i="37"/>
  <c r="BZ91" i="38"/>
  <c r="BP30" i="40"/>
  <c r="CK92" i="41"/>
  <c r="AZ54" i="26"/>
  <c r="AU59" i="36"/>
  <c r="AA60" i="36"/>
  <c r="CG79" i="41"/>
  <c r="AA29" i="38"/>
  <c r="AR54" i="40"/>
  <c r="AM48" i="1"/>
  <c r="DD81" i="26"/>
  <c r="AO102" i="1"/>
  <c r="AG75" i="36"/>
  <c r="AN13" i="37"/>
  <c r="X50" i="38"/>
  <c r="CE53" i="1"/>
  <c r="AP102" i="38"/>
  <c r="CT103" i="26"/>
  <c r="CU37" i="1"/>
  <c r="CR75" i="38"/>
  <c r="AJ71" i="41"/>
  <c r="CM57" i="25"/>
  <c r="CM25" i="36"/>
  <c r="CZ34" i="36"/>
  <c r="O65" i="25"/>
  <c r="AW48" i="26"/>
  <c r="CN10" i="41"/>
  <c r="DA27" i="26"/>
  <c r="I50" i="26"/>
  <c r="CL53" i="36"/>
  <c r="DF12" i="41"/>
  <c r="AG102" i="41"/>
  <c r="V37" i="37"/>
  <c r="AF50" i="41"/>
  <c r="V92" i="36"/>
  <c r="AW13" i="41"/>
  <c r="O96" i="41"/>
  <c r="AQ81" i="26"/>
  <c r="P37" i="36"/>
  <c r="AH62" i="40"/>
  <c r="BD17" i="37"/>
  <c r="BI71" i="40"/>
  <c r="P37" i="39"/>
  <c r="BC18" i="1"/>
  <c r="AA53" i="1"/>
  <c r="X62" i="25"/>
  <c r="BI61" i="26"/>
  <c r="CD57" i="41"/>
  <c r="J65" i="26"/>
  <c r="I65" i="41"/>
  <c r="BH66" i="1"/>
  <c r="CG30" i="41"/>
  <c r="P25" i="40"/>
  <c r="AC9" i="38"/>
  <c r="G19" i="46"/>
  <c r="AQ48" i="26"/>
  <c r="CK17" i="41"/>
  <c r="CG65" i="25"/>
  <c r="CF29" i="40"/>
  <c r="AY9" i="39"/>
  <c r="P45" i="26"/>
  <c r="CI79" i="25"/>
  <c r="S96" i="36"/>
  <c r="AE18" i="25"/>
  <c r="BD49" i="39"/>
  <c r="L91" i="39"/>
  <c r="CD37" i="41"/>
  <c r="CH96" i="25"/>
  <c r="DE53" i="37"/>
  <c r="AC57" i="26"/>
  <c r="AD60" i="41"/>
  <c r="AM21" i="38"/>
  <c r="CY26" i="38"/>
  <c r="AH102" i="1"/>
  <c r="CP45" i="26"/>
  <c r="U50" i="25"/>
  <c r="H26" i="1"/>
  <c r="X54" i="38"/>
  <c r="AY57" i="26"/>
  <c r="BW50" i="1"/>
  <c r="J49" i="64"/>
  <c r="K37" i="39"/>
  <c r="AE13" i="39"/>
  <c r="CP53" i="41"/>
  <c r="DB65" i="38"/>
  <c r="AG66" i="40"/>
  <c r="CB59" i="25"/>
  <c r="BR79" i="41"/>
  <c r="X57" i="26"/>
  <c r="CC58" i="38"/>
  <c r="CP9" i="36"/>
  <c r="AY30" i="38"/>
  <c r="DD37" i="41"/>
  <c r="DD49" i="25"/>
  <c r="N34" i="38"/>
  <c r="T25" i="41"/>
  <c r="CT57" i="40"/>
  <c r="CQ34" i="39"/>
  <c r="CX10" i="26"/>
  <c r="AS67" i="38"/>
  <c r="AY10" i="39"/>
  <c r="AU58" i="38"/>
  <c r="BR75" i="41"/>
  <c r="CE59" i="26"/>
  <c r="AT102" i="36"/>
  <c r="CR34" i="39"/>
  <c r="AH21" i="25"/>
  <c r="AZ18" i="37"/>
  <c r="AI66" i="38"/>
  <c r="J31" i="4" s="1"/>
  <c r="AY66" i="39"/>
  <c r="DF24" i="39"/>
  <c r="AE26" i="39"/>
  <c r="CM24" i="37"/>
  <c r="T17" i="39"/>
  <c r="CB61" i="39"/>
  <c r="CT81" i="36"/>
  <c r="CN62" i="40"/>
  <c r="G67" i="36"/>
  <c r="BR89" i="26"/>
  <c r="CV24" i="37"/>
  <c r="CQ67" i="39"/>
  <c r="DE67" i="25"/>
  <c r="Y49" i="39"/>
  <c r="L82" i="60"/>
  <c r="AA92" i="39"/>
  <c r="BY21" i="25"/>
  <c r="BX65" i="25"/>
  <c r="BW30" i="40"/>
  <c r="BE102" i="47"/>
  <c r="H98" i="37"/>
  <c r="DB89" i="25"/>
  <c r="DF54" i="39"/>
  <c r="DB30" i="41"/>
  <c r="CO17" i="37"/>
  <c r="CG53" i="26"/>
  <c r="AZ62" i="41"/>
  <c r="BS92" i="40"/>
  <c r="AG92" i="37"/>
  <c r="BD61" i="40"/>
  <c r="BD59" i="37"/>
  <c r="AY102" i="38"/>
  <c r="DB54" i="39"/>
  <c r="CT89" i="40"/>
  <c r="AE59" i="26"/>
  <c r="Y66" i="25"/>
  <c r="AF61" i="25"/>
  <c r="M30" i="26"/>
  <c r="O27" i="40"/>
  <c r="BA26" i="26"/>
  <c r="BF103" i="47"/>
  <c r="BS89" i="25"/>
  <c r="BO29" i="25"/>
  <c r="AI27" i="38"/>
  <c r="AI98" i="38"/>
  <c r="AE12" i="36"/>
  <c r="CU34" i="41"/>
  <c r="CF12" i="36"/>
  <c r="DD25" i="38"/>
  <c r="CZ25" i="37"/>
  <c r="V24" i="26"/>
  <c r="V65" i="40"/>
  <c r="CL10" i="25"/>
  <c r="K92" i="40"/>
  <c r="I75" i="64"/>
  <c r="AR10" i="40"/>
  <c r="CL49" i="38"/>
  <c r="AN48" i="40"/>
  <c r="AE34" i="40"/>
  <c r="L29" i="39"/>
  <c r="CG26" i="1"/>
  <c r="BD92" i="40"/>
  <c r="AE102" i="39"/>
  <c r="CS30" i="37"/>
  <c r="CA67" i="1"/>
  <c r="DD57" i="41"/>
  <c r="CT81" i="26"/>
  <c r="BC98" i="26"/>
  <c r="K50" i="36"/>
  <c r="X58" i="25"/>
  <c r="P10" i="1"/>
  <c r="CO27" i="25"/>
  <c r="BC34" i="36"/>
  <c r="CL54" i="25"/>
  <c r="T25" i="39"/>
  <c r="U89" i="40"/>
  <c r="CW37" i="36"/>
  <c r="M79" i="39"/>
  <c r="J18" i="39"/>
  <c r="Z30" i="36"/>
  <c r="BR81" i="26"/>
  <c r="N96" i="1"/>
  <c r="CJ54" i="39"/>
  <c r="P71" i="26"/>
  <c r="CO59" i="41"/>
  <c r="DF103" i="1"/>
  <c r="M30" i="25"/>
  <c r="AM34" i="26"/>
  <c r="K91" i="40"/>
  <c r="M8" i="60"/>
  <c r="H8" i="60"/>
  <c r="DD75" i="38"/>
  <c r="BI17" i="25"/>
  <c r="AG45" i="36"/>
  <c r="AP89" i="37"/>
  <c r="AN10" i="25"/>
  <c r="BA75" i="25"/>
  <c r="AI49" i="25"/>
  <c r="CT60" i="36"/>
  <c r="J37" i="46"/>
  <c r="AN49" i="36"/>
  <c r="CP21" i="36"/>
  <c r="BA54" i="25"/>
  <c r="CX96" i="37"/>
  <c r="AU49" i="39"/>
  <c r="AF45" i="40"/>
  <c r="BZ30" i="41"/>
  <c r="BC126" i="47"/>
  <c r="BH67" i="36"/>
  <c r="AF9" i="40"/>
  <c r="AH66" i="36"/>
  <c r="AM49" i="41"/>
  <c r="DD48" i="36"/>
  <c r="CP48" i="38"/>
  <c r="CF48" i="41"/>
  <c r="BU75" i="1"/>
  <c r="AP92" i="41"/>
  <c r="AI49" i="39"/>
  <c r="J75" i="39"/>
  <c r="CR12" i="1"/>
  <c r="CV25" i="41"/>
  <c r="BR50" i="26"/>
  <c r="DD66" i="37"/>
  <c r="AW18" i="38"/>
  <c r="CV58" i="25"/>
  <c r="CG50" i="40"/>
  <c r="BQ98" i="39"/>
  <c r="BI59" i="36"/>
  <c r="N13" i="38"/>
  <c r="AN54" i="37"/>
  <c r="CP103" i="26"/>
  <c r="BV57" i="39"/>
  <c r="BQ91" i="1"/>
  <c r="AS89" i="38"/>
  <c r="AH67" i="38"/>
  <c r="CE96" i="26"/>
  <c r="AG61" i="36"/>
  <c r="V57" i="40"/>
  <c r="CI103" i="36"/>
  <c r="AH54" i="25"/>
  <c r="CG34" i="39"/>
  <c r="U10" i="36"/>
  <c r="CK50" i="1"/>
  <c r="BW53" i="1"/>
  <c r="U45" i="41"/>
  <c r="BE65" i="41"/>
  <c r="AQ58" i="41"/>
  <c r="BA102" i="36"/>
  <c r="BR17" i="1"/>
  <c r="CV37" i="36"/>
  <c r="G68" i="64"/>
  <c r="BZ67" i="39"/>
  <c r="W91" i="26"/>
  <c r="AR34" i="41"/>
  <c r="CF98" i="36"/>
  <c r="DF13" i="41"/>
  <c r="U91" i="25"/>
  <c r="AO17" i="37"/>
  <c r="Z71" i="1"/>
  <c r="BS34" i="38"/>
  <c r="T96" i="37"/>
  <c r="DC37" i="36"/>
  <c r="CI62" i="40"/>
  <c r="M29" i="38"/>
  <c r="CC48" i="40"/>
  <c r="DA71" i="41"/>
  <c r="CD103" i="38"/>
  <c r="BI48" i="40"/>
  <c r="AJ50" i="41"/>
  <c r="BY75" i="36"/>
  <c r="CF58" i="39"/>
  <c r="DC98" i="39"/>
  <c r="AQ27" i="37"/>
  <c r="BC57" i="38"/>
  <c r="BB10" i="40"/>
  <c r="BH59" i="36"/>
  <c r="T67" i="36"/>
  <c r="CU61" i="40"/>
  <c r="CU50" i="25"/>
  <c r="AD29" i="38"/>
  <c r="CE67" i="26"/>
  <c r="AE89" i="37"/>
  <c r="AF102" i="26"/>
  <c r="AO30" i="41"/>
  <c r="AG30" i="1"/>
  <c r="AE34" i="25"/>
  <c r="BF98" i="47"/>
  <c r="AM27" i="41"/>
  <c r="CB59" i="41"/>
  <c r="AD71" i="39"/>
  <c r="Z18" i="25"/>
  <c r="CK24" i="26"/>
  <c r="AI12" i="25"/>
  <c r="CM81" i="36"/>
  <c r="CQ53" i="37"/>
  <c r="X61" i="38"/>
  <c r="CX45" i="25"/>
  <c r="BS92" i="37"/>
  <c r="CX79" i="38"/>
  <c r="P58" i="38"/>
  <c r="CH29" i="25"/>
  <c r="DC34" i="38"/>
  <c r="CP48" i="41"/>
  <c r="S24" i="40"/>
  <c r="BR30" i="36"/>
  <c r="CN45" i="39"/>
  <c r="BC65" i="26"/>
  <c r="BR61" i="26"/>
  <c r="P50" i="1"/>
  <c r="CQ53" i="41"/>
  <c r="AC102" i="38"/>
  <c r="BA67" i="1"/>
  <c r="BQ50" i="25"/>
  <c r="U18" i="39"/>
  <c r="BZ60" i="38"/>
  <c r="DB17" i="1"/>
  <c r="BZ61" i="40"/>
  <c r="DE18" i="38"/>
  <c r="BS89" i="1"/>
  <c r="BU13" i="38"/>
  <c r="Z17" i="41"/>
  <c r="CJ65" i="36"/>
  <c r="BT62" i="1"/>
  <c r="AJ59" i="37"/>
  <c r="AZ57" i="36"/>
  <c r="BO96" i="40"/>
  <c r="O96" i="36"/>
  <c r="L56" i="60"/>
  <c r="AR89" i="40"/>
  <c r="AW79" i="41"/>
  <c r="DD81" i="41"/>
  <c r="U66" i="38"/>
  <c r="Y60" i="25"/>
  <c r="CU21" i="25"/>
  <c r="BA91" i="36"/>
  <c r="AB92" i="41"/>
  <c r="N98" i="38"/>
  <c r="CQ66" i="41"/>
  <c r="CR96" i="40"/>
  <c r="CP67" i="39"/>
  <c r="P13" i="1"/>
  <c r="AZ71" i="26"/>
  <c r="X89" i="38"/>
  <c r="F92" i="64"/>
  <c r="U49" i="41"/>
  <c r="CU53" i="39"/>
  <c r="AB79" i="37"/>
  <c r="CS98" i="26"/>
  <c r="DE103" i="1"/>
  <c r="AM92" i="25"/>
  <c r="BQ21" i="40"/>
  <c r="CA9" i="40"/>
  <c r="CQ17" i="38"/>
  <c r="AT30" i="39"/>
  <c r="DC18" i="41"/>
  <c r="CP92" i="38"/>
  <c r="AF17" i="26"/>
  <c r="BX61" i="38"/>
  <c r="AS12" i="39"/>
  <c r="M96" i="40"/>
  <c r="AI30" i="38"/>
  <c r="Y49" i="37"/>
  <c r="AM13" i="1"/>
  <c r="AR102" i="36"/>
  <c r="CV50" i="26"/>
  <c r="CQ24" i="1"/>
  <c r="CQ75" i="39"/>
  <c r="AY59" i="37"/>
  <c r="X26" i="41"/>
  <c r="CS53" i="1"/>
  <c r="CW96" i="37"/>
  <c r="CQ30" i="36"/>
  <c r="AO25" i="37"/>
  <c r="BC50" i="26"/>
  <c r="BW59" i="25"/>
  <c r="CP18" i="39"/>
  <c r="AM50" i="26"/>
  <c r="AM81" i="1"/>
  <c r="K53" i="40"/>
  <c r="BD89" i="36"/>
  <c r="CL27" i="37"/>
  <c r="BS50" i="38"/>
  <c r="AN59" i="37"/>
  <c r="BO26" i="25"/>
  <c r="BR75" i="40"/>
  <c r="BA26" i="37"/>
  <c r="T66" i="38"/>
  <c r="CL29" i="38"/>
  <c r="DB53" i="41"/>
  <c r="L54" i="39"/>
  <c r="CK45" i="26"/>
  <c r="BV18" i="26"/>
  <c r="AT21" i="40"/>
  <c r="DE21" i="26"/>
  <c r="AQ27" i="40"/>
  <c r="AI67" i="41"/>
  <c r="AJ96" i="40"/>
  <c r="AQ21" i="26"/>
  <c r="DB10" i="26"/>
  <c r="H54" i="64"/>
  <c r="CD29" i="40"/>
  <c r="CP61" i="25"/>
  <c r="CC24" i="37"/>
  <c r="E72" i="60"/>
  <c r="CK13" i="25"/>
  <c r="CA34" i="39"/>
  <c r="M45" i="39"/>
  <c r="BR96" i="40"/>
  <c r="DC75" i="25"/>
  <c r="AC37" i="36"/>
  <c r="BX13" i="39"/>
  <c r="CM50" i="39"/>
  <c r="AW18" i="36"/>
  <c r="AN48" i="25"/>
  <c r="BT61" i="25"/>
  <c r="BP98" i="26"/>
  <c r="CM21" i="36"/>
  <c r="CG102" i="41"/>
  <c r="AF30" i="1"/>
  <c r="I62" i="37"/>
  <c r="BV79" i="25"/>
  <c r="DA79" i="1"/>
  <c r="K46" i="59"/>
  <c r="AT50" i="36"/>
  <c r="AX27" i="26"/>
  <c r="BT13" i="37"/>
  <c r="AE91" i="38"/>
  <c r="CI98" i="25"/>
  <c r="AV27" i="39"/>
  <c r="AS17" i="36"/>
  <c r="CF71" i="39"/>
  <c r="BV17" i="39"/>
  <c r="BB75" i="25"/>
  <c r="BB13" i="26"/>
  <c r="AG10" i="26"/>
  <c r="K53" i="59"/>
  <c r="CG18" i="25"/>
  <c r="AQ59" i="38"/>
  <c r="CP81" i="38"/>
  <c r="Z50" i="37"/>
  <c r="BY61" i="26"/>
  <c r="Z91" i="39"/>
  <c r="AJ65" i="37"/>
  <c r="P34" i="36"/>
  <c r="CG96" i="26"/>
  <c r="CU29" i="26"/>
  <c r="P28" i="59"/>
  <c r="K88" i="64"/>
  <c r="AB25" i="25"/>
  <c r="J75" i="40"/>
  <c r="CJ18" i="39"/>
  <c r="CA27" i="26"/>
  <c r="AQ81" i="37"/>
  <c r="AE57" i="40"/>
  <c r="L92" i="37"/>
  <c r="CF91" i="1"/>
  <c r="DA26" i="25"/>
  <c r="W61" i="40"/>
  <c r="AW98" i="36"/>
  <c r="AY18" i="41"/>
  <c r="L71" i="25"/>
  <c r="L46" i="60"/>
  <c r="DA37" i="36"/>
  <c r="BB18" i="37"/>
  <c r="AZ58" i="36"/>
  <c r="CH67" i="40"/>
  <c r="AX54" i="41"/>
  <c r="DF60" i="26"/>
  <c r="AB54" i="38"/>
  <c r="CE49" i="38"/>
  <c r="CL67" i="39"/>
  <c r="CO17" i="1"/>
  <c r="CM18" i="39"/>
  <c r="CY9" i="38"/>
  <c r="AS59" i="40"/>
  <c r="BQ98" i="37"/>
  <c r="CP60" i="40"/>
  <c r="F86" i="64"/>
  <c r="DA45" i="37"/>
  <c r="DC9" i="26"/>
  <c r="AX53" i="41"/>
  <c r="CK54" i="36"/>
  <c r="G17" i="64"/>
  <c r="BH75" i="25"/>
  <c r="AG62" i="36"/>
  <c r="K66" i="46"/>
  <c r="DD92" i="40"/>
  <c r="Z79" i="40"/>
  <c r="O34" i="59"/>
  <c r="CB34" i="1"/>
  <c r="AH25" i="36"/>
  <c r="BB79" i="39"/>
  <c r="AY18" i="40"/>
  <c r="L60" i="41"/>
  <c r="CL71" i="1"/>
  <c r="AC17" i="39"/>
  <c r="CR13" i="41"/>
  <c r="AQ66" i="37"/>
  <c r="BX62" i="25"/>
  <c r="CH29" i="36"/>
  <c r="AW37" i="26"/>
  <c r="CA26" i="40"/>
  <c r="P24" i="1"/>
  <c r="AJ62" i="39"/>
  <c r="DB48" i="39"/>
  <c r="CR89" i="37"/>
  <c r="AZ13" i="25"/>
  <c r="AA29" i="36"/>
  <c r="DA57" i="36"/>
  <c r="AT81" i="38"/>
  <c r="T92" i="1"/>
  <c r="CJ96" i="25"/>
  <c r="BC18" i="41"/>
  <c r="X10" i="1"/>
  <c r="CC66" i="40"/>
  <c r="G90" i="64"/>
  <c r="CQ25" i="25"/>
  <c r="AN17" i="39"/>
  <c r="CH92" i="25"/>
  <c r="AD27" i="1"/>
  <c r="CW79" i="1"/>
  <c r="AE61" i="36"/>
  <c r="CN12" i="37"/>
  <c r="CY59" i="1"/>
  <c r="CY49" i="25"/>
  <c r="N71" i="39"/>
  <c r="L48" i="26"/>
  <c r="E64" i="64"/>
  <c r="BW10" i="39"/>
  <c r="BU54" i="38"/>
  <c r="AQ34" i="25"/>
  <c r="CC13" i="26"/>
  <c r="CP49" i="39"/>
  <c r="H61" i="1"/>
  <c r="O58" i="38"/>
  <c r="CA58" i="26"/>
  <c r="U91" i="40"/>
  <c r="CY103" i="1"/>
  <c r="CP13" i="25"/>
  <c r="DC59" i="41"/>
  <c r="CD34" i="26"/>
  <c r="CP37" i="36"/>
  <c r="CN66" i="40"/>
  <c r="AN27" i="38"/>
  <c r="AF66" i="36"/>
  <c r="BX96" i="40"/>
  <c r="AS75" i="26"/>
  <c r="X61" i="1"/>
  <c r="AY81" i="25"/>
  <c r="AG27" i="36"/>
  <c r="BX12" i="39"/>
  <c r="F52" i="64"/>
  <c r="CA25" i="36"/>
  <c r="AV27" i="36"/>
  <c r="CB61" i="40"/>
  <c r="AE37" i="39"/>
  <c r="CC98" i="40"/>
  <c r="O57" i="40"/>
  <c r="P13" i="38"/>
  <c r="BW18" i="1"/>
  <c r="CS17" i="41"/>
  <c r="Z18" i="38"/>
  <c r="O81" i="37"/>
  <c r="BC49" i="41"/>
  <c r="AJ57" i="38"/>
  <c r="CS34" i="38"/>
  <c r="W25" i="39"/>
  <c r="S59" i="41"/>
  <c r="BV27" i="36"/>
  <c r="CL10" i="37"/>
  <c r="L54" i="38"/>
  <c r="BP50" i="40"/>
  <c r="AP25" i="1"/>
  <c r="CS18" i="39"/>
  <c r="AA96" i="26"/>
  <c r="CZ10" i="41"/>
  <c r="DD53" i="25"/>
  <c r="CS13" i="39"/>
  <c r="BH49" i="40"/>
  <c r="K27" i="37"/>
  <c r="BC48" i="40"/>
  <c r="CZ89" i="25"/>
  <c r="AV30" i="36"/>
  <c r="CQ26" i="1"/>
  <c r="U61" i="40"/>
  <c r="CN59" i="41"/>
  <c r="CY27" i="40"/>
  <c r="Z48" i="1"/>
  <c r="I89" i="37"/>
  <c r="BU79" i="38"/>
  <c r="CQ26" i="26"/>
  <c r="BP75" i="41"/>
  <c r="AI79" i="38"/>
  <c r="AZ62" i="1"/>
  <c r="G49" i="64"/>
  <c r="T45" i="40"/>
  <c r="AZ79" i="37"/>
  <c r="V65" i="39"/>
  <c r="CG58" i="25"/>
  <c r="CK103" i="37"/>
  <c r="AF62" i="1"/>
  <c r="BQ17" i="26"/>
  <c r="CZ59" i="36"/>
  <c r="AI65" i="37"/>
  <c r="BO12" i="39"/>
  <c r="X25" i="38"/>
  <c r="CF34" i="41"/>
  <c r="J50" i="1"/>
  <c r="G57" i="40"/>
  <c r="I25" i="38"/>
  <c r="N37" i="26"/>
  <c r="CD103" i="41"/>
  <c r="N37" i="25"/>
  <c r="BD10" i="38"/>
  <c r="AI65" i="25"/>
  <c r="O67" i="37"/>
  <c r="CE30" i="25"/>
  <c r="CC92" i="40"/>
  <c r="CF27" i="38"/>
  <c r="CN75" i="40"/>
  <c r="DD96" i="25"/>
  <c r="AU71" i="25"/>
  <c r="CC60" i="41"/>
  <c r="CY29" i="36"/>
  <c r="AU59" i="37"/>
  <c r="AW50" i="37"/>
  <c r="BP10" i="41"/>
  <c r="AZ100" i="47"/>
  <c r="BW96" i="38"/>
  <c r="CC92" i="1"/>
  <c r="AR17" i="25"/>
  <c r="N96" i="38"/>
  <c r="BD59" i="41"/>
  <c r="CZ54" i="25"/>
  <c r="AS34" i="37"/>
  <c r="AS50" i="38"/>
  <c r="CV9" i="26"/>
  <c r="CF60" i="36"/>
  <c r="CR12" i="41"/>
  <c r="BV25" i="25"/>
  <c r="BF250" i="47"/>
  <c r="AJ71" i="25"/>
  <c r="Z57" i="39"/>
  <c r="CY75" i="38"/>
  <c r="BI66" i="39"/>
  <c r="CC92" i="39"/>
  <c r="CX18" i="25"/>
  <c r="CK54" i="26"/>
  <c r="CD37" i="40"/>
  <c r="AS59" i="39"/>
  <c r="CM53" i="1"/>
  <c r="BC58" i="41"/>
  <c r="BX79" i="37"/>
  <c r="G13" i="37"/>
  <c r="CV48" i="37"/>
  <c r="BE102" i="37"/>
  <c r="BD81" i="38"/>
  <c r="BS67" i="36"/>
  <c r="AD29" i="25"/>
  <c r="CX29" i="38"/>
  <c r="CS62" i="36"/>
  <c r="CW81" i="40"/>
  <c r="Y59" i="25"/>
  <c r="I36" i="46"/>
  <c r="J51" i="64"/>
  <c r="CT59" i="25"/>
  <c r="CF71" i="25"/>
  <c r="AG18" i="38"/>
  <c r="BI26" i="26"/>
  <c r="O34" i="36"/>
  <c r="Z26" i="1"/>
  <c r="BS18" i="1"/>
  <c r="AZ81" i="39"/>
  <c r="BY18" i="26"/>
  <c r="I60" i="38"/>
  <c r="CI96" i="26"/>
  <c r="AD71" i="41"/>
  <c r="AY67" i="38"/>
  <c r="DB21" i="25"/>
  <c r="DB96" i="36"/>
  <c r="Z71" i="41"/>
  <c r="BE10" i="1"/>
  <c r="AS79" i="1"/>
  <c r="BE30" i="41"/>
  <c r="T60" i="36"/>
  <c r="CX92" i="36"/>
  <c r="BP24" i="26"/>
  <c r="BS9" i="26"/>
  <c r="CE60" i="36"/>
  <c r="DB89" i="36"/>
  <c r="DC10" i="36"/>
  <c r="CV67" i="36"/>
  <c r="M102" i="37"/>
  <c r="CI17" i="25"/>
  <c r="CR59" i="36"/>
  <c r="J88" i="64"/>
  <c r="AH54" i="37"/>
  <c r="AF26" i="40"/>
  <c r="CH17" i="37"/>
  <c r="CC81" i="38"/>
  <c r="CN103" i="37"/>
  <c r="CR92" i="37"/>
  <c r="J26" i="26"/>
  <c r="W18" i="26"/>
  <c r="BO45" i="1"/>
  <c r="CV62" i="1"/>
  <c r="CD61" i="40"/>
  <c r="BU12" i="41"/>
  <c r="CC98" i="25"/>
  <c r="CB54" i="39"/>
  <c r="AP96" i="39"/>
  <c r="S79" i="40"/>
  <c r="AB45" i="40"/>
  <c r="BZ81" i="36"/>
  <c r="DC81" i="40"/>
  <c r="AV92" i="25"/>
  <c r="AG29" i="25"/>
  <c r="DD92" i="39"/>
  <c r="CL34" i="1"/>
  <c r="BX65" i="36"/>
  <c r="AP81" i="41"/>
  <c r="CT10" i="36"/>
  <c r="P50" i="26"/>
  <c r="DA71" i="39"/>
  <c r="H26" i="26"/>
  <c r="BV29" i="25"/>
  <c r="BH49" i="25"/>
  <c r="DA29" i="26"/>
  <c r="CQ21" i="39"/>
  <c r="AN67" i="25"/>
  <c r="DD17" i="41"/>
  <c r="AM37" i="37"/>
  <c r="G40" i="64"/>
  <c r="AE48" i="25"/>
  <c r="AO57" i="41"/>
  <c r="AN61" i="39"/>
  <c r="CK12" i="40"/>
  <c r="AQ96" i="37"/>
  <c r="AM37" i="36"/>
  <c r="CW89" i="1"/>
  <c r="BA105" i="47"/>
  <c r="AP53" i="26"/>
  <c r="CP24" i="37"/>
  <c r="CQ66" i="38"/>
  <c r="AY53" i="41"/>
  <c r="AJ13" i="26"/>
  <c r="P98" i="41"/>
  <c r="AW9" i="36"/>
  <c r="CE49" i="37"/>
  <c r="DA24" i="25"/>
  <c r="CW54" i="1"/>
  <c r="CT71" i="26"/>
  <c r="BW26" i="25"/>
  <c r="CI34" i="37"/>
  <c r="AG81" i="26"/>
  <c r="CV58" i="40"/>
  <c r="CD21" i="36"/>
  <c r="I49" i="60"/>
  <c r="G92" i="1"/>
  <c r="CU53" i="36"/>
  <c r="DB13" i="38"/>
  <c r="G92" i="64"/>
  <c r="BP34" i="36"/>
  <c r="CC53" i="36"/>
  <c r="BC29" i="40"/>
  <c r="BD66" i="26"/>
  <c r="AD30" i="41"/>
  <c r="CH96" i="26"/>
  <c r="CK91" i="41"/>
  <c r="AO81" i="25"/>
  <c r="Z66" i="25"/>
  <c r="T89" i="25"/>
  <c r="CK24" i="39"/>
  <c r="AW65" i="36"/>
  <c r="CW54" i="26"/>
  <c r="DD18" i="38"/>
  <c r="CE30" i="37"/>
  <c r="Z45" i="37"/>
  <c r="X71" i="39"/>
  <c r="CS62" i="26"/>
  <c r="CR79" i="39"/>
  <c r="E90" i="60"/>
  <c r="AU10" i="37"/>
  <c r="CY37" i="36"/>
  <c r="AQ66" i="40"/>
  <c r="BD89" i="40"/>
  <c r="DC24" i="39"/>
  <c r="CW59" i="26"/>
  <c r="DB96" i="38"/>
  <c r="BT59" i="41"/>
  <c r="AM30" i="39"/>
  <c r="CQ62" i="37"/>
  <c r="CD26" i="26"/>
  <c r="K85" i="60"/>
  <c r="AM96" i="37"/>
  <c r="AD30" i="25"/>
  <c r="BG101" i="47"/>
  <c r="DD71" i="40"/>
  <c r="DB9" i="39"/>
  <c r="N98" i="36"/>
  <c r="CM61" i="38"/>
  <c r="DD54" i="1"/>
  <c r="AH58" i="38"/>
  <c r="AQ30" i="1"/>
  <c r="CV91" i="40"/>
  <c r="BO103" i="36"/>
  <c r="BY75" i="25"/>
  <c r="AI37" i="39"/>
  <c r="J18" i="26"/>
  <c r="M10" i="60"/>
  <c r="CS79" i="39"/>
  <c r="BZ24" i="1"/>
  <c r="U92" i="38"/>
  <c r="AA53" i="39"/>
  <c r="DE48" i="36"/>
  <c r="BY65" i="37"/>
  <c r="DA17" i="41"/>
  <c r="BR53" i="38"/>
  <c r="BS30" i="37"/>
  <c r="DD13" i="39"/>
  <c r="AF10" i="37"/>
  <c r="CK49" i="36"/>
  <c r="AI37" i="26"/>
  <c r="AE37" i="40"/>
  <c r="BR65" i="38"/>
  <c r="AM12" i="36"/>
  <c r="DE92" i="36"/>
  <c r="BB65" i="1"/>
  <c r="CU26" i="40"/>
  <c r="BA54" i="26"/>
  <c r="Y27" i="39"/>
  <c r="CR10" i="41"/>
  <c r="CG81" i="26"/>
  <c r="AB25" i="36"/>
  <c r="CF102" i="25"/>
  <c r="L71" i="1"/>
  <c r="E90" i="64"/>
  <c r="AC81" i="38"/>
  <c r="CW30" i="38"/>
  <c r="CJ65" i="41"/>
  <c r="AT26" i="36"/>
  <c r="AZ26" i="40"/>
  <c r="BC67" i="1"/>
  <c r="AI92" i="41"/>
  <c r="AW102" i="38"/>
  <c r="O60" i="36"/>
  <c r="BD92" i="38"/>
  <c r="AS79" i="39"/>
  <c r="L81" i="41"/>
  <c r="N27" i="26"/>
  <c r="AY250" i="47"/>
  <c r="CR66" i="26"/>
  <c r="AY59" i="26"/>
  <c r="CK89" i="38"/>
  <c r="I65" i="36"/>
  <c r="AG17" i="38"/>
  <c r="AR98" i="1"/>
  <c r="BH50" i="25"/>
  <c r="J45" i="41"/>
  <c r="G54" i="1"/>
  <c r="Y34" i="39"/>
  <c r="BR34" i="36"/>
  <c r="DA9" i="40"/>
  <c r="L24" i="40"/>
  <c r="AQ60" i="36"/>
  <c r="AN25" i="26"/>
  <c r="BO71" i="39"/>
  <c r="T50" i="39"/>
  <c r="CM10" i="37"/>
  <c r="BS96" i="40"/>
  <c r="U62" i="40"/>
  <c r="E14" i="60"/>
  <c r="BH48" i="37"/>
  <c r="F86" i="60"/>
  <c r="J48" i="26"/>
  <c r="BX45" i="39"/>
  <c r="CK98" i="40"/>
  <c r="DC58" i="36"/>
  <c r="AD49" i="36"/>
  <c r="AH79" i="1"/>
  <c r="CI24" i="39"/>
  <c r="N96" i="40"/>
  <c r="CW67" i="40"/>
  <c r="DE26" i="26"/>
  <c r="CV9" i="38"/>
  <c r="BA102" i="47"/>
  <c r="CV9" i="41"/>
  <c r="AP61" i="38"/>
  <c r="AY75" i="1"/>
  <c r="CK9" i="38"/>
  <c r="CI53" i="39"/>
  <c r="CT30" i="40"/>
  <c r="CM27" i="1"/>
  <c r="CR27" i="25"/>
  <c r="CD24" i="1"/>
  <c r="X58" i="26"/>
  <c r="BZ61" i="41"/>
  <c r="AO37" i="38"/>
  <c r="CK24" i="36"/>
  <c r="I81" i="41"/>
  <c r="CT26" i="41"/>
  <c r="DE59" i="1"/>
  <c r="DB67" i="36"/>
  <c r="Y91" i="40"/>
  <c r="AS30" i="25"/>
  <c r="AR59" i="1"/>
  <c r="AO50" i="39"/>
  <c r="CX9" i="26"/>
  <c r="CR58" i="26"/>
  <c r="CV66" i="25"/>
  <c r="I102" i="26"/>
  <c r="AD102" i="1"/>
  <c r="AQ26" i="1"/>
  <c r="BC54" i="39"/>
  <c r="CU21" i="38"/>
  <c r="O102" i="37"/>
  <c r="CN61" i="36"/>
  <c r="CB13" i="38"/>
  <c r="T62" i="1"/>
  <c r="AY107" i="47" s="1"/>
  <c r="DF98" i="37"/>
  <c r="AJ26" i="36"/>
  <c r="CL49" i="37"/>
  <c r="AN66" i="1"/>
  <c r="CR65" i="1"/>
  <c r="AZ98" i="38"/>
  <c r="CC81" i="1"/>
  <c r="M69" i="60"/>
  <c r="CC18" i="38"/>
  <c r="CP25" i="39"/>
  <c r="AA65" i="1"/>
  <c r="CW9" i="39"/>
  <c r="DD103" i="37"/>
  <c r="DD96" i="40"/>
  <c r="M10" i="37"/>
  <c r="BB48" i="41"/>
  <c r="AE57" i="38"/>
  <c r="X37" i="36"/>
  <c r="AJ13" i="37"/>
  <c r="CB67" i="26"/>
  <c r="AU79" i="38"/>
  <c r="U30" i="25"/>
  <c r="DB103" i="37"/>
  <c r="AD24" i="37"/>
  <c r="AE89" i="38"/>
  <c r="AD34" i="37"/>
  <c r="X75" i="25"/>
  <c r="CU102" i="1"/>
  <c r="BQ24" i="25"/>
  <c r="BT18" i="25"/>
  <c r="CY50" i="25"/>
  <c r="AX89" i="36"/>
  <c r="BT17" i="39"/>
  <c r="BE247" i="47"/>
  <c r="G87" i="64"/>
  <c r="AI26" i="40"/>
  <c r="CC62" i="26"/>
  <c r="AS96" i="25"/>
  <c r="CK81" i="26"/>
  <c r="CK57" i="38"/>
  <c r="BI18" i="37"/>
  <c r="H47" i="64"/>
  <c r="AZ110" i="47"/>
  <c r="BP29" i="40"/>
  <c r="BY25" i="25"/>
  <c r="J21" i="38"/>
  <c r="AI50" i="39"/>
  <c r="BI27" i="25"/>
  <c r="CV10" i="40"/>
  <c r="BH60" i="38"/>
  <c r="CE58" i="26"/>
  <c r="S92" i="36"/>
  <c r="X50" i="37"/>
  <c r="CF54" i="25"/>
  <c r="AD79" i="26"/>
  <c r="K48" i="25"/>
  <c r="N12" i="41"/>
  <c r="M21" i="39"/>
  <c r="CM9" i="38"/>
  <c r="DA91" i="39"/>
  <c r="CG30" i="25"/>
  <c r="AX58" i="39"/>
  <c r="AH91" i="37"/>
  <c r="J52" i="64"/>
  <c r="CP9" i="37"/>
  <c r="BD75" i="1"/>
  <c r="BC128" i="47"/>
  <c r="CM65" i="40"/>
  <c r="CF81" i="39"/>
  <c r="CG10" i="38"/>
  <c r="H75" i="1"/>
  <c r="AQ21" i="1"/>
  <c r="H50" i="36"/>
  <c r="J59" i="38"/>
  <c r="DE59" i="26"/>
  <c r="S37" i="41"/>
  <c r="DA98" i="38"/>
  <c r="K24" i="25"/>
  <c r="BP25" i="37"/>
  <c r="G52" i="64"/>
  <c r="AF79" i="39"/>
  <c r="CB98" i="26"/>
  <c r="AI92" i="1"/>
  <c r="BD53" i="1"/>
  <c r="AQ48" i="39"/>
  <c r="AM9" i="38"/>
  <c r="AX37" i="41"/>
  <c r="AQ49" i="26"/>
  <c r="L60" i="36"/>
  <c r="CA13" i="41"/>
  <c r="T67" i="41"/>
  <c r="Z12" i="38"/>
  <c r="AM25" i="1"/>
  <c r="CT61" i="36"/>
  <c r="Y98" i="41"/>
  <c r="DE79" i="38"/>
  <c r="CQ91" i="39"/>
  <c r="O50" i="25"/>
  <c r="AN21" i="1"/>
  <c r="AB96" i="1"/>
  <c r="AD9" i="40"/>
  <c r="BD100" i="47"/>
  <c r="P49" i="41"/>
  <c r="AT66" i="38"/>
  <c r="AO65" i="1"/>
  <c r="BS71" i="40"/>
  <c r="DA12" i="41"/>
  <c r="BW50" i="41"/>
  <c r="AU27" i="39"/>
  <c r="CP102" i="1"/>
  <c r="CP62" i="38"/>
  <c r="CS34" i="39"/>
  <c r="AP10" i="37"/>
  <c r="AS66" i="39"/>
  <c r="M87" i="64"/>
  <c r="BX81" i="39"/>
  <c r="AP61" i="36"/>
  <c r="AI26" i="36"/>
  <c r="BQ75" i="40"/>
  <c r="N71" i="40"/>
  <c r="BH102" i="36"/>
  <c r="BA25" i="40"/>
  <c r="G61" i="26"/>
  <c r="F95" i="64"/>
  <c r="BY98" i="37"/>
  <c r="AO17" i="41"/>
  <c r="CU81" i="41"/>
  <c r="CW59" i="39"/>
  <c r="K51" i="59"/>
  <c r="AR98" i="37"/>
  <c r="BT13" i="1"/>
  <c r="N75" i="39"/>
  <c r="BY75" i="40"/>
  <c r="AM81" i="40"/>
  <c r="BV37" i="39"/>
  <c r="CI89" i="25"/>
  <c r="G93" i="64"/>
  <c r="BO26" i="40"/>
  <c r="CV89" i="40"/>
  <c r="E78" i="60"/>
  <c r="BX18" i="26"/>
  <c r="AQ62" i="1"/>
  <c r="BW57" i="26"/>
  <c r="AM10" i="39"/>
  <c r="BY48" i="38"/>
  <c r="CZ24" i="41"/>
  <c r="AH89" i="25"/>
  <c r="CE62" i="26"/>
  <c r="I95" i="64"/>
  <c r="I76" i="60"/>
  <c r="BY9" i="36"/>
  <c r="X65" i="36"/>
  <c r="AE81" i="37"/>
  <c r="L88" i="64"/>
  <c r="G55" i="64"/>
  <c r="J95" i="64"/>
  <c r="K95" i="64"/>
  <c r="BF107" i="47"/>
  <c r="BF104" i="47"/>
  <c r="BA107" i="47"/>
  <c r="K50" i="64"/>
  <c r="BC105" i="47"/>
  <c r="F88" i="64"/>
  <c r="AZ98" i="47"/>
  <c r="E54" i="64"/>
  <c r="BA110" i="47"/>
  <c r="M88" i="64"/>
  <c r="BF101" i="47"/>
  <c r="L48" i="64"/>
  <c r="I40" i="64"/>
  <c r="BC98" i="47"/>
  <c r="I87" i="64"/>
  <c r="J53" i="64"/>
  <c r="BD106" i="47"/>
  <c r="BD233" i="47"/>
  <c r="E50" i="64"/>
  <c r="AY103" i="47"/>
  <c r="I90" i="64"/>
  <c r="F55" i="64"/>
  <c r="X68" i="36" l="1"/>
  <c r="BY11" i="36"/>
  <c r="AH93" i="25"/>
  <c r="BY51" i="38"/>
  <c r="BF10" i="39"/>
  <c r="BW63" i="26"/>
  <c r="CV93" i="40"/>
  <c r="BO28" i="40"/>
  <c r="DH26" i="40"/>
  <c r="CI93" i="25"/>
  <c r="BV38" i="39"/>
  <c r="BF81" i="40"/>
  <c r="BY76" i="40"/>
  <c r="N76" i="39"/>
  <c r="AO19" i="41"/>
  <c r="Q61" i="26"/>
  <c r="BH104" i="36"/>
  <c r="N72" i="40"/>
  <c r="BQ76" i="40"/>
  <c r="AI28" i="36"/>
  <c r="CS35" i="39"/>
  <c r="CP104" i="1"/>
  <c r="DA14" i="41"/>
  <c r="BS72" i="40"/>
  <c r="AO68" i="1"/>
  <c r="AD11" i="40"/>
  <c r="AB99" i="1"/>
  <c r="AN22" i="1"/>
  <c r="DE82" i="38"/>
  <c r="BF25" i="1"/>
  <c r="Z14" i="38"/>
  <c r="AX38" i="41"/>
  <c r="AM11" i="38"/>
  <c r="AQ51" i="39"/>
  <c r="BD55" i="1"/>
  <c r="AF82" i="39"/>
  <c r="S38" i="41"/>
  <c r="AK37" i="41"/>
  <c r="AQ22" i="1"/>
  <c r="H76" i="1"/>
  <c r="CM68" i="40"/>
  <c r="BD76" i="1"/>
  <c r="CP11" i="37"/>
  <c r="CM11" i="38"/>
  <c r="M22" i="39"/>
  <c r="N14" i="41"/>
  <c r="K51" i="25"/>
  <c r="AD82" i="26"/>
  <c r="BJ60" i="38"/>
  <c r="J22" i="38"/>
  <c r="BP31" i="40"/>
  <c r="CK63" i="38"/>
  <c r="AS99" i="25"/>
  <c r="AI28" i="40"/>
  <c r="BT19" i="39"/>
  <c r="AX93" i="36"/>
  <c r="CU104" i="1"/>
  <c r="X76" i="25"/>
  <c r="AD35" i="37"/>
  <c r="AE93" i="38"/>
  <c r="AU82" i="38"/>
  <c r="X38" i="36"/>
  <c r="AE63" i="38"/>
  <c r="BB51" i="41"/>
  <c r="DD99" i="40"/>
  <c r="CW11" i="39"/>
  <c r="AA68" i="1"/>
  <c r="CR68" i="1"/>
  <c r="AJ28" i="36"/>
  <c r="O104" i="37"/>
  <c r="CU22" i="38"/>
  <c r="AQ28" i="1"/>
  <c r="AD104" i="1"/>
  <c r="I104" i="26"/>
  <c r="CX11" i="26"/>
  <c r="CT28" i="41"/>
  <c r="AO38" i="38"/>
  <c r="CI55" i="39"/>
  <c r="CK11" i="38"/>
  <c r="AY76" i="1"/>
  <c r="CV11" i="41"/>
  <c r="BA109" i="47"/>
  <c r="CV11" i="38"/>
  <c r="DE28" i="26"/>
  <c r="N99" i="40"/>
  <c r="AH82" i="1"/>
  <c r="BX46" i="39"/>
  <c r="J51" i="26"/>
  <c r="BJ48" i="37"/>
  <c r="BH51" i="37"/>
  <c r="S6" i="60"/>
  <c r="BS99" i="40"/>
  <c r="BO72" i="39"/>
  <c r="DH71" i="39"/>
  <c r="DA11" i="40"/>
  <c r="BR35" i="36"/>
  <c r="Y35" i="39"/>
  <c r="Q54" i="1"/>
  <c r="J46" i="41"/>
  <c r="BJ50" i="25"/>
  <c r="AG19" i="38"/>
  <c r="I68" i="36"/>
  <c r="CK93" i="38"/>
  <c r="AS82" i="39"/>
  <c r="AW104" i="38"/>
  <c r="AZ28" i="40"/>
  <c r="AT28" i="36"/>
  <c r="CJ68" i="41"/>
  <c r="L72" i="1"/>
  <c r="CF104" i="25"/>
  <c r="CU28" i="40"/>
  <c r="BB68" i="1"/>
  <c r="BF12" i="36"/>
  <c r="AM14" i="36"/>
  <c r="BR68" i="38"/>
  <c r="AE38" i="40"/>
  <c r="AI38" i="26"/>
  <c r="BR55" i="38"/>
  <c r="DA19" i="41"/>
  <c r="BY68" i="37"/>
  <c r="DE51" i="36"/>
  <c r="AA55" i="39"/>
  <c r="CS82" i="39"/>
  <c r="AA21" i="60"/>
  <c r="AI38" i="39"/>
  <c r="BY76" i="25"/>
  <c r="DH103" i="36"/>
  <c r="DB11" i="39"/>
  <c r="DD72" i="40"/>
  <c r="BF96" i="37"/>
  <c r="AM99" i="37"/>
  <c r="CD28" i="26"/>
  <c r="BF30" i="39"/>
  <c r="DB99" i="38"/>
  <c r="BD93" i="40"/>
  <c r="CY38" i="36"/>
  <c r="AD37" i="60"/>
  <c r="CR82" i="39"/>
  <c r="X72" i="39"/>
  <c r="Z46" i="37"/>
  <c r="AW68" i="36"/>
  <c r="CH99" i="26"/>
  <c r="BC31" i="40"/>
  <c r="CC55" i="36"/>
  <c r="BP35" i="36"/>
  <c r="CU55" i="36"/>
  <c r="Q92" i="1"/>
  <c r="W28" i="60"/>
  <c r="CD22" i="36"/>
  <c r="CI35" i="37"/>
  <c r="BW28" i="25"/>
  <c r="CT72" i="26"/>
  <c r="AW11" i="36"/>
  <c r="AY55" i="41"/>
  <c r="AP55" i="26"/>
  <c r="CW93" i="1"/>
  <c r="BF37" i="36"/>
  <c r="AM38" i="36"/>
  <c r="AQ99" i="37"/>
  <c r="CK14" i="40"/>
  <c r="AO63" i="41"/>
  <c r="AE51" i="25"/>
  <c r="AM38" i="37"/>
  <c r="BF37" i="37"/>
  <c r="DD19" i="41"/>
  <c r="CQ22" i="39"/>
  <c r="DA31" i="26"/>
  <c r="BJ49" i="25"/>
  <c r="BV31" i="25"/>
  <c r="H28" i="26"/>
  <c r="DA72" i="39"/>
  <c r="BX68" i="36"/>
  <c r="CL35" i="1"/>
  <c r="AG31" i="25"/>
  <c r="AB46" i="40"/>
  <c r="AK79" i="40"/>
  <c r="S82" i="40"/>
  <c r="BU14" i="41"/>
  <c r="BO46" i="1"/>
  <c r="J28" i="26"/>
  <c r="CH19" i="37"/>
  <c r="AF28" i="40"/>
  <c r="CI19" i="25"/>
  <c r="M104" i="37"/>
  <c r="DB93" i="36"/>
  <c r="BS11" i="26"/>
  <c r="AS82" i="1"/>
  <c r="Z72" i="41"/>
  <c r="DB99" i="36"/>
  <c r="DB22" i="25"/>
  <c r="AD72" i="41"/>
  <c r="CI99" i="26"/>
  <c r="Z28" i="1"/>
  <c r="O35" i="36"/>
  <c r="BI28" i="26"/>
  <c r="CF72" i="25"/>
  <c r="I278" i="46"/>
  <c r="CX31" i="38"/>
  <c r="AD31" i="25"/>
  <c r="BE104" i="37"/>
  <c r="CV51" i="37"/>
  <c r="Q13" i="37"/>
  <c r="BX82" i="37"/>
  <c r="CM55" i="1"/>
  <c r="CD38" i="40"/>
  <c r="CY76" i="38"/>
  <c r="Z63" i="39"/>
  <c r="AJ72" i="25"/>
  <c r="CR14" i="41"/>
  <c r="CV11" i="26"/>
  <c r="AS35" i="37"/>
  <c r="N99" i="38"/>
  <c r="AR19" i="25"/>
  <c r="BW99" i="38"/>
  <c r="CY31" i="36"/>
  <c r="AU72" i="25"/>
  <c r="DD99" i="25"/>
  <c r="CN76" i="40"/>
  <c r="AI68" i="25"/>
  <c r="N38" i="25"/>
  <c r="N38" i="26"/>
  <c r="Q57" i="40"/>
  <c r="G63" i="40"/>
  <c r="CF35" i="41"/>
  <c r="BO14" i="39"/>
  <c r="AI68" i="37"/>
  <c r="BQ19" i="26"/>
  <c r="V68" i="39"/>
  <c r="AZ82" i="37"/>
  <c r="T46" i="40"/>
  <c r="AI82" i="38"/>
  <c r="BP76" i="41"/>
  <c r="CQ28" i="26"/>
  <c r="BU82" i="38"/>
  <c r="I93" i="37"/>
  <c r="Z51" i="1"/>
  <c r="CQ28" i="1"/>
  <c r="CZ93" i="25"/>
  <c r="BC51" i="40"/>
  <c r="BJ49" i="40"/>
  <c r="DD55" i="25"/>
  <c r="AA99" i="26"/>
  <c r="AK59" i="41"/>
  <c r="CS35" i="38"/>
  <c r="AJ63" i="38"/>
  <c r="CS19" i="41"/>
  <c r="O63" i="40"/>
  <c r="AE38" i="39"/>
  <c r="BX14" i="39"/>
  <c r="AS76" i="26"/>
  <c r="BX99" i="40"/>
  <c r="CP38" i="36"/>
  <c r="CD35" i="26"/>
  <c r="AQ35" i="25"/>
  <c r="L51" i="26"/>
  <c r="N72" i="39"/>
  <c r="CN14" i="37"/>
  <c r="CW82" i="1"/>
  <c r="AN19" i="39"/>
  <c r="CJ99" i="25"/>
  <c r="DA63" i="36"/>
  <c r="AA31" i="36"/>
  <c r="CR93" i="37"/>
  <c r="DB51" i="39"/>
  <c r="CA28" i="40"/>
  <c r="AW38" i="26"/>
  <c r="CH31" i="36"/>
  <c r="AC19" i="39"/>
  <c r="CL72" i="1"/>
  <c r="BB82" i="39"/>
  <c r="CB35" i="1"/>
  <c r="Z82" i="40"/>
  <c r="K68" i="46"/>
  <c r="BH76" i="25"/>
  <c r="BJ75" i="25"/>
  <c r="AX55" i="41"/>
  <c r="DC11" i="26"/>
  <c r="DA46" i="37"/>
  <c r="CY11" i="38"/>
  <c r="CO19" i="1"/>
  <c r="DA38" i="36"/>
  <c r="Z53" i="60"/>
  <c r="L72" i="25"/>
  <c r="DA28" i="25"/>
  <c r="AE63" i="40"/>
  <c r="J76" i="40"/>
  <c r="CU31" i="26"/>
  <c r="CG99" i="26"/>
  <c r="P35" i="36"/>
  <c r="AJ68" i="37"/>
  <c r="BB76" i="25"/>
  <c r="BV19" i="39"/>
  <c r="CF72" i="39"/>
  <c r="AS19" i="36"/>
  <c r="DA82" i="1"/>
  <c r="BV82" i="25"/>
  <c r="CG104" i="41"/>
  <c r="CM22" i="36"/>
  <c r="AN51" i="25"/>
  <c r="AC38" i="36"/>
  <c r="DC76" i="25"/>
  <c r="BR99" i="40"/>
  <c r="M46" i="39"/>
  <c r="CA35" i="39"/>
  <c r="CD31" i="40"/>
  <c r="AQ22" i="26"/>
  <c r="AJ99" i="40"/>
  <c r="DE22" i="26"/>
  <c r="AT22" i="40"/>
  <c r="CK46" i="26"/>
  <c r="DB55" i="41"/>
  <c r="CL31" i="38"/>
  <c r="BA28" i="37"/>
  <c r="BR76" i="40"/>
  <c r="BO28" i="25"/>
  <c r="DH26" i="25"/>
  <c r="BD93" i="36"/>
  <c r="K55" i="40"/>
  <c r="BF81" i="1"/>
  <c r="BF50" i="26"/>
  <c r="CW99" i="37"/>
  <c r="CS55" i="1"/>
  <c r="X28" i="41"/>
  <c r="CQ76" i="39"/>
  <c r="AR104" i="36"/>
  <c r="BF13" i="1"/>
  <c r="M99" i="40"/>
  <c r="AS14" i="39"/>
  <c r="AF19" i="26"/>
  <c r="CQ19" i="38"/>
  <c r="CA11" i="40"/>
  <c r="BQ22" i="40"/>
  <c r="BF92" i="25"/>
  <c r="AB82" i="37"/>
  <c r="CU55" i="39"/>
  <c r="X93" i="38"/>
  <c r="AZ72" i="26"/>
  <c r="CR99" i="40"/>
  <c r="CU22" i="25"/>
  <c r="AW82" i="41"/>
  <c r="AR93" i="40"/>
  <c r="Z50" i="60"/>
  <c r="O99" i="36"/>
  <c r="BO99" i="40"/>
  <c r="AZ63" i="36"/>
  <c r="CJ68" i="36"/>
  <c r="Z19" i="41"/>
  <c r="BS93" i="1"/>
  <c r="DB19" i="1"/>
  <c r="AC104" i="38"/>
  <c r="CQ55" i="41"/>
  <c r="BC68" i="26"/>
  <c r="CN46" i="39"/>
  <c r="AK24" i="40"/>
  <c r="CP51" i="41"/>
  <c r="DC35" i="38"/>
  <c r="CH31" i="25"/>
  <c r="CX82" i="38"/>
  <c r="CX46" i="25"/>
  <c r="CQ55" i="37"/>
  <c r="AI14" i="25"/>
  <c r="AD72" i="39"/>
  <c r="BF27" i="41"/>
  <c r="AE35" i="25"/>
  <c r="AF104" i="26"/>
  <c r="AE93" i="37"/>
  <c r="AD31" i="38"/>
  <c r="BJ59" i="36"/>
  <c r="BC63" i="38"/>
  <c r="BY76" i="36"/>
  <c r="BI51" i="40"/>
  <c r="DA72" i="41"/>
  <c r="CC51" i="40"/>
  <c r="M31" i="38"/>
  <c r="DC38" i="36"/>
  <c r="T99" i="37"/>
  <c r="BS35" i="38"/>
  <c r="Z72" i="1"/>
  <c r="AO19" i="37"/>
  <c r="AR35" i="41"/>
  <c r="CV38" i="36"/>
  <c r="BR19" i="1"/>
  <c r="BA104" i="36"/>
  <c r="BE68" i="41"/>
  <c r="U46" i="41"/>
  <c r="BW55" i="1"/>
  <c r="CG35" i="39"/>
  <c r="V63" i="40"/>
  <c r="CE99" i="26"/>
  <c r="AS93" i="38"/>
  <c r="BV63" i="39"/>
  <c r="CR14" i="1"/>
  <c r="J76" i="39"/>
  <c r="BU76" i="1"/>
  <c r="CF51" i="41"/>
  <c r="CP51" i="38"/>
  <c r="DD51" i="36"/>
  <c r="BF49" i="41"/>
  <c r="AF11" i="40"/>
  <c r="BJ67" i="36"/>
  <c r="AF46" i="40"/>
  <c r="CX99" i="37"/>
  <c r="CP22" i="36"/>
  <c r="J279" i="46"/>
  <c r="BA76" i="25"/>
  <c r="AP93" i="37"/>
  <c r="AG46" i="36"/>
  <c r="BI19" i="25"/>
  <c r="DD76" i="38"/>
  <c r="V42" i="60"/>
  <c r="AA42" i="60"/>
  <c r="AM35" i="26"/>
  <c r="BF34" i="26"/>
  <c r="P72" i="26"/>
  <c r="N99" i="1"/>
  <c r="M82" i="39"/>
  <c r="CW38" i="36"/>
  <c r="U93" i="40"/>
  <c r="BC35" i="36"/>
  <c r="DD63" i="41"/>
  <c r="AE104" i="39"/>
  <c r="CG28" i="1"/>
  <c r="L31" i="39"/>
  <c r="AE35" i="40"/>
  <c r="AN51" i="40"/>
  <c r="V68" i="40"/>
  <c r="CF14" i="36"/>
  <c r="CU35" i="41"/>
  <c r="AE14" i="36"/>
  <c r="BO31" i="25"/>
  <c r="DH29" i="25"/>
  <c r="BS93" i="25"/>
  <c r="BA28" i="26"/>
  <c r="CT93" i="40"/>
  <c r="AY104" i="38"/>
  <c r="CG55" i="26"/>
  <c r="CO19" i="37"/>
  <c r="DB93" i="25"/>
  <c r="BE109" i="47"/>
  <c r="BX68" i="25"/>
  <c r="BY22" i="25"/>
  <c r="BR93" i="26"/>
  <c r="Q67" i="36"/>
  <c r="T19" i="39"/>
  <c r="AE28" i="39"/>
  <c r="J758" i="4"/>
  <c r="AH22" i="25"/>
  <c r="CR35" i="39"/>
  <c r="BR76" i="41"/>
  <c r="CQ35" i="39"/>
  <c r="CT63" i="40"/>
  <c r="N35" i="38"/>
  <c r="DD38" i="41"/>
  <c r="CP11" i="36"/>
  <c r="X63" i="26"/>
  <c r="BR82" i="41"/>
  <c r="DB68" i="38"/>
  <c r="CP55" i="41"/>
  <c r="K38" i="39"/>
  <c r="AY63" i="26"/>
  <c r="H28" i="1"/>
  <c r="CP46" i="26"/>
  <c r="AH104" i="1"/>
  <c r="CY28" i="38"/>
  <c r="AM22" i="38"/>
  <c r="BF21" i="38"/>
  <c r="AC63" i="26"/>
  <c r="DE55" i="37"/>
  <c r="CH99" i="25"/>
  <c r="CD38" i="41"/>
  <c r="S99" i="36"/>
  <c r="CI82" i="25"/>
  <c r="P46" i="26"/>
  <c r="AY11" i="39"/>
  <c r="CF31" i="40"/>
  <c r="CG68" i="25"/>
  <c r="CK19" i="41"/>
  <c r="AQ51" i="26"/>
  <c r="G290" i="46"/>
  <c r="G301" i="46" s="1"/>
  <c r="AC11" i="38"/>
  <c r="BJ66" i="1"/>
  <c r="I68" i="41"/>
  <c r="J68" i="26"/>
  <c r="CD63" i="41"/>
  <c r="AA55" i="1"/>
  <c r="P38" i="39"/>
  <c r="BI72" i="40"/>
  <c r="BD19" i="37"/>
  <c r="P38" i="36"/>
  <c r="O99" i="41"/>
  <c r="V38" i="37"/>
  <c r="AG104" i="41"/>
  <c r="DF14" i="41"/>
  <c r="CL55" i="36"/>
  <c r="AW51" i="26"/>
  <c r="O68" i="25"/>
  <c r="CZ35" i="36"/>
  <c r="CM63" i="25"/>
  <c r="AJ72" i="41"/>
  <c r="CR76" i="38"/>
  <c r="CU38" i="1"/>
  <c r="AP104" i="38"/>
  <c r="CE55" i="1"/>
  <c r="AG76" i="36"/>
  <c r="AO104" i="1"/>
  <c r="AM51" i="1"/>
  <c r="BF48" i="1"/>
  <c r="AA31" i="38"/>
  <c r="CG82" i="41"/>
  <c r="O46" i="38"/>
  <c r="P99" i="36"/>
  <c r="J31" i="41"/>
  <c r="AA31" i="41"/>
  <c r="BI38" i="25"/>
  <c r="CB11" i="25"/>
  <c r="CL104" i="36"/>
  <c r="BW11" i="37"/>
  <c r="CJ63" i="38"/>
  <c r="CQ46" i="39"/>
  <c r="CK46" i="40"/>
  <c r="P99" i="25"/>
  <c r="CO28" i="25"/>
  <c r="DH34" i="39"/>
  <c r="BO35" i="39"/>
  <c r="M93" i="36"/>
  <c r="CB72" i="38"/>
  <c r="P35" i="38"/>
  <c r="AY63" i="39"/>
  <c r="BW11" i="36"/>
  <c r="I104" i="37"/>
  <c r="J19" i="1"/>
  <c r="AU31" i="26"/>
  <c r="DH58" i="39"/>
  <c r="L35" i="26"/>
  <c r="BY38" i="25"/>
  <c r="AQ14" i="25"/>
  <c r="CJ22" i="38"/>
  <c r="AG63" i="1"/>
  <c r="CN63" i="37"/>
  <c r="I76" i="1"/>
  <c r="CH99" i="36"/>
  <c r="AV104" i="37"/>
  <c r="BX104" i="25"/>
  <c r="N38" i="36"/>
  <c r="AN93" i="1"/>
  <c r="CB46" i="1"/>
  <c r="AU35" i="25"/>
  <c r="BF54" i="1"/>
  <c r="DA14" i="38"/>
  <c r="DH25" i="41"/>
  <c r="BB46" i="38"/>
  <c r="L14" i="25"/>
  <c r="CI28" i="26"/>
  <c r="AA99" i="39"/>
  <c r="AH93" i="37"/>
  <c r="CD51" i="25"/>
  <c r="CI31" i="37"/>
  <c r="CL19" i="25"/>
  <c r="CG46" i="38"/>
  <c r="DF63" i="25"/>
  <c r="AO55" i="39"/>
  <c r="CI46" i="38"/>
  <c r="CX28" i="36"/>
  <c r="CE14" i="37"/>
  <c r="CJ93" i="41"/>
  <c r="DE22" i="40"/>
  <c r="AH68" i="25"/>
  <c r="I46" i="38"/>
  <c r="BP19" i="39"/>
  <c r="CA82" i="41"/>
  <c r="AT68" i="37"/>
  <c r="BX68" i="37"/>
  <c r="CY38" i="25"/>
  <c r="BZ46" i="1"/>
  <c r="CY35" i="40"/>
  <c r="BU38" i="38"/>
  <c r="K72" i="1"/>
  <c r="BS99" i="38"/>
  <c r="BR28" i="41"/>
  <c r="CE82" i="38"/>
  <c r="AH31" i="25"/>
  <c r="DB104" i="38"/>
  <c r="DF35" i="41"/>
  <c r="S76" i="37"/>
  <c r="AK75" i="37"/>
  <c r="BI76" i="37"/>
  <c r="AP35" i="26"/>
  <c r="BF57" i="38"/>
  <c r="AM63" i="38"/>
  <c r="CG72" i="39"/>
  <c r="AR35" i="40"/>
  <c r="AW68" i="25"/>
  <c r="CR93" i="39"/>
  <c r="U38" i="26"/>
  <c r="AZ63" i="1"/>
  <c r="AA68" i="40"/>
  <c r="AN99" i="39"/>
  <c r="AM63" i="37"/>
  <c r="BF57" i="37"/>
  <c r="AX22" i="1"/>
  <c r="X63" i="37"/>
  <c r="AY63" i="1"/>
  <c r="M31" i="39"/>
  <c r="J14" i="37"/>
  <c r="CJ93" i="37"/>
  <c r="CY31" i="26"/>
  <c r="M35" i="39"/>
  <c r="CN11" i="41"/>
  <c r="BH68" i="38"/>
  <c r="BJ65" i="38"/>
  <c r="Q18" i="26"/>
  <c r="AZ11" i="38"/>
  <c r="CM35" i="38"/>
  <c r="AD14" i="37"/>
  <c r="CM82" i="36"/>
  <c r="BF59" i="37"/>
  <c r="AF82" i="38"/>
  <c r="CC76" i="36"/>
  <c r="CP72" i="41"/>
  <c r="CQ38" i="37"/>
  <c r="BE22" i="41"/>
  <c r="AE22" i="41"/>
  <c r="CT19" i="36"/>
  <c r="BC38" i="40"/>
  <c r="CP46" i="36"/>
  <c r="CN31" i="40"/>
  <c r="N63" i="25"/>
  <c r="CQ28" i="36"/>
  <c r="AF16" i="60"/>
  <c r="DF14" i="39"/>
  <c r="AZ28" i="39"/>
  <c r="AD63" i="37"/>
  <c r="Q58" i="41"/>
  <c r="CJ31" i="25"/>
  <c r="AW11" i="41"/>
  <c r="BR46" i="25"/>
  <c r="CT35" i="41"/>
  <c r="X35" i="25"/>
  <c r="Q54" i="39"/>
  <c r="AH51" i="41"/>
  <c r="AY51" i="26"/>
  <c r="CZ46" i="37"/>
  <c r="I35" i="37"/>
  <c r="CH35" i="38"/>
  <c r="DH30" i="25"/>
  <c r="AZ31" i="39"/>
  <c r="BU72" i="1"/>
  <c r="BH31" i="25"/>
  <c r="BJ29" i="25"/>
  <c r="AA99" i="36"/>
  <c r="DE76" i="39"/>
  <c r="AQ46" i="37"/>
  <c r="V72" i="38"/>
  <c r="AH72" i="39"/>
  <c r="CR63" i="38"/>
  <c r="AG31" i="1"/>
  <c r="CT76" i="40"/>
  <c r="CZ99" i="39"/>
  <c r="CM28" i="26"/>
  <c r="N46" i="26"/>
  <c r="BT93" i="37"/>
  <c r="CI11" i="26"/>
  <c r="AV19" i="25"/>
  <c r="BR22" i="26"/>
  <c r="AG68" i="41"/>
  <c r="CI93" i="37"/>
  <c r="AN22" i="40"/>
  <c r="K14" i="39"/>
  <c r="AQ46" i="39"/>
  <c r="O76" i="1"/>
  <c r="L68" i="37"/>
  <c r="AU72" i="40"/>
  <c r="W72" i="38"/>
  <c r="DH18" i="39"/>
  <c r="BF24" i="36"/>
  <c r="BQ31" i="25"/>
  <c r="CK55" i="40"/>
  <c r="BA68" i="26"/>
  <c r="AY11" i="36"/>
  <c r="CQ51" i="36"/>
  <c r="AJ76" i="40"/>
  <c r="AP76" i="1"/>
  <c r="BU76" i="38"/>
  <c r="CE51" i="37"/>
  <c r="BC63" i="26"/>
  <c r="CI51" i="1"/>
  <c r="BW19" i="25"/>
  <c r="CA82" i="26"/>
  <c r="CE28" i="25"/>
  <c r="Y14" i="26"/>
  <c r="CB55" i="38"/>
  <c r="V68" i="25"/>
  <c r="CL38" i="26"/>
  <c r="AA93" i="41"/>
  <c r="H46" i="37"/>
  <c r="BP51" i="1"/>
  <c r="M35" i="1"/>
  <c r="CP72" i="26"/>
  <c r="BU55" i="40"/>
  <c r="CC55" i="41"/>
  <c r="AP63" i="41"/>
  <c r="DD68" i="25"/>
  <c r="BB99" i="1"/>
  <c r="W31" i="39"/>
  <c r="CM55" i="26"/>
  <c r="J28" i="37"/>
  <c r="M82" i="40"/>
  <c r="N46" i="25"/>
  <c r="BS63" i="37"/>
  <c r="BY51" i="25"/>
  <c r="CK82" i="40"/>
  <c r="AH104" i="25"/>
  <c r="AK18" i="38"/>
  <c r="S99" i="37"/>
  <c r="BP38" i="37"/>
  <c r="BD55" i="36"/>
  <c r="BE82" i="41"/>
  <c r="AI16" i="60"/>
  <c r="BA46" i="1"/>
  <c r="CX14" i="26"/>
  <c r="CX15" i="26" s="1"/>
  <c r="AE38" i="37"/>
  <c r="X76" i="40"/>
  <c r="AT38" i="39"/>
  <c r="CA22" i="37"/>
  <c r="AG22" i="1"/>
  <c r="AN99" i="36"/>
  <c r="DE63" i="39"/>
  <c r="CU68" i="36"/>
  <c r="AF104" i="1"/>
  <c r="Y22" i="41"/>
  <c r="BD99" i="36"/>
  <c r="CE51" i="26"/>
  <c r="CB68" i="41"/>
  <c r="CO31" i="39"/>
  <c r="CG11" i="26"/>
  <c r="CZ104" i="1"/>
  <c r="AN104" i="38"/>
  <c r="AF14" i="41"/>
  <c r="S43" i="60"/>
  <c r="CN104" i="1"/>
  <c r="AP63" i="26"/>
  <c r="M22" i="41"/>
  <c r="CP76" i="37"/>
  <c r="DB19" i="40"/>
  <c r="X22" i="38"/>
  <c r="DE55" i="41"/>
  <c r="CM63" i="40"/>
  <c r="X55" i="38"/>
  <c r="AD46" i="38"/>
  <c r="M76" i="36"/>
  <c r="AY63" i="38"/>
  <c r="DD28" i="25"/>
  <c r="DE11" i="41"/>
  <c r="CN31" i="36"/>
  <c r="P14" i="40"/>
  <c r="DB72" i="36"/>
  <c r="BY28" i="37"/>
  <c r="G46" i="25"/>
  <c r="Q45" i="25"/>
  <c r="DE46" i="1"/>
  <c r="BF89" i="41"/>
  <c r="AM93" i="41"/>
  <c r="BA19" i="36"/>
  <c r="BT93" i="41"/>
  <c r="BR51" i="38"/>
  <c r="DC63" i="38"/>
  <c r="T19" i="41"/>
  <c r="BC104" i="26"/>
  <c r="CV72" i="37"/>
  <c r="CY46" i="25"/>
  <c r="Y63" i="26"/>
  <c r="AR31" i="37"/>
  <c r="DF28" i="40"/>
  <c r="DE76" i="38"/>
  <c r="CR82" i="26"/>
  <c r="W56" i="60"/>
  <c r="Q91" i="25"/>
  <c r="H51" i="25"/>
  <c r="BJ49" i="36"/>
  <c r="CV72" i="41"/>
  <c r="AW99" i="36"/>
  <c r="BR19" i="25"/>
  <c r="AT28" i="38"/>
  <c r="AR93" i="36"/>
  <c r="CP55" i="36"/>
  <c r="CO68" i="25"/>
  <c r="V35" i="38"/>
  <c r="BE31" i="36"/>
  <c r="P46" i="25"/>
  <c r="H104" i="39"/>
  <c r="BY63" i="40"/>
  <c r="CK104" i="26"/>
  <c r="CN55" i="36"/>
  <c r="AA72" i="26"/>
  <c r="CD55" i="25"/>
  <c r="CR82" i="41"/>
  <c r="BF21" i="39"/>
  <c r="AM22" i="39"/>
  <c r="BV63" i="26"/>
  <c r="AF22" i="40"/>
  <c r="CN46" i="36"/>
  <c r="AS46" i="40"/>
  <c r="AY51" i="41"/>
  <c r="CM14" i="39"/>
  <c r="CF35" i="39"/>
  <c r="AI33" i="60"/>
  <c r="BU93" i="40"/>
  <c r="CV51" i="25"/>
  <c r="CZ82" i="37"/>
  <c r="AO19" i="38"/>
  <c r="CQ63" i="36"/>
  <c r="AT51" i="36"/>
  <c r="BA35" i="41"/>
  <c r="BJ12" i="37"/>
  <c r="BH14" i="37"/>
  <c r="CB51" i="25"/>
  <c r="AG68" i="36"/>
  <c r="J76" i="41"/>
  <c r="DC99" i="41"/>
  <c r="AW104" i="26"/>
  <c r="BT99" i="40"/>
  <c r="BC19" i="37"/>
  <c r="BE31" i="1"/>
  <c r="BF53" i="36"/>
  <c r="AM55" i="36"/>
  <c r="CK72" i="41"/>
  <c r="CT51" i="25"/>
  <c r="BC99" i="37"/>
  <c r="CO99" i="1"/>
  <c r="DA38" i="25"/>
  <c r="CX46" i="40"/>
  <c r="CT68" i="36"/>
  <c r="CX76" i="26"/>
  <c r="BT22" i="38"/>
  <c r="J287" i="46"/>
  <c r="J298" i="46" s="1"/>
  <c r="U72" i="40"/>
  <c r="AR14" i="39"/>
  <c r="CZ104" i="40"/>
  <c r="BZ104" i="38"/>
  <c r="CQ51" i="41"/>
  <c r="AE30" i="60"/>
  <c r="CB72" i="40"/>
  <c r="AF19" i="36"/>
  <c r="CY35" i="39"/>
  <c r="BP104" i="26"/>
  <c r="CC46" i="25"/>
  <c r="CG35" i="26"/>
  <c r="DE99" i="37"/>
  <c r="AR19" i="38"/>
  <c r="DE72" i="40"/>
  <c r="DD31" i="36"/>
  <c r="AU22" i="1"/>
  <c r="BW76" i="38"/>
  <c r="BF37" i="41"/>
  <c r="AM38" i="41"/>
  <c r="DH17" i="40"/>
  <c r="BO19" i="40"/>
  <c r="BJ27" i="40"/>
  <c r="M68" i="46"/>
  <c r="CT19" i="39"/>
  <c r="AW93" i="41"/>
  <c r="CA19" i="37"/>
  <c r="T14" i="38"/>
  <c r="CA22" i="41"/>
  <c r="AR99" i="25"/>
  <c r="AI28" i="38"/>
  <c r="AA82" i="38"/>
  <c r="CM51" i="38"/>
  <c r="BE14" i="25"/>
  <c r="AU93" i="36"/>
  <c r="F758" i="4"/>
  <c r="BD38" i="1"/>
  <c r="AM19" i="40"/>
  <c r="BF17" i="40"/>
  <c r="AI19" i="1"/>
  <c r="CZ38" i="39"/>
  <c r="W28" i="38"/>
  <c r="BP14" i="1"/>
  <c r="AI35" i="39"/>
  <c r="DE55" i="36"/>
  <c r="AV28" i="38"/>
  <c r="CZ46" i="40"/>
  <c r="CN93" i="41"/>
  <c r="CT14" i="36"/>
  <c r="AP28" i="26"/>
  <c r="CF76" i="37"/>
  <c r="N35" i="39"/>
  <c r="AS51" i="26"/>
  <c r="BT72" i="39"/>
  <c r="CU104" i="36"/>
  <c r="DC14" i="40"/>
  <c r="CL99" i="36"/>
  <c r="DC28" i="37"/>
  <c r="CK104" i="36"/>
  <c r="O35" i="41"/>
  <c r="BJ12" i="36"/>
  <c r="BH14" i="36"/>
  <c r="BQ68" i="25"/>
  <c r="BR82" i="25"/>
  <c r="BA68" i="41"/>
  <c r="CE31" i="41"/>
  <c r="Y72" i="25"/>
  <c r="CJ93" i="1"/>
  <c r="CD76" i="41"/>
  <c r="AJ16" i="60"/>
  <c r="BF54" i="39"/>
  <c r="AK17" i="37"/>
  <c r="S19" i="37"/>
  <c r="K14" i="37"/>
  <c r="DC38" i="26"/>
  <c r="BO14" i="37"/>
  <c r="CD19" i="40"/>
  <c r="CN68" i="40"/>
  <c r="BP104" i="41"/>
  <c r="AZ104" i="38"/>
  <c r="AQ22" i="38"/>
  <c r="BT72" i="36"/>
  <c r="CN35" i="38"/>
  <c r="CM99" i="25"/>
  <c r="CM31" i="38"/>
  <c r="AD22" i="38"/>
  <c r="Q13" i="41"/>
  <c r="CH99" i="1"/>
  <c r="AZ35" i="26"/>
  <c r="BD51" i="41"/>
  <c r="CA19" i="41"/>
  <c r="DD51" i="41"/>
  <c r="BJ67" i="26"/>
  <c r="CB14" i="40"/>
  <c r="O68" i="38"/>
  <c r="Z19" i="25"/>
  <c r="AV19" i="36"/>
  <c r="CI22" i="40"/>
  <c r="BY82" i="26"/>
  <c r="J93" i="39"/>
  <c r="AI46" i="26"/>
  <c r="CK14" i="25"/>
  <c r="AK17" i="38"/>
  <c r="S19" i="38"/>
  <c r="BC46" i="40"/>
  <c r="DD14" i="40"/>
  <c r="AK21" i="39"/>
  <c r="S22" i="39"/>
  <c r="BW63" i="40"/>
  <c r="DF68" i="39"/>
  <c r="CR51" i="26"/>
  <c r="AV38" i="26"/>
  <c r="P11" i="36"/>
  <c r="AA35" i="36"/>
  <c r="AL16" i="60"/>
  <c r="CV38" i="41"/>
  <c r="S22" i="36"/>
  <c r="AK21" i="36"/>
  <c r="CP22" i="1"/>
  <c r="BZ63" i="41"/>
  <c r="AV19" i="41"/>
  <c r="DH58" i="41"/>
  <c r="BT72" i="37"/>
  <c r="AV46" i="25"/>
  <c r="CF72" i="26"/>
  <c r="J265" i="46"/>
  <c r="CQ76" i="1"/>
  <c r="CT38" i="39"/>
  <c r="AQ55" i="37"/>
  <c r="AE26" i="60"/>
  <c r="CK31" i="26"/>
  <c r="CM19" i="38"/>
  <c r="AB104" i="25"/>
  <c r="BT35" i="39"/>
  <c r="DB14" i="1"/>
  <c r="Z51" i="25"/>
  <c r="CL22" i="40"/>
  <c r="CB82" i="26"/>
  <c r="CA99" i="37"/>
  <c r="M28" i="40"/>
  <c r="I63" i="37"/>
  <c r="CQ51" i="37"/>
  <c r="DB22" i="40"/>
  <c r="BY72" i="1"/>
  <c r="CH99" i="39"/>
  <c r="AT51" i="39"/>
  <c r="CH11" i="26"/>
  <c r="W19" i="26"/>
  <c r="BJ9" i="1"/>
  <c r="BH11" i="1"/>
  <c r="AX63" i="37"/>
  <c r="DC46" i="26"/>
  <c r="CF11" i="40"/>
  <c r="DH79" i="41"/>
  <c r="X19" i="38"/>
  <c r="CE104" i="1"/>
  <c r="Z19" i="26"/>
  <c r="G31" i="39"/>
  <c r="Q29" i="39"/>
  <c r="AV68" i="39"/>
  <c r="AU35" i="38"/>
  <c r="CU76" i="40"/>
  <c r="BT38" i="25"/>
  <c r="AN28" i="39"/>
  <c r="CS38" i="37"/>
  <c r="AH11" i="41"/>
  <c r="CX22" i="38"/>
  <c r="L46" i="40"/>
  <c r="AD51" i="26"/>
  <c r="CU14" i="38"/>
  <c r="DD104" i="26"/>
  <c r="BE31" i="38"/>
  <c r="M63" i="36"/>
  <c r="AJ35" i="40"/>
  <c r="CE35" i="38"/>
  <c r="CJ99" i="1"/>
  <c r="BO104" i="39"/>
  <c r="DF28" i="37"/>
  <c r="CC22" i="37"/>
  <c r="CU82" i="41"/>
  <c r="S93" i="26"/>
  <c r="AK89" i="26"/>
  <c r="AP93" i="1"/>
  <c r="I82" i="26"/>
  <c r="AR99" i="40"/>
  <c r="AA19" i="39"/>
  <c r="Z11" i="37"/>
  <c r="AW35" i="40"/>
  <c r="AC38" i="39"/>
  <c r="U31" i="40"/>
  <c r="W68" i="36"/>
  <c r="X68" i="40"/>
  <c r="CY14" i="36"/>
  <c r="CE68" i="1"/>
  <c r="CD46" i="39"/>
  <c r="CU76" i="41"/>
  <c r="M35" i="36"/>
  <c r="U93" i="41"/>
  <c r="AY46" i="26"/>
  <c r="AT55" i="36"/>
  <c r="CV93" i="41"/>
  <c r="CD38" i="37"/>
  <c r="BD51" i="1"/>
  <c r="DE22" i="36"/>
  <c r="CW14" i="25"/>
  <c r="CN35" i="40"/>
  <c r="AT55" i="37"/>
  <c r="BY46" i="36"/>
  <c r="AL30" i="60"/>
  <c r="CR31" i="26"/>
  <c r="BT28" i="25"/>
  <c r="CI11" i="37"/>
  <c r="BB35" i="25"/>
  <c r="H99" i="41"/>
  <c r="Q58" i="25"/>
  <c r="BA19" i="37"/>
  <c r="CJ11" i="37"/>
  <c r="AN19" i="26"/>
  <c r="AG11" i="37"/>
  <c r="CJ63" i="40"/>
  <c r="BF65" i="37"/>
  <c r="AM68" i="37"/>
  <c r="AR93" i="1"/>
  <c r="AK12" i="40"/>
  <c r="S14" i="40"/>
  <c r="BF18" i="41"/>
  <c r="CX38" i="37"/>
  <c r="AU99" i="37"/>
  <c r="T38" i="41"/>
  <c r="BV76" i="26"/>
  <c r="P19" i="25"/>
  <c r="I55" i="1"/>
  <c r="AV38" i="36"/>
  <c r="AD72" i="36"/>
  <c r="AH30" i="60"/>
  <c r="DF72" i="41"/>
  <c r="AO104" i="25"/>
  <c r="CP99" i="39"/>
  <c r="CN14" i="1"/>
  <c r="CO51" i="41"/>
  <c r="BW28" i="40"/>
  <c r="BT82" i="37"/>
  <c r="AU76" i="37"/>
  <c r="CO55" i="39"/>
  <c r="AV99" i="38"/>
  <c r="CK76" i="37"/>
  <c r="AO82" i="38"/>
  <c r="BF13" i="41"/>
  <c r="CS11" i="25"/>
  <c r="BO99" i="38"/>
  <c r="CK14" i="36"/>
  <c r="Q61" i="25"/>
  <c r="AK65" i="37"/>
  <c r="S68" i="37"/>
  <c r="BX104" i="26"/>
  <c r="CA93" i="40"/>
  <c r="BA104" i="25"/>
  <c r="CJ76" i="37"/>
  <c r="H72" i="40"/>
  <c r="CV14" i="38"/>
  <c r="CV15" i="38" s="1"/>
  <c r="Z68" i="40"/>
  <c r="U76" i="37"/>
  <c r="DC46" i="36"/>
  <c r="CI72" i="41"/>
  <c r="DA68" i="38"/>
  <c r="CB99" i="40"/>
  <c r="Z38" i="40"/>
  <c r="CN19" i="40"/>
  <c r="L22" i="1"/>
  <c r="CB11" i="39"/>
  <c r="CG46" i="37"/>
  <c r="DC99" i="38"/>
  <c r="DE63" i="37"/>
  <c r="M72" i="1"/>
  <c r="AT99" i="37"/>
  <c r="N46" i="1"/>
  <c r="CF82" i="40"/>
  <c r="CL46" i="1"/>
  <c r="H291" i="46"/>
  <c r="H302" i="46" s="1"/>
  <c r="AN11" i="26"/>
  <c r="AQ72" i="38"/>
  <c r="BD76" i="26"/>
  <c r="Y11" i="25"/>
  <c r="CM93" i="39"/>
  <c r="AR76" i="38"/>
  <c r="DH27" i="37"/>
  <c r="AF63" i="1"/>
  <c r="CM38" i="1"/>
  <c r="BB38" i="38"/>
  <c r="AB38" i="26"/>
  <c r="L245" i="46"/>
  <c r="L255" i="46" s="1"/>
  <c r="L369" i="46" s="1"/>
  <c r="AJ46" i="60"/>
  <c r="DB99" i="40"/>
  <c r="M22" i="26"/>
  <c r="AT11" i="25"/>
  <c r="X31" i="40"/>
  <c r="AX68" i="37"/>
  <c r="CC68" i="40"/>
  <c r="AK46" i="60"/>
  <c r="T99" i="25"/>
  <c r="AZ46" i="37"/>
  <c r="CK72" i="36"/>
  <c r="AY35" i="26"/>
  <c r="AY28" i="26"/>
  <c r="W38" i="40"/>
  <c r="BX31" i="40"/>
  <c r="DF51" i="39"/>
  <c r="AZ38" i="26"/>
  <c r="J104" i="1"/>
  <c r="CP104" i="37"/>
  <c r="H35" i="36"/>
  <c r="BX22" i="1"/>
  <c r="BW63" i="25"/>
  <c r="BZ93" i="40"/>
  <c r="AU14" i="26"/>
  <c r="CX38" i="25"/>
  <c r="BF59" i="36"/>
  <c r="CG11" i="41"/>
  <c r="BA104" i="39"/>
  <c r="DD19" i="36"/>
  <c r="AS35" i="41"/>
  <c r="CS22" i="38"/>
  <c r="DD28" i="26"/>
  <c r="CB76" i="1"/>
  <c r="M245" i="46"/>
  <c r="AQ11" i="36"/>
  <c r="CU31" i="40"/>
  <c r="CU32" i="40" s="1"/>
  <c r="BT76" i="38"/>
  <c r="AB14" i="39"/>
  <c r="Z72" i="38"/>
  <c r="CP82" i="1"/>
  <c r="CS68" i="26"/>
  <c r="AS72" i="1"/>
  <c r="BB55" i="36"/>
  <c r="CM104" i="36"/>
  <c r="AR38" i="38"/>
  <c r="T28" i="25"/>
  <c r="BA14" i="40"/>
  <c r="AP63" i="36"/>
  <c r="CC28" i="36"/>
  <c r="AC51" i="40"/>
  <c r="AV11" i="38"/>
  <c r="AZ22" i="36"/>
  <c r="CP72" i="1"/>
  <c r="BW93" i="25"/>
  <c r="CG63" i="1"/>
  <c r="CB51" i="37"/>
  <c r="S35" i="39"/>
  <c r="AK34" i="39"/>
  <c r="BO35" i="37"/>
  <c r="DH34" i="37"/>
  <c r="CM104" i="38"/>
  <c r="AS38" i="40"/>
  <c r="BQ38" i="36"/>
  <c r="CJ51" i="25"/>
  <c r="AX63" i="41"/>
  <c r="U55" i="1"/>
  <c r="BH22" i="1"/>
  <c r="BJ21" i="1"/>
  <c r="AA35" i="37"/>
  <c r="BB55" i="25"/>
  <c r="BF50" i="40"/>
  <c r="BC72" i="1"/>
  <c r="CN51" i="26"/>
  <c r="AU76" i="38"/>
  <c r="X22" i="41"/>
  <c r="AF35" i="26"/>
  <c r="BW31" i="40"/>
  <c r="BZ35" i="25"/>
  <c r="AP76" i="36"/>
  <c r="CM11" i="39"/>
  <c r="DF99" i="36"/>
  <c r="DF51" i="40"/>
  <c r="BF60" i="25"/>
  <c r="DB31" i="25"/>
  <c r="BW38" i="38"/>
  <c r="CE31" i="25"/>
  <c r="CM31" i="1"/>
  <c r="CG14" i="26"/>
  <c r="CG15" i="26" s="1"/>
  <c r="N11" i="41"/>
  <c r="CW51" i="25"/>
  <c r="AX46" i="39"/>
  <c r="CS31" i="41"/>
  <c r="AJ35" i="39"/>
  <c r="DA46" i="26"/>
  <c r="DH58" i="26"/>
  <c r="AY63" i="36"/>
  <c r="W63" i="37"/>
  <c r="X14" i="39"/>
  <c r="AG93" i="1"/>
  <c r="L104" i="40"/>
  <c r="AO104" i="41"/>
  <c r="BV104" i="1"/>
  <c r="CX99" i="26"/>
  <c r="DF22" i="38"/>
  <c r="AZ35" i="41"/>
  <c r="Q12" i="25"/>
  <c r="G14" i="25"/>
  <c r="BE35" i="38"/>
  <c r="M22" i="36"/>
  <c r="AA68" i="26"/>
  <c r="AT93" i="1"/>
  <c r="CX72" i="40"/>
  <c r="BV38" i="25"/>
  <c r="Z21" i="60"/>
  <c r="AI19" i="38"/>
  <c r="BU63" i="26"/>
  <c r="CN99" i="37"/>
  <c r="AQ82" i="41"/>
  <c r="BV104" i="36"/>
  <c r="T28" i="1"/>
  <c r="AT63" i="25"/>
  <c r="AJ93" i="37"/>
  <c r="CN93" i="38"/>
  <c r="DH79" i="26"/>
  <c r="K758" i="4"/>
  <c r="BJ13" i="41"/>
  <c r="AJ28" i="25"/>
  <c r="AC51" i="25"/>
  <c r="CP35" i="37"/>
  <c r="Q17" i="26"/>
  <c r="G19" i="26"/>
  <c r="AG51" i="38"/>
  <c r="X68" i="37"/>
  <c r="DA28" i="36"/>
  <c r="CJ93" i="40"/>
  <c r="BD35" i="38"/>
  <c r="AP31" i="37"/>
  <c r="CB99" i="38"/>
  <c r="X93" i="1"/>
  <c r="AN35" i="36"/>
  <c r="CK51" i="37"/>
  <c r="CH82" i="37"/>
  <c r="BC46" i="26"/>
  <c r="CO14" i="26"/>
  <c r="AE22" i="39"/>
  <c r="DD82" i="41"/>
  <c r="AG63" i="26"/>
  <c r="P35" i="40"/>
  <c r="BU35" i="1"/>
  <c r="CC14" i="41"/>
  <c r="CI93" i="26"/>
  <c r="AU55" i="1"/>
  <c r="DF11" i="40"/>
  <c r="BU38" i="26"/>
  <c r="CE28" i="26"/>
  <c r="CI68" i="39"/>
  <c r="AG51" i="41"/>
  <c r="CB35" i="37"/>
  <c r="AC76" i="40"/>
  <c r="AE63" i="1"/>
  <c r="CS31" i="39"/>
  <c r="CR68" i="41"/>
  <c r="CG51" i="40"/>
  <c r="CF82" i="1"/>
  <c r="AH14" i="25"/>
  <c r="I99" i="37"/>
  <c r="Y72" i="40"/>
  <c r="DD68" i="38"/>
  <c r="AU22" i="37"/>
  <c r="CO22" i="39"/>
  <c r="CG35" i="37"/>
  <c r="O22" i="40"/>
  <c r="AX76" i="1"/>
  <c r="CM38" i="26"/>
  <c r="L14" i="39"/>
  <c r="CS63" i="41"/>
  <c r="CY14" i="25"/>
  <c r="CE55" i="40"/>
  <c r="DD93" i="40"/>
  <c r="AG14" i="1"/>
  <c r="J46" i="26"/>
  <c r="CM76" i="1"/>
  <c r="AV72" i="37"/>
  <c r="BV93" i="25"/>
  <c r="BD68" i="26"/>
  <c r="DE38" i="39"/>
  <c r="CQ19" i="37"/>
  <c r="X51" i="37"/>
  <c r="DF82" i="26"/>
  <c r="AE63" i="36"/>
  <c r="T76" i="41"/>
  <c r="AW82" i="26"/>
  <c r="J82" i="41"/>
  <c r="BP22" i="25"/>
  <c r="U35" i="36"/>
  <c r="AC11" i="40"/>
  <c r="AS28" i="40"/>
  <c r="AY28" i="1"/>
  <c r="P28" i="37"/>
  <c r="DC55" i="39"/>
  <c r="AK24" i="25"/>
  <c r="CQ104" i="36"/>
  <c r="CE22" i="41"/>
  <c r="DA93" i="37"/>
  <c r="CQ35" i="40"/>
  <c r="Y35" i="36"/>
  <c r="DA68" i="40"/>
  <c r="AQ38" i="37"/>
  <c r="AK57" i="1"/>
  <c r="S63" i="1"/>
  <c r="CB11" i="41"/>
  <c r="CP68" i="36"/>
  <c r="U63" i="39"/>
  <c r="BS93" i="37"/>
  <c r="Y46" i="37"/>
  <c r="S104" i="38"/>
  <c r="AJ99" i="39"/>
  <c r="AF104" i="37"/>
  <c r="BS82" i="40"/>
  <c r="H63" i="37"/>
  <c r="CU11" i="40"/>
  <c r="AM68" i="26"/>
  <c r="BF65" i="26"/>
  <c r="AR104" i="25"/>
  <c r="CG14" i="41"/>
  <c r="CG15" i="41" s="1"/>
  <c r="BI38" i="41"/>
  <c r="AA51" i="38"/>
  <c r="CQ104" i="40"/>
  <c r="AA82" i="36"/>
  <c r="CM51" i="41"/>
  <c r="BC63" i="40"/>
  <c r="AE104" i="37"/>
  <c r="AO22" i="38"/>
  <c r="BJ54" i="39"/>
  <c r="DD11" i="26"/>
  <c r="CU99" i="40"/>
  <c r="CZ28" i="36"/>
  <c r="AT68" i="40"/>
  <c r="DC51" i="25"/>
  <c r="AI26" i="60"/>
  <c r="V93" i="37"/>
  <c r="AD22" i="25"/>
  <c r="CQ11" i="38"/>
  <c r="CE35" i="36"/>
  <c r="N22" i="25"/>
  <c r="CQ82" i="38"/>
  <c r="BB31" i="41"/>
  <c r="N99" i="26"/>
  <c r="BS14" i="41"/>
  <c r="BO99" i="25"/>
  <c r="AS22" i="36"/>
  <c r="CG19" i="41"/>
  <c r="CF76" i="40"/>
  <c r="BF61" i="36"/>
  <c r="J290" i="46"/>
  <c r="J301" i="46" s="1"/>
  <c r="AX11" i="41"/>
  <c r="CH31" i="41"/>
  <c r="BI14" i="40"/>
  <c r="AZ99" i="41"/>
  <c r="AE46" i="1"/>
  <c r="CS35" i="37"/>
  <c r="AP14" i="26"/>
  <c r="BY28" i="26"/>
  <c r="AO38" i="39"/>
  <c r="AC55" i="40"/>
  <c r="U28" i="41"/>
  <c r="L116" i="50"/>
  <c r="BZ22" i="40"/>
  <c r="AK66" i="41"/>
  <c r="BW31" i="1"/>
  <c r="CQ35" i="38"/>
  <c r="CQ46" i="26"/>
  <c r="AQ28" i="41"/>
  <c r="AU35" i="39"/>
  <c r="K51" i="40"/>
  <c r="U22" i="1"/>
  <c r="DB14" i="36"/>
  <c r="BD46" i="38"/>
  <c r="CU14" i="25"/>
  <c r="AG93" i="26"/>
  <c r="AD22" i="36"/>
  <c r="V38" i="36"/>
  <c r="G68" i="41"/>
  <c r="Q65" i="41"/>
  <c r="BX76" i="38"/>
  <c r="BD99" i="26"/>
  <c r="CJ46" i="37"/>
  <c r="BP35" i="40"/>
  <c r="X82" i="37"/>
  <c r="CQ72" i="40"/>
  <c r="AE63" i="37"/>
  <c r="N31" i="41"/>
  <c r="AA53" i="60"/>
  <c r="CP38" i="1"/>
  <c r="AC82" i="39"/>
  <c r="CP22" i="40"/>
  <c r="AH19" i="38"/>
  <c r="AC51" i="26"/>
  <c r="BF61" i="40"/>
  <c r="AM51" i="36"/>
  <c r="BF48" i="36"/>
  <c r="Z72" i="40"/>
  <c r="BP63" i="26"/>
  <c r="BB11" i="36"/>
  <c r="CI19" i="40"/>
  <c r="AE11" i="36"/>
  <c r="CN38" i="40"/>
  <c r="BF62" i="41"/>
  <c r="CA68" i="37"/>
  <c r="BQ31" i="40"/>
  <c r="BT99" i="38"/>
  <c r="Q26" i="1"/>
  <c r="G28" i="1"/>
  <c r="CF55" i="1"/>
  <c r="CA99" i="39"/>
  <c r="CQ93" i="39"/>
  <c r="BW14" i="36"/>
  <c r="BW15" i="36" s="1"/>
  <c r="CG35" i="38"/>
  <c r="H245" i="46"/>
  <c r="BW55" i="26"/>
  <c r="AB82" i="26"/>
  <c r="AZ68" i="1"/>
  <c r="AJ19" i="26"/>
  <c r="AG63" i="41"/>
  <c r="AU38" i="40"/>
  <c r="DB38" i="41"/>
  <c r="BA99" i="40"/>
  <c r="H38" i="1"/>
  <c r="AB63" i="37"/>
  <c r="CH14" i="41"/>
  <c r="BE55" i="1"/>
  <c r="DC99" i="40"/>
  <c r="CJ28" i="37"/>
  <c r="N14" i="36"/>
  <c r="CU46" i="39"/>
  <c r="AK49" i="36"/>
  <c r="AB68" i="37"/>
  <c r="CM14" i="36"/>
  <c r="BY11" i="41"/>
  <c r="CW51" i="1"/>
  <c r="AP63" i="37"/>
  <c r="H63" i="26"/>
  <c r="AD82" i="41"/>
  <c r="P19" i="40"/>
  <c r="I76" i="40"/>
  <c r="H68" i="46"/>
  <c r="Y14" i="37"/>
  <c r="CX31" i="25"/>
  <c r="I38" i="39"/>
  <c r="BP31" i="1"/>
  <c r="CI51" i="25"/>
  <c r="CQ19" i="25"/>
  <c r="DF63" i="38"/>
  <c r="AB35" i="25"/>
  <c r="DA31" i="38"/>
  <c r="DE55" i="40"/>
  <c r="BD68" i="41"/>
  <c r="AX35" i="40"/>
  <c r="AY46" i="38"/>
  <c r="CH104" i="38"/>
  <c r="AH35" i="25"/>
  <c r="AX99" i="37"/>
  <c r="U22" i="41"/>
  <c r="CO76" i="36"/>
  <c r="AV31" i="1"/>
  <c r="AW93" i="37"/>
  <c r="J82" i="39"/>
  <c r="BE63" i="38"/>
  <c r="CC38" i="1"/>
  <c r="BZ93" i="36"/>
  <c r="AN99" i="41"/>
  <c r="AM11" i="40"/>
  <c r="BC76" i="41"/>
  <c r="AU11" i="26"/>
  <c r="AE31" i="1"/>
  <c r="AD55" i="36"/>
  <c r="DH65" i="38"/>
  <c r="BO68" i="38"/>
  <c r="CM31" i="37"/>
  <c r="CR14" i="26"/>
  <c r="CB104" i="26"/>
  <c r="V28" i="36"/>
  <c r="P31" i="37"/>
  <c r="BF50" i="39"/>
  <c r="DD82" i="38"/>
  <c r="DH27" i="39"/>
  <c r="X46" i="1"/>
  <c r="AS35" i="36"/>
  <c r="BY19" i="38"/>
  <c r="AB68" i="39"/>
  <c r="BF75" i="36"/>
  <c r="AM76" i="36"/>
  <c r="AA104" i="25"/>
  <c r="DB72" i="39"/>
  <c r="BU63" i="1"/>
  <c r="BX35" i="25"/>
  <c r="M51" i="36"/>
  <c r="CZ46" i="1"/>
  <c r="CO63" i="39"/>
  <c r="O31" i="37"/>
  <c r="AH63" i="26"/>
  <c r="CQ93" i="36"/>
  <c r="AD104" i="36"/>
  <c r="DF55" i="37"/>
  <c r="AD68" i="41"/>
  <c r="CT11" i="25"/>
  <c r="CX76" i="40"/>
  <c r="H19" i="1"/>
  <c r="CA82" i="25"/>
  <c r="DF38" i="26"/>
  <c r="AX76" i="38"/>
  <c r="L63" i="26"/>
  <c r="AX14" i="1"/>
  <c r="BA82" i="26"/>
  <c r="AU72" i="26"/>
  <c r="Z72" i="37"/>
  <c r="BV93" i="39"/>
  <c r="CG93" i="1"/>
  <c r="W76" i="38"/>
  <c r="AM63" i="39"/>
  <c r="BF57" i="39"/>
  <c r="CK104" i="41"/>
  <c r="CB22" i="1"/>
  <c r="O93" i="36"/>
  <c r="AP55" i="41"/>
  <c r="AO76" i="37"/>
  <c r="CJ63" i="1"/>
  <c r="CU11" i="37"/>
  <c r="AN14" i="41"/>
  <c r="CL63" i="25"/>
  <c r="H55" i="38"/>
  <c r="CO104" i="39"/>
  <c r="DA76" i="37"/>
  <c r="BQ28" i="37"/>
  <c r="CF31" i="38"/>
  <c r="DB55" i="26"/>
  <c r="BE99" i="37"/>
  <c r="AV93" i="36"/>
  <c r="CJ11" i="36"/>
  <c r="CX68" i="1"/>
  <c r="AP19" i="40"/>
  <c r="BZ99" i="37"/>
  <c r="AQ22" i="37"/>
  <c r="AT14" i="36"/>
  <c r="N31" i="39"/>
  <c r="T22" i="37"/>
  <c r="CL14" i="25"/>
  <c r="CI11" i="38"/>
  <c r="AI19" i="26"/>
  <c r="BV46" i="25"/>
  <c r="AG31" i="41"/>
  <c r="BE51" i="37"/>
  <c r="AE55" i="25"/>
  <c r="DB28" i="36"/>
  <c r="BB46" i="26"/>
  <c r="CF19" i="37"/>
  <c r="T51" i="38"/>
  <c r="AS99" i="1"/>
  <c r="BO63" i="26"/>
  <c r="DH57" i="26"/>
  <c r="T28" i="41"/>
  <c r="CY46" i="39"/>
  <c r="BE31" i="39"/>
  <c r="N68" i="26"/>
  <c r="AJ55" i="37"/>
  <c r="AD55" i="40"/>
  <c r="AX99" i="41"/>
  <c r="BS104" i="26"/>
  <c r="AJ14" i="26"/>
  <c r="BT14" i="40"/>
  <c r="AO63" i="39"/>
  <c r="DH67" i="38"/>
  <c r="AS55" i="40"/>
  <c r="CK19" i="37"/>
  <c r="CF22" i="25"/>
  <c r="DF38" i="37"/>
  <c r="BA35" i="25"/>
  <c r="DC46" i="1"/>
  <c r="CG51" i="25"/>
  <c r="CM51" i="26"/>
  <c r="AA35" i="38"/>
  <c r="BS82" i="1"/>
  <c r="AK49" i="40"/>
  <c r="AT51" i="37"/>
  <c r="BJ30" i="1"/>
  <c r="AI93" i="25"/>
  <c r="AJ93" i="41"/>
  <c r="BI11" i="36"/>
  <c r="BE104" i="38"/>
  <c r="CY55" i="40"/>
  <c r="CY55" i="1"/>
  <c r="AS63" i="37"/>
  <c r="AY68" i="38"/>
  <c r="DD14" i="36"/>
  <c r="I11" i="1"/>
  <c r="CV51" i="41"/>
  <c r="CQ28" i="38"/>
  <c r="BX99" i="38"/>
  <c r="CQ63" i="40"/>
  <c r="BD68" i="36"/>
  <c r="CM46" i="38"/>
  <c r="U19" i="36"/>
  <c r="G63" i="26"/>
  <c r="Q57" i="26"/>
  <c r="K82" i="37"/>
  <c r="CW51" i="26"/>
  <c r="AV35" i="38"/>
  <c r="AU93" i="25"/>
  <c r="AK54" i="26"/>
  <c r="AM93" i="36"/>
  <c r="BF89" i="36"/>
  <c r="AF28" i="26"/>
  <c r="CQ51" i="25"/>
  <c r="AQ31" i="37"/>
  <c r="AN72" i="25"/>
  <c r="AG35" i="40"/>
  <c r="CB68" i="1"/>
  <c r="AV31" i="37"/>
  <c r="G14" i="1"/>
  <c r="Q12" i="1"/>
  <c r="AY76" i="25"/>
  <c r="BQ68" i="40"/>
  <c r="DB68" i="1"/>
  <c r="M31" i="1"/>
  <c r="I35" i="39"/>
  <c r="CZ11" i="26"/>
  <c r="J22" i="40"/>
  <c r="AR22" i="41"/>
  <c r="BZ63" i="26"/>
  <c r="DH24" i="41"/>
  <c r="CZ82" i="41"/>
  <c r="AF38" i="39"/>
  <c r="BA63" i="41"/>
  <c r="AK25" i="39"/>
  <c r="CZ93" i="39"/>
  <c r="T22" i="25"/>
  <c r="CU19" i="36"/>
  <c r="I38" i="38"/>
  <c r="CX104" i="40"/>
  <c r="AR68" i="26"/>
  <c r="Q81" i="26"/>
  <c r="AA31" i="1"/>
  <c r="CK38" i="41"/>
  <c r="AK65" i="36"/>
  <c r="S68" i="36"/>
  <c r="BZ93" i="38"/>
  <c r="BH11" i="38"/>
  <c r="BJ9" i="38"/>
  <c r="Z38" i="39"/>
  <c r="K104" i="1"/>
  <c r="J31" i="1"/>
  <c r="AE14" i="41"/>
  <c r="AX68" i="1"/>
  <c r="AW82" i="36"/>
  <c r="AF51" i="41"/>
  <c r="AR82" i="40"/>
  <c r="BX46" i="38"/>
  <c r="CS72" i="40"/>
  <c r="J11" i="26"/>
  <c r="X46" i="26"/>
  <c r="AO35" i="38"/>
  <c r="I82" i="36"/>
  <c r="BV31" i="41"/>
  <c r="Q71" i="38"/>
  <c r="G72" i="38"/>
  <c r="BZ99" i="40"/>
  <c r="DD46" i="26"/>
  <c r="DH24" i="37"/>
  <c r="I104" i="38"/>
  <c r="BU28" i="36"/>
  <c r="K76" i="26"/>
  <c r="CW19" i="1"/>
  <c r="AY93" i="26"/>
  <c r="AZ14" i="39"/>
  <c r="AC76" i="36"/>
  <c r="AK17" i="25"/>
  <c r="S19" i="25"/>
  <c r="CD63" i="38"/>
  <c r="AO14" i="40"/>
  <c r="BO99" i="36"/>
  <c r="DB22" i="38"/>
  <c r="CZ55" i="36"/>
  <c r="CF28" i="40"/>
  <c r="BB35" i="26"/>
  <c r="CD76" i="39"/>
  <c r="BC99" i="36"/>
  <c r="V93" i="36"/>
  <c r="BX82" i="41"/>
  <c r="CP104" i="38"/>
  <c r="CH46" i="36"/>
  <c r="Q67" i="1"/>
  <c r="BY28" i="40"/>
  <c r="BW82" i="37"/>
  <c r="M14" i="25"/>
  <c r="CI35" i="26"/>
  <c r="CF35" i="40"/>
  <c r="T22" i="38"/>
  <c r="AM76" i="41"/>
  <c r="BF75" i="41"/>
  <c r="BI31" i="38"/>
  <c r="AC76" i="38"/>
  <c r="AE22" i="40"/>
  <c r="AP93" i="40"/>
  <c r="AQ22" i="25"/>
  <c r="AW68" i="26"/>
  <c r="CU76" i="1"/>
  <c r="CJ55" i="26"/>
  <c r="Y99" i="37"/>
  <c r="T35" i="1"/>
  <c r="CW82" i="40"/>
  <c r="DF31" i="25"/>
  <c r="DA31" i="40"/>
  <c r="Z28" i="38"/>
  <c r="CR68" i="40"/>
  <c r="CV63" i="25"/>
  <c r="J76" i="36"/>
  <c r="H55" i="37"/>
  <c r="AQ63" i="26"/>
  <c r="M291" i="46"/>
  <c r="M302" i="46" s="1"/>
  <c r="T22" i="39"/>
  <c r="BD63" i="39"/>
  <c r="BA11" i="38"/>
  <c r="U31" i="37"/>
  <c r="M51" i="1"/>
  <c r="AZ55" i="41"/>
  <c r="K289" i="46"/>
  <c r="K300" i="46" s="1"/>
  <c r="CR35" i="26"/>
  <c r="AN19" i="36"/>
  <c r="CC19" i="41"/>
  <c r="J68" i="39"/>
  <c r="BB35" i="37"/>
  <c r="AC19" i="38"/>
  <c r="AP51" i="1"/>
  <c r="BB76" i="39"/>
  <c r="AA19" i="37"/>
  <c r="AK50" i="39"/>
  <c r="BD46" i="1"/>
  <c r="AJ11" i="1"/>
  <c r="CJ55" i="40"/>
  <c r="AF72" i="1"/>
  <c r="M93" i="40"/>
  <c r="Q24" i="1"/>
  <c r="BE38" i="1"/>
  <c r="DA11" i="41"/>
  <c r="AU46" i="41"/>
  <c r="DF99" i="38"/>
  <c r="BT22" i="37"/>
  <c r="BJ66" i="40"/>
  <c r="BB99" i="25"/>
  <c r="J35" i="38"/>
  <c r="Z56" i="60"/>
  <c r="AA104" i="1"/>
  <c r="T68" i="1"/>
  <c r="CU76" i="36"/>
  <c r="N287" i="46"/>
  <c r="N298" i="46" s="1"/>
  <c r="AZ35" i="37"/>
  <c r="BY76" i="37"/>
  <c r="BC82" i="26"/>
  <c r="CO31" i="1"/>
  <c r="CY14" i="39"/>
  <c r="BP76" i="25"/>
  <c r="BB82" i="26"/>
  <c r="T55" i="37"/>
  <c r="CX76" i="39"/>
  <c r="AR46" i="40"/>
  <c r="BU35" i="39"/>
  <c r="CA63" i="41"/>
  <c r="CF22" i="41"/>
  <c r="J289" i="46"/>
  <c r="J300" i="46" s="1"/>
  <c r="AK24" i="38"/>
  <c r="G104" i="1"/>
  <c r="Q102" i="1"/>
  <c r="BY31" i="40"/>
  <c r="DF72" i="40"/>
  <c r="CI14" i="41"/>
  <c r="AU31" i="37"/>
  <c r="CU46" i="40"/>
  <c r="J99" i="38"/>
  <c r="BX14" i="25"/>
  <c r="CK28" i="1"/>
  <c r="M11" i="37"/>
  <c r="CM28" i="41"/>
  <c r="CV76" i="40"/>
  <c r="P93" i="36"/>
  <c r="BB38" i="1"/>
  <c r="CD63" i="26"/>
  <c r="AX82" i="1"/>
  <c r="BW99" i="26"/>
  <c r="BA68" i="36"/>
  <c r="CB104" i="38"/>
  <c r="AR99" i="38"/>
  <c r="BT55" i="38"/>
  <c r="K82" i="26"/>
  <c r="CO14" i="37"/>
  <c r="DD93" i="25"/>
  <c r="BC72" i="38"/>
  <c r="CY72" i="1"/>
  <c r="Q89" i="37"/>
  <c r="G93" i="37"/>
  <c r="AA51" i="36"/>
  <c r="AD93" i="1"/>
  <c r="BP28" i="41"/>
  <c r="CZ51" i="36"/>
  <c r="AS82" i="41"/>
  <c r="DH18" i="40"/>
  <c r="K99" i="36"/>
  <c r="BU11" i="40"/>
  <c r="DE11" i="25"/>
  <c r="BF49" i="39"/>
  <c r="CP11" i="40"/>
  <c r="AK17" i="39"/>
  <c r="S19" i="39"/>
  <c r="DC72" i="1"/>
  <c r="DB93" i="37"/>
  <c r="Q34" i="25"/>
  <c r="G35" i="25"/>
  <c r="BB104" i="25"/>
  <c r="BE72" i="39"/>
  <c r="DC55" i="1"/>
  <c r="P104" i="40"/>
  <c r="CS22" i="41"/>
  <c r="CB104" i="36"/>
  <c r="J22" i="41"/>
  <c r="CT55" i="37"/>
  <c r="AO104" i="37"/>
  <c r="CH28" i="37"/>
  <c r="S28" i="60"/>
  <c r="CS68" i="36"/>
  <c r="CM93" i="40"/>
  <c r="BZ82" i="40"/>
  <c r="P11" i="25"/>
  <c r="BX68" i="40"/>
  <c r="BT99" i="41"/>
  <c r="DH24" i="26"/>
  <c r="DF28" i="38"/>
  <c r="AQ82" i="1"/>
  <c r="CE76" i="41"/>
  <c r="CQ72" i="1"/>
  <c r="CQ76" i="26"/>
  <c r="AQ55" i="39"/>
  <c r="CM63" i="1"/>
  <c r="CR38" i="37"/>
  <c r="AD104" i="40"/>
  <c r="CA35" i="41"/>
  <c r="BF13" i="37"/>
  <c r="CZ14" i="26"/>
  <c r="CZ15" i="26" s="1"/>
  <c r="Y76" i="25"/>
  <c r="AK60" i="26"/>
  <c r="H38" i="36"/>
  <c r="AJ19" i="40"/>
  <c r="CG76" i="25"/>
  <c r="L291" i="46"/>
  <c r="L302" i="46" s="1"/>
  <c r="AS99" i="36"/>
  <c r="CZ14" i="41"/>
  <c r="BQ72" i="25"/>
  <c r="CD93" i="1"/>
  <c r="BB82" i="1"/>
  <c r="CH76" i="39"/>
  <c r="L63" i="41"/>
  <c r="F288" i="46"/>
  <c r="F299" i="46" s="1"/>
  <c r="AZ104" i="25"/>
  <c r="N11" i="26"/>
  <c r="AB93" i="41"/>
  <c r="T14" i="25"/>
  <c r="H82" i="26"/>
  <c r="CE46" i="40"/>
  <c r="BT35" i="26"/>
  <c r="AW31" i="41"/>
  <c r="AD28" i="41"/>
  <c r="AC22" i="25"/>
  <c r="CH28" i="36"/>
  <c r="AB19" i="39"/>
  <c r="CP72" i="40"/>
  <c r="AV11" i="37"/>
  <c r="AB76" i="26"/>
  <c r="BW55" i="37"/>
  <c r="DA93" i="36"/>
  <c r="BQ68" i="41"/>
  <c r="CC46" i="1"/>
  <c r="CJ11" i="26"/>
  <c r="AS76" i="36"/>
  <c r="AB99" i="38"/>
  <c r="H82" i="1"/>
  <c r="AZ31" i="37"/>
  <c r="AX104" i="25"/>
  <c r="BE22" i="25"/>
  <c r="J116" i="50"/>
  <c r="BY68" i="38"/>
  <c r="I35" i="40"/>
  <c r="CC76" i="38"/>
  <c r="CL104" i="39"/>
  <c r="AR72" i="37"/>
  <c r="CY19" i="36"/>
  <c r="BW72" i="25"/>
  <c r="O51" i="38"/>
  <c r="CH93" i="39"/>
  <c r="CN22" i="38"/>
  <c r="AF35" i="39"/>
  <c r="BR93" i="36"/>
  <c r="CK76" i="38"/>
  <c r="CM28" i="40"/>
  <c r="CR35" i="25"/>
  <c r="AI93" i="1"/>
  <c r="DF38" i="38"/>
  <c r="BS51" i="26"/>
  <c r="AI46" i="37"/>
  <c r="AI55" i="26"/>
  <c r="AM14" i="1"/>
  <c r="BF12" i="1"/>
  <c r="DF76" i="25"/>
  <c r="CI35" i="1"/>
  <c r="CW38" i="25"/>
  <c r="CI22" i="38"/>
  <c r="G14" i="38"/>
  <c r="Q12" i="38"/>
  <c r="AV99" i="1"/>
  <c r="BJ18" i="38"/>
  <c r="BO51" i="40"/>
  <c r="DH48" i="40"/>
  <c r="AV11" i="36"/>
  <c r="AY76" i="39"/>
  <c r="BY104" i="37"/>
  <c r="CI68" i="41"/>
  <c r="AV55" i="25"/>
  <c r="CZ31" i="41"/>
  <c r="CE76" i="26"/>
  <c r="AX46" i="37"/>
  <c r="BH31" i="38"/>
  <c r="BJ31" i="38" s="1"/>
  <c r="BJ29" i="38"/>
  <c r="DC55" i="37"/>
  <c r="CY72" i="37"/>
  <c r="X46" i="25"/>
  <c r="AQ76" i="39"/>
  <c r="J104" i="39"/>
  <c r="H14" i="1"/>
  <c r="CR19" i="1"/>
  <c r="BS31" i="36"/>
  <c r="AT46" i="40"/>
  <c r="DE22" i="25"/>
  <c r="CC104" i="38"/>
  <c r="AF46" i="60"/>
  <c r="BU68" i="25"/>
  <c r="CC82" i="38"/>
  <c r="AB22" i="40"/>
  <c r="CF28" i="36"/>
  <c r="I68" i="40"/>
  <c r="BB72" i="39"/>
  <c r="DD93" i="26"/>
  <c r="BD14" i="25"/>
  <c r="CK93" i="25"/>
  <c r="AO19" i="39"/>
  <c r="BR11" i="41"/>
  <c r="AC63" i="37"/>
  <c r="DH27" i="36"/>
  <c r="CB35" i="38"/>
  <c r="CI38" i="39"/>
  <c r="AY93" i="39"/>
  <c r="AR55" i="38"/>
  <c r="CF93" i="26"/>
  <c r="BE97" i="39"/>
  <c r="BF97" i="39" s="1"/>
  <c r="CV22" i="39"/>
  <c r="BA63" i="40"/>
  <c r="CT35" i="39"/>
  <c r="BF29" i="37"/>
  <c r="AM31" i="37"/>
  <c r="BV51" i="36"/>
  <c r="BI28" i="38"/>
  <c r="M38" i="37"/>
  <c r="CL72" i="26"/>
  <c r="CV14" i="37"/>
  <c r="CF63" i="40"/>
  <c r="X42" i="60"/>
  <c r="BJ59" i="41"/>
  <c r="BZ63" i="25"/>
  <c r="AY82" i="37"/>
  <c r="AC22" i="40"/>
  <c r="CW38" i="38"/>
  <c r="BQ35" i="41"/>
  <c r="DE11" i="36"/>
  <c r="AF35" i="40"/>
  <c r="AV19" i="26"/>
  <c r="BZ38" i="1"/>
  <c r="M265" i="46"/>
  <c r="H19" i="41"/>
  <c r="CA55" i="39"/>
  <c r="I19" i="1"/>
  <c r="DC28" i="36"/>
  <c r="BI63" i="36"/>
  <c r="DH24" i="36"/>
  <c r="Q75" i="37"/>
  <c r="G76" i="37"/>
  <c r="CS82" i="26"/>
  <c r="CI28" i="41"/>
  <c r="AO99" i="26"/>
  <c r="AM31" i="25"/>
  <c r="BF29" i="25"/>
  <c r="CT104" i="36"/>
  <c r="AI22" i="39"/>
  <c r="DF104" i="25"/>
  <c r="CT28" i="36"/>
  <c r="Q50" i="38"/>
  <c r="J51" i="39"/>
  <c r="AW46" i="39"/>
  <c r="BR63" i="39"/>
  <c r="CJ76" i="40"/>
  <c r="BJ21" i="41"/>
  <c r="BH22" i="41"/>
  <c r="O35" i="37"/>
  <c r="BV28" i="25"/>
  <c r="AO31" i="37"/>
  <c r="AD31" i="36"/>
  <c r="CH104" i="36"/>
  <c r="AR68" i="41"/>
  <c r="CA19" i="36"/>
  <c r="BX55" i="38"/>
  <c r="CJ104" i="36"/>
  <c r="N22" i="1"/>
  <c r="DE14" i="40"/>
  <c r="O99" i="26"/>
  <c r="J19" i="41"/>
  <c r="BD72" i="26"/>
  <c r="CS38" i="41"/>
  <c r="BV28" i="1"/>
  <c r="DA99" i="41"/>
  <c r="AC72" i="1"/>
  <c r="AE63" i="26"/>
  <c r="J35" i="26"/>
  <c r="V68" i="26"/>
  <c r="AY51" i="1"/>
  <c r="AE93" i="1"/>
  <c r="I14" i="40"/>
  <c r="BS51" i="38"/>
  <c r="H93" i="38"/>
  <c r="CH38" i="39"/>
  <c r="BB76" i="40"/>
  <c r="N55" i="40"/>
  <c r="DH27" i="40"/>
  <c r="BE19" i="39"/>
  <c r="BE51" i="40"/>
  <c r="CB28" i="38"/>
  <c r="BY104" i="1"/>
  <c r="AR38" i="41"/>
  <c r="AI104" i="38"/>
  <c r="AJ63" i="1"/>
  <c r="AZ72" i="38"/>
  <c r="AJ55" i="39"/>
  <c r="V38" i="26"/>
  <c r="AW38" i="37"/>
  <c r="F279" i="46"/>
  <c r="BF71" i="1"/>
  <c r="AM72" i="1"/>
  <c r="M93" i="1"/>
  <c r="X55" i="40"/>
  <c r="P19" i="37"/>
  <c r="BP31" i="25"/>
  <c r="CH46" i="26"/>
  <c r="DH66" i="41"/>
  <c r="H63" i="36"/>
  <c r="BY104" i="26"/>
  <c r="CM76" i="36"/>
  <c r="CS76" i="26"/>
  <c r="BC104" i="41"/>
  <c r="CD46" i="37"/>
  <c r="CA76" i="26"/>
  <c r="CG28" i="38"/>
  <c r="BA35" i="39"/>
  <c r="CE99" i="36"/>
  <c r="BU68" i="26"/>
  <c r="U35" i="25"/>
  <c r="BX28" i="1"/>
  <c r="X21" i="60"/>
  <c r="CF68" i="1"/>
  <c r="CS55" i="37"/>
  <c r="Q98" i="40"/>
  <c r="CA93" i="37"/>
  <c r="CR72" i="26"/>
  <c r="AI93" i="39"/>
  <c r="BZ35" i="40"/>
  <c r="BR55" i="25"/>
  <c r="AF76" i="25"/>
  <c r="AG19" i="40"/>
  <c r="W51" i="26"/>
  <c r="CD82" i="37"/>
  <c r="AY55" i="36"/>
  <c r="AD76" i="40"/>
  <c r="CD14" i="41"/>
  <c r="CD38" i="25"/>
  <c r="AR72" i="26"/>
  <c r="AK18" i="37"/>
  <c r="CA82" i="36"/>
  <c r="H55" i="25"/>
  <c r="BD31" i="26"/>
  <c r="BW99" i="25"/>
  <c r="L758" i="4"/>
  <c r="DH71" i="25"/>
  <c r="BO72" i="25"/>
  <c r="X11" i="26"/>
  <c r="AZ28" i="36"/>
  <c r="CO28" i="1"/>
  <c r="BA31" i="41"/>
  <c r="Y53" i="60"/>
  <c r="CJ35" i="26"/>
  <c r="T55" i="39"/>
  <c r="BQ38" i="39"/>
  <c r="V46" i="38"/>
  <c r="W35" i="41"/>
  <c r="AN72" i="26"/>
  <c r="CW22" i="40"/>
  <c r="CI55" i="26"/>
  <c r="AF46" i="38"/>
  <c r="BZ82" i="26"/>
  <c r="BF12" i="41"/>
  <c r="AM14" i="41"/>
  <c r="DB46" i="39"/>
  <c r="CZ72" i="40"/>
  <c r="AZ55" i="1"/>
  <c r="CX99" i="39"/>
  <c r="AP68" i="41"/>
  <c r="BV76" i="37"/>
  <c r="AE14" i="1"/>
  <c r="AH68" i="41"/>
  <c r="DE38" i="26"/>
  <c r="AS72" i="38"/>
  <c r="CT22" i="1"/>
  <c r="CR55" i="36"/>
  <c r="AX22" i="26"/>
  <c r="DD11" i="40"/>
  <c r="DH29" i="39"/>
  <c r="BO31" i="39"/>
  <c r="AX82" i="41"/>
  <c r="AO14" i="38"/>
  <c r="G31" i="40"/>
  <c r="Q29" i="40"/>
  <c r="AD72" i="25"/>
  <c r="AE93" i="41"/>
  <c r="BD82" i="39"/>
  <c r="CN63" i="38"/>
  <c r="AT72" i="37"/>
  <c r="CF72" i="40"/>
  <c r="CG72" i="1"/>
  <c r="Y51" i="38"/>
  <c r="AW31" i="39"/>
  <c r="CA31" i="26"/>
  <c r="CH11" i="40"/>
  <c r="AJ93" i="39"/>
  <c r="BA51" i="26"/>
  <c r="AX51" i="41"/>
  <c r="BE46" i="26"/>
  <c r="DH60" i="39"/>
  <c r="AJ68" i="25"/>
  <c r="BV72" i="40"/>
  <c r="CW19" i="41"/>
  <c r="AN28" i="37"/>
  <c r="CE19" i="38"/>
  <c r="BJ13" i="38"/>
  <c r="CV46" i="25"/>
  <c r="AS22" i="25"/>
  <c r="CP63" i="25"/>
  <c r="AE11" i="25"/>
  <c r="AC82" i="38"/>
  <c r="CD99" i="38"/>
  <c r="AR31" i="25"/>
  <c r="BS46" i="38"/>
  <c r="AC68" i="37"/>
  <c r="BH35" i="41"/>
  <c r="BJ34" i="41"/>
  <c r="CJ31" i="1"/>
  <c r="X63" i="41"/>
  <c r="AC93" i="39"/>
  <c r="AT82" i="26"/>
  <c r="BB63" i="25"/>
  <c r="DE93" i="37"/>
  <c r="DD82" i="26"/>
  <c r="I19" i="39"/>
  <c r="AE46" i="40"/>
  <c r="CI72" i="39"/>
  <c r="CX28" i="26"/>
  <c r="Q25" i="40"/>
  <c r="K28" i="25"/>
  <c r="AO55" i="37"/>
  <c r="CE63" i="36"/>
  <c r="BW93" i="26"/>
  <c r="H19" i="37"/>
  <c r="CD14" i="39"/>
  <c r="AN22" i="39"/>
  <c r="AI51" i="26"/>
  <c r="J22" i="25"/>
  <c r="AY72" i="26"/>
  <c r="BJ61" i="37"/>
  <c r="AQ11" i="25"/>
  <c r="CI63" i="37"/>
  <c r="AV28" i="26"/>
  <c r="BW38" i="1"/>
  <c r="AC14" i="1"/>
  <c r="CO63" i="41"/>
  <c r="BY22" i="1"/>
  <c r="DD76" i="39"/>
  <c r="CA19" i="39"/>
  <c r="BA22" i="25"/>
  <c r="CV28" i="39"/>
  <c r="AN55" i="41"/>
  <c r="AD93" i="39"/>
  <c r="CR99" i="25"/>
  <c r="CL31" i="26"/>
  <c r="BI63" i="37"/>
  <c r="L22" i="25"/>
  <c r="K55" i="25"/>
  <c r="J14" i="1"/>
  <c r="AN55" i="1"/>
  <c r="AX72" i="36"/>
  <c r="BW28" i="41"/>
  <c r="CE14" i="36"/>
  <c r="CS14" i="26"/>
  <c r="CJ72" i="26"/>
  <c r="BE55" i="41"/>
  <c r="CZ38" i="26"/>
  <c r="AY19" i="39"/>
  <c r="AG82" i="38"/>
  <c r="BI35" i="37"/>
  <c r="AJ31" i="40"/>
  <c r="CN82" i="26"/>
  <c r="Z19" i="38"/>
  <c r="BC93" i="38"/>
  <c r="AJ68" i="36"/>
  <c r="BI51" i="36"/>
  <c r="Q21" i="37"/>
  <c r="G22" i="37"/>
  <c r="DF14" i="36"/>
  <c r="DD99" i="38"/>
  <c r="W19" i="40"/>
  <c r="CR104" i="40"/>
  <c r="CJ22" i="40"/>
  <c r="Z55" i="25"/>
  <c r="P28" i="41"/>
  <c r="BT14" i="36"/>
  <c r="AY72" i="1"/>
  <c r="Y46" i="39"/>
  <c r="AW19" i="26"/>
  <c r="BS99" i="25"/>
  <c r="N223" i="46"/>
  <c r="CB28" i="36"/>
  <c r="BR99" i="39"/>
  <c r="BX35" i="36"/>
  <c r="CH68" i="39"/>
  <c r="BB14" i="39"/>
  <c r="BV28" i="39"/>
  <c r="DC35" i="40"/>
  <c r="AK61" i="41"/>
  <c r="K31" i="41"/>
  <c r="CP93" i="41"/>
  <c r="AA63" i="1"/>
  <c r="CP31" i="38"/>
  <c r="I28" i="38"/>
  <c r="BB38" i="36"/>
  <c r="BE19" i="37"/>
  <c r="AC68" i="39"/>
  <c r="T14" i="39"/>
  <c r="CF11" i="25"/>
  <c r="I93" i="38"/>
  <c r="Y14" i="40"/>
  <c r="P82" i="41"/>
  <c r="DE19" i="39"/>
  <c r="DF76" i="26"/>
  <c r="CV19" i="40"/>
  <c r="AY104" i="36"/>
  <c r="AU72" i="41"/>
  <c r="S76" i="25"/>
  <c r="AK75" i="25"/>
  <c r="BP31" i="39"/>
  <c r="AN28" i="38"/>
  <c r="AB63" i="25"/>
  <c r="P38" i="26"/>
  <c r="CW51" i="37"/>
  <c r="H46" i="40"/>
  <c r="BX82" i="36"/>
  <c r="CW76" i="26"/>
  <c r="BX63" i="25"/>
  <c r="X38" i="1"/>
  <c r="CS63" i="36"/>
  <c r="CW28" i="1"/>
  <c r="I104" i="25"/>
  <c r="BV22" i="1"/>
  <c r="CL51" i="39"/>
  <c r="CC46" i="37"/>
  <c r="AO51" i="40"/>
  <c r="CC55" i="26"/>
  <c r="N11" i="1"/>
  <c r="AF35" i="37"/>
  <c r="CA38" i="38"/>
  <c r="CG82" i="38"/>
  <c r="AR104" i="26"/>
  <c r="DB22" i="36"/>
  <c r="AG72" i="36"/>
  <c r="DC14" i="37"/>
  <c r="CV14" i="41"/>
  <c r="CV15" i="41" s="1"/>
  <c r="CV99" i="1"/>
  <c r="M82" i="25"/>
  <c r="AE35" i="37"/>
  <c r="CV68" i="41"/>
  <c r="CE55" i="36"/>
  <c r="CB19" i="39"/>
  <c r="X82" i="41"/>
  <c r="CA63" i="1"/>
  <c r="CO82" i="37"/>
  <c r="AP14" i="25"/>
  <c r="DD11" i="38"/>
  <c r="DA63" i="40"/>
  <c r="AK62" i="36"/>
  <c r="DA72" i="40"/>
  <c r="BR55" i="26"/>
  <c r="DA68" i="25"/>
  <c r="DA38" i="40"/>
  <c r="BJ10" i="37"/>
  <c r="BY55" i="41"/>
  <c r="CA99" i="40"/>
  <c r="Q58" i="37"/>
  <c r="AI99" i="25"/>
  <c r="BZ63" i="38"/>
  <c r="BW51" i="40"/>
  <c r="BZ72" i="25"/>
  <c r="BP68" i="40"/>
  <c r="DE99" i="39"/>
  <c r="AK66" i="36"/>
  <c r="BF67" i="1"/>
  <c r="BS38" i="36"/>
  <c r="CK99" i="36"/>
  <c r="BW68" i="36"/>
  <c r="CO38" i="38"/>
  <c r="P99" i="26"/>
  <c r="P51" i="36"/>
  <c r="BA93" i="1"/>
  <c r="AK30" i="39"/>
  <c r="AS63" i="26"/>
  <c r="Q59" i="36"/>
  <c r="DF46" i="39"/>
  <c r="BS55" i="38"/>
  <c r="DF14" i="37"/>
  <c r="W63" i="40"/>
  <c r="DC68" i="1"/>
  <c r="BU63" i="36"/>
  <c r="J72" i="38"/>
  <c r="AF51" i="25"/>
  <c r="U56" i="60"/>
  <c r="BJ18" i="25"/>
  <c r="AO35" i="26"/>
  <c r="BJ66" i="36"/>
  <c r="BA55" i="26"/>
  <c r="CS11" i="39"/>
  <c r="BU11" i="36"/>
  <c r="AC68" i="25"/>
  <c r="CQ63" i="37"/>
  <c r="BS99" i="36"/>
  <c r="AT99" i="39"/>
  <c r="AI93" i="41"/>
  <c r="M72" i="26"/>
  <c r="BY38" i="40"/>
  <c r="BC68" i="1"/>
  <c r="BR31" i="41"/>
  <c r="DH75" i="36"/>
  <c r="BO76" i="36"/>
  <c r="BR38" i="26"/>
  <c r="AN63" i="26"/>
  <c r="BJ50" i="1"/>
  <c r="BD63" i="25"/>
  <c r="CR22" i="38"/>
  <c r="O31" i="39"/>
  <c r="X99" i="36"/>
  <c r="BZ22" i="38"/>
  <c r="CE104" i="25"/>
  <c r="AQ99" i="36"/>
  <c r="CC38" i="26"/>
  <c r="AS63" i="38"/>
  <c r="AN51" i="1"/>
  <c r="CV55" i="37"/>
  <c r="AU35" i="1"/>
  <c r="CR35" i="37"/>
  <c r="AF28" i="36"/>
  <c r="CK14" i="1"/>
  <c r="DF28" i="1"/>
  <c r="CD82" i="40"/>
  <c r="AR82" i="38"/>
  <c r="DE104" i="26"/>
  <c r="BJ37" i="38"/>
  <c r="BH38" i="38"/>
  <c r="CH31" i="1"/>
  <c r="CC35" i="1"/>
  <c r="CS104" i="41"/>
  <c r="Y68" i="26"/>
  <c r="AZ55" i="39"/>
  <c r="AC14" i="41"/>
  <c r="Z35" i="1"/>
  <c r="I279" i="46"/>
  <c r="AV28" i="39"/>
  <c r="BW19" i="1"/>
  <c r="CU46" i="38"/>
  <c r="V38" i="1"/>
  <c r="BJ98" i="26"/>
  <c r="G55" i="26"/>
  <c r="Q53" i="26"/>
  <c r="N11" i="39"/>
  <c r="BS76" i="38"/>
  <c r="CF46" i="37"/>
  <c r="BS11" i="41"/>
  <c r="W68" i="37"/>
  <c r="AU22" i="39"/>
  <c r="AW22" i="38"/>
  <c r="CY46" i="41"/>
  <c r="AK12" i="1"/>
  <c r="S14" i="1"/>
  <c r="AG68" i="1"/>
  <c r="BJ10" i="25"/>
  <c r="J51" i="41"/>
  <c r="CB63" i="25"/>
  <c r="AK34" i="25"/>
  <c r="S35" i="25"/>
  <c r="BC46" i="37"/>
  <c r="Z76" i="39"/>
  <c r="AS82" i="25"/>
  <c r="CH38" i="38"/>
  <c r="BF34" i="41"/>
  <c r="AM35" i="41"/>
  <c r="AR82" i="37"/>
  <c r="AS19" i="39"/>
  <c r="K82" i="25"/>
  <c r="CG31" i="37"/>
  <c r="Z82" i="37"/>
  <c r="AK25" i="41"/>
  <c r="X22" i="1"/>
  <c r="CK93" i="37"/>
  <c r="CJ35" i="41"/>
  <c r="DC104" i="25"/>
  <c r="AE68" i="25"/>
  <c r="CT104" i="25"/>
  <c r="CG28" i="25"/>
  <c r="CX68" i="36"/>
  <c r="BP51" i="36"/>
  <c r="AF55" i="36"/>
  <c r="G38" i="38"/>
  <c r="Q37" i="38"/>
  <c r="CU63" i="38"/>
  <c r="AR55" i="25"/>
  <c r="W35" i="38"/>
  <c r="BX46" i="37"/>
  <c r="AZ109" i="47"/>
  <c r="AK50" i="41"/>
  <c r="AQ72" i="26"/>
  <c r="AA19" i="26"/>
  <c r="CX82" i="1"/>
  <c r="AS68" i="40"/>
  <c r="I14" i="38"/>
  <c r="BQ99" i="40"/>
  <c r="CR14" i="40"/>
  <c r="CS63" i="26"/>
  <c r="BR93" i="41"/>
  <c r="CP22" i="26"/>
  <c r="AR46" i="41"/>
  <c r="L278" i="46"/>
  <c r="BX38" i="38"/>
  <c r="CH72" i="38"/>
  <c r="BQ31" i="38"/>
  <c r="T19" i="1"/>
  <c r="N35" i="1"/>
  <c r="BS76" i="41"/>
  <c r="AC31" i="40"/>
  <c r="DD22" i="39"/>
  <c r="DC76" i="40"/>
  <c r="AY72" i="39"/>
  <c r="CN28" i="38"/>
  <c r="DC22" i="1"/>
  <c r="U51" i="1"/>
  <c r="AT28" i="26"/>
  <c r="O19" i="1"/>
  <c r="AW22" i="25"/>
  <c r="CD35" i="40"/>
  <c r="CG28" i="41"/>
  <c r="K19" i="38"/>
  <c r="CO11" i="36"/>
  <c r="CV93" i="36"/>
  <c r="AK24" i="36"/>
  <c r="CE76" i="39"/>
  <c r="N35" i="25"/>
  <c r="AB28" i="1"/>
  <c r="DB22" i="39"/>
  <c r="CD68" i="38"/>
  <c r="L63" i="39"/>
  <c r="L11" i="41"/>
  <c r="G63" i="41"/>
  <c r="Q57" i="41"/>
  <c r="L63" i="37"/>
  <c r="CP14" i="36"/>
  <c r="CP15" i="36" s="1"/>
  <c r="N291" i="46"/>
  <c r="N302" i="46" s="1"/>
  <c r="DC19" i="26"/>
  <c r="L93" i="1"/>
  <c r="BS68" i="37"/>
  <c r="J76" i="25"/>
  <c r="AF76" i="41"/>
  <c r="DC93" i="36"/>
  <c r="H11" i="25"/>
  <c r="AA18" i="60"/>
  <c r="CL19" i="26"/>
  <c r="CE22" i="26"/>
  <c r="V82" i="37"/>
  <c r="AT22" i="1"/>
  <c r="X51" i="41"/>
  <c r="N11" i="36"/>
  <c r="AA68" i="41"/>
  <c r="AR82" i="39"/>
  <c r="CF99" i="25"/>
  <c r="AW55" i="25"/>
  <c r="AY35" i="40"/>
  <c r="S72" i="38"/>
  <c r="CB104" i="37"/>
  <c r="CJ19" i="40"/>
  <c r="BO99" i="39"/>
  <c r="DE93" i="40"/>
  <c r="BD38" i="26"/>
  <c r="O68" i="26"/>
  <c r="DA35" i="38"/>
  <c r="V76" i="37"/>
  <c r="AU93" i="39"/>
  <c r="CC93" i="39"/>
  <c r="P99" i="1"/>
  <c r="AN82" i="41"/>
  <c r="CH82" i="39"/>
  <c r="BI99" i="38"/>
  <c r="G35" i="38"/>
  <c r="Q34" i="38"/>
  <c r="CD99" i="36"/>
  <c r="DA14" i="36"/>
  <c r="AF38" i="38"/>
  <c r="BY82" i="36"/>
  <c r="CW93" i="39"/>
  <c r="CG93" i="25"/>
  <c r="AS35" i="1"/>
  <c r="DB31" i="36"/>
  <c r="DB32" i="36" s="1"/>
  <c r="AJ35" i="1"/>
  <c r="Z55" i="41"/>
  <c r="N55" i="36"/>
  <c r="CW35" i="37"/>
  <c r="DF19" i="36"/>
  <c r="AA99" i="40"/>
  <c r="CT99" i="38"/>
  <c r="CX63" i="36"/>
  <c r="CF31" i="39"/>
  <c r="Q67" i="25"/>
  <c r="DA28" i="39"/>
  <c r="AA104" i="41"/>
  <c r="AE46" i="60"/>
  <c r="BE76" i="39"/>
  <c r="DE28" i="40"/>
  <c r="Z51" i="40"/>
  <c r="CK76" i="26"/>
  <c r="AW63" i="26"/>
  <c r="BQ104" i="40"/>
  <c r="DD104" i="1"/>
  <c r="CB31" i="41"/>
  <c r="T39" i="60"/>
  <c r="CX11" i="41"/>
  <c r="BT38" i="36"/>
  <c r="CY76" i="39"/>
  <c r="AY28" i="41"/>
  <c r="CD68" i="41"/>
  <c r="CJ35" i="25"/>
  <c r="AN68" i="40"/>
  <c r="CH51" i="38"/>
  <c r="BV22" i="41"/>
  <c r="DA68" i="41"/>
  <c r="AK54" i="40"/>
  <c r="BC35" i="37"/>
  <c r="CC28" i="41"/>
  <c r="AN14" i="38"/>
  <c r="BS63" i="38"/>
  <c r="AI38" i="1"/>
  <c r="AT63" i="38"/>
  <c r="L22" i="26"/>
  <c r="AR72" i="39"/>
  <c r="AA93" i="39"/>
  <c r="BF66" i="39"/>
  <c r="CK93" i="26"/>
  <c r="BZ35" i="41"/>
  <c r="DC76" i="38"/>
  <c r="CA55" i="36"/>
  <c r="DD35" i="38"/>
  <c r="BY76" i="41"/>
  <c r="BW99" i="41"/>
  <c r="CO38" i="1"/>
  <c r="AS14" i="25"/>
  <c r="AO93" i="38"/>
  <c r="AX55" i="25"/>
  <c r="AO46" i="39"/>
  <c r="AW14" i="25"/>
  <c r="AW72" i="41"/>
  <c r="AA54" i="60"/>
  <c r="AL8" i="60"/>
  <c r="BF60" i="36"/>
  <c r="J99" i="1"/>
  <c r="BY35" i="25"/>
  <c r="S72" i="37"/>
  <c r="BC46" i="39"/>
  <c r="AK13" i="36"/>
  <c r="BT55" i="1"/>
  <c r="CU99" i="25"/>
  <c r="O35" i="1"/>
  <c r="AH28" i="40"/>
  <c r="AP51" i="38"/>
  <c r="J63" i="26"/>
  <c r="BS55" i="39"/>
  <c r="DH66" i="38"/>
  <c r="AO28" i="37"/>
  <c r="CW68" i="37"/>
  <c r="CJ46" i="26"/>
  <c r="W14" i="36"/>
  <c r="CK31" i="37"/>
  <c r="BV14" i="26"/>
  <c r="CE28" i="39"/>
  <c r="AA93" i="26"/>
  <c r="Z28" i="37"/>
  <c r="CQ68" i="40"/>
  <c r="CV104" i="40"/>
  <c r="AP22" i="1"/>
  <c r="AN63" i="36"/>
  <c r="H14" i="40"/>
  <c r="AU55" i="39"/>
  <c r="AW55" i="26"/>
  <c r="AI35" i="1"/>
  <c r="CA38" i="39"/>
  <c r="DD63" i="39"/>
  <c r="AT19" i="41"/>
  <c r="CG31" i="1"/>
  <c r="CG32" i="1" s="1"/>
  <c r="BH31" i="39"/>
  <c r="BJ29" i="39"/>
  <c r="CT31" i="1"/>
  <c r="AD68" i="25"/>
  <c r="CR46" i="41"/>
  <c r="BA31" i="1"/>
  <c r="CN63" i="40"/>
  <c r="Q21" i="25"/>
  <c r="G22" i="25"/>
  <c r="AU46" i="37"/>
  <c r="BF66" i="1"/>
  <c r="K76" i="40"/>
  <c r="P51" i="25"/>
  <c r="AG72" i="37"/>
  <c r="AI46" i="41"/>
  <c r="AQ82" i="39"/>
  <c r="P82" i="38"/>
  <c r="BE46" i="39"/>
  <c r="AQ14" i="41"/>
  <c r="AR11" i="25"/>
  <c r="T63" i="25"/>
  <c r="BT11" i="25"/>
  <c r="CY11" i="26"/>
  <c r="CR72" i="40"/>
  <c r="H116" i="50"/>
  <c r="CT51" i="37"/>
  <c r="BX93" i="37"/>
  <c r="BR14" i="38"/>
  <c r="CY93" i="1"/>
  <c r="CE93" i="40"/>
  <c r="CW68" i="41"/>
  <c r="CQ14" i="39"/>
  <c r="DC51" i="26"/>
  <c r="AY22" i="1"/>
  <c r="AV82" i="25"/>
  <c r="DC35" i="37"/>
  <c r="AP28" i="40"/>
  <c r="CF76" i="1"/>
  <c r="I93" i="39"/>
  <c r="CB82" i="25"/>
  <c r="AS63" i="25"/>
  <c r="AR104" i="41"/>
  <c r="AZ31" i="25"/>
  <c r="AA63" i="41"/>
  <c r="Y43" i="60"/>
  <c r="U18" i="60"/>
  <c r="AJ55" i="40"/>
  <c r="M76" i="1"/>
  <c r="DC76" i="36"/>
  <c r="CB51" i="1"/>
  <c r="H93" i="25"/>
  <c r="CK51" i="25"/>
  <c r="BB55" i="40"/>
  <c r="CO76" i="40"/>
  <c r="BW46" i="37"/>
  <c r="DF93" i="40"/>
  <c r="AA68" i="39"/>
  <c r="CV14" i="39"/>
  <c r="AE82" i="41"/>
  <c r="BE68" i="40"/>
  <c r="AN35" i="39"/>
  <c r="CQ22" i="37"/>
  <c r="BF58" i="36"/>
  <c r="Z31" i="40"/>
  <c r="DD99" i="41"/>
  <c r="V18" i="60"/>
  <c r="CJ55" i="36"/>
  <c r="CL11" i="41"/>
  <c r="CZ99" i="40"/>
  <c r="CS82" i="37"/>
  <c r="AX19" i="26"/>
  <c r="CC31" i="40"/>
  <c r="CQ55" i="25"/>
  <c r="CJ35" i="36"/>
  <c r="AI51" i="1"/>
  <c r="AC99" i="37"/>
  <c r="BS46" i="36"/>
  <c r="BV55" i="37"/>
  <c r="BY99" i="39"/>
  <c r="Z35" i="40"/>
  <c r="AO38" i="37"/>
  <c r="S99" i="41"/>
  <c r="AM19" i="39"/>
  <c r="BF17" i="39"/>
  <c r="Y39" i="60"/>
  <c r="AS38" i="38"/>
  <c r="AE72" i="25"/>
  <c r="DE46" i="26"/>
  <c r="T46" i="41"/>
  <c r="AU28" i="39"/>
  <c r="DE38" i="40"/>
  <c r="AF38" i="37"/>
  <c r="BF67" i="38"/>
  <c r="CV55" i="38"/>
  <c r="BH76" i="37"/>
  <c r="BJ76" i="37" s="1"/>
  <c r="BJ75" i="37"/>
  <c r="CM51" i="1"/>
  <c r="BV28" i="40"/>
  <c r="DE72" i="39"/>
  <c r="CA72" i="40"/>
  <c r="AB22" i="37"/>
  <c r="BF54" i="41"/>
  <c r="CZ51" i="25"/>
  <c r="BP19" i="36"/>
  <c r="AO11" i="37"/>
  <c r="AI22" i="36"/>
  <c r="CY68" i="38"/>
  <c r="AY104" i="37"/>
  <c r="M82" i="37"/>
  <c r="P55" i="26"/>
  <c r="AS93" i="41"/>
  <c r="N758" i="4"/>
  <c r="DH79" i="38"/>
  <c r="W63" i="41"/>
  <c r="CZ22" i="38"/>
  <c r="W14" i="40"/>
  <c r="BF59" i="40"/>
  <c r="CS38" i="26"/>
  <c r="Z93" i="38"/>
  <c r="AE31" i="39"/>
  <c r="O104" i="41"/>
  <c r="Y19" i="38"/>
  <c r="CR38" i="39"/>
  <c r="AR68" i="25"/>
  <c r="V49" i="60"/>
  <c r="W48" i="60"/>
  <c r="AH49" i="60"/>
  <c r="CQ35" i="36"/>
  <c r="P11" i="37"/>
  <c r="AE68" i="38"/>
  <c r="CX35" i="37"/>
  <c r="AE38" i="26"/>
  <c r="BD68" i="40"/>
  <c r="BD63" i="38"/>
  <c r="CQ14" i="38"/>
  <c r="CQ15" i="38" s="1"/>
  <c r="AI19" i="40"/>
  <c r="CV46" i="39"/>
  <c r="BO104" i="38"/>
  <c r="CS28" i="39"/>
  <c r="AG22" i="25"/>
  <c r="AR82" i="36"/>
  <c r="BS31" i="41"/>
  <c r="Q71" i="36"/>
  <c r="G72" i="36"/>
  <c r="AW72" i="36"/>
  <c r="CF76" i="38"/>
  <c r="DC82" i="26"/>
  <c r="CL22" i="39"/>
  <c r="AB31" i="36"/>
  <c r="AY31" i="41"/>
  <c r="CB19" i="37"/>
  <c r="CY46" i="37"/>
  <c r="CY68" i="26"/>
  <c r="BT46" i="26"/>
  <c r="DD38" i="38"/>
  <c r="BF25" i="25"/>
  <c r="CO31" i="38"/>
  <c r="CF11" i="36"/>
  <c r="CK51" i="40"/>
  <c r="BD14" i="37"/>
  <c r="AQ63" i="1"/>
  <c r="AD25" i="60"/>
  <c r="AV11" i="39"/>
  <c r="CT35" i="1"/>
  <c r="CJ63" i="37"/>
  <c r="S35" i="36"/>
  <c r="AK34" i="36"/>
  <c r="AJ104" i="38"/>
  <c r="AK79" i="1"/>
  <c r="S82" i="1"/>
  <c r="BD99" i="25"/>
  <c r="CA72" i="39"/>
  <c r="AK66" i="39"/>
  <c r="BA51" i="39"/>
  <c r="CR22" i="37"/>
  <c r="AV72" i="41"/>
  <c r="AR99" i="39"/>
  <c r="CA104" i="38"/>
  <c r="BA51" i="1"/>
  <c r="N14" i="38"/>
  <c r="CR19" i="40"/>
  <c r="CF19" i="36"/>
  <c r="DF11" i="36"/>
  <c r="AB104" i="39"/>
  <c r="CN19" i="26"/>
  <c r="AG49" i="60"/>
  <c r="V48" i="60"/>
  <c r="BS76" i="25"/>
  <c r="J22" i="36"/>
  <c r="P46" i="1"/>
  <c r="CF51" i="39"/>
  <c r="CY68" i="25"/>
  <c r="BQ72" i="40"/>
  <c r="AW104" i="36"/>
  <c r="BB72" i="26"/>
  <c r="AD38" i="40"/>
  <c r="K99" i="1"/>
  <c r="CD51" i="26"/>
  <c r="CX93" i="37"/>
  <c r="CL99" i="26"/>
  <c r="BS63" i="1"/>
  <c r="AF38" i="41"/>
  <c r="CJ93" i="36"/>
  <c r="N76" i="26"/>
  <c r="AJ35" i="38"/>
  <c r="BU72" i="26"/>
  <c r="T55" i="41"/>
  <c r="AG93" i="39"/>
  <c r="BT31" i="37"/>
  <c r="BU22" i="25"/>
  <c r="CL22" i="38"/>
  <c r="CB72" i="39"/>
  <c r="AJ93" i="26"/>
  <c r="CC63" i="38"/>
  <c r="N19" i="39"/>
  <c r="CP93" i="25"/>
  <c r="BR72" i="39"/>
  <c r="AG104" i="1"/>
  <c r="CV22" i="41"/>
  <c r="AI68" i="26"/>
  <c r="CH11" i="39"/>
  <c r="BZ68" i="25"/>
  <c r="CS63" i="38"/>
  <c r="CY51" i="1"/>
  <c r="CA35" i="1"/>
  <c r="X28" i="1"/>
  <c r="U93" i="37"/>
  <c r="AQ76" i="36"/>
  <c r="BA46" i="37"/>
  <c r="DA55" i="26"/>
  <c r="CZ35" i="40"/>
  <c r="CA63" i="37"/>
  <c r="AY82" i="41"/>
  <c r="U14" i="60"/>
  <c r="BR46" i="26"/>
  <c r="BA68" i="25"/>
  <c r="BY104" i="25"/>
  <c r="BB51" i="36"/>
  <c r="AK26" i="60"/>
  <c r="CR38" i="38"/>
  <c r="P72" i="41"/>
  <c r="DD72" i="41"/>
  <c r="AC31" i="39"/>
  <c r="L22" i="37"/>
  <c r="G35" i="1"/>
  <c r="Q34" i="1"/>
  <c r="AN104" i="39"/>
  <c r="CE19" i="37"/>
  <c r="AJ35" i="41"/>
  <c r="AZ11" i="25"/>
  <c r="AU51" i="36"/>
  <c r="J55" i="39"/>
  <c r="AC31" i="41"/>
  <c r="BB93" i="36"/>
  <c r="N22" i="36"/>
  <c r="CN99" i="39"/>
  <c r="CM72" i="41"/>
  <c r="DA22" i="1"/>
  <c r="DF14" i="26"/>
  <c r="CU22" i="36"/>
  <c r="CT31" i="39"/>
  <c r="AY22" i="39"/>
  <c r="AE19" i="1"/>
  <c r="AW14" i="1"/>
  <c r="DD35" i="25"/>
  <c r="CZ19" i="40"/>
  <c r="Z46" i="38"/>
  <c r="DE35" i="40"/>
  <c r="V63" i="41"/>
  <c r="BF62" i="26"/>
  <c r="CN68" i="1"/>
  <c r="BJ98" i="41"/>
  <c r="BR99" i="41"/>
  <c r="BZ68" i="41"/>
  <c r="BR63" i="36"/>
  <c r="BX35" i="39"/>
  <c r="DC46" i="38"/>
  <c r="CK31" i="41"/>
  <c r="AQ51" i="36"/>
  <c r="CK28" i="26"/>
  <c r="CK32" i="26" s="1"/>
  <c r="N82" i="25"/>
  <c r="BC104" i="1"/>
  <c r="T46" i="25"/>
  <c r="AT82" i="25"/>
  <c r="CN55" i="41"/>
  <c r="CJ55" i="37"/>
  <c r="DB68" i="40"/>
  <c r="CM68" i="37"/>
  <c r="CR104" i="25"/>
  <c r="Z38" i="26"/>
  <c r="G245" i="46"/>
  <c r="Y35" i="1"/>
  <c r="CC35" i="38"/>
  <c r="AM104" i="25"/>
  <c r="BF102" i="25"/>
  <c r="CC99" i="39"/>
  <c r="P93" i="26"/>
  <c r="CM22" i="26"/>
  <c r="AY35" i="38"/>
  <c r="AS31" i="39"/>
  <c r="L221" i="46"/>
  <c r="DF38" i="25"/>
  <c r="AK57" i="40"/>
  <c r="S63" i="40"/>
  <c r="CJ11" i="40"/>
  <c r="AH104" i="40"/>
  <c r="X19" i="1"/>
  <c r="BE14" i="36"/>
  <c r="AO46" i="36"/>
  <c r="G22" i="1"/>
  <c r="Q21" i="1"/>
  <c r="BI38" i="36"/>
  <c r="O68" i="41"/>
  <c r="Y99" i="1"/>
  <c r="T19" i="36"/>
  <c r="AP46" i="36"/>
  <c r="DF55" i="1"/>
  <c r="CO46" i="39"/>
  <c r="CV19" i="39"/>
  <c r="Z82" i="25"/>
  <c r="DB14" i="26"/>
  <c r="Q24" i="26"/>
  <c r="BF102" i="38"/>
  <c r="AM104" i="38"/>
  <c r="CD14" i="26"/>
  <c r="AU82" i="40"/>
  <c r="BX28" i="39"/>
  <c r="M28" i="38"/>
  <c r="CU104" i="40"/>
  <c r="O51" i="37"/>
  <c r="CS68" i="25"/>
  <c r="DA31" i="39"/>
  <c r="BR55" i="39"/>
  <c r="CN104" i="38"/>
  <c r="BZ76" i="41"/>
  <c r="DC19" i="40"/>
  <c r="M19" i="38"/>
  <c r="CL68" i="26"/>
  <c r="AR63" i="25"/>
  <c r="CP38" i="40"/>
  <c r="CV51" i="38"/>
  <c r="CE68" i="40"/>
  <c r="BB51" i="39"/>
  <c r="AO104" i="39"/>
  <c r="AY68" i="36"/>
  <c r="BU104" i="38"/>
  <c r="Q75" i="41"/>
  <c r="G76" i="41"/>
  <c r="AK10" i="37"/>
  <c r="AV31" i="40"/>
  <c r="W31" i="41"/>
  <c r="I55" i="37"/>
  <c r="BS14" i="25"/>
  <c r="Z28" i="26"/>
  <c r="T18" i="60"/>
  <c r="BB104" i="36"/>
  <c r="O11" i="26"/>
  <c r="BW51" i="1"/>
  <c r="DH79" i="1"/>
  <c r="H104" i="26"/>
  <c r="P14" i="41"/>
  <c r="CX19" i="41"/>
  <c r="BJ50" i="36"/>
  <c r="CL63" i="39"/>
  <c r="H51" i="41"/>
  <c r="CR51" i="40"/>
  <c r="I82" i="1"/>
  <c r="AH35" i="26"/>
  <c r="BX14" i="41"/>
  <c r="X93" i="26"/>
  <c r="BQ35" i="38"/>
  <c r="CU14" i="41"/>
  <c r="AB14" i="36"/>
  <c r="AV104" i="40"/>
  <c r="CI99" i="39"/>
  <c r="AB82" i="41"/>
  <c r="BD38" i="39"/>
  <c r="CN19" i="37"/>
  <c r="K93" i="25"/>
  <c r="AQ38" i="40"/>
  <c r="BF21" i="36"/>
  <c r="AM22" i="36"/>
  <c r="Z11" i="38"/>
  <c r="CP19" i="41"/>
  <c r="T51" i="36"/>
  <c r="DC72" i="38"/>
  <c r="AT46" i="1"/>
  <c r="AC11" i="41"/>
  <c r="BB104" i="38"/>
  <c r="DD14" i="38"/>
  <c r="DD15" i="38" s="1"/>
  <c r="AI32" i="60"/>
  <c r="BS51" i="36"/>
  <c r="CQ99" i="38"/>
  <c r="M11" i="25"/>
  <c r="AP19" i="25"/>
  <c r="N14" i="1"/>
  <c r="N15" i="1" s="1"/>
  <c r="CZ11" i="38"/>
  <c r="AY31" i="37"/>
  <c r="DA35" i="26"/>
  <c r="U35" i="40"/>
  <c r="Q27" i="25"/>
  <c r="BR99" i="26"/>
  <c r="AT14" i="41"/>
  <c r="BY68" i="1"/>
  <c r="AF38" i="26"/>
  <c r="BU38" i="39"/>
  <c r="CY19" i="26"/>
  <c r="Q92" i="41"/>
  <c r="BZ51" i="36"/>
  <c r="BW22" i="37"/>
  <c r="CM11" i="40"/>
  <c r="BT99" i="26"/>
  <c r="AB99" i="37"/>
  <c r="CD35" i="41"/>
  <c r="K31" i="39"/>
  <c r="BJ9" i="37"/>
  <c r="BH11" i="37"/>
  <c r="CH104" i="40"/>
  <c r="CE31" i="36"/>
  <c r="AW28" i="41"/>
  <c r="BE97" i="25"/>
  <c r="BF97" i="25" s="1"/>
  <c r="BS55" i="26"/>
  <c r="BJ24" i="38"/>
  <c r="BA51" i="38"/>
  <c r="BF67" i="26"/>
  <c r="AD22" i="26"/>
  <c r="AY31" i="36"/>
  <c r="AN31" i="37"/>
  <c r="AN32" i="37" s="1"/>
  <c r="BU38" i="41"/>
  <c r="CN51" i="39"/>
  <c r="M46" i="38"/>
  <c r="CV55" i="25"/>
  <c r="CZ99" i="25"/>
  <c r="BP72" i="41"/>
  <c r="BV51" i="38"/>
  <c r="DB19" i="39"/>
  <c r="CE68" i="36"/>
  <c r="DA82" i="41"/>
  <c r="CL31" i="37"/>
  <c r="CS72" i="1"/>
  <c r="H76" i="38"/>
  <c r="BG109" i="47"/>
  <c r="CF68" i="38"/>
  <c r="AK25" i="40"/>
  <c r="AE104" i="36"/>
  <c r="CE63" i="1"/>
  <c r="CD31" i="39"/>
  <c r="DD28" i="40"/>
  <c r="DB31" i="41"/>
  <c r="AP72" i="1"/>
  <c r="DA46" i="36"/>
  <c r="P19" i="1"/>
  <c r="CD51" i="37"/>
  <c r="K93" i="1"/>
  <c r="K106" i="1" s="1"/>
  <c r="O51" i="41"/>
  <c r="CV51" i="39"/>
  <c r="CQ72" i="41"/>
  <c r="CI93" i="1"/>
  <c r="BI22" i="37"/>
  <c r="CI63" i="36"/>
  <c r="CH82" i="26"/>
  <c r="AG46" i="41"/>
  <c r="AB93" i="36"/>
  <c r="AQ55" i="38"/>
  <c r="H82" i="36"/>
  <c r="CW63" i="37"/>
  <c r="Y99" i="39"/>
  <c r="CE11" i="1"/>
  <c r="BA55" i="41"/>
  <c r="Y76" i="41"/>
  <c r="W18" i="60"/>
  <c r="DC46" i="41"/>
  <c r="DH75" i="38"/>
  <c r="BO76" i="38"/>
  <c r="AJ38" i="25"/>
  <c r="CE93" i="25"/>
  <c r="BR22" i="25"/>
  <c r="CC68" i="36"/>
  <c r="Z28" i="39"/>
  <c r="CJ19" i="1"/>
  <c r="BJ30" i="39"/>
  <c r="AJ63" i="36"/>
  <c r="CW68" i="40"/>
  <c r="X22" i="25"/>
  <c r="CO82" i="41"/>
  <c r="CW99" i="1"/>
  <c r="CC82" i="37"/>
  <c r="CJ76" i="39"/>
  <c r="K35" i="36"/>
  <c r="CY22" i="37"/>
  <c r="CS35" i="41"/>
  <c r="BB104" i="41"/>
  <c r="AR14" i="37"/>
  <c r="CH19" i="41"/>
  <c r="CJ72" i="25"/>
  <c r="BE55" i="36"/>
  <c r="CF38" i="25"/>
  <c r="T35" i="37"/>
  <c r="AC22" i="37"/>
  <c r="CU19" i="37"/>
  <c r="L19" i="40"/>
  <c r="AI14" i="37"/>
  <c r="AC55" i="1"/>
  <c r="BI19" i="37"/>
  <c r="Z22" i="40"/>
  <c r="AA104" i="39"/>
  <c r="AV11" i="25"/>
  <c r="BF58" i="39"/>
  <c r="BS35" i="25"/>
  <c r="J11" i="36"/>
  <c r="CR72" i="1"/>
  <c r="U35" i="37"/>
  <c r="DD19" i="38"/>
  <c r="H31" i="26"/>
  <c r="BF96" i="36"/>
  <c r="AM99" i="36"/>
  <c r="AS68" i="38"/>
  <c r="P93" i="41"/>
  <c r="AJ31" i="38"/>
  <c r="CI76" i="1"/>
  <c r="BX11" i="36"/>
  <c r="AV76" i="36"/>
  <c r="AN76" i="25"/>
  <c r="H35" i="25"/>
  <c r="CN51" i="1"/>
  <c r="O55" i="37"/>
  <c r="CI38" i="40"/>
  <c r="CJ19" i="36"/>
  <c r="AG55" i="26"/>
  <c r="AR46" i="36"/>
  <c r="DC99" i="37"/>
  <c r="CX19" i="40"/>
  <c r="CB93" i="40"/>
  <c r="BY35" i="41"/>
  <c r="BB63" i="39"/>
  <c r="AW76" i="25"/>
  <c r="Z76" i="25"/>
  <c r="AQ19" i="38"/>
  <c r="BQ63" i="26"/>
  <c r="BZ14" i="39"/>
  <c r="AQ68" i="41"/>
  <c r="AP104" i="26"/>
  <c r="CX14" i="25"/>
  <c r="BI11" i="40"/>
  <c r="Q62" i="40"/>
  <c r="BI76" i="41"/>
  <c r="BH19" i="36"/>
  <c r="BJ17" i="36"/>
  <c r="BV99" i="40"/>
  <c r="Q60" i="1"/>
  <c r="AS19" i="38"/>
  <c r="CY68" i="36"/>
  <c r="CJ104" i="37"/>
  <c r="AF19" i="38"/>
  <c r="AO72" i="25"/>
  <c r="CD38" i="1"/>
  <c r="V93" i="25"/>
  <c r="BT19" i="37"/>
  <c r="BF62" i="40"/>
  <c r="BT68" i="36"/>
  <c r="BC104" i="40"/>
  <c r="CZ11" i="40"/>
  <c r="CW11" i="1"/>
  <c r="AM11" i="36"/>
  <c r="DB31" i="38"/>
  <c r="BV72" i="38"/>
  <c r="AQ82" i="26"/>
  <c r="CK19" i="25"/>
  <c r="CU11" i="41"/>
  <c r="BI28" i="39"/>
  <c r="CP76" i="39"/>
  <c r="Q91" i="26"/>
  <c r="AG22" i="37"/>
  <c r="AD68" i="36"/>
  <c r="T55" i="1"/>
  <c r="BC19" i="1"/>
  <c r="AA14" i="39"/>
  <c r="V14" i="41"/>
  <c r="CR22" i="41"/>
  <c r="BR35" i="40"/>
  <c r="M55" i="26"/>
  <c r="M35" i="40"/>
  <c r="L46" i="37"/>
  <c r="AI72" i="26"/>
  <c r="CG63" i="41"/>
  <c r="CA55" i="25"/>
  <c r="AW14" i="40"/>
  <c r="CZ68" i="1"/>
  <c r="BO22" i="41"/>
  <c r="DH21" i="41"/>
  <c r="CR19" i="36"/>
  <c r="CZ19" i="26"/>
  <c r="CQ31" i="1"/>
  <c r="CQ32" i="1" s="1"/>
  <c r="CC11" i="40"/>
  <c r="CD38" i="26"/>
  <c r="CL99" i="37"/>
  <c r="AX99" i="1"/>
  <c r="DC51" i="39"/>
  <c r="DH65" i="36"/>
  <c r="BO68" i="36"/>
  <c r="DH30" i="37"/>
  <c r="AT35" i="36"/>
  <c r="Z93" i="25"/>
  <c r="AR38" i="37"/>
  <c r="Y72" i="38"/>
  <c r="CR31" i="39"/>
  <c r="L14" i="37"/>
  <c r="BD104" i="41"/>
  <c r="AC31" i="38"/>
  <c r="CS68" i="41"/>
  <c r="BF18" i="37"/>
  <c r="CG14" i="25"/>
  <c r="CC82" i="39"/>
  <c r="DC22" i="41"/>
  <c r="BB93" i="25"/>
  <c r="BB106" i="25" s="1"/>
  <c r="BD55" i="26"/>
  <c r="K29" i="64"/>
  <c r="P55" i="1"/>
  <c r="AS35" i="40"/>
  <c r="AF11" i="37"/>
  <c r="DE68" i="40"/>
  <c r="G758" i="4"/>
  <c r="AI51" i="38"/>
  <c r="L72" i="36"/>
  <c r="AR82" i="1"/>
  <c r="CS28" i="36"/>
  <c r="CC55" i="25"/>
  <c r="BE46" i="25"/>
  <c r="L38" i="38"/>
  <c r="Q48" i="38"/>
  <c r="G51" i="38"/>
  <c r="CJ46" i="41"/>
  <c r="BT63" i="38"/>
  <c r="G68" i="46"/>
  <c r="Y99" i="25"/>
  <c r="CK51" i="41"/>
  <c r="AV38" i="40"/>
  <c r="U72" i="41"/>
  <c r="CY63" i="25"/>
  <c r="H22" i="36"/>
  <c r="Z46" i="26"/>
  <c r="T36" i="60"/>
  <c r="CA31" i="37"/>
  <c r="DF19" i="37"/>
  <c r="AT31" i="37"/>
  <c r="T99" i="36"/>
  <c r="CP104" i="41"/>
  <c r="BI51" i="25"/>
  <c r="AD76" i="39"/>
  <c r="BX22" i="38"/>
  <c r="BC51" i="26"/>
  <c r="BY104" i="38"/>
  <c r="CF99" i="39"/>
  <c r="BW104" i="26"/>
  <c r="AE51" i="37"/>
  <c r="AB82" i="25"/>
  <c r="BF59" i="38"/>
  <c r="Q65" i="25"/>
  <c r="G68" i="25"/>
  <c r="AJ93" i="38"/>
  <c r="AK67" i="38"/>
  <c r="G28" i="38"/>
  <c r="Q26" i="38"/>
  <c r="H19" i="25"/>
  <c r="AP55" i="1"/>
  <c r="I55" i="39"/>
  <c r="I38" i="41"/>
  <c r="AO38" i="1"/>
  <c r="DC76" i="37"/>
  <c r="M99" i="36"/>
  <c r="CF19" i="1"/>
  <c r="AS55" i="39"/>
  <c r="M51" i="38"/>
  <c r="T51" i="26"/>
  <c r="AV82" i="1"/>
  <c r="AX63" i="26"/>
  <c r="AZ46" i="39"/>
  <c r="AG31" i="36"/>
  <c r="AP35" i="39"/>
  <c r="BU82" i="37"/>
  <c r="AX31" i="41"/>
  <c r="Q30" i="38"/>
  <c r="DC104" i="37"/>
  <c r="AF63" i="38"/>
  <c r="AZ99" i="40"/>
  <c r="CA28" i="39"/>
  <c r="CN72" i="36"/>
  <c r="AK59" i="37"/>
  <c r="CW28" i="41"/>
  <c r="Z38" i="36"/>
  <c r="DA63" i="1"/>
  <c r="BJ49" i="38"/>
  <c r="BT35" i="38"/>
  <c r="BS19" i="36"/>
  <c r="AJ93" i="1"/>
  <c r="BJ27" i="41"/>
  <c r="AT35" i="1"/>
  <c r="DA76" i="41"/>
  <c r="BI51" i="38"/>
  <c r="I46" i="37"/>
  <c r="BA51" i="41"/>
  <c r="DA14" i="40"/>
  <c r="DA15" i="40" s="1"/>
  <c r="Z31" i="37"/>
  <c r="AT76" i="37"/>
  <c r="BF29" i="1"/>
  <c r="AM31" i="1"/>
  <c r="BO51" i="25"/>
  <c r="DH48" i="25"/>
  <c r="BD72" i="40"/>
  <c r="O38" i="37"/>
  <c r="DH59" i="1"/>
  <c r="CJ31" i="39"/>
  <c r="BE11" i="26"/>
  <c r="BX63" i="38"/>
  <c r="CS99" i="26"/>
  <c r="BQ99" i="36"/>
  <c r="CH11" i="41"/>
  <c r="X50" i="60"/>
  <c r="BA63" i="26"/>
  <c r="DA32" i="39"/>
  <c r="AB31" i="26"/>
  <c r="BS51" i="39"/>
  <c r="BT68" i="38"/>
  <c r="BQ22" i="25"/>
  <c r="CH19" i="40"/>
  <c r="AZ11" i="36"/>
  <c r="CB68" i="40"/>
  <c r="CX99" i="25"/>
  <c r="CQ19" i="41"/>
  <c r="AT46" i="36"/>
  <c r="AE68" i="37"/>
  <c r="BW68" i="38"/>
  <c r="Z99" i="36"/>
  <c r="AQ82" i="25"/>
  <c r="AE22" i="38"/>
  <c r="DC68" i="38"/>
  <c r="BQ51" i="39"/>
  <c r="O76" i="40"/>
  <c r="BF27" i="40"/>
  <c r="X28" i="39"/>
  <c r="CD55" i="26"/>
  <c r="AV72" i="39"/>
  <c r="CS11" i="1"/>
  <c r="CC76" i="40"/>
  <c r="BF67" i="41"/>
  <c r="BS104" i="39"/>
  <c r="CE72" i="26"/>
  <c r="BF66" i="25"/>
  <c r="AJ11" i="37"/>
  <c r="AZ22" i="40"/>
  <c r="BX35" i="41"/>
  <c r="CD76" i="1"/>
  <c r="CL68" i="1"/>
  <c r="DC104" i="36"/>
  <c r="E29" i="64"/>
  <c r="CB104" i="25"/>
  <c r="S99" i="1"/>
  <c r="U55" i="25"/>
  <c r="AC72" i="36"/>
  <c r="BV19" i="40"/>
  <c r="BR31" i="37"/>
  <c r="CI31" i="40"/>
  <c r="AO76" i="41"/>
  <c r="CH63" i="26"/>
  <c r="H19" i="26"/>
  <c r="AN22" i="38"/>
  <c r="CD35" i="36"/>
  <c r="BF29" i="26"/>
  <c r="AM31" i="26"/>
  <c r="AC72" i="41"/>
  <c r="CV76" i="38"/>
  <c r="P31" i="41"/>
  <c r="P32" i="41" s="1"/>
  <c r="AJ63" i="41"/>
  <c r="BI46" i="39"/>
  <c r="AI51" i="41"/>
  <c r="BE35" i="40"/>
  <c r="CM38" i="37"/>
  <c r="AA22" i="26"/>
  <c r="CZ22" i="26"/>
  <c r="BH51" i="38"/>
  <c r="BJ48" i="38"/>
  <c r="CA68" i="38"/>
  <c r="U28" i="39"/>
  <c r="BA72" i="38"/>
  <c r="CE104" i="26"/>
  <c r="BY93" i="26"/>
  <c r="DH24" i="40"/>
  <c r="AF104" i="39"/>
  <c r="G68" i="39"/>
  <c r="Q65" i="39"/>
  <c r="AY51" i="39"/>
  <c r="V31" i="38"/>
  <c r="U14" i="25"/>
  <c r="CS11" i="37"/>
  <c r="BZ72" i="37"/>
  <c r="AI99" i="26"/>
  <c r="CR38" i="1"/>
  <c r="Y72" i="1"/>
  <c r="CR22" i="26"/>
  <c r="CJ104" i="41"/>
  <c r="CU72" i="38"/>
  <c r="M22" i="1"/>
  <c r="CF99" i="36"/>
  <c r="Y82" i="40"/>
  <c r="AF35" i="41"/>
  <c r="DB51" i="36"/>
  <c r="AH104" i="38"/>
  <c r="AQ28" i="40"/>
  <c r="J31" i="25"/>
  <c r="CH28" i="38"/>
  <c r="CM104" i="40"/>
  <c r="BX76" i="36"/>
  <c r="DF11" i="26"/>
  <c r="DE55" i="39"/>
  <c r="BI38" i="37"/>
  <c r="AI104" i="41"/>
  <c r="DB82" i="38"/>
  <c r="CT35" i="38"/>
  <c r="DA51" i="39"/>
  <c r="AZ55" i="37"/>
  <c r="CS11" i="40"/>
  <c r="T76" i="38"/>
  <c r="AI14" i="41"/>
  <c r="AO82" i="25"/>
  <c r="AC46" i="1"/>
  <c r="Y24" i="60"/>
  <c r="AJ47" i="60"/>
  <c r="AK50" i="40"/>
  <c r="BT51" i="25"/>
  <c r="DC14" i="1"/>
  <c r="BU46" i="39"/>
  <c r="AE82" i="1"/>
  <c r="CL11" i="37"/>
  <c r="CF93" i="39"/>
  <c r="CV38" i="25"/>
  <c r="CR68" i="37"/>
  <c r="AA14" i="40"/>
  <c r="BV51" i="40"/>
  <c r="X82" i="1"/>
  <c r="Y21" i="60"/>
  <c r="CU51" i="36"/>
  <c r="CD72" i="25"/>
  <c r="AS46" i="41"/>
  <c r="Z35" i="41"/>
  <c r="CT51" i="26"/>
  <c r="CF82" i="37"/>
  <c r="DB38" i="36"/>
  <c r="CG11" i="37"/>
  <c r="CN99" i="25"/>
  <c r="CX38" i="38"/>
  <c r="CU31" i="39"/>
  <c r="CQ51" i="39"/>
  <c r="DF46" i="1"/>
  <c r="H28" i="40"/>
  <c r="X14" i="37"/>
  <c r="BV55" i="41"/>
  <c r="CW31" i="1"/>
  <c r="BX11" i="1"/>
  <c r="BU14" i="1"/>
  <c r="BH51" i="41"/>
  <c r="BJ48" i="41"/>
  <c r="X76" i="39"/>
  <c r="BF30" i="40"/>
  <c r="BX93" i="39"/>
  <c r="AF38" i="40"/>
  <c r="AP19" i="38"/>
  <c r="AS31" i="36"/>
  <c r="T68" i="36"/>
  <c r="BA46" i="39"/>
  <c r="DC31" i="40"/>
  <c r="BV11" i="37"/>
  <c r="CO46" i="40"/>
  <c r="BI38" i="39"/>
  <c r="Z68" i="37"/>
  <c r="CO93" i="26"/>
  <c r="AX104" i="36"/>
  <c r="CB38" i="38"/>
  <c r="AK27" i="41"/>
  <c r="CL28" i="1"/>
  <c r="BZ51" i="38"/>
  <c r="Y38" i="36"/>
  <c r="CT28" i="40"/>
  <c r="AO28" i="38"/>
  <c r="DB68" i="39"/>
  <c r="BB35" i="36"/>
  <c r="CC19" i="25"/>
  <c r="BE55" i="25"/>
  <c r="AA99" i="38"/>
  <c r="BJ79" i="26"/>
  <c r="BX22" i="41"/>
  <c r="CQ28" i="39"/>
  <c r="AY322" i="47"/>
  <c r="BE72" i="37"/>
  <c r="Q98" i="25"/>
  <c r="Q45" i="26"/>
  <c r="G46" i="26"/>
  <c r="BS76" i="40"/>
  <c r="I46" i="36"/>
  <c r="AY99" i="41"/>
  <c r="BY82" i="39"/>
  <c r="CM31" i="25"/>
  <c r="BC31" i="36"/>
  <c r="DE72" i="37"/>
  <c r="BO68" i="40"/>
  <c r="DH65" i="40"/>
  <c r="CV35" i="37"/>
  <c r="P51" i="1"/>
  <c r="AS72" i="40"/>
  <c r="BJ13" i="40"/>
  <c r="AX63" i="38"/>
  <c r="BP68" i="39"/>
  <c r="AG19" i="41"/>
  <c r="CF68" i="26"/>
  <c r="N31" i="38"/>
  <c r="BZ93" i="26"/>
  <c r="N72" i="37"/>
  <c r="BW82" i="26"/>
  <c r="CA55" i="1"/>
  <c r="CJ99" i="36"/>
  <c r="BS11" i="38"/>
  <c r="CP14" i="37"/>
  <c r="CP15" i="37" s="1"/>
  <c r="DD76" i="37"/>
  <c r="CW99" i="38"/>
  <c r="BD104" i="36"/>
  <c r="N55" i="1"/>
  <c r="DE99" i="25"/>
  <c r="BI28" i="41"/>
  <c r="AH22" i="36"/>
  <c r="BU19" i="36"/>
  <c r="L93" i="40"/>
  <c r="K19" i="40"/>
  <c r="CT14" i="1"/>
  <c r="BE35" i="39"/>
  <c r="DA104" i="39"/>
  <c r="CG55" i="1"/>
  <c r="BI38" i="1"/>
  <c r="BY28" i="41"/>
  <c r="Q21" i="40"/>
  <c r="G22" i="40"/>
  <c r="CO35" i="38"/>
  <c r="CX104" i="39"/>
  <c r="AY63" i="37"/>
  <c r="AP19" i="39"/>
  <c r="AG14" i="38"/>
  <c r="CK22" i="38"/>
  <c r="BP31" i="41"/>
  <c r="BP32" i="41" s="1"/>
  <c r="BB14" i="37"/>
  <c r="AC72" i="38"/>
  <c r="AU11" i="41"/>
  <c r="BD46" i="26"/>
  <c r="L22" i="38"/>
  <c r="BX104" i="37"/>
  <c r="AX76" i="37"/>
  <c r="BJ49" i="26"/>
  <c r="DB55" i="38"/>
  <c r="DE46" i="39"/>
  <c r="CU76" i="39"/>
  <c r="DC35" i="39"/>
  <c r="BJ98" i="1"/>
  <c r="AO14" i="41"/>
  <c r="CT38" i="37"/>
  <c r="CC38" i="41"/>
  <c r="CW31" i="37"/>
  <c r="CQ55" i="26"/>
  <c r="AN51" i="39"/>
  <c r="J46" i="37"/>
  <c r="AT38" i="36"/>
  <c r="V51" i="1"/>
  <c r="CX46" i="41"/>
  <c r="Y11" i="39"/>
  <c r="BU38" i="40"/>
  <c r="DA51" i="36"/>
  <c r="AS22" i="26"/>
  <c r="CH93" i="38"/>
  <c r="DE19" i="38"/>
  <c r="Y19" i="36"/>
  <c r="CH55" i="38"/>
  <c r="J55" i="36"/>
  <c r="CG104" i="36"/>
  <c r="CJ11" i="38"/>
  <c r="AA35" i="41"/>
  <c r="CU22" i="1"/>
  <c r="CV55" i="1"/>
  <c r="AS82" i="36"/>
  <c r="CF19" i="39"/>
  <c r="CC93" i="41"/>
  <c r="BF50" i="41"/>
  <c r="AU51" i="25"/>
  <c r="AY51" i="38"/>
  <c r="AC35" i="25"/>
  <c r="DH26" i="41"/>
  <c r="BO28" i="41"/>
  <c r="AR35" i="25"/>
  <c r="V53" i="60"/>
  <c r="BI63" i="25"/>
  <c r="DH61" i="25"/>
  <c r="DF46" i="38"/>
  <c r="M63" i="40"/>
  <c r="CB55" i="41"/>
  <c r="BS28" i="25"/>
  <c r="BI76" i="26"/>
  <c r="BO68" i="26"/>
  <c r="DH65" i="26"/>
  <c r="CU19" i="40"/>
  <c r="CM99" i="36"/>
  <c r="K99" i="40"/>
  <c r="AX19" i="41"/>
  <c r="CR46" i="26"/>
  <c r="U38" i="1"/>
  <c r="CC63" i="26"/>
  <c r="CQ93" i="1"/>
  <c r="CF22" i="26"/>
  <c r="Z63" i="41"/>
  <c r="CO22" i="26"/>
  <c r="AH82" i="37"/>
  <c r="AK24" i="26"/>
  <c r="AP104" i="25"/>
  <c r="CQ51" i="1"/>
  <c r="CK72" i="26"/>
  <c r="BA63" i="1"/>
  <c r="W36" i="60"/>
  <c r="L46" i="38"/>
  <c r="N38" i="38"/>
  <c r="DH24" i="39"/>
  <c r="AI38" i="37"/>
  <c r="I287" i="46"/>
  <c r="I298" i="46" s="1"/>
  <c r="BE14" i="38"/>
  <c r="CZ51" i="40"/>
  <c r="J51" i="37"/>
  <c r="DD35" i="41"/>
  <c r="N19" i="40"/>
  <c r="CB76" i="25"/>
  <c r="CT11" i="38"/>
  <c r="CL93" i="26"/>
  <c r="P11" i="26"/>
  <c r="BZ35" i="1"/>
  <c r="AB35" i="39"/>
  <c r="K11" i="25"/>
  <c r="DE55" i="1"/>
  <c r="CI99" i="38"/>
  <c r="BJ13" i="1"/>
  <c r="DD38" i="25"/>
  <c r="CX28" i="39"/>
  <c r="AK61" i="26"/>
  <c r="CB46" i="39"/>
  <c r="CA68" i="36"/>
  <c r="CP19" i="39"/>
  <c r="X11" i="1"/>
  <c r="BJ98" i="36"/>
  <c r="AH35" i="41"/>
  <c r="BH76" i="41"/>
  <c r="BJ76" i="41" s="1"/>
  <c r="BJ75" i="41"/>
  <c r="N76" i="37"/>
  <c r="BX76" i="41"/>
  <c r="AU68" i="37"/>
  <c r="AP93" i="26"/>
  <c r="CR11" i="41"/>
  <c r="I28" i="1"/>
  <c r="Q98" i="39"/>
  <c r="CR76" i="40"/>
  <c r="AN14" i="37"/>
  <c r="BZ104" i="39"/>
  <c r="AY99" i="36"/>
  <c r="U72" i="26"/>
  <c r="BU35" i="25"/>
  <c r="BT63" i="41"/>
  <c r="AX14" i="37"/>
  <c r="Z55" i="38"/>
  <c r="AK32" i="60"/>
  <c r="BJ66" i="37"/>
  <c r="AG68" i="25"/>
  <c r="CK72" i="1"/>
  <c r="U55" i="37"/>
  <c r="Z31" i="39"/>
  <c r="AV76" i="41"/>
  <c r="AP93" i="41"/>
  <c r="CX35" i="40"/>
  <c r="DC51" i="41"/>
  <c r="DF68" i="25"/>
  <c r="P55" i="38"/>
  <c r="BJ25" i="37"/>
  <c r="T49" i="60"/>
  <c r="CA68" i="1"/>
  <c r="BF61" i="39"/>
  <c r="CN11" i="40"/>
  <c r="BU28" i="41"/>
  <c r="O99" i="1"/>
  <c r="AK13" i="38"/>
  <c r="CP68" i="25"/>
  <c r="CY46" i="38"/>
  <c r="J82" i="1"/>
  <c r="AP38" i="41"/>
  <c r="Q81" i="39"/>
  <c r="AI55" i="41"/>
  <c r="BQ19" i="37"/>
  <c r="BH19" i="39"/>
  <c r="BJ17" i="39"/>
  <c r="CI38" i="26"/>
  <c r="BY72" i="39"/>
  <c r="J99" i="36"/>
  <c r="AX55" i="37"/>
  <c r="BA28" i="1"/>
  <c r="DH18" i="26"/>
  <c r="DA99" i="26"/>
  <c r="CL93" i="1"/>
  <c r="BT93" i="39"/>
  <c r="CS93" i="38"/>
  <c r="K31" i="38"/>
  <c r="AF82" i="26"/>
  <c r="CJ76" i="36"/>
  <c r="CM11" i="25"/>
  <c r="CL82" i="41"/>
  <c r="AN31" i="38"/>
  <c r="CQ104" i="26"/>
  <c r="AY46" i="37"/>
  <c r="CD51" i="39"/>
  <c r="AD51" i="39"/>
  <c r="G224" i="46"/>
  <c r="CF51" i="36"/>
  <c r="BB325" i="47"/>
  <c r="CG11" i="25"/>
  <c r="CE63" i="41"/>
  <c r="CF46" i="39"/>
  <c r="V14" i="1"/>
  <c r="CS28" i="25"/>
  <c r="AG46" i="60"/>
  <c r="CY104" i="40"/>
  <c r="DC38" i="38"/>
  <c r="DB93" i="39"/>
  <c r="DD68" i="1"/>
  <c r="AK26" i="38"/>
  <c r="S28" i="38"/>
  <c r="CY72" i="36"/>
  <c r="N68" i="36"/>
  <c r="K245" i="46"/>
  <c r="I72" i="41"/>
  <c r="CZ63" i="25"/>
  <c r="AF68" i="36"/>
  <c r="CZ35" i="38"/>
  <c r="BZ55" i="40"/>
  <c r="AB14" i="26"/>
  <c r="O35" i="38"/>
  <c r="BF45" i="37"/>
  <c r="AM46" i="37"/>
  <c r="P11" i="38"/>
  <c r="BJ57" i="25"/>
  <c r="BH63" i="25"/>
  <c r="BJ63" i="25" s="1"/>
  <c r="AU82" i="41"/>
  <c r="AT14" i="39"/>
  <c r="CM99" i="38"/>
  <c r="DF19" i="38"/>
  <c r="CW35" i="1"/>
  <c r="I22" i="37"/>
  <c r="BA11" i="41"/>
  <c r="AU31" i="40"/>
  <c r="BT31" i="39"/>
  <c r="CJ31" i="38"/>
  <c r="BF96" i="1"/>
  <c r="AM99" i="1"/>
  <c r="BB93" i="38"/>
  <c r="BA38" i="38"/>
  <c r="AT76" i="41"/>
  <c r="BC82" i="38"/>
  <c r="Q81" i="40"/>
  <c r="CC82" i="40"/>
  <c r="AF76" i="40"/>
  <c r="CJ31" i="36"/>
  <c r="DE31" i="40"/>
  <c r="BQ63" i="40"/>
  <c r="CA99" i="41"/>
  <c r="BU31" i="38"/>
  <c r="BS35" i="40"/>
  <c r="AO72" i="40"/>
  <c r="Q98" i="41"/>
  <c r="CO104" i="36"/>
  <c r="BD22" i="39"/>
  <c r="BZ55" i="1"/>
  <c r="DC99" i="39"/>
  <c r="BE97" i="37"/>
  <c r="BF97" i="37" s="1"/>
  <c r="AY35" i="41"/>
  <c r="BX63" i="37"/>
  <c r="Y68" i="36"/>
  <c r="CP99" i="25"/>
  <c r="AM46" i="38"/>
  <c r="BF45" i="38"/>
  <c r="I76" i="26"/>
  <c r="AV63" i="39"/>
  <c r="AE28" i="36"/>
  <c r="AT35" i="37"/>
  <c r="AD46" i="41"/>
  <c r="Q65" i="37"/>
  <c r="G68" i="37"/>
  <c r="CN68" i="37"/>
  <c r="AJ19" i="36"/>
  <c r="BF66" i="36"/>
  <c r="N76" i="40"/>
  <c r="Q60" i="38"/>
  <c r="BF10" i="40"/>
  <c r="V46" i="40"/>
  <c r="CM63" i="36"/>
  <c r="CO68" i="39"/>
  <c r="DC31" i="39"/>
  <c r="BA63" i="37"/>
  <c r="BU14" i="37"/>
  <c r="AT72" i="40"/>
  <c r="CI46" i="26"/>
  <c r="BU31" i="39"/>
  <c r="CQ63" i="26"/>
  <c r="AJ55" i="1"/>
  <c r="CI11" i="41"/>
  <c r="AR11" i="26"/>
  <c r="CX63" i="40"/>
  <c r="U36" i="60"/>
  <c r="AZ19" i="38"/>
  <c r="BJ58" i="38"/>
  <c r="CZ51" i="1"/>
  <c r="DH24" i="25"/>
  <c r="BO32" i="25"/>
  <c r="CX104" i="25"/>
  <c r="DA72" i="36"/>
  <c r="CW76" i="36"/>
  <c r="S76" i="39"/>
  <c r="AK75" i="39"/>
  <c r="AC99" i="39"/>
  <c r="CL19" i="39"/>
  <c r="L28" i="39"/>
  <c r="BR93" i="40"/>
  <c r="DC63" i="36"/>
  <c r="AV51" i="25"/>
  <c r="DF51" i="41"/>
  <c r="BB19" i="1"/>
  <c r="AP22" i="40"/>
  <c r="BR76" i="37"/>
  <c r="AI68" i="40"/>
  <c r="CJ11" i="41"/>
  <c r="CE51" i="38"/>
  <c r="H93" i="36"/>
  <c r="BW22" i="1"/>
  <c r="H11" i="1"/>
  <c r="CG11" i="38"/>
  <c r="AM22" i="25"/>
  <c r="BF21" i="25"/>
  <c r="CE82" i="40"/>
  <c r="AC35" i="1"/>
  <c r="BX14" i="38"/>
  <c r="W22" i="25"/>
  <c r="CT104" i="40"/>
  <c r="K46" i="37"/>
  <c r="CW22" i="26"/>
  <c r="DF63" i="1"/>
  <c r="AE31" i="41"/>
  <c r="AF93" i="41"/>
  <c r="S72" i="1"/>
  <c r="L63" i="36"/>
  <c r="CR51" i="41"/>
  <c r="H55" i="36"/>
  <c r="CU14" i="39"/>
  <c r="AW99" i="37"/>
  <c r="AO14" i="1"/>
  <c r="BO38" i="26"/>
  <c r="DH37" i="26"/>
  <c r="CS63" i="25"/>
  <c r="AK50" i="26"/>
  <c r="P51" i="41"/>
  <c r="BC31" i="26"/>
  <c r="CV68" i="39"/>
  <c r="M99" i="41"/>
  <c r="AE68" i="26"/>
  <c r="CQ93" i="25"/>
  <c r="AC76" i="41"/>
  <c r="AC46" i="36"/>
  <c r="AK7" i="60"/>
  <c r="CF76" i="25"/>
  <c r="I93" i="1"/>
  <c r="AE104" i="40"/>
  <c r="CG14" i="36"/>
  <c r="CE63" i="37"/>
  <c r="DB19" i="37"/>
  <c r="CW22" i="1"/>
  <c r="BV28" i="26"/>
  <c r="AD14" i="39"/>
  <c r="AK50" i="1"/>
  <c r="BP19" i="41"/>
  <c r="N63" i="26"/>
  <c r="CU72" i="25"/>
  <c r="I11" i="37"/>
  <c r="BJ17" i="25"/>
  <c r="BH19" i="25"/>
  <c r="BJ19" i="25" s="1"/>
  <c r="V14" i="60"/>
  <c r="AN99" i="37"/>
  <c r="AG19" i="37"/>
  <c r="AK60" i="1"/>
  <c r="AK66" i="40"/>
  <c r="BF61" i="26"/>
  <c r="CA82" i="38"/>
  <c r="DC51" i="40"/>
  <c r="K68" i="37"/>
  <c r="BE11" i="36"/>
  <c r="BB72" i="36"/>
  <c r="CF104" i="1"/>
  <c r="M116" i="50"/>
  <c r="CL38" i="38"/>
  <c r="AW93" i="25"/>
  <c r="CO63" i="1"/>
  <c r="Q17" i="38"/>
  <c r="G19" i="38"/>
  <c r="BX104" i="38"/>
  <c r="AY31" i="40"/>
  <c r="CF22" i="37"/>
  <c r="AB68" i="40"/>
  <c r="AS35" i="38"/>
  <c r="AH7" i="60"/>
  <c r="AN35" i="40"/>
  <c r="AA82" i="1"/>
  <c r="CS46" i="37"/>
  <c r="CA55" i="38"/>
  <c r="CS72" i="41"/>
  <c r="O46" i="37"/>
  <c r="BQ99" i="25"/>
  <c r="CA93" i="25"/>
  <c r="BP76" i="40"/>
  <c r="AO19" i="25"/>
  <c r="AE55" i="41"/>
  <c r="AR19" i="37"/>
  <c r="CT19" i="41"/>
  <c r="CE31" i="39"/>
  <c r="CS76" i="41"/>
  <c r="Z93" i="41"/>
  <c r="I99" i="38"/>
  <c r="K63" i="39"/>
  <c r="AA19" i="41"/>
  <c r="CE93" i="37"/>
  <c r="CB76" i="36"/>
  <c r="DE51" i="38"/>
  <c r="J63" i="40"/>
  <c r="CJ14" i="39"/>
  <c r="Q66" i="26"/>
  <c r="DF28" i="39"/>
  <c r="AF68" i="41"/>
  <c r="F278" i="46"/>
  <c r="F280" i="46" s="1"/>
  <c r="AU51" i="38"/>
  <c r="AJ55" i="26"/>
  <c r="AH35" i="37"/>
  <c r="BT22" i="41"/>
  <c r="BW104" i="39"/>
  <c r="AS31" i="1"/>
  <c r="CT14" i="38"/>
  <c r="CT15" i="38" s="1"/>
  <c r="CU38" i="39"/>
  <c r="H55" i="26"/>
  <c r="CL19" i="1"/>
  <c r="CV99" i="37"/>
  <c r="DA22" i="26"/>
  <c r="AQ11" i="1"/>
  <c r="CC31" i="37"/>
  <c r="DA14" i="39"/>
  <c r="CH82" i="41"/>
  <c r="AZ104" i="37"/>
  <c r="J93" i="40"/>
  <c r="BZ38" i="41"/>
  <c r="BA72" i="36"/>
  <c r="AK16" i="60"/>
  <c r="CJ82" i="26"/>
  <c r="BT46" i="40"/>
  <c r="DF93" i="36"/>
  <c r="AF51" i="26"/>
  <c r="AO68" i="41"/>
  <c r="BA35" i="36"/>
  <c r="J72" i="37"/>
  <c r="CS104" i="40"/>
  <c r="CS104" i="36"/>
  <c r="CG28" i="36"/>
  <c r="AU51" i="40"/>
  <c r="AR46" i="25"/>
  <c r="DB63" i="1"/>
  <c r="BV51" i="41"/>
  <c r="CX55" i="36"/>
  <c r="BB72" i="1"/>
  <c r="DA55" i="40"/>
  <c r="Z63" i="25"/>
  <c r="Q60" i="26"/>
  <c r="O28" i="40"/>
  <c r="AU46" i="36"/>
  <c r="G14" i="39"/>
  <c r="Q12" i="39"/>
  <c r="AC38" i="41"/>
  <c r="AH82" i="25"/>
  <c r="BR72" i="36"/>
  <c r="CQ38" i="36"/>
  <c r="BQ38" i="25"/>
  <c r="X99" i="40"/>
  <c r="CU55" i="38"/>
  <c r="AH28" i="38"/>
  <c r="CF68" i="36"/>
  <c r="AW46" i="41"/>
  <c r="AU68" i="41"/>
  <c r="M46" i="26"/>
  <c r="BZ72" i="36"/>
  <c r="AJ76" i="1"/>
  <c r="Z22" i="26"/>
  <c r="AC14" i="38"/>
  <c r="AC15" i="38" s="1"/>
  <c r="AO104" i="36"/>
  <c r="CO19" i="36"/>
  <c r="H19" i="40"/>
  <c r="BY72" i="26"/>
  <c r="DD46" i="1"/>
  <c r="AW28" i="1"/>
  <c r="BC93" i="25"/>
  <c r="AZ22" i="41"/>
  <c r="CP99" i="36"/>
  <c r="BX28" i="25"/>
  <c r="BW38" i="40"/>
  <c r="CN35" i="26"/>
  <c r="AK34" i="41"/>
  <c r="S35" i="41"/>
  <c r="BP104" i="38"/>
  <c r="CY35" i="26"/>
  <c r="BC109" i="47"/>
  <c r="AO63" i="38"/>
  <c r="AT68" i="39"/>
  <c r="BF27" i="1"/>
  <c r="AX93" i="38"/>
  <c r="S19" i="36"/>
  <c r="AK17" i="36"/>
  <c r="CT99" i="36"/>
  <c r="AE31" i="26"/>
  <c r="V55" i="60"/>
  <c r="AW22" i="37"/>
  <c r="CG51" i="37"/>
  <c r="AG68" i="37"/>
  <c r="M28" i="39"/>
  <c r="H55" i="39"/>
  <c r="P14" i="39"/>
  <c r="BE82" i="37"/>
  <c r="AZ68" i="37"/>
  <c r="N28" i="41"/>
  <c r="N32" i="41" s="1"/>
  <c r="AX46" i="41"/>
  <c r="AT99" i="26"/>
  <c r="CE19" i="41"/>
  <c r="AU76" i="1"/>
  <c r="CK93" i="41"/>
  <c r="CR93" i="40"/>
  <c r="CR106" i="40" s="1"/>
  <c r="BX38" i="25"/>
  <c r="CW104" i="36"/>
  <c r="BV76" i="1"/>
  <c r="BA55" i="36"/>
  <c r="N63" i="36"/>
  <c r="CO63" i="40"/>
  <c r="AI31" i="25"/>
  <c r="CQ28" i="25"/>
  <c r="BY14" i="26"/>
  <c r="X68" i="1"/>
  <c r="CW76" i="37"/>
  <c r="H35" i="39"/>
  <c r="J51" i="40"/>
  <c r="M224" i="46"/>
  <c r="CL31" i="25"/>
  <c r="BA14" i="36"/>
  <c r="BO63" i="40"/>
  <c r="DH57" i="40"/>
  <c r="AV55" i="1"/>
  <c r="AV99" i="25"/>
  <c r="AF68" i="25"/>
  <c r="BC28" i="1"/>
  <c r="BE28" i="39"/>
  <c r="BE32" i="39" s="1"/>
  <c r="AP93" i="39"/>
  <c r="BS38" i="1"/>
  <c r="O11" i="37"/>
  <c r="BR31" i="39"/>
  <c r="AP28" i="41"/>
  <c r="BE51" i="41"/>
  <c r="BU38" i="37"/>
  <c r="AK67" i="41"/>
  <c r="AX11" i="25"/>
  <c r="DB35" i="39"/>
  <c r="BF92" i="26"/>
  <c r="DD55" i="41"/>
  <c r="J51" i="36"/>
  <c r="CF68" i="40"/>
  <c r="N51" i="36"/>
  <c r="AA76" i="25"/>
  <c r="CN82" i="1"/>
  <c r="DD76" i="26"/>
  <c r="AJ72" i="39"/>
  <c r="CX55" i="37"/>
  <c r="AY51" i="25"/>
  <c r="AV55" i="41"/>
  <c r="AZ38" i="25"/>
  <c r="CE22" i="38"/>
  <c r="CO104" i="37"/>
  <c r="DE104" i="37"/>
  <c r="U55" i="40"/>
  <c r="AG22" i="38"/>
  <c r="J38" i="25"/>
  <c r="DC38" i="39"/>
  <c r="CI14" i="26"/>
  <c r="CI15" i="26" s="1"/>
  <c r="BW51" i="39"/>
  <c r="DB46" i="1"/>
  <c r="BS63" i="26"/>
  <c r="AF46" i="37"/>
  <c r="AX11" i="26"/>
  <c r="U28" i="26"/>
  <c r="CK22" i="37"/>
  <c r="BZ28" i="37"/>
  <c r="CZ63" i="40"/>
  <c r="Q92" i="39"/>
  <c r="X51" i="38"/>
  <c r="AH46" i="37"/>
  <c r="CL104" i="1"/>
  <c r="J35" i="39"/>
  <c r="CE104" i="40"/>
  <c r="CN31" i="37"/>
  <c r="AO63" i="25"/>
  <c r="O14" i="25"/>
  <c r="Y38" i="38"/>
  <c r="AV22" i="26"/>
  <c r="BJ89" i="39"/>
  <c r="CD82" i="25"/>
  <c r="BJ24" i="40"/>
  <c r="AK49" i="37"/>
  <c r="DH54" i="41"/>
  <c r="BR55" i="37"/>
  <c r="M19" i="37"/>
  <c r="CN68" i="41"/>
  <c r="O22" i="25"/>
  <c r="CW14" i="38"/>
  <c r="DH18" i="1"/>
  <c r="CO104" i="26"/>
  <c r="Q102" i="40"/>
  <c r="G104" i="40"/>
  <c r="O31" i="26"/>
  <c r="H82" i="41"/>
  <c r="AB51" i="41"/>
  <c r="BJ10" i="40"/>
  <c r="V93" i="40"/>
  <c r="CQ68" i="36"/>
  <c r="AV35" i="41"/>
  <c r="CU46" i="1"/>
  <c r="CD31" i="36"/>
  <c r="K28" i="1"/>
  <c r="BR14" i="26"/>
  <c r="AE68" i="40"/>
  <c r="DC72" i="36"/>
  <c r="BA28" i="40"/>
  <c r="BI51" i="37"/>
  <c r="CD55" i="37"/>
  <c r="AI28" i="26"/>
  <c r="CL11" i="38"/>
  <c r="M38" i="36"/>
  <c r="L19" i="1"/>
  <c r="CX82" i="41"/>
  <c r="AB19" i="26"/>
  <c r="Q96" i="38"/>
  <c r="G99" i="38"/>
  <c r="Z46" i="41"/>
  <c r="AB35" i="36"/>
  <c r="AQ72" i="40"/>
  <c r="CU11" i="38"/>
  <c r="CP14" i="25"/>
  <c r="CQ31" i="37"/>
  <c r="AN76" i="26"/>
  <c r="BS104" i="37"/>
  <c r="N224" i="46"/>
  <c r="CV11" i="37"/>
  <c r="AY19" i="38"/>
  <c r="CK55" i="37"/>
  <c r="V28" i="1"/>
  <c r="DA46" i="41"/>
  <c r="CA31" i="41"/>
  <c r="AK27" i="1"/>
  <c r="CJ72" i="39"/>
  <c r="CH51" i="36"/>
  <c r="AX55" i="38"/>
  <c r="CB46" i="41"/>
  <c r="CI51" i="40"/>
  <c r="AZ19" i="25"/>
  <c r="H93" i="40"/>
  <c r="BS46" i="26"/>
  <c r="AQ14" i="39"/>
  <c r="CP55" i="39"/>
  <c r="CG38" i="26"/>
  <c r="AJ82" i="1"/>
  <c r="Q49" i="26"/>
  <c r="BQ28" i="25"/>
  <c r="BQ32" i="25" s="1"/>
  <c r="DB35" i="38"/>
  <c r="CK11" i="25"/>
  <c r="BP104" i="37"/>
  <c r="BE31" i="41"/>
  <c r="AD28" i="1"/>
  <c r="DA51" i="41"/>
  <c r="V22" i="39"/>
  <c r="AJ38" i="40"/>
  <c r="BH31" i="36"/>
  <c r="BJ29" i="36"/>
  <c r="BB11" i="25"/>
  <c r="O38" i="1"/>
  <c r="BR35" i="38"/>
  <c r="BC99" i="39"/>
  <c r="AG11" i="41"/>
  <c r="Q61" i="37"/>
  <c r="X11" i="39"/>
  <c r="CB63" i="37"/>
  <c r="S82" i="25"/>
  <c r="AK79" i="25"/>
  <c r="AB28" i="41"/>
  <c r="CS68" i="39"/>
  <c r="DE28" i="38"/>
  <c r="CU38" i="36"/>
  <c r="CB55" i="25"/>
  <c r="CD11" i="41"/>
  <c r="CS104" i="38"/>
  <c r="CB35" i="26"/>
  <c r="CR104" i="1"/>
  <c r="J29" i="64"/>
  <c r="CC63" i="40"/>
  <c r="AW63" i="1"/>
  <c r="CX55" i="41"/>
  <c r="O38" i="41"/>
  <c r="AI51" i="36"/>
  <c r="CX93" i="36"/>
  <c r="H35" i="1"/>
  <c r="BZ38" i="37"/>
  <c r="CG99" i="38"/>
  <c r="BV99" i="25"/>
  <c r="CS76" i="37"/>
  <c r="CW72" i="39"/>
  <c r="CS22" i="39"/>
  <c r="DE28" i="25"/>
  <c r="CI35" i="39"/>
  <c r="BS11" i="36"/>
  <c r="AB22" i="26"/>
  <c r="BQ38" i="1"/>
  <c r="AK54" i="36"/>
  <c r="AF22" i="26"/>
  <c r="M28" i="25"/>
  <c r="AJ30" i="60"/>
  <c r="CI31" i="36"/>
  <c r="AZ93" i="38"/>
  <c r="AR38" i="39"/>
  <c r="AF28" i="38"/>
  <c r="CN35" i="1"/>
  <c r="CF55" i="36"/>
  <c r="Q49" i="39"/>
  <c r="BS28" i="1"/>
  <c r="O11" i="38"/>
  <c r="Q49" i="36"/>
  <c r="CY28" i="40"/>
  <c r="CW76" i="1"/>
  <c r="CI72" i="37"/>
  <c r="O63" i="41"/>
  <c r="AI82" i="40"/>
  <c r="G68" i="26"/>
  <c r="Q65" i="26"/>
  <c r="AC19" i="40"/>
  <c r="N104" i="40"/>
  <c r="H31" i="37"/>
  <c r="AQ93" i="1"/>
  <c r="AV51" i="26"/>
  <c r="CO99" i="37"/>
  <c r="BD38" i="36"/>
  <c r="CP104" i="25"/>
  <c r="AQ76" i="26"/>
  <c r="AV63" i="25"/>
  <c r="W19" i="38"/>
  <c r="CC19" i="1"/>
  <c r="BP76" i="1"/>
  <c r="K68" i="26"/>
  <c r="AV22" i="39"/>
  <c r="AG11" i="26"/>
  <c r="CX55" i="39"/>
  <c r="BE28" i="1"/>
  <c r="AW11" i="26"/>
  <c r="BU31" i="40"/>
  <c r="CQ68" i="39"/>
  <c r="AN38" i="41"/>
  <c r="BU22" i="41"/>
  <c r="AS46" i="39"/>
  <c r="BZ99" i="26"/>
  <c r="BJ25" i="25"/>
  <c r="AJ55" i="41"/>
  <c r="AC72" i="39"/>
  <c r="CT82" i="39"/>
  <c r="DC31" i="41"/>
  <c r="CL38" i="41"/>
  <c r="BD46" i="40"/>
  <c r="CP46" i="37"/>
  <c r="BO104" i="25"/>
  <c r="BY38" i="1"/>
  <c r="CH82" i="1"/>
  <c r="CK31" i="38"/>
  <c r="AP76" i="37"/>
  <c r="I28" i="40"/>
  <c r="CT68" i="1"/>
  <c r="G35" i="41"/>
  <c r="Q34" i="41"/>
  <c r="BL34" i="41" s="1"/>
  <c r="BE55" i="40"/>
  <c r="CD46" i="38"/>
  <c r="CM93" i="41"/>
  <c r="AM55" i="41"/>
  <c r="BF53" i="41"/>
  <c r="DD22" i="26"/>
  <c r="P31" i="36"/>
  <c r="CO31" i="41"/>
  <c r="CB51" i="38"/>
  <c r="CS51" i="25"/>
  <c r="AW55" i="37"/>
  <c r="CK68" i="40"/>
  <c r="CA11" i="1"/>
  <c r="CV38" i="26"/>
  <c r="CK46" i="1"/>
  <c r="DE104" i="40"/>
  <c r="AU55" i="38"/>
  <c r="CG31" i="38"/>
  <c r="K19" i="1"/>
  <c r="Q25" i="25"/>
  <c r="DC93" i="37"/>
  <c r="DC106" i="37" s="1"/>
  <c r="T53" i="60"/>
  <c r="V51" i="38"/>
  <c r="CL28" i="40"/>
  <c r="AI31" i="39"/>
  <c r="CX76" i="25"/>
  <c r="DA46" i="25"/>
  <c r="BE63" i="37"/>
  <c r="CC35" i="26"/>
  <c r="U14" i="1"/>
  <c r="CZ76" i="41"/>
  <c r="CF46" i="38"/>
  <c r="DE31" i="37"/>
  <c r="AI93" i="26"/>
  <c r="AN82" i="39"/>
  <c r="Q53" i="25"/>
  <c r="G55" i="25"/>
  <c r="AZ11" i="1"/>
  <c r="Y14" i="36"/>
  <c r="CJ82" i="41"/>
  <c r="CQ68" i="37"/>
  <c r="AS28" i="25"/>
  <c r="CC72" i="39"/>
  <c r="BV46" i="40"/>
  <c r="V68" i="36"/>
  <c r="V72" i="36"/>
  <c r="CK55" i="36"/>
  <c r="T68" i="38"/>
  <c r="AD51" i="36"/>
  <c r="BF27" i="36"/>
  <c r="T19" i="38"/>
  <c r="AH76" i="38"/>
  <c r="L82" i="36"/>
  <c r="X72" i="25"/>
  <c r="AZ68" i="39"/>
  <c r="Q34" i="37"/>
  <c r="G35" i="37"/>
  <c r="CO99" i="40"/>
  <c r="CE28" i="38"/>
  <c r="G63" i="36"/>
  <c r="Q57" i="36"/>
  <c r="DC11" i="40"/>
  <c r="BV31" i="39"/>
  <c r="P31" i="25"/>
  <c r="CQ31" i="40"/>
  <c r="CK82" i="37"/>
  <c r="DB38" i="40"/>
  <c r="AQ14" i="26"/>
  <c r="CG55" i="37"/>
  <c r="AV14" i="36"/>
  <c r="AV15" i="36" s="1"/>
  <c r="CF35" i="26"/>
  <c r="BF61" i="25"/>
  <c r="AG28" i="36"/>
  <c r="AG32" i="36" s="1"/>
  <c r="BB104" i="1"/>
  <c r="AE76" i="26"/>
  <c r="CZ63" i="26"/>
  <c r="BR55" i="1"/>
  <c r="DC63" i="1"/>
  <c r="DB38" i="38"/>
  <c r="J93" i="26"/>
  <c r="AG104" i="37"/>
  <c r="AS38" i="25"/>
  <c r="DA51" i="38"/>
  <c r="AB38" i="25"/>
  <c r="K63" i="26"/>
  <c r="CE72" i="38"/>
  <c r="DF22" i="36"/>
  <c r="BI35" i="36"/>
  <c r="Z76" i="41"/>
  <c r="I99" i="25"/>
  <c r="AY35" i="37"/>
  <c r="BA14" i="37"/>
  <c r="AR51" i="38"/>
  <c r="L31" i="40"/>
  <c r="BC76" i="40"/>
  <c r="BR63" i="25"/>
  <c r="DC19" i="41"/>
  <c r="AO68" i="39"/>
  <c r="AF19" i="1"/>
  <c r="AV31" i="26"/>
  <c r="AV32" i="26" s="1"/>
  <c r="BC38" i="39"/>
  <c r="O19" i="41"/>
  <c r="AK24" i="41"/>
  <c r="S54" i="60"/>
  <c r="AD8" i="60"/>
  <c r="BP22" i="37"/>
  <c r="CI11" i="1"/>
  <c r="AZ99" i="39"/>
  <c r="CZ72" i="25"/>
  <c r="BZ35" i="26"/>
  <c r="AM72" i="37"/>
  <c r="BF71" i="37"/>
  <c r="CN93" i="25"/>
  <c r="BV35" i="25"/>
  <c r="AS46" i="26"/>
  <c r="AG14" i="36"/>
  <c r="AR93" i="39"/>
  <c r="AF22" i="39"/>
  <c r="BA28" i="41"/>
  <c r="BA32" i="41" s="1"/>
  <c r="CO28" i="38"/>
  <c r="CO32" i="38" s="1"/>
  <c r="CB68" i="37"/>
  <c r="DD51" i="40"/>
  <c r="Y38" i="1"/>
  <c r="DB11" i="40"/>
  <c r="BC14" i="41"/>
  <c r="DC11" i="25"/>
  <c r="H223" i="46"/>
  <c r="CS82" i="38"/>
  <c r="CO35" i="26"/>
  <c r="CT38" i="40"/>
  <c r="CP76" i="36"/>
  <c r="AM68" i="41"/>
  <c r="BF65" i="41"/>
  <c r="W31" i="26"/>
  <c r="BA38" i="40"/>
  <c r="DH49" i="26"/>
  <c r="DE19" i="26"/>
  <c r="M38" i="38"/>
  <c r="AC104" i="26"/>
  <c r="CR93" i="38"/>
  <c r="K55" i="1"/>
  <c r="CJ99" i="37"/>
  <c r="BA46" i="41"/>
  <c r="CG63" i="38"/>
  <c r="CB35" i="41"/>
  <c r="CM72" i="36"/>
  <c r="BA19" i="25"/>
  <c r="AR38" i="36"/>
  <c r="S104" i="36"/>
  <c r="BF34" i="37"/>
  <c r="AM35" i="37"/>
  <c r="X35" i="37"/>
  <c r="CJ19" i="26"/>
  <c r="CR28" i="1"/>
  <c r="AF30" i="60"/>
  <c r="AN93" i="36"/>
  <c r="Y51" i="40"/>
  <c r="CW31" i="41"/>
  <c r="AT99" i="41"/>
  <c r="DB28" i="39"/>
  <c r="AS51" i="38"/>
  <c r="BW63" i="39"/>
  <c r="AD14" i="25"/>
  <c r="AS22" i="1"/>
  <c r="DE99" i="36"/>
  <c r="CU93" i="39"/>
  <c r="CE93" i="26"/>
  <c r="CE106" i="26" s="1"/>
  <c r="Z72" i="26"/>
  <c r="AH82" i="40"/>
  <c r="O93" i="25"/>
  <c r="CB38" i="1"/>
  <c r="AL7" i="60"/>
  <c r="AS38" i="1"/>
  <c r="CW14" i="41"/>
  <c r="CM63" i="39"/>
  <c r="DC76" i="41"/>
  <c r="CA19" i="26"/>
  <c r="AU19" i="1"/>
  <c r="AV76" i="37"/>
  <c r="CP63" i="36"/>
  <c r="Q27" i="1"/>
  <c r="BS93" i="40"/>
  <c r="AA28" i="41"/>
  <c r="Y46" i="38"/>
  <c r="AO55" i="36"/>
  <c r="AZ72" i="40"/>
  <c r="AJ35" i="36"/>
  <c r="DE93" i="26"/>
  <c r="J104" i="25"/>
  <c r="AA72" i="36"/>
  <c r="AF19" i="39"/>
  <c r="BJ21" i="38"/>
  <c r="BH22" i="38"/>
  <c r="CO104" i="1"/>
  <c r="CT22" i="26"/>
  <c r="P55" i="37"/>
  <c r="AD82" i="37"/>
  <c r="AJ68" i="26"/>
  <c r="CH76" i="36"/>
  <c r="BV14" i="38"/>
  <c r="BI31" i="1"/>
  <c r="CO72" i="40"/>
  <c r="CQ31" i="41"/>
  <c r="K11" i="39"/>
  <c r="CN63" i="36"/>
  <c r="AG63" i="36"/>
  <c r="AD19" i="41"/>
  <c r="CC14" i="26"/>
  <c r="BX93" i="40"/>
  <c r="AX11" i="36"/>
  <c r="CK68" i="37"/>
  <c r="CL46" i="41"/>
  <c r="BX28" i="36"/>
  <c r="CT72" i="38"/>
  <c r="AW14" i="39"/>
  <c r="BJ79" i="25"/>
  <c r="AP68" i="40"/>
  <c r="CW104" i="38"/>
  <c r="DH34" i="36"/>
  <c r="BO35" i="36"/>
  <c r="DB99" i="41"/>
  <c r="AM72" i="36"/>
  <c r="BF71" i="36"/>
  <c r="BF92" i="40"/>
  <c r="BU22" i="26"/>
  <c r="AG22" i="39"/>
  <c r="DF82" i="37"/>
  <c r="CW46" i="25"/>
  <c r="AP55" i="36"/>
  <c r="CP14" i="26"/>
  <c r="BO38" i="39"/>
  <c r="DH37" i="39"/>
  <c r="BA99" i="37"/>
  <c r="Q62" i="41"/>
  <c r="DE31" i="39"/>
  <c r="Y38" i="41"/>
  <c r="AG72" i="1"/>
  <c r="CP93" i="26"/>
  <c r="BS51" i="40"/>
  <c r="AH14" i="41"/>
  <c r="AH15" i="41" s="1"/>
  <c r="BX51" i="26"/>
  <c r="BX68" i="41"/>
  <c r="BV35" i="39"/>
  <c r="CO51" i="36"/>
  <c r="BA46" i="36"/>
  <c r="Q50" i="40"/>
  <c r="L46" i="39"/>
  <c r="BP28" i="40"/>
  <c r="BP32" i="40" s="1"/>
  <c r="AG11" i="38"/>
  <c r="CL46" i="25"/>
  <c r="AH72" i="41"/>
  <c r="W68" i="25"/>
  <c r="BD68" i="39"/>
  <c r="AE72" i="26"/>
  <c r="M68" i="26"/>
  <c r="CP14" i="40"/>
  <c r="CP15" i="40" s="1"/>
  <c r="BF58" i="37"/>
  <c r="AK48" i="36"/>
  <c r="S51" i="36"/>
  <c r="N104" i="25"/>
  <c r="J93" i="37"/>
  <c r="BV31" i="38"/>
  <c r="CU99" i="39"/>
  <c r="H93" i="1"/>
  <c r="CW99" i="41"/>
  <c r="X38" i="40"/>
  <c r="AJ72" i="26"/>
  <c r="AX76" i="36"/>
  <c r="DA104" i="1"/>
  <c r="DB19" i="38"/>
  <c r="AZ63" i="41"/>
  <c r="BV99" i="39"/>
  <c r="CV19" i="37"/>
  <c r="L19" i="38"/>
  <c r="J224" i="46"/>
  <c r="BR11" i="1"/>
  <c r="AY109" i="47"/>
  <c r="J68" i="36"/>
  <c r="L72" i="37"/>
  <c r="BD22" i="1"/>
  <c r="CP93" i="1"/>
  <c r="T35" i="41"/>
  <c r="DF63" i="37"/>
  <c r="DF11" i="25"/>
  <c r="CG38" i="37"/>
  <c r="BJ89" i="40"/>
  <c r="AD14" i="1"/>
  <c r="AF28" i="1"/>
  <c r="CY38" i="41"/>
  <c r="AU99" i="25"/>
  <c r="CK46" i="25"/>
  <c r="AK18" i="39"/>
  <c r="AX93" i="41"/>
  <c r="AC11" i="36"/>
  <c r="BP68" i="26"/>
  <c r="CV99" i="40"/>
  <c r="BB38" i="41"/>
  <c r="CG99" i="39"/>
  <c r="AK61" i="38"/>
  <c r="X36" i="60"/>
  <c r="J28" i="39"/>
  <c r="DH67" i="36"/>
  <c r="BQ68" i="36"/>
  <c r="CM46" i="1"/>
  <c r="BB28" i="41"/>
  <c r="BB32" i="41" s="1"/>
  <c r="AA38" i="39"/>
  <c r="AG104" i="38"/>
  <c r="AK27" i="39"/>
  <c r="AI104" i="37"/>
  <c r="CU68" i="39"/>
  <c r="M14" i="37"/>
  <c r="M15" i="37" s="1"/>
  <c r="AT35" i="40"/>
  <c r="BO104" i="1"/>
  <c r="DH102" i="1"/>
  <c r="BF91" i="38"/>
  <c r="BI11" i="39"/>
  <c r="K99" i="41"/>
  <c r="CQ72" i="25"/>
  <c r="X93" i="41"/>
  <c r="CW72" i="40"/>
  <c r="BP72" i="38"/>
  <c r="AK66" i="37"/>
  <c r="AD14" i="36"/>
  <c r="AY14" i="1"/>
  <c r="M28" i="1"/>
  <c r="M32" i="1" s="1"/>
  <c r="AA38" i="41"/>
  <c r="BB76" i="38"/>
  <c r="W38" i="25"/>
  <c r="AF37" i="60"/>
  <c r="W22" i="38"/>
  <c r="CX99" i="41"/>
  <c r="AW28" i="38"/>
  <c r="DA76" i="39"/>
  <c r="BJ13" i="25"/>
  <c r="AO55" i="25"/>
  <c r="L38" i="41"/>
  <c r="DD31" i="37"/>
  <c r="CA38" i="36"/>
  <c r="DF14" i="40"/>
  <c r="DF15" i="40" s="1"/>
  <c r="CM82" i="39"/>
  <c r="CF14" i="1"/>
  <c r="CK72" i="37"/>
  <c r="T68" i="37"/>
  <c r="AH68" i="26"/>
  <c r="DB11" i="37"/>
  <c r="BC76" i="36"/>
  <c r="BF49" i="1"/>
  <c r="N11" i="37"/>
  <c r="BY46" i="37"/>
  <c r="BF61" i="37"/>
  <c r="BT14" i="39"/>
  <c r="BJ34" i="1"/>
  <c r="BH35" i="1"/>
  <c r="BE97" i="40"/>
  <c r="BF97" i="40" s="1"/>
  <c r="Q17" i="39"/>
  <c r="BL17" i="39" s="1"/>
  <c r="G19" i="39"/>
  <c r="BW68" i="26"/>
  <c r="AF31" i="36"/>
  <c r="O55" i="26"/>
  <c r="V93" i="39"/>
  <c r="AT46" i="39"/>
  <c r="Z68" i="25"/>
  <c r="L31" i="36"/>
  <c r="DH57" i="1"/>
  <c r="BO63" i="1"/>
  <c r="AW72" i="26"/>
  <c r="AA104" i="40"/>
  <c r="BF48" i="26"/>
  <c r="AM51" i="26"/>
  <c r="I99" i="39"/>
  <c r="AS55" i="38"/>
  <c r="BO68" i="41"/>
  <c r="DH65" i="41"/>
  <c r="BU93" i="25"/>
  <c r="AF11" i="38"/>
  <c r="CB76" i="39"/>
  <c r="CN93" i="26"/>
  <c r="CK14" i="39"/>
  <c r="BZ76" i="40"/>
  <c r="AS72" i="26"/>
  <c r="T14" i="36"/>
  <c r="BU68" i="38"/>
  <c r="M221" i="46"/>
  <c r="AO38" i="26"/>
  <c r="AF68" i="40"/>
  <c r="AO93" i="39"/>
  <c r="CR11" i="39"/>
  <c r="BF50" i="1"/>
  <c r="AQ99" i="25"/>
  <c r="BW72" i="41"/>
  <c r="BP76" i="38"/>
  <c r="CA76" i="37"/>
  <c r="AO99" i="25"/>
  <c r="CK38" i="36"/>
  <c r="BP38" i="25"/>
  <c r="BY46" i="38"/>
  <c r="AP19" i="1"/>
  <c r="AX63" i="25"/>
  <c r="DH67" i="1"/>
  <c r="AK89" i="25"/>
  <c r="S93" i="25"/>
  <c r="DB28" i="25"/>
  <c r="CQ19" i="40"/>
  <c r="Q18" i="40"/>
  <c r="BT31" i="25"/>
  <c r="BT32" i="25" s="1"/>
  <c r="AW55" i="41"/>
  <c r="AK50" i="25"/>
  <c r="L76" i="36"/>
  <c r="AW68" i="1"/>
  <c r="I51" i="38"/>
  <c r="AN82" i="36"/>
  <c r="AK49" i="26"/>
  <c r="G63" i="1"/>
  <c r="Q57" i="1"/>
  <c r="BP38" i="41"/>
  <c r="P31" i="40"/>
  <c r="CP55" i="26"/>
  <c r="AP63" i="25"/>
  <c r="CY31" i="25"/>
  <c r="U76" i="1"/>
  <c r="BF60" i="40"/>
  <c r="Y14" i="60"/>
  <c r="CS93" i="37"/>
  <c r="BC55" i="38"/>
  <c r="BS19" i="1"/>
  <c r="BZ46" i="40"/>
  <c r="BX104" i="41"/>
  <c r="H221" i="46"/>
  <c r="AH51" i="36"/>
  <c r="AF22" i="25"/>
  <c r="CZ93" i="1"/>
  <c r="BD72" i="38"/>
  <c r="BF13" i="39"/>
  <c r="L68" i="46"/>
  <c r="CE76" i="1"/>
  <c r="AZ82" i="38"/>
  <c r="CX46" i="39"/>
  <c r="CL28" i="37"/>
  <c r="CL32" i="37" s="1"/>
  <c r="AI82" i="26"/>
  <c r="BP35" i="41"/>
  <c r="CD31" i="25"/>
  <c r="CX63" i="25"/>
  <c r="DD31" i="38"/>
  <c r="CJ22" i="1"/>
  <c r="BB14" i="41"/>
  <c r="CZ68" i="39"/>
  <c r="CT38" i="1"/>
  <c r="CF31" i="36"/>
  <c r="CF32" i="36" s="1"/>
  <c r="BW68" i="41"/>
  <c r="BU104" i="40"/>
  <c r="BA76" i="36"/>
  <c r="P22" i="37"/>
  <c r="P22" i="36"/>
  <c r="BW76" i="41"/>
  <c r="L265" i="46"/>
  <c r="O28" i="37"/>
  <c r="AE76" i="39"/>
  <c r="CM19" i="26"/>
  <c r="AE46" i="26"/>
  <c r="BP28" i="26"/>
  <c r="Z63" i="26"/>
  <c r="AO55" i="26"/>
  <c r="BT76" i="41"/>
  <c r="BC68" i="36"/>
  <c r="AN104" i="26"/>
  <c r="CF14" i="38"/>
  <c r="BW82" i="38"/>
  <c r="AG11" i="39"/>
  <c r="BD22" i="36"/>
  <c r="CU93" i="41"/>
  <c r="BY38" i="41"/>
  <c r="Y48" i="60"/>
  <c r="AJ49" i="60"/>
  <c r="CU22" i="37"/>
  <c r="CL82" i="26"/>
  <c r="DE19" i="1"/>
  <c r="BE55" i="26"/>
  <c r="AO22" i="39"/>
  <c r="DA55" i="25"/>
  <c r="BE104" i="25"/>
  <c r="N22" i="39"/>
  <c r="BF45" i="36"/>
  <c r="AM46" i="36"/>
  <c r="BO72" i="37"/>
  <c r="DH71" i="37"/>
  <c r="DB104" i="39"/>
  <c r="CZ28" i="38"/>
  <c r="G99" i="37"/>
  <c r="Q96" i="37"/>
  <c r="CR104" i="41"/>
  <c r="AP55" i="25"/>
  <c r="BO35" i="38"/>
  <c r="DH34" i="38"/>
  <c r="AT28" i="41"/>
  <c r="I22" i="38"/>
  <c r="BO14" i="26"/>
  <c r="CJ31" i="40"/>
  <c r="L11" i="25"/>
  <c r="U31" i="38"/>
  <c r="BW19" i="40"/>
  <c r="W72" i="39"/>
  <c r="AG35" i="26"/>
  <c r="CB63" i="1"/>
  <c r="CA22" i="40"/>
  <c r="BU14" i="25"/>
  <c r="AG31" i="37"/>
  <c r="AY82" i="40"/>
  <c r="CC63" i="39"/>
  <c r="K11" i="26"/>
  <c r="AR68" i="1"/>
  <c r="AV35" i="37"/>
  <c r="DB19" i="26"/>
  <c r="DD28" i="39"/>
  <c r="AS55" i="25"/>
  <c r="BQ51" i="1"/>
  <c r="H28" i="36"/>
  <c r="BY63" i="36"/>
  <c r="AS14" i="26"/>
  <c r="CL72" i="40"/>
  <c r="CC76" i="39"/>
  <c r="BE93" i="41"/>
  <c r="BD109" i="47"/>
  <c r="BU28" i="38"/>
  <c r="AP14" i="37"/>
  <c r="Y38" i="25"/>
  <c r="AO55" i="1"/>
  <c r="K72" i="41"/>
  <c r="CR28" i="40"/>
  <c r="AM22" i="40"/>
  <c r="BF21" i="40"/>
  <c r="CC104" i="37"/>
  <c r="CF31" i="26"/>
  <c r="BS14" i="36"/>
  <c r="BS15" i="36" s="1"/>
  <c r="CF55" i="25"/>
  <c r="AA35" i="1"/>
  <c r="CD11" i="38"/>
  <c r="BZ55" i="26"/>
  <c r="DD31" i="39"/>
  <c r="BE63" i="26"/>
  <c r="O72" i="41"/>
  <c r="P93" i="38"/>
  <c r="CQ46" i="25"/>
  <c r="AK21" i="1"/>
  <c r="S22" i="1"/>
  <c r="J14" i="40"/>
  <c r="DC46" i="40"/>
  <c r="CW63" i="38"/>
  <c r="AW72" i="39"/>
  <c r="L11" i="1"/>
  <c r="CN35" i="25"/>
  <c r="BU99" i="38"/>
  <c r="DH21" i="25"/>
  <c r="BO22" i="25"/>
  <c r="AP104" i="41"/>
  <c r="BC14" i="26"/>
  <c r="BF24" i="40"/>
  <c r="CY31" i="38"/>
  <c r="CY32" i="38" s="1"/>
  <c r="AN76" i="38"/>
  <c r="BX28" i="41"/>
  <c r="AF55" i="25"/>
  <c r="AO99" i="38"/>
  <c r="AV19" i="40"/>
  <c r="BA38" i="26"/>
  <c r="DC46" i="25"/>
  <c r="BB31" i="26"/>
  <c r="AN76" i="41"/>
  <c r="G68" i="36"/>
  <c r="Q65" i="36"/>
  <c r="CF104" i="40"/>
  <c r="AA50" i="60"/>
  <c r="CF104" i="41"/>
  <c r="CL93" i="25"/>
  <c r="H289" i="46"/>
  <c r="H300" i="46" s="1"/>
  <c r="CJ19" i="39"/>
  <c r="AH14" i="39"/>
  <c r="L99" i="25"/>
  <c r="CA31" i="39"/>
  <c r="CA32" i="39" s="1"/>
  <c r="BE28" i="40"/>
  <c r="I68" i="1"/>
  <c r="BU14" i="26"/>
  <c r="N51" i="26"/>
  <c r="AG55" i="36"/>
  <c r="BF65" i="1"/>
  <c r="AM68" i="1"/>
  <c r="N82" i="37"/>
  <c r="L55" i="41"/>
  <c r="BB55" i="37"/>
  <c r="BO19" i="38"/>
  <c r="DH17" i="38"/>
  <c r="CK82" i="36"/>
  <c r="AZ22" i="26"/>
  <c r="CA104" i="1"/>
  <c r="AF14" i="1"/>
  <c r="BI14" i="39"/>
  <c r="BT76" i="36"/>
  <c r="BZ46" i="39"/>
  <c r="CP104" i="39"/>
  <c r="AW28" i="39"/>
  <c r="AW32" i="39" s="1"/>
  <c r="DH50" i="40"/>
  <c r="AH33" i="60"/>
  <c r="Z11" i="1"/>
  <c r="DA31" i="1"/>
  <c r="CM76" i="37"/>
  <c r="Z14" i="25"/>
  <c r="AY28" i="38"/>
  <c r="X31" i="36"/>
  <c r="AQ22" i="41"/>
  <c r="CS38" i="25"/>
  <c r="BV32" i="39"/>
  <c r="CR76" i="37"/>
  <c r="CD76" i="38"/>
  <c r="AC22" i="1"/>
  <c r="CG19" i="25"/>
  <c r="BE97" i="26"/>
  <c r="BF97" i="26" s="1"/>
  <c r="DH27" i="25"/>
  <c r="AP38" i="1"/>
  <c r="AH93" i="36"/>
  <c r="AY93" i="1"/>
  <c r="AN31" i="39"/>
  <c r="AN32" i="39" s="1"/>
  <c r="AZ104" i="1"/>
  <c r="Q59" i="25"/>
  <c r="AD38" i="39"/>
  <c r="H46" i="26"/>
  <c r="V35" i="37"/>
  <c r="CF82" i="38"/>
  <c r="BF24" i="26"/>
  <c r="CN28" i="1"/>
  <c r="CU11" i="26"/>
  <c r="BC104" i="37"/>
  <c r="F68" i="46"/>
  <c r="DB68" i="36"/>
  <c r="AJ55" i="38"/>
  <c r="AE14" i="40"/>
  <c r="Z55" i="39"/>
  <c r="BE51" i="38"/>
  <c r="X31" i="1"/>
  <c r="CX76" i="41"/>
  <c r="J76" i="38"/>
  <c r="BZ14" i="41"/>
  <c r="AH46" i="26"/>
  <c r="AK25" i="36"/>
  <c r="AP76" i="26"/>
  <c r="BQ14" i="1"/>
  <c r="AZ99" i="25"/>
  <c r="CE31" i="1"/>
  <c r="BE72" i="38"/>
  <c r="BP51" i="37"/>
  <c r="AF7" i="60"/>
  <c r="BF49" i="40"/>
  <c r="AV31" i="36"/>
  <c r="AZ51" i="36"/>
  <c r="CD51" i="38"/>
  <c r="CI82" i="38"/>
  <c r="L76" i="40"/>
  <c r="H31" i="40"/>
  <c r="AR99" i="1"/>
  <c r="J14" i="39"/>
  <c r="DF99" i="25"/>
  <c r="W31" i="25"/>
  <c r="BA22" i="37"/>
  <c r="AG104" i="25"/>
  <c r="H99" i="37"/>
  <c r="AM104" i="36"/>
  <c r="BF102" i="36"/>
  <c r="CV76" i="26"/>
  <c r="V28" i="38"/>
  <c r="V32" i="38" s="1"/>
  <c r="AD38" i="26"/>
  <c r="AD31" i="26"/>
  <c r="S42" i="60"/>
  <c r="BE38" i="38"/>
  <c r="CI63" i="39"/>
  <c r="AW82" i="37"/>
  <c r="BZ38" i="25"/>
  <c r="CS68" i="37"/>
  <c r="CM28" i="38"/>
  <c r="CM32" i="38" s="1"/>
  <c r="H72" i="1"/>
  <c r="N104" i="41"/>
  <c r="AD63" i="25"/>
  <c r="CZ14" i="36"/>
  <c r="AT68" i="41"/>
  <c r="M51" i="40"/>
  <c r="CN38" i="26"/>
  <c r="DE93" i="36"/>
  <c r="AR22" i="25"/>
  <c r="CX63" i="26"/>
  <c r="AJ50" i="60"/>
  <c r="BX72" i="40"/>
  <c r="BE31" i="37"/>
  <c r="N19" i="36"/>
  <c r="AB99" i="26"/>
  <c r="CJ82" i="1"/>
  <c r="DH21" i="37"/>
  <c r="BO22" i="37"/>
  <c r="G221" i="46"/>
  <c r="AD11" i="41"/>
  <c r="AZ11" i="40"/>
  <c r="BJ10" i="38"/>
  <c r="AG82" i="40"/>
  <c r="AJ14" i="41"/>
  <c r="BQ14" i="41"/>
  <c r="BT68" i="37"/>
  <c r="AN22" i="26"/>
  <c r="BU99" i="36"/>
  <c r="G68" i="1"/>
  <c r="Q65" i="1"/>
  <c r="BE93" i="39"/>
  <c r="BV31" i="40"/>
  <c r="CR28" i="25"/>
  <c r="DA93" i="26"/>
  <c r="DB93" i="26"/>
  <c r="Z72" i="39"/>
  <c r="CU28" i="41"/>
  <c r="G63" i="38"/>
  <c r="Q57" i="38"/>
  <c r="AV72" i="1"/>
  <c r="M72" i="37"/>
  <c r="BZ38" i="38"/>
  <c r="CC99" i="1"/>
  <c r="AW76" i="40"/>
  <c r="AC51" i="36"/>
  <c r="K99" i="26"/>
  <c r="K35" i="40"/>
  <c r="AN51" i="36"/>
  <c r="BW14" i="39"/>
  <c r="I31" i="36"/>
  <c r="DD46" i="39"/>
  <c r="BE99" i="1"/>
  <c r="BF21" i="41"/>
  <c r="AM22" i="41"/>
  <c r="DE31" i="38"/>
  <c r="DE32" i="38" s="1"/>
  <c r="DC51" i="36"/>
  <c r="CS19" i="26"/>
  <c r="AJ28" i="41"/>
  <c r="CG31" i="41"/>
  <c r="CG32" i="41" s="1"/>
  <c r="BY63" i="38"/>
  <c r="AN82" i="40"/>
  <c r="BI19" i="36"/>
  <c r="L14" i="38"/>
  <c r="BS72" i="37"/>
  <c r="AH19" i="40"/>
  <c r="BF13" i="26"/>
  <c r="P35" i="1"/>
  <c r="CK63" i="25"/>
  <c r="AC93" i="41"/>
  <c r="BD11" i="40"/>
  <c r="AH55" i="26"/>
  <c r="CF38" i="1"/>
  <c r="U46" i="36"/>
  <c r="BA51" i="25"/>
  <c r="CA99" i="26"/>
  <c r="V76" i="38"/>
  <c r="CG82" i="37"/>
  <c r="BT72" i="1"/>
  <c r="CB63" i="38"/>
  <c r="BP35" i="39"/>
  <c r="N68" i="46"/>
  <c r="AC82" i="37"/>
  <c r="AY22" i="25"/>
  <c r="M46" i="41"/>
  <c r="BV35" i="36"/>
  <c r="AU63" i="41"/>
  <c r="CG93" i="38"/>
  <c r="U35" i="26"/>
  <c r="AH76" i="41"/>
  <c r="BX82" i="26"/>
  <c r="L76" i="39"/>
  <c r="AO51" i="25"/>
  <c r="DF76" i="36"/>
  <c r="BQ31" i="26"/>
  <c r="CL99" i="40"/>
  <c r="CP31" i="41"/>
  <c r="BF89" i="38"/>
  <c r="AM93" i="38"/>
  <c r="CF63" i="39"/>
  <c r="AQ55" i="41"/>
  <c r="BU82" i="41"/>
  <c r="AH31" i="1"/>
  <c r="N51" i="1"/>
  <c r="BO28" i="37"/>
  <c r="DH26" i="37"/>
  <c r="CW28" i="39"/>
  <c r="CR68" i="25"/>
  <c r="AC51" i="39"/>
  <c r="DC28" i="1"/>
  <c r="AR68" i="39"/>
  <c r="CY19" i="25"/>
  <c r="AS28" i="1"/>
  <c r="AS32" i="1" s="1"/>
  <c r="CR55" i="26"/>
  <c r="AI22" i="25"/>
  <c r="CX31" i="37"/>
  <c r="DB51" i="38"/>
  <c r="AO35" i="39"/>
  <c r="BR14" i="1"/>
  <c r="CU82" i="40"/>
  <c r="DC35" i="25"/>
  <c r="BW55" i="41"/>
  <c r="AR38" i="25"/>
  <c r="AW38" i="41"/>
  <c r="AE72" i="38"/>
  <c r="CZ11" i="1"/>
  <c r="L35" i="38"/>
  <c r="AP82" i="38"/>
  <c r="CZ63" i="41"/>
  <c r="BO14" i="25"/>
  <c r="AQ93" i="25"/>
  <c r="V72" i="40"/>
  <c r="BB93" i="26"/>
  <c r="Z19" i="36"/>
  <c r="BA28" i="25"/>
  <c r="CJ55" i="41"/>
  <c r="CH46" i="41"/>
  <c r="CD51" i="40"/>
  <c r="BD11" i="1"/>
  <c r="T55" i="38"/>
  <c r="BU72" i="41"/>
  <c r="BW35" i="25"/>
  <c r="DC99" i="1"/>
  <c r="AK34" i="1"/>
  <c r="S35" i="1"/>
  <c r="AA104" i="26"/>
  <c r="X14" i="36"/>
  <c r="CE38" i="39"/>
  <c r="CX51" i="41"/>
  <c r="N19" i="26"/>
  <c r="CL93" i="38"/>
  <c r="CZ63" i="1"/>
  <c r="BT63" i="26"/>
  <c r="T46" i="38"/>
  <c r="BI19" i="39"/>
  <c r="AR14" i="25"/>
  <c r="AR15" i="25" s="1"/>
  <c r="AN72" i="36"/>
  <c r="CC22" i="26"/>
  <c r="CR19" i="39"/>
  <c r="AB38" i="41"/>
  <c r="CI68" i="26"/>
  <c r="CX38" i="40"/>
  <c r="BZ38" i="40"/>
  <c r="CA104" i="40"/>
  <c r="CU55" i="40"/>
  <c r="AB46" i="38"/>
  <c r="BZ72" i="39"/>
  <c r="AA22" i="1"/>
  <c r="AP51" i="40"/>
  <c r="CF28" i="26"/>
  <c r="CF32" i="26" s="1"/>
  <c r="AD28" i="40"/>
  <c r="CU76" i="26"/>
  <c r="CH104" i="1"/>
  <c r="BJ12" i="38"/>
  <c r="BH14" i="38"/>
  <c r="BV14" i="25"/>
  <c r="AK49" i="25"/>
  <c r="CC104" i="26"/>
  <c r="CS28" i="37"/>
  <c r="BC51" i="39"/>
  <c r="AS82" i="40"/>
  <c r="BP19" i="40"/>
  <c r="BX55" i="41"/>
  <c r="BU19" i="40"/>
  <c r="CN28" i="39"/>
  <c r="N55" i="38"/>
  <c r="BJ60" i="36"/>
  <c r="AW76" i="37"/>
  <c r="BY99" i="40"/>
  <c r="U93" i="36"/>
  <c r="AP82" i="37"/>
  <c r="CC51" i="37"/>
  <c r="CK28" i="39"/>
  <c r="AO31" i="36"/>
  <c r="AK75" i="36"/>
  <c r="S76" i="36"/>
  <c r="AQ46" i="1"/>
  <c r="AS14" i="1"/>
  <c r="CU55" i="26"/>
  <c r="AP76" i="40"/>
  <c r="BD325" i="47"/>
  <c r="AM38" i="26"/>
  <c r="BF37" i="26"/>
  <c r="CY104" i="26"/>
  <c r="BE28" i="41"/>
  <c r="BV82" i="26"/>
  <c r="CR99" i="26"/>
  <c r="BC104" i="36"/>
  <c r="L28" i="36"/>
  <c r="L32" i="36" s="1"/>
  <c r="K55" i="26"/>
  <c r="CR72" i="36"/>
  <c r="DE19" i="40"/>
  <c r="CI82" i="41"/>
  <c r="U19" i="26"/>
  <c r="DD51" i="38"/>
  <c r="AK89" i="36"/>
  <c r="S93" i="36"/>
  <c r="AO46" i="1"/>
  <c r="AQ35" i="41"/>
  <c r="U38" i="39"/>
  <c r="BS72" i="36"/>
  <c r="AZ55" i="25"/>
  <c r="BB82" i="40"/>
  <c r="DB72" i="40"/>
  <c r="CP35" i="39"/>
  <c r="CT76" i="41"/>
  <c r="CA14" i="40"/>
  <c r="CA15" i="40" s="1"/>
  <c r="BC63" i="37"/>
  <c r="BR51" i="40"/>
  <c r="CZ31" i="36"/>
  <c r="CZ32" i="36" s="1"/>
  <c r="K104" i="37"/>
  <c r="Q102" i="38"/>
  <c r="G104" i="38"/>
  <c r="CE104" i="41"/>
  <c r="AO11" i="41"/>
  <c r="V68" i="1"/>
  <c r="BF34" i="36"/>
  <c r="AM35" i="36"/>
  <c r="CF14" i="37"/>
  <c r="BU38" i="25"/>
  <c r="BR99" i="36"/>
  <c r="BS82" i="38"/>
  <c r="T99" i="26"/>
  <c r="AF31" i="25"/>
  <c r="BB63" i="1"/>
  <c r="CN35" i="36"/>
  <c r="BA76" i="26"/>
  <c r="CG14" i="1"/>
  <c r="AE46" i="25"/>
  <c r="CJ55" i="25"/>
  <c r="CA11" i="38"/>
  <c r="BR76" i="36"/>
  <c r="BX51" i="39"/>
  <c r="BA14" i="39"/>
  <c r="CD11" i="40"/>
  <c r="BF26" i="38"/>
  <c r="AM28" i="38"/>
  <c r="BS19" i="38"/>
  <c r="AV46" i="36"/>
  <c r="X82" i="39"/>
  <c r="BV68" i="40"/>
  <c r="BP35" i="25"/>
  <c r="AH93" i="41"/>
  <c r="Y93" i="40"/>
  <c r="V35" i="36"/>
  <c r="K38" i="41"/>
  <c r="Z93" i="37"/>
  <c r="BW22" i="26"/>
  <c r="AK13" i="40"/>
  <c r="DB104" i="37"/>
  <c r="DB11" i="41"/>
  <c r="CQ99" i="37"/>
  <c r="AR104" i="38"/>
  <c r="AX55" i="26"/>
  <c r="BE28" i="26"/>
  <c r="AZ51" i="41"/>
  <c r="AP68" i="37"/>
  <c r="AW51" i="41"/>
  <c r="CH19" i="25"/>
  <c r="CG46" i="41"/>
  <c r="CM35" i="37"/>
  <c r="F245" i="46"/>
  <c r="N55" i="39"/>
  <c r="BS35" i="39"/>
  <c r="DH60" i="37"/>
  <c r="BZ51" i="37"/>
  <c r="CW22" i="39"/>
  <c r="BX19" i="38"/>
  <c r="CI35" i="41"/>
  <c r="BD76" i="25"/>
  <c r="AO14" i="36"/>
  <c r="X35" i="1"/>
  <c r="Z22" i="37"/>
  <c r="AG93" i="36"/>
  <c r="CM14" i="1"/>
  <c r="CE46" i="38"/>
  <c r="AT93" i="41"/>
  <c r="CJ104" i="39"/>
  <c r="AY99" i="26"/>
  <c r="CO35" i="39"/>
  <c r="AE82" i="25"/>
  <c r="Q60" i="41"/>
  <c r="AD82" i="36"/>
  <c r="CV14" i="36"/>
  <c r="AH46" i="60"/>
  <c r="X31" i="37"/>
  <c r="V46" i="41"/>
  <c r="AY14" i="39"/>
  <c r="AY15" i="39" s="1"/>
  <c r="CA104" i="41"/>
  <c r="AG11" i="36"/>
  <c r="AX104" i="40"/>
  <c r="BP38" i="36"/>
  <c r="W72" i="36"/>
  <c r="AB51" i="26"/>
  <c r="CN104" i="26"/>
  <c r="AT31" i="25"/>
  <c r="AD11" i="36"/>
  <c r="AD15" i="36" s="1"/>
  <c r="CC38" i="39"/>
  <c r="CD19" i="38"/>
  <c r="AQ19" i="36"/>
  <c r="AY68" i="41"/>
  <c r="CV72" i="36"/>
  <c r="CR19" i="37"/>
  <c r="AA46" i="1"/>
  <c r="BA28" i="38"/>
  <c r="O104" i="1"/>
  <c r="DE68" i="1"/>
  <c r="CI51" i="36"/>
  <c r="I46" i="1"/>
  <c r="BT93" i="1"/>
  <c r="CN22" i="40"/>
  <c r="BY22" i="39"/>
  <c r="AU14" i="36"/>
  <c r="BC104" i="39"/>
  <c r="AF14" i="38"/>
  <c r="AF15" i="38" s="1"/>
  <c r="CK31" i="1"/>
  <c r="CK32" i="1" s="1"/>
  <c r="DD68" i="26"/>
  <c r="J19" i="36"/>
  <c r="AH35" i="36"/>
  <c r="CJ51" i="41"/>
  <c r="CL82" i="1"/>
  <c r="DC14" i="38"/>
  <c r="AO22" i="41"/>
  <c r="CU104" i="26"/>
  <c r="BV19" i="37"/>
  <c r="AC38" i="37"/>
  <c r="CS55" i="25"/>
  <c r="BB22" i="36"/>
  <c r="J28" i="41"/>
  <c r="J32" i="41" s="1"/>
  <c r="T51" i="39"/>
  <c r="AP11" i="39"/>
  <c r="DD99" i="37"/>
  <c r="P28" i="39"/>
  <c r="CT46" i="38"/>
  <c r="AE93" i="39"/>
  <c r="AF38" i="25"/>
  <c r="Y68" i="39"/>
  <c r="AF26" i="60"/>
  <c r="AD33" i="60"/>
  <c r="U93" i="39"/>
  <c r="P11" i="1"/>
  <c r="M22" i="40"/>
  <c r="U72" i="39"/>
  <c r="AN104" i="40"/>
  <c r="CO19" i="38"/>
  <c r="CN76" i="36"/>
  <c r="BT22" i="40"/>
  <c r="AB28" i="37"/>
  <c r="DD28" i="36"/>
  <c r="AZ35" i="38"/>
  <c r="W19" i="25"/>
  <c r="X19" i="39"/>
  <c r="CF46" i="36"/>
  <c r="BF66" i="26"/>
  <c r="BU55" i="38"/>
  <c r="DB104" i="36"/>
  <c r="DB106" i="36" s="1"/>
  <c r="CV35" i="36"/>
  <c r="BJ75" i="38"/>
  <c r="BH76" i="38"/>
  <c r="AK59" i="38"/>
  <c r="AG26" i="60"/>
  <c r="DE63" i="41"/>
  <c r="BT11" i="37"/>
  <c r="AM68" i="38"/>
  <c r="BF65" i="38"/>
  <c r="BE35" i="26"/>
  <c r="BP14" i="39"/>
  <c r="CA104" i="36"/>
  <c r="CX19" i="25"/>
  <c r="CM82" i="26"/>
  <c r="CB68" i="25"/>
  <c r="BP104" i="40"/>
  <c r="BP51" i="40"/>
  <c r="J11" i="41"/>
  <c r="AW19" i="36"/>
  <c r="W51" i="37"/>
  <c r="CE99" i="40"/>
  <c r="CK51" i="38"/>
  <c r="BD99" i="39"/>
  <c r="BC63" i="25"/>
  <c r="O93" i="40"/>
  <c r="DF72" i="26"/>
  <c r="BO99" i="26"/>
  <c r="BD31" i="1"/>
  <c r="M19" i="40"/>
  <c r="CW68" i="36"/>
  <c r="AI22" i="41"/>
  <c r="AO93" i="26"/>
  <c r="CU63" i="26"/>
  <c r="V51" i="40"/>
  <c r="CF104" i="26"/>
  <c r="CG72" i="38"/>
  <c r="BR38" i="1"/>
  <c r="DE46" i="36"/>
  <c r="CU28" i="1"/>
  <c r="BZ28" i="25"/>
  <c r="S51" i="26"/>
  <c r="AK48" i="26"/>
  <c r="BZ76" i="1"/>
  <c r="CM51" i="39"/>
  <c r="AU38" i="1"/>
  <c r="G279" i="46"/>
  <c r="AH55" i="36"/>
  <c r="BU51" i="40"/>
  <c r="BR11" i="25"/>
  <c r="CN63" i="25"/>
  <c r="AD46" i="37"/>
  <c r="CG99" i="36"/>
  <c r="Q89" i="36"/>
  <c r="G93" i="36"/>
  <c r="P14" i="25"/>
  <c r="P15" i="25" s="1"/>
  <c r="CE82" i="36"/>
  <c r="DB35" i="26"/>
  <c r="CZ35" i="26"/>
  <c r="DB38" i="37"/>
  <c r="BX31" i="26"/>
  <c r="AK18" i="1"/>
  <c r="CH63" i="38"/>
  <c r="CK68" i="26"/>
  <c r="CN104" i="37"/>
  <c r="DE35" i="37"/>
  <c r="DC19" i="25"/>
  <c r="CM11" i="36"/>
  <c r="BW76" i="39"/>
  <c r="AK49" i="39"/>
  <c r="AH11" i="38"/>
  <c r="CS22" i="1"/>
  <c r="BD11" i="26"/>
  <c r="CC19" i="37"/>
  <c r="AV35" i="25"/>
  <c r="CQ28" i="40"/>
  <c r="CQ32" i="40" s="1"/>
  <c r="CU11" i="25"/>
  <c r="BV99" i="36"/>
  <c r="DA82" i="26"/>
  <c r="BC68" i="39"/>
  <c r="AO46" i="26"/>
  <c r="BA82" i="38"/>
  <c r="CY72" i="39"/>
  <c r="CG76" i="36"/>
  <c r="CI93" i="41"/>
  <c r="BI35" i="26"/>
  <c r="BX72" i="25"/>
  <c r="Z82" i="36"/>
  <c r="CG38" i="38"/>
  <c r="AQ72" i="39"/>
  <c r="AK37" i="39"/>
  <c r="S38" i="39"/>
  <c r="Q24" i="36"/>
  <c r="AD93" i="36"/>
  <c r="CA11" i="37"/>
  <c r="BU104" i="37"/>
  <c r="BJ65" i="1"/>
  <c r="BH68" i="1"/>
  <c r="AR72" i="25"/>
  <c r="CK63" i="39"/>
  <c r="L99" i="40"/>
  <c r="AI37" i="60"/>
  <c r="CM104" i="41"/>
  <c r="BI51" i="1"/>
  <c r="BR72" i="1"/>
  <c r="AH76" i="1"/>
  <c r="G31" i="26"/>
  <c r="Q29" i="26"/>
  <c r="Q81" i="36"/>
  <c r="BT35" i="1"/>
  <c r="U46" i="40"/>
  <c r="CV28" i="36"/>
  <c r="BV72" i="25"/>
  <c r="AH31" i="26"/>
  <c r="CC14" i="1"/>
  <c r="AV82" i="40"/>
  <c r="AV68" i="40"/>
  <c r="CI14" i="39"/>
  <c r="AA35" i="25"/>
  <c r="AH28" i="1"/>
  <c r="AH32" i="1" s="1"/>
  <c r="CT31" i="37"/>
  <c r="BQ68" i="26"/>
  <c r="AB19" i="41"/>
  <c r="CU35" i="39"/>
  <c r="Y22" i="26"/>
  <c r="I68" i="26"/>
  <c r="CP31" i="40"/>
  <c r="AO22" i="36"/>
  <c r="T28" i="39"/>
  <c r="BD51" i="38"/>
  <c r="H31" i="36"/>
  <c r="AK62" i="26"/>
  <c r="CL14" i="39"/>
  <c r="AQ11" i="37"/>
  <c r="BY22" i="40"/>
  <c r="CY51" i="37"/>
  <c r="AP46" i="25"/>
  <c r="AB104" i="1"/>
  <c r="CC51" i="39"/>
  <c r="W76" i="41"/>
  <c r="BJ60" i="41"/>
  <c r="Z35" i="26"/>
  <c r="X55" i="37"/>
  <c r="AH38" i="38"/>
  <c r="BS46" i="39"/>
  <c r="Q24" i="25"/>
  <c r="Q27" i="26"/>
  <c r="AN46" i="26"/>
  <c r="CM99" i="40"/>
  <c r="AX72" i="41"/>
  <c r="AW76" i="36"/>
  <c r="Y11" i="1"/>
  <c r="CP11" i="39"/>
  <c r="CE28" i="41"/>
  <c r="CE32" i="41" s="1"/>
  <c r="AN31" i="1"/>
  <c r="BA63" i="25"/>
  <c r="DF35" i="36"/>
  <c r="AD31" i="41"/>
  <c r="BZ104" i="36"/>
  <c r="DF11" i="37"/>
  <c r="AQ11" i="38"/>
  <c r="AX14" i="26"/>
  <c r="BR35" i="39"/>
  <c r="L19" i="41"/>
  <c r="BF92" i="41"/>
  <c r="CP19" i="1"/>
  <c r="AO104" i="26"/>
  <c r="AT72" i="38"/>
  <c r="BV22" i="39"/>
  <c r="AT76" i="38"/>
  <c r="BA76" i="39"/>
  <c r="BX11" i="26"/>
  <c r="AI82" i="25"/>
  <c r="AO68" i="40"/>
  <c r="J19" i="38"/>
  <c r="CY93" i="39"/>
  <c r="AX99" i="40"/>
  <c r="AY51" i="37"/>
  <c r="CM51" i="36"/>
  <c r="AB14" i="41"/>
  <c r="BE99" i="38"/>
  <c r="AB46" i="36"/>
  <c r="CH35" i="1"/>
  <c r="DB38" i="1"/>
  <c r="AK58" i="38"/>
  <c r="M55" i="41"/>
  <c r="AU35" i="36"/>
  <c r="BA11" i="39"/>
  <c r="J68" i="41"/>
  <c r="T55" i="36"/>
  <c r="BH76" i="26"/>
  <c r="BJ76" i="26" s="1"/>
  <c r="BJ75" i="26"/>
  <c r="J14" i="36"/>
  <c r="J15" i="36" s="1"/>
  <c r="BF49" i="26"/>
  <c r="CB22" i="39"/>
  <c r="AD93" i="40"/>
  <c r="DB99" i="1"/>
  <c r="AG68" i="40"/>
  <c r="BU22" i="39"/>
  <c r="V38" i="25"/>
  <c r="CJ72" i="37"/>
  <c r="AD38" i="37"/>
  <c r="S93" i="40"/>
  <c r="AK89" i="40"/>
  <c r="BB99" i="40"/>
  <c r="CY19" i="37"/>
  <c r="CA93" i="36"/>
  <c r="Z11" i="26"/>
  <c r="CV63" i="40"/>
  <c r="J278" i="46"/>
  <c r="J280" i="46" s="1"/>
  <c r="BT38" i="37"/>
  <c r="CB55" i="39"/>
  <c r="Q92" i="37"/>
  <c r="CG22" i="41"/>
  <c r="BC76" i="25"/>
  <c r="BH104" i="39"/>
  <c r="AA46" i="26"/>
  <c r="CL31" i="40"/>
  <c r="AF38" i="36"/>
  <c r="BU11" i="38"/>
  <c r="AG35" i="25"/>
  <c r="CH76" i="1"/>
  <c r="AC63" i="41"/>
  <c r="CH76" i="37"/>
  <c r="DC14" i="26"/>
  <c r="DC15" i="26" s="1"/>
  <c r="CN104" i="39"/>
  <c r="AK50" i="37"/>
  <c r="AP82" i="41"/>
  <c r="CD93" i="38"/>
  <c r="CA19" i="38"/>
  <c r="AP11" i="41"/>
  <c r="DH66" i="37"/>
  <c r="AQ68" i="1"/>
  <c r="AG22" i="40"/>
  <c r="CY35" i="25"/>
  <c r="AR55" i="37"/>
  <c r="DD93" i="39"/>
  <c r="BU35" i="40"/>
  <c r="AN55" i="40"/>
  <c r="CL35" i="41"/>
  <c r="AW104" i="1"/>
  <c r="BC63" i="39"/>
  <c r="CJ93" i="25"/>
  <c r="BZ72" i="38"/>
  <c r="DE72" i="36"/>
  <c r="AX93" i="25"/>
  <c r="P63" i="40"/>
  <c r="BQ99" i="39"/>
  <c r="H93" i="39"/>
  <c r="X28" i="37"/>
  <c r="AR35" i="1"/>
  <c r="T28" i="38"/>
  <c r="M31" i="37"/>
  <c r="AC104" i="36"/>
  <c r="V31" i="1"/>
  <c r="CS31" i="1"/>
  <c r="DD76" i="25"/>
  <c r="BU19" i="37"/>
  <c r="DH27" i="1"/>
  <c r="CI68" i="37"/>
  <c r="BJ59" i="25"/>
  <c r="CP72" i="36"/>
  <c r="W22" i="39"/>
  <c r="BH63" i="39"/>
  <c r="BJ57" i="39"/>
  <c r="CA31" i="38"/>
  <c r="CW55" i="38"/>
  <c r="V31" i="36"/>
  <c r="V32" i="36" s="1"/>
  <c r="AT68" i="26"/>
  <c r="BD46" i="41"/>
  <c r="BQ14" i="36"/>
  <c r="AT19" i="38"/>
  <c r="AO19" i="36"/>
  <c r="AG16" i="60"/>
  <c r="BW22" i="36"/>
  <c r="BR82" i="37"/>
  <c r="CL11" i="39"/>
  <c r="BF67" i="36"/>
  <c r="CK19" i="26"/>
  <c r="BE72" i="1"/>
  <c r="AD31" i="37"/>
  <c r="L99" i="26"/>
  <c r="CX63" i="37"/>
  <c r="AU72" i="1"/>
  <c r="AT28" i="40"/>
  <c r="CT72" i="1"/>
  <c r="AQ72" i="1"/>
  <c r="Y63" i="1"/>
  <c r="DF35" i="37"/>
  <c r="U31" i="39"/>
  <c r="U32" i="39" s="1"/>
  <c r="N82" i="39"/>
  <c r="AG93" i="41"/>
  <c r="AC93" i="37"/>
  <c r="AW72" i="25"/>
  <c r="BQ99" i="38"/>
  <c r="CA31" i="40"/>
  <c r="W14" i="26"/>
  <c r="AA46" i="37"/>
  <c r="S38" i="1"/>
  <c r="AK37" i="1"/>
  <c r="P99" i="38"/>
  <c r="CJ28" i="1"/>
  <c r="CJ32" i="1" s="1"/>
  <c r="J35" i="41"/>
  <c r="BF58" i="25"/>
  <c r="AA93" i="37"/>
  <c r="CN68" i="38"/>
  <c r="AD22" i="39"/>
  <c r="BQ72" i="39"/>
  <c r="CE68" i="39"/>
  <c r="BF18" i="38"/>
  <c r="U38" i="37"/>
  <c r="AU68" i="36"/>
  <c r="CZ76" i="36"/>
  <c r="I63" i="1"/>
  <c r="CX72" i="41"/>
  <c r="BR51" i="26"/>
  <c r="CO68" i="40"/>
  <c r="BQ76" i="39"/>
  <c r="CD22" i="39"/>
  <c r="Q66" i="36"/>
  <c r="BL66" i="36" s="1"/>
  <c r="AC28" i="1"/>
  <c r="BS51" i="25"/>
  <c r="CB22" i="25"/>
  <c r="O104" i="39"/>
  <c r="CV93" i="26"/>
  <c r="BD63" i="1"/>
  <c r="DD104" i="39"/>
  <c r="AS72" i="39"/>
  <c r="Q13" i="26"/>
  <c r="AR99" i="26"/>
  <c r="CM35" i="25"/>
  <c r="K72" i="36"/>
  <c r="AT11" i="41"/>
  <c r="DD82" i="1"/>
  <c r="AV22" i="40"/>
  <c r="DA35" i="39"/>
  <c r="Q89" i="25"/>
  <c r="G93" i="25"/>
  <c r="W68" i="39"/>
  <c r="AM11" i="39"/>
  <c r="AH63" i="39"/>
  <c r="AK10" i="25"/>
  <c r="AG82" i="25"/>
  <c r="CS72" i="37"/>
  <c r="CO93" i="40"/>
  <c r="O55" i="40"/>
  <c r="CP19" i="38"/>
  <c r="O46" i="40"/>
  <c r="L99" i="39"/>
  <c r="AV93" i="26"/>
  <c r="CW93" i="36"/>
  <c r="AJ82" i="26"/>
  <c r="BI28" i="40"/>
  <c r="G22" i="39"/>
  <c r="Q21" i="39"/>
  <c r="AH28" i="25"/>
  <c r="AJ14" i="36"/>
  <c r="BR104" i="38"/>
  <c r="BP31" i="26"/>
  <c r="DH66" i="36"/>
  <c r="CK72" i="25"/>
  <c r="AX46" i="26"/>
  <c r="CW31" i="26"/>
  <c r="BV76" i="25"/>
  <c r="CZ28" i="37"/>
  <c r="BX76" i="1"/>
  <c r="AG31" i="38"/>
  <c r="N35" i="37"/>
  <c r="BE68" i="1"/>
  <c r="AD51" i="1"/>
  <c r="K68" i="39"/>
  <c r="BC31" i="1"/>
  <c r="BJ9" i="39"/>
  <c r="BH11" i="39"/>
  <c r="BP104" i="1"/>
  <c r="AR46" i="1"/>
  <c r="Y14" i="1"/>
  <c r="DE11" i="40"/>
  <c r="DE15" i="40" s="1"/>
  <c r="CK82" i="1"/>
  <c r="CJ104" i="25"/>
  <c r="DH49" i="41"/>
  <c r="BR19" i="36"/>
  <c r="U22" i="36"/>
  <c r="BR72" i="40"/>
  <c r="DF51" i="36"/>
  <c r="CD22" i="1"/>
  <c r="BE46" i="1"/>
  <c r="CS82" i="25"/>
  <c r="CP99" i="41"/>
  <c r="CE14" i="1"/>
  <c r="V6" i="60"/>
  <c r="BC35" i="1"/>
  <c r="CL99" i="1"/>
  <c r="BQ19" i="39"/>
  <c r="BJ25" i="39"/>
  <c r="H82" i="38"/>
  <c r="AY99" i="38"/>
  <c r="T63" i="38"/>
  <c r="CM76" i="41"/>
  <c r="AO19" i="40"/>
  <c r="BV32" i="40"/>
  <c r="BU19" i="25"/>
  <c r="CH38" i="37"/>
  <c r="BA22" i="1"/>
  <c r="AI14" i="36"/>
  <c r="O104" i="38"/>
  <c r="BD55" i="25"/>
  <c r="AZ72" i="36"/>
  <c r="L46" i="26"/>
  <c r="BD68" i="38"/>
  <c r="AW19" i="1"/>
  <c r="CM104" i="39"/>
  <c r="U76" i="38"/>
  <c r="CU38" i="37"/>
  <c r="CV22" i="1"/>
  <c r="V72" i="25"/>
  <c r="BS72" i="38"/>
  <c r="BI14" i="25"/>
  <c r="DC63" i="40"/>
  <c r="BW11" i="25"/>
  <c r="W38" i="26"/>
  <c r="I19" i="37"/>
  <c r="AN38" i="38"/>
  <c r="CY14" i="38"/>
  <c r="CY15" i="38" s="1"/>
  <c r="BI28" i="25"/>
  <c r="K38" i="1"/>
  <c r="CQ63" i="38"/>
  <c r="CP46" i="1"/>
  <c r="BJ24" i="26"/>
  <c r="AH76" i="26"/>
  <c r="AI22" i="40"/>
  <c r="CV72" i="39"/>
  <c r="BQ28" i="36"/>
  <c r="BI22" i="36"/>
  <c r="AA11" i="41"/>
  <c r="J55" i="40"/>
  <c r="AE7" i="60"/>
  <c r="X35" i="40"/>
  <c r="BU55" i="1"/>
  <c r="AE31" i="25"/>
  <c r="O19" i="38"/>
  <c r="AH63" i="25"/>
  <c r="AA28" i="39"/>
  <c r="BT22" i="36"/>
  <c r="BE93" i="25"/>
  <c r="DH61" i="41"/>
  <c r="BS31" i="38"/>
  <c r="CN14" i="25"/>
  <c r="BW68" i="39"/>
  <c r="DC38" i="37"/>
  <c r="AJ51" i="36"/>
  <c r="DB31" i="26"/>
  <c r="CW82" i="26"/>
  <c r="BR22" i="37"/>
  <c r="BY11" i="1"/>
  <c r="BY72" i="25"/>
  <c r="CD68" i="37"/>
  <c r="BY19" i="26"/>
  <c r="BQ31" i="37"/>
  <c r="BQ32" i="37" s="1"/>
  <c r="Z14" i="26"/>
  <c r="Z15" i="26" s="1"/>
  <c r="DE63" i="25"/>
  <c r="BU51" i="39"/>
  <c r="BT51" i="41"/>
  <c r="BD104" i="39"/>
  <c r="O14" i="40"/>
  <c r="AE50" i="60"/>
  <c r="BJ62" i="39"/>
  <c r="AP72" i="25"/>
  <c r="CG76" i="26"/>
  <c r="BF24" i="41"/>
  <c r="AX55" i="40"/>
  <c r="BC55" i="39"/>
  <c r="BW22" i="40"/>
  <c r="AE51" i="36"/>
  <c r="V93" i="1"/>
  <c r="BW11" i="41"/>
  <c r="AW46" i="36"/>
  <c r="AP35" i="36"/>
  <c r="BR63" i="1"/>
  <c r="CL51" i="41"/>
  <c r="BQ22" i="36"/>
  <c r="CT76" i="1"/>
  <c r="Z22" i="41"/>
  <c r="CQ63" i="25"/>
  <c r="AZ51" i="25"/>
  <c r="BX28" i="37"/>
  <c r="Y22" i="40"/>
  <c r="CS46" i="38"/>
  <c r="AU99" i="39"/>
  <c r="AM72" i="26"/>
  <c r="BF71" i="26"/>
  <c r="BB82" i="37"/>
  <c r="BA72" i="1"/>
  <c r="AK48" i="37"/>
  <c r="S51" i="37"/>
  <c r="DC72" i="37"/>
  <c r="DH59" i="25"/>
  <c r="K278" i="46"/>
  <c r="AN55" i="37"/>
  <c r="CB38" i="36"/>
  <c r="H46" i="41"/>
  <c r="BF62" i="1"/>
  <c r="CS99" i="25"/>
  <c r="I11" i="38"/>
  <c r="CR82" i="25"/>
  <c r="AF46" i="39"/>
  <c r="AH50" i="60"/>
  <c r="CY28" i="41"/>
  <c r="CH51" i="25"/>
  <c r="V14" i="39"/>
  <c r="CH55" i="25"/>
  <c r="AO35" i="36"/>
  <c r="CC31" i="26"/>
  <c r="I93" i="25"/>
  <c r="CP38" i="37"/>
  <c r="CP31" i="37"/>
  <c r="BR104" i="1"/>
  <c r="BY31" i="1"/>
  <c r="CU104" i="39"/>
  <c r="CA55" i="40"/>
  <c r="BE104" i="26"/>
  <c r="BB51" i="38"/>
  <c r="CG28" i="40"/>
  <c r="AN63" i="25"/>
  <c r="CB14" i="1"/>
  <c r="AL26" i="60"/>
  <c r="CB35" i="39"/>
  <c r="CW51" i="39"/>
  <c r="CL68" i="40"/>
  <c r="AQ72" i="37"/>
  <c r="Q59" i="38"/>
  <c r="BX38" i="36"/>
  <c r="CV99" i="36"/>
  <c r="BJ17" i="40"/>
  <c r="BH19" i="40"/>
  <c r="BP72" i="37"/>
  <c r="AZ72" i="41"/>
  <c r="BW35" i="1"/>
  <c r="DB28" i="38"/>
  <c r="DB32" i="38" s="1"/>
  <c r="CY72" i="38"/>
  <c r="BF27" i="38"/>
  <c r="AP51" i="39"/>
  <c r="U63" i="38"/>
  <c r="CN31" i="38"/>
  <c r="K104" i="36"/>
  <c r="Y51" i="37"/>
  <c r="CU63" i="25"/>
  <c r="DD51" i="1"/>
  <c r="AP93" i="25"/>
  <c r="CF63" i="26"/>
  <c r="CU38" i="26"/>
  <c r="DE28" i="41"/>
  <c r="AC68" i="41"/>
  <c r="BT28" i="38"/>
  <c r="DF93" i="38"/>
  <c r="BZ82" i="41"/>
  <c r="DF76" i="41"/>
  <c r="AY76" i="37"/>
  <c r="BW35" i="40"/>
  <c r="BI46" i="26"/>
  <c r="CU68" i="40"/>
  <c r="DC14" i="36"/>
  <c r="AP68" i="36"/>
  <c r="CN76" i="1"/>
  <c r="BV63" i="40"/>
  <c r="BZ99" i="39"/>
  <c r="CH76" i="41"/>
  <c r="BT63" i="36"/>
  <c r="T31" i="1"/>
  <c r="T32" i="1" s="1"/>
  <c r="DH61" i="26"/>
  <c r="AI38" i="25"/>
  <c r="AN104" i="1"/>
  <c r="BD31" i="40"/>
  <c r="AN99" i="38"/>
  <c r="CR63" i="36"/>
  <c r="AR28" i="39"/>
  <c r="CH14" i="26"/>
  <c r="CH15" i="26" s="1"/>
  <c r="AW55" i="40"/>
  <c r="BF81" i="41"/>
  <c r="CN82" i="37"/>
  <c r="AR76" i="40"/>
  <c r="CR72" i="41"/>
  <c r="AJ19" i="39"/>
  <c r="DC99" i="26"/>
  <c r="CT72" i="40"/>
  <c r="I46" i="39"/>
  <c r="BT82" i="38"/>
  <c r="AU99" i="26"/>
  <c r="CM82" i="1"/>
  <c r="BV68" i="26"/>
  <c r="AI28" i="39"/>
  <c r="BI72" i="26"/>
  <c r="V82" i="36"/>
  <c r="AA31" i="37"/>
  <c r="M55" i="1"/>
  <c r="BA22" i="40"/>
  <c r="BR19" i="40"/>
  <c r="CH55" i="37"/>
  <c r="CM46" i="41"/>
  <c r="BF34" i="38"/>
  <c r="AM35" i="38"/>
  <c r="BQ51" i="25"/>
  <c r="W14" i="1"/>
  <c r="L55" i="40"/>
  <c r="BI99" i="39"/>
  <c r="AH19" i="36"/>
  <c r="BZ93" i="41"/>
  <c r="AO51" i="41"/>
  <c r="CB72" i="41"/>
  <c r="CF22" i="39"/>
  <c r="BC38" i="26"/>
  <c r="AC93" i="40"/>
  <c r="BW104" i="41"/>
  <c r="CA14" i="36"/>
  <c r="AE63" i="39"/>
  <c r="CK35" i="39"/>
  <c r="AC14" i="36"/>
  <c r="AC15" i="36" s="1"/>
  <c r="BZ51" i="1"/>
  <c r="CD35" i="37"/>
  <c r="K11" i="1"/>
  <c r="AT93" i="25"/>
  <c r="AJ63" i="25"/>
  <c r="M99" i="1"/>
  <c r="CG76" i="37"/>
  <c r="CO51" i="1"/>
  <c r="CJ22" i="37"/>
  <c r="H31" i="1"/>
  <c r="CE28" i="1"/>
  <c r="BB93" i="40"/>
  <c r="BX55" i="25"/>
  <c r="T63" i="26"/>
  <c r="BI22" i="40"/>
  <c r="DC35" i="1"/>
  <c r="Q10" i="1"/>
  <c r="AJ38" i="26"/>
  <c r="M68" i="39"/>
  <c r="AW82" i="25"/>
  <c r="CG82" i="36"/>
  <c r="CF31" i="1"/>
  <c r="DA99" i="39"/>
  <c r="BR22" i="38"/>
  <c r="CH11" i="37"/>
  <c r="CE46" i="36"/>
  <c r="BJ12" i="41"/>
  <c r="BH14" i="41"/>
  <c r="AK57" i="37"/>
  <c r="S63" i="37"/>
  <c r="BD28" i="25"/>
  <c r="BR68" i="25"/>
  <c r="BR82" i="1"/>
  <c r="T68" i="26"/>
  <c r="CY51" i="41"/>
  <c r="CC99" i="26"/>
  <c r="CH55" i="1"/>
  <c r="BJ62" i="1"/>
  <c r="BJ59" i="40"/>
  <c r="DB32" i="25"/>
  <c r="Q71" i="39"/>
  <c r="G72" i="39"/>
  <c r="BJ27" i="25"/>
  <c r="AB46" i="41"/>
  <c r="AV68" i="37"/>
  <c r="AF22" i="60"/>
  <c r="O11" i="41"/>
  <c r="AB82" i="36"/>
  <c r="DB104" i="25"/>
  <c r="BV55" i="38"/>
  <c r="BW35" i="37"/>
  <c r="BB68" i="26"/>
  <c r="CK63" i="37"/>
  <c r="T28" i="26"/>
  <c r="I31" i="26"/>
  <c r="AE16" i="60"/>
  <c r="BE68" i="25"/>
  <c r="W55" i="60"/>
  <c r="CP14" i="41"/>
  <c r="CN72" i="25"/>
  <c r="AQ31" i="40"/>
  <c r="CI82" i="40"/>
  <c r="CP51" i="37"/>
  <c r="M287" i="46"/>
  <c r="M298" i="46" s="1"/>
  <c r="DF31" i="26"/>
  <c r="CB68" i="26"/>
  <c r="M35" i="38"/>
  <c r="AF11" i="41"/>
  <c r="CZ82" i="1"/>
  <c r="CY46" i="26"/>
  <c r="CH82" i="25"/>
  <c r="CW104" i="26"/>
  <c r="Q62" i="39"/>
  <c r="CQ14" i="41"/>
  <c r="DF28" i="25"/>
  <c r="DF32" i="25" s="1"/>
  <c r="Y19" i="26"/>
  <c r="CR11" i="26"/>
  <c r="N11" i="25"/>
  <c r="CW38" i="40"/>
  <c r="BD31" i="41"/>
  <c r="I290" i="46"/>
  <c r="I301" i="46" s="1"/>
  <c r="G46" i="41"/>
  <c r="Q45" i="41"/>
  <c r="BR14" i="25"/>
  <c r="BR15" i="25" s="1"/>
  <c r="DB93" i="38"/>
  <c r="DB106" i="38" s="1"/>
  <c r="CX99" i="1"/>
  <c r="CG72" i="37"/>
  <c r="AP93" i="36"/>
  <c r="CT38" i="26"/>
  <c r="CZ14" i="40"/>
  <c r="CZ15" i="40" s="1"/>
  <c r="AH104" i="26"/>
  <c r="AP14" i="36"/>
  <c r="Y82" i="1"/>
  <c r="DE82" i="1"/>
  <c r="CC11" i="41"/>
  <c r="AZ28" i="25"/>
  <c r="AW35" i="36"/>
  <c r="AP68" i="25"/>
  <c r="X31" i="38"/>
  <c r="CE11" i="36"/>
  <c r="BT104" i="1"/>
  <c r="AF68" i="39"/>
  <c r="BE93" i="36"/>
  <c r="CR63" i="26"/>
  <c r="CD82" i="36"/>
  <c r="BH63" i="26"/>
  <c r="BJ57" i="26"/>
  <c r="AG19" i="1"/>
  <c r="CS76" i="36"/>
  <c r="AI55" i="1"/>
  <c r="CD93" i="39"/>
  <c r="AD11" i="37"/>
  <c r="BR19" i="37"/>
  <c r="DC82" i="38"/>
  <c r="N31" i="25"/>
  <c r="AW99" i="25"/>
  <c r="AG31" i="40"/>
  <c r="V46" i="37"/>
  <c r="BW63" i="38"/>
  <c r="Y63" i="38"/>
  <c r="V19" i="39"/>
  <c r="AB76" i="40"/>
  <c r="W68" i="26"/>
  <c r="BX51" i="37"/>
  <c r="CR35" i="38"/>
  <c r="CE51" i="41"/>
  <c r="CX22" i="36"/>
  <c r="V76" i="25"/>
  <c r="K82" i="36"/>
  <c r="S104" i="41"/>
  <c r="N245" i="46"/>
  <c r="N255" i="46" s="1"/>
  <c r="CR31" i="1"/>
  <c r="CR32" i="1" s="1"/>
  <c r="AK65" i="1"/>
  <c r="S68" i="1"/>
  <c r="CB99" i="1"/>
  <c r="AR99" i="41"/>
  <c r="AN28" i="41"/>
  <c r="AK62" i="25"/>
  <c r="AR14" i="41"/>
  <c r="CW63" i="40"/>
  <c r="AV14" i="41"/>
  <c r="CC99" i="38"/>
  <c r="AE51" i="38"/>
  <c r="AX55" i="36"/>
  <c r="N22" i="37"/>
  <c r="DF99" i="39"/>
  <c r="L279" i="46"/>
  <c r="BR63" i="37"/>
  <c r="CY55" i="36"/>
  <c r="BX22" i="37"/>
  <c r="V19" i="25"/>
  <c r="AO38" i="40"/>
  <c r="AQ28" i="38"/>
  <c r="AH55" i="38"/>
  <c r="CG22" i="38"/>
  <c r="DA93" i="39"/>
  <c r="DD31" i="26"/>
  <c r="CT22" i="36"/>
  <c r="AA38" i="25"/>
  <c r="BZ68" i="1"/>
  <c r="CX51" i="40"/>
  <c r="BD22" i="41"/>
  <c r="DH25" i="38"/>
  <c r="AS76" i="38"/>
  <c r="AH104" i="36"/>
  <c r="AA38" i="26"/>
  <c r="CX93" i="26"/>
  <c r="AH38" i="25"/>
  <c r="H63" i="40"/>
  <c r="AY76" i="41"/>
  <c r="DB82" i="41"/>
  <c r="CD82" i="1"/>
  <c r="BT19" i="36"/>
  <c r="DH30" i="39"/>
  <c r="CQ35" i="26"/>
  <c r="X19" i="41"/>
  <c r="BC19" i="26"/>
  <c r="CL51" i="40"/>
  <c r="CA68" i="40"/>
  <c r="CK51" i="1"/>
  <c r="AH31" i="36"/>
  <c r="CY14" i="40"/>
  <c r="CP68" i="37"/>
  <c r="AA93" i="1"/>
  <c r="X72" i="37"/>
  <c r="CL11" i="36"/>
  <c r="AA19" i="1"/>
  <c r="BY22" i="26"/>
  <c r="I28" i="25"/>
  <c r="BD99" i="38"/>
  <c r="Z99" i="1"/>
  <c r="BB46" i="36"/>
  <c r="DC28" i="25"/>
  <c r="AN38" i="39"/>
  <c r="CX99" i="40"/>
  <c r="CC104" i="41"/>
  <c r="BJ49" i="41"/>
  <c r="CW14" i="39"/>
  <c r="CW15" i="39" s="1"/>
  <c r="BX68" i="1"/>
  <c r="AS28" i="37"/>
  <c r="AY104" i="25"/>
  <c r="AJ82" i="41"/>
  <c r="BI35" i="1"/>
  <c r="V14" i="36"/>
  <c r="O93" i="39"/>
  <c r="DF35" i="39"/>
  <c r="Z35" i="37"/>
  <c r="K31" i="36"/>
  <c r="CI46" i="39"/>
  <c r="AR99" i="37"/>
  <c r="AE19" i="37"/>
  <c r="CU31" i="1"/>
  <c r="BU51" i="25"/>
  <c r="AA28" i="36"/>
  <c r="AA32" i="36" s="1"/>
  <c r="P72" i="40"/>
  <c r="AN68" i="1"/>
  <c r="CF19" i="41"/>
  <c r="AQ93" i="38"/>
  <c r="DH49" i="25"/>
  <c r="J35" i="1"/>
  <c r="O76" i="36"/>
  <c r="Q50" i="26"/>
  <c r="AY19" i="37"/>
  <c r="BB82" i="36"/>
  <c r="AZ14" i="40"/>
  <c r="AT31" i="39"/>
  <c r="BR22" i="36"/>
  <c r="AC104" i="41"/>
  <c r="CV31" i="25"/>
  <c r="AX46" i="1"/>
  <c r="DC22" i="37"/>
  <c r="AC14" i="40"/>
  <c r="AC15" i="40" s="1"/>
  <c r="CS51" i="40"/>
  <c r="K82" i="38"/>
  <c r="AZ76" i="26"/>
  <c r="CD104" i="37"/>
  <c r="L68" i="38"/>
  <c r="CA93" i="38"/>
  <c r="DC28" i="38"/>
  <c r="CT72" i="37"/>
  <c r="X38" i="38"/>
  <c r="G288" i="46"/>
  <c r="G299" i="46" s="1"/>
  <c r="AH55" i="25"/>
  <c r="BJ61" i="36"/>
  <c r="CQ51" i="38"/>
  <c r="BI31" i="40"/>
  <c r="BI32" i="40" s="1"/>
  <c r="CS82" i="41"/>
  <c r="CH76" i="40"/>
  <c r="BS93" i="26"/>
  <c r="CG82" i="39"/>
  <c r="H72" i="37"/>
  <c r="O22" i="36"/>
  <c r="AG38" i="36"/>
  <c r="CD76" i="25"/>
  <c r="AY68" i="25"/>
  <c r="CF72" i="38"/>
  <c r="U76" i="36"/>
  <c r="DH62" i="37"/>
  <c r="CU46" i="36"/>
  <c r="Q81" i="1"/>
  <c r="CG93" i="37"/>
  <c r="BB76" i="36"/>
  <c r="BE35" i="25"/>
  <c r="BT51" i="37"/>
  <c r="BP35" i="37"/>
  <c r="AR55" i="36"/>
  <c r="BQ63" i="39"/>
  <c r="CX68" i="40"/>
  <c r="U63" i="26"/>
  <c r="AZ93" i="1"/>
  <c r="AH93" i="40"/>
  <c r="J72" i="26"/>
  <c r="CF51" i="37"/>
  <c r="BX93" i="1"/>
  <c r="N51" i="40"/>
  <c r="DD46" i="25"/>
  <c r="AE28" i="37"/>
  <c r="DB55" i="40"/>
  <c r="CW35" i="41"/>
  <c r="X18" i="60"/>
  <c r="AN55" i="38"/>
  <c r="AI14" i="26"/>
  <c r="DH57" i="37"/>
  <c r="BO63" i="37"/>
  <c r="BJ54" i="41"/>
  <c r="AJ76" i="36"/>
  <c r="BB11" i="41"/>
  <c r="DA93" i="40"/>
  <c r="AR31" i="39"/>
  <c r="AT76" i="36"/>
  <c r="AP22" i="38"/>
  <c r="AJ37" i="60"/>
  <c r="BP14" i="38"/>
  <c r="BA46" i="40"/>
  <c r="CU93" i="38"/>
  <c r="AC76" i="25"/>
  <c r="BS82" i="41"/>
  <c r="X28" i="26"/>
  <c r="CX22" i="1"/>
  <c r="CO11" i="39"/>
  <c r="BT63" i="1"/>
  <c r="U31" i="26"/>
  <c r="U32" i="26" s="1"/>
  <c r="DD72" i="39"/>
  <c r="DF55" i="25"/>
  <c r="CN14" i="41"/>
  <c r="CN15" i="41" s="1"/>
  <c r="X93" i="36"/>
  <c r="I104" i="41"/>
  <c r="AA72" i="37"/>
  <c r="AZ22" i="37"/>
  <c r="Q96" i="36"/>
  <c r="G99" i="36"/>
  <c r="BB76" i="37"/>
  <c r="CN11" i="25"/>
  <c r="AP38" i="37"/>
  <c r="AU35" i="40"/>
  <c r="AF55" i="37"/>
  <c r="BS63" i="41"/>
  <c r="CM11" i="1"/>
  <c r="CU11" i="36"/>
  <c r="P72" i="25"/>
  <c r="BV19" i="25"/>
  <c r="BI63" i="38"/>
  <c r="BI63" i="1"/>
  <c r="BJ98" i="39"/>
  <c r="BX93" i="26"/>
  <c r="AU99" i="38"/>
  <c r="BA19" i="40"/>
  <c r="DD82" i="25"/>
  <c r="BI46" i="40"/>
  <c r="X38" i="37"/>
  <c r="BV35" i="37"/>
  <c r="BR93" i="38"/>
  <c r="CH28" i="40"/>
  <c r="DB63" i="38"/>
  <c r="BJ66" i="41"/>
  <c r="H758" i="4"/>
  <c r="CD82" i="41"/>
  <c r="DD93" i="36"/>
  <c r="Y11" i="40"/>
  <c r="CB31" i="25"/>
  <c r="AN51" i="38"/>
  <c r="DD38" i="36"/>
  <c r="AY72" i="25"/>
  <c r="BF60" i="38"/>
  <c r="BF91" i="36"/>
  <c r="CM35" i="26"/>
  <c r="AV28" i="37"/>
  <c r="CI82" i="1"/>
  <c r="AR93" i="37"/>
  <c r="AF55" i="39"/>
  <c r="BF26" i="41"/>
  <c r="AM28" i="41"/>
  <c r="Y56" i="60"/>
  <c r="CQ28" i="41"/>
  <c r="CQ32" i="41" s="1"/>
  <c r="BC22" i="40"/>
  <c r="BD11" i="25"/>
  <c r="M104" i="40"/>
  <c r="AF82" i="25"/>
  <c r="BC76" i="39"/>
  <c r="Y22" i="37"/>
  <c r="AK29" i="25"/>
  <c r="S31" i="25"/>
  <c r="T63" i="39"/>
  <c r="AC19" i="37"/>
  <c r="AE14" i="26"/>
  <c r="CM46" i="39"/>
  <c r="CS28" i="40"/>
  <c r="BE82" i="39"/>
  <c r="BF27" i="39"/>
  <c r="CU72" i="37"/>
  <c r="BX51" i="1"/>
  <c r="CJ46" i="36"/>
  <c r="CQ104" i="37"/>
  <c r="DB68" i="26"/>
  <c r="Q49" i="40"/>
  <c r="BJ57" i="1"/>
  <c r="BH63" i="1"/>
  <c r="AM55" i="37"/>
  <c r="BF53" i="37"/>
  <c r="CS93" i="39"/>
  <c r="CG104" i="25"/>
  <c r="CJ28" i="36"/>
  <c r="CJ32" i="36" s="1"/>
  <c r="DH34" i="26"/>
  <c r="BO35" i="26"/>
  <c r="DA51" i="40"/>
  <c r="CW22" i="37"/>
  <c r="BX35" i="26"/>
  <c r="AP31" i="40"/>
  <c r="AP32" i="40" s="1"/>
  <c r="CE14" i="39"/>
  <c r="BT14" i="1"/>
  <c r="BZ14" i="38"/>
  <c r="CN82" i="25"/>
  <c r="CB99" i="26"/>
  <c r="BE72" i="25"/>
  <c r="AQ76" i="37"/>
  <c r="AK30" i="26"/>
  <c r="BS31" i="39"/>
  <c r="T35" i="26"/>
  <c r="AO22" i="37"/>
  <c r="AU11" i="38"/>
  <c r="BA76" i="40"/>
  <c r="CF68" i="25"/>
  <c r="BF65" i="36"/>
  <c r="AM68" i="36"/>
  <c r="AQ51" i="25"/>
  <c r="CC99" i="40"/>
  <c r="BC93" i="41"/>
  <c r="BR104" i="36"/>
  <c r="CF28" i="41"/>
  <c r="P99" i="41"/>
  <c r="BD22" i="26"/>
  <c r="U35" i="39"/>
  <c r="CD76" i="37"/>
  <c r="J72" i="36"/>
  <c r="AV14" i="40"/>
  <c r="DH54" i="36"/>
  <c r="AZ76" i="25"/>
  <c r="AF19" i="40"/>
  <c r="CT82" i="41"/>
  <c r="Q92" i="38"/>
  <c r="CI14" i="40"/>
  <c r="AG22" i="60"/>
  <c r="AA93" i="36"/>
  <c r="I14" i="36"/>
  <c r="DE28" i="36"/>
  <c r="BH19" i="38"/>
  <c r="BJ17" i="38"/>
  <c r="CP68" i="38"/>
  <c r="AW76" i="1"/>
  <c r="BR38" i="36"/>
  <c r="AD93" i="41"/>
  <c r="BB55" i="38"/>
  <c r="T35" i="36"/>
  <c r="BJ24" i="25"/>
  <c r="BR72" i="37"/>
  <c r="BU19" i="26"/>
  <c r="AN38" i="37"/>
  <c r="K14" i="36"/>
  <c r="H68" i="39"/>
  <c r="O93" i="37"/>
  <c r="AD26" i="60"/>
  <c r="Z38" i="37"/>
  <c r="K11" i="41"/>
  <c r="DA38" i="41"/>
  <c r="AW22" i="36"/>
  <c r="AH28" i="26"/>
  <c r="AH32" i="26" s="1"/>
  <c r="L46" i="25"/>
  <c r="AQ35" i="1"/>
  <c r="N38" i="1"/>
  <c r="BX28" i="40"/>
  <c r="BX32" i="40" s="1"/>
  <c r="BS68" i="26"/>
  <c r="CC11" i="1"/>
  <c r="N68" i="37"/>
  <c r="BE82" i="25"/>
  <c r="DE55" i="38"/>
  <c r="BQ28" i="1"/>
  <c r="AZ51" i="26"/>
  <c r="BW38" i="25"/>
  <c r="BF75" i="25"/>
  <c r="AM76" i="25"/>
  <c r="S82" i="26"/>
  <c r="AK79" i="26"/>
  <c r="BJ61" i="40"/>
  <c r="AU93" i="41"/>
  <c r="CZ22" i="37"/>
  <c r="DF63" i="26"/>
  <c r="AK26" i="40"/>
  <c r="S28" i="40"/>
  <c r="AK37" i="37"/>
  <c r="S38" i="37"/>
  <c r="CH31" i="37"/>
  <c r="BZ72" i="40"/>
  <c r="I68" i="25"/>
  <c r="CR104" i="38"/>
  <c r="BV76" i="38"/>
  <c r="BB11" i="40"/>
  <c r="AU19" i="25"/>
  <c r="CW14" i="26"/>
  <c r="BJ37" i="1"/>
  <c r="BH38" i="1"/>
  <c r="BJ38" i="1" s="1"/>
  <c r="BS51" i="1"/>
  <c r="P82" i="26"/>
  <c r="BY14" i="41"/>
  <c r="BY15" i="41" s="1"/>
  <c r="BA55" i="37"/>
  <c r="BJ57" i="37"/>
  <c r="BH63" i="37"/>
  <c r="BJ63" i="37" s="1"/>
  <c r="DC72" i="25"/>
  <c r="AZ46" i="38"/>
  <c r="CK68" i="36"/>
  <c r="CX31" i="26"/>
  <c r="CX32" i="26" s="1"/>
  <c r="AI63" i="39"/>
  <c r="BR99" i="1"/>
  <c r="AV51" i="39"/>
  <c r="Z14" i="39"/>
  <c r="BC82" i="37"/>
  <c r="AS76" i="40"/>
  <c r="I99" i="40"/>
  <c r="DH54" i="1"/>
  <c r="AH32" i="60"/>
  <c r="CR22" i="40"/>
  <c r="AV76" i="38"/>
  <c r="BB11" i="1"/>
  <c r="BE63" i="40"/>
  <c r="AC22" i="36"/>
  <c r="BZ14" i="37"/>
  <c r="AE11" i="40"/>
  <c r="J19" i="37"/>
  <c r="BU76" i="39"/>
  <c r="BZ11" i="26"/>
  <c r="N14" i="37"/>
  <c r="N15" i="37" s="1"/>
  <c r="CL68" i="37"/>
  <c r="AC104" i="1"/>
  <c r="CS72" i="25"/>
  <c r="BY55" i="25"/>
  <c r="DB31" i="40"/>
  <c r="BT28" i="41"/>
  <c r="AR46" i="26"/>
  <c r="BJ48" i="36"/>
  <c r="BH51" i="36"/>
  <c r="BI14" i="26"/>
  <c r="I55" i="38"/>
  <c r="DF82" i="41"/>
  <c r="H31" i="38"/>
  <c r="CD55" i="40"/>
  <c r="G22" i="26"/>
  <c r="Q21" i="26"/>
  <c r="CF31" i="37"/>
  <c r="O22" i="26"/>
  <c r="DB82" i="39"/>
  <c r="CT14" i="39"/>
  <c r="DD35" i="26"/>
  <c r="CB28" i="26"/>
  <c r="DD22" i="37"/>
  <c r="V51" i="39"/>
  <c r="W38" i="37"/>
  <c r="V76" i="39"/>
  <c r="BQ51" i="36"/>
  <c r="CJ51" i="40"/>
  <c r="O82" i="37"/>
  <c r="BE22" i="39"/>
  <c r="Z38" i="41"/>
  <c r="M104" i="25"/>
  <c r="DA72" i="37"/>
  <c r="X35" i="36"/>
  <c r="I68" i="46"/>
  <c r="CX31" i="39"/>
  <c r="CX32" i="39" s="1"/>
  <c r="BY93" i="39"/>
  <c r="AZ31" i="41"/>
  <c r="CE19" i="26"/>
  <c r="BY46" i="40"/>
  <c r="BF50" i="37"/>
  <c r="BS22" i="38"/>
  <c r="CG104" i="39"/>
  <c r="K38" i="26"/>
  <c r="AP55" i="39"/>
  <c r="CQ38" i="38"/>
  <c r="CU38" i="38"/>
  <c r="O38" i="36"/>
  <c r="BU72" i="37"/>
  <c r="DA93" i="25"/>
  <c r="DH60" i="41"/>
  <c r="DH103" i="38"/>
  <c r="CZ93" i="41"/>
  <c r="CG19" i="37"/>
  <c r="AR35" i="39"/>
  <c r="AP31" i="38"/>
  <c r="I55" i="25"/>
  <c r="BF58" i="38"/>
  <c r="CL93" i="41"/>
  <c r="BD82" i="38"/>
  <c r="AR51" i="37"/>
  <c r="CC28" i="39"/>
  <c r="AE11" i="37"/>
  <c r="AQ11" i="26"/>
  <c r="AQ15" i="26" s="1"/>
  <c r="Q98" i="37"/>
  <c r="AN51" i="37"/>
  <c r="CK55" i="41"/>
  <c r="CS28" i="26"/>
  <c r="J104" i="36"/>
  <c r="BJ37" i="39"/>
  <c r="BH38" i="39"/>
  <c r="BJ38" i="39" s="1"/>
  <c r="BT38" i="38"/>
  <c r="BR82" i="40"/>
  <c r="V38" i="40"/>
  <c r="AP19" i="36"/>
  <c r="AB82" i="39"/>
  <c r="AZ28" i="37"/>
  <c r="AZ32" i="37" s="1"/>
  <c r="AU28" i="37"/>
  <c r="CO35" i="1"/>
  <c r="CS31" i="25"/>
  <c r="CS32" i="25" s="1"/>
  <c r="BV76" i="36"/>
  <c r="CP35" i="36"/>
  <c r="AS38" i="26"/>
  <c r="Y72" i="37"/>
  <c r="AH76" i="37"/>
  <c r="X22" i="36"/>
  <c r="CB63" i="36"/>
  <c r="AI63" i="26"/>
  <c r="BD104" i="26"/>
  <c r="I223" i="46"/>
  <c r="BT22" i="26"/>
  <c r="W72" i="1"/>
  <c r="DB46" i="40"/>
  <c r="X19" i="37"/>
  <c r="CA38" i="40"/>
  <c r="AJ14" i="40"/>
  <c r="CW11" i="25"/>
  <c r="CY14" i="26"/>
  <c r="CY15" i="26" s="1"/>
  <c r="AT55" i="38"/>
  <c r="AC28" i="25"/>
  <c r="W31" i="40"/>
  <c r="AO82" i="1"/>
  <c r="BA63" i="39"/>
  <c r="AA55" i="40"/>
  <c r="AJ76" i="26"/>
  <c r="CF14" i="40"/>
  <c r="CF15" i="40" s="1"/>
  <c r="CG38" i="41"/>
  <c r="L82" i="1"/>
  <c r="BW82" i="1"/>
  <c r="CT35" i="36"/>
  <c r="BR28" i="36"/>
  <c r="N35" i="40"/>
  <c r="AA14" i="41"/>
  <c r="CZ14" i="39"/>
  <c r="M35" i="41"/>
  <c r="AR28" i="37"/>
  <c r="AR32" i="37" s="1"/>
  <c r="AS22" i="40"/>
  <c r="BF49" i="38"/>
  <c r="AN46" i="1"/>
  <c r="AH82" i="38"/>
  <c r="DB35" i="37"/>
  <c r="BE22" i="1"/>
  <c r="H68" i="38"/>
  <c r="CU63" i="39"/>
  <c r="P82" i="25"/>
  <c r="DD55" i="1"/>
  <c r="AZ31" i="1"/>
  <c r="CK72" i="39"/>
  <c r="AI55" i="37"/>
  <c r="I51" i="25"/>
  <c r="DB93" i="41"/>
  <c r="L51" i="40"/>
  <c r="BJ24" i="39"/>
  <c r="BY76" i="26"/>
  <c r="BU46" i="26"/>
  <c r="DE72" i="26"/>
  <c r="AH11" i="1"/>
  <c r="CB82" i="37"/>
  <c r="CH46" i="37"/>
  <c r="BP28" i="37"/>
  <c r="AA55" i="37"/>
  <c r="BT93" i="38"/>
  <c r="AX38" i="37"/>
  <c r="K35" i="1"/>
  <c r="DD11" i="1"/>
  <c r="BT19" i="41"/>
  <c r="CV11" i="39"/>
  <c r="CF63" i="38"/>
  <c r="AG35" i="37"/>
  <c r="AH11" i="36"/>
  <c r="X19" i="25"/>
  <c r="I72" i="26"/>
  <c r="DC14" i="41"/>
  <c r="BX99" i="36"/>
  <c r="O76" i="37"/>
  <c r="CG72" i="25"/>
  <c r="AN38" i="36"/>
  <c r="CS63" i="1"/>
  <c r="CK35" i="41"/>
  <c r="AC46" i="37"/>
  <c r="AG14" i="40"/>
  <c r="BI63" i="39"/>
  <c r="CL63" i="38"/>
  <c r="CV82" i="26"/>
  <c r="BF54" i="38"/>
  <c r="AU76" i="25"/>
  <c r="P72" i="38"/>
  <c r="BU82" i="26"/>
  <c r="L28" i="1"/>
  <c r="H14" i="36"/>
  <c r="CJ104" i="1"/>
  <c r="AQ55" i="36"/>
  <c r="BR28" i="39"/>
  <c r="I68" i="37"/>
  <c r="AO11" i="1"/>
  <c r="AV55" i="38"/>
  <c r="K22" i="40"/>
  <c r="Q12" i="40"/>
  <c r="G14" i="40"/>
  <c r="AB93" i="37"/>
  <c r="BZ55" i="37"/>
  <c r="AP11" i="26"/>
  <c r="AP11" i="1"/>
  <c r="CA68" i="26"/>
  <c r="AD72" i="26"/>
  <c r="DB55" i="36"/>
  <c r="BD63" i="41"/>
  <c r="BF12" i="25"/>
  <c r="AM14" i="25"/>
  <c r="BX31" i="36"/>
  <c r="BX32" i="36" s="1"/>
  <c r="AQ14" i="40"/>
  <c r="U19" i="1"/>
  <c r="AZ93" i="25"/>
  <c r="CT76" i="39"/>
  <c r="BY68" i="41"/>
  <c r="CV55" i="39"/>
  <c r="CW104" i="25"/>
  <c r="BX11" i="40"/>
  <c r="BS55" i="36"/>
  <c r="G93" i="26"/>
  <c r="Q89" i="26"/>
  <c r="CP104" i="36"/>
  <c r="CZ51" i="41"/>
  <c r="DF55" i="36"/>
  <c r="I46" i="40"/>
  <c r="DB19" i="25"/>
  <c r="BY19" i="41"/>
  <c r="CR19" i="38"/>
  <c r="CQ14" i="26"/>
  <c r="BV19" i="36"/>
  <c r="CI38" i="37"/>
  <c r="AR68" i="38"/>
  <c r="AZ68" i="25"/>
  <c r="DF93" i="1"/>
  <c r="AK61" i="39"/>
  <c r="BF17" i="25"/>
  <c r="AM19" i="25"/>
  <c r="CX68" i="39"/>
  <c r="AE35" i="39"/>
  <c r="BA68" i="40"/>
  <c r="AG28" i="41"/>
  <c r="AC55" i="26"/>
  <c r="G55" i="37"/>
  <c r="Q53" i="37"/>
  <c r="CW14" i="36"/>
  <c r="CU104" i="25"/>
  <c r="CI19" i="39"/>
  <c r="CE82" i="39"/>
  <c r="M51" i="39"/>
  <c r="AT22" i="25"/>
  <c r="AE55" i="40"/>
  <c r="CI63" i="26"/>
  <c r="BJ26" i="26"/>
  <c r="BH28" i="26"/>
  <c r="BJ28" i="26" s="1"/>
  <c r="CL51" i="36"/>
  <c r="CZ31" i="40"/>
  <c r="Z99" i="38"/>
  <c r="AK25" i="1"/>
  <c r="CZ11" i="37"/>
  <c r="CV63" i="26"/>
  <c r="CZ63" i="38"/>
  <c r="BC68" i="25"/>
  <c r="DH62" i="38"/>
  <c r="BX51" i="41"/>
  <c r="AB99" i="40"/>
  <c r="CS76" i="38"/>
  <c r="DD35" i="36"/>
  <c r="CS46" i="36"/>
  <c r="CX46" i="26"/>
  <c r="BI46" i="38"/>
  <c r="AT63" i="39"/>
  <c r="BC46" i="41"/>
  <c r="N51" i="38"/>
  <c r="U19" i="40"/>
  <c r="AJ76" i="38"/>
  <c r="J68" i="38"/>
  <c r="BU32" i="38"/>
  <c r="AJ93" i="40"/>
  <c r="Z11" i="36"/>
  <c r="Q29" i="1"/>
  <c r="G31" i="1"/>
  <c r="G32" i="1" s="1"/>
  <c r="AQ35" i="40"/>
  <c r="CD63" i="39"/>
  <c r="DB22" i="1"/>
  <c r="G38" i="39"/>
  <c r="Q37" i="39"/>
  <c r="DE82" i="25"/>
  <c r="CD104" i="39"/>
  <c r="CN72" i="1"/>
  <c r="G19" i="41"/>
  <c r="Q17" i="41"/>
  <c r="AP14" i="39"/>
  <c r="AP15" i="39" s="1"/>
  <c r="AT51" i="40"/>
  <c r="AY55" i="26"/>
  <c r="CK55" i="26"/>
  <c r="AF19" i="25"/>
  <c r="AG28" i="26"/>
  <c r="P35" i="41"/>
  <c r="M38" i="1"/>
  <c r="AZ325" i="47"/>
  <c r="AK18" i="40"/>
  <c r="BH14" i="26"/>
  <c r="BJ12" i="26"/>
  <c r="CM14" i="25"/>
  <c r="CM15" i="25" s="1"/>
  <c r="AZ76" i="38"/>
  <c r="CZ11" i="39"/>
  <c r="CZ55" i="26"/>
  <c r="AR22" i="39"/>
  <c r="N14" i="26"/>
  <c r="N15" i="26" s="1"/>
  <c r="AC104" i="39"/>
  <c r="AW68" i="39"/>
  <c r="CU72" i="26"/>
  <c r="O99" i="25"/>
  <c r="BH19" i="41"/>
  <c r="BJ17" i="41"/>
  <c r="CQ11" i="1"/>
  <c r="CB99" i="25"/>
  <c r="CJ93" i="38"/>
  <c r="T22" i="26"/>
  <c r="DA63" i="25"/>
  <c r="AY35" i="36"/>
  <c r="BX82" i="25"/>
  <c r="CF82" i="26"/>
  <c r="DA14" i="1"/>
  <c r="AF76" i="37"/>
  <c r="BH51" i="26"/>
  <c r="BJ48" i="26"/>
  <c r="Q71" i="26"/>
  <c r="G72" i="26"/>
  <c r="H51" i="38"/>
  <c r="U43" i="60"/>
  <c r="BH68" i="25"/>
  <c r="BJ65" i="25"/>
  <c r="Y63" i="36"/>
  <c r="DH50" i="25"/>
  <c r="BZ31" i="37"/>
  <c r="BC38" i="37"/>
  <c r="Y72" i="41"/>
  <c r="Z28" i="25"/>
  <c r="BY32" i="40"/>
  <c r="V38" i="38"/>
  <c r="BW35" i="39"/>
  <c r="P104" i="1"/>
  <c r="AX14" i="41"/>
  <c r="AX15" i="41" s="1"/>
  <c r="DC93" i="1"/>
  <c r="BJ89" i="36"/>
  <c r="AK62" i="41"/>
  <c r="CS14" i="36"/>
  <c r="CK76" i="41"/>
  <c r="K104" i="40"/>
  <c r="V35" i="1"/>
  <c r="CS35" i="40"/>
  <c r="DA99" i="40"/>
  <c r="BP72" i="39"/>
  <c r="CN28" i="40"/>
  <c r="CN32" i="40" s="1"/>
  <c r="CI35" i="25"/>
  <c r="CR82" i="36"/>
  <c r="CU76" i="25"/>
  <c r="CC76" i="25"/>
  <c r="BF53" i="26"/>
  <c r="AM55" i="26"/>
  <c r="AB19" i="38"/>
  <c r="AW19" i="37"/>
  <c r="AZ51" i="40"/>
  <c r="M35" i="25"/>
  <c r="AD68" i="1"/>
  <c r="CY63" i="36"/>
  <c r="AB46" i="37"/>
  <c r="K46" i="38"/>
  <c r="M82" i="26"/>
  <c r="CD55" i="36"/>
  <c r="CH76" i="26"/>
  <c r="CY11" i="41"/>
  <c r="DH60" i="36"/>
  <c r="CH55" i="26"/>
  <c r="K19" i="25"/>
  <c r="CM28" i="37"/>
  <c r="CM32" i="37" s="1"/>
  <c r="CT19" i="38"/>
  <c r="CC11" i="39"/>
  <c r="CU14" i="40"/>
  <c r="CU15" i="40" s="1"/>
  <c r="CD28" i="38"/>
  <c r="AU63" i="25"/>
  <c r="J38" i="37"/>
  <c r="AM31" i="38"/>
  <c r="BF29" i="38"/>
  <c r="Z93" i="26"/>
  <c r="BD14" i="41"/>
  <c r="AW11" i="39"/>
  <c r="CX55" i="1"/>
  <c r="AO11" i="25"/>
  <c r="Z46" i="36"/>
  <c r="AU72" i="37"/>
  <c r="DA51" i="1"/>
  <c r="J31" i="39"/>
  <c r="J32" i="39" s="1"/>
  <c r="CX72" i="1"/>
  <c r="BJ98" i="40"/>
  <c r="AS11" i="37"/>
  <c r="CA72" i="25"/>
  <c r="CZ93" i="38"/>
  <c r="P104" i="41"/>
  <c r="AG33" i="60"/>
  <c r="AP31" i="25"/>
  <c r="CY93" i="40"/>
  <c r="T55" i="40"/>
  <c r="AJ104" i="37"/>
  <c r="I82" i="37"/>
  <c r="I51" i="37"/>
  <c r="BP68" i="1"/>
  <c r="BF27" i="37"/>
  <c r="BW14" i="26"/>
  <c r="CW76" i="39"/>
  <c r="CJ35" i="38"/>
  <c r="AY99" i="1"/>
  <c r="AC63" i="38"/>
  <c r="BZ19" i="37"/>
  <c r="BW38" i="37"/>
  <c r="CF22" i="38"/>
  <c r="CW38" i="37"/>
  <c r="N82" i="26"/>
  <c r="BA99" i="25"/>
  <c r="BF67" i="37"/>
  <c r="AI19" i="36"/>
  <c r="K63" i="25"/>
  <c r="T31" i="40"/>
  <c r="CK63" i="40"/>
  <c r="CM82" i="38"/>
  <c r="BO38" i="1"/>
  <c r="DH37" i="1"/>
  <c r="AY14" i="37"/>
  <c r="BF10" i="38"/>
  <c r="DC68" i="25"/>
  <c r="CC35" i="40"/>
  <c r="AM11" i="1"/>
  <c r="BI14" i="37"/>
  <c r="AO82" i="37"/>
  <c r="AH68" i="37"/>
  <c r="AU93" i="26"/>
  <c r="V28" i="40"/>
  <c r="X39" i="60"/>
  <c r="BT14" i="25"/>
  <c r="BT15" i="25" s="1"/>
  <c r="J291" i="46"/>
  <c r="J302" i="46" s="1"/>
  <c r="AR63" i="41"/>
  <c r="Q54" i="25"/>
  <c r="W53" i="60"/>
  <c r="X82" i="25"/>
  <c r="AD35" i="38"/>
  <c r="BV35" i="38"/>
  <c r="AO76" i="40"/>
  <c r="DH66" i="26"/>
  <c r="Q10" i="36"/>
  <c r="N14" i="25"/>
  <c r="AR31" i="40"/>
  <c r="CN104" i="40"/>
  <c r="BB104" i="40"/>
  <c r="V22" i="36"/>
  <c r="CJ68" i="26"/>
  <c r="CA72" i="38"/>
  <c r="CG22" i="36"/>
  <c r="BV63" i="41"/>
  <c r="CP55" i="40"/>
  <c r="BZ19" i="40"/>
  <c r="AG104" i="26"/>
  <c r="J99" i="41"/>
  <c r="CY104" i="37"/>
  <c r="Q24" i="41"/>
  <c r="S22" i="26"/>
  <c r="AK21" i="26"/>
  <c r="BU46" i="41"/>
  <c r="AP63" i="39"/>
  <c r="CH14" i="40"/>
  <c r="CH15" i="40" s="1"/>
  <c r="DH17" i="41"/>
  <c r="BO19" i="41"/>
  <c r="CS68" i="38"/>
  <c r="BJ79" i="36"/>
  <c r="AT72" i="25"/>
  <c r="AN22" i="37"/>
  <c r="U63" i="25"/>
  <c r="BV63" i="38"/>
  <c r="AT76" i="26"/>
  <c r="CI82" i="36"/>
  <c r="CB99" i="37"/>
  <c r="AE68" i="41"/>
  <c r="BH68" i="39"/>
  <c r="BJ65" i="39"/>
  <c r="O35" i="26"/>
  <c r="AU31" i="1"/>
  <c r="AA28" i="25"/>
  <c r="CN46" i="1"/>
  <c r="BJ65" i="41"/>
  <c r="BH68" i="41"/>
  <c r="CE22" i="36"/>
  <c r="Q66" i="37"/>
  <c r="DF104" i="41"/>
  <c r="AQ93" i="40"/>
  <c r="Z72" i="25"/>
  <c r="BI68" i="37"/>
  <c r="CA11" i="25"/>
  <c r="AX31" i="26"/>
  <c r="BJ58" i="40"/>
  <c r="Y14" i="41"/>
  <c r="CD76" i="26"/>
  <c r="AW31" i="40"/>
  <c r="CX68" i="37"/>
  <c r="BZ38" i="39"/>
  <c r="Z76" i="36"/>
  <c r="AK13" i="1"/>
  <c r="AA56" i="60"/>
  <c r="BW93" i="39"/>
  <c r="AJ35" i="26"/>
  <c r="BS93" i="39"/>
  <c r="AO28" i="1"/>
  <c r="BF92" i="36"/>
  <c r="CC68" i="37"/>
  <c r="CV93" i="37"/>
  <c r="V82" i="25"/>
  <c r="U35" i="1"/>
  <c r="AD31" i="40"/>
  <c r="AI46" i="36"/>
  <c r="BC99" i="25"/>
  <c r="AX93" i="1"/>
  <c r="CW31" i="39"/>
  <c r="AO76" i="39"/>
  <c r="AD38" i="38"/>
  <c r="DB35" i="1"/>
  <c r="AA93" i="38"/>
  <c r="N82" i="41"/>
  <c r="K93" i="38"/>
  <c r="AY82" i="38"/>
  <c r="AX68" i="39"/>
  <c r="AR72" i="36"/>
  <c r="AK58" i="39"/>
  <c r="CS55" i="36"/>
  <c r="BJ30" i="26"/>
  <c r="CS51" i="1"/>
  <c r="AH68" i="40"/>
  <c r="CT11" i="37"/>
  <c r="AE38" i="25"/>
  <c r="AX31" i="39"/>
  <c r="J68" i="25"/>
  <c r="CK35" i="40"/>
  <c r="BC55" i="41"/>
  <c r="CS55" i="39"/>
  <c r="AY82" i="25"/>
  <c r="DH103" i="25"/>
  <c r="BU22" i="1"/>
  <c r="CP46" i="25"/>
  <c r="BR76" i="1"/>
  <c r="AN35" i="26"/>
  <c r="AX46" i="40"/>
  <c r="CH11" i="38"/>
  <c r="BT11" i="41"/>
  <c r="M99" i="37"/>
  <c r="T19" i="25"/>
  <c r="H68" i="40"/>
  <c r="H28" i="39"/>
  <c r="CI55" i="37"/>
  <c r="BE11" i="1"/>
  <c r="DH60" i="25"/>
  <c r="Z31" i="25"/>
  <c r="Z32" i="25" s="1"/>
  <c r="AA11" i="37"/>
  <c r="CE82" i="26"/>
  <c r="AN104" i="25"/>
  <c r="AT51" i="41"/>
  <c r="CS63" i="39"/>
  <c r="AK25" i="37"/>
  <c r="DH54" i="40"/>
  <c r="AK54" i="37"/>
  <c r="CN11" i="26"/>
  <c r="CT28" i="26"/>
  <c r="G46" i="37"/>
  <c r="Q45" i="37"/>
  <c r="CT55" i="41"/>
  <c r="BD14" i="38"/>
  <c r="CD46" i="26"/>
  <c r="M63" i="41"/>
  <c r="BI19" i="41"/>
  <c r="AH38" i="41"/>
  <c r="CA31" i="25"/>
  <c r="H104" i="36"/>
  <c r="BB11" i="37"/>
  <c r="BB15" i="37" s="1"/>
  <c r="AF11" i="1"/>
  <c r="AT14" i="25"/>
  <c r="AT15" i="25" s="1"/>
  <c r="AQ82" i="38"/>
  <c r="BA63" i="38"/>
  <c r="BC28" i="38"/>
  <c r="AT19" i="25"/>
  <c r="AZ14" i="38"/>
  <c r="AZ15" i="38" s="1"/>
  <c r="AZ14" i="26"/>
  <c r="BH76" i="36"/>
  <c r="BJ75" i="36"/>
  <c r="AU19" i="38"/>
  <c r="G55" i="39"/>
  <c r="Q53" i="39"/>
  <c r="CM51" i="40"/>
  <c r="AZ82" i="41"/>
  <c r="CT31" i="40"/>
  <c r="CM35" i="1"/>
  <c r="BW19" i="37"/>
  <c r="BS14" i="26"/>
  <c r="BS15" i="26" s="1"/>
  <c r="AV32" i="37"/>
  <c r="K28" i="39"/>
  <c r="K32" i="39" s="1"/>
  <c r="AV76" i="25"/>
  <c r="M104" i="41"/>
  <c r="CD38" i="38"/>
  <c r="L288" i="46"/>
  <c r="L299" i="46" s="1"/>
  <c r="CJ63" i="26"/>
  <c r="P38" i="40"/>
  <c r="CI31" i="39"/>
  <c r="CY11" i="36"/>
  <c r="CD68" i="1"/>
  <c r="J99" i="40"/>
  <c r="CG35" i="41"/>
  <c r="AR55" i="1"/>
  <c r="BD14" i="36"/>
  <c r="M63" i="26"/>
  <c r="AC14" i="37"/>
  <c r="AT63" i="40"/>
  <c r="AC38" i="25"/>
  <c r="CZ76" i="37"/>
  <c r="O82" i="40"/>
  <c r="Q21" i="38"/>
  <c r="G22" i="38"/>
  <c r="CT46" i="40"/>
  <c r="BI22" i="39"/>
  <c r="AM76" i="40"/>
  <c r="BF75" i="40"/>
  <c r="DA22" i="38"/>
  <c r="V63" i="39"/>
  <c r="CN22" i="37"/>
  <c r="BH38" i="40"/>
  <c r="BJ37" i="40"/>
  <c r="AE28" i="41"/>
  <c r="AE32" i="41" s="1"/>
  <c r="AD28" i="39"/>
  <c r="AM76" i="26"/>
  <c r="BF75" i="26"/>
  <c r="AQ28" i="25"/>
  <c r="CM68" i="25"/>
  <c r="W38" i="41"/>
  <c r="CA46" i="1"/>
  <c r="CM14" i="37"/>
  <c r="CW68" i="38"/>
  <c r="N46" i="36"/>
  <c r="BV68" i="39"/>
  <c r="BW19" i="36"/>
  <c r="BX46" i="36"/>
  <c r="DE51" i="26"/>
  <c r="AY55" i="38"/>
  <c r="AV82" i="26"/>
  <c r="CX55" i="26"/>
  <c r="CE32" i="39"/>
  <c r="CI99" i="1"/>
  <c r="BY51" i="36"/>
  <c r="AH63" i="1"/>
  <c r="BY28" i="36"/>
  <c r="BF71" i="40"/>
  <c r="AM72" i="40"/>
  <c r="CD28" i="39"/>
  <c r="CD32" i="39" s="1"/>
  <c r="BD22" i="38"/>
  <c r="CZ55" i="41"/>
  <c r="AI46" i="25"/>
  <c r="J51" i="38"/>
  <c r="BZ35" i="39"/>
  <c r="CA11" i="36"/>
  <c r="CV46" i="38"/>
  <c r="DC55" i="36"/>
  <c r="CM55" i="39"/>
  <c r="BS104" i="38"/>
  <c r="CZ46" i="38"/>
  <c r="AK30" i="1"/>
  <c r="Q67" i="39"/>
  <c r="CL55" i="37"/>
  <c r="AR11" i="38"/>
  <c r="BX11" i="25"/>
  <c r="CH99" i="38"/>
  <c r="AR22" i="1"/>
  <c r="CT93" i="36"/>
  <c r="CT106" i="36" s="1"/>
  <c r="L14" i="36"/>
  <c r="CD63" i="25"/>
  <c r="AF28" i="37"/>
  <c r="L104" i="41"/>
  <c r="BB19" i="26"/>
  <c r="F291" i="46"/>
  <c r="F302" i="46" s="1"/>
  <c r="G31" i="25"/>
  <c r="Q29" i="25"/>
  <c r="BL29" i="25" s="1"/>
  <c r="AU35" i="41"/>
  <c r="CL76" i="38"/>
  <c r="DF51" i="38"/>
  <c r="Q25" i="41"/>
  <c r="CE51" i="39"/>
  <c r="W72" i="26"/>
  <c r="T68" i="40"/>
  <c r="CA14" i="38"/>
  <c r="CA15" i="38" s="1"/>
  <c r="CK14" i="26"/>
  <c r="Z14" i="36"/>
  <c r="Z15" i="36" s="1"/>
  <c r="BF50" i="25"/>
  <c r="U46" i="1"/>
  <c r="J63" i="1"/>
  <c r="CE68" i="26"/>
  <c r="BF30" i="26"/>
  <c r="Z22" i="1"/>
  <c r="BZ93" i="1"/>
  <c r="DD11" i="36"/>
  <c r="BP38" i="1"/>
  <c r="AZ51" i="39"/>
  <c r="CJ99" i="38"/>
  <c r="AG38" i="39"/>
  <c r="DA28" i="38"/>
  <c r="DA32" i="38" s="1"/>
  <c r="N19" i="25"/>
  <c r="U55" i="60"/>
  <c r="AB22" i="39"/>
  <c r="AX31" i="40"/>
  <c r="DC11" i="38"/>
  <c r="CS38" i="36"/>
  <c r="CL99" i="38"/>
  <c r="CG19" i="26"/>
  <c r="CC31" i="36"/>
  <c r="CC32" i="36" s="1"/>
  <c r="AG46" i="39"/>
  <c r="DH26" i="39"/>
  <c r="BO28" i="39"/>
  <c r="CI55" i="1"/>
  <c r="DF82" i="38"/>
  <c r="AX104" i="38"/>
  <c r="AJ99" i="1"/>
  <c r="AG104" i="39"/>
  <c r="Y68" i="38"/>
  <c r="DC63" i="41"/>
  <c r="CZ99" i="41"/>
  <c r="BY46" i="41"/>
  <c r="AD46" i="25"/>
  <c r="CS104" i="39"/>
  <c r="AE28" i="26"/>
  <c r="AE32" i="26" s="1"/>
  <c r="AA68" i="38"/>
  <c r="J55" i="25"/>
  <c r="CT104" i="1"/>
  <c r="AB63" i="40"/>
  <c r="O55" i="41"/>
  <c r="CC93" i="40"/>
  <c r="DA46" i="40"/>
  <c r="CD46" i="36"/>
  <c r="BF37" i="40"/>
  <c r="AM38" i="40"/>
  <c r="CS99" i="39"/>
  <c r="DF55" i="40"/>
  <c r="CT76" i="26"/>
  <c r="AT51" i="38"/>
  <c r="BD19" i="36"/>
  <c r="BR14" i="37"/>
  <c r="DB14" i="40"/>
  <c r="DB15" i="40" s="1"/>
  <c r="S28" i="39"/>
  <c r="AK26" i="39"/>
  <c r="AB28" i="38"/>
  <c r="AD46" i="60"/>
  <c r="AU68" i="26"/>
  <c r="DA22" i="36"/>
  <c r="CV82" i="25"/>
  <c r="BI72" i="38"/>
  <c r="CT55" i="40"/>
  <c r="CM38" i="36"/>
  <c r="AD14" i="41"/>
  <c r="AD15" i="41" s="1"/>
  <c r="AQ63" i="25"/>
  <c r="CD31" i="38"/>
  <c r="CD32" i="38" s="1"/>
  <c r="BS93" i="36"/>
  <c r="AC55" i="36"/>
  <c r="AF63" i="36"/>
  <c r="BE38" i="36"/>
  <c r="K11" i="38"/>
  <c r="W38" i="1"/>
  <c r="H68" i="1"/>
  <c r="DB104" i="1"/>
  <c r="CP68" i="40"/>
  <c r="M72" i="25"/>
  <c r="BB19" i="25"/>
  <c r="AZ104" i="41"/>
  <c r="CL55" i="38"/>
  <c r="CQ72" i="38"/>
  <c r="CD14" i="25"/>
  <c r="AT11" i="37"/>
  <c r="BU11" i="39"/>
  <c r="AV31" i="41"/>
  <c r="CA55" i="41"/>
  <c r="BZ22" i="26"/>
  <c r="X46" i="37"/>
  <c r="CN72" i="39"/>
  <c r="AT72" i="41"/>
  <c r="H51" i="26"/>
  <c r="AI46" i="40"/>
  <c r="CS19" i="1"/>
  <c r="BA11" i="25"/>
  <c r="H99" i="38"/>
  <c r="CV68" i="37"/>
  <c r="DD22" i="36"/>
  <c r="CT93" i="1"/>
  <c r="BO28" i="26"/>
  <c r="DH26" i="26"/>
  <c r="BA14" i="38"/>
  <c r="BA15" i="38" s="1"/>
  <c r="CA46" i="25"/>
  <c r="BF58" i="26"/>
  <c r="AH22" i="1"/>
  <c r="BQ14" i="26"/>
  <c r="Z36" i="60"/>
  <c r="CR104" i="26"/>
  <c r="T31" i="26"/>
  <c r="BC68" i="37"/>
  <c r="BS104" i="41"/>
  <c r="DD28" i="38"/>
  <c r="BY68" i="40"/>
  <c r="L99" i="37"/>
  <c r="BS31" i="26"/>
  <c r="S28" i="1"/>
  <c r="AK26" i="1"/>
  <c r="CC63" i="36"/>
  <c r="S99" i="25"/>
  <c r="CR14" i="39"/>
  <c r="CR15" i="39" s="1"/>
  <c r="BC104" i="25"/>
  <c r="CY31" i="40"/>
  <c r="CY32" i="40" s="1"/>
  <c r="CM68" i="41"/>
  <c r="T99" i="39"/>
  <c r="AT99" i="40"/>
  <c r="AS46" i="36"/>
  <c r="CW11" i="38"/>
  <c r="BZ14" i="40"/>
  <c r="CW76" i="41"/>
  <c r="BB51" i="1"/>
  <c r="CW93" i="41"/>
  <c r="I11" i="41"/>
  <c r="BP51" i="38"/>
  <c r="O72" i="38"/>
  <c r="AH19" i="37"/>
  <c r="BJ59" i="26"/>
  <c r="CH51" i="1"/>
  <c r="BB28" i="26"/>
  <c r="CC19" i="39"/>
  <c r="Q24" i="37"/>
  <c r="CE99" i="39"/>
  <c r="AY63" i="40"/>
  <c r="CN46" i="26"/>
  <c r="T68" i="41"/>
  <c r="BW76" i="26"/>
  <c r="AX19" i="36"/>
  <c r="AU76" i="41"/>
  <c r="CX99" i="38"/>
  <c r="W51" i="41"/>
  <c r="AN11" i="1"/>
  <c r="AX28" i="1"/>
  <c r="CL11" i="1"/>
  <c r="BV55" i="36"/>
  <c r="M68" i="40"/>
  <c r="BV22" i="26"/>
  <c r="CV99" i="26"/>
  <c r="CK28" i="41"/>
  <c r="CK32" i="41" s="1"/>
  <c r="AX14" i="39"/>
  <c r="CL31" i="1"/>
  <c r="CL32" i="1" s="1"/>
  <c r="AX104" i="26"/>
  <c r="Q66" i="41"/>
  <c r="CC63" i="37"/>
  <c r="K76" i="37"/>
  <c r="BW46" i="41"/>
  <c r="AK67" i="40"/>
  <c r="Z76" i="37"/>
  <c r="Y35" i="26"/>
  <c r="L290" i="46"/>
  <c r="L301" i="46" s="1"/>
  <c r="BZ14" i="25"/>
  <c r="G116" i="50"/>
  <c r="X82" i="38"/>
  <c r="DA22" i="39"/>
  <c r="AC14" i="39"/>
  <c r="DF28" i="41"/>
  <c r="BW14" i="38"/>
  <c r="CR68" i="39"/>
  <c r="CV76" i="37"/>
  <c r="I104" i="1"/>
  <c r="BD93" i="38"/>
  <c r="CR76" i="41"/>
  <c r="CV104" i="26"/>
  <c r="CY38" i="40"/>
  <c r="AS99" i="39"/>
  <c r="W72" i="37"/>
  <c r="BD76" i="36"/>
  <c r="AA72" i="25"/>
  <c r="AA31" i="40"/>
  <c r="AJ28" i="37"/>
  <c r="BQ28" i="40"/>
  <c r="BQ32" i="40" s="1"/>
  <c r="CW93" i="37"/>
  <c r="AS19" i="40"/>
  <c r="BU99" i="39"/>
  <c r="T21" i="60"/>
  <c r="AW14" i="38"/>
  <c r="BW46" i="39"/>
  <c r="CV72" i="38"/>
  <c r="CA51" i="38"/>
  <c r="BS38" i="38"/>
  <c r="CL51" i="38"/>
  <c r="AI93" i="37"/>
  <c r="DH26" i="36"/>
  <c r="BO28" i="36"/>
  <c r="J38" i="36"/>
  <c r="DD63" i="25"/>
  <c r="CS55" i="41"/>
  <c r="DC22" i="38"/>
  <c r="CF76" i="26"/>
  <c r="AT14" i="1"/>
  <c r="CF104" i="36"/>
  <c r="DF99" i="40"/>
  <c r="DH61" i="36"/>
  <c r="CC104" i="36"/>
  <c r="AY14" i="38"/>
  <c r="O22" i="38"/>
  <c r="BF91" i="1"/>
  <c r="AD22" i="1"/>
  <c r="AB28" i="26"/>
  <c r="Z99" i="40"/>
  <c r="AV11" i="26"/>
  <c r="AC19" i="41"/>
  <c r="I19" i="36"/>
  <c r="BC93" i="39"/>
  <c r="BE11" i="41"/>
  <c r="CS82" i="40"/>
  <c r="Q54" i="38"/>
  <c r="CO76" i="37"/>
  <c r="CI51" i="41"/>
  <c r="CN76" i="39"/>
  <c r="BF45" i="41"/>
  <c r="AM46" i="41"/>
  <c r="BB35" i="38"/>
  <c r="AB22" i="41"/>
  <c r="Q45" i="1"/>
  <c r="G46" i="1"/>
  <c r="W14" i="38"/>
  <c r="BY63" i="37"/>
  <c r="BA55" i="25"/>
  <c r="AD28" i="25"/>
  <c r="AD32" i="25" s="1"/>
  <c r="CM28" i="25"/>
  <c r="CW55" i="25"/>
  <c r="BD82" i="37"/>
  <c r="AT31" i="26"/>
  <c r="AT32" i="26" s="1"/>
  <c r="BJ25" i="40"/>
  <c r="DD38" i="37"/>
  <c r="G72" i="25"/>
  <c r="Q71" i="25"/>
  <c r="DE28" i="37"/>
  <c r="CW11" i="36"/>
  <c r="BG325" i="47"/>
  <c r="CE14" i="38"/>
  <c r="BY11" i="40"/>
  <c r="CO99" i="25"/>
  <c r="AL37" i="60"/>
  <c r="BF92" i="1"/>
  <c r="AJ14" i="1"/>
  <c r="AJ15" i="1" s="1"/>
  <c r="AM11" i="25"/>
  <c r="U55" i="39"/>
  <c r="BU68" i="39"/>
  <c r="AR19" i="39"/>
  <c r="CA82" i="39"/>
  <c r="AK61" i="37"/>
  <c r="CC82" i="25"/>
  <c r="DA68" i="36"/>
  <c r="Q81" i="41"/>
  <c r="CI28" i="37"/>
  <c r="CI32" i="37" s="1"/>
  <c r="CF93" i="37"/>
  <c r="BH38" i="37"/>
  <c r="BJ38" i="37" s="1"/>
  <c r="BJ37" i="37"/>
  <c r="AB104" i="40"/>
  <c r="DF68" i="37"/>
  <c r="BR82" i="39"/>
  <c r="AV51" i="1"/>
  <c r="AA82" i="37"/>
  <c r="BF57" i="41"/>
  <c r="AM63" i="41"/>
  <c r="CK35" i="36"/>
  <c r="BD99" i="40"/>
  <c r="AK61" i="40"/>
  <c r="DH17" i="39"/>
  <c r="BO19" i="39"/>
  <c r="AQ31" i="1"/>
  <c r="L55" i="36"/>
  <c r="CU82" i="37"/>
  <c r="CW63" i="36"/>
  <c r="BR46" i="40"/>
  <c r="BU28" i="1"/>
  <c r="K35" i="26"/>
  <c r="AJ104" i="39"/>
  <c r="CL76" i="40"/>
  <c r="BJ98" i="38"/>
  <c r="CG104" i="1"/>
  <c r="CJ46" i="1"/>
  <c r="CV31" i="26"/>
  <c r="BF58" i="40"/>
  <c r="CI22" i="26"/>
  <c r="Y63" i="37"/>
  <c r="BV68" i="41"/>
  <c r="AG76" i="41"/>
  <c r="CD19" i="39"/>
  <c r="BF89" i="37"/>
  <c r="AM93" i="37"/>
  <c r="CY55" i="25"/>
  <c r="CN51" i="40"/>
  <c r="CE14" i="40"/>
  <c r="I51" i="1"/>
  <c r="BA72" i="25"/>
  <c r="DH66" i="40"/>
  <c r="I31" i="25"/>
  <c r="BS35" i="36"/>
  <c r="CX93" i="1"/>
  <c r="CC46" i="38"/>
  <c r="CE82" i="41"/>
  <c r="AK61" i="1"/>
  <c r="AK25" i="38"/>
  <c r="DD19" i="1"/>
  <c r="CO11" i="26"/>
  <c r="AH104" i="37"/>
  <c r="M19" i="26"/>
  <c r="AH46" i="25"/>
  <c r="DD93" i="37"/>
  <c r="CW104" i="37"/>
  <c r="Q96" i="25"/>
  <c r="G99" i="25"/>
  <c r="CR14" i="25"/>
  <c r="BF25" i="37"/>
  <c r="BW38" i="39"/>
  <c r="CE38" i="36"/>
  <c r="CV19" i="1"/>
  <c r="Z35" i="39"/>
  <c r="CK19" i="38"/>
  <c r="DH24" i="38"/>
  <c r="AX51" i="26"/>
  <c r="AH19" i="25"/>
  <c r="CF82" i="41"/>
  <c r="AZ55" i="40"/>
  <c r="BJ67" i="39"/>
  <c r="BJ13" i="39"/>
  <c r="BX38" i="1"/>
  <c r="CR76" i="39"/>
  <c r="CP14" i="38"/>
  <c r="N93" i="40"/>
  <c r="N106" i="40" s="1"/>
  <c r="CJ14" i="41"/>
  <c r="CJ15" i="41" s="1"/>
  <c r="O46" i="39"/>
  <c r="BF34" i="25"/>
  <c r="AM35" i="25"/>
  <c r="AB38" i="38"/>
  <c r="BS55" i="25"/>
  <c r="BV99" i="1"/>
  <c r="O72" i="36"/>
  <c r="V63" i="37"/>
  <c r="AD14" i="38"/>
  <c r="AW28" i="25"/>
  <c r="N116" i="50"/>
  <c r="AC104" i="37"/>
  <c r="CG46" i="36"/>
  <c r="AC104" i="40"/>
  <c r="CA51" i="40"/>
  <c r="BC51" i="37"/>
  <c r="CD14" i="37"/>
  <c r="BX19" i="1"/>
  <c r="P46" i="38"/>
  <c r="Q59" i="37"/>
  <c r="AS31" i="40"/>
  <c r="AS32" i="40" s="1"/>
  <c r="U28" i="25"/>
  <c r="K99" i="25"/>
  <c r="BX72" i="38"/>
  <c r="K28" i="26"/>
  <c r="BA93" i="26"/>
  <c r="CY76" i="26"/>
  <c r="AM46" i="39"/>
  <c r="BF45" i="39"/>
  <c r="CB28" i="25"/>
  <c r="CD93" i="26"/>
  <c r="CM76" i="39"/>
  <c r="G31" i="36"/>
  <c r="Q29" i="36"/>
  <c r="M31" i="40"/>
  <c r="AH93" i="39"/>
  <c r="BA38" i="41"/>
  <c r="AY19" i="25"/>
  <c r="U51" i="26"/>
  <c r="BF48" i="37"/>
  <c r="AM51" i="37"/>
  <c r="AQ38" i="41"/>
  <c r="K63" i="38"/>
  <c r="CF82" i="25"/>
  <c r="CC104" i="1"/>
  <c r="G51" i="40"/>
  <c r="Q48" i="40"/>
  <c r="BV55" i="40"/>
  <c r="F223" i="46"/>
  <c r="DC28" i="39"/>
  <c r="DC32" i="39" s="1"/>
  <c r="N76" i="1"/>
  <c r="BB22" i="26"/>
  <c r="AK67" i="25"/>
  <c r="AW72" i="37"/>
  <c r="DB93" i="1"/>
  <c r="K22" i="38"/>
  <c r="L28" i="41"/>
  <c r="U19" i="37"/>
  <c r="G104" i="41"/>
  <c r="Q102" i="41"/>
  <c r="BJ67" i="1"/>
  <c r="AO104" i="38"/>
  <c r="AP28" i="38"/>
  <c r="AW11" i="40"/>
  <c r="AN31" i="25"/>
  <c r="AQ19" i="39"/>
  <c r="CN99" i="38"/>
  <c r="BV104" i="25"/>
  <c r="AD19" i="36"/>
  <c r="BX76" i="26"/>
  <c r="CL76" i="41"/>
  <c r="AU14" i="40"/>
  <c r="DC82" i="37"/>
  <c r="BC22" i="38"/>
  <c r="BE51" i="39"/>
  <c r="DB76" i="40"/>
  <c r="BP28" i="39"/>
  <c r="BP32" i="39" s="1"/>
  <c r="AG76" i="25"/>
  <c r="DH58" i="36"/>
  <c r="AI22" i="37"/>
  <c r="AN82" i="26"/>
  <c r="BR38" i="39"/>
  <c r="AW19" i="40"/>
  <c r="AR19" i="41"/>
  <c r="N55" i="41"/>
  <c r="AC28" i="39"/>
  <c r="CA104" i="25"/>
  <c r="BA68" i="39"/>
  <c r="BD82" i="41"/>
  <c r="L22" i="39"/>
  <c r="AX22" i="37"/>
  <c r="CG32" i="38"/>
  <c r="AO31" i="38"/>
  <c r="AI28" i="37"/>
  <c r="AB28" i="40"/>
  <c r="CC99" i="37"/>
  <c r="CG22" i="1"/>
  <c r="CM11" i="26"/>
  <c r="CV68" i="26"/>
  <c r="BC35" i="41"/>
  <c r="DA55" i="41"/>
  <c r="AV31" i="25"/>
  <c r="CJ76" i="26"/>
  <c r="DC68" i="26"/>
  <c r="AP51" i="41"/>
  <c r="CT63" i="38"/>
  <c r="AX63" i="1"/>
  <c r="CC51" i="41"/>
  <c r="CZ76" i="25"/>
  <c r="CQ104" i="41"/>
  <c r="L31" i="1"/>
  <c r="AZ72" i="1"/>
  <c r="BX28" i="38"/>
  <c r="AP11" i="37"/>
  <c r="AW51" i="37"/>
  <c r="AT31" i="40"/>
  <c r="J72" i="40"/>
  <c r="AV14" i="37"/>
  <c r="AV15" i="37" s="1"/>
  <c r="AX51" i="38"/>
  <c r="AC28" i="41"/>
  <c r="CU63" i="40"/>
  <c r="BW28" i="37"/>
  <c r="CN19" i="39"/>
  <c r="Y76" i="36"/>
  <c r="CL63" i="41"/>
  <c r="AM82" i="1"/>
  <c r="BF79" i="1"/>
  <c r="CC11" i="26"/>
  <c r="BU19" i="1"/>
  <c r="AJ19" i="1"/>
  <c r="AG28" i="37"/>
  <c r="AG32" i="37" s="1"/>
  <c r="AX19" i="37"/>
  <c r="I55" i="41"/>
  <c r="CF51" i="1"/>
  <c r="BT14" i="37"/>
  <c r="BT15" i="37" s="1"/>
  <c r="AW63" i="39"/>
  <c r="AF76" i="39"/>
  <c r="DE14" i="37"/>
  <c r="CC14" i="39"/>
  <c r="CC15" i="39" s="1"/>
  <c r="DF76" i="39"/>
  <c r="N22" i="41"/>
  <c r="BJ49" i="39"/>
  <c r="BW28" i="36"/>
  <c r="AY19" i="41"/>
  <c r="AT68" i="36"/>
  <c r="AT76" i="1"/>
  <c r="AH26" i="60"/>
  <c r="CW104" i="39"/>
  <c r="AZ35" i="1"/>
  <c r="AB46" i="25"/>
  <c r="AS22" i="41"/>
  <c r="CV11" i="40"/>
  <c r="BI76" i="1"/>
  <c r="BX11" i="41"/>
  <c r="CB22" i="40"/>
  <c r="U46" i="39"/>
  <c r="BU22" i="38"/>
  <c r="AU19" i="36"/>
  <c r="L35" i="36"/>
  <c r="AI55" i="25"/>
  <c r="CN51" i="37"/>
  <c r="K63" i="1"/>
  <c r="I11" i="26"/>
  <c r="AQ46" i="41"/>
  <c r="AW93" i="1"/>
  <c r="CS14" i="37"/>
  <c r="CS15" i="37" s="1"/>
  <c r="CI63" i="40"/>
  <c r="Q75" i="36"/>
  <c r="G76" i="36"/>
  <c r="X46" i="36"/>
  <c r="Q50" i="1"/>
  <c r="BS76" i="36"/>
  <c r="Q66" i="38"/>
  <c r="BU22" i="37"/>
  <c r="CL28" i="25"/>
  <c r="CL32" i="25" s="1"/>
  <c r="O93" i="38"/>
  <c r="AE76" i="1"/>
  <c r="K51" i="37"/>
  <c r="BW72" i="38"/>
  <c r="X68" i="26"/>
  <c r="X93" i="37"/>
  <c r="CY104" i="38"/>
  <c r="DF31" i="36"/>
  <c r="AC99" i="1"/>
  <c r="AT99" i="36"/>
  <c r="H265" i="46"/>
  <c r="AJ63" i="26"/>
  <c r="T68" i="39"/>
  <c r="BE38" i="37"/>
  <c r="BX104" i="40"/>
  <c r="H19" i="39"/>
  <c r="G38" i="25"/>
  <c r="Q37" i="25"/>
  <c r="BD11" i="41"/>
  <c r="AD35" i="40"/>
  <c r="BS38" i="41"/>
  <c r="BT68" i="41"/>
  <c r="CV11" i="36"/>
  <c r="CK19" i="40"/>
  <c r="DD63" i="38"/>
  <c r="AN104" i="36"/>
  <c r="CK99" i="1"/>
  <c r="AV46" i="1"/>
  <c r="BJ49" i="1"/>
  <c r="AX82" i="36"/>
  <c r="BR31" i="25"/>
  <c r="BD93" i="25"/>
  <c r="DC68" i="39"/>
  <c r="CO46" i="38"/>
  <c r="AK54" i="39"/>
  <c r="BU51" i="26"/>
  <c r="BR19" i="39"/>
  <c r="DB76" i="25"/>
  <c r="BU93" i="37"/>
  <c r="BI51" i="26"/>
  <c r="T31" i="38"/>
  <c r="CG35" i="25"/>
  <c r="CP11" i="38"/>
  <c r="CV82" i="41"/>
  <c r="AJ22" i="1"/>
  <c r="CD31" i="37"/>
  <c r="BD76" i="37"/>
  <c r="K38" i="38"/>
  <c r="DD104" i="25"/>
  <c r="BA22" i="38"/>
  <c r="BW22" i="39"/>
  <c r="DD104" i="36"/>
  <c r="AR51" i="36"/>
  <c r="BX46" i="25"/>
  <c r="S63" i="36"/>
  <c r="AK57" i="36"/>
  <c r="BX99" i="39"/>
  <c r="CJ14" i="1"/>
  <c r="AG22" i="26"/>
  <c r="CN38" i="36"/>
  <c r="J28" i="25"/>
  <c r="J32" i="25" s="1"/>
  <c r="BF12" i="40"/>
  <c r="AM14" i="40"/>
  <c r="CB46" i="38"/>
  <c r="CV104" i="37"/>
  <c r="AF76" i="36"/>
  <c r="L68" i="36"/>
  <c r="BJ24" i="37"/>
  <c r="H99" i="26"/>
  <c r="BU93" i="38"/>
  <c r="BU106" i="38" s="1"/>
  <c r="DC76" i="39"/>
  <c r="AY104" i="39"/>
  <c r="X55" i="39"/>
  <c r="AA22" i="40"/>
  <c r="AI55" i="40"/>
  <c r="AD82" i="38"/>
  <c r="I63" i="38"/>
  <c r="AV63" i="37"/>
  <c r="BA104" i="38"/>
  <c r="J93" i="1"/>
  <c r="J106" i="1" s="1"/>
  <c r="T31" i="37"/>
  <c r="BP22" i="36"/>
  <c r="L93" i="38"/>
  <c r="AA55" i="25"/>
  <c r="Q49" i="37"/>
  <c r="CX63" i="38"/>
  <c r="H38" i="25"/>
  <c r="H11" i="41"/>
  <c r="AP76" i="25"/>
  <c r="CB104" i="39"/>
  <c r="AQ14" i="38"/>
  <c r="AI76" i="1"/>
  <c r="DA22" i="25"/>
  <c r="BS99" i="1"/>
  <c r="BY104" i="39"/>
  <c r="AC76" i="39"/>
  <c r="Q54" i="26"/>
  <c r="DH79" i="40"/>
  <c r="BY51" i="39"/>
  <c r="BH28" i="38"/>
  <c r="BJ28" i="38" s="1"/>
  <c r="BJ26" i="38"/>
  <c r="AJ14" i="37"/>
  <c r="AJ15" i="37" s="1"/>
  <c r="AK60" i="25"/>
  <c r="CY68" i="41"/>
  <c r="AK17" i="26"/>
  <c r="S19" i="26"/>
  <c r="CQ11" i="41"/>
  <c r="DA55" i="39"/>
  <c r="AA76" i="40"/>
  <c r="Z31" i="26"/>
  <c r="BC22" i="26"/>
  <c r="AI99" i="37"/>
  <c r="CL35" i="39"/>
  <c r="G278" i="46"/>
  <c r="G280" i="46" s="1"/>
  <c r="CV31" i="36"/>
  <c r="CV32" i="36" s="1"/>
  <c r="CA28" i="41"/>
  <c r="CA32" i="41" s="1"/>
  <c r="CQ14" i="36"/>
  <c r="W72" i="41"/>
  <c r="AN68" i="26"/>
  <c r="AN28" i="40"/>
  <c r="CM11" i="37"/>
  <c r="CH51" i="26"/>
  <c r="BV22" i="36"/>
  <c r="CQ55" i="36"/>
  <c r="CN46" i="40"/>
  <c r="Q24" i="39"/>
  <c r="AF22" i="1"/>
  <c r="BS28" i="37"/>
  <c r="CI35" i="38"/>
  <c r="V54" i="60"/>
  <c r="AG8" i="60"/>
  <c r="CV35" i="38"/>
  <c r="BA325" i="47"/>
  <c r="I93" i="26"/>
  <c r="CK46" i="36"/>
  <c r="CF31" i="25"/>
  <c r="DA11" i="38"/>
  <c r="BS31" i="1"/>
  <c r="CC72" i="1"/>
  <c r="BT82" i="41"/>
  <c r="BP51" i="41"/>
  <c r="M76" i="25"/>
  <c r="AO11" i="36"/>
  <c r="P93" i="39"/>
  <c r="BA31" i="40"/>
  <c r="BA32" i="40" s="1"/>
  <c r="BX31" i="41"/>
  <c r="Q66" i="1"/>
  <c r="AN19" i="41"/>
  <c r="AE63" i="41"/>
  <c r="BX55" i="26"/>
  <c r="AV46" i="26"/>
  <c r="O72" i="40"/>
  <c r="CZ46" i="25"/>
  <c r="DF35" i="38"/>
  <c r="G51" i="25"/>
  <c r="Q48" i="25"/>
  <c r="BU46" i="40"/>
  <c r="AG51" i="1"/>
  <c r="DD99" i="39"/>
  <c r="CA99" i="36"/>
  <c r="L19" i="26"/>
  <c r="DA38" i="1"/>
  <c r="Q30" i="41"/>
  <c r="O46" i="1"/>
  <c r="U49" i="60"/>
  <c r="BZ82" i="25"/>
  <c r="CA76" i="39"/>
  <c r="AI99" i="39"/>
  <c r="CE14" i="25"/>
  <c r="CO104" i="41"/>
  <c r="AB46" i="1"/>
  <c r="CP19" i="25"/>
  <c r="CW35" i="38"/>
  <c r="Z51" i="36"/>
  <c r="CX14" i="1"/>
  <c r="BU63" i="38"/>
  <c r="CC28" i="25"/>
  <c r="CD55" i="1"/>
  <c r="BW51" i="36"/>
  <c r="AP28" i="37"/>
  <c r="AP32" i="37" s="1"/>
  <c r="G38" i="41"/>
  <c r="Q37" i="41"/>
  <c r="AF72" i="37"/>
  <c r="AS99" i="41"/>
  <c r="H46" i="39"/>
  <c r="BQ35" i="37"/>
  <c r="AI68" i="41"/>
  <c r="AC22" i="41"/>
  <c r="CX22" i="26"/>
  <c r="DH67" i="39"/>
  <c r="BB28" i="36"/>
  <c r="AS93" i="39"/>
  <c r="BD93" i="26"/>
  <c r="BD106" i="26" s="1"/>
  <c r="U28" i="60"/>
  <c r="CN72" i="41"/>
  <c r="CH82" i="36"/>
  <c r="CH46" i="38"/>
  <c r="AI76" i="37"/>
  <c r="BV51" i="1"/>
  <c r="BT72" i="38"/>
  <c r="CC82" i="36"/>
  <c r="CS22" i="36"/>
  <c r="AV93" i="39"/>
  <c r="CD82" i="26"/>
  <c r="N63" i="1"/>
  <c r="BF58" i="41"/>
  <c r="K63" i="40"/>
  <c r="DB35" i="41"/>
  <c r="L68" i="41"/>
  <c r="M76" i="40"/>
  <c r="S68" i="40"/>
  <c r="AK65" i="40"/>
  <c r="CX14" i="38"/>
  <c r="CC72" i="36"/>
  <c r="AP82" i="1"/>
  <c r="AE32" i="60"/>
  <c r="S28" i="41"/>
  <c r="AK26" i="41"/>
  <c r="BZ22" i="1"/>
  <c r="BT63" i="39"/>
  <c r="CN28" i="26"/>
  <c r="CT51" i="40"/>
  <c r="BT72" i="41"/>
  <c r="AB14" i="40"/>
  <c r="AB51" i="36"/>
  <c r="AI63" i="1"/>
  <c r="AM72" i="25"/>
  <c r="BF71" i="25"/>
  <c r="AW38" i="40"/>
  <c r="AM38" i="38"/>
  <c r="BF37" i="38"/>
  <c r="CE76" i="38"/>
  <c r="CG93" i="36"/>
  <c r="CG106" i="36" s="1"/>
  <c r="O82" i="36"/>
  <c r="CF11" i="26"/>
  <c r="AX76" i="40"/>
  <c r="AK75" i="41"/>
  <c r="S76" i="41"/>
  <c r="O22" i="39"/>
  <c r="CM46" i="25"/>
  <c r="BX35" i="37"/>
  <c r="BW51" i="25"/>
  <c r="BY82" i="37"/>
  <c r="AH38" i="40"/>
  <c r="BJ34" i="39"/>
  <c r="BH35" i="39"/>
  <c r="M14" i="41"/>
  <c r="M38" i="26"/>
  <c r="AD31" i="1"/>
  <c r="AD32" i="1" s="1"/>
  <c r="DA28" i="41"/>
  <c r="BW14" i="25"/>
  <c r="BW15" i="25" s="1"/>
  <c r="CR11" i="38"/>
  <c r="AF14" i="40"/>
  <c r="AF15" i="40" s="1"/>
  <c r="AF28" i="39"/>
  <c r="AM99" i="39"/>
  <c r="BF96" i="39"/>
  <c r="BU68" i="1"/>
  <c r="CQ68" i="25"/>
  <c r="CS104" i="26"/>
  <c r="CG19" i="38"/>
  <c r="CI55" i="36"/>
  <c r="CG31" i="26"/>
  <c r="BU93" i="41"/>
  <c r="AA46" i="39"/>
  <c r="H224" i="46"/>
  <c r="BA104" i="26"/>
  <c r="CV28" i="38"/>
  <c r="BH11" i="25"/>
  <c r="BJ9" i="25"/>
  <c r="N99" i="25"/>
  <c r="X43" i="60"/>
  <c r="BP63" i="38"/>
  <c r="AQ19" i="40"/>
  <c r="AW51" i="40"/>
  <c r="AO99" i="36"/>
  <c r="N93" i="37"/>
  <c r="BW93" i="38"/>
  <c r="BO19" i="1"/>
  <c r="DH17" i="1"/>
  <c r="M29" i="64"/>
  <c r="K38" i="36"/>
  <c r="BC38" i="38"/>
  <c r="DC31" i="26"/>
  <c r="AO46" i="41"/>
  <c r="AU46" i="39"/>
  <c r="CM19" i="40"/>
  <c r="AG38" i="40"/>
  <c r="CW99" i="36"/>
  <c r="CL82" i="39"/>
  <c r="CL72" i="39"/>
  <c r="AV68" i="26"/>
  <c r="X93" i="25"/>
  <c r="BV55" i="26"/>
  <c r="CO82" i="40"/>
  <c r="AI68" i="1"/>
  <c r="AW22" i="39"/>
  <c r="BJ60" i="40"/>
  <c r="CC14" i="36"/>
  <c r="AO76" i="38"/>
  <c r="AQ63" i="40"/>
  <c r="DC38" i="25"/>
  <c r="CB82" i="36"/>
  <c r="CH63" i="36"/>
  <c r="W35" i="1"/>
  <c r="CJ31" i="26"/>
  <c r="Y99" i="38"/>
  <c r="DH66" i="39"/>
  <c r="AC55" i="25"/>
  <c r="CL93" i="37"/>
  <c r="CQ55" i="1"/>
  <c r="AE82" i="36"/>
  <c r="CH22" i="37"/>
  <c r="BR93" i="37"/>
  <c r="CE99" i="37"/>
  <c r="AK18" i="26"/>
  <c r="J11" i="38"/>
  <c r="AR22" i="37"/>
  <c r="DF22" i="41"/>
  <c r="BU72" i="36"/>
  <c r="CM46" i="37"/>
  <c r="BY38" i="39"/>
  <c r="Q102" i="36"/>
  <c r="G104" i="36"/>
  <c r="CG22" i="25"/>
  <c r="BP22" i="40"/>
  <c r="Y93" i="37"/>
  <c r="AU55" i="26"/>
  <c r="Q67" i="26"/>
  <c r="AV22" i="41"/>
  <c r="CX51" i="1"/>
  <c r="AJ72" i="40"/>
  <c r="BW19" i="39"/>
  <c r="AV82" i="37"/>
  <c r="BP38" i="26"/>
  <c r="AK24" i="39"/>
  <c r="AA6" i="60"/>
  <c r="P28" i="25"/>
  <c r="P32" i="25" s="1"/>
  <c r="BF89" i="39"/>
  <c r="AM93" i="39"/>
  <c r="CC35" i="25"/>
  <c r="AI35" i="38"/>
  <c r="AB51" i="39"/>
  <c r="L287" i="46"/>
  <c r="L298" i="46" s="1"/>
  <c r="O68" i="36"/>
  <c r="CD99" i="26"/>
  <c r="BX38" i="40"/>
  <c r="AK10" i="41"/>
  <c r="BH22" i="25"/>
  <c r="BJ21" i="25"/>
  <c r="CL14" i="38"/>
  <c r="CL15" i="38" s="1"/>
  <c r="BD14" i="1"/>
  <c r="BD15" i="1" s="1"/>
  <c r="CI68" i="25"/>
  <c r="AD49" i="60"/>
  <c r="S48" i="60"/>
  <c r="CT28" i="38"/>
  <c r="DC55" i="26"/>
  <c r="H55" i="41"/>
  <c r="CY22" i="39"/>
  <c r="DH48" i="26"/>
  <c r="BO51" i="26"/>
  <c r="CN51" i="36"/>
  <c r="N28" i="39"/>
  <c r="BU104" i="26"/>
  <c r="H14" i="37"/>
  <c r="AL46" i="60"/>
  <c r="BS11" i="25"/>
  <c r="BS15" i="25" s="1"/>
  <c r="CP28" i="26"/>
  <c r="Y11" i="41"/>
  <c r="AT38" i="38"/>
  <c r="Q10" i="25"/>
  <c r="W51" i="39"/>
  <c r="CB22" i="41"/>
  <c r="BT31" i="36"/>
  <c r="DE68" i="38"/>
  <c r="CH55" i="39"/>
  <c r="CZ82" i="38"/>
  <c r="BE14" i="37"/>
  <c r="H28" i="37"/>
  <c r="H32" i="37" s="1"/>
  <c r="CJ63" i="25"/>
  <c r="CQ11" i="25"/>
  <c r="BW55" i="38"/>
  <c r="AE76" i="37"/>
  <c r="DA99" i="36"/>
  <c r="CI19" i="26"/>
  <c r="I19" i="25"/>
  <c r="DE38" i="41"/>
  <c r="CK11" i="26"/>
  <c r="BX82" i="39"/>
  <c r="CY93" i="25"/>
  <c r="DD55" i="26"/>
  <c r="BV68" i="25"/>
  <c r="CW51" i="40"/>
  <c r="BE99" i="40"/>
  <c r="BC14" i="36"/>
  <c r="O99" i="38"/>
  <c r="CN104" i="36"/>
  <c r="BQ38" i="40"/>
  <c r="AR72" i="40"/>
  <c r="DE35" i="36"/>
  <c r="P35" i="37"/>
  <c r="BD104" i="37"/>
  <c r="AU19" i="37"/>
  <c r="Z99" i="25"/>
  <c r="BY28" i="25"/>
  <c r="CB82" i="41"/>
  <c r="CQ51" i="40"/>
  <c r="AO31" i="25"/>
  <c r="AC46" i="39"/>
  <c r="CB22" i="36"/>
  <c r="CG51" i="41"/>
  <c r="Z38" i="1"/>
  <c r="BS28" i="41"/>
  <c r="BS32" i="41" s="1"/>
  <c r="AV22" i="37"/>
  <c r="DE99" i="41"/>
  <c r="BT19" i="1"/>
  <c r="CK82" i="38"/>
  <c r="DB22" i="41"/>
  <c r="CT104" i="37"/>
  <c r="CM55" i="41"/>
  <c r="CG99" i="25"/>
  <c r="BZ99" i="41"/>
  <c r="U51" i="38"/>
  <c r="AU63" i="37"/>
  <c r="AF104" i="25"/>
  <c r="CJ11" i="25"/>
  <c r="AO38" i="25"/>
  <c r="H22" i="26"/>
  <c r="P55" i="25"/>
  <c r="DD46" i="37"/>
  <c r="M11" i="41"/>
  <c r="AM28" i="39"/>
  <c r="BF26" i="39"/>
  <c r="AT63" i="1"/>
  <c r="CM76" i="38"/>
  <c r="O82" i="26"/>
  <c r="CV14" i="1"/>
  <c r="CT104" i="38"/>
  <c r="AW22" i="40"/>
  <c r="S50" i="60"/>
  <c r="DF76" i="38"/>
  <c r="CO51" i="40"/>
  <c r="CJ28" i="41"/>
  <c r="CU35" i="40"/>
  <c r="AJ38" i="36"/>
  <c r="AX72" i="38"/>
  <c r="AR93" i="38"/>
  <c r="AR106" i="38" s="1"/>
  <c r="BS31" i="25"/>
  <c r="BS32" i="25" s="1"/>
  <c r="BU14" i="36"/>
  <c r="BU15" i="36" s="1"/>
  <c r="CL93" i="36"/>
  <c r="CL106" i="36" s="1"/>
  <c r="CR82" i="40"/>
  <c r="DA35" i="36"/>
  <c r="AX72" i="37"/>
  <c r="CH93" i="1"/>
  <c r="CH106" i="1" s="1"/>
  <c r="S63" i="39"/>
  <c r="AK57" i="39"/>
  <c r="AE46" i="39"/>
  <c r="BX93" i="41"/>
  <c r="CF11" i="39"/>
  <c r="AN104" i="37"/>
  <c r="BS63" i="40"/>
  <c r="AO22" i="1"/>
  <c r="BJ34" i="37"/>
  <c r="BH35" i="37"/>
  <c r="BJ35" i="37" s="1"/>
  <c r="AH72" i="25"/>
  <c r="AO93" i="36"/>
  <c r="AO106" i="36" s="1"/>
  <c r="BY55" i="40"/>
  <c r="CM72" i="26"/>
  <c r="AQ55" i="1"/>
  <c r="Q66" i="40"/>
  <c r="AB31" i="1"/>
  <c r="AB22" i="36"/>
  <c r="AX68" i="25"/>
  <c r="CK35" i="26"/>
  <c r="CS104" i="1"/>
  <c r="AQ76" i="38"/>
  <c r="G35" i="26"/>
  <c r="Q34" i="26"/>
  <c r="Q57" i="39"/>
  <c r="G63" i="39"/>
  <c r="CH63" i="1"/>
  <c r="BT51" i="39"/>
  <c r="BW22" i="25"/>
  <c r="CP93" i="36"/>
  <c r="CF93" i="40"/>
  <c r="CG55" i="41"/>
  <c r="DH59" i="37"/>
  <c r="CA72" i="1"/>
  <c r="AE46" i="41"/>
  <c r="Y19" i="25"/>
  <c r="G51" i="39"/>
  <c r="Q48" i="39"/>
  <c r="U46" i="38"/>
  <c r="CY82" i="37"/>
  <c r="T99" i="1"/>
  <c r="N46" i="37"/>
  <c r="CH46" i="40"/>
  <c r="DA63" i="38"/>
  <c r="BF65" i="39"/>
  <c r="AM68" i="39"/>
  <c r="BB68" i="39"/>
  <c r="H28" i="38"/>
  <c r="T28" i="40"/>
  <c r="T38" i="38"/>
  <c r="BC99" i="26"/>
  <c r="CK51" i="39"/>
  <c r="CT99" i="1"/>
  <c r="BT19" i="40"/>
  <c r="CY14" i="1"/>
  <c r="CP93" i="38"/>
  <c r="AD32" i="60"/>
  <c r="P63" i="38"/>
  <c r="AP104" i="37"/>
  <c r="CB31" i="39"/>
  <c r="DA72" i="1"/>
  <c r="CN82" i="40"/>
  <c r="AA11" i="38"/>
  <c r="BJ29" i="26"/>
  <c r="BH31" i="26"/>
  <c r="T35" i="40"/>
  <c r="AG46" i="37"/>
  <c r="CP68" i="26"/>
  <c r="AG55" i="1"/>
  <c r="BB19" i="40"/>
  <c r="H55" i="1"/>
  <c r="AW82" i="39"/>
  <c r="AM51" i="38"/>
  <c r="BF48" i="38"/>
  <c r="L99" i="36"/>
  <c r="AA28" i="60"/>
  <c r="I29" i="64"/>
  <c r="AA72" i="38"/>
  <c r="U68" i="39"/>
  <c r="CG68" i="39"/>
  <c r="AE19" i="41"/>
  <c r="BV46" i="37"/>
  <c r="X31" i="39"/>
  <c r="CY68" i="39"/>
  <c r="DH50" i="41"/>
  <c r="BV82" i="39"/>
  <c r="BH22" i="26"/>
  <c r="BJ21" i="26"/>
  <c r="N35" i="26"/>
  <c r="CH93" i="41"/>
  <c r="DH27" i="26"/>
  <c r="BU11" i="41"/>
  <c r="AX99" i="36"/>
  <c r="DD28" i="41"/>
  <c r="AT51" i="1"/>
  <c r="CJ99" i="40"/>
  <c r="X49" i="60"/>
  <c r="AU28" i="1"/>
  <c r="J19" i="39"/>
  <c r="BZ46" i="26"/>
  <c r="CT63" i="25"/>
  <c r="AC63" i="25"/>
  <c r="CR63" i="25"/>
  <c r="AI38" i="36"/>
  <c r="Z99" i="41"/>
  <c r="U42" i="60"/>
  <c r="BU11" i="26"/>
  <c r="J104" i="40"/>
  <c r="AI76" i="38"/>
  <c r="BD38" i="41"/>
  <c r="CK22" i="26"/>
  <c r="BY51" i="40"/>
  <c r="AH93" i="26"/>
  <c r="CC38" i="40"/>
  <c r="BD68" i="37"/>
  <c r="CR51" i="25"/>
  <c r="K221" i="46"/>
  <c r="CE82" i="25"/>
  <c r="N68" i="25"/>
  <c r="AJ28" i="39"/>
  <c r="P22" i="26"/>
  <c r="DE76" i="36"/>
  <c r="CH51" i="40"/>
  <c r="AM46" i="1"/>
  <c r="BF45" i="1"/>
  <c r="Y99" i="41"/>
  <c r="CF99" i="1"/>
  <c r="CN19" i="38"/>
  <c r="BF59" i="41"/>
  <c r="AX72" i="40"/>
  <c r="CD72" i="40"/>
  <c r="BT31" i="40"/>
  <c r="DF35" i="25"/>
  <c r="CC76" i="26"/>
  <c r="CN31" i="41"/>
  <c r="BR76" i="39"/>
  <c r="CV82" i="1"/>
  <c r="AV55" i="36"/>
  <c r="Z82" i="41"/>
  <c r="CM46" i="26"/>
  <c r="U38" i="36"/>
  <c r="BE82" i="1"/>
  <c r="CX14" i="37"/>
  <c r="AR35" i="26"/>
  <c r="I35" i="36"/>
  <c r="BJ48" i="25"/>
  <c r="BH51" i="25"/>
  <c r="AM28" i="1"/>
  <c r="BF26" i="1"/>
  <c r="J11" i="37"/>
  <c r="S104" i="26"/>
  <c r="CH93" i="40"/>
  <c r="CE55" i="41"/>
  <c r="T42" i="60"/>
  <c r="BO104" i="37"/>
  <c r="DE99" i="40"/>
  <c r="BE63" i="25"/>
  <c r="AX76" i="41"/>
  <c r="BE97" i="1"/>
  <c r="BF97" i="1" s="1"/>
  <c r="CB104" i="41"/>
  <c r="BQ38" i="26"/>
  <c r="CO46" i="41"/>
  <c r="BD28" i="41"/>
  <c r="CO38" i="25"/>
  <c r="AI68" i="36"/>
  <c r="CH38" i="25"/>
  <c r="CM55" i="40"/>
  <c r="CP22" i="38"/>
  <c r="CT28" i="37"/>
  <c r="BF61" i="41"/>
  <c r="CY104" i="39"/>
  <c r="P22" i="25"/>
  <c r="X46" i="38"/>
  <c r="BT76" i="39"/>
  <c r="BH68" i="40"/>
  <c r="BJ65" i="40"/>
  <c r="DC28" i="40"/>
  <c r="DC32" i="40" s="1"/>
  <c r="BR63" i="26"/>
  <c r="AB35" i="40"/>
  <c r="J19" i="26"/>
  <c r="AC72" i="25"/>
  <c r="BD35" i="39"/>
  <c r="CZ11" i="41"/>
  <c r="CZ15" i="41" s="1"/>
  <c r="CO14" i="36"/>
  <c r="CO15" i="36" s="1"/>
  <c r="BV11" i="40"/>
  <c r="P76" i="36"/>
  <c r="Q59" i="40"/>
  <c r="DC104" i="26"/>
  <c r="CR38" i="26"/>
  <c r="CA82" i="40"/>
  <c r="DC22" i="40"/>
  <c r="CQ63" i="1"/>
  <c r="BA55" i="1"/>
  <c r="AN63" i="39"/>
  <c r="BI22" i="1"/>
  <c r="BJ22" i="1" s="1"/>
  <c r="BC72" i="37"/>
  <c r="BE93" i="40"/>
  <c r="L223" i="46"/>
  <c r="BC325" i="47"/>
  <c r="CE104" i="36"/>
  <c r="CJ46" i="38"/>
  <c r="BZ104" i="26"/>
  <c r="AI76" i="40"/>
  <c r="AY14" i="36"/>
  <c r="AY15" i="36" s="1"/>
  <c r="I82" i="41"/>
  <c r="BV14" i="39"/>
  <c r="CU11" i="1"/>
  <c r="P68" i="41"/>
  <c r="AE11" i="38"/>
  <c r="Z68" i="38"/>
  <c r="DC72" i="40"/>
  <c r="BU72" i="25"/>
  <c r="CL19" i="40"/>
  <c r="BA11" i="26"/>
  <c r="BR51" i="1"/>
  <c r="AJ82" i="37"/>
  <c r="Q60" i="40"/>
  <c r="BE51" i="25"/>
  <c r="CI104" i="37"/>
  <c r="U68" i="36"/>
  <c r="BW72" i="36"/>
  <c r="AV28" i="41"/>
  <c r="AV32" i="41" s="1"/>
  <c r="CB19" i="38"/>
  <c r="AV38" i="37"/>
  <c r="AK58" i="37"/>
  <c r="BS82" i="37"/>
  <c r="CO46" i="37"/>
  <c r="S53" i="60"/>
  <c r="X28" i="25"/>
  <c r="AF82" i="37"/>
  <c r="Y28" i="37"/>
  <c r="BJ17" i="26"/>
  <c r="BH19" i="26"/>
  <c r="CE72" i="37"/>
  <c r="BR72" i="25"/>
  <c r="BZ51" i="40"/>
  <c r="CZ63" i="36"/>
  <c r="AG93" i="40"/>
  <c r="AQ22" i="40"/>
  <c r="AZ11" i="26"/>
  <c r="L63" i="40"/>
  <c r="CJ63" i="39"/>
  <c r="V22" i="26"/>
  <c r="CU31" i="25"/>
  <c r="CC22" i="1"/>
  <c r="W19" i="41"/>
  <c r="CG93" i="26"/>
  <c r="CP28" i="37"/>
  <c r="CP32" i="37" s="1"/>
  <c r="AN35" i="37"/>
  <c r="BD22" i="37"/>
  <c r="Q59" i="41"/>
  <c r="CG76" i="1"/>
  <c r="DF99" i="37"/>
  <c r="AY93" i="41"/>
  <c r="AA63" i="39"/>
  <c r="AN31" i="36"/>
  <c r="BD28" i="1"/>
  <c r="AV63" i="41"/>
  <c r="CW72" i="36"/>
  <c r="BO14" i="41"/>
  <c r="AB19" i="1"/>
  <c r="AZ82" i="1"/>
  <c r="G76" i="25"/>
  <c r="Q75" i="25"/>
  <c r="BL75" i="25" s="1"/>
  <c r="X99" i="39"/>
  <c r="AC82" i="36"/>
  <c r="CW14" i="40"/>
  <c r="DA104" i="26"/>
  <c r="AN93" i="40"/>
  <c r="DB76" i="39"/>
  <c r="BC76" i="1"/>
  <c r="AO51" i="38"/>
  <c r="AW35" i="25"/>
  <c r="CW11" i="37"/>
  <c r="V19" i="41"/>
  <c r="CV19" i="26"/>
  <c r="CV104" i="36"/>
  <c r="CM46" i="40"/>
  <c r="BW14" i="1"/>
  <c r="AN19" i="25"/>
  <c r="AP35" i="25"/>
  <c r="CQ82" i="36"/>
  <c r="AI76" i="36"/>
  <c r="AX19" i="40"/>
  <c r="CK22" i="39"/>
  <c r="CN31" i="39"/>
  <c r="DF82" i="39"/>
  <c r="N288" i="46"/>
  <c r="N299" i="46" s="1"/>
  <c r="DD38" i="1"/>
  <c r="BE72" i="26"/>
  <c r="AR31" i="26"/>
  <c r="AO68" i="25"/>
  <c r="CN32" i="38"/>
  <c r="AF76" i="26"/>
  <c r="CB28" i="37"/>
  <c r="DH79" i="36"/>
  <c r="CA82" i="1"/>
  <c r="DD82" i="39"/>
  <c r="P99" i="39"/>
  <c r="AY19" i="1"/>
  <c r="CN55" i="40"/>
  <c r="DD14" i="1"/>
  <c r="DD15" i="1" s="1"/>
  <c r="DB72" i="41"/>
  <c r="K76" i="39"/>
  <c r="AP51" i="37"/>
  <c r="AA36" i="60"/>
  <c r="X38" i="41"/>
  <c r="DF82" i="40"/>
  <c r="AJ11" i="39"/>
  <c r="AH68" i="36"/>
  <c r="AC82" i="26"/>
  <c r="BJ26" i="39"/>
  <c r="BH28" i="39"/>
  <c r="BJ28" i="39" s="1"/>
  <c r="AE82" i="40"/>
  <c r="CW93" i="38"/>
  <c r="CW106" i="38" s="1"/>
  <c r="CB99" i="41"/>
  <c r="DF55" i="41"/>
  <c r="CW55" i="1"/>
  <c r="CB22" i="37"/>
  <c r="BZ11" i="39"/>
  <c r="BZ15" i="39" s="1"/>
  <c r="CC99" i="36"/>
  <c r="K31" i="37"/>
  <c r="Z99" i="26"/>
  <c r="CL11" i="40"/>
  <c r="AO46" i="40"/>
  <c r="CO35" i="37"/>
  <c r="CZ38" i="38"/>
  <c r="AU93" i="37"/>
  <c r="CR72" i="37"/>
  <c r="CM22" i="25"/>
  <c r="DC19" i="1"/>
  <c r="AJ51" i="41"/>
  <c r="CQ68" i="1"/>
  <c r="AW46" i="40"/>
  <c r="AD46" i="1"/>
  <c r="CE76" i="25"/>
  <c r="T38" i="36"/>
  <c r="AT55" i="1"/>
  <c r="AW11" i="1"/>
  <c r="AW15" i="1" s="1"/>
  <c r="BD11" i="39"/>
  <c r="DA99" i="37"/>
  <c r="CP82" i="25"/>
  <c r="CQ31" i="38"/>
  <c r="CQ32" i="38" s="1"/>
  <c r="AY93" i="40"/>
  <c r="CI46" i="1"/>
  <c r="AV28" i="40"/>
  <c r="AV32" i="40" s="1"/>
  <c r="AH19" i="39"/>
  <c r="Q53" i="38"/>
  <c r="G55" i="38"/>
  <c r="CW19" i="36"/>
  <c r="AR14" i="38"/>
  <c r="BF10" i="26"/>
  <c r="BF50" i="38"/>
  <c r="BF62" i="25"/>
  <c r="Q67" i="41"/>
  <c r="AV104" i="26"/>
  <c r="CT46" i="1"/>
  <c r="AQ93" i="37"/>
  <c r="AY14" i="40"/>
  <c r="P72" i="36"/>
  <c r="CO76" i="26"/>
  <c r="CT76" i="36"/>
  <c r="AX38" i="25"/>
  <c r="P28" i="38"/>
  <c r="BP46" i="1"/>
  <c r="J221" i="46"/>
  <c r="AZ31" i="40"/>
  <c r="AZ32" i="40" s="1"/>
  <c r="AH63" i="40"/>
  <c r="K51" i="41"/>
  <c r="BD104" i="25"/>
  <c r="CT99" i="26"/>
  <c r="CX82" i="40"/>
  <c r="CZ14" i="1"/>
  <c r="AB63" i="1"/>
  <c r="AV76" i="40"/>
  <c r="CG63" i="36"/>
  <c r="BE82" i="26"/>
  <c r="CR28" i="38"/>
  <c r="AQ68" i="38"/>
  <c r="L28" i="37"/>
  <c r="Y46" i="41"/>
  <c r="DD76" i="40"/>
  <c r="BX63" i="1"/>
  <c r="CK38" i="37"/>
  <c r="AI46" i="1"/>
  <c r="CD19" i="41"/>
  <c r="AP38" i="38"/>
  <c r="BZ14" i="26"/>
  <c r="BZ15" i="26" s="1"/>
  <c r="DB82" i="37"/>
  <c r="CB22" i="26"/>
  <c r="BD46" i="36"/>
  <c r="AZ63" i="25"/>
  <c r="AN55" i="25"/>
  <c r="AP72" i="41"/>
  <c r="CV63" i="37"/>
  <c r="DA55" i="1"/>
  <c r="AD32" i="40"/>
  <c r="CZ55" i="1"/>
  <c r="CE76" i="40"/>
  <c r="AH76" i="40"/>
  <c r="CR55" i="38"/>
  <c r="CF82" i="36"/>
  <c r="AV104" i="36"/>
  <c r="AS68" i="26"/>
  <c r="DA99" i="38"/>
  <c r="AR31" i="38"/>
  <c r="N278" i="46"/>
  <c r="AH11" i="40"/>
  <c r="DF31" i="40"/>
  <c r="DF32" i="40" s="1"/>
  <c r="CI46" i="40"/>
  <c r="CD99" i="37"/>
  <c r="DF55" i="26"/>
  <c r="AV104" i="39"/>
  <c r="BV31" i="36"/>
  <c r="L82" i="25"/>
  <c r="CD99" i="40"/>
  <c r="CF51" i="25"/>
  <c r="S72" i="41"/>
  <c r="CO82" i="39"/>
  <c r="Q49" i="25"/>
  <c r="CO72" i="39"/>
  <c r="H68" i="25"/>
  <c r="O72" i="1"/>
  <c r="CY82" i="38"/>
  <c r="BX19" i="41"/>
  <c r="CO28" i="39"/>
  <c r="CO32" i="39" s="1"/>
  <c r="CD19" i="37"/>
  <c r="DC104" i="39"/>
  <c r="CJ63" i="36"/>
  <c r="CW38" i="41"/>
  <c r="DE76" i="26"/>
  <c r="P55" i="40"/>
  <c r="BY99" i="38"/>
  <c r="CI93" i="40"/>
  <c r="W76" i="36"/>
  <c r="CG68" i="36"/>
  <c r="BO31" i="36"/>
  <c r="DH29" i="36"/>
  <c r="DD72" i="38"/>
  <c r="CR63" i="41"/>
  <c r="BQ63" i="41"/>
  <c r="DA31" i="25"/>
  <c r="DA32" i="25" s="1"/>
  <c r="BE22" i="40"/>
  <c r="AB93" i="38"/>
  <c r="G287" i="46"/>
  <c r="G298" i="46" s="1"/>
  <c r="AN46" i="39"/>
  <c r="CV82" i="37"/>
  <c r="CD19" i="25"/>
  <c r="BV11" i="41"/>
  <c r="CJ82" i="39"/>
  <c r="AG82" i="39"/>
  <c r="AD55" i="1"/>
  <c r="BZ63" i="39"/>
  <c r="BD14" i="40"/>
  <c r="BD15" i="40" s="1"/>
  <c r="CO38" i="26"/>
  <c r="P63" i="41"/>
  <c r="O51" i="26"/>
  <c r="P14" i="38"/>
  <c r="P15" i="38" s="1"/>
  <c r="CJ72" i="1"/>
  <c r="AJ38" i="37"/>
  <c r="AH38" i="36"/>
  <c r="BE11" i="25"/>
  <c r="L93" i="25"/>
  <c r="AE31" i="38"/>
  <c r="Z55" i="36"/>
  <c r="V21" i="60"/>
  <c r="CO55" i="26"/>
  <c r="CO93" i="25"/>
  <c r="AV22" i="38"/>
  <c r="BA11" i="37"/>
  <c r="CM35" i="36"/>
  <c r="L28" i="25"/>
  <c r="CF46" i="1"/>
  <c r="CB38" i="40"/>
  <c r="AU38" i="25"/>
  <c r="CS22" i="37"/>
  <c r="CW51" i="38"/>
  <c r="CR55" i="1"/>
  <c r="DB72" i="1"/>
  <c r="J51" i="1"/>
  <c r="AD22" i="60"/>
  <c r="BE68" i="38"/>
  <c r="P76" i="40"/>
  <c r="CK35" i="37"/>
  <c r="Z63" i="36"/>
  <c r="CL55" i="25"/>
  <c r="AH51" i="38"/>
  <c r="DF22" i="37"/>
  <c r="CU35" i="26"/>
  <c r="AC28" i="38"/>
  <c r="AC32" i="38" s="1"/>
  <c r="CA19" i="1"/>
  <c r="CZ51" i="38"/>
  <c r="M82" i="1"/>
  <c r="BV93" i="26"/>
  <c r="CX82" i="36"/>
  <c r="AK59" i="25"/>
  <c r="AW76" i="26"/>
  <c r="AU11" i="39"/>
  <c r="CA14" i="1"/>
  <c r="CA15" i="1" s="1"/>
  <c r="AK29" i="37"/>
  <c r="S31" i="37"/>
  <c r="BS11" i="40"/>
  <c r="W14" i="25"/>
  <c r="CO31" i="40"/>
  <c r="CL14" i="37"/>
  <c r="CL15" i="37" s="1"/>
  <c r="O22" i="41"/>
  <c r="M11" i="39"/>
  <c r="DF68" i="40"/>
  <c r="AP46" i="41"/>
  <c r="K14" i="40"/>
  <c r="CT22" i="25"/>
  <c r="CE99" i="25"/>
  <c r="CD28" i="41"/>
  <c r="CN11" i="38"/>
  <c r="Y76" i="38"/>
  <c r="BX22" i="39"/>
  <c r="BO99" i="37"/>
  <c r="DH58" i="1"/>
  <c r="AR11" i="39"/>
  <c r="AA93" i="40"/>
  <c r="AA106" i="40" s="1"/>
  <c r="AD63" i="40"/>
  <c r="AY99" i="39"/>
  <c r="V31" i="40"/>
  <c r="CE35" i="41"/>
  <c r="CN104" i="41"/>
  <c r="AA14" i="36"/>
  <c r="AE28" i="1"/>
  <c r="AE32" i="1" s="1"/>
  <c r="BV63" i="25"/>
  <c r="Y82" i="36"/>
  <c r="CQ55" i="40"/>
  <c r="DA82" i="25"/>
  <c r="BU51" i="41"/>
  <c r="BD31" i="36"/>
  <c r="CZ22" i="39"/>
  <c r="L82" i="40"/>
  <c r="AD38" i="25"/>
  <c r="DA35" i="41"/>
  <c r="CJ82" i="38"/>
  <c r="AV72" i="26"/>
  <c r="CV35" i="39"/>
  <c r="CR28" i="39"/>
  <c r="CI28" i="39"/>
  <c r="DF99" i="1"/>
  <c r="CR82" i="1"/>
  <c r="BB63" i="41"/>
  <c r="CR46" i="36"/>
  <c r="DA28" i="26"/>
  <c r="AY51" i="40"/>
  <c r="CL28" i="36"/>
  <c r="AU68" i="25"/>
  <c r="BJ13" i="36"/>
  <c r="AU51" i="39"/>
  <c r="DB68" i="37"/>
  <c r="CP51" i="39"/>
  <c r="AW51" i="36"/>
  <c r="F221" i="46"/>
  <c r="CY76" i="1"/>
  <c r="BC22" i="39"/>
  <c r="CX55" i="25"/>
  <c r="AE68" i="39"/>
  <c r="Z28" i="41"/>
  <c r="DE68" i="41"/>
  <c r="H32" i="26"/>
  <c r="AO35" i="1"/>
  <c r="AR19" i="26"/>
  <c r="AV63" i="1"/>
  <c r="CB76" i="38"/>
  <c r="Y82" i="26"/>
  <c r="BD99" i="1"/>
  <c r="AO93" i="1"/>
  <c r="AH46" i="36"/>
  <c r="P22" i="1"/>
  <c r="CE11" i="39"/>
  <c r="AQ55" i="40"/>
  <c r="U76" i="26"/>
  <c r="CO14" i="38"/>
  <c r="BA14" i="41"/>
  <c r="BA15" i="41" s="1"/>
  <c r="AG28" i="39"/>
  <c r="BE99" i="25"/>
  <c r="Q102" i="37"/>
  <c r="G104" i="37"/>
  <c r="BZ76" i="39"/>
  <c r="BZ22" i="25"/>
  <c r="AY22" i="37"/>
  <c r="K31" i="1"/>
  <c r="DB63" i="40"/>
  <c r="AP38" i="39"/>
  <c r="CH76" i="38"/>
  <c r="BB19" i="38"/>
  <c r="BZ28" i="40"/>
  <c r="CQ104" i="39"/>
  <c r="CZ104" i="25"/>
  <c r="CZ106" i="25" s="1"/>
  <c r="BT63" i="40"/>
  <c r="BV63" i="37"/>
  <c r="CI76" i="36"/>
  <c r="DE31" i="36"/>
  <c r="CB14" i="37"/>
  <c r="DB76" i="36"/>
  <c r="CH72" i="36"/>
  <c r="BA99" i="26"/>
  <c r="AD38" i="36"/>
  <c r="AT19" i="26"/>
  <c r="CP28" i="41"/>
  <c r="AG28" i="40"/>
  <c r="AG32" i="40" s="1"/>
  <c r="AG35" i="1"/>
  <c r="U63" i="40"/>
  <c r="CW82" i="41"/>
  <c r="BW55" i="39"/>
  <c r="CZ19" i="25"/>
  <c r="CO38" i="37"/>
  <c r="AV99" i="41"/>
  <c r="AZ72" i="37"/>
  <c r="CF38" i="38"/>
  <c r="BP38" i="38"/>
  <c r="K19" i="37"/>
  <c r="BB31" i="1"/>
  <c r="BT99" i="37"/>
  <c r="CD35" i="38"/>
  <c r="BJ67" i="38"/>
  <c r="CF46" i="25"/>
  <c r="CX104" i="37"/>
  <c r="AA28" i="26"/>
  <c r="CW82" i="36"/>
  <c r="BR46" i="38"/>
  <c r="AS19" i="41"/>
  <c r="CK55" i="39"/>
  <c r="DC31" i="25"/>
  <c r="DC32" i="25" s="1"/>
  <c r="CG76" i="40"/>
  <c r="BJ67" i="41"/>
  <c r="BI99" i="41"/>
  <c r="CA28" i="26"/>
  <c r="CA32" i="26" s="1"/>
  <c r="BI38" i="26"/>
  <c r="CV76" i="25"/>
  <c r="G99" i="41"/>
  <c r="Q96" i="41"/>
  <c r="L72" i="39"/>
  <c r="CX104" i="1"/>
  <c r="CM51" i="25"/>
  <c r="AD35" i="41"/>
  <c r="DD104" i="41"/>
  <c r="CT63" i="26"/>
  <c r="DC55" i="40"/>
  <c r="AT11" i="40"/>
  <c r="DD72" i="26"/>
  <c r="BS28" i="26"/>
  <c r="F29" i="64"/>
  <c r="CH22" i="25"/>
  <c r="BS93" i="41"/>
  <c r="BP63" i="41"/>
  <c r="AZ51" i="38"/>
  <c r="CO55" i="37"/>
  <c r="CV31" i="37"/>
  <c r="P11" i="41"/>
  <c r="AO63" i="36"/>
  <c r="M38" i="40"/>
  <c r="CR93" i="1"/>
  <c r="U93" i="25"/>
  <c r="BP99" i="39"/>
  <c r="AF72" i="26"/>
  <c r="BW32" i="40"/>
  <c r="CQ31" i="39"/>
  <c r="CQ32" i="39" s="1"/>
  <c r="CP63" i="38"/>
  <c r="AJ38" i="38"/>
  <c r="AJ32" i="60"/>
  <c r="AQ31" i="39"/>
  <c r="AH76" i="39"/>
  <c r="AC32" i="41"/>
  <c r="DC19" i="39"/>
  <c r="AR63" i="39"/>
  <c r="BP63" i="37"/>
  <c r="CQ22" i="36"/>
  <c r="Y19" i="37"/>
  <c r="DB99" i="25"/>
  <c r="Q10" i="39"/>
  <c r="AH55" i="37"/>
  <c r="BR22" i="41"/>
  <c r="U28" i="40"/>
  <c r="U32" i="40" s="1"/>
  <c r="BF58" i="1"/>
  <c r="L22" i="36"/>
  <c r="O28" i="1"/>
  <c r="W76" i="1"/>
  <c r="CH19" i="38"/>
  <c r="CT55" i="38"/>
  <c r="BW31" i="38"/>
  <c r="Z46" i="39"/>
  <c r="CO35" i="40"/>
  <c r="CY76" i="36"/>
  <c r="CC31" i="39"/>
  <c r="BH19" i="1"/>
  <c r="BJ17" i="1"/>
  <c r="AF14" i="39"/>
  <c r="DA19" i="25"/>
  <c r="U22" i="39"/>
  <c r="AV46" i="41"/>
  <c r="BJ26" i="40"/>
  <c r="BH28" i="40"/>
  <c r="BJ28" i="40" s="1"/>
  <c r="BV38" i="36"/>
  <c r="BF91" i="39"/>
  <c r="CN31" i="1"/>
  <c r="CN32" i="1" s="1"/>
  <c r="AT22" i="37"/>
  <c r="H76" i="36"/>
  <c r="AD19" i="26"/>
  <c r="BD76" i="40"/>
  <c r="N104" i="36"/>
  <c r="G82" i="25"/>
  <c r="Q79" i="25"/>
  <c r="BZ68" i="40"/>
  <c r="BS68" i="25"/>
  <c r="L14" i="40"/>
  <c r="AV38" i="38"/>
  <c r="Y46" i="40"/>
  <c r="CW93" i="26"/>
  <c r="CX22" i="25"/>
  <c r="BR35" i="37"/>
  <c r="P38" i="1"/>
  <c r="CP82" i="39"/>
  <c r="M14" i="39"/>
  <c r="V35" i="26"/>
  <c r="Z32" i="39"/>
  <c r="BV46" i="41"/>
  <c r="M290" i="46"/>
  <c r="M301" i="46" s="1"/>
  <c r="CY104" i="25"/>
  <c r="CL14" i="41"/>
  <c r="CL15" i="41" s="1"/>
  <c r="L93" i="39"/>
  <c r="CG19" i="1"/>
  <c r="AC38" i="38"/>
  <c r="DA76" i="36"/>
  <c r="AT99" i="25"/>
  <c r="CS35" i="1"/>
  <c r="BQ104" i="41"/>
  <c r="M68" i="36"/>
  <c r="CG93" i="40"/>
  <c r="CU68" i="41"/>
  <c r="CO28" i="26"/>
  <c r="AM104" i="1"/>
  <c r="BF102" i="1"/>
  <c r="AZ11" i="41"/>
  <c r="BE93" i="26"/>
  <c r="F116" i="50"/>
  <c r="F117" i="50" s="1"/>
  <c r="F145" i="50" s="1"/>
  <c r="Z24" i="60"/>
  <c r="AK47" i="60"/>
  <c r="BT76" i="25"/>
  <c r="AM93" i="25"/>
  <c r="BF89" i="25"/>
  <c r="BI76" i="38"/>
  <c r="CK63" i="26"/>
  <c r="CK14" i="38"/>
  <c r="CK15" i="38" s="1"/>
  <c r="DF38" i="36"/>
  <c r="CZ72" i="39"/>
  <c r="Q54" i="37"/>
  <c r="DC22" i="25"/>
  <c r="DH27" i="38"/>
  <c r="K55" i="41"/>
  <c r="CH68" i="37"/>
  <c r="AC55" i="41"/>
  <c r="L11" i="36"/>
  <c r="CH68" i="25"/>
  <c r="BE104" i="39"/>
  <c r="DD82" i="37"/>
  <c r="DB14" i="41"/>
  <c r="DB15" i="41" s="1"/>
  <c r="CH55" i="40"/>
  <c r="CX31" i="40"/>
  <c r="J63" i="41"/>
  <c r="H22" i="38"/>
  <c r="AZ31" i="36"/>
  <c r="AF22" i="38"/>
  <c r="AR22" i="40"/>
  <c r="V76" i="36"/>
  <c r="AD76" i="25"/>
  <c r="AG93" i="38"/>
  <c r="CE46" i="26"/>
  <c r="AY19" i="36"/>
  <c r="CC14" i="37"/>
  <c r="X82" i="26"/>
  <c r="AT11" i="39"/>
  <c r="CC19" i="38"/>
  <c r="BJ79" i="37"/>
  <c r="BA72" i="39"/>
  <c r="AN38" i="26"/>
  <c r="BC35" i="39"/>
  <c r="Q49" i="1"/>
  <c r="DB68" i="41"/>
  <c r="CQ11" i="40"/>
  <c r="BJ50" i="39"/>
  <c r="AY68" i="37"/>
  <c r="AQ93" i="36"/>
  <c r="I22" i="1"/>
  <c r="I38" i="36"/>
  <c r="CI104" i="26"/>
  <c r="DA82" i="39"/>
  <c r="J51" i="25"/>
  <c r="AU31" i="25"/>
  <c r="BF60" i="41"/>
  <c r="H28" i="25"/>
  <c r="CN11" i="36"/>
  <c r="AF14" i="37"/>
  <c r="AF15" i="37" s="1"/>
  <c r="DB51" i="26"/>
  <c r="CF38" i="36"/>
  <c r="BF45" i="26"/>
  <c r="AM46" i="26"/>
  <c r="AH28" i="37"/>
  <c r="AK29" i="36"/>
  <c r="S31" i="36"/>
  <c r="AR63" i="38"/>
  <c r="BD19" i="26"/>
  <c r="BJ45" i="1"/>
  <c r="BH46" i="1"/>
  <c r="AV46" i="40"/>
  <c r="AY22" i="41"/>
  <c r="AR63" i="37"/>
  <c r="AE46" i="36"/>
  <c r="BF10" i="36"/>
  <c r="BY82" i="40"/>
  <c r="CM93" i="25"/>
  <c r="AS28" i="41"/>
  <c r="AX82" i="39"/>
  <c r="AX46" i="38"/>
  <c r="BJ58" i="36"/>
  <c r="AD50" i="60"/>
  <c r="CL38" i="40"/>
  <c r="BT55" i="39"/>
  <c r="BR51" i="41"/>
  <c r="N68" i="1"/>
  <c r="AX104" i="41"/>
  <c r="CV72" i="1"/>
  <c r="BY35" i="38"/>
  <c r="H38" i="26"/>
  <c r="DD55" i="36"/>
  <c r="BI46" i="25"/>
  <c r="BX14" i="40"/>
  <c r="AQ68" i="36"/>
  <c r="CB63" i="39"/>
  <c r="CE35" i="40"/>
  <c r="AN82" i="37"/>
  <c r="CZ72" i="36"/>
  <c r="CB93" i="25"/>
  <c r="CB106" i="25" s="1"/>
  <c r="BW46" i="26"/>
  <c r="BH51" i="1"/>
  <c r="BJ48" i="1"/>
  <c r="U19" i="38"/>
  <c r="BT28" i="39"/>
  <c r="BT32" i="39" s="1"/>
  <c r="AS72" i="25"/>
  <c r="BA46" i="25"/>
  <c r="CW72" i="41"/>
  <c r="DB82" i="36"/>
  <c r="CB14" i="25"/>
  <c r="CB15" i="25" s="1"/>
  <c r="CV76" i="39"/>
  <c r="I82" i="39"/>
  <c r="CY11" i="39"/>
  <c r="CY15" i="39" s="1"/>
  <c r="BQ76" i="36"/>
  <c r="G28" i="37"/>
  <c r="Q26" i="37"/>
  <c r="S56" i="60"/>
  <c r="CD55" i="38"/>
  <c r="CI63" i="1"/>
  <c r="BU76" i="26"/>
  <c r="AD104" i="38"/>
  <c r="AU51" i="26"/>
  <c r="BX72" i="1"/>
  <c r="CF55" i="37"/>
  <c r="CG35" i="1"/>
  <c r="CD63" i="37"/>
  <c r="P104" i="38"/>
  <c r="BS99" i="39"/>
  <c r="BA104" i="40"/>
  <c r="AC19" i="25"/>
  <c r="BT55" i="25"/>
  <c r="BW63" i="36"/>
  <c r="BF53" i="38"/>
  <c r="AM55" i="38"/>
  <c r="Y93" i="38"/>
  <c r="K93" i="41"/>
  <c r="AJ31" i="1"/>
  <c r="S14" i="26"/>
  <c r="AK12" i="26"/>
  <c r="P46" i="37"/>
  <c r="AY38" i="38"/>
  <c r="BX72" i="36"/>
  <c r="CI19" i="37"/>
  <c r="AI28" i="1"/>
  <c r="G76" i="38"/>
  <c r="Q75" i="38"/>
  <c r="AH28" i="36"/>
  <c r="AH32" i="36" s="1"/>
  <c r="DD51" i="39"/>
  <c r="Y31" i="39"/>
  <c r="BY55" i="1"/>
  <c r="K93" i="26"/>
  <c r="CU72" i="1"/>
  <c r="DF76" i="1"/>
  <c r="AT22" i="41"/>
  <c r="AS55" i="26"/>
  <c r="BH31" i="1"/>
  <c r="BJ31" i="1" s="1"/>
  <c r="BJ29" i="1"/>
  <c r="AB38" i="37"/>
  <c r="AR55" i="40"/>
  <c r="CP76" i="40"/>
  <c r="AU51" i="41"/>
  <c r="AO28" i="41"/>
  <c r="BW68" i="1"/>
  <c r="CE55" i="38"/>
  <c r="AU14" i="41"/>
  <c r="AU15" i="41" s="1"/>
  <c r="BR51" i="37"/>
  <c r="CF35" i="36"/>
  <c r="Q62" i="26"/>
  <c r="CC82" i="26"/>
  <c r="AP31" i="36"/>
  <c r="CD35" i="1"/>
  <c r="Z63" i="38"/>
  <c r="N31" i="36"/>
  <c r="U51" i="41"/>
  <c r="AU63" i="39"/>
  <c r="AU31" i="39"/>
  <c r="AU32" i="39" s="1"/>
  <c r="CQ11" i="36"/>
  <c r="X35" i="26"/>
  <c r="Y68" i="37"/>
  <c r="DB31" i="37"/>
  <c r="U72" i="36"/>
  <c r="AD38" i="1"/>
  <c r="H11" i="36"/>
  <c r="H15" i="36" s="1"/>
  <c r="AK30" i="41"/>
  <c r="CU31" i="38"/>
  <c r="AU99" i="36"/>
  <c r="P104" i="26"/>
  <c r="BX19" i="36"/>
  <c r="BW99" i="39"/>
  <c r="CJ46" i="25"/>
  <c r="CP38" i="25"/>
  <c r="K291" i="46"/>
  <c r="K302" i="46" s="1"/>
  <c r="AF72" i="39"/>
  <c r="BZ11" i="40"/>
  <c r="BC14" i="38"/>
  <c r="O14" i="38"/>
  <c r="O15" i="38" s="1"/>
  <c r="CG38" i="40"/>
  <c r="Y19" i="41"/>
  <c r="BF18" i="39"/>
  <c r="BT72" i="25"/>
  <c r="CD93" i="37"/>
  <c r="AY28" i="36"/>
  <c r="CD31" i="41"/>
  <c r="V19" i="36"/>
  <c r="CL14" i="36"/>
  <c r="O51" i="25"/>
  <c r="BC93" i="26"/>
  <c r="BC106" i="26" s="1"/>
  <c r="CV55" i="36"/>
  <c r="BE19" i="26"/>
  <c r="AD11" i="38"/>
  <c r="DD46" i="38"/>
  <c r="AD104" i="26"/>
  <c r="AY72" i="38"/>
  <c r="CY28" i="1"/>
  <c r="AQ63" i="38"/>
  <c r="CJ55" i="1"/>
  <c r="CM63" i="41"/>
  <c r="DH30" i="40"/>
  <c r="AI35" i="37"/>
  <c r="AI22" i="26"/>
  <c r="AT63" i="41"/>
  <c r="BE55" i="37"/>
  <c r="AH16" i="60"/>
  <c r="M55" i="38"/>
  <c r="O63" i="37"/>
  <c r="AT22" i="38"/>
  <c r="AZ93" i="39"/>
  <c r="Q10" i="41"/>
  <c r="AI55" i="38"/>
  <c r="J46" i="38"/>
  <c r="BW99" i="40"/>
  <c r="AO72" i="38"/>
  <c r="DC46" i="37"/>
  <c r="CJ99" i="41"/>
  <c r="BC99" i="41"/>
  <c r="BC106" i="41" s="1"/>
  <c r="BC19" i="39"/>
  <c r="BH31" i="41"/>
  <c r="BJ29" i="41"/>
  <c r="BD55" i="39"/>
  <c r="AX93" i="40"/>
  <c r="AX106" i="40" s="1"/>
  <c r="X53" i="60"/>
  <c r="K76" i="41"/>
  <c r="BO72" i="26"/>
  <c r="DH71" i="26"/>
  <c r="CN82" i="39"/>
  <c r="CX19" i="39"/>
  <c r="T38" i="40"/>
  <c r="AD51" i="41"/>
  <c r="CA11" i="26"/>
  <c r="M11" i="36"/>
  <c r="AL50" i="60"/>
  <c r="H32" i="1"/>
  <c r="BQ104" i="36"/>
  <c r="DE46" i="25"/>
  <c r="BZ11" i="41"/>
  <c r="CE11" i="40"/>
  <c r="CZ104" i="26"/>
  <c r="AQ28" i="37"/>
  <c r="AQ32" i="37" s="1"/>
  <c r="BO76" i="41"/>
  <c r="DH75" i="41"/>
  <c r="CH22" i="41"/>
  <c r="CG72" i="36"/>
  <c r="CC19" i="36"/>
  <c r="CN35" i="37"/>
  <c r="BJ26" i="36"/>
  <c r="BH28" i="36"/>
  <c r="DF22" i="39"/>
  <c r="DC55" i="38"/>
  <c r="CF76" i="39"/>
  <c r="AZ38" i="38"/>
  <c r="AY99" i="40"/>
  <c r="I99" i="36"/>
  <c r="AW31" i="36"/>
  <c r="W49" i="60"/>
  <c r="AS49" i="60" s="1"/>
  <c r="L28" i="40"/>
  <c r="L32" i="40" s="1"/>
  <c r="Z55" i="60"/>
  <c r="CP63" i="39"/>
  <c r="AG55" i="25"/>
  <c r="BQ14" i="40"/>
  <c r="AK60" i="38"/>
  <c r="CR11" i="37"/>
  <c r="CS76" i="25"/>
  <c r="AB76" i="36"/>
  <c r="CN28" i="25"/>
  <c r="BU28" i="40"/>
  <c r="BU32" i="40" s="1"/>
  <c r="BQ19" i="1"/>
  <c r="AY28" i="39"/>
  <c r="BF29" i="40"/>
  <c r="AM31" i="40"/>
  <c r="CL55" i="39"/>
  <c r="AX35" i="39"/>
  <c r="L93" i="26"/>
  <c r="AU68" i="38"/>
  <c r="AR22" i="36"/>
  <c r="BS38" i="39"/>
  <c r="DE55" i="25"/>
  <c r="DA72" i="25"/>
  <c r="V46" i="39"/>
  <c r="BA38" i="37"/>
  <c r="AN93" i="26"/>
  <c r="DH71" i="38"/>
  <c r="BO72" i="38"/>
  <c r="CJ76" i="25"/>
  <c r="BJ58" i="26"/>
  <c r="BC19" i="38"/>
  <c r="CS46" i="40"/>
  <c r="X55" i="60"/>
  <c r="V43" i="60"/>
  <c r="DH67" i="25"/>
  <c r="AZ11" i="39"/>
  <c r="AZ15" i="39" s="1"/>
  <c r="U14" i="41"/>
  <c r="AW63" i="41"/>
  <c r="CP72" i="37"/>
  <c r="L93" i="41"/>
  <c r="CS35" i="25"/>
  <c r="CT68" i="38"/>
  <c r="CO28" i="36"/>
  <c r="CM28" i="1"/>
  <c r="AF19" i="41"/>
  <c r="BU63" i="41"/>
  <c r="BT19" i="26"/>
  <c r="BH104" i="38"/>
  <c r="CS14" i="25"/>
  <c r="CS15" i="25" s="1"/>
  <c r="AT99" i="1"/>
  <c r="AT35" i="25"/>
  <c r="CL55" i="26"/>
  <c r="CG51" i="38"/>
  <c r="AS76" i="25"/>
  <c r="Q45" i="40"/>
  <c r="G46" i="40"/>
  <c r="L99" i="38"/>
  <c r="AH51" i="37"/>
  <c r="AB31" i="37"/>
  <c r="BT51" i="38"/>
  <c r="CX93" i="38"/>
  <c r="BU55" i="26"/>
  <c r="BD22" i="40"/>
  <c r="CG51" i="36"/>
  <c r="BX72" i="39"/>
  <c r="J35" i="37"/>
  <c r="V51" i="25"/>
  <c r="K14" i="38"/>
  <c r="K15" i="38" s="1"/>
  <c r="CI22" i="37"/>
  <c r="CQ38" i="26"/>
  <c r="CC72" i="38"/>
  <c r="BQ72" i="1"/>
  <c r="BB93" i="37"/>
  <c r="CJ31" i="41"/>
  <c r="AI55" i="39"/>
  <c r="AW99" i="41"/>
  <c r="U28" i="1"/>
  <c r="AG22" i="36"/>
  <c r="P72" i="37"/>
  <c r="CH38" i="26"/>
  <c r="BY51" i="37"/>
  <c r="AE35" i="36"/>
  <c r="AN11" i="36"/>
  <c r="AC82" i="41"/>
  <c r="CJ68" i="37"/>
  <c r="BP28" i="1"/>
  <c r="BP32" i="1" s="1"/>
  <c r="DH71" i="36"/>
  <c r="BO72" i="36"/>
  <c r="CX22" i="40"/>
  <c r="CO19" i="25"/>
  <c r="DH30" i="26"/>
  <c r="DF38" i="41"/>
  <c r="AA19" i="36"/>
  <c r="AU11" i="36"/>
  <c r="BP19" i="38"/>
  <c r="DB99" i="26"/>
  <c r="S72" i="25"/>
  <c r="AX55" i="1"/>
  <c r="BI14" i="38"/>
  <c r="AF46" i="41"/>
  <c r="DC104" i="38"/>
  <c r="CN14" i="26"/>
  <c r="CN15" i="26" s="1"/>
  <c r="BB14" i="25"/>
  <c r="BB15" i="25" s="1"/>
  <c r="AJ31" i="26"/>
  <c r="CY11" i="40"/>
  <c r="BV38" i="41"/>
  <c r="DE11" i="26"/>
  <c r="CI99" i="37"/>
  <c r="P76" i="25"/>
  <c r="AY11" i="38"/>
  <c r="BU46" i="38"/>
  <c r="CC51" i="25"/>
  <c r="AN76" i="40"/>
  <c r="Q60" i="25"/>
  <c r="CB31" i="38"/>
  <c r="BZ76" i="26"/>
  <c r="BJ89" i="26"/>
  <c r="BS68" i="41"/>
  <c r="CP28" i="40"/>
  <c r="AA76" i="26"/>
  <c r="BF34" i="1"/>
  <c r="AM35" i="1"/>
  <c r="BA14" i="25"/>
  <c r="CI55" i="25"/>
  <c r="BF65" i="40"/>
  <c r="AM68" i="40"/>
  <c r="AC46" i="40"/>
  <c r="G291" i="46"/>
  <c r="G302" i="46" s="1"/>
  <c r="G82" i="39"/>
  <c r="Q79" i="39"/>
  <c r="O31" i="40"/>
  <c r="O32" i="40" s="1"/>
  <c r="AQ63" i="41"/>
  <c r="DH79" i="25"/>
  <c r="CZ72" i="26"/>
  <c r="AI51" i="40"/>
  <c r="AJ104" i="1"/>
  <c r="CQ68" i="38"/>
  <c r="AK62" i="40"/>
  <c r="AV99" i="40"/>
  <c r="BV35" i="1"/>
  <c r="K22" i="37"/>
  <c r="CG35" i="40"/>
  <c r="CH104" i="37"/>
  <c r="BY51" i="41"/>
  <c r="CW19" i="40"/>
  <c r="CM14" i="40"/>
  <c r="CM15" i="40" s="1"/>
  <c r="CL19" i="36"/>
  <c r="CN55" i="37"/>
  <c r="J38" i="41"/>
  <c r="BO104" i="26"/>
  <c r="AE72" i="41"/>
  <c r="CG38" i="25"/>
  <c r="BP76" i="37"/>
  <c r="Z63" i="1"/>
  <c r="BJ13" i="37"/>
  <c r="BR72" i="26"/>
  <c r="AN68" i="36"/>
  <c r="CD31" i="1"/>
  <c r="U31" i="36"/>
  <c r="CF35" i="1"/>
  <c r="BV104" i="41"/>
  <c r="BQ22" i="37"/>
  <c r="CD72" i="41"/>
  <c r="AG35" i="36"/>
  <c r="CU68" i="38"/>
  <c r="CF72" i="41"/>
  <c r="P63" i="37"/>
  <c r="DA19" i="26"/>
  <c r="AY325" i="47"/>
  <c r="H38" i="37"/>
  <c r="AW63" i="40"/>
  <c r="K104" i="39"/>
  <c r="AP22" i="41"/>
  <c r="DB76" i="38"/>
  <c r="CE93" i="39"/>
  <c r="BR31" i="36"/>
  <c r="AT63" i="36"/>
  <c r="AB35" i="41"/>
  <c r="AH51" i="26"/>
  <c r="CA51" i="26"/>
  <c r="AT82" i="1"/>
  <c r="CX76" i="1"/>
  <c r="T19" i="40"/>
  <c r="CT14" i="26"/>
  <c r="BJ18" i="40"/>
  <c r="M38" i="25"/>
  <c r="G55" i="40"/>
  <c r="Q53" i="40"/>
  <c r="AC31" i="1"/>
  <c r="Z51" i="37"/>
  <c r="DH62" i="36"/>
  <c r="AC93" i="1"/>
  <c r="AC106" i="1" s="1"/>
  <c r="BF26" i="25"/>
  <c r="AM28" i="25"/>
  <c r="AF93" i="38"/>
  <c r="O55" i="36"/>
  <c r="BW19" i="26"/>
  <c r="BB11" i="38"/>
  <c r="CI28" i="36"/>
  <c r="CI32" i="36" s="1"/>
  <c r="CW68" i="26"/>
  <c r="AG38" i="37"/>
  <c r="CH14" i="36"/>
  <c r="L35" i="25"/>
  <c r="CP31" i="1"/>
  <c r="DC68" i="40"/>
  <c r="AJ38" i="39"/>
  <c r="BD28" i="40"/>
  <c r="BD32" i="40" s="1"/>
  <c r="BJ54" i="40"/>
  <c r="AO31" i="26"/>
  <c r="CZ82" i="26"/>
  <c r="CH68" i="40"/>
  <c r="T76" i="40"/>
  <c r="Q30" i="37"/>
  <c r="CQ76" i="25"/>
  <c r="CF68" i="41"/>
  <c r="CX19" i="37"/>
  <c r="Y51" i="41"/>
  <c r="CZ38" i="41"/>
  <c r="J11" i="1"/>
  <c r="J15" i="1" s="1"/>
  <c r="AG50" i="60"/>
  <c r="BS38" i="37"/>
  <c r="CH14" i="25"/>
  <c r="CR28" i="36"/>
  <c r="AK18" i="36"/>
  <c r="AZ76" i="39"/>
  <c r="CW35" i="26"/>
  <c r="BY72" i="38"/>
  <c r="CQ19" i="36"/>
  <c r="K82" i="1"/>
  <c r="CO22" i="41"/>
  <c r="BV14" i="36"/>
  <c r="CM19" i="36"/>
  <c r="AD35" i="25"/>
  <c r="AE28" i="38"/>
  <c r="AE32" i="38" s="1"/>
  <c r="X19" i="26"/>
  <c r="U55" i="38"/>
  <c r="DF28" i="36"/>
  <c r="DF32" i="36" s="1"/>
  <c r="AH63" i="36"/>
  <c r="CA76" i="36"/>
  <c r="CS93" i="40"/>
  <c r="H11" i="26"/>
  <c r="CN28" i="37"/>
  <c r="CN32" i="37" s="1"/>
  <c r="BE63" i="1"/>
  <c r="AB31" i="25"/>
  <c r="BB38" i="25"/>
  <c r="CT32" i="40"/>
  <c r="AS22" i="39"/>
  <c r="CN72" i="26"/>
  <c r="M93" i="25"/>
  <c r="AB28" i="36"/>
  <c r="AB32" i="36" s="1"/>
  <c r="CW82" i="39"/>
  <c r="DH54" i="25"/>
  <c r="DE14" i="1"/>
  <c r="AC38" i="40"/>
  <c r="BT76" i="40"/>
  <c r="CJ19" i="38"/>
  <c r="G19" i="36"/>
  <c r="Q17" i="36"/>
  <c r="G14" i="26"/>
  <c r="Q12" i="26"/>
  <c r="K93" i="39"/>
  <c r="AI68" i="39"/>
  <c r="DA76" i="1"/>
  <c r="AY68" i="26"/>
  <c r="BF25" i="26"/>
  <c r="BT51" i="40"/>
  <c r="CP28" i="25"/>
  <c r="BA93" i="40"/>
  <c r="DE63" i="26"/>
  <c r="BP31" i="37"/>
  <c r="CP104" i="40"/>
  <c r="AX38" i="26"/>
  <c r="BY14" i="36"/>
  <c r="BY15" i="36" s="1"/>
  <c r="AE19" i="25"/>
  <c r="BU99" i="40"/>
  <c r="Q13" i="36"/>
  <c r="AO99" i="1"/>
  <c r="CC38" i="25"/>
  <c r="Q26" i="36"/>
  <c r="G28" i="36"/>
  <c r="DH66" i="25"/>
  <c r="DC104" i="41"/>
  <c r="BZ38" i="26"/>
  <c r="AF46" i="1"/>
  <c r="U53" i="60"/>
  <c r="DF93" i="39"/>
  <c r="BR51" i="36"/>
  <c r="CH19" i="1"/>
  <c r="G289" i="46"/>
  <c r="G300" i="46" s="1"/>
  <c r="BB31" i="39"/>
  <c r="AJ68" i="40"/>
  <c r="AA35" i="40"/>
  <c r="BJ65" i="36"/>
  <c r="BL65" i="36" s="1"/>
  <c r="BH68" i="36"/>
  <c r="AC72" i="37"/>
  <c r="AD35" i="39"/>
  <c r="CN19" i="41"/>
  <c r="CY22" i="25"/>
  <c r="DA35" i="25"/>
  <c r="CB55" i="40"/>
  <c r="AG11" i="40"/>
  <c r="V63" i="36"/>
  <c r="BJ18" i="36"/>
  <c r="CS72" i="38"/>
  <c r="CB19" i="26"/>
  <c r="BW14" i="40"/>
  <c r="BY11" i="38"/>
  <c r="AG32" i="60"/>
  <c r="CY68" i="40"/>
  <c r="BY68" i="39"/>
  <c r="CB55" i="37"/>
  <c r="I19" i="41"/>
  <c r="BZ31" i="39"/>
  <c r="AQ14" i="36"/>
  <c r="AQ15" i="36" s="1"/>
  <c r="DF104" i="26"/>
  <c r="BE32" i="41"/>
  <c r="CD22" i="37"/>
  <c r="CU51" i="40"/>
  <c r="CO51" i="39"/>
  <c r="BH35" i="25"/>
  <c r="BJ34" i="25"/>
  <c r="CN38" i="41"/>
  <c r="AC72" i="40"/>
  <c r="AI14" i="38"/>
  <c r="BA11" i="40"/>
  <c r="DE35" i="25"/>
  <c r="X22" i="37"/>
  <c r="Y28" i="60"/>
  <c r="U31" i="41"/>
  <c r="U32" i="41" s="1"/>
  <c r="CU68" i="25"/>
  <c r="M35" i="26"/>
  <c r="CQ82" i="37"/>
  <c r="P55" i="41"/>
  <c r="CM31" i="41"/>
  <c r="CM32" i="41" s="1"/>
  <c r="H72" i="36"/>
  <c r="DB11" i="38"/>
  <c r="AY11" i="26"/>
  <c r="AE51" i="40"/>
  <c r="DH34" i="1"/>
  <c r="BO35" i="1"/>
  <c r="BV11" i="39"/>
  <c r="BI22" i="25"/>
  <c r="CH19" i="36"/>
  <c r="N104" i="38"/>
  <c r="CQ14" i="37"/>
  <c r="J22" i="1"/>
  <c r="CL38" i="36"/>
  <c r="AF55" i="38"/>
  <c r="BZ51" i="26"/>
  <c r="BD11" i="37"/>
  <c r="BD15" i="37" s="1"/>
  <c r="AK67" i="37"/>
  <c r="CB28" i="39"/>
  <c r="BQ68" i="38"/>
  <c r="N99" i="37"/>
  <c r="BO51" i="38"/>
  <c r="DH48" i="38"/>
  <c r="V72" i="39"/>
  <c r="CG51" i="26"/>
  <c r="CY28" i="39"/>
  <c r="DA22" i="37"/>
  <c r="DE68" i="25"/>
  <c r="G19" i="40"/>
  <c r="Q17" i="40"/>
  <c r="BS19" i="37"/>
  <c r="AH93" i="38"/>
  <c r="AR51" i="41"/>
  <c r="I28" i="41"/>
  <c r="BR76" i="26"/>
  <c r="AO22" i="26"/>
  <c r="CR38" i="25"/>
  <c r="DC11" i="41"/>
  <c r="AO82" i="26"/>
  <c r="DH18" i="37"/>
  <c r="CR46" i="37"/>
  <c r="AC46" i="26"/>
  <c r="AC35" i="26"/>
  <c r="CK22" i="36"/>
  <c r="AX31" i="25"/>
  <c r="DB55" i="25"/>
  <c r="CH76" i="25"/>
  <c r="P72" i="1"/>
  <c r="AP72" i="36"/>
  <c r="AT46" i="41"/>
  <c r="AD19" i="40"/>
  <c r="BV82" i="1"/>
  <c r="AF76" i="1"/>
  <c r="O46" i="26"/>
  <c r="DA63" i="26"/>
  <c r="CI93" i="38"/>
  <c r="CH38" i="36"/>
  <c r="CW46" i="41"/>
  <c r="BA76" i="41"/>
  <c r="AV104" i="41"/>
  <c r="CN63" i="1"/>
  <c r="AY99" i="37"/>
  <c r="DB28" i="40"/>
  <c r="AS31" i="25"/>
  <c r="AS32" i="25" s="1"/>
  <c r="AC99" i="25"/>
  <c r="AC51" i="38"/>
  <c r="AW63" i="37"/>
  <c r="CL63" i="40"/>
  <c r="AJ35" i="37"/>
  <c r="CQ93" i="41"/>
  <c r="CR63" i="40"/>
  <c r="O82" i="39"/>
  <c r="CU99" i="41"/>
  <c r="BV35" i="40"/>
  <c r="CM82" i="41"/>
  <c r="BC63" i="41"/>
  <c r="BF61" i="38"/>
  <c r="M99" i="38"/>
  <c r="AJ82" i="25"/>
  <c r="DA22" i="40"/>
  <c r="AI104" i="39"/>
  <c r="BU14" i="39"/>
  <c r="BU15" i="39" s="1"/>
  <c r="AU11" i="40"/>
  <c r="BI72" i="37"/>
  <c r="I11" i="39"/>
  <c r="AS11" i="38"/>
  <c r="CQ99" i="1"/>
  <c r="BX76" i="39"/>
  <c r="AU76" i="40"/>
  <c r="BV55" i="25"/>
  <c r="CB76" i="40"/>
  <c r="CX46" i="37"/>
  <c r="CT11" i="1"/>
  <c r="Q12" i="36"/>
  <c r="G14" i="36"/>
  <c r="CU104" i="37"/>
  <c r="CJ82" i="40"/>
  <c r="AA24" i="60"/>
  <c r="AL47" i="60"/>
  <c r="AE38" i="41"/>
  <c r="AM28" i="40"/>
  <c r="BF26" i="40"/>
  <c r="W28" i="26"/>
  <c r="W32" i="26" s="1"/>
  <c r="AU22" i="40"/>
  <c r="CX19" i="38"/>
  <c r="BC51" i="25"/>
  <c r="AC68" i="38"/>
  <c r="AS11" i="1"/>
  <c r="AN51" i="41"/>
  <c r="CB72" i="37"/>
  <c r="AN82" i="1"/>
  <c r="AY11" i="25"/>
  <c r="AY76" i="36"/>
  <c r="BB46" i="37"/>
  <c r="M51" i="25"/>
  <c r="AQ76" i="41"/>
  <c r="AS51" i="39"/>
  <c r="DC76" i="1"/>
  <c r="DE32" i="40"/>
  <c r="DE40" i="40" s="1"/>
  <c r="P104" i="25"/>
  <c r="Z39" i="60"/>
  <c r="J72" i="41"/>
  <c r="CT82" i="1"/>
  <c r="BR93" i="25"/>
  <c r="DH30" i="1"/>
  <c r="AT93" i="38"/>
  <c r="AW38" i="1"/>
  <c r="CV51" i="1"/>
  <c r="AV11" i="1"/>
  <c r="BB14" i="40"/>
  <c r="BB15" i="40" s="1"/>
  <c r="M279" i="46"/>
  <c r="AJ14" i="38"/>
  <c r="DH71" i="41"/>
  <c r="BO72" i="41"/>
  <c r="CY55" i="39"/>
  <c r="CZ31" i="38"/>
  <c r="CZ32" i="38" s="1"/>
  <c r="BJ54" i="38"/>
  <c r="DA72" i="38"/>
  <c r="CE14" i="26"/>
  <c r="CS22" i="26"/>
  <c r="BO99" i="1"/>
  <c r="AU35" i="37"/>
  <c r="CA99" i="1"/>
  <c r="BA28" i="36"/>
  <c r="CQ38" i="1"/>
  <c r="AW19" i="39"/>
  <c r="DA11" i="1"/>
  <c r="CB93" i="36"/>
  <c r="BF92" i="39"/>
  <c r="BV93" i="37"/>
  <c r="BV82" i="40"/>
  <c r="M14" i="26"/>
  <c r="AP14" i="38"/>
  <c r="CX11" i="36"/>
  <c r="AU28" i="38"/>
  <c r="AK18" i="41"/>
  <c r="AZ63" i="26"/>
  <c r="DE99" i="1"/>
  <c r="W19" i="37"/>
  <c r="DF19" i="26"/>
  <c r="K55" i="38"/>
  <c r="AC63" i="1"/>
  <c r="J55" i="1"/>
  <c r="X51" i="25"/>
  <c r="CG104" i="38"/>
  <c r="CO19" i="26"/>
  <c r="DE72" i="25"/>
  <c r="CQ46" i="38"/>
  <c r="CR55" i="41"/>
  <c r="AM99" i="41"/>
  <c r="BF96" i="41"/>
  <c r="AN11" i="38"/>
  <c r="AA93" i="25"/>
  <c r="CY35" i="1"/>
  <c r="AN14" i="40"/>
  <c r="AS14" i="36"/>
  <c r="CX104" i="36"/>
  <c r="CL104" i="37"/>
  <c r="AK67" i="1"/>
  <c r="AT38" i="25"/>
  <c r="BZ82" i="39"/>
  <c r="BJ50" i="37"/>
  <c r="AJ72" i="36"/>
  <c r="Y22" i="39"/>
  <c r="BS104" i="25"/>
  <c r="BA72" i="41"/>
  <c r="CF14" i="39"/>
  <c r="CF15" i="39" s="1"/>
  <c r="AJ33" i="60"/>
  <c r="N28" i="36"/>
  <c r="N32" i="36" s="1"/>
  <c r="I31" i="38"/>
  <c r="I32" i="38" s="1"/>
  <c r="CP82" i="41"/>
  <c r="DH54" i="37"/>
  <c r="AW46" i="37"/>
  <c r="CF99" i="26"/>
  <c r="AF93" i="36"/>
  <c r="BJ34" i="40"/>
  <c r="BH35" i="40"/>
  <c r="Q92" i="36"/>
  <c r="Z51" i="38"/>
  <c r="AW82" i="38"/>
  <c r="V35" i="39"/>
  <c r="AF32" i="60"/>
  <c r="AA76" i="1"/>
  <c r="BB93" i="39"/>
  <c r="CX14" i="39"/>
  <c r="AS93" i="26"/>
  <c r="CK99" i="38"/>
  <c r="BV46" i="26"/>
  <c r="BQ22" i="38"/>
  <c r="AP38" i="36"/>
  <c r="DH17" i="37"/>
  <c r="BO19" i="37"/>
  <c r="N19" i="1"/>
  <c r="AT68" i="25"/>
  <c r="AK62" i="1"/>
  <c r="CV31" i="41"/>
  <c r="AK13" i="26"/>
  <c r="BE11" i="38"/>
  <c r="CP46" i="40"/>
  <c r="V35" i="40"/>
  <c r="AQ35" i="26"/>
  <c r="BC35" i="40"/>
  <c r="AU31" i="38"/>
  <c r="AJ19" i="25"/>
  <c r="CI19" i="38"/>
  <c r="AX35" i="38"/>
  <c r="AO76" i="36"/>
  <c r="CH55" i="41"/>
  <c r="CR72" i="39"/>
  <c r="CI31" i="38"/>
  <c r="DA19" i="40"/>
  <c r="T14" i="26"/>
  <c r="CU93" i="37"/>
  <c r="BX99" i="41"/>
  <c r="AI99" i="36"/>
  <c r="BQ14" i="39"/>
  <c r="AE68" i="36"/>
  <c r="P19" i="38"/>
  <c r="V14" i="26"/>
  <c r="DB55" i="1"/>
  <c r="U68" i="1"/>
  <c r="CA93" i="26"/>
  <c r="AQ28" i="39"/>
  <c r="BJ67" i="37"/>
  <c r="H35" i="38"/>
  <c r="BA11" i="1"/>
  <c r="BB28" i="39"/>
  <c r="BD72" i="39"/>
  <c r="CA76" i="1"/>
  <c r="CH31" i="26"/>
  <c r="DD31" i="41"/>
  <c r="DE51" i="39"/>
  <c r="DA63" i="37"/>
  <c r="BB82" i="25"/>
  <c r="BE46" i="37"/>
  <c r="AW31" i="26"/>
  <c r="AD82" i="39"/>
  <c r="BE99" i="26"/>
  <c r="AU93" i="1"/>
  <c r="CV76" i="36"/>
  <c r="CN46" i="37"/>
  <c r="CZ68" i="26"/>
  <c r="AC99" i="26"/>
  <c r="CU51" i="1"/>
  <c r="CN82" i="38"/>
  <c r="CX19" i="36"/>
  <c r="AN19" i="37"/>
  <c r="CZ82" i="36"/>
  <c r="N63" i="41"/>
  <c r="DH54" i="26"/>
  <c r="AK10" i="26"/>
  <c r="AA38" i="40"/>
  <c r="BE46" i="38"/>
  <c r="CV28" i="40"/>
  <c r="CF104" i="37"/>
  <c r="CX93" i="41"/>
  <c r="CA38" i="26"/>
  <c r="DD31" i="25"/>
  <c r="DD32" i="25" s="1"/>
  <c r="BE68" i="26"/>
  <c r="AT14" i="26"/>
  <c r="BA76" i="37"/>
  <c r="CK93" i="40"/>
  <c r="L51" i="41"/>
  <c r="Z72" i="36"/>
  <c r="AP55" i="37"/>
  <c r="CX104" i="26"/>
  <c r="BT38" i="26"/>
  <c r="K19" i="36"/>
  <c r="AP72" i="37"/>
  <c r="AD82" i="25"/>
  <c r="CH82" i="40"/>
  <c r="AX38" i="38"/>
  <c r="H35" i="26"/>
  <c r="AI7" i="60"/>
  <c r="BF30" i="25"/>
  <c r="AK50" i="36"/>
  <c r="CZ104" i="41"/>
  <c r="BR46" i="36"/>
  <c r="AM14" i="38"/>
  <c r="BF12" i="38"/>
  <c r="BQ22" i="41"/>
  <c r="CM31" i="26"/>
  <c r="CY93" i="38"/>
  <c r="BV104" i="39"/>
  <c r="CA22" i="1"/>
  <c r="BY76" i="1"/>
  <c r="AA76" i="39"/>
  <c r="AG11" i="25"/>
  <c r="CB11" i="36"/>
  <c r="BJ89" i="1"/>
  <c r="BF66" i="38"/>
  <c r="AW35" i="38"/>
  <c r="AZ82" i="40"/>
  <c r="DA76" i="26"/>
  <c r="P76" i="1"/>
  <c r="K19" i="39"/>
  <c r="CP63" i="1"/>
  <c r="CZ31" i="39"/>
  <c r="AN93" i="41"/>
  <c r="CC104" i="39"/>
  <c r="CE11" i="26"/>
  <c r="Z68" i="26"/>
  <c r="DE31" i="1"/>
  <c r="BU28" i="39"/>
  <c r="BU32" i="39" s="1"/>
  <c r="AB76" i="37"/>
  <c r="CX72" i="37"/>
  <c r="AK10" i="38"/>
  <c r="CV46" i="37"/>
  <c r="BW68" i="37"/>
  <c r="BD11" i="36"/>
  <c r="AP46" i="37"/>
  <c r="DH17" i="25"/>
  <c r="BO19" i="25"/>
  <c r="CC35" i="36"/>
  <c r="BE14" i="39"/>
  <c r="AE76" i="40"/>
  <c r="Z93" i="36"/>
  <c r="CT93" i="41"/>
  <c r="CA38" i="41"/>
  <c r="AO38" i="36"/>
  <c r="BA11" i="36"/>
  <c r="BJ37" i="36"/>
  <c r="BH38" i="36"/>
  <c r="BJ38" i="36" s="1"/>
  <c r="CX82" i="39"/>
  <c r="H99" i="40"/>
  <c r="AK21" i="38"/>
  <c r="S22" i="38"/>
  <c r="CK11" i="1"/>
  <c r="CK15" i="1" s="1"/>
  <c r="CB93" i="1"/>
  <c r="AT35" i="26"/>
  <c r="AX46" i="25"/>
  <c r="U76" i="25"/>
  <c r="AI31" i="38"/>
  <c r="AI32" i="38" s="1"/>
  <c r="CA72" i="41"/>
  <c r="CZ55" i="39"/>
  <c r="AI22" i="60"/>
  <c r="CS19" i="38"/>
  <c r="AQ51" i="37"/>
  <c r="Z35" i="36"/>
  <c r="CF28" i="39"/>
  <c r="CF32" i="39" s="1"/>
  <c r="AC63" i="40"/>
  <c r="M11" i="40"/>
  <c r="I288" i="46"/>
  <c r="I299" i="46" s="1"/>
  <c r="BT93" i="36"/>
  <c r="DE104" i="41"/>
  <c r="DF82" i="25"/>
  <c r="AH28" i="39"/>
  <c r="I245" i="46"/>
  <c r="AU82" i="26"/>
  <c r="AZ19" i="37"/>
  <c r="AG46" i="1"/>
  <c r="BT46" i="38"/>
  <c r="CQ28" i="37"/>
  <c r="BP72" i="25"/>
  <c r="CZ82" i="25"/>
  <c r="CL46" i="37"/>
  <c r="AD31" i="39"/>
  <c r="CR51" i="37"/>
  <c r="M99" i="25"/>
  <c r="AP55" i="40"/>
  <c r="Y35" i="25"/>
  <c r="AG63" i="25"/>
  <c r="BC82" i="36"/>
  <c r="CV82" i="38"/>
  <c r="CR82" i="38"/>
  <c r="CW93" i="25"/>
  <c r="AK57" i="41"/>
  <c r="S63" i="41"/>
  <c r="AO51" i="26"/>
  <c r="CP76" i="38"/>
  <c r="I51" i="39"/>
  <c r="CT11" i="39"/>
  <c r="CR68" i="38"/>
  <c r="AO93" i="25"/>
  <c r="AO106" i="25" s="1"/>
  <c r="CV76" i="41"/>
  <c r="DH103" i="40"/>
  <c r="AF35" i="1"/>
  <c r="CO51" i="38"/>
  <c r="AK49" i="38"/>
  <c r="CZ104" i="37"/>
  <c r="CK38" i="39"/>
  <c r="Q48" i="26"/>
  <c r="G51" i="26"/>
  <c r="AP82" i="26"/>
  <c r="BS104" i="40"/>
  <c r="DH59" i="36"/>
  <c r="Q13" i="25"/>
  <c r="Q49" i="38"/>
  <c r="AW82" i="1"/>
  <c r="BC55" i="26"/>
  <c r="AT35" i="39"/>
  <c r="BT11" i="26"/>
  <c r="CT11" i="26"/>
  <c r="BF91" i="25"/>
  <c r="BP22" i="26"/>
  <c r="N46" i="40"/>
  <c r="DB82" i="25"/>
  <c r="CK76" i="25"/>
  <c r="AZ51" i="1"/>
  <c r="AI14" i="40"/>
  <c r="O55" i="38"/>
  <c r="CQ68" i="41"/>
  <c r="CV63" i="1"/>
  <c r="T31" i="39"/>
  <c r="BB68" i="37"/>
  <c r="CB14" i="36"/>
  <c r="CV76" i="1"/>
  <c r="BZ19" i="1"/>
  <c r="BA19" i="41"/>
  <c r="H14" i="26"/>
  <c r="AS51" i="37"/>
  <c r="DC63" i="26"/>
  <c r="BP99" i="25"/>
  <c r="AI93" i="36"/>
  <c r="CD104" i="40"/>
  <c r="AI99" i="38"/>
  <c r="AU28" i="40"/>
  <c r="AU32" i="40" s="1"/>
  <c r="BX35" i="38"/>
  <c r="BE51" i="1"/>
  <c r="U35" i="38"/>
  <c r="BD68" i="25"/>
  <c r="N76" i="25"/>
  <c r="K22" i="1"/>
  <c r="CH93" i="37"/>
  <c r="AK79" i="37"/>
  <c r="S82" i="37"/>
  <c r="DA38" i="26"/>
  <c r="CB35" i="40"/>
  <c r="AD63" i="39"/>
  <c r="S93" i="38"/>
  <c r="AK89" i="38"/>
  <c r="AV82" i="41"/>
  <c r="CP55" i="1"/>
  <c r="BU11" i="1"/>
  <c r="BU15" i="1" s="1"/>
  <c r="BJ18" i="1"/>
  <c r="AI76" i="41"/>
  <c r="AX38" i="39"/>
  <c r="AV63" i="40"/>
  <c r="AQ93" i="41"/>
  <c r="Q26" i="26"/>
  <c r="G28" i="26"/>
  <c r="O19" i="25"/>
  <c r="BB31" i="25"/>
  <c r="AK61" i="25"/>
  <c r="AS63" i="1"/>
  <c r="CD22" i="25"/>
  <c r="AN28" i="25"/>
  <c r="CQ72" i="37"/>
  <c r="CP99" i="37"/>
  <c r="Q49" i="41"/>
  <c r="CD68" i="26"/>
  <c r="AR28" i="25"/>
  <c r="CN82" i="36"/>
  <c r="S99" i="40"/>
  <c r="O76" i="25"/>
  <c r="CV38" i="39"/>
  <c r="AB63" i="26"/>
  <c r="DD68" i="36"/>
  <c r="AP38" i="26"/>
  <c r="L68" i="39"/>
  <c r="AU22" i="38"/>
  <c r="CS99" i="41"/>
  <c r="U22" i="25"/>
  <c r="DH61" i="40"/>
  <c r="BR51" i="25"/>
  <c r="CR31" i="40"/>
  <c r="CR32" i="40" s="1"/>
  <c r="AQ46" i="26"/>
  <c r="CI31" i="41"/>
  <c r="BF54" i="37"/>
  <c r="BY35" i="36"/>
  <c r="AQ14" i="1"/>
  <c r="AQ15" i="1" s="1"/>
  <c r="AJ72" i="1"/>
  <c r="AP31" i="1"/>
  <c r="CT93" i="39"/>
  <c r="Z22" i="38"/>
  <c r="X11" i="38"/>
  <c r="AJ22" i="38"/>
  <c r="AI38" i="38"/>
  <c r="AI14" i="1"/>
  <c r="DH49" i="36"/>
  <c r="Q98" i="36"/>
  <c r="I28" i="39"/>
  <c r="BP35" i="1"/>
  <c r="AG76" i="40"/>
  <c r="DA28" i="40"/>
  <c r="DA32" i="40" s="1"/>
  <c r="CR55" i="40"/>
  <c r="CF46" i="40"/>
  <c r="AN32" i="38"/>
  <c r="AH14" i="36"/>
  <c r="AH15" i="36" s="1"/>
  <c r="CV22" i="37"/>
  <c r="CC93" i="1"/>
  <c r="CX63" i="39"/>
  <c r="CY38" i="37"/>
  <c r="AI32" i="39"/>
  <c r="AW104" i="39"/>
  <c r="CP38" i="26"/>
  <c r="CB104" i="1"/>
  <c r="CO19" i="41"/>
  <c r="CE32" i="1"/>
  <c r="CR76" i="36"/>
  <c r="CB19" i="36"/>
  <c r="S24" i="60"/>
  <c r="AD47" i="60"/>
  <c r="CN14" i="38"/>
  <c r="CN15" i="38" s="1"/>
  <c r="AX72" i="39"/>
  <c r="AX76" i="25"/>
  <c r="CA38" i="37"/>
  <c r="CZ55" i="25"/>
  <c r="CV46" i="41"/>
  <c r="BO68" i="25"/>
  <c r="DH65" i="25"/>
  <c r="AN76" i="1"/>
  <c r="CZ35" i="1"/>
  <c r="CN68" i="36"/>
  <c r="CY35" i="38"/>
  <c r="AI68" i="38"/>
  <c r="BC68" i="38"/>
  <c r="O38" i="25"/>
  <c r="CQ19" i="1"/>
  <c r="AO22" i="40"/>
  <c r="CL82" i="36"/>
  <c r="AW14" i="26"/>
  <c r="AW15" i="26" s="1"/>
  <c r="P51" i="40"/>
  <c r="AW63" i="36"/>
  <c r="AE32" i="39"/>
  <c r="CT19" i="37"/>
  <c r="BY82" i="1"/>
  <c r="BA82" i="37"/>
  <c r="P68" i="26"/>
  <c r="M14" i="38"/>
  <c r="BV28" i="41"/>
  <c r="T55" i="25"/>
  <c r="AX14" i="38"/>
  <c r="I35" i="1"/>
  <c r="Q27" i="40"/>
  <c r="CI63" i="41"/>
  <c r="DC72" i="26"/>
  <c r="DD38" i="40"/>
  <c r="AJ28" i="40"/>
  <c r="AJ32" i="40" s="1"/>
  <c r="CU22" i="41"/>
  <c r="L72" i="41"/>
  <c r="BF60" i="39"/>
  <c r="AN63" i="40"/>
  <c r="N63" i="37"/>
  <c r="M93" i="37"/>
  <c r="M106" i="37" s="1"/>
  <c r="AE35" i="26"/>
  <c r="BP51" i="39"/>
  <c r="BJ89" i="25"/>
  <c r="DE35" i="39"/>
  <c r="BA35" i="1"/>
  <c r="W14" i="39"/>
  <c r="S72" i="26"/>
  <c r="CM51" i="37"/>
  <c r="CJ99" i="39"/>
  <c r="AN63" i="37"/>
  <c r="AV31" i="38"/>
  <c r="Y35" i="40"/>
  <c r="AE11" i="41"/>
  <c r="CP99" i="38"/>
  <c r="CH11" i="25"/>
  <c r="BR82" i="36"/>
  <c r="CG11" i="40"/>
  <c r="Q25" i="1"/>
  <c r="CZ46" i="39"/>
  <c r="AV14" i="26"/>
  <c r="AV15" i="26" s="1"/>
  <c r="P35" i="25"/>
  <c r="DF31" i="39"/>
  <c r="DF32" i="39" s="1"/>
  <c r="AC63" i="36"/>
  <c r="BV14" i="37"/>
  <c r="BV15" i="37" s="1"/>
  <c r="AQ35" i="36"/>
  <c r="CZ55" i="37"/>
  <c r="BC31" i="38"/>
  <c r="BV51" i="39"/>
  <c r="K22" i="39"/>
  <c r="AE93" i="36"/>
  <c r="BF49" i="36"/>
  <c r="BA82" i="1"/>
  <c r="AI31" i="1"/>
  <c r="BX99" i="1"/>
  <c r="CJ38" i="37"/>
  <c r="AI8" i="60"/>
  <c r="X54" i="60"/>
  <c r="Y93" i="26"/>
  <c r="CN38" i="37"/>
  <c r="DC38" i="40"/>
  <c r="AE33" i="60"/>
  <c r="BF66" i="40"/>
  <c r="AZ76" i="1"/>
  <c r="CK19" i="36"/>
  <c r="CH38" i="41"/>
  <c r="AV51" i="38"/>
  <c r="V93" i="26"/>
  <c r="BV76" i="40"/>
  <c r="Q37" i="36"/>
  <c r="G38" i="36"/>
  <c r="AH11" i="39"/>
  <c r="K14" i="26"/>
  <c r="K15" i="26" s="1"/>
  <c r="CK28" i="40"/>
  <c r="M104" i="39"/>
  <c r="BV72" i="37"/>
  <c r="CZ72" i="37"/>
  <c r="AS68" i="1"/>
  <c r="DD14" i="25"/>
  <c r="BI99" i="40"/>
  <c r="CP76" i="1"/>
  <c r="Q61" i="38"/>
  <c r="AU55" i="41"/>
  <c r="K28" i="37"/>
  <c r="CY63" i="26"/>
  <c r="AC46" i="25"/>
  <c r="J63" i="36"/>
  <c r="DD63" i="37"/>
  <c r="CE28" i="36"/>
  <c r="CE32" i="36" s="1"/>
  <c r="J68" i="40"/>
  <c r="AK27" i="40"/>
  <c r="BC63" i="36"/>
  <c r="CE93" i="36"/>
  <c r="CE106" i="36" s="1"/>
  <c r="S22" i="25"/>
  <c r="AK21" i="25"/>
  <c r="BB104" i="39"/>
  <c r="CM38" i="38"/>
  <c r="DE46" i="38"/>
  <c r="AW76" i="39"/>
  <c r="CX93" i="39"/>
  <c r="CX106" i="39" s="1"/>
  <c r="AE37" i="60"/>
  <c r="CX72" i="36"/>
  <c r="CV82" i="36"/>
  <c r="M19" i="41"/>
  <c r="DA82" i="37"/>
  <c r="AZ68" i="40"/>
  <c r="Q81" i="38"/>
  <c r="CH93" i="26"/>
  <c r="CA93" i="39"/>
  <c r="T55" i="26"/>
  <c r="W35" i="39"/>
  <c r="CM63" i="37"/>
  <c r="BF30" i="37"/>
  <c r="AZ82" i="25"/>
  <c r="AG76" i="1"/>
  <c r="AI19" i="37"/>
  <c r="DH71" i="40"/>
  <c r="BO72" i="40"/>
  <c r="AX51" i="36"/>
  <c r="L82" i="41"/>
  <c r="CS31" i="40"/>
  <c r="CS32" i="40" s="1"/>
  <c r="AG76" i="38"/>
  <c r="CC72" i="25"/>
  <c r="BF65" i="25"/>
  <c r="AM68" i="25"/>
  <c r="BO38" i="41"/>
  <c r="DH37" i="41"/>
  <c r="AH51" i="40"/>
  <c r="CN99" i="41"/>
  <c r="CZ28" i="25"/>
  <c r="W51" i="36"/>
  <c r="CU72" i="36"/>
  <c r="CO63" i="37"/>
  <c r="BF25" i="41"/>
  <c r="CF104" i="38"/>
  <c r="BV82" i="41"/>
  <c r="BY31" i="38"/>
  <c r="V93" i="38"/>
  <c r="AU14" i="39"/>
  <c r="AU15" i="39" s="1"/>
  <c r="V32" i="1"/>
  <c r="CX72" i="39"/>
  <c r="AC82" i="40"/>
  <c r="AH82" i="39"/>
  <c r="AW72" i="40"/>
  <c r="L11" i="38"/>
  <c r="V36" i="60"/>
  <c r="BW72" i="40"/>
  <c r="CY31" i="39"/>
  <c r="CW93" i="40"/>
  <c r="CX46" i="1"/>
  <c r="AD76" i="36"/>
  <c r="AI46" i="38"/>
  <c r="AK58" i="36"/>
  <c r="AO63" i="40"/>
  <c r="CN72" i="40"/>
  <c r="CW19" i="26"/>
  <c r="CR14" i="38"/>
  <c r="CR15" i="38" s="1"/>
  <c r="BA22" i="41"/>
  <c r="Z93" i="39"/>
  <c r="DB72" i="25"/>
  <c r="V22" i="37"/>
  <c r="BZ76" i="38"/>
  <c r="CJ14" i="38"/>
  <c r="CJ15" i="38" s="1"/>
  <c r="BH28" i="41"/>
  <c r="BJ28" i="41" s="1"/>
  <c r="BJ26" i="41"/>
  <c r="AH37" i="60"/>
  <c r="CF22" i="36"/>
  <c r="CN99" i="40"/>
  <c r="CQ104" i="25"/>
  <c r="CN35" i="41"/>
  <c r="X19" i="40"/>
  <c r="Y38" i="39"/>
  <c r="AG68" i="38"/>
  <c r="AO22" i="25"/>
  <c r="BQ28" i="41"/>
  <c r="Z48" i="60"/>
  <c r="AK49" i="60"/>
  <c r="AS82" i="38"/>
  <c r="CB51" i="39"/>
  <c r="CS72" i="36"/>
  <c r="BI11" i="41"/>
  <c r="S76" i="26"/>
  <c r="AK75" i="26"/>
  <c r="T14" i="41"/>
  <c r="CH28" i="1"/>
  <c r="CH32" i="1" s="1"/>
  <c r="W76" i="25"/>
  <c r="BT11" i="38"/>
  <c r="K55" i="39"/>
  <c r="BS35" i="41"/>
  <c r="BI99" i="1"/>
  <c r="L35" i="37"/>
  <c r="CW14" i="1"/>
  <c r="CW15" i="1" s="1"/>
  <c r="CS63" i="37"/>
  <c r="CT68" i="40"/>
  <c r="AU72" i="39"/>
  <c r="AJ82" i="40"/>
  <c r="J31" i="26"/>
  <c r="J32" i="26" s="1"/>
  <c r="DA31" i="41"/>
  <c r="V56" i="60"/>
  <c r="CB35" i="25"/>
  <c r="AG35" i="41"/>
  <c r="AE82" i="37"/>
  <c r="CW72" i="1"/>
  <c r="CV63" i="41"/>
  <c r="AK24" i="37"/>
  <c r="CY63" i="41"/>
  <c r="CM82" i="37"/>
  <c r="BQ68" i="1"/>
  <c r="BS14" i="37"/>
  <c r="CU51" i="37"/>
  <c r="BV72" i="26"/>
  <c r="BC76" i="38"/>
  <c r="Y22" i="1"/>
  <c r="AK54" i="41"/>
  <c r="AJ28" i="26"/>
  <c r="AJ32" i="26" s="1"/>
  <c r="DF93" i="41"/>
  <c r="DF106" i="41" s="1"/>
  <c r="BQ63" i="36"/>
  <c r="AP63" i="38"/>
  <c r="BF30" i="36"/>
  <c r="AX99" i="25"/>
  <c r="M93" i="39"/>
  <c r="CY28" i="26"/>
  <c r="CY32" i="26" s="1"/>
  <c r="AO55" i="41"/>
  <c r="CX22" i="41"/>
  <c r="AI63" i="36"/>
  <c r="AF28" i="41"/>
  <c r="AE76" i="38"/>
  <c r="CH14" i="38"/>
  <c r="CH15" i="38" s="1"/>
  <c r="K99" i="37"/>
  <c r="AG30" i="60"/>
  <c r="S82" i="38"/>
  <c r="AK79" i="38"/>
  <c r="CG63" i="37"/>
  <c r="BU99" i="25"/>
  <c r="BV11" i="25"/>
  <c r="AJ51" i="25"/>
  <c r="CO51" i="26"/>
  <c r="AI28" i="25"/>
  <c r="DC22" i="39"/>
  <c r="CK46" i="41"/>
  <c r="BT14" i="26"/>
  <c r="BZ28" i="39"/>
  <c r="BZ32" i="39" s="1"/>
  <c r="AN38" i="1"/>
  <c r="CL63" i="36"/>
  <c r="AP93" i="38"/>
  <c r="DF46" i="37"/>
  <c r="DF76" i="37"/>
  <c r="BZ19" i="36"/>
  <c r="J245" i="46"/>
  <c r="BR76" i="38"/>
  <c r="AP82" i="36"/>
  <c r="AK33" i="60"/>
  <c r="AY104" i="41"/>
  <c r="T76" i="1"/>
  <c r="Y18" i="60"/>
  <c r="BB51" i="37"/>
  <c r="AV55" i="26"/>
  <c r="CK93" i="39"/>
  <c r="O93" i="26"/>
  <c r="CM76" i="26"/>
  <c r="CN93" i="1"/>
  <c r="AZ38" i="36"/>
  <c r="AP22" i="37"/>
  <c r="CS46" i="26"/>
  <c r="CT35" i="37"/>
  <c r="CU35" i="25"/>
  <c r="BY51" i="26"/>
  <c r="BD28" i="26"/>
  <c r="Y28" i="41"/>
  <c r="CE38" i="38"/>
  <c r="BV76" i="41"/>
  <c r="AJ22" i="36"/>
  <c r="Q89" i="1"/>
  <c r="G93" i="1"/>
  <c r="CL46" i="26"/>
  <c r="BS14" i="38"/>
  <c r="BS15" i="38" s="1"/>
  <c r="CU82" i="1"/>
  <c r="AO104" i="40"/>
  <c r="DB63" i="26"/>
  <c r="P28" i="26"/>
  <c r="CV38" i="37"/>
  <c r="AE93" i="40"/>
  <c r="CZ31" i="25"/>
  <c r="K68" i="36"/>
  <c r="CC68" i="1"/>
  <c r="CM72" i="39"/>
  <c r="BZ31" i="26"/>
  <c r="CN99" i="36"/>
  <c r="BQ76" i="26"/>
  <c r="U22" i="26"/>
  <c r="K288" i="46"/>
  <c r="K299" i="46" s="1"/>
  <c r="CI14" i="1"/>
  <c r="CI15" i="1" s="1"/>
  <c r="M68" i="38"/>
  <c r="BD19" i="40"/>
  <c r="DC104" i="1"/>
  <c r="AY11" i="1"/>
  <c r="CG11" i="36"/>
  <c r="CD14" i="40"/>
  <c r="CD15" i="40" s="1"/>
  <c r="W21" i="60"/>
  <c r="CT76" i="37"/>
  <c r="AI63" i="41"/>
  <c r="BU99" i="26"/>
  <c r="AS55" i="41"/>
  <c r="BF60" i="26"/>
  <c r="DF63" i="40"/>
  <c r="U51" i="36"/>
  <c r="BT72" i="26"/>
  <c r="BX68" i="39"/>
  <c r="BX31" i="37"/>
  <c r="AF51" i="39"/>
  <c r="J72" i="1"/>
  <c r="AR35" i="37"/>
  <c r="CM104" i="37"/>
  <c r="BI63" i="41"/>
  <c r="BJ61" i="39"/>
  <c r="BJ24" i="1"/>
  <c r="AF31" i="41"/>
  <c r="BX22" i="25"/>
  <c r="AU38" i="39"/>
  <c r="CE72" i="41"/>
  <c r="CK63" i="1"/>
  <c r="T22" i="41"/>
  <c r="BE104" i="1"/>
  <c r="CW31" i="40"/>
  <c r="J76" i="1"/>
  <c r="Z51" i="26"/>
  <c r="AB31" i="41"/>
  <c r="AZ63" i="37"/>
  <c r="BS72" i="41"/>
  <c r="O63" i="25"/>
  <c r="CK35" i="1"/>
  <c r="DH30" i="38"/>
  <c r="CJ28" i="26"/>
  <c r="CJ32" i="26" s="1"/>
  <c r="G265" i="46"/>
  <c r="DH59" i="39"/>
  <c r="DH25" i="39"/>
  <c r="DH50" i="37"/>
  <c r="Q10" i="40"/>
  <c r="AQ72" i="41"/>
  <c r="CT104" i="41"/>
  <c r="BA38" i="1"/>
  <c r="BZ11" i="38"/>
  <c r="AO76" i="25"/>
  <c r="Y99" i="26"/>
  <c r="H51" i="39"/>
  <c r="BS35" i="1"/>
  <c r="BX31" i="25"/>
  <c r="BX32" i="25" s="1"/>
  <c r="AO28" i="40"/>
  <c r="K290" i="46"/>
  <c r="K301" i="46" s="1"/>
  <c r="DH60" i="40"/>
  <c r="DA104" i="41"/>
  <c r="CO55" i="41"/>
  <c r="BR11" i="37"/>
  <c r="K82" i="40"/>
  <c r="CB51" i="36"/>
  <c r="CM19" i="41"/>
  <c r="DD11" i="37"/>
  <c r="CY63" i="39"/>
  <c r="CP22" i="37"/>
  <c r="CA19" i="40"/>
  <c r="CA46" i="39"/>
  <c r="BT46" i="1"/>
  <c r="BC22" i="36"/>
  <c r="AG46" i="25"/>
  <c r="CO93" i="41"/>
  <c r="BB46" i="25"/>
  <c r="CC22" i="40"/>
  <c r="X63" i="39"/>
  <c r="CC31" i="41"/>
  <c r="CC32" i="41" s="1"/>
  <c r="AO51" i="1"/>
  <c r="BF59" i="39"/>
  <c r="Q62" i="37"/>
  <c r="BA99" i="1"/>
  <c r="AQ22" i="36"/>
  <c r="CA104" i="39"/>
  <c r="CI28" i="1"/>
  <c r="CW28" i="26"/>
  <c r="CU51" i="41"/>
  <c r="AJ76" i="37"/>
  <c r="J76" i="37"/>
  <c r="T38" i="26"/>
  <c r="AH46" i="39"/>
  <c r="AK79" i="36"/>
  <c r="S82" i="36"/>
  <c r="CK31" i="39"/>
  <c r="BO14" i="36"/>
  <c r="CY35" i="36"/>
  <c r="DC22" i="26"/>
  <c r="BY14" i="40"/>
  <c r="BY15" i="40" s="1"/>
  <c r="BR99" i="38"/>
  <c r="CH63" i="37"/>
  <c r="CG14" i="38"/>
  <c r="CG15" i="38" s="1"/>
  <c r="CG40" i="38" s="1"/>
  <c r="AW11" i="38"/>
  <c r="U55" i="41"/>
  <c r="CR22" i="25"/>
  <c r="AE63" i="25"/>
  <c r="BW68" i="25"/>
  <c r="BD76" i="41"/>
  <c r="CF72" i="37"/>
  <c r="CU82" i="39"/>
  <c r="DF38" i="39"/>
  <c r="CK68" i="41"/>
  <c r="Q10" i="37"/>
  <c r="Z35" i="25"/>
  <c r="S104" i="37"/>
  <c r="BA99" i="36"/>
  <c r="X55" i="1"/>
  <c r="CA32" i="40"/>
  <c r="AI72" i="25"/>
  <c r="AD68" i="39"/>
  <c r="CT46" i="41"/>
  <c r="AM63" i="26"/>
  <c r="BF57" i="26"/>
  <c r="CX14" i="36"/>
  <c r="DC93" i="38"/>
  <c r="DC106" i="38" s="1"/>
  <c r="CZ104" i="36"/>
  <c r="BZ35" i="36"/>
  <c r="L29" i="64"/>
  <c r="CA51" i="39"/>
  <c r="P31" i="26"/>
  <c r="AP76" i="41"/>
  <c r="DF72" i="39"/>
  <c r="BI68" i="39"/>
  <c r="BC46" i="38"/>
  <c r="CS11" i="38"/>
  <c r="AS19" i="37"/>
  <c r="BP51" i="25"/>
  <c r="BU93" i="1"/>
  <c r="CQ68" i="26"/>
  <c r="AX31" i="37"/>
  <c r="CX55" i="40"/>
  <c r="BH38" i="41"/>
  <c r="BJ38" i="41" s="1"/>
  <c r="BJ37" i="41"/>
  <c r="CM38" i="41"/>
  <c r="BH35" i="38"/>
  <c r="BJ34" i="38"/>
  <c r="BW104" i="40"/>
  <c r="DB19" i="36"/>
  <c r="CS14" i="41"/>
  <c r="AK58" i="25"/>
  <c r="AJ22" i="37"/>
  <c r="AC93" i="36"/>
  <c r="T14" i="40"/>
  <c r="Q81" i="25"/>
  <c r="DA22" i="41"/>
  <c r="CJ19" i="25"/>
  <c r="CR76" i="26"/>
  <c r="BW72" i="26"/>
  <c r="CY31" i="1"/>
  <c r="CV68" i="36"/>
  <c r="AY11" i="37"/>
  <c r="BQ63" i="38"/>
  <c r="AG46" i="26"/>
  <c r="AN93" i="25"/>
  <c r="AN14" i="36"/>
  <c r="AN15" i="36" s="1"/>
  <c r="CL51" i="1"/>
  <c r="AW68" i="40"/>
  <c r="AO51" i="36"/>
  <c r="V68" i="41"/>
  <c r="CZ28" i="40"/>
  <c r="AC14" i="26"/>
  <c r="CR51" i="36"/>
  <c r="BW19" i="38"/>
  <c r="AP19" i="41"/>
  <c r="W22" i="41"/>
  <c r="AT55" i="25"/>
  <c r="AK13" i="25"/>
  <c r="AA104" i="37"/>
  <c r="DF72" i="38"/>
  <c r="U68" i="25"/>
  <c r="CM76" i="40"/>
  <c r="AD22" i="40"/>
  <c r="AA28" i="1"/>
  <c r="AA32" i="1" s="1"/>
  <c r="AR104" i="1"/>
  <c r="W28" i="25"/>
  <c r="W32" i="25" s="1"/>
  <c r="CA22" i="38"/>
  <c r="AX22" i="39"/>
  <c r="AB51" i="25"/>
  <c r="CY82" i="40"/>
  <c r="T14" i="60"/>
  <c r="M14" i="36"/>
  <c r="M15" i="36" s="1"/>
  <c r="CW46" i="39"/>
  <c r="BU104" i="25"/>
  <c r="BX14" i="37"/>
  <c r="BJ89" i="41"/>
  <c r="BB22" i="39"/>
  <c r="AZ46" i="1"/>
  <c r="BZ82" i="36"/>
  <c r="CV99" i="25"/>
  <c r="BP72" i="40"/>
  <c r="DH61" i="37"/>
  <c r="BW93" i="41"/>
  <c r="BW106" i="41" s="1"/>
  <c r="BY46" i="25"/>
  <c r="H72" i="41"/>
  <c r="CK72" i="40"/>
  <c r="BE31" i="40"/>
  <c r="BE32" i="40" s="1"/>
  <c r="DD46" i="36"/>
  <c r="BF91" i="37"/>
  <c r="DH67" i="26"/>
  <c r="Q91" i="40"/>
  <c r="Z14" i="37"/>
  <c r="Z15" i="37" s="1"/>
  <c r="AO14" i="26"/>
  <c r="CN22" i="26"/>
  <c r="CU28" i="36"/>
  <c r="CH104" i="26"/>
  <c r="L68" i="25"/>
  <c r="CK99" i="40"/>
  <c r="CF93" i="25"/>
  <c r="CF106" i="25" s="1"/>
  <c r="BZ55" i="39"/>
  <c r="AC55" i="38"/>
  <c r="AU38" i="26"/>
  <c r="H104" i="25"/>
  <c r="I31" i="40"/>
  <c r="I32" i="40" s="1"/>
  <c r="BR28" i="37"/>
  <c r="BR32" i="37" s="1"/>
  <c r="BE82" i="40"/>
  <c r="BB28" i="40"/>
  <c r="BZ63" i="1"/>
  <c r="CH72" i="1"/>
  <c r="CW28" i="36"/>
  <c r="BU68" i="37"/>
  <c r="CF99" i="37"/>
  <c r="BJ30" i="37"/>
  <c r="AS35" i="39"/>
  <c r="BB32" i="39"/>
  <c r="BU104" i="1"/>
  <c r="I55" i="40"/>
  <c r="CZ99" i="38"/>
  <c r="CP31" i="39"/>
  <c r="Y22" i="38"/>
  <c r="BE11" i="40"/>
  <c r="K46" i="40"/>
  <c r="CO11" i="38"/>
  <c r="BT68" i="1"/>
  <c r="DC31" i="38"/>
  <c r="AB35" i="37"/>
  <c r="AJ93" i="36"/>
  <c r="BF60" i="37"/>
  <c r="BS22" i="40"/>
  <c r="AK61" i="36"/>
  <c r="BB99" i="26"/>
  <c r="AY82" i="39"/>
  <c r="BW51" i="41"/>
  <c r="AP14" i="1"/>
  <c r="AP15" i="1" s="1"/>
  <c r="BW46" i="25"/>
  <c r="BT51" i="26"/>
  <c r="L104" i="37"/>
  <c r="Q91" i="38"/>
  <c r="BS68" i="36"/>
  <c r="BO63" i="39"/>
  <c r="DH57" i="39"/>
  <c r="BT35" i="41"/>
  <c r="BW99" i="36"/>
  <c r="CE63" i="40"/>
  <c r="CE63" i="39"/>
  <c r="N38" i="41"/>
  <c r="AE51" i="41"/>
  <c r="DA63" i="39"/>
  <c r="AG19" i="39"/>
  <c r="BI46" i="41"/>
  <c r="S31" i="1"/>
  <c r="AK29" i="1"/>
  <c r="BU51" i="37"/>
  <c r="CI93" i="36"/>
  <c r="BZ68" i="39"/>
  <c r="O55" i="25"/>
  <c r="BX82" i="40"/>
  <c r="CW68" i="25"/>
  <c r="BR63" i="40"/>
  <c r="AG104" i="36"/>
  <c r="H38" i="38"/>
  <c r="AS38" i="41"/>
  <c r="CA38" i="25"/>
  <c r="BO31" i="1"/>
  <c r="DH29" i="1"/>
  <c r="BR19" i="41"/>
  <c r="BU55" i="41"/>
  <c r="AS14" i="38"/>
  <c r="AS15" i="38" s="1"/>
  <c r="BP99" i="36"/>
  <c r="O63" i="39"/>
  <c r="AP19" i="26"/>
  <c r="CX11" i="25"/>
  <c r="CX15" i="25" s="1"/>
  <c r="BE76" i="37"/>
  <c r="AW22" i="26"/>
  <c r="BZ11" i="25"/>
  <c r="CK104" i="37"/>
  <c r="AI31" i="40"/>
  <c r="AI32" i="40" s="1"/>
  <c r="CE51" i="40"/>
  <c r="BC14" i="25"/>
  <c r="BF18" i="40"/>
  <c r="AJ99" i="37"/>
  <c r="CH32" i="37"/>
  <c r="DE76" i="40"/>
  <c r="J223" i="46"/>
  <c r="CS82" i="36"/>
  <c r="L22" i="40"/>
  <c r="AS11" i="25"/>
  <c r="DH24" i="1"/>
  <c r="AQ19" i="37"/>
  <c r="BR68" i="1"/>
  <c r="BF60" i="1"/>
  <c r="G76" i="1"/>
  <c r="Q75" i="1"/>
  <c r="CZ82" i="39"/>
  <c r="CJ28" i="25"/>
  <c r="CJ32" i="25" s="1"/>
  <c r="BT68" i="40"/>
  <c r="CT38" i="41"/>
  <c r="L104" i="1"/>
  <c r="M76" i="37"/>
  <c r="P51" i="38"/>
  <c r="BX55" i="40"/>
  <c r="AA11" i="1"/>
  <c r="CZ31" i="1"/>
  <c r="U72" i="38"/>
  <c r="V46" i="36"/>
  <c r="BU55" i="39"/>
  <c r="S14" i="39"/>
  <c r="AK12" i="39"/>
  <c r="AW19" i="41"/>
  <c r="BR68" i="36"/>
  <c r="Q58" i="38"/>
  <c r="BL58" i="38" s="1"/>
  <c r="CP35" i="41"/>
  <c r="DD22" i="25"/>
  <c r="CF93" i="36"/>
  <c r="CF106" i="36" s="1"/>
  <c r="BC68" i="40"/>
  <c r="CY22" i="26"/>
  <c r="CR35" i="36"/>
  <c r="AV38" i="25"/>
  <c r="DD28" i="1"/>
  <c r="AF93" i="39"/>
  <c r="BY82" i="41"/>
  <c r="CD28" i="36"/>
  <c r="DH29" i="37"/>
  <c r="BO31" i="37"/>
  <c r="BU63" i="37"/>
  <c r="AY19" i="40"/>
  <c r="CJ19" i="37"/>
  <c r="AX19" i="25"/>
  <c r="DA68" i="37"/>
  <c r="S36" i="60"/>
  <c r="AN68" i="25"/>
  <c r="CY82" i="1"/>
  <c r="AN72" i="1"/>
  <c r="O55" i="1"/>
  <c r="DE38" i="25"/>
  <c r="CV68" i="38"/>
  <c r="AG72" i="40"/>
  <c r="AX11" i="38"/>
  <c r="AE22" i="1"/>
  <c r="CW99" i="39"/>
  <c r="BT51" i="1"/>
  <c r="BX46" i="1"/>
  <c r="DH21" i="26"/>
  <c r="BO22" i="26"/>
  <c r="AD19" i="37"/>
  <c r="AO14" i="37"/>
  <c r="AO15" i="37" s="1"/>
  <c r="DA46" i="1"/>
  <c r="CR31" i="41"/>
  <c r="H22" i="25"/>
  <c r="AF72" i="40"/>
  <c r="S38" i="36"/>
  <c r="AK37" i="36"/>
  <c r="H11" i="40"/>
  <c r="T28" i="60"/>
  <c r="AF72" i="36"/>
  <c r="BX93" i="25"/>
  <c r="T35" i="38"/>
  <c r="AT22" i="39"/>
  <c r="M35" i="37"/>
  <c r="AB93" i="40"/>
  <c r="AB106" i="40" s="1"/>
  <c r="AJ38" i="41"/>
  <c r="CR38" i="40"/>
  <c r="J288" i="46"/>
  <c r="J299" i="46" s="1"/>
  <c r="CD72" i="36"/>
  <c r="BX31" i="39"/>
  <c r="BZ31" i="36"/>
  <c r="DE72" i="38"/>
  <c r="AX28" i="41"/>
  <c r="AX32" i="41" s="1"/>
  <c r="BU63" i="40"/>
  <c r="CE31" i="40"/>
  <c r="BR55" i="41"/>
  <c r="CV22" i="26"/>
  <c r="CR51" i="1"/>
  <c r="BC51" i="41"/>
  <c r="CH93" i="36"/>
  <c r="CH106" i="36" s="1"/>
  <c r="CH28" i="26"/>
  <c r="O35" i="39"/>
  <c r="BT93" i="25"/>
  <c r="AZ38" i="1"/>
  <c r="BY93" i="1"/>
  <c r="O82" i="25"/>
  <c r="CC51" i="26"/>
  <c r="AJ28" i="1"/>
  <c r="AJ32" i="1" s="1"/>
  <c r="AY38" i="39"/>
  <c r="U68" i="40"/>
  <c r="S68" i="39"/>
  <c r="AK65" i="39"/>
  <c r="M99" i="39"/>
  <c r="CC46" i="41"/>
  <c r="AX82" i="26"/>
  <c r="CH35" i="37"/>
  <c r="AY22" i="26"/>
  <c r="AF55" i="41"/>
  <c r="CX28" i="38"/>
  <c r="CX32" i="38" s="1"/>
  <c r="M28" i="26"/>
  <c r="W22" i="40"/>
  <c r="BE11" i="39"/>
  <c r="CL46" i="40"/>
  <c r="Z76" i="38"/>
  <c r="BZ72" i="41"/>
  <c r="BZ104" i="37"/>
  <c r="AC76" i="37"/>
  <c r="BT31" i="41"/>
  <c r="W35" i="37"/>
  <c r="Q27" i="41"/>
  <c r="BL27" i="41" s="1"/>
  <c r="CV31" i="38"/>
  <c r="M93" i="41"/>
  <c r="M106" i="41" s="1"/>
  <c r="BD82" i="26"/>
  <c r="CR38" i="36"/>
  <c r="DH79" i="39"/>
  <c r="CR82" i="37"/>
  <c r="AA14" i="38"/>
  <c r="AA15" i="38" s="1"/>
  <c r="CE31" i="26"/>
  <c r="CE32" i="26" s="1"/>
  <c r="Q24" i="38"/>
  <c r="O28" i="41"/>
  <c r="T19" i="26"/>
  <c r="AG93" i="25"/>
  <c r="H82" i="25"/>
  <c r="Q27" i="37"/>
  <c r="AA31" i="26"/>
  <c r="CO19" i="39"/>
  <c r="DF14" i="1"/>
  <c r="CF63" i="1"/>
  <c r="AJ68" i="1"/>
  <c r="CG14" i="37"/>
  <c r="CG15" i="37" s="1"/>
  <c r="CI22" i="41"/>
  <c r="BX104" i="39"/>
  <c r="DB38" i="26"/>
  <c r="CC31" i="1"/>
  <c r="I51" i="26"/>
  <c r="X63" i="40"/>
  <c r="P82" i="1"/>
  <c r="BF89" i="1"/>
  <c r="AM93" i="1"/>
  <c r="CE38" i="25"/>
  <c r="CS19" i="36"/>
  <c r="BJ9" i="36"/>
  <c r="BH11" i="36"/>
  <c r="BJ11" i="36" s="1"/>
  <c r="CT63" i="1"/>
  <c r="N55" i="26"/>
  <c r="CW28" i="38"/>
  <c r="BW76" i="25"/>
  <c r="AR76" i="41"/>
  <c r="CA51" i="1"/>
  <c r="AJ26" i="60"/>
  <c r="CT22" i="37"/>
  <c r="AK34" i="40"/>
  <c r="S35" i="40"/>
  <c r="AS28" i="39"/>
  <c r="AS32" i="39" s="1"/>
  <c r="AG76" i="39"/>
  <c r="BU93" i="36"/>
  <c r="BT68" i="39"/>
  <c r="J82" i="38"/>
  <c r="AN46" i="41"/>
  <c r="H55" i="40"/>
  <c r="AB76" i="41"/>
  <c r="AT76" i="40"/>
  <c r="BZ32" i="37"/>
  <c r="BF109" i="47"/>
  <c r="DH59" i="40"/>
  <c r="BF29" i="39"/>
  <c r="AM31" i="39"/>
  <c r="CE22" i="39"/>
  <c r="AY82" i="1"/>
  <c r="AK26" i="25"/>
  <c r="S28" i="25"/>
  <c r="CF11" i="37"/>
  <c r="X55" i="36"/>
  <c r="DD19" i="25"/>
  <c r="CJ35" i="37"/>
  <c r="CL63" i="26"/>
  <c r="Y76" i="26"/>
  <c r="CP11" i="1"/>
  <c r="CQ22" i="38"/>
  <c r="AG104" i="40"/>
  <c r="BY63" i="26"/>
  <c r="CB82" i="40"/>
  <c r="AA68" i="37"/>
  <c r="AJ11" i="26"/>
  <c r="CE19" i="39"/>
  <c r="BW46" i="1"/>
  <c r="AK24" i="1"/>
  <c r="P51" i="26"/>
  <c r="BP22" i="38"/>
  <c r="DH18" i="25"/>
  <c r="Q91" i="37"/>
  <c r="CY51" i="40"/>
  <c r="CF99" i="38"/>
  <c r="CI51" i="37"/>
  <c r="CA35" i="25"/>
  <c r="AT46" i="25"/>
  <c r="Y22" i="25"/>
  <c r="AV93" i="38"/>
  <c r="DC82" i="25"/>
  <c r="CC22" i="38"/>
  <c r="X51" i="26"/>
  <c r="BE93" i="38"/>
  <c r="BE106" i="38" s="1"/>
  <c r="Q13" i="38"/>
  <c r="CN99" i="26"/>
  <c r="Y31" i="25"/>
  <c r="BJ59" i="1"/>
  <c r="DE22" i="39"/>
  <c r="CE104" i="37"/>
  <c r="CV104" i="41"/>
  <c r="AS82" i="37"/>
  <c r="BI35" i="25"/>
  <c r="DH29" i="26"/>
  <c r="BO31" i="26"/>
  <c r="CG72" i="26"/>
  <c r="CB35" i="36"/>
  <c r="BQ63" i="37"/>
  <c r="AV28" i="1"/>
  <c r="AV32" i="1" s="1"/>
  <c r="AH76" i="25"/>
  <c r="CW63" i="26"/>
  <c r="CJ104" i="38"/>
  <c r="O99" i="37"/>
  <c r="CU28" i="38"/>
  <c r="CU32" i="38" s="1"/>
  <c r="AW46" i="1"/>
  <c r="CW68" i="39"/>
  <c r="CX38" i="26"/>
  <c r="AB51" i="1"/>
  <c r="CS68" i="40"/>
  <c r="AW63" i="25"/>
  <c r="AE11" i="1"/>
  <c r="K63" i="37"/>
  <c r="CP93" i="39"/>
  <c r="CP106" i="39" s="1"/>
  <c r="AW99" i="1"/>
  <c r="H11" i="37"/>
  <c r="CO46" i="1"/>
  <c r="AN63" i="38"/>
  <c r="J68" i="46"/>
  <c r="K11" i="40"/>
  <c r="BW99" i="1"/>
  <c r="DE35" i="26"/>
  <c r="DC19" i="38"/>
  <c r="Z82" i="26"/>
  <c r="DB51" i="1"/>
  <c r="CW76" i="40"/>
  <c r="U93" i="38"/>
  <c r="AI14" i="39"/>
  <c r="CL46" i="39"/>
  <c r="AU46" i="25"/>
  <c r="T28" i="36"/>
  <c r="BR68" i="39"/>
  <c r="K72" i="40"/>
  <c r="BH104" i="1"/>
  <c r="BU93" i="39"/>
  <c r="CE46" i="25"/>
  <c r="AQ82" i="37"/>
  <c r="I46" i="41"/>
  <c r="CV22" i="36"/>
  <c r="DC11" i="39"/>
  <c r="DD51" i="37"/>
  <c r="K22" i="26"/>
  <c r="CM55" i="38"/>
  <c r="AM31" i="36"/>
  <c r="BF29" i="36"/>
  <c r="BC82" i="1"/>
  <c r="V72" i="41"/>
  <c r="DA76" i="25"/>
  <c r="O31" i="1"/>
  <c r="CE55" i="25"/>
  <c r="CN35" i="39"/>
  <c r="AZ93" i="26"/>
  <c r="CT93" i="26"/>
  <c r="H279" i="46"/>
  <c r="BB46" i="39"/>
  <c r="BT28" i="37"/>
  <c r="BT32" i="37" s="1"/>
  <c r="CI14" i="38"/>
  <c r="CI15" i="38" s="1"/>
  <c r="CL28" i="39"/>
  <c r="N93" i="26"/>
  <c r="BB22" i="40"/>
  <c r="I99" i="1"/>
  <c r="K68" i="40"/>
  <c r="AM51" i="40"/>
  <c r="BF48" i="40"/>
  <c r="DD51" i="26"/>
  <c r="CA68" i="39"/>
  <c r="AN35" i="1"/>
  <c r="BJ62" i="36"/>
  <c r="J31" i="40"/>
  <c r="DA46" i="39"/>
  <c r="BC93" i="36"/>
  <c r="BC106" i="36" s="1"/>
  <c r="BS99" i="26"/>
  <c r="CP76" i="41"/>
  <c r="CO14" i="1"/>
  <c r="AU19" i="41"/>
  <c r="DB22" i="26"/>
  <c r="AW104" i="40"/>
  <c r="BX46" i="26"/>
  <c r="AY32" i="36"/>
  <c r="BA22" i="26"/>
  <c r="AZ32" i="39"/>
  <c r="CG99" i="40"/>
  <c r="AF55" i="26"/>
  <c r="BY46" i="1"/>
  <c r="AL22" i="60"/>
  <c r="CX63" i="1"/>
  <c r="AS99" i="38"/>
  <c r="CY68" i="37"/>
  <c r="AC68" i="1"/>
  <c r="DF19" i="1"/>
  <c r="CO63" i="26"/>
  <c r="BB63" i="38"/>
  <c r="DH49" i="37"/>
  <c r="CU14" i="37"/>
  <c r="CU15" i="37" s="1"/>
  <c r="O14" i="26"/>
  <c r="O15" i="26" s="1"/>
  <c r="BU31" i="37"/>
  <c r="BW93" i="40"/>
  <c r="X55" i="41"/>
  <c r="CR46" i="38"/>
  <c r="V19" i="1"/>
  <c r="CS19" i="39"/>
  <c r="CT22" i="39"/>
  <c r="BD72" i="1"/>
  <c r="AV68" i="36"/>
  <c r="BV82" i="36"/>
  <c r="AX19" i="39"/>
  <c r="P68" i="25"/>
  <c r="BF67" i="40"/>
  <c r="BY19" i="39"/>
  <c r="AQ38" i="39"/>
  <c r="AD35" i="1"/>
  <c r="CE93" i="1"/>
  <c r="AH72" i="38"/>
  <c r="H35" i="41"/>
  <c r="M51" i="41"/>
  <c r="J14" i="25"/>
  <c r="DH75" i="26"/>
  <c r="BO76" i="26"/>
  <c r="AW46" i="38"/>
  <c r="AN14" i="39"/>
  <c r="CL68" i="36"/>
  <c r="CH68" i="1"/>
  <c r="AV22" i="25"/>
  <c r="AT28" i="1"/>
  <c r="AG14" i="41"/>
  <c r="AG15" i="41" s="1"/>
  <c r="CQ93" i="40"/>
  <c r="AN68" i="37"/>
  <c r="K82" i="39"/>
  <c r="CO68" i="36"/>
  <c r="CX31" i="1"/>
  <c r="CN31" i="26"/>
  <c r="CH104" i="39"/>
  <c r="AO82" i="40"/>
  <c r="CW22" i="25"/>
  <c r="BB28" i="37"/>
  <c r="CC14" i="40"/>
  <c r="CC15" i="40" s="1"/>
  <c r="Z11" i="25"/>
  <c r="CP72" i="25"/>
  <c r="CX11" i="39"/>
  <c r="K93" i="36"/>
  <c r="K106" i="36" s="1"/>
  <c r="Y31" i="26"/>
  <c r="CM104" i="25"/>
  <c r="AP104" i="1"/>
  <c r="BT55" i="36"/>
  <c r="BR11" i="38"/>
  <c r="AK27" i="26"/>
  <c r="N290" i="46"/>
  <c r="N301" i="46" s="1"/>
  <c r="AT14" i="37"/>
  <c r="AT15" i="37" s="1"/>
  <c r="CM99" i="39"/>
  <c r="BI68" i="41"/>
  <c r="AZ22" i="39"/>
  <c r="I291" i="46"/>
  <c r="I302" i="46" s="1"/>
  <c r="AV99" i="26"/>
  <c r="J28" i="40"/>
  <c r="BD31" i="25"/>
  <c r="BY11" i="37"/>
  <c r="H46" i="25"/>
  <c r="BD51" i="36"/>
  <c r="BA76" i="1"/>
  <c r="K11" i="37"/>
  <c r="CJ55" i="38"/>
  <c r="AF11" i="39"/>
  <c r="CL22" i="26"/>
  <c r="AT11" i="38"/>
  <c r="AP51" i="36"/>
  <c r="DC72" i="41"/>
  <c r="DF31" i="38"/>
  <c r="DF32" i="38" s="1"/>
  <c r="Z68" i="41"/>
  <c r="AX104" i="37"/>
  <c r="S68" i="26"/>
  <c r="AK65" i="26"/>
  <c r="CT93" i="37"/>
  <c r="U19" i="41"/>
  <c r="AU82" i="25"/>
  <c r="CZ99" i="37"/>
  <c r="AC32" i="39"/>
  <c r="CW28" i="25"/>
  <c r="CO82" i="26"/>
  <c r="AD11" i="26"/>
  <c r="DH25" i="36"/>
  <c r="AB38" i="1"/>
  <c r="AR63" i="40"/>
  <c r="CB68" i="36"/>
  <c r="CP22" i="39"/>
  <c r="AQ31" i="38"/>
  <c r="AD55" i="26"/>
  <c r="AG51" i="36"/>
  <c r="M72" i="41"/>
  <c r="BV28" i="38"/>
  <c r="BV32" i="38" s="1"/>
  <c r="BV31" i="1"/>
  <c r="BV32" i="1" s="1"/>
  <c r="CI38" i="41"/>
  <c r="CI46" i="25"/>
  <c r="BX82" i="38"/>
  <c r="CV14" i="40"/>
  <c r="CV15" i="40" s="1"/>
  <c r="BW22" i="38"/>
  <c r="CQ31" i="26"/>
  <c r="CQ32" i="26" s="1"/>
  <c r="AT19" i="39"/>
  <c r="CS46" i="39"/>
  <c r="AX72" i="25"/>
  <c r="N82" i="40"/>
  <c r="DA28" i="1"/>
  <c r="CE11" i="38"/>
  <c r="AK57" i="25"/>
  <c r="S63" i="25"/>
  <c r="AT11" i="26"/>
  <c r="BB19" i="37"/>
  <c r="BI19" i="40"/>
  <c r="BJ19" i="40" s="1"/>
  <c r="AE22" i="26"/>
  <c r="AD63" i="38"/>
  <c r="AU93" i="38"/>
  <c r="AP28" i="39"/>
  <c r="AM104" i="39"/>
  <c r="BF102" i="39"/>
  <c r="BC55" i="36"/>
  <c r="AO99" i="39"/>
  <c r="AZ19" i="39"/>
  <c r="AG55" i="41"/>
  <c r="CP35" i="25"/>
  <c r="AE35" i="1"/>
  <c r="O68" i="40"/>
  <c r="AK30" i="60"/>
  <c r="CJ28" i="40"/>
  <c r="CJ32" i="40" s="1"/>
  <c r="CO82" i="36"/>
  <c r="CV35" i="25"/>
  <c r="W42" i="60"/>
  <c r="AK21" i="40"/>
  <c r="S22" i="40"/>
  <c r="BF91" i="26"/>
  <c r="CF72" i="36"/>
  <c r="BU46" i="1"/>
  <c r="CT99" i="39"/>
  <c r="BC14" i="39"/>
  <c r="Q29" i="41"/>
  <c r="G31" i="41"/>
  <c r="CC51" i="36"/>
  <c r="Z28" i="40"/>
  <c r="Z32" i="40" s="1"/>
  <c r="BY55" i="39"/>
  <c r="AC19" i="26"/>
  <c r="CC68" i="39"/>
  <c r="CV93" i="39"/>
  <c r="X68" i="39"/>
  <c r="BF54" i="26"/>
  <c r="CL68" i="38"/>
  <c r="L76" i="26"/>
  <c r="AB38" i="39"/>
  <c r="AY82" i="36"/>
  <c r="BB76" i="41"/>
  <c r="BQ22" i="39"/>
  <c r="AK62" i="39"/>
  <c r="AQ99" i="1"/>
  <c r="AM46" i="25"/>
  <c r="BF45" i="25"/>
  <c r="H72" i="39"/>
  <c r="N93" i="38"/>
  <c r="N106" i="38" s="1"/>
  <c r="CK28" i="37"/>
  <c r="AI63" i="25"/>
  <c r="CU63" i="41"/>
  <c r="CZ22" i="40"/>
  <c r="S35" i="37"/>
  <c r="AK34" i="37"/>
  <c r="AA55" i="26"/>
  <c r="N72" i="38"/>
  <c r="P82" i="39"/>
  <c r="DC63" i="39"/>
  <c r="K46" i="25"/>
  <c r="BB11" i="39"/>
  <c r="BB15" i="39" s="1"/>
  <c r="AV68" i="1"/>
  <c r="CU63" i="36"/>
  <c r="BB11" i="26"/>
  <c r="CZ76" i="39"/>
  <c r="CH93" i="25"/>
  <c r="DA68" i="39"/>
  <c r="DD11" i="41"/>
  <c r="CT82" i="37"/>
  <c r="AS11" i="36"/>
  <c r="AB14" i="1"/>
  <c r="AY38" i="40"/>
  <c r="L76" i="38"/>
  <c r="CK104" i="25"/>
  <c r="AN31" i="40"/>
  <c r="AN32" i="40" s="1"/>
  <c r="CH22" i="1"/>
  <c r="CZ46" i="26"/>
  <c r="CC72" i="40"/>
  <c r="L35" i="1"/>
  <c r="CP19" i="36"/>
  <c r="AA51" i="25"/>
  <c r="BV28" i="36"/>
  <c r="BV32" i="36" s="1"/>
  <c r="BD72" i="37"/>
  <c r="BQ99" i="1"/>
  <c r="CR19" i="41"/>
  <c r="CO14" i="41"/>
  <c r="BX99" i="37"/>
  <c r="DF46" i="40"/>
  <c r="BX63" i="26"/>
  <c r="BI72" i="39"/>
  <c r="BB55" i="26"/>
  <c r="N93" i="1"/>
  <c r="CW51" i="36"/>
  <c r="CG14" i="39"/>
  <c r="X19" i="36"/>
  <c r="BE97" i="38"/>
  <c r="BF97" i="38" s="1"/>
  <c r="BB46" i="41"/>
  <c r="BO14" i="38"/>
  <c r="M28" i="36"/>
  <c r="Q67" i="40"/>
  <c r="I72" i="36"/>
  <c r="BX11" i="37"/>
  <c r="AW93" i="40"/>
  <c r="CR99" i="39"/>
  <c r="AF49" i="60"/>
  <c r="U48" i="60"/>
  <c r="BY19" i="40"/>
  <c r="CR14" i="37"/>
  <c r="CR15" i="37" s="1"/>
  <c r="DH62" i="1"/>
  <c r="AU14" i="25"/>
  <c r="AH11" i="25"/>
  <c r="AH15" i="25" s="1"/>
  <c r="BC55" i="40"/>
  <c r="BR76" i="25"/>
  <c r="DH71" i="1"/>
  <c r="BO72" i="1"/>
  <c r="CA14" i="25"/>
  <c r="CA15" i="25" s="1"/>
  <c r="CP28" i="1"/>
  <c r="CP32" i="1" s="1"/>
  <c r="BD99" i="41"/>
  <c r="CI93" i="39"/>
  <c r="AW51" i="25"/>
  <c r="DE19" i="25"/>
  <c r="BE55" i="39"/>
  <c r="BU51" i="36"/>
  <c r="AW14" i="36"/>
  <c r="AW15" i="36" s="1"/>
  <c r="CK99" i="26"/>
  <c r="DF19" i="40"/>
  <c r="BU104" i="41"/>
  <c r="BV72" i="39"/>
  <c r="AE82" i="38"/>
  <c r="T76" i="25"/>
  <c r="L55" i="1"/>
  <c r="AJ19" i="38"/>
  <c r="CS38" i="1"/>
  <c r="K28" i="41"/>
  <c r="K32" i="41" s="1"/>
  <c r="AW55" i="38"/>
  <c r="J104" i="37"/>
  <c r="BS22" i="39"/>
  <c r="DH17" i="36"/>
  <c r="BO19" i="36"/>
  <c r="CU46" i="26"/>
  <c r="BB76" i="26"/>
  <c r="CK11" i="39"/>
  <c r="CI11" i="40"/>
  <c r="DC76" i="26"/>
  <c r="Z38" i="25"/>
  <c r="CV46" i="36"/>
  <c r="BR22" i="39"/>
  <c r="BX51" i="38"/>
  <c r="Y28" i="26"/>
  <c r="BV32" i="41"/>
  <c r="U38" i="38"/>
  <c r="AI104" i="36"/>
  <c r="CK22" i="25"/>
  <c r="BS76" i="39"/>
  <c r="AW11" i="37"/>
  <c r="T35" i="39"/>
  <c r="DH25" i="37"/>
  <c r="CB31" i="26"/>
  <c r="I38" i="1"/>
  <c r="CC93" i="26"/>
  <c r="CC106" i="26" s="1"/>
  <c r="CB38" i="25"/>
  <c r="BA19" i="39"/>
  <c r="X68" i="25"/>
  <c r="CQ22" i="40"/>
  <c r="CO31" i="25"/>
  <c r="K46" i="36"/>
  <c r="DE82" i="39"/>
  <c r="AZ68" i="38"/>
  <c r="CX35" i="26"/>
  <c r="BF81" i="39"/>
  <c r="M104" i="1"/>
  <c r="M106" i="1" s="1"/>
  <c r="AK58" i="40"/>
  <c r="J82" i="36"/>
  <c r="CX104" i="38"/>
  <c r="CI68" i="38"/>
  <c r="W43" i="60"/>
  <c r="BQ31" i="39"/>
  <c r="AY32" i="41"/>
  <c r="S39" i="60"/>
  <c r="DA55" i="37"/>
  <c r="AZ55" i="38"/>
  <c r="BC28" i="36"/>
  <c r="BC32" i="36" s="1"/>
  <c r="BZ19" i="25"/>
  <c r="BD55" i="40"/>
  <c r="BZ46" i="25"/>
  <c r="DD31" i="1"/>
  <c r="DF93" i="26"/>
  <c r="DF106" i="26" s="1"/>
  <c r="BR31" i="40"/>
  <c r="BU55" i="36"/>
  <c r="P104" i="36"/>
  <c r="T46" i="37"/>
  <c r="AZ99" i="36"/>
  <c r="AI104" i="1"/>
  <c r="CB51" i="26"/>
  <c r="AX28" i="37"/>
  <c r="AX32" i="37" s="1"/>
  <c r="BJ30" i="41"/>
  <c r="Q13" i="1"/>
  <c r="BL13" i="1" s="1"/>
  <c r="CE55" i="39"/>
  <c r="AQ14" i="37"/>
  <c r="AQ15" i="37" s="1"/>
  <c r="CU51" i="26"/>
  <c r="AZ99" i="38"/>
  <c r="BJ54" i="25"/>
  <c r="BI22" i="41"/>
  <c r="AP51" i="25"/>
  <c r="CL22" i="1"/>
  <c r="AT72" i="36"/>
  <c r="DD22" i="1"/>
  <c r="AK49" i="1"/>
  <c r="CE99" i="38"/>
  <c r="AK26" i="26"/>
  <c r="S28" i="26"/>
  <c r="BC19" i="41"/>
  <c r="X93" i="39"/>
  <c r="Q59" i="39"/>
  <c r="CB14" i="26"/>
  <c r="AF63" i="40"/>
  <c r="BY99" i="26"/>
  <c r="CC38" i="38"/>
  <c r="AF31" i="38"/>
  <c r="AF32" i="38" s="1"/>
  <c r="P93" i="37"/>
  <c r="BA55" i="39"/>
  <c r="BI46" i="1"/>
  <c r="CE32" i="25"/>
  <c r="AF11" i="36"/>
  <c r="M31" i="36"/>
  <c r="BY76" i="39"/>
  <c r="CD19" i="26"/>
  <c r="AY35" i="25"/>
  <c r="K51" i="26"/>
  <c r="BA72" i="26"/>
  <c r="X11" i="41"/>
  <c r="CN93" i="39"/>
  <c r="CN106" i="39" s="1"/>
  <c r="BY31" i="39"/>
  <c r="BY35" i="39"/>
  <c r="BA82" i="39"/>
  <c r="CG38" i="36"/>
  <c r="CQ76" i="41"/>
  <c r="AN28" i="36"/>
  <c r="CV99" i="38"/>
  <c r="M51" i="26"/>
  <c r="AU38" i="36"/>
  <c r="AZ76" i="41"/>
  <c r="AU68" i="40"/>
  <c r="BQ38" i="41"/>
  <c r="AM93" i="26"/>
  <c r="BF89" i="26"/>
  <c r="AD93" i="38"/>
  <c r="I22" i="36"/>
  <c r="DB38" i="25"/>
  <c r="AM11" i="41"/>
  <c r="M63" i="25"/>
  <c r="Q34" i="40"/>
  <c r="G35" i="40"/>
  <c r="CS35" i="36"/>
  <c r="BF18" i="1"/>
  <c r="AV38" i="1"/>
  <c r="AG82" i="37"/>
  <c r="V46" i="25"/>
  <c r="BQ72" i="37"/>
  <c r="CZ35" i="41"/>
  <c r="BA99" i="41"/>
  <c r="I51" i="36"/>
  <c r="BU76" i="40"/>
  <c r="AS28" i="36"/>
  <c r="AS32" i="36" s="1"/>
  <c r="X6" i="60"/>
  <c r="CC104" i="40"/>
  <c r="L51" i="38"/>
  <c r="I265" i="46"/>
  <c r="CL22" i="25"/>
  <c r="CH46" i="25"/>
  <c r="DF72" i="37"/>
  <c r="BZ76" i="37"/>
  <c r="DD35" i="40"/>
  <c r="CB38" i="39"/>
  <c r="BA22" i="36"/>
  <c r="CK22" i="1"/>
  <c r="DH59" i="41"/>
  <c r="DE19" i="37"/>
  <c r="CM82" i="40"/>
  <c r="T76" i="39"/>
  <c r="DC82" i="36"/>
  <c r="AE76" i="41"/>
  <c r="CN22" i="41"/>
  <c r="CN19" i="25"/>
  <c r="CD22" i="38"/>
  <c r="DF99" i="26"/>
  <c r="AJ99" i="36"/>
  <c r="CT38" i="38"/>
  <c r="CS51" i="41"/>
  <c r="BS63" i="36"/>
  <c r="CA76" i="38"/>
  <c r="BT99" i="39"/>
  <c r="BF96" i="38"/>
  <c r="AM99" i="38"/>
  <c r="CY46" i="36"/>
  <c r="AT14" i="38"/>
  <c r="AT15" i="38" s="1"/>
  <c r="CM19" i="39"/>
  <c r="CA28" i="37"/>
  <c r="CA32" i="37" s="1"/>
  <c r="BU22" i="40"/>
  <c r="DB104" i="26"/>
  <c r="AW28" i="40"/>
  <c r="CV35" i="26"/>
  <c r="P38" i="41"/>
  <c r="AR22" i="26"/>
  <c r="AZ14" i="37"/>
  <c r="BI68" i="36"/>
  <c r="DE38" i="37"/>
  <c r="AN11" i="25"/>
  <c r="AX35" i="25"/>
  <c r="AR31" i="41"/>
  <c r="CX35" i="39"/>
  <c r="X56" i="60"/>
  <c r="AR104" i="37"/>
  <c r="BW51" i="38"/>
  <c r="AK59" i="36"/>
  <c r="CR99" i="41"/>
  <c r="AN28" i="1"/>
  <c r="AN32" i="1" s="1"/>
  <c r="AD11" i="39"/>
  <c r="BS22" i="36"/>
  <c r="I289" i="46"/>
  <c r="I300" i="46" s="1"/>
  <c r="AJ11" i="40"/>
  <c r="AB76" i="1"/>
  <c r="AV76" i="26"/>
  <c r="AO72" i="36"/>
  <c r="BB55" i="39"/>
  <c r="U72" i="25"/>
  <c r="CY55" i="26"/>
  <c r="CZ76" i="38"/>
  <c r="M28" i="41"/>
  <c r="CM14" i="26"/>
  <c r="CM15" i="26" s="1"/>
  <c r="DD11" i="39"/>
  <c r="CR55" i="25"/>
  <c r="AX76" i="39"/>
  <c r="Z76" i="40"/>
  <c r="H72" i="26"/>
  <c r="BB28" i="1"/>
  <c r="BB32" i="1" s="1"/>
  <c r="AU72" i="36"/>
  <c r="AK62" i="38"/>
  <c r="J19" i="40"/>
  <c r="AB93" i="1"/>
  <c r="AB106" i="1" s="1"/>
  <c r="CK28" i="38"/>
  <c r="CK32" i="38" s="1"/>
  <c r="BF48" i="41"/>
  <c r="AM51" i="41"/>
  <c r="CW46" i="26"/>
  <c r="AW99" i="40"/>
  <c r="BE97" i="41"/>
  <c r="BF97" i="41" s="1"/>
  <c r="BE14" i="26"/>
  <c r="BE15" i="26" s="1"/>
  <c r="CN38" i="1"/>
  <c r="AA63" i="26"/>
  <c r="T35" i="25"/>
  <c r="CZ76" i="26"/>
  <c r="AT93" i="36"/>
  <c r="CG68" i="1"/>
  <c r="CN22" i="36"/>
  <c r="I76" i="38"/>
  <c r="CB72" i="26"/>
  <c r="AY38" i="37"/>
  <c r="BW63" i="37"/>
  <c r="Z31" i="1"/>
  <c r="Z32" i="1" s="1"/>
  <c r="AR38" i="26"/>
  <c r="CI72" i="40"/>
  <c r="BF12" i="39"/>
  <c r="AM14" i="39"/>
  <c r="DE32" i="36"/>
  <c r="AI46" i="39"/>
  <c r="AG51" i="26"/>
  <c r="CI76" i="26"/>
  <c r="DA104" i="37"/>
  <c r="BB76" i="1"/>
  <c r="AZ28" i="38"/>
  <c r="AO35" i="41"/>
  <c r="AW68" i="41"/>
  <c r="DH62" i="25"/>
  <c r="O31" i="25"/>
  <c r="V19" i="40"/>
  <c r="AZ99" i="26"/>
  <c r="L63" i="25"/>
  <c r="O19" i="26"/>
  <c r="CI46" i="37"/>
  <c r="BD72" i="41"/>
  <c r="AY14" i="26"/>
  <c r="AY15" i="26" s="1"/>
  <c r="CK28" i="25"/>
  <c r="Y93" i="25"/>
  <c r="CP76" i="26"/>
  <c r="CT93" i="38"/>
  <c r="BF81" i="36"/>
  <c r="V63" i="1"/>
  <c r="DF51" i="37"/>
  <c r="BH104" i="37"/>
  <c r="BB38" i="39"/>
  <c r="Y46" i="25"/>
  <c r="BF59" i="26"/>
  <c r="Q58" i="26"/>
  <c r="AV46" i="39"/>
  <c r="CZ19" i="38"/>
  <c r="AT11" i="1"/>
  <c r="CZ38" i="40"/>
  <c r="DF35" i="26"/>
  <c r="BZ55" i="38"/>
  <c r="S93" i="1"/>
  <c r="AK89" i="1"/>
  <c r="AC35" i="36"/>
  <c r="CZ19" i="36"/>
  <c r="BI63" i="40"/>
  <c r="AV14" i="39"/>
  <c r="AV15" i="39" s="1"/>
  <c r="BR28" i="38"/>
  <c r="AJ31" i="41"/>
  <c r="AJ32" i="41" s="1"/>
  <c r="AY63" i="25"/>
  <c r="AJ55" i="36"/>
  <c r="AU76" i="36"/>
  <c r="Y76" i="37"/>
  <c r="AW93" i="26"/>
  <c r="BY22" i="37"/>
  <c r="BO38" i="40"/>
  <c r="DH37" i="40"/>
  <c r="CH99" i="40"/>
  <c r="BT14" i="41"/>
  <c r="BT15" i="41" s="1"/>
  <c r="AF28" i="25"/>
  <c r="AF32" i="25" s="1"/>
  <c r="DB46" i="37"/>
  <c r="H76" i="26"/>
  <c r="CD55" i="41"/>
  <c r="AG72" i="39"/>
  <c r="AU63" i="1"/>
  <c r="U31" i="1"/>
  <c r="CT55" i="39"/>
  <c r="CP22" i="41"/>
  <c r="BX63" i="41"/>
  <c r="AB63" i="39"/>
  <c r="CV93" i="38"/>
  <c r="CE38" i="1"/>
  <c r="BT11" i="36"/>
  <c r="BT15" i="36" s="1"/>
  <c r="AR28" i="40"/>
  <c r="AR32" i="40" s="1"/>
  <c r="BZ46" i="36"/>
  <c r="AO14" i="25"/>
  <c r="AO15" i="25" s="1"/>
  <c r="AB82" i="40"/>
  <c r="CT68" i="26"/>
  <c r="CD11" i="25"/>
  <c r="CI72" i="1"/>
  <c r="AZ104" i="39"/>
  <c r="Q79" i="38"/>
  <c r="G82" i="38"/>
  <c r="CJ11" i="39"/>
  <c r="CJ15" i="39" s="1"/>
  <c r="AJ72" i="38"/>
  <c r="CL28" i="38"/>
  <c r="CL32" i="38" s="1"/>
  <c r="BD68" i="1"/>
  <c r="AK12" i="25"/>
  <c r="S14" i="25"/>
  <c r="S46" i="1"/>
  <c r="BY38" i="36"/>
  <c r="L82" i="37"/>
  <c r="CO68" i="37"/>
  <c r="AJ31" i="25"/>
  <c r="AJ32" i="25" s="1"/>
  <c r="AU63" i="36"/>
  <c r="G46" i="38"/>
  <c r="Q45" i="38"/>
  <c r="AS93" i="25"/>
  <c r="S51" i="25"/>
  <c r="AK48" i="25"/>
  <c r="J22" i="26"/>
  <c r="DB35" i="25"/>
  <c r="AG38" i="41"/>
  <c r="BQ22" i="26"/>
  <c r="DB14" i="38"/>
  <c r="DB15" i="38" s="1"/>
  <c r="DB40" i="38" s="1"/>
  <c r="DE104" i="1"/>
  <c r="CC93" i="37"/>
  <c r="CC106" i="37" s="1"/>
  <c r="N51" i="41"/>
  <c r="CO63" i="36"/>
  <c r="BE38" i="25"/>
  <c r="AN72" i="40"/>
  <c r="DH18" i="38"/>
  <c r="AR68" i="40"/>
  <c r="AW76" i="41"/>
  <c r="BB38" i="37"/>
  <c r="K35" i="25"/>
  <c r="CH28" i="25"/>
  <c r="CH32" i="25" s="1"/>
  <c r="BV22" i="37"/>
  <c r="BW72" i="37"/>
  <c r="BQ14" i="25"/>
  <c r="CG38" i="39"/>
  <c r="BB31" i="38"/>
  <c r="AE22" i="37"/>
  <c r="O104" i="36"/>
  <c r="AW82" i="40"/>
  <c r="AU19" i="39"/>
  <c r="BO35" i="25"/>
  <c r="DH34" i="25"/>
  <c r="BJ59" i="38"/>
  <c r="AH11" i="26"/>
  <c r="BT82" i="1"/>
  <c r="CW68" i="1"/>
  <c r="CM72" i="37"/>
  <c r="CN76" i="25"/>
  <c r="CK38" i="38"/>
  <c r="AQ46" i="40"/>
  <c r="AA99" i="1"/>
  <c r="BY51" i="1"/>
  <c r="AR11" i="36"/>
  <c r="AK30" i="40"/>
  <c r="BT46" i="39"/>
  <c r="BE46" i="41"/>
  <c r="CV63" i="38"/>
  <c r="W76" i="40"/>
  <c r="AC93" i="38"/>
  <c r="AS68" i="37"/>
  <c r="AW93" i="36"/>
  <c r="AW106" i="36" s="1"/>
  <c r="H51" i="36"/>
  <c r="BP14" i="37"/>
  <c r="BV35" i="26"/>
  <c r="DB93" i="40"/>
  <c r="AJ51" i="40"/>
  <c r="AK54" i="1"/>
  <c r="CO19" i="40"/>
  <c r="I76" i="41"/>
  <c r="AT28" i="25"/>
  <c r="AT32" i="25" s="1"/>
  <c r="AR11" i="37"/>
  <c r="CZ68" i="41"/>
  <c r="S76" i="40"/>
  <c r="AK75" i="40"/>
  <c r="AB93" i="39"/>
  <c r="BP76" i="26"/>
  <c r="AF93" i="37"/>
  <c r="CH72" i="25"/>
  <c r="S14" i="36"/>
  <c r="AK12" i="36"/>
  <c r="DC51" i="37"/>
  <c r="CJ22" i="41"/>
  <c r="BI19" i="1"/>
  <c r="BJ19" i="1" s="1"/>
  <c r="AP82" i="40"/>
  <c r="AP14" i="40"/>
  <c r="AC68" i="26"/>
  <c r="AA104" i="38"/>
  <c r="BA93" i="36"/>
  <c r="BA106" i="36" s="1"/>
  <c r="L31" i="41"/>
  <c r="BJ75" i="39"/>
  <c r="BH76" i="39"/>
  <c r="CE11" i="25"/>
  <c r="CE15" i="25" s="1"/>
  <c r="S51" i="1"/>
  <c r="AK48" i="1"/>
  <c r="DC28" i="26"/>
  <c r="BE76" i="36"/>
  <c r="P104" i="39"/>
  <c r="CB93" i="41"/>
  <c r="CK32" i="37"/>
  <c r="CX51" i="37"/>
  <c r="AZ28" i="26"/>
  <c r="AK59" i="39"/>
  <c r="CR93" i="26"/>
  <c r="CR106" i="26" s="1"/>
  <c r="AJ68" i="38"/>
  <c r="CG72" i="41"/>
  <c r="BF91" i="41"/>
  <c r="CE46" i="37"/>
  <c r="CT104" i="39"/>
  <c r="AC99" i="38"/>
  <c r="T63" i="36"/>
  <c r="V22" i="41"/>
  <c r="AV35" i="40"/>
  <c r="AG72" i="26"/>
  <c r="DA72" i="26"/>
  <c r="CN14" i="36"/>
  <c r="CN15" i="36" s="1"/>
  <c r="CB19" i="40"/>
  <c r="L19" i="36"/>
  <c r="BR104" i="41"/>
  <c r="AX68" i="36"/>
  <c r="CS19" i="25"/>
  <c r="K63" i="41"/>
  <c r="L31" i="37"/>
  <c r="CU14" i="26"/>
  <c r="CU15" i="26" s="1"/>
  <c r="CO99" i="38"/>
  <c r="CB38" i="37"/>
  <c r="AT28" i="39"/>
  <c r="AT32" i="39" s="1"/>
  <c r="Y19" i="40"/>
  <c r="H287" i="46"/>
  <c r="H298" i="46" s="1"/>
  <c r="AD63" i="26"/>
  <c r="X51" i="40"/>
  <c r="DB46" i="25"/>
  <c r="AY11" i="40"/>
  <c r="BU11" i="37"/>
  <c r="CH63" i="41"/>
  <c r="DA31" i="37"/>
  <c r="CN38" i="25"/>
  <c r="CW55" i="37"/>
  <c r="Z11" i="40"/>
  <c r="DA19" i="39"/>
  <c r="CP93" i="37"/>
  <c r="CP106" i="37" s="1"/>
  <c r="CV28" i="1"/>
  <c r="CZ11" i="25"/>
  <c r="AT82" i="37"/>
  <c r="CA72" i="36"/>
  <c r="BQ51" i="40"/>
  <c r="X99" i="38"/>
  <c r="V31" i="26"/>
  <c r="CE22" i="25"/>
  <c r="CH19" i="26"/>
  <c r="CV35" i="1"/>
  <c r="CT55" i="25"/>
  <c r="BA82" i="36"/>
  <c r="X31" i="25"/>
  <c r="X32" i="25" s="1"/>
  <c r="AH46" i="40"/>
  <c r="BS82" i="36"/>
  <c r="AP63" i="40"/>
  <c r="Q59" i="26"/>
  <c r="BZ22" i="36"/>
  <c r="AC28" i="40"/>
  <c r="AI104" i="40"/>
  <c r="BQ35" i="40"/>
  <c r="BP19" i="1"/>
  <c r="CD72" i="38"/>
  <c r="CW104" i="1"/>
  <c r="BC14" i="37"/>
  <c r="BU72" i="39"/>
  <c r="U51" i="40"/>
  <c r="AJ22" i="25"/>
  <c r="P14" i="36"/>
  <c r="P15" i="36" s="1"/>
  <c r="AB93" i="25"/>
  <c r="X14" i="40"/>
  <c r="BA55" i="40"/>
  <c r="DF82" i="36"/>
  <c r="AM82" i="26"/>
  <c r="BF79" i="26"/>
  <c r="AU55" i="37"/>
  <c r="CL55" i="40"/>
  <c r="CK63" i="36"/>
  <c r="AH22" i="40"/>
  <c r="CO14" i="39"/>
  <c r="CO15" i="39" s="1"/>
  <c r="AM104" i="41"/>
  <c r="BF102" i="41"/>
  <c r="BT31" i="1"/>
  <c r="BC99" i="38"/>
  <c r="DF76" i="40"/>
  <c r="BU31" i="1"/>
  <c r="AN14" i="26"/>
  <c r="AN15" i="26" s="1"/>
  <c r="CX14" i="40"/>
  <c r="BX82" i="1"/>
  <c r="S72" i="39"/>
  <c r="CT28" i="1"/>
  <c r="CT32" i="1" s="1"/>
  <c r="O22" i="37"/>
  <c r="CA63" i="36"/>
  <c r="AA99" i="25"/>
  <c r="L68" i="1"/>
  <c r="AS63" i="41"/>
  <c r="CU68" i="26"/>
  <c r="AE72" i="39"/>
  <c r="CF11" i="1"/>
  <c r="BY19" i="25"/>
  <c r="BD46" i="25"/>
  <c r="BI35" i="39"/>
  <c r="CG68" i="38"/>
  <c r="AG72" i="25"/>
  <c r="AJ11" i="36"/>
  <c r="CM32" i="1"/>
  <c r="S55" i="60"/>
  <c r="CR104" i="36"/>
  <c r="BH68" i="26"/>
  <c r="BJ65" i="26"/>
  <c r="X31" i="41"/>
  <c r="X32" i="41" s="1"/>
  <c r="AU63" i="38"/>
  <c r="W35" i="36"/>
  <c r="CR104" i="39"/>
  <c r="T99" i="40"/>
  <c r="DE104" i="39"/>
  <c r="BX99" i="25"/>
  <c r="AC46" i="41"/>
  <c r="CK46" i="39"/>
  <c r="AB76" i="25"/>
  <c r="AH14" i="38"/>
  <c r="AH15" i="38" s="1"/>
  <c r="CB55" i="1"/>
  <c r="Q34" i="39"/>
  <c r="G35" i="39"/>
  <c r="AO51" i="39"/>
  <c r="AX14" i="36"/>
  <c r="AX15" i="36" s="1"/>
  <c r="CG63" i="26"/>
  <c r="O76" i="38"/>
  <c r="H76" i="39"/>
  <c r="DC63" i="25"/>
  <c r="AF72" i="25"/>
  <c r="CN28" i="41"/>
  <c r="CN32" i="41" s="1"/>
  <c r="CF28" i="1"/>
  <c r="CF32" i="1" s="1"/>
  <c r="DH49" i="39"/>
  <c r="CT68" i="25"/>
  <c r="BR38" i="37"/>
  <c r="J93" i="41"/>
  <c r="DB68" i="25"/>
  <c r="H19" i="38"/>
  <c r="AY76" i="40"/>
  <c r="AS11" i="26"/>
  <c r="H63" i="41"/>
  <c r="AV14" i="38"/>
  <c r="AV15" i="38" s="1"/>
  <c r="DE72" i="41"/>
  <c r="CH28" i="41"/>
  <c r="CH32" i="41" s="1"/>
  <c r="AT82" i="38"/>
  <c r="CX38" i="1"/>
  <c r="CT38" i="25"/>
  <c r="AK59" i="26"/>
  <c r="CY22" i="38"/>
  <c r="DF68" i="1"/>
  <c r="BW82" i="39"/>
  <c r="H28" i="41"/>
  <c r="AO11" i="40"/>
  <c r="BR46" i="39"/>
  <c r="I76" i="39"/>
  <c r="BJ30" i="25"/>
  <c r="CC11" i="38"/>
  <c r="CH38" i="1"/>
  <c r="BZ22" i="37"/>
  <c r="AR63" i="26"/>
  <c r="BS28" i="36"/>
  <c r="BS32" i="36" s="1"/>
  <c r="BJ67" i="25"/>
  <c r="BE104" i="41"/>
  <c r="AZ55" i="26"/>
  <c r="P82" i="40"/>
  <c r="CX31" i="36"/>
  <c r="CX32" i="36" s="1"/>
  <c r="BH51" i="40"/>
  <c r="BJ48" i="40"/>
  <c r="BE76" i="41"/>
  <c r="BW19" i="41"/>
  <c r="CT14" i="40"/>
  <c r="AH31" i="39"/>
  <c r="U93" i="26"/>
  <c r="DH61" i="1"/>
  <c r="BY93" i="38"/>
  <c r="BY106" i="38" s="1"/>
  <c r="AY55" i="40"/>
  <c r="DH54" i="38"/>
  <c r="BX38" i="37"/>
  <c r="AW28" i="36"/>
  <c r="AW32" i="36" s="1"/>
  <c r="T50" i="60"/>
  <c r="AP50" i="60" s="1"/>
  <c r="N265" i="46"/>
  <c r="Q26" i="25"/>
  <c r="G28" i="25"/>
  <c r="CX93" i="25"/>
  <c r="CX106" i="25" s="1"/>
  <c r="M11" i="26"/>
  <c r="BV72" i="36"/>
  <c r="AF46" i="26"/>
  <c r="AR38" i="1"/>
  <c r="CL46" i="36"/>
  <c r="AA14" i="37"/>
  <c r="AA15" i="37" s="1"/>
  <c r="CO46" i="26"/>
  <c r="CO55" i="38"/>
  <c r="AQ11" i="40"/>
  <c r="AH31" i="38"/>
  <c r="AH32" i="38" s="1"/>
  <c r="CG82" i="40"/>
  <c r="AQ35" i="37"/>
  <c r="O14" i="36"/>
  <c r="CI31" i="1"/>
  <c r="CI32" i="1" s="1"/>
  <c r="AO55" i="38"/>
  <c r="CY14" i="41"/>
  <c r="CY15" i="41" s="1"/>
  <c r="CW82" i="25"/>
  <c r="DH37" i="25"/>
  <c r="BO38" i="25"/>
  <c r="CH35" i="41"/>
  <c r="CL72" i="25"/>
  <c r="BD104" i="40"/>
  <c r="AD28" i="26"/>
  <c r="AD32" i="26" s="1"/>
  <c r="BW38" i="41"/>
  <c r="Q18" i="41"/>
  <c r="DB76" i="26"/>
  <c r="Q18" i="38"/>
  <c r="BL18" i="38" s="1"/>
  <c r="CW19" i="38"/>
  <c r="BO76" i="37"/>
  <c r="DH75" i="37"/>
  <c r="AU63" i="40"/>
  <c r="Q89" i="41"/>
  <c r="G93" i="41"/>
  <c r="K76" i="36"/>
  <c r="Z31" i="38"/>
  <c r="Z32" i="38" s="1"/>
  <c r="AX38" i="1"/>
  <c r="AU22" i="26"/>
  <c r="AQ99" i="38"/>
  <c r="CQ72" i="39"/>
  <c r="CX28" i="25"/>
  <c r="CX32" i="25" s="1"/>
  <c r="AZ22" i="25"/>
  <c r="CG22" i="40"/>
  <c r="AG28" i="1"/>
  <c r="AG32" i="1" s="1"/>
  <c r="BC22" i="25"/>
  <c r="AT31" i="1"/>
  <c r="CF19" i="38"/>
  <c r="Q61" i="41"/>
  <c r="Y28" i="38"/>
  <c r="AP11" i="36"/>
  <c r="AI46" i="60"/>
  <c r="CZ51" i="39"/>
  <c r="CG63" i="40"/>
  <c r="AN19" i="38"/>
  <c r="CU55" i="1"/>
  <c r="AI51" i="37"/>
  <c r="CP82" i="37"/>
  <c r="CP35" i="38"/>
  <c r="W63" i="1"/>
  <c r="Q62" i="1"/>
  <c r="BL62" i="1" s="1"/>
  <c r="BW104" i="37"/>
  <c r="AS28" i="38"/>
  <c r="AQ35" i="39"/>
  <c r="DD68" i="40"/>
  <c r="T22" i="1"/>
  <c r="BV38" i="26"/>
  <c r="CW55" i="36"/>
  <c r="BC46" i="1"/>
  <c r="Z22" i="25"/>
  <c r="DA38" i="37"/>
  <c r="T48" i="60"/>
  <c r="AE49" i="60"/>
  <c r="AB104" i="26"/>
  <c r="CL11" i="25"/>
  <c r="CL15" i="25" s="1"/>
  <c r="BR22" i="1"/>
  <c r="CA28" i="1"/>
  <c r="BI99" i="26"/>
  <c r="CJ76" i="41"/>
  <c r="W63" i="25"/>
  <c r="CE31" i="37"/>
  <c r="BE104" i="40"/>
  <c r="CJ51" i="36"/>
  <c r="DC82" i="40"/>
  <c r="BZ28" i="38"/>
  <c r="CP63" i="40"/>
  <c r="Y11" i="36"/>
  <c r="G63" i="37"/>
  <c r="Q57" i="37"/>
  <c r="BL57" i="37" s="1"/>
  <c r="X82" i="40"/>
  <c r="Q58" i="40"/>
  <c r="BL58" i="40" s="1"/>
  <c r="CB55" i="36"/>
  <c r="BX22" i="26"/>
  <c r="CJ38" i="36"/>
  <c r="CO72" i="41"/>
  <c r="CW46" i="37"/>
  <c r="BW93" i="36"/>
  <c r="AA39" i="60"/>
  <c r="CO55" i="40"/>
  <c r="CQ93" i="38"/>
  <c r="AE22" i="25"/>
  <c r="CN55" i="26"/>
  <c r="Y31" i="38"/>
  <c r="DB63" i="25"/>
  <c r="AQ28" i="26"/>
  <c r="AA11" i="36"/>
  <c r="BI31" i="36"/>
  <c r="BJ31" i="36" s="1"/>
  <c r="AR93" i="26"/>
  <c r="AR106" i="26" s="1"/>
  <c r="X76" i="37"/>
  <c r="AS19" i="25"/>
  <c r="BP14" i="40"/>
  <c r="BF62" i="37"/>
  <c r="I93" i="36"/>
  <c r="BP28" i="36"/>
  <c r="BJ62" i="25"/>
  <c r="CD11" i="39"/>
  <c r="CS22" i="25"/>
  <c r="AY76" i="38"/>
  <c r="DB82" i="26"/>
  <c r="BP19" i="25"/>
  <c r="CX76" i="37"/>
  <c r="AZ99" i="1"/>
  <c r="AZ106" i="1" s="1"/>
  <c r="BE51" i="26"/>
  <c r="BU72" i="40"/>
  <c r="AU19" i="26"/>
  <c r="AS72" i="36"/>
  <c r="AR31" i="1"/>
  <c r="BT38" i="39"/>
  <c r="BH22" i="40"/>
  <c r="BJ22" i="40" s="1"/>
  <c r="BJ21" i="40"/>
  <c r="CI28" i="40"/>
  <c r="CI32" i="40" s="1"/>
  <c r="O82" i="1"/>
  <c r="BU22" i="36"/>
  <c r="CA68" i="25"/>
  <c r="AE11" i="39"/>
  <c r="CT14" i="25"/>
  <c r="CT15" i="25" s="1"/>
  <c r="CC28" i="26"/>
  <c r="CC32" i="26" s="1"/>
  <c r="Y82" i="25"/>
  <c r="AH22" i="38"/>
  <c r="H14" i="41"/>
  <c r="H15" i="41" s="1"/>
  <c r="CF46" i="26"/>
  <c r="AV19" i="39"/>
  <c r="DB72" i="26"/>
  <c r="AE38" i="38"/>
  <c r="CV99" i="39"/>
  <c r="CU38" i="41"/>
  <c r="AH72" i="1"/>
  <c r="AK60" i="40"/>
  <c r="AC51" i="41"/>
  <c r="CM99" i="1"/>
  <c r="CV28" i="37"/>
  <c r="DB35" i="36"/>
  <c r="CQ72" i="26"/>
  <c r="BW51" i="26"/>
  <c r="BW84" i="26" s="1"/>
  <c r="K31" i="40"/>
  <c r="AW46" i="25"/>
  <c r="BB99" i="36"/>
  <c r="AG55" i="39"/>
  <c r="BP35" i="38"/>
  <c r="H22" i="41"/>
  <c r="DC51" i="38"/>
  <c r="CF38" i="40"/>
  <c r="CX11" i="40"/>
  <c r="AF63" i="41"/>
  <c r="AE19" i="26"/>
  <c r="CY11" i="1"/>
  <c r="AP68" i="26"/>
  <c r="CC76" i="37"/>
  <c r="H68" i="36"/>
  <c r="DH60" i="38"/>
  <c r="CZ19" i="1"/>
  <c r="AJ104" i="41"/>
  <c r="CT19" i="40"/>
  <c r="AU76" i="26"/>
  <c r="DH48" i="36"/>
  <c r="BO51" i="36"/>
  <c r="CO104" i="25"/>
  <c r="X93" i="40"/>
  <c r="CY68" i="1"/>
  <c r="CZ68" i="38"/>
  <c r="CO82" i="25"/>
  <c r="DA35" i="1"/>
  <c r="Q37" i="26"/>
  <c r="G38" i="26"/>
  <c r="AW104" i="41"/>
  <c r="AM82" i="38"/>
  <c r="BF79" i="38"/>
  <c r="CU38" i="40"/>
  <c r="BE99" i="41"/>
  <c r="AH31" i="40"/>
  <c r="CS28" i="38"/>
  <c r="CD51" i="41"/>
  <c r="BC82" i="39"/>
  <c r="BJ98" i="37"/>
  <c r="CS93" i="26"/>
  <c r="CS106" i="26" s="1"/>
  <c r="BO38" i="37"/>
  <c r="DH37" i="37"/>
  <c r="AZ76" i="37"/>
  <c r="CT22" i="40"/>
  <c r="BF54" i="36"/>
  <c r="AZ82" i="36"/>
  <c r="BA31" i="25"/>
  <c r="CY55" i="38"/>
  <c r="CZ14" i="38"/>
  <c r="CZ15" i="38" s="1"/>
  <c r="BF10" i="25"/>
  <c r="CM63" i="38"/>
  <c r="CT76" i="25"/>
  <c r="Y68" i="1"/>
  <c r="N28" i="26"/>
  <c r="BA31" i="39"/>
  <c r="CU55" i="37"/>
  <c r="BW22" i="41"/>
  <c r="Q10" i="26"/>
  <c r="DB11" i="25"/>
  <c r="BV46" i="39"/>
  <c r="AZ93" i="40"/>
  <c r="CW31" i="36"/>
  <c r="CG38" i="1"/>
  <c r="BY72" i="37"/>
  <c r="P82" i="37"/>
  <c r="AQ68" i="37"/>
  <c r="AG31" i="26"/>
  <c r="N31" i="40"/>
  <c r="DA14" i="26"/>
  <c r="CO63" i="38"/>
  <c r="BX32" i="41"/>
  <c r="AR68" i="37"/>
  <c r="AO93" i="40"/>
  <c r="L63" i="1"/>
  <c r="CX35" i="1"/>
  <c r="BU82" i="40"/>
  <c r="CE35" i="37"/>
  <c r="CY22" i="40"/>
  <c r="AI72" i="40"/>
  <c r="CW72" i="37"/>
  <c r="AU28" i="41"/>
  <c r="AC31" i="25"/>
  <c r="U21" i="60"/>
  <c r="CD72" i="1"/>
  <c r="X55" i="25"/>
  <c r="DE68" i="39"/>
  <c r="V51" i="41"/>
  <c r="AJ51" i="26"/>
  <c r="AF82" i="1"/>
  <c r="T14" i="37"/>
  <c r="CG22" i="39"/>
  <c r="AA38" i="38"/>
  <c r="Q91" i="36"/>
  <c r="Y28" i="25"/>
  <c r="Y32" i="25" s="1"/>
  <c r="AE82" i="39"/>
  <c r="AV46" i="37"/>
  <c r="J46" i="39"/>
  <c r="BZ99" i="1"/>
  <c r="CB104" i="40"/>
  <c r="AO28" i="25"/>
  <c r="AO32" i="25" s="1"/>
  <c r="CI22" i="1"/>
  <c r="AK60" i="39"/>
  <c r="AB68" i="38"/>
  <c r="DB51" i="37"/>
  <c r="BA63" i="36"/>
  <c r="AC28" i="36"/>
  <c r="H68" i="26"/>
  <c r="CU63" i="37"/>
  <c r="CY19" i="39"/>
  <c r="U14" i="40"/>
  <c r="J63" i="37"/>
  <c r="CC46" i="40"/>
  <c r="BT82" i="40"/>
  <c r="BP28" i="38"/>
  <c r="H29" i="64"/>
  <c r="W14" i="41"/>
  <c r="CU99" i="37"/>
  <c r="N28" i="38"/>
  <c r="N32" i="38" s="1"/>
  <c r="AP46" i="40"/>
  <c r="CP82" i="40"/>
  <c r="AY38" i="1"/>
  <c r="BJ25" i="38"/>
  <c r="W28" i="37"/>
  <c r="DC93" i="41"/>
  <c r="BW93" i="37"/>
  <c r="AC51" i="1"/>
  <c r="CG76" i="38"/>
  <c r="BS104" i="1"/>
  <c r="Y63" i="41"/>
  <c r="CG46" i="1"/>
  <c r="AE19" i="39"/>
  <c r="BS63" i="39"/>
  <c r="M22" i="25"/>
  <c r="CJ38" i="1"/>
  <c r="BB35" i="40"/>
  <c r="X11" i="36"/>
  <c r="U63" i="41"/>
  <c r="J14" i="26"/>
  <c r="J15" i="26" s="1"/>
  <c r="AY72" i="40"/>
  <c r="BR68" i="40"/>
  <c r="AB82" i="38"/>
  <c r="BE72" i="36"/>
  <c r="DD82" i="40"/>
  <c r="CB82" i="1"/>
  <c r="BC82" i="40"/>
  <c r="CP82" i="38"/>
  <c r="CH72" i="41"/>
  <c r="Z82" i="38"/>
  <c r="AZ14" i="36"/>
  <c r="AZ15" i="36" s="1"/>
  <c r="CH51" i="41"/>
  <c r="BI11" i="25"/>
  <c r="BB63" i="36"/>
  <c r="AJ104" i="25"/>
  <c r="AA43" i="60"/>
  <c r="BY19" i="1"/>
  <c r="CH22" i="39"/>
  <c r="CD104" i="41"/>
  <c r="BS51" i="37"/>
  <c r="BI38" i="40"/>
  <c r="CQ99" i="36"/>
  <c r="CB19" i="25"/>
  <c r="O93" i="1"/>
  <c r="O106" i="1" s="1"/>
  <c r="CA63" i="25"/>
  <c r="AS11" i="41"/>
  <c r="CX72" i="25"/>
  <c r="AI82" i="37"/>
  <c r="AT93" i="37"/>
  <c r="CD76" i="40"/>
  <c r="CL35" i="37"/>
  <c r="Q18" i="36"/>
  <c r="AR72" i="1"/>
  <c r="BU31" i="41"/>
  <c r="CI104" i="36"/>
  <c r="BV19" i="26"/>
  <c r="CA35" i="36"/>
  <c r="H99" i="1"/>
  <c r="Y35" i="38"/>
  <c r="BE93" i="1"/>
  <c r="BE106" i="1" s="1"/>
  <c r="O46" i="25"/>
  <c r="AM11" i="26"/>
  <c r="AM38" i="1"/>
  <c r="BF37" i="1"/>
  <c r="CQ99" i="40"/>
  <c r="AX22" i="38"/>
  <c r="AA22" i="36"/>
  <c r="CB76" i="41"/>
  <c r="CE22" i="1"/>
  <c r="CD99" i="25"/>
  <c r="AJ68" i="39"/>
  <c r="BC68" i="41"/>
  <c r="CA76" i="41"/>
  <c r="AC93" i="26"/>
  <c r="AC106" i="26" s="1"/>
  <c r="AR28" i="1"/>
  <c r="AR32" i="1" s="1"/>
  <c r="BC22" i="37"/>
  <c r="BY11" i="39"/>
  <c r="AA104" i="36"/>
  <c r="CT82" i="40"/>
  <c r="M289" i="46"/>
  <c r="M300" i="46" s="1"/>
  <c r="AE14" i="39"/>
  <c r="CE93" i="41"/>
  <c r="BA72" i="37"/>
  <c r="DD14" i="26"/>
  <c r="DD15" i="26" s="1"/>
  <c r="AH38" i="37"/>
  <c r="CZ22" i="36"/>
  <c r="CU22" i="26"/>
  <c r="CU93" i="26"/>
  <c r="W46" i="1"/>
  <c r="DH62" i="39"/>
  <c r="CE63" i="26"/>
  <c r="X51" i="39"/>
  <c r="AF93" i="40"/>
  <c r="AA35" i="26"/>
  <c r="I51" i="40"/>
  <c r="DA14" i="37"/>
  <c r="BR82" i="38"/>
  <c r="CE51" i="25"/>
  <c r="BC72" i="36"/>
  <c r="CA82" i="37"/>
  <c r="BD76" i="39"/>
  <c r="CC82" i="41"/>
  <c r="AS19" i="26"/>
  <c r="BX55" i="1"/>
  <c r="AB51" i="38"/>
  <c r="CH63" i="39"/>
  <c r="T46" i="26"/>
  <c r="CU68" i="1"/>
  <c r="BQ68" i="37"/>
  <c r="CR35" i="40"/>
  <c r="DA82" i="40"/>
  <c r="J35" i="36"/>
  <c r="AV93" i="41"/>
  <c r="AV106" i="41" s="1"/>
  <c r="BZ19" i="41"/>
  <c r="BF66" i="37"/>
  <c r="O38" i="39"/>
  <c r="AJ76" i="41"/>
  <c r="Q61" i="40"/>
  <c r="BL61" i="40" s="1"/>
  <c r="BT76" i="37"/>
  <c r="U28" i="38"/>
  <c r="U32" i="38" s="1"/>
  <c r="Q58" i="1"/>
  <c r="N289" i="46"/>
  <c r="N300" i="46" s="1"/>
  <c r="AH63" i="38"/>
  <c r="CL99" i="39"/>
  <c r="AC22" i="38"/>
  <c r="DD19" i="39"/>
  <c r="AK13" i="41"/>
  <c r="BS11" i="39"/>
  <c r="AZ38" i="40"/>
  <c r="CJ51" i="38"/>
  <c r="CQ99" i="25"/>
  <c r="AR99" i="36"/>
  <c r="AY28" i="40"/>
  <c r="AY32" i="40" s="1"/>
  <c r="BC38" i="25"/>
  <c r="CV82" i="40"/>
  <c r="BX35" i="1"/>
  <c r="O19" i="36"/>
  <c r="AF38" i="1"/>
  <c r="AJ93" i="25"/>
  <c r="AT38" i="37"/>
  <c r="K14" i="41"/>
  <c r="K15" i="41" s="1"/>
  <c r="AN63" i="41"/>
  <c r="BU82" i="39"/>
  <c r="BW72" i="1"/>
  <c r="CY104" i="1"/>
  <c r="Z19" i="39"/>
  <c r="BJ9" i="26"/>
  <c r="BH11" i="26"/>
  <c r="BT72" i="40"/>
  <c r="CO22" i="38"/>
  <c r="BQ46" i="1"/>
  <c r="CI32" i="41"/>
  <c r="AR72" i="38"/>
  <c r="AR51" i="25"/>
  <c r="G22" i="41"/>
  <c r="Q21" i="41"/>
  <c r="CT63" i="36"/>
  <c r="BF71" i="39"/>
  <c r="AM72" i="39"/>
  <c r="AQ22" i="39"/>
  <c r="CC63" i="25"/>
  <c r="BH76" i="1"/>
  <c r="BJ76" i="1" s="1"/>
  <c r="BJ75" i="1"/>
  <c r="CT72" i="25"/>
  <c r="BS22" i="26"/>
  <c r="BT68" i="25"/>
  <c r="N72" i="26"/>
  <c r="BP14" i="36"/>
  <c r="AV51" i="40"/>
  <c r="DF46" i="26"/>
  <c r="I14" i="39"/>
  <c r="I15" i="39" s="1"/>
  <c r="CH104" i="41"/>
  <c r="V28" i="60"/>
  <c r="CJ14" i="26"/>
  <c r="CJ15" i="26" s="1"/>
  <c r="L46" i="1"/>
  <c r="AS63" i="36"/>
  <c r="AF31" i="26"/>
  <c r="AF32" i="26" s="1"/>
  <c r="CJ82" i="37"/>
  <c r="CC55" i="38"/>
  <c r="Q10" i="38"/>
  <c r="BL10" i="38" s="1"/>
  <c r="CI82" i="26"/>
  <c r="H46" i="1"/>
  <c r="BJ54" i="26"/>
  <c r="Z6" i="60"/>
  <c r="CD104" i="25"/>
  <c r="CN19" i="1"/>
  <c r="CB93" i="37"/>
  <c r="CB106" i="37" s="1"/>
  <c r="CI99" i="41"/>
  <c r="DF14" i="25"/>
  <c r="DF15" i="25" s="1"/>
  <c r="BS72" i="39"/>
  <c r="DF51" i="25"/>
  <c r="U76" i="40"/>
  <c r="CK28" i="36"/>
  <c r="BX31" i="38"/>
  <c r="AC28" i="26"/>
  <c r="H22" i="1"/>
  <c r="AR68" i="36"/>
  <c r="DF19" i="25"/>
  <c r="AG93" i="37"/>
  <c r="AA68" i="36"/>
  <c r="AX11" i="39"/>
  <c r="CM68" i="1"/>
  <c r="CM55" i="37"/>
  <c r="AS63" i="39"/>
  <c r="AQ76" i="25"/>
  <c r="AH82" i="41"/>
  <c r="CN55" i="25"/>
  <c r="CU76" i="37"/>
  <c r="BV46" i="1"/>
  <c r="AO28" i="36"/>
  <c r="AO32" i="36" s="1"/>
  <c r="AH14" i="1"/>
  <c r="AH15" i="1" s="1"/>
  <c r="AY55" i="39"/>
  <c r="DH62" i="40"/>
  <c r="BQ76" i="1"/>
  <c r="CG22" i="26"/>
  <c r="I35" i="25"/>
  <c r="CL51" i="26"/>
  <c r="AP46" i="39"/>
  <c r="CJ38" i="26"/>
  <c r="AA31" i="25"/>
  <c r="AD28" i="38"/>
  <c r="AD32" i="38" s="1"/>
  <c r="CU99" i="26"/>
  <c r="DH67" i="37"/>
  <c r="BP63" i="36"/>
  <c r="CH31" i="40"/>
  <c r="CH32" i="40" s="1"/>
  <c r="CS99" i="1"/>
  <c r="CX51" i="38"/>
  <c r="AJ31" i="37"/>
  <c r="AK59" i="40"/>
  <c r="CT68" i="37"/>
  <c r="CE72" i="36"/>
  <c r="BE14" i="41"/>
  <c r="BE15" i="41" s="1"/>
  <c r="AQ51" i="40"/>
  <c r="G72" i="40"/>
  <c r="Q71" i="40"/>
  <c r="CM22" i="38"/>
  <c r="AA22" i="39"/>
  <c r="CQ72" i="36"/>
  <c r="DB14" i="25"/>
  <c r="DB15" i="25" s="1"/>
  <c r="DB40" i="25" s="1"/>
  <c r="AH38" i="26"/>
  <c r="BP68" i="36"/>
  <c r="CR72" i="25"/>
  <c r="V46" i="26"/>
  <c r="BS11" i="1"/>
  <c r="Q92" i="40"/>
  <c r="BD82" i="40"/>
  <c r="AT28" i="37"/>
  <c r="AT32" i="37" s="1"/>
  <c r="AL49" i="60"/>
  <c r="AA48" i="60"/>
  <c r="N51" i="37"/>
  <c r="K28" i="40"/>
  <c r="H31" i="39"/>
  <c r="H32" i="39" s="1"/>
  <c r="I22" i="25"/>
  <c r="BE325" i="47"/>
  <c r="AX55" i="39"/>
  <c r="DH18" i="36"/>
  <c r="DB76" i="41"/>
  <c r="DB31" i="39"/>
  <c r="BY19" i="36"/>
  <c r="AG46" i="38"/>
  <c r="DD93" i="1"/>
  <c r="AP72" i="40"/>
  <c r="CR14" i="36"/>
  <c r="L55" i="25"/>
  <c r="BW35" i="36"/>
  <c r="AT63" i="37"/>
  <c r="BC55" i="1"/>
  <c r="M55" i="39"/>
  <c r="BT35" i="25"/>
  <c r="AK27" i="36"/>
  <c r="BZ104" i="25"/>
  <c r="AY31" i="1"/>
  <c r="AY32" i="1" s="1"/>
  <c r="BJ30" i="36"/>
  <c r="CL99" i="25"/>
  <c r="CJ14" i="37"/>
  <c r="CJ15" i="37" s="1"/>
  <c r="O104" i="40"/>
  <c r="AB51" i="40"/>
  <c r="CP82" i="26"/>
  <c r="J46" i="25"/>
  <c r="CE28" i="37"/>
  <c r="BW14" i="37"/>
  <c r="BW15" i="37" s="1"/>
  <c r="DE55" i="26"/>
  <c r="AK26" i="36"/>
  <c r="S28" i="36"/>
  <c r="L35" i="41"/>
  <c r="DE72" i="1"/>
  <c r="BV93" i="38"/>
  <c r="CQ63" i="39"/>
  <c r="AR51" i="26"/>
  <c r="CG93" i="39"/>
  <c r="CG106" i="39" s="1"/>
  <c r="AJ55" i="25"/>
  <c r="V35" i="25"/>
  <c r="CK51" i="36"/>
  <c r="CS51" i="36"/>
  <c r="AF22" i="36"/>
  <c r="CD93" i="41"/>
  <c r="CK68" i="39"/>
  <c r="AA72" i="40"/>
  <c r="CS38" i="38"/>
  <c r="CY72" i="26"/>
  <c r="L35" i="39"/>
  <c r="J28" i="38"/>
  <c r="AF51" i="40"/>
  <c r="CI38" i="1"/>
  <c r="Y68" i="41"/>
  <c r="AX11" i="1"/>
  <c r="AX15" i="1" s="1"/>
  <c r="CC35" i="37"/>
  <c r="DD11" i="25"/>
  <c r="BX35" i="40"/>
  <c r="CM68" i="36"/>
  <c r="AV93" i="1"/>
  <c r="J31" i="38"/>
  <c r="BP99" i="41"/>
  <c r="CR63" i="39"/>
  <c r="BZ99" i="38"/>
  <c r="BC51" i="38"/>
  <c r="AK49" i="41"/>
  <c r="G55" i="1"/>
  <c r="Q53" i="1"/>
  <c r="AV55" i="39"/>
  <c r="AD14" i="40"/>
  <c r="AD15" i="40" s="1"/>
  <c r="AD40" i="40" s="1"/>
  <c r="N93" i="25"/>
  <c r="N106" i="25" s="1"/>
  <c r="CG99" i="41"/>
  <c r="AU55" i="36"/>
  <c r="AG38" i="25"/>
  <c r="CX51" i="36"/>
  <c r="CL82" i="25"/>
  <c r="L51" i="36"/>
  <c r="I82" i="25"/>
  <c r="BV76" i="39"/>
  <c r="AR31" i="36"/>
  <c r="BB14" i="38"/>
  <c r="Q29" i="38"/>
  <c r="G31" i="38"/>
  <c r="CW72" i="25"/>
  <c r="BD31" i="37"/>
  <c r="BW104" i="25"/>
  <c r="H35" i="37"/>
  <c r="AI50" i="60"/>
  <c r="W72" i="40"/>
  <c r="BY72" i="40"/>
  <c r="P14" i="1"/>
  <c r="P15" i="1" s="1"/>
  <c r="V51" i="26"/>
  <c r="CE68" i="25"/>
  <c r="CL76" i="37"/>
  <c r="BS76" i="1"/>
  <c r="AS63" i="40"/>
  <c r="CR93" i="25"/>
  <c r="CR106" i="25" s="1"/>
  <c r="CO22" i="25"/>
  <c r="BP35" i="26"/>
  <c r="CH38" i="40"/>
  <c r="AC68" i="40"/>
  <c r="CP28" i="38"/>
  <c r="CP32" i="38" s="1"/>
  <c r="S99" i="26"/>
  <c r="AG38" i="38"/>
  <c r="DF55" i="38"/>
  <c r="AE19" i="40"/>
  <c r="BD51" i="26"/>
  <c r="BF18" i="25"/>
  <c r="M93" i="26"/>
  <c r="DB63" i="39"/>
  <c r="CG55" i="40"/>
  <c r="CP14" i="39"/>
  <c r="CP15" i="39" s="1"/>
  <c r="Y28" i="40"/>
  <c r="DH50" i="1"/>
  <c r="BB51" i="25"/>
  <c r="AE38" i="36"/>
  <c r="CA46" i="26"/>
  <c r="BC51" i="36"/>
  <c r="AN51" i="26"/>
  <c r="CV35" i="41"/>
  <c r="AT31" i="41"/>
  <c r="AT32" i="41" s="1"/>
  <c r="CN11" i="37"/>
  <c r="CW104" i="40"/>
  <c r="AH72" i="37"/>
  <c r="AD82" i="40"/>
  <c r="DD76" i="36"/>
  <c r="N104" i="37"/>
  <c r="Q66" i="39"/>
  <c r="CE19" i="1"/>
  <c r="BY35" i="26"/>
  <c r="K63" i="36"/>
  <c r="AG7" i="60"/>
  <c r="CG99" i="37"/>
  <c r="BW11" i="40"/>
  <c r="BI22" i="26"/>
  <c r="AI104" i="26"/>
  <c r="AI106" i="26" s="1"/>
  <c r="BQ28" i="26"/>
  <c r="BQ32" i="26" s="1"/>
  <c r="BY76" i="38"/>
  <c r="CS93" i="25"/>
  <c r="BH35" i="36"/>
  <c r="BJ35" i="36" s="1"/>
  <c r="BJ34" i="36"/>
  <c r="CO72" i="38"/>
  <c r="BJ60" i="26"/>
  <c r="O63" i="36"/>
  <c r="I99" i="41"/>
  <c r="BA35" i="40"/>
  <c r="CN32" i="39"/>
  <c r="AC76" i="26"/>
  <c r="AZ28" i="41"/>
  <c r="AZ32" i="41" s="1"/>
  <c r="BU38" i="36"/>
  <c r="DD76" i="41"/>
  <c r="AV99" i="39"/>
  <c r="AI22" i="38"/>
  <c r="H72" i="25"/>
  <c r="DB19" i="41"/>
  <c r="N11" i="40"/>
  <c r="CO22" i="36"/>
  <c r="AX82" i="38"/>
  <c r="AZ19" i="26"/>
  <c r="Q54" i="40"/>
  <c r="DH25" i="40"/>
  <c r="BP76" i="36"/>
  <c r="AL32" i="60"/>
  <c r="BB31" i="37"/>
  <c r="CJ31" i="37"/>
  <c r="CJ32" i="37" s="1"/>
  <c r="CH99" i="41"/>
  <c r="DE31" i="25"/>
  <c r="DE32" i="25" s="1"/>
  <c r="CR31" i="38"/>
  <c r="L72" i="26"/>
  <c r="BV93" i="1"/>
  <c r="BV106" i="1" s="1"/>
  <c r="DD19" i="37"/>
  <c r="BJ12" i="40"/>
  <c r="BH14" i="40"/>
  <c r="CA63" i="40"/>
  <c r="CR99" i="38"/>
  <c r="CR106" i="38" s="1"/>
  <c r="CJ22" i="36"/>
  <c r="CZ51" i="37"/>
  <c r="BB14" i="1"/>
  <c r="BB15" i="1" s="1"/>
  <c r="CL76" i="36"/>
  <c r="BY11" i="26"/>
  <c r="AZ35" i="40"/>
  <c r="K265" i="46"/>
  <c r="AB68" i="25"/>
  <c r="BD11" i="38"/>
  <c r="BD15" i="38" s="1"/>
  <c r="Z11" i="39"/>
  <c r="AR76" i="1"/>
  <c r="BU99" i="1"/>
  <c r="DE82" i="40"/>
  <c r="CU72" i="39"/>
  <c r="BU28" i="26"/>
  <c r="M19" i="36"/>
  <c r="CQ35" i="25"/>
  <c r="BQ72" i="26"/>
  <c r="DE104" i="25"/>
  <c r="BB99" i="39"/>
  <c r="DA38" i="38"/>
  <c r="AP104" i="39"/>
  <c r="BR68" i="26"/>
  <c r="AZ38" i="39"/>
  <c r="CP63" i="37"/>
  <c r="W22" i="1"/>
  <c r="CO11" i="40"/>
  <c r="CE35" i="25"/>
  <c r="BA68" i="37"/>
  <c r="X32" i="1"/>
  <c r="K104" i="25"/>
  <c r="L19" i="25"/>
  <c r="P63" i="36"/>
  <c r="AA46" i="38"/>
  <c r="CJ51" i="37"/>
  <c r="CL104" i="41"/>
  <c r="L32" i="39"/>
  <c r="AK27" i="25"/>
  <c r="AO93" i="41"/>
  <c r="BV19" i="38"/>
  <c r="BF92" i="38"/>
  <c r="AW31" i="1"/>
  <c r="CF38" i="41"/>
  <c r="I31" i="37"/>
  <c r="AN72" i="37"/>
  <c r="CH68" i="26"/>
  <c r="AN104" i="41"/>
  <c r="AW93" i="38"/>
  <c r="AF104" i="40"/>
  <c r="AP31" i="26"/>
  <c r="AP32" i="26" s="1"/>
  <c r="BZ55" i="25"/>
  <c r="CC31" i="25"/>
  <c r="CC32" i="25" s="1"/>
  <c r="CC46" i="36"/>
  <c r="AG32" i="41"/>
  <c r="BR93" i="1"/>
  <c r="BR106" i="1" s="1"/>
  <c r="CJ68" i="38"/>
  <c r="AE51" i="39"/>
  <c r="O93" i="41"/>
  <c r="O106" i="41" s="1"/>
  <c r="CB93" i="39"/>
  <c r="CC55" i="37"/>
  <c r="M63" i="1"/>
  <c r="CH51" i="39"/>
  <c r="X63" i="1"/>
  <c r="BV11" i="38"/>
  <c r="BV15" i="38" s="1"/>
  <c r="CU35" i="37"/>
  <c r="AU22" i="25"/>
  <c r="BZ51" i="39"/>
  <c r="BP99" i="1"/>
  <c r="N46" i="38"/>
  <c r="CE35" i="26"/>
  <c r="BV22" i="25"/>
  <c r="DA104" i="38"/>
  <c r="AX19" i="1"/>
  <c r="DD35" i="1"/>
  <c r="O28" i="36"/>
  <c r="BS38" i="25"/>
  <c r="AX51" i="40"/>
  <c r="CX14" i="41"/>
  <c r="CX15" i="41" s="1"/>
  <c r="AI82" i="36"/>
  <c r="CF38" i="39"/>
  <c r="BC28" i="39"/>
  <c r="BT99" i="36"/>
  <c r="Y46" i="1"/>
  <c r="CC38" i="37"/>
  <c r="AB19" i="37"/>
  <c r="BJ61" i="41"/>
  <c r="AA51" i="39"/>
  <c r="CQ31" i="25"/>
  <c r="CQ32" i="25" s="1"/>
  <c r="BJ79" i="39"/>
  <c r="BF13" i="25"/>
  <c r="DB51" i="41"/>
  <c r="DC63" i="37"/>
  <c r="CK46" i="37"/>
  <c r="AS68" i="36"/>
  <c r="X99" i="25"/>
  <c r="BP14" i="25"/>
  <c r="CA19" i="25"/>
  <c r="BE46" i="36"/>
  <c r="BB38" i="40"/>
  <c r="DF72" i="25"/>
  <c r="BF18" i="26"/>
  <c r="AJ51" i="38"/>
  <c r="CI28" i="25"/>
  <c r="U46" i="25"/>
  <c r="CK31" i="40"/>
  <c r="CK32" i="40" s="1"/>
  <c r="BB63" i="37"/>
  <c r="AV68" i="25"/>
  <c r="O63" i="26"/>
  <c r="BY93" i="37"/>
  <c r="N14" i="39"/>
  <c r="N15" i="39" s="1"/>
  <c r="CV68" i="40"/>
  <c r="V22" i="40"/>
  <c r="DA63" i="41"/>
  <c r="CY82" i="41"/>
  <c r="BD51" i="25"/>
  <c r="CE82" i="37"/>
  <c r="AY93" i="38"/>
  <c r="AY106" i="38" s="1"/>
  <c r="CQ22" i="26"/>
  <c r="CD82" i="39"/>
  <c r="AD35" i="26"/>
  <c r="AJ11" i="25"/>
  <c r="BZ28" i="26"/>
  <c r="BZ32" i="26" s="1"/>
  <c r="DD22" i="40"/>
  <c r="AO93" i="37"/>
  <c r="AG11" i="1"/>
  <c r="AH68" i="38"/>
  <c r="CS35" i="26"/>
  <c r="P46" i="39"/>
  <c r="AS93" i="40"/>
  <c r="AE104" i="25"/>
  <c r="AU51" i="37"/>
  <c r="AU31" i="41"/>
  <c r="CS31" i="26"/>
  <c r="CS32" i="26" s="1"/>
  <c r="CX35" i="25"/>
  <c r="G51" i="37"/>
  <c r="Q48" i="37"/>
  <c r="CE22" i="40"/>
  <c r="N93" i="41"/>
  <c r="DE76" i="25"/>
  <c r="BA93" i="37"/>
  <c r="CN22" i="1"/>
  <c r="BC55" i="37"/>
  <c r="AW19" i="25"/>
  <c r="L31" i="25"/>
  <c r="CI19" i="41"/>
  <c r="BQ38" i="37"/>
  <c r="CY19" i="38"/>
  <c r="AE55" i="1"/>
  <c r="U14" i="26"/>
  <c r="W14" i="60"/>
  <c r="AA99" i="37"/>
  <c r="AZ46" i="26"/>
  <c r="J55" i="37"/>
  <c r="CW28" i="37"/>
  <c r="CW32" i="37" s="1"/>
  <c r="BD51" i="40"/>
  <c r="U63" i="37"/>
  <c r="CK11" i="40"/>
  <c r="CK15" i="40" s="1"/>
  <c r="CF14" i="41"/>
  <c r="N28" i="1"/>
  <c r="AM82" i="37"/>
  <c r="BF79" i="37"/>
  <c r="Y51" i="25"/>
  <c r="G14" i="41"/>
  <c r="Q12" i="41"/>
  <c r="DH58" i="38"/>
  <c r="BX11" i="38"/>
  <c r="BV93" i="41"/>
  <c r="Q71" i="41"/>
  <c r="G72" i="41"/>
  <c r="BR104" i="37"/>
  <c r="BR14" i="41"/>
  <c r="BR15" i="41" s="1"/>
  <c r="CO68" i="1"/>
  <c r="CP19" i="26"/>
  <c r="CJ38" i="40"/>
  <c r="CQ82" i="26"/>
  <c r="DB63" i="41"/>
  <c r="CD51" i="1"/>
  <c r="BR31" i="38"/>
  <c r="BR32" i="38" s="1"/>
  <c r="AS35" i="25"/>
  <c r="AT22" i="26"/>
  <c r="V35" i="41"/>
  <c r="N38" i="37"/>
  <c r="CI35" i="36"/>
  <c r="CT22" i="41"/>
  <c r="DA99" i="25"/>
  <c r="CK22" i="40"/>
  <c r="BJ59" i="37"/>
  <c r="CG76" i="41"/>
  <c r="P19" i="41"/>
  <c r="BR104" i="26"/>
  <c r="AM72" i="41"/>
  <c r="BF71" i="41"/>
  <c r="AA11" i="39"/>
  <c r="M11" i="1"/>
  <c r="X68" i="38"/>
  <c r="CM22" i="37"/>
  <c r="CI14" i="36"/>
  <c r="BS22" i="37"/>
  <c r="BQ104" i="25"/>
  <c r="BE38" i="26"/>
  <c r="CV14" i="25"/>
  <c r="AD51" i="25"/>
  <c r="CT55" i="26"/>
  <c r="CU99" i="38"/>
  <c r="AF63" i="25"/>
  <c r="BE82" i="36"/>
  <c r="AY46" i="36"/>
  <c r="CX11" i="37"/>
  <c r="BQ72" i="36"/>
  <c r="CL19" i="38"/>
  <c r="Z43" i="60"/>
  <c r="BB68" i="41"/>
  <c r="CO68" i="41"/>
  <c r="Q27" i="38"/>
  <c r="CM93" i="26"/>
  <c r="CY38" i="38"/>
  <c r="M55" i="37"/>
  <c r="BY11" i="25"/>
  <c r="BT11" i="40"/>
  <c r="CO99" i="36"/>
  <c r="BF26" i="26"/>
  <c r="AM28" i="26"/>
  <c r="CJ72" i="38"/>
  <c r="AK29" i="39"/>
  <c r="S31" i="39"/>
  <c r="CX82" i="26"/>
  <c r="AJ11" i="38"/>
  <c r="AE14" i="37"/>
  <c r="AE15" i="37" s="1"/>
  <c r="AG63" i="39"/>
  <c r="DB55" i="39"/>
  <c r="CQ99" i="41"/>
  <c r="BA46" i="26"/>
  <c r="BA68" i="1"/>
  <c r="I38" i="40"/>
  <c r="CS76" i="1"/>
  <c r="CO51" i="37"/>
  <c r="AB68" i="26"/>
  <c r="AJ51" i="37"/>
  <c r="J104" i="41"/>
  <c r="AW63" i="38"/>
  <c r="BC28" i="37"/>
  <c r="AV35" i="1"/>
  <c r="DF14" i="38"/>
  <c r="U28" i="36"/>
  <c r="U32" i="36" s="1"/>
  <c r="AH19" i="1"/>
  <c r="Y19" i="39"/>
  <c r="CD11" i="36"/>
  <c r="BZ68" i="36"/>
  <c r="CZ104" i="38"/>
  <c r="AJ82" i="36"/>
  <c r="BW104" i="1"/>
  <c r="O104" i="26"/>
  <c r="CM93" i="1"/>
  <c r="M82" i="41"/>
  <c r="DD55" i="39"/>
  <c r="BZ104" i="40"/>
  <c r="BU31" i="26"/>
  <c r="CH68" i="38"/>
  <c r="AQ72" i="25"/>
  <c r="DB76" i="1"/>
  <c r="CX22" i="39"/>
  <c r="CM82" i="25"/>
  <c r="CO55" i="1"/>
  <c r="AQ38" i="38"/>
  <c r="CC76" i="1"/>
  <c r="BY93" i="25"/>
  <c r="BX55" i="37"/>
  <c r="CS11" i="41"/>
  <c r="AV72" i="25"/>
  <c r="AG82" i="26"/>
  <c r="AC93" i="25"/>
  <c r="O51" i="36"/>
  <c r="BI99" i="36"/>
  <c r="O38" i="38"/>
  <c r="Y72" i="26"/>
  <c r="CI22" i="39"/>
  <c r="CJ72" i="36"/>
  <c r="CT22" i="38"/>
  <c r="DE46" i="37"/>
  <c r="AX35" i="26"/>
  <c r="AV104" i="38"/>
  <c r="H76" i="40"/>
  <c r="N72" i="36"/>
  <c r="CW11" i="40"/>
  <c r="BR19" i="26"/>
  <c r="CF35" i="38"/>
  <c r="AC55" i="37"/>
  <c r="K68" i="25"/>
  <c r="P51" i="37"/>
  <c r="CE38" i="37"/>
  <c r="AM55" i="39"/>
  <c r="BF53" i="39"/>
  <c r="BF81" i="38"/>
  <c r="H63" i="1"/>
  <c r="AF68" i="26"/>
  <c r="CQ46" i="1"/>
  <c r="CR35" i="41"/>
  <c r="AO99" i="37"/>
  <c r="BS22" i="25"/>
  <c r="AH76" i="36"/>
  <c r="BX14" i="26"/>
  <c r="BX15" i="26" s="1"/>
  <c r="CN72" i="38"/>
  <c r="CY28" i="25"/>
  <c r="CY32" i="25" s="1"/>
  <c r="CK76" i="39"/>
  <c r="BE51" i="36"/>
  <c r="CL19" i="41"/>
  <c r="CI38" i="36"/>
  <c r="BY38" i="38"/>
  <c r="T55" i="60"/>
  <c r="CO22" i="40"/>
  <c r="DA14" i="25"/>
  <c r="BX38" i="41"/>
  <c r="DA11" i="26"/>
  <c r="AZ63" i="40"/>
  <c r="V51" i="37"/>
  <c r="AN99" i="40"/>
  <c r="AV19" i="1"/>
  <c r="BC22" i="1"/>
  <c r="AR11" i="40"/>
  <c r="AT72" i="26"/>
  <c r="CM104" i="1"/>
  <c r="BV38" i="1"/>
  <c r="BD19" i="1"/>
  <c r="AH19" i="41"/>
  <c r="W28" i="39"/>
  <c r="W32" i="39" s="1"/>
  <c r="S22" i="41"/>
  <c r="AK21" i="41"/>
  <c r="BP72" i="36"/>
  <c r="CP46" i="41"/>
  <c r="AT93" i="40"/>
  <c r="DH66" i="1"/>
  <c r="AB76" i="39"/>
  <c r="CP19" i="37"/>
  <c r="K51" i="1"/>
  <c r="AP76" i="39"/>
  <c r="M31" i="26"/>
  <c r="M32" i="26" s="1"/>
  <c r="W22" i="26"/>
  <c r="CO28" i="41"/>
  <c r="BW76" i="1"/>
  <c r="K93" i="37"/>
  <c r="Q27" i="36"/>
  <c r="AZ19" i="36"/>
  <c r="AR22" i="38"/>
  <c r="O68" i="37"/>
  <c r="BD28" i="36"/>
  <c r="BD32" i="36" s="1"/>
  <c r="BP38" i="39"/>
  <c r="CC35" i="39"/>
  <c r="CN28" i="36"/>
  <c r="CN32" i="36" s="1"/>
  <c r="BS35" i="26"/>
  <c r="CY46" i="1"/>
  <c r="AH104" i="39"/>
  <c r="DE31" i="26"/>
  <c r="DE32" i="26" s="1"/>
  <c r="BE14" i="1"/>
  <c r="BE15" i="1" s="1"/>
  <c r="G76" i="40"/>
  <c r="Q76" i="40" s="1"/>
  <c r="Q75" i="40"/>
  <c r="DH17" i="26"/>
  <c r="BO19" i="26"/>
  <c r="AI35" i="26"/>
  <c r="AT76" i="39"/>
  <c r="U39" i="60"/>
  <c r="CC72" i="41"/>
  <c r="AW35" i="41"/>
  <c r="DB28" i="26"/>
  <c r="DB32" i="26" s="1"/>
  <c r="O38" i="26"/>
  <c r="DB99" i="39"/>
  <c r="DD38" i="39"/>
  <c r="CK19" i="1"/>
  <c r="CU14" i="1"/>
  <c r="CU15" i="1" s="1"/>
  <c r="BS46" i="1"/>
  <c r="AG63" i="38"/>
  <c r="Y76" i="39"/>
  <c r="AO46" i="38"/>
  <c r="K38" i="37"/>
  <c r="DE14" i="36"/>
  <c r="DE15" i="36" s="1"/>
  <c r="CP31" i="36"/>
  <c r="CZ19" i="37"/>
  <c r="Q53" i="36"/>
  <c r="G55" i="36"/>
  <c r="CI76" i="25"/>
  <c r="CE46" i="41"/>
  <c r="CX68" i="41"/>
  <c r="AE72" i="36"/>
  <c r="AC82" i="1"/>
  <c r="BI19" i="26"/>
  <c r="CG46" i="40"/>
  <c r="L46" i="36"/>
  <c r="N28" i="40"/>
  <c r="CY19" i="40"/>
  <c r="AZ35" i="25"/>
  <c r="CR11" i="40"/>
  <c r="AY46" i="1"/>
  <c r="CM72" i="1"/>
  <c r="AW31" i="37"/>
  <c r="AQ68" i="39"/>
  <c r="AV32" i="38"/>
  <c r="CR63" i="1"/>
  <c r="CW55" i="41"/>
  <c r="K51" i="38"/>
  <c r="CI51" i="26"/>
  <c r="CN76" i="41"/>
  <c r="CD38" i="36"/>
  <c r="DF38" i="1"/>
  <c r="Y14" i="38"/>
  <c r="AD104" i="37"/>
  <c r="BH28" i="37"/>
  <c r="BJ26" i="37"/>
  <c r="BJ98" i="25"/>
  <c r="CS28" i="41"/>
  <c r="CS32" i="41" s="1"/>
  <c r="DC35" i="36"/>
  <c r="CK82" i="41"/>
  <c r="N38" i="39"/>
  <c r="W31" i="38"/>
  <c r="W32" i="38" s="1"/>
  <c r="AI76" i="39"/>
  <c r="BI76" i="25"/>
  <c r="CF93" i="38"/>
  <c r="CF106" i="38" s="1"/>
  <c r="J82" i="40"/>
  <c r="AR35" i="38"/>
  <c r="BS72" i="25"/>
  <c r="AK58" i="41"/>
  <c r="BI72" i="41"/>
  <c r="CV104" i="38"/>
  <c r="BU19" i="41"/>
  <c r="T68" i="25"/>
  <c r="M68" i="37"/>
  <c r="CO11" i="37"/>
  <c r="CO15" i="37" s="1"/>
  <c r="V38" i="39"/>
  <c r="AA46" i="41"/>
  <c r="AG19" i="26"/>
  <c r="CH63" i="25"/>
  <c r="AQ46" i="25"/>
  <c r="AJ22" i="60"/>
  <c r="CV93" i="1"/>
  <c r="BP104" i="25"/>
  <c r="BJ27" i="37"/>
  <c r="AH55" i="1"/>
  <c r="CS93" i="36"/>
  <c r="CR31" i="37"/>
  <c r="CR32" i="37" s="1"/>
  <c r="AY93" i="37"/>
  <c r="AY106" i="37" s="1"/>
  <c r="T46" i="39"/>
  <c r="BP99" i="40"/>
  <c r="AN46" i="36"/>
  <c r="L55" i="26"/>
  <c r="Q54" i="41"/>
  <c r="DD19" i="26"/>
  <c r="X11" i="25"/>
  <c r="X46" i="40"/>
  <c r="I31" i="1"/>
  <c r="I32" i="1" s="1"/>
  <c r="CW99" i="26"/>
  <c r="Q102" i="39"/>
  <c r="G104" i="39"/>
  <c r="CA51" i="36"/>
  <c r="H14" i="39"/>
  <c r="CZ68" i="37"/>
  <c r="AS76" i="1"/>
  <c r="BT46" i="41"/>
  <c r="AQ19" i="41"/>
  <c r="CY55" i="41"/>
  <c r="DE63" i="36"/>
  <c r="CA28" i="36"/>
  <c r="AB68" i="1"/>
  <c r="AI31" i="37"/>
  <c r="AI32" i="37" s="1"/>
  <c r="AE72" i="1"/>
  <c r="DE82" i="36"/>
  <c r="BS82" i="26"/>
  <c r="Z99" i="39"/>
  <c r="Q50" i="25"/>
  <c r="BL50" i="25" s="1"/>
  <c r="AY51" i="36"/>
  <c r="N46" i="41"/>
  <c r="P63" i="1"/>
  <c r="CP99" i="26"/>
  <c r="BB82" i="38"/>
  <c r="BD19" i="25"/>
  <c r="BJ58" i="39"/>
  <c r="DC68" i="37"/>
  <c r="BQ104" i="38"/>
  <c r="N104" i="39"/>
  <c r="AP72" i="39"/>
  <c r="BY19" i="37"/>
  <c r="BA31" i="37"/>
  <c r="BA32" i="37" s="1"/>
  <c r="AF22" i="37"/>
  <c r="CG31" i="36"/>
  <c r="CG32" i="36" s="1"/>
  <c r="AO28" i="39"/>
  <c r="CL38" i="25"/>
  <c r="U54" i="60"/>
  <c r="AF8" i="60"/>
  <c r="BC35" i="25"/>
  <c r="K72" i="37"/>
  <c r="AN55" i="39"/>
  <c r="AA22" i="38"/>
  <c r="CR28" i="41"/>
  <c r="AE68" i="1"/>
  <c r="P99" i="40"/>
  <c r="CL82" i="37"/>
  <c r="K51" i="36"/>
  <c r="CP82" i="36"/>
  <c r="BW76" i="37"/>
  <c r="AA68" i="25"/>
  <c r="BX19" i="40"/>
  <c r="U55" i="36"/>
  <c r="AS68" i="41"/>
  <c r="G31" i="37"/>
  <c r="Q29" i="37"/>
  <c r="AA63" i="25"/>
  <c r="BJ58" i="41"/>
  <c r="W19" i="1"/>
  <c r="AN14" i="25"/>
  <c r="AT11" i="36"/>
  <c r="AA11" i="25"/>
  <c r="O11" i="40"/>
  <c r="AW68" i="38"/>
  <c r="J46" i="1"/>
  <c r="CM38" i="40"/>
  <c r="CP35" i="1"/>
  <c r="AA22" i="37"/>
  <c r="BF49" i="25"/>
  <c r="CT35" i="25"/>
  <c r="X51" i="1"/>
  <c r="AD93" i="37"/>
  <c r="DD51" i="25"/>
  <c r="CV51" i="36"/>
  <c r="CX76" i="38"/>
  <c r="AZ11" i="37"/>
  <c r="AG51" i="40"/>
  <c r="CP93" i="40"/>
  <c r="AN99" i="25"/>
  <c r="CB93" i="26"/>
  <c r="CB106" i="26" s="1"/>
  <c r="AG72" i="38"/>
  <c r="M68" i="41"/>
  <c r="K76" i="38"/>
  <c r="BJ12" i="1"/>
  <c r="BH14" i="1"/>
  <c r="H32" i="40"/>
  <c r="Y28" i="36"/>
  <c r="Y32" i="36" s="1"/>
  <c r="AZ72" i="25"/>
  <c r="AE51" i="1"/>
  <c r="BJ37" i="25"/>
  <c r="BH38" i="25"/>
  <c r="BJ38" i="25" s="1"/>
  <c r="G14" i="37"/>
  <c r="Q12" i="37"/>
  <c r="Q18" i="1"/>
  <c r="BL18" i="1" s="1"/>
  <c r="Y99" i="40"/>
  <c r="CW38" i="1"/>
  <c r="CT63" i="41"/>
  <c r="BS32" i="1"/>
  <c r="CI104" i="40"/>
  <c r="S14" i="60"/>
  <c r="AY104" i="40"/>
  <c r="CT19" i="25"/>
  <c r="BY99" i="25"/>
  <c r="M72" i="39"/>
  <c r="O14" i="1"/>
  <c r="DA19" i="1"/>
  <c r="AO31" i="1"/>
  <c r="U38" i="25"/>
  <c r="BC31" i="25"/>
  <c r="BD51" i="37"/>
  <c r="BF17" i="1"/>
  <c r="AM19" i="1"/>
  <c r="L93" i="36"/>
  <c r="M46" i="36"/>
  <c r="AR82" i="25"/>
  <c r="M76" i="39"/>
  <c r="CE68" i="38"/>
  <c r="BX28" i="26"/>
  <c r="BX32" i="26" s="1"/>
  <c r="AK18" i="25"/>
  <c r="CS11" i="36"/>
  <c r="DH58" i="37"/>
  <c r="CY93" i="37"/>
  <c r="BX63" i="36"/>
  <c r="AO72" i="1"/>
  <c r="Q30" i="25"/>
  <c r="V14" i="38"/>
  <c r="CK76" i="40"/>
  <c r="AY63" i="41"/>
  <c r="CQ46" i="41"/>
  <c r="AC19" i="1"/>
  <c r="Q92" i="26"/>
  <c r="AB19" i="40"/>
  <c r="AS31" i="26"/>
  <c r="CS46" i="25"/>
  <c r="Q37" i="37"/>
  <c r="BL37" i="37" s="1"/>
  <c r="G38" i="37"/>
  <c r="O38" i="40"/>
  <c r="CC93" i="25"/>
  <c r="T63" i="1"/>
  <c r="AO55" i="40"/>
  <c r="N104" i="1"/>
  <c r="AW22" i="1"/>
  <c r="AN35" i="41"/>
  <c r="DE14" i="41"/>
  <c r="DE15" i="41" s="1"/>
  <c r="CS38" i="39"/>
  <c r="CJ68" i="39"/>
  <c r="BJ60" i="39"/>
  <c r="CV55" i="41"/>
  <c r="O28" i="38"/>
  <c r="Q34" i="36"/>
  <c r="BL34" i="36" s="1"/>
  <c r="G35" i="36"/>
  <c r="CQ55" i="38"/>
  <c r="AS72" i="37"/>
  <c r="BW28" i="1"/>
  <c r="BW32" i="1" s="1"/>
  <c r="AU11" i="25"/>
  <c r="CJ68" i="1"/>
  <c r="CH72" i="39"/>
  <c r="P76" i="26"/>
  <c r="AK27" i="38"/>
  <c r="DB72" i="38"/>
  <c r="BE19" i="25"/>
  <c r="M55" i="40"/>
  <c r="AR19" i="36"/>
  <c r="BR38" i="40"/>
  <c r="J55" i="41"/>
  <c r="K82" i="41"/>
  <c r="BU99" i="41"/>
  <c r="AC28" i="37"/>
  <c r="CB82" i="38"/>
  <c r="CA51" i="37"/>
  <c r="CE55" i="37"/>
  <c r="DA32" i="26"/>
  <c r="DE82" i="41"/>
  <c r="CG68" i="26"/>
  <c r="DH50" i="36"/>
  <c r="CK99" i="39"/>
  <c r="CW19" i="39"/>
  <c r="AS51" i="41"/>
  <c r="BJ75" i="40"/>
  <c r="BH76" i="40"/>
  <c r="CT51" i="39"/>
  <c r="BS46" i="37"/>
  <c r="X14" i="41"/>
  <c r="X15" i="41" s="1"/>
  <c r="AF68" i="37"/>
  <c r="CZ93" i="26"/>
  <c r="AY55" i="1"/>
  <c r="CD99" i="1"/>
  <c r="AP31" i="39"/>
  <c r="AF46" i="25"/>
  <c r="BJ61" i="26"/>
  <c r="AN72" i="41"/>
  <c r="I63" i="39"/>
  <c r="Z55" i="1"/>
  <c r="P35" i="26"/>
  <c r="V76" i="26"/>
  <c r="S99" i="39"/>
  <c r="AY31" i="38"/>
  <c r="AY32" i="38" s="1"/>
  <c r="CM38" i="25"/>
  <c r="AI49" i="60"/>
  <c r="X48" i="60"/>
  <c r="W51" i="40"/>
  <c r="AZ63" i="38"/>
  <c r="CE72" i="39"/>
  <c r="AU35" i="26"/>
  <c r="AW22" i="41"/>
  <c r="T38" i="39"/>
  <c r="Y31" i="41"/>
  <c r="AD55" i="41"/>
  <c r="BJ60" i="1"/>
  <c r="BI14" i="41"/>
  <c r="CN55" i="1"/>
  <c r="CU22" i="40"/>
  <c r="BF27" i="25"/>
  <c r="BB68" i="36"/>
  <c r="AR104" i="40"/>
  <c r="AO28" i="26"/>
  <c r="AO32" i="26" s="1"/>
  <c r="AS46" i="37"/>
  <c r="I72" i="40"/>
  <c r="BA72" i="40"/>
  <c r="M68" i="1"/>
  <c r="AB35" i="1"/>
  <c r="BY93" i="40"/>
  <c r="CW11" i="41"/>
  <c r="BO35" i="41"/>
  <c r="DH34" i="41"/>
  <c r="CV19" i="41"/>
  <c r="K14" i="1"/>
  <c r="K15" i="1" s="1"/>
  <c r="AM22" i="37"/>
  <c r="BF21" i="37"/>
  <c r="BA99" i="39"/>
  <c r="Y38" i="26"/>
  <c r="CI22" i="25"/>
  <c r="BQ35" i="25"/>
  <c r="BY22" i="36"/>
  <c r="DA104" i="40"/>
  <c r="DA106" i="40" s="1"/>
  <c r="AF31" i="1"/>
  <c r="AF32" i="1" s="1"/>
  <c r="CB46" i="25"/>
  <c r="BB19" i="41"/>
  <c r="CH31" i="39"/>
  <c r="BW51" i="37"/>
  <c r="Z93" i="40"/>
  <c r="DF104" i="38"/>
  <c r="L14" i="41"/>
  <c r="L15" i="41" s="1"/>
  <c r="CV28" i="41"/>
  <c r="CV32" i="41" s="1"/>
  <c r="CJ22" i="39"/>
  <c r="BF50" i="36"/>
  <c r="J99" i="37"/>
  <c r="AX22" i="36"/>
  <c r="BQ51" i="38"/>
  <c r="AF51" i="37"/>
  <c r="BI72" i="36"/>
  <c r="AB14" i="25"/>
  <c r="CL46" i="38"/>
  <c r="X28" i="36"/>
  <c r="X32" i="36" s="1"/>
  <c r="H32" i="38"/>
  <c r="BV82" i="38"/>
  <c r="AV93" i="37"/>
  <c r="AD46" i="39"/>
  <c r="BZ76" i="36"/>
  <c r="CM99" i="26"/>
  <c r="AU82" i="37"/>
  <c r="AI38" i="40"/>
  <c r="CJ104" i="26"/>
  <c r="I22" i="41"/>
  <c r="V82" i="41"/>
  <c r="CY51" i="26"/>
  <c r="CY28" i="36"/>
  <c r="CY32" i="36" s="1"/>
  <c r="BZ28" i="36"/>
  <c r="AF68" i="38"/>
  <c r="AG68" i="26"/>
  <c r="AX68" i="41"/>
  <c r="CE11" i="41"/>
  <c r="BD28" i="37"/>
  <c r="CG55" i="38"/>
  <c r="AV72" i="38"/>
  <c r="BJ48" i="39"/>
  <c r="BH51" i="39"/>
  <c r="AQ19" i="1"/>
  <c r="BY14" i="37"/>
  <c r="BY15" i="37" s="1"/>
  <c r="CW63" i="39"/>
  <c r="CV72" i="25"/>
  <c r="CX35" i="38"/>
  <c r="DE82" i="37"/>
  <c r="BO63" i="36"/>
  <c r="DH57" i="36"/>
  <c r="AU46" i="40"/>
  <c r="AU82" i="39"/>
  <c r="BJ66" i="38"/>
  <c r="CE72" i="1"/>
  <c r="BW104" i="36"/>
  <c r="AB104" i="41"/>
  <c r="CO76" i="1"/>
  <c r="V72" i="1"/>
  <c r="AC76" i="1"/>
  <c r="AW14" i="41"/>
  <c r="AW15" i="41" s="1"/>
  <c r="CE38" i="26"/>
  <c r="AF82" i="41"/>
  <c r="AD76" i="26"/>
  <c r="M76" i="41"/>
  <c r="H38" i="39"/>
  <c r="DF68" i="26"/>
  <c r="DA68" i="26"/>
  <c r="AO76" i="26"/>
  <c r="BV63" i="36"/>
  <c r="AW38" i="36"/>
  <c r="CK14" i="41"/>
  <c r="BY14" i="39"/>
  <c r="BY15" i="39" s="1"/>
  <c r="BX93" i="38"/>
  <c r="BX106" i="38" s="1"/>
  <c r="BE63" i="41"/>
  <c r="AA72" i="39"/>
  <c r="CC38" i="36"/>
  <c r="BF49" i="37"/>
  <c r="Q18" i="25"/>
  <c r="AT68" i="38"/>
  <c r="X76" i="1"/>
  <c r="AW11" i="25"/>
  <c r="AG82" i="1"/>
  <c r="AS14" i="41"/>
  <c r="AS15" i="41" s="1"/>
  <c r="J93" i="25"/>
  <c r="BJ62" i="40"/>
  <c r="S38" i="40"/>
  <c r="AK37" i="40"/>
  <c r="CJ82" i="25"/>
  <c r="CG11" i="1"/>
  <c r="DE93" i="39"/>
  <c r="CT51" i="1"/>
  <c r="AM76" i="39"/>
  <c r="BF75" i="39"/>
  <c r="CC11" i="37"/>
  <c r="CC15" i="37" s="1"/>
  <c r="CN104" i="25"/>
  <c r="BO99" i="41"/>
  <c r="X72" i="26"/>
  <c r="BV38" i="38"/>
  <c r="CZ93" i="36"/>
  <c r="AS14" i="37"/>
  <c r="AS15" i="37" s="1"/>
  <c r="BF62" i="36"/>
  <c r="CP35" i="26"/>
  <c r="AR76" i="36"/>
  <c r="Q17" i="25"/>
  <c r="BL17" i="25" s="1"/>
  <c r="G19" i="25"/>
  <c r="CS31" i="38"/>
  <c r="DA19" i="38"/>
  <c r="CQ35" i="1"/>
  <c r="DB72" i="37"/>
  <c r="O72" i="25"/>
  <c r="AT93" i="26"/>
  <c r="BC14" i="40"/>
  <c r="CM22" i="41"/>
  <c r="AV28" i="36"/>
  <c r="AV32" i="36" s="1"/>
  <c r="H51" i="40"/>
  <c r="CY104" i="36"/>
  <c r="BU28" i="37"/>
  <c r="CY51" i="36"/>
  <c r="CJ104" i="40"/>
  <c r="CJ106" i="40" s="1"/>
  <c r="BR35" i="25"/>
  <c r="L46" i="41"/>
  <c r="BB22" i="1"/>
  <c r="P32" i="37"/>
  <c r="Y72" i="39"/>
  <c r="I38" i="25"/>
  <c r="CA72" i="26"/>
  <c r="AP104" i="36"/>
  <c r="BV46" i="36"/>
  <c r="AH19" i="26"/>
  <c r="CD93" i="40"/>
  <c r="CD106" i="40" s="1"/>
  <c r="L99" i="41"/>
  <c r="W68" i="40"/>
  <c r="BH104" i="25"/>
  <c r="BP104" i="39"/>
  <c r="AP68" i="1"/>
  <c r="BC76" i="37"/>
  <c r="AZ19" i="41"/>
  <c r="AI104" i="25"/>
  <c r="CC28" i="1"/>
  <c r="CC32" i="1" s="1"/>
  <c r="AQ68" i="40"/>
  <c r="BJ10" i="36"/>
  <c r="CR28" i="37"/>
  <c r="BT46" i="36"/>
  <c r="Y35" i="37"/>
  <c r="AH51" i="25"/>
  <c r="AH84" i="25" s="1"/>
  <c r="CD72" i="37"/>
  <c r="AN46" i="37"/>
  <c r="DE19" i="36"/>
  <c r="AN22" i="41"/>
  <c r="AZ93" i="36"/>
  <c r="CT19" i="26"/>
  <c r="AR14" i="40"/>
  <c r="AR15" i="40" s="1"/>
  <c r="AI35" i="36"/>
  <c r="BZ93" i="39"/>
  <c r="BZ106" i="39" s="1"/>
  <c r="BR72" i="38"/>
  <c r="BP72" i="1"/>
  <c r="CW35" i="36"/>
  <c r="P104" i="37"/>
  <c r="BF10" i="41"/>
  <c r="AS22" i="37"/>
  <c r="T63" i="40"/>
  <c r="CU19" i="26"/>
  <c r="X35" i="41"/>
  <c r="AV82" i="36"/>
  <c r="BA68" i="38"/>
  <c r="BF79" i="40"/>
  <c r="AM82" i="40"/>
  <c r="AA46" i="25"/>
  <c r="BJ26" i="25"/>
  <c r="BH28" i="25"/>
  <c r="BJ28" i="25" s="1"/>
  <c r="BA35" i="26"/>
  <c r="AW55" i="36"/>
  <c r="J104" i="26"/>
  <c r="CP72" i="38"/>
  <c r="BS76" i="26"/>
  <c r="CG22" i="37"/>
  <c r="CD93" i="36"/>
  <c r="DH54" i="39"/>
  <c r="AS46" i="25"/>
  <c r="DF19" i="39"/>
  <c r="Q62" i="25"/>
  <c r="BL62" i="25" s="1"/>
  <c r="CX72" i="26"/>
  <c r="DH62" i="41"/>
  <c r="BT22" i="25"/>
  <c r="CB51" i="41"/>
  <c r="AD76" i="37"/>
  <c r="T51" i="1"/>
  <c r="BW11" i="39"/>
  <c r="BW15" i="39" s="1"/>
  <c r="AN19" i="1"/>
  <c r="DD99" i="1"/>
  <c r="H93" i="37"/>
  <c r="O55" i="39"/>
  <c r="BQ99" i="26"/>
  <c r="BP104" i="36"/>
  <c r="W22" i="37"/>
  <c r="BS22" i="1"/>
  <c r="Q17" i="37"/>
  <c r="G19" i="37"/>
  <c r="CS14" i="39"/>
  <c r="CS15" i="39" s="1"/>
  <c r="Q25" i="37"/>
  <c r="BL25" i="37" s="1"/>
  <c r="AX28" i="25"/>
  <c r="P99" i="37"/>
  <c r="Q30" i="36"/>
  <c r="AT72" i="39"/>
  <c r="AU14" i="1"/>
  <c r="DH103" i="41"/>
  <c r="BV104" i="40"/>
  <c r="BJ29" i="40"/>
  <c r="BH31" i="40"/>
  <c r="BJ31" i="40" s="1"/>
  <c r="BW38" i="36"/>
  <c r="CD11" i="26"/>
  <c r="CD15" i="26" s="1"/>
  <c r="P35" i="39"/>
  <c r="CO46" i="36"/>
  <c r="CB46" i="36"/>
  <c r="X76" i="41"/>
  <c r="AA38" i="37"/>
  <c r="CC19" i="26"/>
  <c r="BR104" i="40"/>
  <c r="BF92" i="37"/>
  <c r="AB19" i="25"/>
  <c r="DH62" i="26"/>
  <c r="CB46" i="26"/>
  <c r="CU19" i="38"/>
  <c r="W68" i="41"/>
  <c r="AW19" i="38"/>
  <c r="AH68" i="1"/>
  <c r="BJ27" i="1"/>
  <c r="AO35" i="37"/>
  <c r="J93" i="36"/>
  <c r="J106" i="36" s="1"/>
  <c r="BD19" i="41"/>
  <c r="CO14" i="25"/>
  <c r="AD7" i="60"/>
  <c r="T56" i="60"/>
  <c r="AA82" i="39"/>
  <c r="BY14" i="38"/>
  <c r="BY15" i="38" s="1"/>
  <c r="AY55" i="37"/>
  <c r="CF55" i="39"/>
  <c r="S14" i="38"/>
  <c r="AK12" i="38"/>
  <c r="BL12" i="38" s="1"/>
  <c r="CL93" i="40"/>
  <c r="BF79" i="25"/>
  <c r="AM82" i="25"/>
  <c r="BP31" i="36"/>
  <c r="Z46" i="25"/>
  <c r="BQ63" i="1"/>
  <c r="P68" i="36"/>
  <c r="BA51" i="36"/>
  <c r="AK59" i="1"/>
  <c r="BB14" i="26"/>
  <c r="BB15" i="26" s="1"/>
  <c r="AH31" i="37"/>
  <c r="AH32" i="37" s="1"/>
  <c r="BJ27" i="39"/>
  <c r="AX93" i="26"/>
  <c r="BQ76" i="37"/>
  <c r="N76" i="38"/>
  <c r="CH14" i="37"/>
  <c r="CH15" i="37" s="1"/>
  <c r="CH40" i="37" s="1"/>
  <c r="CI51" i="39"/>
  <c r="Y31" i="36"/>
  <c r="BX14" i="36"/>
  <c r="BX15" i="36" s="1"/>
  <c r="CG19" i="36"/>
  <c r="CZ68" i="36"/>
  <c r="AF31" i="37"/>
  <c r="O28" i="39"/>
  <c r="O32" i="39" s="1"/>
  <c r="H51" i="1"/>
  <c r="CK82" i="25"/>
  <c r="CK76" i="36"/>
  <c r="AN68" i="39"/>
  <c r="L14" i="26"/>
  <c r="Z93" i="1"/>
  <c r="BV11" i="26"/>
  <c r="BV15" i="26" s="1"/>
  <c r="AE104" i="26"/>
  <c r="N31" i="37"/>
  <c r="AN28" i="26"/>
  <c r="AR28" i="41"/>
  <c r="AR32" i="41" s="1"/>
  <c r="DF104" i="1"/>
  <c r="DF106" i="1" s="1"/>
  <c r="BX46" i="41"/>
  <c r="O22" i="1"/>
  <c r="DA19" i="37"/>
  <c r="T76" i="26"/>
  <c r="CS99" i="38"/>
  <c r="CU51" i="38"/>
  <c r="BX76" i="40"/>
  <c r="P93" i="25"/>
  <c r="P106" i="25" s="1"/>
  <c r="CB63" i="41"/>
  <c r="CD68" i="25"/>
  <c r="AH22" i="41"/>
  <c r="Q102" i="25"/>
  <c r="G104" i="25"/>
  <c r="CO31" i="36"/>
  <c r="CO32" i="36" s="1"/>
  <c r="BI14" i="36"/>
  <c r="BI15" i="36" s="1"/>
  <c r="AN99" i="1"/>
  <c r="BJ26" i="1"/>
  <c r="BH28" i="1"/>
  <c r="BY104" i="40"/>
  <c r="CF55" i="40"/>
  <c r="BU104" i="39"/>
  <c r="BU106" i="39" s="1"/>
  <c r="AU99" i="40"/>
  <c r="CC51" i="38"/>
  <c r="BT38" i="41"/>
  <c r="CN55" i="39"/>
  <c r="BZ35" i="37"/>
  <c r="CV104" i="25"/>
  <c r="CK68" i="38"/>
  <c r="BZ11" i="1"/>
  <c r="BT63" i="37"/>
  <c r="CT31" i="26"/>
  <c r="CT32" i="26" s="1"/>
  <c r="CC68" i="26"/>
  <c r="CZ93" i="37"/>
  <c r="CZ106" i="37" s="1"/>
  <c r="AQ63" i="36"/>
  <c r="S93" i="41"/>
  <c r="AK89" i="41"/>
  <c r="AH35" i="39"/>
  <c r="CL35" i="26"/>
  <c r="CS72" i="39"/>
  <c r="AA46" i="36"/>
  <c r="BJ50" i="41"/>
  <c r="Q60" i="39"/>
  <c r="CG46" i="39"/>
  <c r="DD82" i="36"/>
  <c r="BX19" i="39"/>
  <c r="I19" i="40"/>
  <c r="BF21" i="1"/>
  <c r="AM22" i="1"/>
  <c r="AZ93" i="37"/>
  <c r="CI68" i="1"/>
  <c r="BW55" i="40"/>
  <c r="BT63" i="25"/>
  <c r="BU46" i="36"/>
  <c r="K287" i="46"/>
  <c r="K298" i="46" s="1"/>
  <c r="AO68" i="38"/>
  <c r="H38" i="40"/>
  <c r="AK25" i="26"/>
  <c r="CS72" i="26"/>
  <c r="AX99" i="39"/>
  <c r="CR76" i="1"/>
  <c r="BR19" i="38"/>
  <c r="BD35" i="41"/>
  <c r="AY35" i="39"/>
  <c r="Z28" i="36"/>
  <c r="V14" i="25"/>
  <c r="CN68" i="26"/>
  <c r="CE14" i="41"/>
  <c r="CE15" i="41" s="1"/>
  <c r="DH67" i="41"/>
  <c r="CO72" i="1"/>
  <c r="AK66" i="25"/>
  <c r="K38" i="40"/>
  <c r="AO68" i="26"/>
  <c r="BA19" i="26"/>
  <c r="S31" i="41"/>
  <c r="AK29" i="41"/>
  <c r="BI68" i="38"/>
  <c r="AI55" i="36"/>
  <c r="CX51" i="26"/>
  <c r="BF10" i="1"/>
  <c r="AO68" i="37"/>
  <c r="CS93" i="41"/>
  <c r="CS106" i="41" s="1"/>
  <c r="AM19" i="37"/>
  <c r="BF17" i="37"/>
  <c r="AE72" i="37"/>
  <c r="BR63" i="38"/>
  <c r="BV55" i="39"/>
  <c r="CC28" i="40"/>
  <c r="CC32" i="40" s="1"/>
  <c r="DC46" i="39"/>
  <c r="BV55" i="1"/>
  <c r="CT82" i="25"/>
  <c r="CP11" i="26"/>
  <c r="CQ82" i="1"/>
  <c r="DC31" i="1"/>
  <c r="BF62" i="38"/>
  <c r="AV93" i="40"/>
  <c r="AV106" i="40" s="1"/>
  <c r="AY38" i="41"/>
  <c r="CU46" i="25"/>
  <c r="Q67" i="37"/>
  <c r="BL67" i="37" s="1"/>
  <c r="BW55" i="36"/>
  <c r="AS55" i="37"/>
  <c r="DF46" i="36"/>
  <c r="M38" i="39"/>
  <c r="CJ51" i="39"/>
  <c r="BF59" i="1"/>
  <c r="Y19" i="1"/>
  <c r="CR22" i="1"/>
  <c r="BE11" i="37"/>
  <c r="BE15" i="37" s="1"/>
  <c r="F289" i="46"/>
  <c r="F300" i="46" s="1"/>
  <c r="N35" i="41"/>
  <c r="CF46" i="41"/>
  <c r="BQ104" i="37"/>
  <c r="CB93" i="38"/>
  <c r="CB106" i="38" s="1"/>
  <c r="AK13" i="39"/>
  <c r="BS31" i="40"/>
  <c r="AT46" i="37"/>
  <c r="BC28" i="26"/>
  <c r="BC32" i="26" s="1"/>
  <c r="CI14" i="37"/>
  <c r="CI15" i="37" s="1"/>
  <c r="CI40" i="37" s="1"/>
  <c r="AB99" i="36"/>
  <c r="AD104" i="25"/>
  <c r="BC14" i="1"/>
  <c r="M76" i="26"/>
  <c r="M14" i="1"/>
  <c r="M15" i="1" s="1"/>
  <c r="AR82" i="26"/>
  <c r="CI46" i="36"/>
  <c r="CU99" i="1"/>
  <c r="BE99" i="39"/>
  <c r="AP46" i="26"/>
  <c r="BY31" i="37"/>
  <c r="BY32" i="37" s="1"/>
  <c r="AO99" i="40"/>
  <c r="AO106" i="40" s="1"/>
  <c r="CN14" i="39"/>
  <c r="BR55" i="40"/>
  <c r="CT76" i="38"/>
  <c r="CF38" i="26"/>
  <c r="AH46" i="1"/>
  <c r="N22" i="40"/>
  <c r="BR11" i="26"/>
  <c r="V82" i="26"/>
  <c r="DF19" i="41"/>
  <c r="Q30" i="39"/>
  <c r="BL30" i="39" s="1"/>
  <c r="AI72" i="41"/>
  <c r="BD31" i="38"/>
  <c r="K31" i="25"/>
  <c r="BQ19" i="38"/>
  <c r="CS63" i="40"/>
  <c r="DD32" i="26"/>
  <c r="Y31" i="40"/>
  <c r="CF93" i="1"/>
  <c r="CF106" i="1" s="1"/>
  <c r="AY82" i="26"/>
  <c r="BR14" i="36"/>
  <c r="Y14" i="25"/>
  <c r="Y15" i="25" s="1"/>
  <c r="CF35" i="25"/>
  <c r="AY22" i="36"/>
  <c r="CU55" i="41"/>
  <c r="CQ82" i="40"/>
  <c r="BC72" i="39"/>
  <c r="AN76" i="39"/>
  <c r="CY19" i="1"/>
  <c r="BZ82" i="37"/>
  <c r="BQ72" i="41"/>
  <c r="X35" i="38"/>
  <c r="CI55" i="40"/>
  <c r="AX72" i="26"/>
  <c r="AJ22" i="41"/>
  <c r="CI76" i="37"/>
  <c r="DA28" i="37"/>
  <c r="DA32" i="37" s="1"/>
  <c r="BQ76" i="41"/>
  <c r="CS51" i="37"/>
  <c r="BD35" i="40"/>
  <c r="CQ38" i="40"/>
  <c r="DH79" i="37"/>
  <c r="CU28" i="39"/>
  <c r="CU32" i="39" s="1"/>
  <c r="BT31" i="26"/>
  <c r="L55" i="39"/>
  <c r="AO31" i="41"/>
  <c r="BW76" i="40"/>
  <c r="CF51" i="38"/>
  <c r="BJ25" i="26"/>
  <c r="AV99" i="37"/>
  <c r="AB22" i="25"/>
  <c r="CX104" i="41"/>
  <c r="CK38" i="26"/>
  <c r="CM22" i="39"/>
  <c r="BO76" i="39"/>
  <c r="DH75" i="39"/>
  <c r="CU31" i="36"/>
  <c r="BE35" i="36"/>
  <c r="BU82" i="1"/>
  <c r="BB104" i="26"/>
  <c r="AD72" i="38"/>
  <c r="CE72" i="25"/>
  <c r="CD46" i="1"/>
  <c r="AK30" i="38"/>
  <c r="BW72" i="39"/>
  <c r="AW104" i="25"/>
  <c r="J38" i="26"/>
  <c r="AK37" i="26"/>
  <c r="S38" i="26"/>
  <c r="AU72" i="38"/>
  <c r="CU51" i="25"/>
  <c r="DC82" i="41"/>
  <c r="CY76" i="25"/>
  <c r="CO93" i="36"/>
  <c r="CO106" i="36" s="1"/>
  <c r="BV99" i="26"/>
  <c r="M14" i="40"/>
  <c r="M15" i="40" s="1"/>
  <c r="BW31" i="37"/>
  <c r="S76" i="1"/>
  <c r="AK75" i="1"/>
  <c r="CY55" i="37"/>
  <c r="M82" i="38"/>
  <c r="CG51" i="1"/>
  <c r="AY14" i="25"/>
  <c r="AY15" i="25" s="1"/>
  <c r="AX38" i="36"/>
  <c r="K35" i="38"/>
  <c r="CB11" i="26"/>
  <c r="DB22" i="37"/>
  <c r="BE22" i="38"/>
  <c r="CV63" i="39"/>
  <c r="BU28" i="25"/>
  <c r="CF19" i="25"/>
  <c r="AF93" i="1"/>
  <c r="CL68" i="41"/>
  <c r="CX68" i="38"/>
  <c r="BQ19" i="40"/>
  <c r="AM11" i="37"/>
  <c r="V51" i="36"/>
  <c r="DH65" i="1"/>
  <c r="BO68" i="1"/>
  <c r="DC93" i="25"/>
  <c r="S76" i="38"/>
  <c r="AK75" i="38"/>
  <c r="Y11" i="37"/>
  <c r="CQ11" i="37"/>
  <c r="I31" i="39"/>
  <c r="AK66" i="1"/>
  <c r="P46" i="41"/>
  <c r="AZ82" i="39"/>
  <c r="DH27" i="41"/>
  <c r="CB19" i="41"/>
  <c r="AY46" i="39"/>
  <c r="BW82" i="36"/>
  <c r="BT82" i="36"/>
  <c r="AT38" i="1"/>
  <c r="DE11" i="37"/>
  <c r="BB28" i="25"/>
  <c r="BB32" i="25" s="1"/>
  <c r="AK57" i="38"/>
  <c r="S63" i="38"/>
  <c r="U51" i="39"/>
  <c r="CM68" i="39"/>
  <c r="BT22" i="39"/>
  <c r="AA55" i="36"/>
  <c r="DC38" i="41"/>
  <c r="BY31" i="25"/>
  <c r="W19" i="39"/>
  <c r="CJ14" i="40"/>
  <c r="CJ15" i="40" s="1"/>
  <c r="BJ50" i="40"/>
  <c r="CR51" i="39"/>
  <c r="X72" i="40"/>
  <c r="T19" i="37"/>
  <c r="AR46" i="39"/>
  <c r="BO22" i="1"/>
  <c r="DH21" i="1"/>
  <c r="BT93" i="26"/>
  <c r="BW63" i="41"/>
  <c r="Q91" i="39"/>
  <c r="AP31" i="41"/>
  <c r="AP32" i="41" s="1"/>
  <c r="H63" i="38"/>
  <c r="N19" i="38"/>
  <c r="AF51" i="1"/>
  <c r="AD72" i="37"/>
  <c r="CZ31" i="26"/>
  <c r="AK10" i="36"/>
  <c r="BS19" i="40"/>
  <c r="BV68" i="38"/>
  <c r="L76" i="41"/>
  <c r="CD19" i="1"/>
  <c r="J38" i="1"/>
  <c r="CF19" i="40"/>
  <c r="BS35" i="37"/>
  <c r="S99" i="38"/>
  <c r="AS46" i="38"/>
  <c r="CL72" i="36"/>
  <c r="CR63" i="37"/>
  <c r="CO68" i="26"/>
  <c r="AG55" i="37"/>
  <c r="CB72" i="1"/>
  <c r="BW55" i="25"/>
  <c r="CJ93" i="39"/>
  <c r="CJ106" i="39" s="1"/>
  <c r="CG63" i="39"/>
  <c r="AP72" i="26"/>
  <c r="AF93" i="26"/>
  <c r="AX82" i="37"/>
  <c r="CT82" i="38"/>
  <c r="AP32" i="38"/>
  <c r="L38" i="40"/>
  <c r="CP68" i="1"/>
  <c r="I104" i="39"/>
  <c r="CW22" i="36"/>
  <c r="BI11" i="38"/>
  <c r="BU72" i="38"/>
  <c r="DB51" i="40"/>
  <c r="Z63" i="37"/>
  <c r="M46" i="40"/>
  <c r="L38" i="1"/>
  <c r="AT38" i="26"/>
  <c r="AG76" i="37"/>
  <c r="CG82" i="25"/>
  <c r="DD93" i="41"/>
  <c r="DD106" i="41" s="1"/>
  <c r="S19" i="41"/>
  <c r="AK17" i="41"/>
  <c r="DA11" i="39"/>
  <c r="CO38" i="41"/>
  <c r="AU11" i="37"/>
  <c r="AG14" i="39"/>
  <c r="AG15" i="39" s="1"/>
  <c r="AK48" i="38"/>
  <c r="S51" i="38"/>
  <c r="AV82" i="39"/>
  <c r="BT11" i="1"/>
  <c r="BT15" i="1" s="1"/>
  <c r="BX99" i="26"/>
  <c r="CC22" i="41"/>
  <c r="CC72" i="26"/>
  <c r="K104" i="41"/>
  <c r="AI82" i="1"/>
  <c r="O76" i="41"/>
  <c r="S49" i="60"/>
  <c r="AO49" i="60" s="1"/>
  <c r="CQ93" i="26"/>
  <c r="BR51" i="39"/>
  <c r="AJ63" i="40"/>
  <c r="V68" i="38"/>
  <c r="AW32" i="1"/>
  <c r="DH29" i="40"/>
  <c r="BO31" i="40"/>
  <c r="V28" i="37"/>
  <c r="DD104" i="37"/>
  <c r="I22" i="40"/>
  <c r="CL22" i="41"/>
  <c r="AV35" i="39"/>
  <c r="BY99" i="37"/>
  <c r="CI11" i="25"/>
  <c r="AW51" i="38"/>
  <c r="T51" i="25"/>
  <c r="CP46" i="38"/>
  <c r="BQ28" i="38"/>
  <c r="BQ32" i="38" s="1"/>
  <c r="H32" i="36"/>
  <c r="AX51" i="37"/>
  <c r="AE19" i="36"/>
  <c r="DB35" i="40"/>
  <c r="CJ28" i="38"/>
  <c r="CJ32" i="38" s="1"/>
  <c r="V93" i="41"/>
  <c r="AF46" i="36"/>
  <c r="BU46" i="37"/>
  <c r="BU55" i="37"/>
  <c r="U68" i="37"/>
  <c r="AP35" i="41"/>
  <c r="CV104" i="1"/>
  <c r="Y49" i="60"/>
  <c r="AU49" i="60" s="1"/>
  <c r="I63" i="26"/>
  <c r="BW31" i="25"/>
  <c r="BW32" i="25" s="1"/>
  <c r="BW40" i="25" s="1"/>
  <c r="Z76" i="1"/>
  <c r="CF31" i="41"/>
  <c r="CF32" i="41" s="1"/>
  <c r="AX99" i="38"/>
  <c r="CR35" i="1"/>
  <c r="BJ61" i="1"/>
  <c r="BE14" i="40"/>
  <c r="BE15" i="40" s="1"/>
  <c r="V22" i="25"/>
  <c r="BB31" i="36"/>
  <c r="BB32" i="36" s="1"/>
  <c r="BX19" i="25"/>
  <c r="AO19" i="1"/>
  <c r="AI51" i="25"/>
  <c r="BR28" i="26"/>
  <c r="BJ24" i="41"/>
  <c r="BH32" i="41"/>
  <c r="BR22" i="40"/>
  <c r="P82" i="36"/>
  <c r="CB72" i="25"/>
  <c r="BD32" i="37"/>
  <c r="CO51" i="25"/>
  <c r="CS99" i="40"/>
  <c r="BQ31" i="1"/>
  <c r="BQ32" i="1" s="1"/>
  <c r="BV14" i="40"/>
  <c r="BV15" i="40" s="1"/>
  <c r="AB28" i="39"/>
  <c r="AN46" i="38"/>
  <c r="BI11" i="1"/>
  <c r="BT99" i="1"/>
  <c r="BW68" i="40"/>
  <c r="CI35" i="40"/>
  <c r="AF63" i="39"/>
  <c r="BY68" i="36"/>
  <c r="CY76" i="41"/>
  <c r="CX38" i="39"/>
  <c r="CI76" i="41"/>
  <c r="AG46" i="40"/>
  <c r="BR14" i="39"/>
  <c r="AM82" i="39"/>
  <c r="BF79" i="39"/>
  <c r="BP63" i="39"/>
  <c r="AF63" i="37"/>
  <c r="BB19" i="39"/>
  <c r="AR51" i="39"/>
  <c r="CH82" i="38"/>
  <c r="AC99" i="41"/>
  <c r="H14" i="25"/>
  <c r="H15" i="25" s="1"/>
  <c r="AV22" i="36"/>
  <c r="CW11" i="26"/>
  <c r="CT55" i="36"/>
  <c r="BP63" i="1"/>
  <c r="AM76" i="37"/>
  <c r="BF75" i="37"/>
  <c r="BF30" i="38"/>
  <c r="J35" i="25"/>
  <c r="BZ31" i="25"/>
  <c r="BZ32" i="25" s="1"/>
  <c r="AM76" i="38"/>
  <c r="BF75" i="38"/>
  <c r="N93" i="36"/>
  <c r="CY31" i="41"/>
  <c r="CY32" i="41" s="1"/>
  <c r="J38" i="39"/>
  <c r="AX82" i="25"/>
  <c r="CI72" i="38"/>
  <c r="AA46" i="40"/>
  <c r="AT68" i="1"/>
  <c r="CZ38" i="37"/>
  <c r="CC55" i="40"/>
  <c r="BE55" i="38"/>
  <c r="DD28" i="37"/>
  <c r="DD32" i="37" s="1"/>
  <c r="CK68" i="1"/>
  <c r="AF51" i="36"/>
  <c r="CT82" i="36"/>
  <c r="CW55" i="39"/>
  <c r="CD46" i="25"/>
  <c r="BZ46" i="38"/>
  <c r="BT55" i="41"/>
  <c r="CQ38" i="41"/>
  <c r="CW76" i="38"/>
  <c r="W6" i="60"/>
  <c r="I14" i="26"/>
  <c r="I15" i="26" s="1"/>
  <c r="BT35" i="36"/>
  <c r="CY82" i="26"/>
  <c r="AS76" i="37"/>
  <c r="W72" i="25"/>
  <c r="AT19" i="37"/>
  <c r="K72" i="26"/>
  <c r="AQ93" i="39"/>
  <c r="AZ14" i="41"/>
  <c r="AZ15" i="41" s="1"/>
  <c r="AP22" i="36"/>
  <c r="CC19" i="40"/>
  <c r="DA35" i="37"/>
  <c r="W39" i="60"/>
  <c r="DB14" i="37"/>
  <c r="DB15" i="37" s="1"/>
  <c r="CM63" i="26"/>
  <c r="BD63" i="40"/>
  <c r="BH104" i="41"/>
  <c r="AD72" i="1"/>
  <c r="AQ55" i="25"/>
  <c r="AG35" i="38"/>
  <c r="BZ63" i="37"/>
  <c r="T51" i="41"/>
  <c r="H93" i="26"/>
  <c r="H106" i="26" s="1"/>
  <c r="DH25" i="1"/>
  <c r="AQ38" i="1"/>
  <c r="DE51" i="1"/>
  <c r="CB38" i="26"/>
  <c r="CE104" i="38"/>
  <c r="AI99" i="1"/>
  <c r="CL22" i="37"/>
  <c r="BX72" i="26"/>
  <c r="BE19" i="38"/>
  <c r="BD55" i="41"/>
  <c r="BS11" i="37"/>
  <c r="H104" i="40"/>
  <c r="H106" i="40" s="1"/>
  <c r="BH22" i="37"/>
  <c r="BJ22" i="37" s="1"/>
  <c r="BJ21" i="37"/>
  <c r="G68" i="40"/>
  <c r="Q65" i="40"/>
  <c r="BL65" i="40" s="1"/>
  <c r="CA31" i="36"/>
  <c r="BJ59" i="39"/>
  <c r="CK82" i="39"/>
  <c r="AD11" i="1"/>
  <c r="AD15" i="1" s="1"/>
  <c r="CX19" i="1"/>
  <c r="N38" i="40"/>
  <c r="M76" i="38"/>
  <c r="BF12" i="26"/>
  <c r="AM14" i="26"/>
  <c r="BU55" i="25"/>
  <c r="AC22" i="26"/>
  <c r="CF28" i="38"/>
  <c r="CF32" i="38" s="1"/>
  <c r="CP31" i="25"/>
  <c r="CP32" i="25" s="1"/>
  <c r="CF11" i="38"/>
  <c r="CM104" i="26"/>
  <c r="AY46" i="41"/>
  <c r="Q58" i="36"/>
  <c r="BL58" i="36" s="1"/>
  <c r="H93" i="41"/>
  <c r="BD28" i="38"/>
  <c r="AP63" i="1"/>
  <c r="CE19" i="25"/>
  <c r="CZ99" i="1"/>
  <c r="CO11" i="41"/>
  <c r="CO15" i="41" s="1"/>
  <c r="AC31" i="37"/>
  <c r="AY72" i="41"/>
  <c r="CG28" i="39"/>
  <c r="BV63" i="1"/>
  <c r="AK60" i="37"/>
  <c r="CT11" i="41"/>
  <c r="AA19" i="38"/>
  <c r="CW35" i="39"/>
  <c r="Q27" i="39"/>
  <c r="CV38" i="40"/>
  <c r="AF82" i="40"/>
  <c r="DB76" i="37"/>
  <c r="CH22" i="38"/>
  <c r="AA72" i="41"/>
  <c r="DB32" i="39"/>
  <c r="AR82" i="41"/>
  <c r="BS19" i="39"/>
  <c r="BT93" i="40"/>
  <c r="CV46" i="1"/>
  <c r="BZ99" i="25"/>
  <c r="DD72" i="25"/>
  <c r="CI11" i="39"/>
  <c r="AI72" i="37"/>
  <c r="AA22" i="25"/>
  <c r="P76" i="38"/>
  <c r="BS51" i="41"/>
  <c r="BP68" i="25"/>
  <c r="CO22" i="1"/>
  <c r="BE35" i="41"/>
  <c r="CN46" i="38"/>
  <c r="CD46" i="40"/>
  <c r="X28" i="60"/>
  <c r="P68" i="1"/>
  <c r="AS93" i="37"/>
  <c r="BZ11" i="37"/>
  <c r="BZ15" i="37" s="1"/>
  <c r="U19" i="25"/>
  <c r="AF33" i="60"/>
  <c r="CA51" i="41"/>
  <c r="CW104" i="41"/>
  <c r="AU99" i="41"/>
  <c r="CW38" i="26"/>
  <c r="BY104" i="41"/>
  <c r="CD82" i="38"/>
  <c r="CK55" i="38"/>
  <c r="G93" i="39"/>
  <c r="Q89" i="39"/>
  <c r="CI11" i="36"/>
  <c r="CM35" i="40"/>
  <c r="AI76" i="26"/>
  <c r="CX35" i="41"/>
  <c r="CQ35" i="37"/>
  <c r="AH72" i="36"/>
  <c r="BY68" i="25"/>
  <c r="AM38" i="25"/>
  <c r="BF37" i="25"/>
  <c r="CX38" i="36"/>
  <c r="BP99" i="38"/>
  <c r="CA55" i="26"/>
  <c r="CC28" i="37"/>
  <c r="CC32" i="37" s="1"/>
  <c r="K46" i="41"/>
  <c r="CR11" i="25"/>
  <c r="J99" i="25"/>
  <c r="BV68" i="37"/>
  <c r="CF76" i="41"/>
  <c r="X14" i="60"/>
  <c r="BD55" i="38"/>
  <c r="CC55" i="1"/>
  <c r="G19" i="1"/>
  <c r="Q17" i="1"/>
  <c r="CD76" i="36"/>
  <c r="BD14" i="26"/>
  <c r="BD15" i="26" s="1"/>
  <c r="AG55" i="38"/>
  <c r="DD104" i="38"/>
  <c r="CJ55" i="39"/>
  <c r="Q50" i="41"/>
  <c r="AV76" i="1"/>
  <c r="L93" i="37"/>
  <c r="L106" i="37" s="1"/>
  <c r="DC11" i="37"/>
  <c r="CF35" i="37"/>
  <c r="Y51" i="39"/>
  <c r="BX22" i="40"/>
  <c r="AP22" i="25"/>
  <c r="AN46" i="25"/>
  <c r="CI99" i="40"/>
  <c r="X14" i="1"/>
  <c r="X15" i="1" s="1"/>
  <c r="AR55" i="41"/>
  <c r="BZ35" i="38"/>
  <c r="BV68" i="36"/>
  <c r="P76" i="41"/>
  <c r="N19" i="37"/>
  <c r="DE31" i="41"/>
  <c r="DE32" i="41" s="1"/>
  <c r="AZ104" i="40"/>
  <c r="AE14" i="25"/>
  <c r="AE15" i="25" s="1"/>
  <c r="AA63" i="36"/>
  <c r="AZ68" i="41"/>
  <c r="AX19" i="38"/>
  <c r="DC35" i="41"/>
  <c r="BW28" i="39"/>
  <c r="BW32" i="39" s="1"/>
  <c r="Q57" i="25"/>
  <c r="G63" i="25"/>
  <c r="CF14" i="25"/>
  <c r="CF15" i="25" s="1"/>
  <c r="AC31" i="36"/>
  <c r="AC32" i="36" s="1"/>
  <c r="DF28" i="26"/>
  <c r="DF32" i="26" s="1"/>
  <c r="AY28" i="37"/>
  <c r="AY32" i="37" s="1"/>
  <c r="BR99" i="25"/>
  <c r="AR55" i="39"/>
  <c r="BC35" i="26"/>
  <c r="DD63" i="40"/>
  <c r="DB55" i="37"/>
  <c r="Q91" i="41"/>
  <c r="DD104" i="40"/>
  <c r="P63" i="25"/>
  <c r="AK30" i="25"/>
  <c r="AX28" i="40"/>
  <c r="AX32" i="40" s="1"/>
  <c r="CT99" i="37"/>
  <c r="Y28" i="39"/>
  <c r="Y32" i="39" s="1"/>
  <c r="AG68" i="39"/>
  <c r="AT82" i="41"/>
  <c r="L55" i="37"/>
  <c r="M278" i="46"/>
  <c r="M280" i="46" s="1"/>
  <c r="BQ22" i="1"/>
  <c r="CG14" i="40"/>
  <c r="CG15" i="40" s="1"/>
  <c r="P31" i="39"/>
  <c r="O99" i="39"/>
  <c r="I35" i="26"/>
  <c r="AD19" i="39"/>
  <c r="BS38" i="26"/>
  <c r="CP46" i="39"/>
  <c r="Q54" i="36"/>
  <c r="H72" i="38"/>
  <c r="CU28" i="37"/>
  <c r="DF11" i="41"/>
  <c r="DF15" i="41" s="1"/>
  <c r="BZ14" i="1"/>
  <c r="CS55" i="26"/>
  <c r="CC82" i="1"/>
  <c r="AV19" i="37"/>
  <c r="CA22" i="36"/>
  <c r="L104" i="25"/>
  <c r="CL68" i="39"/>
  <c r="BA55" i="38"/>
  <c r="BY93" i="36"/>
  <c r="AM35" i="40"/>
  <c r="BF34" i="40"/>
  <c r="BU76" i="41"/>
  <c r="AT55" i="41"/>
  <c r="I28" i="36"/>
  <c r="I32" i="36" s="1"/>
  <c r="J63" i="39"/>
  <c r="CY76" i="40"/>
  <c r="DF104" i="36"/>
  <c r="DF106" i="36" s="1"/>
  <c r="AX76" i="26"/>
  <c r="BU38" i="1"/>
  <c r="O19" i="37"/>
  <c r="BE99" i="36"/>
  <c r="CS14" i="40"/>
  <c r="CS15" i="40" s="1"/>
  <c r="DF55" i="39"/>
  <c r="CQ38" i="25"/>
  <c r="AX14" i="25"/>
  <c r="AX15" i="25" s="1"/>
  <c r="AW55" i="39"/>
  <c r="V63" i="38"/>
  <c r="BS19" i="41"/>
  <c r="BU63" i="39"/>
  <c r="CC14" i="38"/>
  <c r="CC15" i="38" s="1"/>
  <c r="AH11" i="37"/>
  <c r="AA51" i="26"/>
  <c r="CT35" i="26"/>
  <c r="CQ32" i="37"/>
  <c r="L31" i="26"/>
  <c r="BF66" i="41"/>
  <c r="BB38" i="26"/>
  <c r="X72" i="38"/>
  <c r="CG104" i="40"/>
  <c r="BD38" i="38"/>
  <c r="CE46" i="39"/>
  <c r="AH38" i="1"/>
  <c r="G38" i="40"/>
  <c r="Q37" i="40"/>
  <c r="BL37" i="40" s="1"/>
  <c r="H46" i="36"/>
  <c r="AF47" i="60"/>
  <c r="U24" i="60"/>
  <c r="AT35" i="41"/>
  <c r="BZ76" i="25"/>
  <c r="CD104" i="1"/>
  <c r="X46" i="39"/>
  <c r="BP68" i="38"/>
  <c r="P19" i="36"/>
  <c r="CF76" i="36"/>
  <c r="AJ22" i="26"/>
  <c r="BR46" i="37"/>
  <c r="CZ14" i="37"/>
  <c r="CZ15" i="37" s="1"/>
  <c r="AV99" i="36"/>
  <c r="AZ93" i="41"/>
  <c r="AZ106" i="41" s="1"/>
  <c r="W63" i="39"/>
  <c r="AG19" i="36"/>
  <c r="CF22" i="1"/>
  <c r="AA63" i="38"/>
  <c r="CE19" i="40"/>
  <c r="DF31" i="1"/>
  <c r="DF32" i="1" s="1"/>
  <c r="CM22" i="40"/>
  <c r="DH25" i="25"/>
  <c r="BT28" i="36"/>
  <c r="BT32" i="36" s="1"/>
  <c r="DB31" i="1"/>
  <c r="AA55" i="60"/>
  <c r="AA14" i="26"/>
  <c r="BA46" i="38"/>
  <c r="BD55" i="37"/>
  <c r="BA19" i="38"/>
  <c r="CB11" i="40"/>
  <c r="BE68" i="39"/>
  <c r="AV63" i="38"/>
  <c r="CI46" i="41"/>
  <c r="AE104" i="41"/>
  <c r="CM55" i="36"/>
  <c r="CR55" i="39"/>
  <c r="AQ38" i="36"/>
  <c r="CJ35" i="39"/>
  <c r="DC104" i="40"/>
  <c r="AP11" i="38"/>
  <c r="BQ38" i="38"/>
  <c r="CS22" i="40"/>
  <c r="H35" i="40"/>
  <c r="DF22" i="26"/>
  <c r="BD22" i="25"/>
  <c r="DD76" i="1"/>
  <c r="CE38" i="41"/>
  <c r="CR11" i="1"/>
  <c r="K35" i="41"/>
  <c r="BZ99" i="36"/>
  <c r="BR31" i="1"/>
  <c r="X35" i="39"/>
  <c r="CB11" i="38"/>
  <c r="AO68" i="36"/>
  <c r="BW31" i="39"/>
  <c r="AG82" i="36"/>
  <c r="BZ31" i="41"/>
  <c r="BW11" i="38"/>
  <c r="BW15" i="38" s="1"/>
  <c r="N99" i="36"/>
  <c r="AD104" i="41"/>
  <c r="M72" i="40"/>
  <c r="BP38" i="40"/>
  <c r="CJ38" i="41"/>
  <c r="AS99" i="40"/>
  <c r="BV72" i="41"/>
  <c r="W68" i="1"/>
  <c r="AN76" i="36"/>
  <c r="CX31" i="41"/>
  <c r="CK104" i="39"/>
  <c r="M63" i="38"/>
  <c r="M82" i="36"/>
  <c r="V76" i="1"/>
  <c r="CD104" i="38"/>
  <c r="CQ76" i="40"/>
  <c r="BQ104" i="26"/>
  <c r="AF72" i="38"/>
  <c r="CY38" i="39"/>
  <c r="BE104" i="36"/>
  <c r="Q60" i="37"/>
  <c r="BE46" i="40"/>
  <c r="CS104" i="25"/>
  <c r="CK99" i="37"/>
  <c r="AY38" i="25"/>
  <c r="AB63" i="38"/>
  <c r="AG63" i="40"/>
  <c r="AI35" i="25"/>
  <c r="CT31" i="36"/>
  <c r="CT32" i="36" s="1"/>
  <c r="AK29" i="40"/>
  <c r="S31" i="40"/>
  <c r="BZ28" i="1"/>
  <c r="CR22" i="36"/>
  <c r="AK67" i="26"/>
  <c r="AM99" i="26"/>
  <c r="BF96" i="26"/>
  <c r="CM28" i="39"/>
  <c r="DA38" i="39"/>
  <c r="V39" i="60"/>
  <c r="G82" i="1"/>
  <c r="Q79" i="1"/>
  <c r="BS46" i="40"/>
  <c r="DB28" i="41"/>
  <c r="DB32" i="41" s="1"/>
  <c r="M51" i="37"/>
  <c r="H288" i="46"/>
  <c r="H299" i="46" s="1"/>
  <c r="CX19" i="26"/>
  <c r="K55" i="37"/>
  <c r="AA14" i="60"/>
  <c r="CI104" i="39"/>
  <c r="BD82" i="25"/>
  <c r="CU93" i="25"/>
  <c r="CU106" i="25" s="1"/>
  <c r="Q48" i="41"/>
  <c r="G51" i="41"/>
  <c r="DB38" i="39"/>
  <c r="CL104" i="26"/>
  <c r="AV14" i="1"/>
  <c r="AV15" i="1" s="1"/>
  <c r="CO68" i="38"/>
  <c r="DH103" i="39"/>
  <c r="AV51" i="41"/>
  <c r="BE22" i="36"/>
  <c r="AO82" i="39"/>
  <c r="CL76" i="1"/>
  <c r="BJ25" i="1"/>
  <c r="BL25" i="1" s="1"/>
  <c r="AR11" i="41"/>
  <c r="DE68" i="36"/>
  <c r="CH32" i="36"/>
  <c r="CB14" i="41"/>
  <c r="CB15" i="41" s="1"/>
  <c r="BC38" i="41"/>
  <c r="CZ46" i="41"/>
  <c r="AE104" i="38"/>
  <c r="CJ46" i="40"/>
  <c r="P68" i="38"/>
  <c r="Q102" i="26"/>
  <c r="G104" i="26"/>
  <c r="Z14" i="60"/>
  <c r="AM19" i="41"/>
  <c r="BF17" i="41"/>
  <c r="AQ68" i="25"/>
  <c r="BZ104" i="1"/>
  <c r="BJ25" i="41"/>
  <c r="AF35" i="36"/>
  <c r="AM19" i="26"/>
  <c r="BF17" i="26"/>
  <c r="I14" i="37"/>
  <c r="I15" i="37" s="1"/>
  <c r="AO11" i="39"/>
  <c r="AQ31" i="41"/>
  <c r="AQ32" i="41" s="1"/>
  <c r="CU82" i="25"/>
  <c r="N99" i="41"/>
  <c r="CU46" i="37"/>
  <c r="CI19" i="36"/>
  <c r="CX99" i="36"/>
  <c r="G68" i="38"/>
  <c r="Q65" i="38"/>
  <c r="I28" i="26"/>
  <c r="I32" i="26" s="1"/>
  <c r="AK54" i="38"/>
  <c r="BV35" i="41"/>
  <c r="CD32" i="36"/>
  <c r="CX46" i="36"/>
  <c r="DE63" i="1"/>
  <c r="BA14" i="26"/>
  <c r="BA15" i="26" s="1"/>
  <c r="CN99" i="1"/>
  <c r="CY104" i="41"/>
  <c r="DH21" i="36"/>
  <c r="BO22" i="36"/>
  <c r="AN93" i="38"/>
  <c r="AN106" i="38" s="1"/>
  <c r="CF28" i="25"/>
  <c r="CF32" i="25" s="1"/>
  <c r="CY46" i="40"/>
  <c r="AG38" i="1"/>
  <c r="AA76" i="36"/>
  <c r="AM93" i="40"/>
  <c r="BF89" i="40"/>
  <c r="M104" i="26"/>
  <c r="BX72" i="37"/>
  <c r="BI76" i="36"/>
  <c r="BY31" i="26"/>
  <c r="BY32" i="26" s="1"/>
  <c r="AD93" i="26"/>
  <c r="AB38" i="40"/>
  <c r="BP31" i="38"/>
  <c r="BP32" i="38" s="1"/>
  <c r="AZ38" i="41"/>
  <c r="AT38" i="41"/>
  <c r="CI63" i="38"/>
  <c r="AK60" i="36"/>
  <c r="BF30" i="41"/>
  <c r="AD82" i="1"/>
  <c r="BT35" i="37"/>
  <c r="BU68" i="41"/>
  <c r="CA68" i="41"/>
  <c r="CL104" i="38"/>
  <c r="Y93" i="41"/>
  <c r="BH31" i="37"/>
  <c r="BJ29" i="37"/>
  <c r="AH35" i="40"/>
  <c r="CZ63" i="37"/>
  <c r="BF81" i="26"/>
  <c r="AS68" i="39"/>
  <c r="BB109" i="47"/>
  <c r="AK67" i="36"/>
  <c r="AY35" i="1"/>
  <c r="L82" i="39"/>
  <c r="AH51" i="1"/>
  <c r="P14" i="26"/>
  <c r="P15" i="26" s="1"/>
  <c r="CP104" i="26"/>
  <c r="CC11" i="25"/>
  <c r="BQ19" i="36"/>
  <c r="T76" i="36"/>
  <c r="W14" i="37"/>
  <c r="P46" i="40"/>
  <c r="AG82" i="41"/>
  <c r="Q18" i="37"/>
  <c r="AV68" i="38"/>
  <c r="Q89" i="38"/>
  <c r="G93" i="38"/>
  <c r="CB76" i="26"/>
  <c r="AR19" i="1"/>
  <c r="CA63" i="38"/>
  <c r="BY28" i="38"/>
  <c r="BY32" i="38" s="1"/>
  <c r="BZ68" i="38"/>
  <c r="AM14" i="37"/>
  <c r="BF12" i="37"/>
  <c r="CS14" i="1"/>
  <c r="CS15" i="1" s="1"/>
  <c r="BZ46" i="37"/>
  <c r="BP68" i="41"/>
  <c r="AR32" i="25"/>
  <c r="AO38" i="41"/>
  <c r="BF325" i="47"/>
  <c r="Y93" i="39"/>
  <c r="AE55" i="26"/>
  <c r="BF24" i="37"/>
  <c r="BB22" i="41"/>
  <c r="BQ76" i="25"/>
  <c r="AX99" i="26"/>
  <c r="I31" i="41"/>
  <c r="I32" i="41" s="1"/>
  <c r="CD22" i="40"/>
  <c r="CE11" i="37"/>
  <c r="BS28" i="38"/>
  <c r="BS32" i="38" s="1"/>
  <c r="BS40" i="38" s="1"/>
  <c r="BT46" i="37"/>
  <c r="DE11" i="39"/>
  <c r="AH22" i="26"/>
  <c r="M104" i="36"/>
  <c r="M106" i="36" s="1"/>
  <c r="AS51" i="1"/>
  <c r="CA14" i="39"/>
  <c r="CK35" i="25"/>
  <c r="AJ99" i="26"/>
  <c r="AT55" i="40"/>
  <c r="CZ38" i="1"/>
  <c r="BW31" i="36"/>
  <c r="Z42" i="60"/>
  <c r="Q67" i="38"/>
  <c r="BL67" i="38" s="1"/>
  <c r="BO28" i="1"/>
  <c r="DH26" i="1"/>
  <c r="AX104" i="1"/>
  <c r="BY55" i="26"/>
  <c r="AX68" i="40"/>
  <c r="AT72" i="1"/>
  <c r="CM55" i="25"/>
  <c r="AF68" i="1"/>
  <c r="AV93" i="25"/>
  <c r="AM76" i="1"/>
  <c r="BF75" i="1"/>
  <c r="N68" i="39"/>
  <c r="DH67" i="40"/>
  <c r="P55" i="39"/>
  <c r="BP63" i="25"/>
  <c r="CQ104" i="38"/>
  <c r="BS32" i="26"/>
  <c r="CW46" i="36"/>
  <c r="AT31" i="36"/>
  <c r="AT32" i="36" s="1"/>
  <c r="AN72" i="39"/>
  <c r="AK66" i="26"/>
  <c r="DE35" i="1"/>
  <c r="BB82" i="41"/>
  <c r="DC19" i="37"/>
  <c r="AX51" i="1"/>
  <c r="CP11" i="25"/>
  <c r="CP15" i="25" s="1"/>
  <c r="DC14" i="39"/>
  <c r="DC15" i="39" s="1"/>
  <c r="BE22" i="37"/>
  <c r="BJ67" i="40"/>
  <c r="X28" i="38"/>
  <c r="X32" i="38" s="1"/>
  <c r="AH55" i="40"/>
  <c r="CN63" i="26"/>
  <c r="Q61" i="1"/>
  <c r="BZ19" i="39"/>
  <c r="BZ31" i="40"/>
  <c r="BZ32" i="40" s="1"/>
  <c r="K28" i="36"/>
  <c r="K32" i="36" s="1"/>
  <c r="AW68" i="37"/>
  <c r="AX28" i="36"/>
  <c r="H68" i="41"/>
  <c r="CD55" i="39"/>
  <c r="CM72" i="25"/>
  <c r="BQ35" i="36"/>
  <c r="BE38" i="41"/>
  <c r="AK34" i="26"/>
  <c r="S35" i="26"/>
  <c r="AI72" i="38"/>
  <c r="CC76" i="41"/>
  <c r="CA14" i="37"/>
  <c r="CA15" i="37" s="1"/>
  <c r="CM93" i="37"/>
  <c r="AE35" i="41"/>
  <c r="CQ31" i="36"/>
  <c r="CQ32" i="36" s="1"/>
  <c r="X72" i="36"/>
  <c r="W35" i="26"/>
  <c r="I76" i="25"/>
  <c r="AJ11" i="41"/>
  <c r="P28" i="1"/>
  <c r="U31" i="25"/>
  <c r="U32" i="25" s="1"/>
  <c r="BY68" i="26"/>
  <c r="CM11" i="41"/>
  <c r="T46" i="1"/>
  <c r="AB14" i="38"/>
  <c r="BC93" i="1"/>
  <c r="V22" i="1"/>
  <c r="BV28" i="37"/>
  <c r="G51" i="36"/>
  <c r="Q48" i="36"/>
  <c r="BS93" i="38"/>
  <c r="BS106" i="38" s="1"/>
  <c r="AK50" i="60"/>
  <c r="AV50" i="60" s="1"/>
  <c r="BY104" i="36"/>
  <c r="BF62" i="39"/>
  <c r="I38" i="26"/>
  <c r="AK37" i="60"/>
  <c r="CQ99" i="39"/>
  <c r="P11" i="40"/>
  <c r="BS104" i="36"/>
  <c r="BS106" i="36" s="1"/>
  <c r="L82" i="38"/>
  <c r="CL35" i="40"/>
  <c r="BB46" i="40"/>
  <c r="BY55" i="38"/>
  <c r="AG51" i="39"/>
  <c r="AX35" i="36"/>
  <c r="CX28" i="40"/>
  <c r="CP38" i="41"/>
  <c r="BB99" i="41"/>
  <c r="Q25" i="38"/>
  <c r="X11" i="40"/>
  <c r="AI76" i="25"/>
  <c r="AD46" i="36"/>
  <c r="M31" i="41"/>
  <c r="M32" i="41" s="1"/>
  <c r="Q24" i="40"/>
  <c r="BL24" i="40" s="1"/>
  <c r="CU35" i="38"/>
  <c r="DA93" i="41"/>
  <c r="DA106" i="41" s="1"/>
  <c r="H104" i="1"/>
  <c r="H106" i="1" s="1"/>
  <c r="CD51" i="36"/>
  <c r="CM76" i="25"/>
  <c r="AU19" i="40"/>
  <c r="AF82" i="36"/>
  <c r="Q25" i="36"/>
  <c r="AB63" i="36"/>
  <c r="X38" i="39"/>
  <c r="K76" i="1"/>
  <c r="H63" i="25"/>
  <c r="DD31" i="40"/>
  <c r="DD32" i="40" s="1"/>
  <c r="BE35" i="1"/>
  <c r="BY99" i="1"/>
  <c r="BY106" i="1" s="1"/>
  <c r="BB14" i="36"/>
  <c r="BB15" i="36" s="1"/>
  <c r="J104" i="38"/>
  <c r="CA11" i="39"/>
  <c r="CB11" i="37"/>
  <c r="CB15" i="37" s="1"/>
  <c r="U35" i="41"/>
  <c r="BD99" i="37"/>
  <c r="AP82" i="39"/>
  <c r="W63" i="38"/>
  <c r="S14" i="37"/>
  <c r="AK12" i="37"/>
  <c r="AW99" i="39"/>
  <c r="AZ68" i="26"/>
  <c r="I28" i="37"/>
  <c r="BP14" i="26"/>
  <c r="V19" i="26"/>
  <c r="AY46" i="40"/>
  <c r="CN63" i="41"/>
  <c r="CR99" i="36"/>
  <c r="DF63" i="39"/>
  <c r="O11" i="39"/>
  <c r="BD38" i="25"/>
  <c r="DH50" i="39"/>
  <c r="CP22" i="25"/>
  <c r="BO14" i="40"/>
  <c r="BS55" i="1"/>
  <c r="BW11" i="1"/>
  <c r="CL82" i="40"/>
  <c r="DE82" i="26"/>
  <c r="BI28" i="1"/>
  <c r="BI32" i="1" s="1"/>
  <c r="BF96" i="25"/>
  <c r="AM99" i="25"/>
  <c r="BA104" i="1"/>
  <c r="CO63" i="25"/>
  <c r="AP55" i="38"/>
  <c r="AT19" i="40"/>
  <c r="CX72" i="38"/>
  <c r="T46" i="36"/>
  <c r="BJ66" i="39"/>
  <c r="BE28" i="25"/>
  <c r="CP55" i="37"/>
  <c r="BY28" i="39"/>
  <c r="CX51" i="39"/>
  <c r="CX84" i="39" s="1"/>
  <c r="AX14" i="40"/>
  <c r="DA76" i="40"/>
  <c r="AD22" i="41"/>
  <c r="AF32" i="37"/>
  <c r="AD76" i="38"/>
  <c r="AQ82" i="40"/>
  <c r="V31" i="41"/>
  <c r="K46" i="39"/>
  <c r="BF27" i="26"/>
  <c r="BV22" i="40"/>
  <c r="I82" i="38"/>
  <c r="CI19" i="1"/>
  <c r="BZ38" i="36"/>
  <c r="CF82" i="39"/>
  <c r="BQ19" i="25"/>
  <c r="CE35" i="39"/>
  <c r="AE76" i="36"/>
  <c r="K22" i="41"/>
  <c r="BD93" i="37"/>
  <c r="CW31" i="25"/>
  <c r="CW32" i="25" s="1"/>
  <c r="AY38" i="36"/>
  <c r="CI104" i="38"/>
  <c r="AQ68" i="26"/>
  <c r="AP28" i="36"/>
  <c r="AP32" i="36" s="1"/>
  <c r="DA82" i="36"/>
  <c r="K224" i="46"/>
  <c r="CH46" i="1"/>
  <c r="AM51" i="39"/>
  <c r="AM84" i="39" s="1"/>
  <c r="BF48" i="39"/>
  <c r="BV99" i="41"/>
  <c r="CC22" i="36"/>
  <c r="DH50" i="38"/>
  <c r="CL82" i="38"/>
  <c r="K22" i="36"/>
  <c r="G29" i="64"/>
  <c r="BU19" i="39"/>
  <c r="CJ68" i="25"/>
  <c r="CA35" i="37"/>
  <c r="AP22" i="39"/>
  <c r="BJ30" i="40"/>
  <c r="CJ38" i="39"/>
  <c r="BO68" i="39"/>
  <c r="DH65" i="39"/>
  <c r="I93" i="40"/>
  <c r="BZ51" i="41"/>
  <c r="CZ28" i="41"/>
  <c r="CZ32" i="41" s="1"/>
  <c r="AI82" i="41"/>
  <c r="P19" i="26"/>
  <c r="CB55" i="26"/>
  <c r="CA22" i="39"/>
  <c r="AN55" i="26"/>
  <c r="AR19" i="40"/>
  <c r="CH72" i="40"/>
  <c r="AE46" i="38"/>
  <c r="K31" i="26"/>
  <c r="BD35" i="1"/>
  <c r="BD19" i="38"/>
  <c r="BD35" i="26"/>
  <c r="BP68" i="37"/>
  <c r="CK99" i="25"/>
  <c r="W28" i="1"/>
  <c r="Z18" i="60"/>
  <c r="AH46" i="38"/>
  <c r="BJ18" i="26"/>
  <c r="V82" i="1"/>
  <c r="L224" i="46"/>
  <c r="CK11" i="41"/>
  <c r="AK58" i="1"/>
  <c r="AA22" i="41"/>
  <c r="V63" i="26"/>
  <c r="N22" i="26"/>
  <c r="CU28" i="26"/>
  <c r="CU32" i="26" s="1"/>
  <c r="BD35" i="25"/>
  <c r="DF72" i="1"/>
  <c r="CO28" i="40"/>
  <c r="CO32" i="40" s="1"/>
  <c r="AJ7" i="60"/>
  <c r="BE63" i="36"/>
  <c r="CU38" i="25"/>
  <c r="AA82" i="40"/>
  <c r="BS76" i="37"/>
  <c r="CU14" i="36"/>
  <c r="CU15" i="36" s="1"/>
  <c r="CU11" i="39"/>
  <c r="DF46" i="25"/>
  <c r="CW22" i="41"/>
  <c r="AD14" i="26"/>
  <c r="AD15" i="26" s="1"/>
  <c r="AD40" i="26" s="1"/>
  <c r="CK68" i="25"/>
  <c r="AR76" i="39"/>
  <c r="CG55" i="25"/>
  <c r="I68" i="39"/>
  <c r="AA51" i="37"/>
  <c r="P31" i="38"/>
  <c r="P32" i="38" s="1"/>
  <c r="CP38" i="39"/>
  <c r="CX82" i="25"/>
  <c r="CJ51" i="1"/>
  <c r="X72" i="41"/>
  <c r="H14" i="38"/>
  <c r="AH38" i="39"/>
  <c r="CG46" i="26"/>
  <c r="AJ72" i="37"/>
  <c r="BS82" i="25"/>
  <c r="AK57" i="26"/>
  <c r="S63" i="26"/>
  <c r="Q66" i="25"/>
  <c r="CK14" i="37"/>
  <c r="CQ14" i="40"/>
  <c r="CQ15" i="40" s="1"/>
  <c r="K99" i="38"/>
  <c r="CC93" i="36"/>
  <c r="CC106" i="36" s="1"/>
  <c r="AD55" i="39"/>
  <c r="AX63" i="36"/>
  <c r="CZ99" i="26"/>
  <c r="AD68" i="37"/>
  <c r="CC51" i="1"/>
  <c r="O32" i="1"/>
  <c r="AH28" i="41"/>
  <c r="BW31" i="26"/>
  <c r="AX104" i="39"/>
  <c r="CF63" i="25"/>
  <c r="G223" i="46"/>
  <c r="CC72" i="37"/>
  <c r="DH37" i="38"/>
  <c r="BO38" i="38"/>
  <c r="O82" i="38"/>
  <c r="BC93" i="40"/>
  <c r="AX22" i="41"/>
  <c r="N14" i="40"/>
  <c r="BP22" i="1"/>
  <c r="J22" i="39"/>
  <c r="AE55" i="38"/>
  <c r="AB31" i="39"/>
  <c r="CW46" i="1"/>
  <c r="AE22" i="60"/>
  <c r="BJ12" i="39"/>
  <c r="BH14" i="39"/>
  <c r="J38" i="38"/>
  <c r="BA38" i="25"/>
  <c r="T31" i="36"/>
  <c r="CG104" i="37"/>
  <c r="CJ76" i="1"/>
  <c r="CG31" i="39"/>
  <c r="DE14" i="39"/>
  <c r="AV104" i="25"/>
  <c r="AK27" i="37"/>
  <c r="BI35" i="41"/>
  <c r="BJ35" i="41" s="1"/>
  <c r="CJ93" i="26"/>
  <c r="S72" i="40"/>
  <c r="S82" i="39"/>
  <c r="AK79" i="39"/>
  <c r="DE22" i="37"/>
  <c r="AO46" i="25"/>
  <c r="DD72" i="37"/>
  <c r="BV31" i="26"/>
  <c r="BV32" i="26" s="1"/>
  <c r="AN35" i="25"/>
  <c r="AE28" i="40"/>
  <c r="BC63" i="1"/>
  <c r="AG76" i="26"/>
  <c r="BS82" i="39"/>
  <c r="I76" i="36"/>
  <c r="J82" i="26"/>
  <c r="CS55" i="40"/>
  <c r="M46" i="1"/>
  <c r="AJ104" i="36"/>
  <c r="BB72" i="41"/>
  <c r="DE68" i="37"/>
  <c r="AT55" i="26"/>
  <c r="CQ19" i="39"/>
  <c r="AV51" i="36"/>
  <c r="T38" i="1"/>
  <c r="K38" i="25"/>
  <c r="K72" i="25"/>
  <c r="K22" i="25"/>
  <c r="BB35" i="41"/>
  <c r="AR46" i="37"/>
  <c r="I224" i="46"/>
  <c r="N35" i="36"/>
  <c r="BF30" i="1"/>
  <c r="BA35" i="37"/>
  <c r="AB38" i="36"/>
  <c r="DF22" i="25"/>
  <c r="BT22" i="1"/>
  <c r="CH11" i="1"/>
  <c r="CZ31" i="37"/>
  <c r="CZ32" i="37" s="1"/>
  <c r="DH21" i="39"/>
  <c r="BO22" i="39"/>
  <c r="AN76" i="37"/>
  <c r="CT99" i="41"/>
  <c r="AA28" i="40"/>
  <c r="AA32" i="40" s="1"/>
  <c r="AA51" i="1"/>
  <c r="AC55" i="39"/>
  <c r="CR68" i="26"/>
  <c r="BX22" i="36"/>
  <c r="BU76" i="25"/>
  <c r="DD55" i="40"/>
  <c r="U72" i="1"/>
  <c r="DB63" i="37"/>
  <c r="AT82" i="36"/>
  <c r="G99" i="39"/>
  <c r="Q96" i="39"/>
  <c r="AQ46" i="38"/>
  <c r="AZ76" i="36"/>
  <c r="BS14" i="1"/>
  <c r="BS15" i="1" s="1"/>
  <c r="BS40" i="1" s="1"/>
  <c r="AN31" i="41"/>
  <c r="AN32" i="41" s="1"/>
  <c r="AB104" i="37"/>
  <c r="AI35" i="41"/>
  <c r="AT51" i="26"/>
  <c r="DC55" i="41"/>
  <c r="AB35" i="38"/>
  <c r="BC72" i="26"/>
  <c r="CS46" i="41"/>
  <c r="CO35" i="36"/>
  <c r="CU76" i="38"/>
  <c r="L22" i="41"/>
  <c r="CQ82" i="41"/>
  <c r="X14" i="38"/>
  <c r="X15" i="38" s="1"/>
  <c r="BV72" i="1"/>
  <c r="CP51" i="25"/>
  <c r="BB72" i="40"/>
  <c r="G82" i="40"/>
  <c r="Q79" i="40"/>
  <c r="CH35" i="25"/>
  <c r="AR14" i="1"/>
  <c r="AB76" i="38"/>
  <c r="BE76" i="38"/>
  <c r="BI76" i="40"/>
  <c r="CQ22" i="41"/>
  <c r="Y38" i="40"/>
  <c r="CF99" i="41"/>
  <c r="AZ104" i="26"/>
  <c r="BJ66" i="25"/>
  <c r="DH18" i="41"/>
  <c r="Y82" i="39"/>
  <c r="V14" i="37"/>
  <c r="DF31" i="37"/>
  <c r="DF32" i="37" s="1"/>
  <c r="V63" i="25"/>
  <c r="AF76" i="38"/>
  <c r="CG51" i="39"/>
  <c r="CD22" i="26"/>
  <c r="CC63" i="1"/>
  <c r="N55" i="25"/>
  <c r="AA11" i="40"/>
  <c r="CD11" i="37"/>
  <c r="CD15" i="37" s="1"/>
  <c r="AD19" i="1"/>
  <c r="AD40" i="1" s="1"/>
  <c r="AS38" i="36"/>
  <c r="BF59" i="25"/>
  <c r="BL59" i="25" s="1"/>
  <c r="CV55" i="26"/>
  <c r="V19" i="37"/>
  <c r="DA55" i="36"/>
  <c r="H68" i="37"/>
  <c r="V28" i="25"/>
  <c r="CB31" i="40"/>
  <c r="P93" i="1"/>
  <c r="P106" i="1" s="1"/>
  <c r="AI35" i="40"/>
  <c r="CR11" i="36"/>
  <c r="X72" i="1"/>
  <c r="AQ72" i="36"/>
  <c r="BS46" i="25"/>
  <c r="P22" i="41"/>
  <c r="AG19" i="25"/>
  <c r="BU104" i="36"/>
  <c r="BU106" i="36" s="1"/>
  <c r="H22" i="39"/>
  <c r="BZ22" i="39"/>
  <c r="CT46" i="37"/>
  <c r="AW32" i="41"/>
  <c r="DA51" i="25"/>
  <c r="DA84" i="25" s="1"/>
  <c r="Z51" i="41"/>
  <c r="Z84" i="41" s="1"/>
  <c r="DH103" i="26"/>
  <c r="X24" i="60"/>
  <c r="AI47" i="60"/>
  <c r="CY11" i="25"/>
  <c r="BF25" i="39"/>
  <c r="CD19" i="36"/>
  <c r="AK66" i="38"/>
  <c r="BO104" i="40"/>
  <c r="CP63" i="41"/>
  <c r="AY31" i="25"/>
  <c r="AP28" i="25"/>
  <c r="AP32" i="25" s="1"/>
  <c r="AG55" i="40"/>
  <c r="S38" i="38"/>
  <c r="AK37" i="38"/>
  <c r="BU19" i="38"/>
  <c r="CF68" i="37"/>
  <c r="DF82" i="1"/>
  <c r="P55" i="36"/>
  <c r="K46" i="1"/>
  <c r="L31" i="38"/>
  <c r="K55" i="36"/>
  <c r="L14" i="1"/>
  <c r="L15" i="1" s="1"/>
  <c r="AU99" i="1"/>
  <c r="CH68" i="41"/>
  <c r="BJ24" i="36"/>
  <c r="BH32" i="36"/>
  <c r="BQ99" i="37"/>
  <c r="CK38" i="25"/>
  <c r="AH104" i="41"/>
  <c r="CB28" i="40"/>
  <c r="DH50" i="26"/>
  <c r="N51" i="25"/>
  <c r="CT72" i="39"/>
  <c r="CL38" i="37"/>
  <c r="AB32" i="41"/>
  <c r="BE28" i="36"/>
  <c r="BE32" i="36" s="1"/>
  <c r="AW38" i="38"/>
  <c r="P93" i="40"/>
  <c r="P106" i="40" s="1"/>
  <c r="O76" i="39"/>
  <c r="CY93" i="36"/>
  <c r="AE28" i="25"/>
  <c r="AE32" i="25" s="1"/>
  <c r="BC38" i="36"/>
  <c r="Z19" i="40"/>
  <c r="AH63" i="41"/>
  <c r="Y63" i="25"/>
  <c r="L82" i="26"/>
  <c r="BH63" i="40"/>
  <c r="BJ57" i="40"/>
  <c r="BB22" i="25"/>
  <c r="BS46" i="41"/>
  <c r="DE14" i="26"/>
  <c r="DE15" i="26" s="1"/>
  <c r="F265" i="46"/>
  <c r="M22" i="38"/>
  <c r="T31" i="41"/>
  <c r="T32" i="41" s="1"/>
  <c r="CL72" i="41"/>
  <c r="AX31" i="38"/>
  <c r="CT51" i="36"/>
  <c r="H38" i="41"/>
  <c r="AI19" i="41"/>
  <c r="CZ14" i="25"/>
  <c r="CZ15" i="25" s="1"/>
  <c r="AU63" i="26"/>
  <c r="AJ31" i="39"/>
  <c r="AJ32" i="39" s="1"/>
  <c r="CH14" i="1"/>
  <c r="CE51" i="1"/>
  <c r="DC93" i="39"/>
  <c r="DC106" i="39" s="1"/>
  <c r="AH32" i="39"/>
  <c r="AU22" i="41"/>
  <c r="P19" i="39"/>
  <c r="BO38" i="36"/>
  <c r="DH37" i="36"/>
  <c r="CL72" i="38"/>
  <c r="BJ58" i="25"/>
  <c r="Q61" i="39"/>
  <c r="BL61" i="39" s="1"/>
  <c r="CA28" i="25"/>
  <c r="CA32" i="25" s="1"/>
  <c r="CZ72" i="41"/>
  <c r="AZ99" i="37"/>
  <c r="BE93" i="37"/>
  <c r="BE106" i="37" s="1"/>
  <c r="BY38" i="26"/>
  <c r="AP46" i="38"/>
  <c r="M72" i="38"/>
  <c r="AC11" i="1"/>
  <c r="BI31" i="26"/>
  <c r="BI32" i="26" s="1"/>
  <c r="K68" i="1"/>
  <c r="BX76" i="25"/>
  <c r="AR76" i="37"/>
  <c r="CQ11" i="26"/>
  <c r="AY31" i="26"/>
  <c r="AY32" i="26" s="1"/>
  <c r="CB31" i="37"/>
  <c r="CB32" i="37" s="1"/>
  <c r="BR32" i="36"/>
  <c r="CE55" i="26"/>
  <c r="AV46" i="38"/>
  <c r="BJ27" i="36"/>
  <c r="CP31" i="26"/>
  <c r="CP32" i="26" s="1"/>
  <c r="BJ21" i="36"/>
  <c r="BH22" i="36"/>
  <c r="BJ22" i="36" s="1"/>
  <c r="M99" i="26"/>
  <c r="CL28" i="41"/>
  <c r="Q81" i="37"/>
  <c r="CE63" i="38"/>
  <c r="BR46" i="1"/>
  <c r="DB11" i="1"/>
  <c r="DB15" i="1" s="1"/>
  <c r="CN38" i="39"/>
  <c r="BD93" i="41"/>
  <c r="BD106" i="41" s="1"/>
  <c r="CT32" i="37"/>
  <c r="CI99" i="25"/>
  <c r="M55" i="25"/>
  <c r="CU63" i="1"/>
  <c r="Y82" i="37"/>
  <c r="BQ19" i="41"/>
  <c r="CZ22" i="1"/>
  <c r="CL35" i="38"/>
  <c r="T32" i="40"/>
  <c r="CP11" i="41"/>
  <c r="CI68" i="36"/>
  <c r="M63" i="37"/>
  <c r="CA38" i="1"/>
  <c r="W22" i="36"/>
  <c r="BT14" i="38"/>
  <c r="BT15" i="38" s="1"/>
  <c r="H51" i="37"/>
  <c r="N46" i="39"/>
  <c r="U50" i="60"/>
  <c r="BW31" i="41"/>
  <c r="BW32" i="41" s="1"/>
  <c r="X63" i="36"/>
  <c r="AD63" i="36"/>
  <c r="AQ32" i="40"/>
  <c r="V31" i="39"/>
  <c r="I11" i="40"/>
  <c r="AI38" i="41"/>
  <c r="CD63" i="1"/>
  <c r="AX11" i="37"/>
  <c r="AZ46" i="41"/>
  <c r="N68" i="40"/>
  <c r="CV31" i="39"/>
  <c r="CV32" i="39" s="1"/>
  <c r="BJ27" i="38"/>
  <c r="CO28" i="37"/>
  <c r="BJ10" i="1"/>
  <c r="DH48" i="37"/>
  <c r="BO51" i="37"/>
  <c r="BR11" i="36"/>
  <c r="CK76" i="1"/>
  <c r="CT99" i="25"/>
  <c r="O51" i="39"/>
  <c r="CU19" i="25"/>
  <c r="O28" i="25"/>
  <c r="O32" i="25" s="1"/>
  <c r="DA99" i="1"/>
  <c r="CV14" i="26"/>
  <c r="CV15" i="26" s="1"/>
  <c r="BY93" i="41"/>
  <c r="DC31" i="36"/>
  <c r="DC32" i="36" s="1"/>
  <c r="CE38" i="40"/>
  <c r="BC82" i="41"/>
  <c r="Y82" i="38"/>
  <c r="I76" i="37"/>
  <c r="DE38" i="1"/>
  <c r="CR31" i="25"/>
  <c r="CR32" i="25" s="1"/>
  <c r="CQ22" i="25"/>
  <c r="T51" i="37"/>
  <c r="CV11" i="25"/>
  <c r="CK93" i="1"/>
  <c r="BC104" i="38"/>
  <c r="L104" i="39"/>
  <c r="L106" i="39" s="1"/>
  <c r="V68" i="37"/>
  <c r="DA11" i="36"/>
  <c r="BJ58" i="1"/>
  <c r="CT72" i="41"/>
  <c r="Y93" i="36"/>
  <c r="BS55" i="37"/>
  <c r="BI32" i="38"/>
  <c r="DE63" i="40"/>
  <c r="AQ38" i="25"/>
  <c r="BP14" i="41"/>
  <c r="CG72" i="40"/>
  <c r="K223" i="46"/>
  <c r="CF19" i="26"/>
  <c r="CP99" i="40"/>
  <c r="BJ9" i="41"/>
  <c r="BH11" i="41"/>
  <c r="BJ11" i="41" s="1"/>
  <c r="AY31" i="39"/>
  <c r="AY32" i="39" s="1"/>
  <c r="I99" i="26"/>
  <c r="BD82" i="1"/>
  <c r="AK30" i="36"/>
  <c r="AR14" i="36"/>
  <c r="AR15" i="36" s="1"/>
  <c r="AZ19" i="40"/>
  <c r="X82" i="36"/>
  <c r="BW82" i="25"/>
  <c r="AD22" i="37"/>
  <c r="BZ19" i="38"/>
  <c r="CF55" i="26"/>
  <c r="CE104" i="39"/>
  <c r="CR38" i="41"/>
  <c r="DD93" i="38"/>
  <c r="DD106" i="38" s="1"/>
  <c r="BQ35" i="1"/>
  <c r="CN55" i="38"/>
  <c r="T63" i="41"/>
  <c r="AG72" i="41"/>
  <c r="BJ61" i="25"/>
  <c r="K72" i="39"/>
  <c r="CG68" i="40"/>
  <c r="V31" i="37"/>
  <c r="V32" i="37" s="1"/>
  <c r="BA51" i="40"/>
  <c r="O82" i="41"/>
  <c r="CR19" i="25"/>
  <c r="AV55" i="37"/>
  <c r="AR72" i="41"/>
  <c r="BW82" i="40"/>
  <c r="AQ11" i="39"/>
  <c r="CZ38" i="25"/>
  <c r="CB14" i="38"/>
  <c r="CP51" i="26"/>
  <c r="W51" i="1"/>
  <c r="CI104" i="41"/>
  <c r="CO76" i="25"/>
  <c r="BT35" i="40"/>
  <c r="CQ104" i="1"/>
  <c r="CQ106" i="1" s="1"/>
  <c r="AM51" i="25"/>
  <c r="BF48" i="25"/>
  <c r="CY63" i="37"/>
  <c r="AW35" i="39"/>
  <c r="K32" i="37"/>
  <c r="BU82" i="25"/>
  <c r="CU82" i="26"/>
  <c r="CG46" i="25"/>
  <c r="CQ11" i="39"/>
  <c r="CN68" i="25"/>
  <c r="N68" i="41"/>
  <c r="BU51" i="38"/>
  <c r="BE38" i="40"/>
  <c r="CT35" i="40"/>
  <c r="CA72" i="37"/>
  <c r="DD14" i="37"/>
  <c r="DD15" i="37" s="1"/>
  <c r="Q30" i="26"/>
  <c r="BL30" i="26" s="1"/>
  <c r="T43" i="60"/>
  <c r="K279" i="46"/>
  <c r="W28" i="41"/>
  <c r="W32" i="41" s="1"/>
  <c r="BY46" i="26"/>
  <c r="J19" i="25"/>
  <c r="BX55" i="36"/>
  <c r="AC14" i="25"/>
  <c r="BB63" i="40"/>
  <c r="CC55" i="39"/>
  <c r="BW28" i="26"/>
  <c r="BW32" i="26" s="1"/>
  <c r="CS51" i="26"/>
  <c r="CC63" i="41"/>
  <c r="DE14" i="25"/>
  <c r="DE15" i="25" s="1"/>
  <c r="BT46" i="25"/>
  <c r="AG28" i="38"/>
  <c r="AG32" i="38" s="1"/>
  <c r="DE22" i="41"/>
  <c r="BS99" i="37"/>
  <c r="AZ104" i="36"/>
  <c r="L55" i="38"/>
  <c r="AF11" i="26"/>
  <c r="AZ32" i="36"/>
  <c r="I63" i="25"/>
  <c r="AM28" i="36"/>
  <c r="BF26" i="36"/>
  <c r="DE104" i="38"/>
  <c r="CQ76" i="37"/>
  <c r="AC51" i="37"/>
  <c r="AC84" i="37" s="1"/>
  <c r="AR55" i="26"/>
  <c r="BP63" i="40"/>
  <c r="AK67" i="39"/>
  <c r="M72" i="36"/>
  <c r="Q72" i="36" s="1"/>
  <c r="BD31" i="39"/>
  <c r="CT72" i="36"/>
  <c r="CN82" i="41"/>
  <c r="BV93" i="36"/>
  <c r="BV106" i="36" s="1"/>
  <c r="S21" i="60"/>
  <c r="AO35" i="40"/>
  <c r="DH29" i="38"/>
  <c r="BO31" i="38"/>
  <c r="DF51" i="1"/>
  <c r="T22" i="40"/>
  <c r="CJ14" i="25"/>
  <c r="CJ15" i="25" s="1"/>
  <c r="CA46" i="41"/>
  <c r="CZ99" i="36"/>
  <c r="AN93" i="39"/>
  <c r="AN106" i="39" s="1"/>
  <c r="CZ22" i="25"/>
  <c r="AT22" i="36"/>
  <c r="AS93" i="36"/>
  <c r="AG31" i="39"/>
  <c r="AG32" i="39" s="1"/>
  <c r="AF50" i="60"/>
  <c r="DF93" i="25"/>
  <c r="DF106" i="25" s="1"/>
  <c r="CN32" i="26"/>
  <c r="AW35" i="26"/>
  <c r="DH61" i="38"/>
  <c r="BE76" i="26"/>
  <c r="AJ51" i="39"/>
  <c r="AJ63" i="39"/>
  <c r="P22" i="38"/>
  <c r="J31" i="37"/>
  <c r="J32" i="37" s="1"/>
  <c r="K28" i="38"/>
  <c r="K32" i="38" s="1"/>
  <c r="N68" i="38"/>
  <c r="X11" i="37"/>
  <c r="X15" i="37" s="1"/>
  <c r="CV55" i="40"/>
  <c r="BS31" i="37"/>
  <c r="BS32" i="37" s="1"/>
  <c r="AV82" i="38"/>
  <c r="CT14" i="37"/>
  <c r="CT15" i="37" s="1"/>
  <c r="AR76" i="25"/>
  <c r="H31" i="41"/>
  <c r="H32" i="41" s="1"/>
  <c r="AP11" i="25"/>
  <c r="AP15" i="25" s="1"/>
  <c r="M93" i="38"/>
  <c r="AT46" i="26"/>
  <c r="CU104" i="41"/>
  <c r="CU106" i="41" s="1"/>
  <c r="CV22" i="40"/>
  <c r="Y51" i="26"/>
  <c r="CL51" i="25"/>
  <c r="AF14" i="26"/>
  <c r="AF15" i="26" s="1"/>
  <c r="AF40" i="26" s="1"/>
  <c r="CY51" i="38"/>
  <c r="AU31" i="36"/>
  <c r="CU31" i="37"/>
  <c r="CU32" i="37" s="1"/>
  <c r="AK34" i="38"/>
  <c r="S35" i="38"/>
  <c r="AD19" i="38"/>
  <c r="V50" i="60"/>
  <c r="AR50" i="60" s="1"/>
  <c r="AO19" i="26"/>
  <c r="BV82" i="37"/>
  <c r="CJ35" i="1"/>
  <c r="J63" i="38"/>
  <c r="CN11" i="39"/>
  <c r="AF14" i="36"/>
  <c r="AF15" i="36" s="1"/>
  <c r="S72" i="36"/>
  <c r="AE11" i="26"/>
  <c r="AE15" i="26" s="1"/>
  <c r="AE40" i="26" s="1"/>
  <c r="Z55" i="37"/>
  <c r="CT68" i="41"/>
  <c r="CT63" i="37"/>
  <c r="F224" i="46"/>
  <c r="BY28" i="1"/>
  <c r="BY32" i="1" s="1"/>
  <c r="N72" i="1"/>
  <c r="CD104" i="26"/>
  <c r="CD106" i="26" s="1"/>
  <c r="AH14" i="37"/>
  <c r="AH15" i="37" s="1"/>
  <c r="O72" i="39"/>
  <c r="AR35" i="36"/>
  <c r="Z76" i="26"/>
  <c r="BA31" i="36"/>
  <c r="BA32" i="36" s="1"/>
  <c r="U14" i="39"/>
  <c r="CP51" i="40"/>
  <c r="CP84" i="40" s="1"/>
  <c r="BS28" i="40"/>
  <c r="BS32" i="40" s="1"/>
  <c r="CY22" i="36"/>
  <c r="U68" i="26"/>
  <c r="BR72" i="41"/>
  <c r="DH49" i="40"/>
  <c r="U76" i="41"/>
  <c r="AG51" i="25"/>
  <c r="CP72" i="39"/>
  <c r="BC46" i="36"/>
  <c r="P14" i="37"/>
  <c r="P15" i="37" s="1"/>
  <c r="CO35" i="41"/>
  <c r="I38" i="37"/>
  <c r="AA38" i="1"/>
  <c r="Y38" i="37"/>
  <c r="CO104" i="40"/>
  <c r="J28" i="1"/>
  <c r="J32" i="1" s="1"/>
  <c r="BJ13" i="26"/>
  <c r="DD19" i="40"/>
  <c r="CV28" i="26"/>
  <c r="CV32" i="26" s="1"/>
  <c r="CK38" i="1"/>
  <c r="AN22" i="36"/>
  <c r="P22" i="40"/>
  <c r="Q25" i="26"/>
  <c r="BE19" i="36"/>
  <c r="BT76" i="1"/>
  <c r="BF37" i="39"/>
  <c r="AM38" i="39"/>
  <c r="CL104" i="25"/>
  <c r="AW99" i="38"/>
  <c r="AB35" i="26"/>
  <c r="BA82" i="41"/>
  <c r="AI93" i="38"/>
  <c r="AI106" i="38" s="1"/>
  <c r="F290" i="46"/>
  <c r="F301" i="46" s="1"/>
  <c r="AB46" i="39"/>
  <c r="BR28" i="40"/>
  <c r="BR32" i="40" s="1"/>
  <c r="H22" i="37"/>
  <c r="CA63" i="39"/>
  <c r="CR19" i="26"/>
  <c r="V31" i="25"/>
  <c r="DE46" i="40"/>
  <c r="Y35" i="41"/>
  <c r="Z99" i="37"/>
  <c r="J31" i="36"/>
  <c r="J14" i="38"/>
  <c r="J15" i="38" s="1"/>
  <c r="DE51" i="37"/>
  <c r="AD38" i="41"/>
  <c r="CO38" i="39"/>
  <c r="CG31" i="25"/>
  <c r="CG32" i="25" s="1"/>
  <c r="BJ62" i="38"/>
  <c r="CJ14" i="36"/>
  <c r="CJ15" i="36" s="1"/>
  <c r="BO22" i="38"/>
  <c r="DH21" i="38"/>
  <c r="BT28" i="26"/>
  <c r="CF14" i="26"/>
  <c r="CF15" i="26" s="1"/>
  <c r="CK11" i="36"/>
  <c r="CK15" i="36" s="1"/>
  <c r="CS38" i="40"/>
  <c r="AH35" i="38"/>
  <c r="CF99" i="40"/>
  <c r="AP82" i="25"/>
  <c r="BT76" i="26"/>
  <c r="BR68" i="41"/>
  <c r="BJ50" i="38"/>
  <c r="BI31" i="41"/>
  <c r="BI32" i="41" s="1"/>
  <c r="BX104" i="1"/>
  <c r="CW76" i="25"/>
  <c r="DE99" i="26"/>
  <c r="CW28" i="40"/>
  <c r="CW32" i="40" s="1"/>
  <c r="CW63" i="1"/>
  <c r="W31" i="37"/>
  <c r="AC99" i="40"/>
  <c r="CU82" i="36"/>
  <c r="AV11" i="40"/>
  <c r="AV15" i="40" s="1"/>
  <c r="AV40" i="40" s="1"/>
  <c r="DF22" i="1"/>
  <c r="CR51" i="38"/>
  <c r="BD35" i="37"/>
  <c r="Y14" i="39"/>
  <c r="Y15" i="39" s="1"/>
  <c r="CR72" i="38"/>
  <c r="BF79" i="41"/>
  <c r="AM82" i="41"/>
  <c r="CZ46" i="36"/>
  <c r="H46" i="38"/>
  <c r="DF63" i="41"/>
  <c r="AB82" i="1"/>
  <c r="AC11" i="25"/>
  <c r="O99" i="40"/>
  <c r="O106" i="40" s="1"/>
  <c r="AX93" i="39"/>
  <c r="CC46" i="39"/>
  <c r="BH63" i="38"/>
  <c r="BJ63" i="38" s="1"/>
  <c r="BJ57" i="38"/>
  <c r="BR11" i="39"/>
  <c r="BY99" i="36"/>
  <c r="CE22" i="37"/>
  <c r="G38" i="1"/>
  <c r="Q37" i="1"/>
  <c r="BL37" i="1" s="1"/>
  <c r="BR82" i="26"/>
  <c r="BR84" i="26" s="1"/>
  <c r="BB68" i="40"/>
  <c r="BQ31" i="36"/>
  <c r="CP68" i="39"/>
  <c r="AY14" i="41"/>
  <c r="BF96" i="40"/>
  <c r="AM99" i="40"/>
  <c r="I104" i="40"/>
  <c r="BI51" i="41"/>
  <c r="L51" i="37"/>
  <c r="S19" i="40"/>
  <c r="AK17" i="40"/>
  <c r="Q59" i="1"/>
  <c r="CM68" i="38"/>
  <c r="AD46" i="26"/>
  <c r="AC32" i="40"/>
  <c r="I72" i="37"/>
  <c r="CO82" i="38"/>
  <c r="DD63" i="36"/>
  <c r="X76" i="26"/>
  <c r="AQ11" i="41"/>
  <c r="AQ15" i="41" s="1"/>
  <c r="AQ40" i="41" s="1"/>
  <c r="DD32" i="36"/>
  <c r="BF57" i="40"/>
  <c r="AM63" i="40"/>
  <c r="DE93" i="41"/>
  <c r="DE106" i="41" s="1"/>
  <c r="CG19" i="39"/>
  <c r="CS76" i="40"/>
  <c r="DA11" i="25"/>
  <c r="AM46" i="40"/>
  <c r="BF45" i="40"/>
  <c r="CA76" i="25"/>
  <c r="AC82" i="25"/>
  <c r="AU82" i="1"/>
  <c r="CN31" i="25"/>
  <c r="Y63" i="40"/>
  <c r="CO104" i="38"/>
  <c r="DB28" i="37"/>
  <c r="DB32" i="37" s="1"/>
  <c r="BP51" i="26"/>
  <c r="AK58" i="26"/>
  <c r="CY31" i="37"/>
  <c r="Z35" i="38"/>
  <c r="AR51" i="1"/>
  <c r="AN14" i="1"/>
  <c r="AN15" i="1" s="1"/>
  <c r="AN40" i="1" s="1"/>
  <c r="N28" i="37"/>
  <c r="N32" i="37" s="1"/>
  <c r="AC11" i="26"/>
  <c r="AC15" i="26" s="1"/>
  <c r="BE35" i="37"/>
  <c r="S68" i="38"/>
  <c r="AK65" i="38"/>
  <c r="AC11" i="37"/>
  <c r="CY72" i="41"/>
  <c r="AO11" i="26"/>
  <c r="CG28" i="37"/>
  <c r="CG32" i="37" s="1"/>
  <c r="DH60" i="1"/>
  <c r="AY68" i="39"/>
  <c r="BQ99" i="41"/>
  <c r="AO99" i="41"/>
  <c r="AQ51" i="1"/>
  <c r="L19" i="39"/>
  <c r="AJ14" i="39"/>
  <c r="AJ15" i="39" s="1"/>
  <c r="Q50" i="37"/>
  <c r="BL50" i="37" s="1"/>
  <c r="Q58" i="39"/>
  <c r="AJ76" i="39"/>
  <c r="BB93" i="41"/>
  <c r="BB106" i="41" s="1"/>
  <c r="AH14" i="40"/>
  <c r="AH15" i="40" s="1"/>
  <c r="U22" i="40"/>
  <c r="CN63" i="39"/>
  <c r="BT55" i="26"/>
  <c r="BU31" i="25"/>
  <c r="BU32" i="25" s="1"/>
  <c r="CG82" i="1"/>
  <c r="AN99" i="26"/>
  <c r="AV55" i="40"/>
  <c r="M223" i="46"/>
  <c r="BO31" i="41"/>
  <c r="DH29" i="41"/>
  <c r="CI82" i="37"/>
  <c r="CB99" i="36"/>
  <c r="CJ63" i="41"/>
  <c r="CH63" i="40"/>
  <c r="BS55" i="41"/>
  <c r="AY68" i="1"/>
  <c r="CV93" i="25"/>
  <c r="CV106" i="25" s="1"/>
  <c r="CJ38" i="25"/>
  <c r="BJ65" i="37"/>
  <c r="BH68" i="37"/>
  <c r="BJ68" i="37" s="1"/>
  <c r="CN38" i="38"/>
  <c r="K14" i="25"/>
  <c r="K15" i="25" s="1"/>
  <c r="CF63" i="36"/>
  <c r="BQ51" i="37"/>
  <c r="I104" i="36"/>
  <c r="O35" i="40"/>
  <c r="AK30" i="37"/>
  <c r="BA14" i="1"/>
  <c r="BA15" i="1" s="1"/>
  <c r="BR38" i="41"/>
  <c r="CV22" i="38"/>
  <c r="BR99" i="37"/>
  <c r="CU93" i="40"/>
  <c r="CU106" i="40" s="1"/>
  <c r="BD76" i="38"/>
  <c r="DD22" i="41"/>
  <c r="X22" i="39"/>
  <c r="J46" i="40"/>
  <c r="AT82" i="40"/>
  <c r="AU68" i="39"/>
  <c r="DE28" i="1"/>
  <c r="DE32" i="1" s="1"/>
  <c r="BC55" i="25"/>
  <c r="Q50" i="39"/>
  <c r="BL50" i="39" s="1"/>
  <c r="BJ50" i="26"/>
  <c r="AZ35" i="36"/>
  <c r="CS99" i="36"/>
  <c r="BI28" i="37"/>
  <c r="CD35" i="25"/>
  <c r="CX35" i="36"/>
  <c r="CN93" i="40"/>
  <c r="CN106" i="40" s="1"/>
  <c r="CZ22" i="41"/>
  <c r="BF79" i="36"/>
  <c r="AM82" i="36"/>
  <c r="BS55" i="40"/>
  <c r="CH35" i="36"/>
  <c r="CR32" i="41"/>
  <c r="BI28" i="36"/>
  <c r="BI32" i="36" s="1"/>
  <c r="DC55" i="25"/>
  <c r="AZ46" i="40"/>
  <c r="CJ68" i="40"/>
  <c r="DF35" i="40"/>
  <c r="K68" i="38"/>
  <c r="BQ68" i="39"/>
  <c r="AF35" i="25"/>
  <c r="I51" i="41"/>
  <c r="BX38" i="39"/>
  <c r="O14" i="41"/>
  <c r="O15" i="41" s="1"/>
  <c r="CG93" i="41"/>
  <c r="CG106" i="41" s="1"/>
  <c r="BO63" i="41"/>
  <c r="DH57" i="41"/>
  <c r="AH31" i="41"/>
  <c r="BV14" i="1"/>
  <c r="AY55" i="25"/>
  <c r="U38" i="41"/>
  <c r="J55" i="26"/>
  <c r="H99" i="36"/>
  <c r="U19" i="39"/>
  <c r="CZ104" i="39"/>
  <c r="BR35" i="41"/>
  <c r="DH103" i="1"/>
  <c r="BH104" i="26"/>
  <c r="DD46" i="41"/>
  <c r="CI72" i="36"/>
  <c r="AT55" i="39"/>
  <c r="DD22" i="38"/>
  <c r="DH25" i="26"/>
  <c r="CE35" i="1"/>
  <c r="BC51" i="1"/>
  <c r="BC84" i="1" s="1"/>
  <c r="CS19" i="37"/>
  <c r="AP35" i="37"/>
  <c r="BV46" i="38"/>
  <c r="M28" i="37"/>
  <c r="M32" i="37" s="1"/>
  <c r="AM55" i="40"/>
  <c r="BF53" i="40"/>
  <c r="AP35" i="1"/>
  <c r="CH46" i="39"/>
  <c r="CH84" i="39" s="1"/>
  <c r="BJ89" i="37"/>
  <c r="CE31" i="38"/>
  <c r="CE32" i="38" s="1"/>
  <c r="BF29" i="41"/>
  <c r="BL29" i="41" s="1"/>
  <c r="AM31" i="41"/>
  <c r="DD63" i="26"/>
  <c r="AE31" i="40"/>
  <c r="CC28" i="38"/>
  <c r="L72" i="40"/>
  <c r="CA31" i="1"/>
  <c r="BV14" i="41"/>
  <c r="BV15" i="41" s="1"/>
  <c r="Y55" i="60"/>
  <c r="O68" i="1"/>
  <c r="O72" i="26"/>
  <c r="CU31" i="41"/>
  <c r="CU32" i="41" s="1"/>
  <c r="CL55" i="41"/>
  <c r="DE19" i="41"/>
  <c r="U63" i="36"/>
  <c r="CG104" i="26"/>
  <c r="Y51" i="36"/>
  <c r="CE99" i="41"/>
  <c r="V76" i="40"/>
  <c r="H104" i="38"/>
  <c r="AD51" i="40"/>
  <c r="CA35" i="40"/>
  <c r="H82" i="40"/>
  <c r="CM46" i="36"/>
  <c r="H11" i="39"/>
  <c r="AR11" i="1"/>
  <c r="BS14" i="39"/>
  <c r="BS15" i="39" s="1"/>
  <c r="AV19" i="38"/>
  <c r="BU46" i="25"/>
  <c r="CZ68" i="40"/>
  <c r="AA82" i="41"/>
  <c r="BZ22" i="41"/>
  <c r="BZ63" i="40"/>
  <c r="AX11" i="40"/>
  <c r="AX15" i="40" s="1"/>
  <c r="CI68" i="40"/>
  <c r="AX63" i="40"/>
  <c r="CM19" i="1"/>
  <c r="CO72" i="36"/>
  <c r="CR22" i="39"/>
  <c r="CL14" i="26"/>
  <c r="AJ22" i="39"/>
  <c r="Q98" i="1"/>
  <c r="BB93" i="1"/>
  <c r="BB106" i="1" s="1"/>
  <c r="J72" i="39"/>
  <c r="CV51" i="26"/>
  <c r="AB104" i="36"/>
  <c r="CD99" i="39"/>
  <c r="BA19" i="1"/>
  <c r="CT31" i="38"/>
  <c r="CV68" i="25"/>
  <c r="BE72" i="41"/>
  <c r="BB28" i="38"/>
  <c r="BB32" i="38" s="1"/>
  <c r="CK63" i="41"/>
  <c r="CN46" i="25"/>
  <c r="AS31" i="41"/>
  <c r="AS32" i="41" s="1"/>
  <c r="AS40" i="41" s="1"/>
  <c r="Q53" i="41"/>
  <c r="G55" i="41"/>
  <c r="Q55" i="41" s="1"/>
  <c r="AS93" i="1"/>
  <c r="CB63" i="26"/>
  <c r="DC93" i="26"/>
  <c r="DC106" i="26" s="1"/>
  <c r="I63" i="41"/>
  <c r="AO46" i="37"/>
  <c r="CB31" i="36"/>
  <c r="CB32" i="36" s="1"/>
  <c r="CS31" i="37"/>
  <c r="CS32" i="37" s="1"/>
  <c r="DB82" i="40"/>
  <c r="BX38" i="26"/>
  <c r="AX22" i="25"/>
  <c r="Y28" i="1"/>
  <c r="AX31" i="1"/>
  <c r="DC31" i="37"/>
  <c r="DC32" i="37" s="1"/>
  <c r="BB51" i="40"/>
  <c r="N82" i="36"/>
  <c r="CT14" i="41"/>
  <c r="CL63" i="37"/>
  <c r="AD28" i="36"/>
  <c r="AD32" i="36" s="1"/>
  <c r="CK55" i="1"/>
  <c r="AT31" i="38"/>
  <c r="AT32" i="38" s="1"/>
  <c r="AY76" i="26"/>
  <c r="AN82" i="25"/>
  <c r="L289" i="46"/>
  <c r="L300" i="46" s="1"/>
  <c r="N55" i="37"/>
  <c r="BF18" i="36"/>
  <c r="AO72" i="39"/>
  <c r="AY11" i="41"/>
  <c r="AW28" i="26"/>
  <c r="AW32" i="26" s="1"/>
  <c r="BU68" i="40"/>
  <c r="AT99" i="38"/>
  <c r="AD63" i="41"/>
  <c r="AX38" i="40"/>
  <c r="AU82" i="36"/>
  <c r="AF104" i="36"/>
  <c r="X22" i="26"/>
  <c r="CD35" i="39"/>
  <c r="BX51" i="36"/>
  <c r="K93" i="40"/>
  <c r="K106" i="40" s="1"/>
  <c r="CS76" i="39"/>
  <c r="DC11" i="1"/>
  <c r="BI68" i="1"/>
  <c r="BJ68" i="1" s="1"/>
  <c r="CZ93" i="40"/>
  <c r="CZ106" i="40" s="1"/>
  <c r="CU93" i="1"/>
  <c r="DE46" i="41"/>
  <c r="DE22" i="38"/>
  <c r="BC28" i="25"/>
  <c r="BC32" i="25" s="1"/>
  <c r="Z14" i="41"/>
  <c r="H11" i="38"/>
  <c r="M32" i="40"/>
  <c r="AV14" i="25"/>
  <c r="AV15" i="25" s="1"/>
  <c r="AP68" i="38"/>
  <c r="AS76" i="41"/>
  <c r="CM14" i="38"/>
  <c r="CM15" i="38" s="1"/>
  <c r="CM40" i="38" s="1"/>
  <c r="CL31" i="39"/>
  <c r="AW55" i="1"/>
  <c r="BZ31" i="1"/>
  <c r="CN51" i="41"/>
  <c r="BX19" i="37"/>
  <c r="AH32" i="25"/>
  <c r="CQ93" i="37"/>
  <c r="CQ106" i="37" s="1"/>
  <c r="CF11" i="41"/>
  <c r="CD63" i="40"/>
  <c r="AK54" i="25"/>
  <c r="AK10" i="1"/>
  <c r="AM19" i="38"/>
  <c r="BF19" i="38" s="1"/>
  <c r="BF17" i="38"/>
  <c r="BL17" i="38" s="1"/>
  <c r="CG11" i="39"/>
  <c r="N221" i="46"/>
  <c r="BF67" i="25"/>
  <c r="G46" i="36"/>
  <c r="Q45" i="36"/>
  <c r="AO31" i="40"/>
  <c r="AO32" i="40" s="1"/>
  <c r="AZ82" i="26"/>
  <c r="AN82" i="38"/>
  <c r="AZ72" i="39"/>
  <c r="AS35" i="26"/>
  <c r="AE46" i="37"/>
  <c r="AR93" i="41"/>
  <c r="AR106" i="41" s="1"/>
  <c r="BA93" i="25"/>
  <c r="BA106" i="25" s="1"/>
  <c r="BU31" i="36"/>
  <c r="BU32" i="36" s="1"/>
  <c r="AY72" i="37"/>
  <c r="CD93" i="25"/>
  <c r="CD106" i="25" s="1"/>
  <c r="BB55" i="1"/>
  <c r="DA82" i="38"/>
  <c r="AY68" i="40"/>
  <c r="BQ104" i="39"/>
  <c r="BI31" i="37"/>
  <c r="CP55" i="38"/>
  <c r="AH55" i="41"/>
  <c r="BQ63" i="25"/>
  <c r="AA49" i="60"/>
  <c r="AW49" i="60" s="1"/>
  <c r="L38" i="39"/>
  <c r="AU28" i="36"/>
  <c r="AT51" i="25"/>
  <c r="BF67" i="39"/>
  <c r="CQ22" i="1"/>
  <c r="CQ76" i="38"/>
  <c r="CE68" i="41"/>
  <c r="CJ99" i="26"/>
  <c r="AQ93" i="26"/>
  <c r="I46" i="26"/>
  <c r="K19" i="41"/>
  <c r="CQ51" i="26"/>
  <c r="CQ84" i="26" s="1"/>
  <c r="BA104" i="37"/>
  <c r="O31" i="36"/>
  <c r="AP19" i="37"/>
  <c r="CY51" i="39"/>
  <c r="I14" i="1"/>
  <c r="I15" i="1" s="1"/>
  <c r="I40" i="1" s="1"/>
  <c r="BJ66" i="26"/>
  <c r="BR93" i="39"/>
  <c r="AN55" i="36"/>
  <c r="K35" i="37"/>
  <c r="AQ31" i="36"/>
  <c r="CL35" i="25"/>
  <c r="AB22" i="38"/>
  <c r="AZ22" i="1"/>
  <c r="CI99" i="36"/>
  <c r="CC35" i="41"/>
  <c r="CL55" i="1"/>
  <c r="BQ28" i="39"/>
  <c r="BQ32" i="39" s="1"/>
  <c r="AW28" i="37"/>
  <c r="AW32" i="37" s="1"/>
  <c r="CC14" i="25"/>
  <c r="BF71" i="38"/>
  <c r="AM72" i="38"/>
  <c r="M104" i="38"/>
  <c r="DH48" i="39"/>
  <c r="BO51" i="39"/>
  <c r="CY63" i="38"/>
  <c r="AA28" i="37"/>
  <c r="AA32" i="37" s="1"/>
  <c r="AA40" i="37" s="1"/>
  <c r="Q21" i="36"/>
  <c r="G22" i="36"/>
  <c r="Q22" i="36" s="1"/>
  <c r="AY99" i="25"/>
  <c r="BY35" i="1"/>
  <c r="DF68" i="38"/>
  <c r="BU99" i="37"/>
  <c r="CA46" i="37"/>
  <c r="BJ27" i="26"/>
  <c r="G46" i="39"/>
  <c r="Q45" i="39"/>
  <c r="CU22" i="39"/>
  <c r="S82" i="41"/>
  <c r="AK79" i="41"/>
  <c r="CB22" i="38"/>
  <c r="K104" i="38"/>
  <c r="BU14" i="38"/>
  <c r="BU15" i="38" s="1"/>
  <c r="Q26" i="41"/>
  <c r="BL26" i="41" s="1"/>
  <c r="G28" i="41"/>
  <c r="Q28" i="41" s="1"/>
  <c r="BU35" i="37"/>
  <c r="BH63" i="41"/>
  <c r="BJ63" i="41" s="1"/>
  <c r="BJ57" i="41"/>
  <c r="BQ72" i="38"/>
  <c r="BZ31" i="38"/>
  <c r="AO32" i="1"/>
  <c r="BV31" i="37"/>
  <c r="CF63" i="37"/>
  <c r="BC38" i="1"/>
  <c r="AO63" i="37"/>
  <c r="BC28" i="41"/>
  <c r="CB31" i="1"/>
  <c r="O63" i="38"/>
  <c r="BY72" i="41"/>
  <c r="BU76" i="37"/>
  <c r="BW38" i="26"/>
  <c r="BA104" i="41"/>
  <c r="AI93" i="40"/>
  <c r="L76" i="37"/>
  <c r="AH55" i="39"/>
  <c r="K116" i="50"/>
  <c r="CM19" i="37"/>
  <c r="CY35" i="41"/>
  <c r="BS28" i="39"/>
  <c r="BS32" i="39" s="1"/>
  <c r="BT51" i="36"/>
  <c r="BC72" i="41"/>
  <c r="CI82" i="39"/>
  <c r="CJ19" i="41"/>
  <c r="CG19" i="40"/>
  <c r="BT99" i="25"/>
  <c r="AI28" i="41"/>
  <c r="BB31" i="40"/>
  <c r="AS99" i="26"/>
  <c r="BB19" i="36"/>
  <c r="W35" i="40"/>
  <c r="AQ55" i="26"/>
  <c r="BZ55" i="36"/>
  <c r="BV32" i="25"/>
  <c r="BZ14" i="36"/>
  <c r="AS68" i="25"/>
  <c r="DH48" i="1"/>
  <c r="BO51" i="1"/>
  <c r="AY104" i="26"/>
  <c r="CF55" i="41"/>
  <c r="BW82" i="41"/>
  <c r="DD38" i="26"/>
  <c r="AD30" i="60"/>
  <c r="AA35" i="39"/>
  <c r="BI63" i="26"/>
  <c r="BJ63" i="26" s="1"/>
  <c r="X99" i="26"/>
  <c r="J35" i="40"/>
  <c r="BD32" i="1"/>
  <c r="BR104" i="39"/>
  <c r="P38" i="37"/>
  <c r="CX28" i="1"/>
  <c r="CX32" i="1" s="1"/>
  <c r="BY82" i="38"/>
  <c r="AG14" i="26"/>
  <c r="AG15" i="26" s="1"/>
  <c r="AA76" i="41"/>
  <c r="AC63" i="39"/>
  <c r="BB35" i="1"/>
  <c r="CT51" i="41"/>
  <c r="CP99" i="1"/>
  <c r="BX93" i="36"/>
  <c r="CT38" i="36"/>
  <c r="AR76" i="26"/>
  <c r="CZ28" i="39"/>
  <c r="CZ32" i="39" s="1"/>
  <c r="AV76" i="39"/>
  <c r="J76" i="26"/>
  <c r="BZ93" i="37"/>
  <c r="BZ106" i="37" s="1"/>
  <c r="J68" i="1"/>
  <c r="AB63" i="41"/>
  <c r="CI38" i="25"/>
  <c r="AM32" i="25"/>
  <c r="BF24" i="25"/>
  <c r="AY46" i="25"/>
  <c r="AZ35" i="39"/>
  <c r="DB14" i="39"/>
  <c r="DB15" i="39" s="1"/>
  <c r="AW99" i="26"/>
  <c r="AF93" i="25"/>
  <c r="CQ82" i="39"/>
  <c r="M11" i="38"/>
  <c r="CQ99" i="26"/>
  <c r="CY76" i="37"/>
  <c r="CP19" i="40"/>
  <c r="W63" i="36"/>
  <c r="CG28" i="26"/>
  <c r="CG32" i="26" s="1"/>
  <c r="AN38" i="25"/>
  <c r="CL19" i="37"/>
  <c r="N22" i="38"/>
  <c r="BX55" i="39"/>
  <c r="AA11" i="26"/>
  <c r="BR35" i="26"/>
  <c r="U14" i="38"/>
  <c r="CH31" i="38"/>
  <c r="CH32" i="38" s="1"/>
  <c r="BX51" i="40"/>
  <c r="CI72" i="25"/>
  <c r="AE55" i="37"/>
  <c r="CZ28" i="26"/>
  <c r="CZ32" i="26" s="1"/>
  <c r="BY63" i="41"/>
  <c r="BI19" i="38"/>
  <c r="BS68" i="1"/>
  <c r="CM31" i="36"/>
  <c r="BI76" i="39"/>
  <c r="BV22" i="38"/>
  <c r="AR46" i="38"/>
  <c r="S31" i="26"/>
  <c r="AK29" i="26"/>
  <c r="BS68" i="40"/>
  <c r="BB104" i="37"/>
  <c r="CO93" i="37"/>
  <c r="CO106" i="37" s="1"/>
  <c r="AZ14" i="1"/>
  <c r="AZ15" i="1" s="1"/>
  <c r="CT68" i="39"/>
  <c r="AF51" i="38"/>
  <c r="BW35" i="38"/>
  <c r="CW19" i="25"/>
  <c r="CR93" i="41"/>
  <c r="CR106" i="41" s="1"/>
  <c r="CO99" i="41"/>
  <c r="CT82" i="26"/>
  <c r="DA93" i="38"/>
  <c r="DA106" i="38" s="1"/>
  <c r="AU38" i="41"/>
  <c r="M63" i="39"/>
  <c r="M84" i="39" s="1"/>
  <c r="CJ28" i="39"/>
  <c r="CJ32" i="39" s="1"/>
  <c r="CR46" i="40"/>
  <c r="BO76" i="25"/>
  <c r="DH75" i="25"/>
  <c r="AU46" i="26"/>
  <c r="I63" i="40"/>
  <c r="CZ35" i="25"/>
  <c r="DH58" i="40"/>
  <c r="AM32" i="38"/>
  <c r="BF24" i="38"/>
  <c r="AS28" i="26"/>
  <c r="AS32" i="26" s="1"/>
  <c r="T38" i="25"/>
  <c r="CD68" i="36"/>
  <c r="CZ38" i="36"/>
  <c r="P31" i="1"/>
  <c r="AU55" i="25"/>
  <c r="CX28" i="41"/>
  <c r="CX32" i="41" s="1"/>
  <c r="AO51" i="37"/>
  <c r="BO76" i="40"/>
  <c r="DH75" i="40"/>
  <c r="CT46" i="39"/>
  <c r="AF104" i="38"/>
  <c r="AT76" i="25"/>
  <c r="AT84" i="25" s="1"/>
  <c r="CD63" i="36"/>
  <c r="BZ28" i="41"/>
  <c r="BZ32" i="41" s="1"/>
  <c r="BC82" i="25"/>
  <c r="DE76" i="1"/>
  <c r="CX22" i="37"/>
  <c r="CY19" i="41"/>
  <c r="J11" i="25"/>
  <c r="AZ31" i="38"/>
  <c r="AZ32" i="38" s="1"/>
  <c r="BC19" i="25"/>
  <c r="I72" i="1"/>
  <c r="AC99" i="36"/>
  <c r="BY31" i="36"/>
  <c r="BY32" i="36" s="1"/>
  <c r="BJ79" i="41"/>
  <c r="DD32" i="41"/>
  <c r="L38" i="37"/>
  <c r="BT11" i="39"/>
  <c r="BT15" i="39" s="1"/>
  <c r="G82" i="26"/>
  <c r="Q79" i="26"/>
  <c r="BL79" i="26" s="1"/>
  <c r="DD63" i="1"/>
  <c r="CH22" i="26"/>
  <c r="AW38" i="39"/>
  <c r="AG47" i="60"/>
  <c r="V24" i="60"/>
  <c r="BI68" i="40"/>
  <c r="Y50" i="60"/>
  <c r="AU50" i="60" s="1"/>
  <c r="CB76" i="37"/>
  <c r="DA35" i="40"/>
  <c r="I55" i="36"/>
  <c r="AM63" i="36"/>
  <c r="BF57" i="36"/>
  <c r="CD68" i="40"/>
  <c r="Q75" i="26"/>
  <c r="BL75" i="26" s="1"/>
  <c r="G76" i="26"/>
  <c r="AP14" i="41"/>
  <c r="AP15" i="41" s="1"/>
  <c r="AP40" i="41" s="1"/>
  <c r="CA76" i="40"/>
  <c r="CQ35" i="41"/>
  <c r="CD14" i="38"/>
  <c r="CD15" i="38" s="1"/>
  <c r="CD40" i="38" s="1"/>
  <c r="CV82" i="39"/>
  <c r="CO72" i="26"/>
  <c r="Y42" i="60"/>
  <c r="BU32" i="41"/>
  <c r="AJ22" i="40"/>
  <c r="DF72" i="36"/>
  <c r="AU28" i="25"/>
  <c r="AU32" i="25" s="1"/>
  <c r="AN38" i="40"/>
  <c r="AN19" i="40"/>
  <c r="Z68" i="1"/>
  <c r="V82" i="38"/>
  <c r="BS99" i="41"/>
  <c r="CJ38" i="38"/>
  <c r="AX82" i="40"/>
  <c r="T99" i="41"/>
  <c r="CN93" i="37"/>
  <c r="CN106" i="37" s="1"/>
  <c r="BH104" i="40"/>
  <c r="BF34" i="39"/>
  <c r="AM35" i="39"/>
  <c r="L11" i="37"/>
  <c r="L15" i="37" s="1"/>
  <c r="AK22" i="60"/>
  <c r="Z68" i="36"/>
  <c r="CT63" i="39"/>
  <c r="S104" i="40"/>
  <c r="BT31" i="38"/>
  <c r="BT32" i="38" s="1"/>
  <c r="CC68" i="25"/>
  <c r="L104" i="26"/>
  <c r="O11" i="36"/>
  <c r="CX32" i="40"/>
  <c r="BP22" i="39"/>
  <c r="BV19" i="1"/>
  <c r="BQ51" i="26"/>
  <c r="BI51" i="39"/>
  <c r="CI76" i="38"/>
  <c r="BJ10" i="26"/>
  <c r="DE22" i="1"/>
  <c r="BP76" i="39"/>
  <c r="U51" i="25"/>
  <c r="AF104" i="41"/>
  <c r="CX68" i="25"/>
  <c r="T38" i="37"/>
  <c r="AI30" i="60"/>
  <c r="BZ72" i="1"/>
  <c r="H290" i="46"/>
  <c r="H301" i="46" s="1"/>
  <c r="BT55" i="37"/>
  <c r="BT84" i="37" s="1"/>
  <c r="BD63" i="37"/>
  <c r="CR28" i="26"/>
  <c r="CR32" i="26" s="1"/>
  <c r="BD19" i="39"/>
  <c r="CA104" i="26"/>
  <c r="AD51" i="37"/>
  <c r="DH59" i="38"/>
  <c r="AU14" i="38"/>
  <c r="AU15" i="38" s="1"/>
  <c r="CM99" i="41"/>
  <c r="CM106" i="41" s="1"/>
  <c r="CT46" i="25"/>
  <c r="AE31" i="37"/>
  <c r="AE32" i="37" s="1"/>
  <c r="AE104" i="1"/>
  <c r="BA28" i="39"/>
  <c r="BA32" i="39" s="1"/>
  <c r="BS68" i="38"/>
  <c r="E26" i="64"/>
  <c r="BJ62" i="26"/>
  <c r="BA93" i="41"/>
  <c r="CX46" i="38"/>
  <c r="H76" i="37"/>
  <c r="CO46" i="25"/>
  <c r="AV31" i="39"/>
  <c r="AV32" i="39" s="1"/>
  <c r="X38" i="25"/>
  <c r="BY63" i="25"/>
  <c r="L99" i="1"/>
  <c r="L106" i="1" s="1"/>
  <c r="CO76" i="41"/>
  <c r="DE93" i="38"/>
  <c r="CI76" i="40"/>
  <c r="V76" i="41"/>
  <c r="AW51" i="1"/>
  <c r="J82" i="37"/>
  <c r="AJ82" i="38"/>
  <c r="AS51" i="40"/>
  <c r="AS84" i="40" s="1"/>
  <c r="CA93" i="41"/>
  <c r="CA106" i="41" s="1"/>
  <c r="AQ99" i="26"/>
  <c r="DC68" i="41"/>
  <c r="CW32" i="1"/>
  <c r="CK104" i="1"/>
  <c r="DE68" i="26"/>
  <c r="AT19" i="36"/>
  <c r="CG35" i="36"/>
  <c r="BI72" i="25"/>
  <c r="BU82" i="36"/>
  <c r="DE11" i="38"/>
  <c r="CD46" i="41"/>
  <c r="BE38" i="39"/>
  <c r="BB72" i="25"/>
  <c r="O31" i="41"/>
  <c r="CK31" i="25"/>
  <c r="AY72" i="36"/>
  <c r="CC46" i="26"/>
  <c r="CD14" i="1"/>
  <c r="P28" i="40"/>
  <c r="P32" i="40" s="1"/>
  <c r="CL14" i="40"/>
  <c r="CL15" i="40" s="1"/>
  <c r="BB63" i="26"/>
  <c r="DD68" i="41"/>
  <c r="AZ31" i="26"/>
  <c r="AZ32" i="26" s="1"/>
  <c r="BE82" i="38"/>
  <c r="DB63" i="36"/>
  <c r="DF68" i="41"/>
  <c r="H19" i="36"/>
  <c r="BZ19" i="26"/>
  <c r="BP99" i="26"/>
  <c r="Q96" i="1"/>
  <c r="G99" i="1"/>
  <c r="Q13" i="40"/>
  <c r="CI72" i="26"/>
  <c r="CI84" i="26" s="1"/>
  <c r="X22" i="40"/>
  <c r="BX76" i="37"/>
  <c r="AH72" i="26"/>
  <c r="CW55" i="40"/>
  <c r="AX68" i="38"/>
  <c r="BY14" i="1"/>
  <c r="BY15" i="1" s="1"/>
  <c r="BY40" i="1" s="1"/>
  <c r="CL38" i="1"/>
  <c r="AE8" i="60"/>
  <c r="T54" i="60"/>
  <c r="AC22" i="39"/>
  <c r="AH46" i="41"/>
  <c r="H104" i="41"/>
  <c r="BT82" i="25"/>
  <c r="CT99" i="40"/>
  <c r="AV68" i="41"/>
  <c r="J14" i="41"/>
  <c r="J15" i="41" s="1"/>
  <c r="J40" i="41" s="1"/>
  <c r="CY82" i="36"/>
  <c r="AD19" i="25"/>
  <c r="CE76" i="36"/>
  <c r="W76" i="37"/>
  <c r="DH48" i="41"/>
  <c r="BO51" i="41"/>
  <c r="I22" i="39"/>
  <c r="X99" i="1"/>
  <c r="CU93" i="36"/>
  <c r="BS19" i="25"/>
  <c r="DE104" i="36"/>
  <c r="CG99" i="1"/>
  <c r="CG106" i="1" s="1"/>
  <c r="AP72" i="38"/>
  <c r="BE19" i="40"/>
  <c r="Y82" i="41"/>
  <c r="AE72" i="40"/>
  <c r="CU19" i="39"/>
  <c r="CS99" i="37"/>
  <c r="Z46" i="40"/>
  <c r="AG63" i="37"/>
  <c r="CM35" i="41"/>
  <c r="N63" i="40"/>
  <c r="CE99" i="1"/>
  <c r="CE106" i="1" s="1"/>
  <c r="N93" i="39"/>
  <c r="AC46" i="38"/>
  <c r="CQ63" i="41"/>
  <c r="Q30" i="40"/>
  <c r="L76" i="1"/>
  <c r="CZ63" i="39"/>
  <c r="CB82" i="39"/>
  <c r="DB46" i="38"/>
  <c r="BW46" i="40"/>
  <c r="AM19" i="36"/>
  <c r="BF17" i="36"/>
  <c r="H82" i="39"/>
  <c r="AH32" i="40"/>
  <c r="AS51" i="25"/>
  <c r="AT38" i="40"/>
  <c r="CY22" i="1"/>
  <c r="CH35" i="39"/>
  <c r="DB104" i="41"/>
  <c r="CD28" i="40"/>
  <c r="CD32" i="40" s="1"/>
  <c r="CO55" i="36"/>
  <c r="CV31" i="40"/>
  <c r="CV32" i="40" s="1"/>
  <c r="BD28" i="39"/>
  <c r="BD32" i="39" s="1"/>
  <c r="AC35" i="37"/>
  <c r="DH103" i="37"/>
  <c r="U51" i="37"/>
  <c r="DH30" i="36"/>
  <c r="CR68" i="36"/>
  <c r="CR84" i="36" s="1"/>
  <c r="BZ68" i="26"/>
  <c r="P68" i="39"/>
  <c r="CO99" i="26"/>
  <c r="BP19" i="26"/>
  <c r="CE63" i="25"/>
  <c r="V14" i="40"/>
  <c r="BO35" i="40"/>
  <c r="DH34" i="40"/>
  <c r="W68" i="38"/>
  <c r="AJ38" i="1"/>
  <c r="AE22" i="36"/>
  <c r="CI28" i="38"/>
  <c r="CI32" i="38" s="1"/>
  <c r="BB22" i="37"/>
  <c r="BY32" i="39"/>
  <c r="CK35" i="38"/>
  <c r="AU68" i="1"/>
  <c r="BA99" i="38"/>
  <c r="U68" i="41"/>
  <c r="BX51" i="25"/>
  <c r="BX84" i="25" s="1"/>
  <c r="CO11" i="25"/>
  <c r="L104" i="38"/>
  <c r="DD68" i="37"/>
  <c r="CK104" i="40"/>
  <c r="CK106" i="40" s="1"/>
  <c r="BF25" i="40"/>
  <c r="CO14" i="40"/>
  <c r="CO15" i="40" s="1"/>
  <c r="BU35" i="41"/>
  <c r="AW46" i="26"/>
  <c r="BB72" i="38"/>
  <c r="DA31" i="36"/>
  <c r="DA32" i="36" s="1"/>
  <c r="DF38" i="40"/>
  <c r="CF104" i="39"/>
  <c r="CX11" i="1"/>
  <c r="BT82" i="39"/>
  <c r="O51" i="40"/>
  <c r="O84" i="40" s="1"/>
  <c r="AZ51" i="37"/>
  <c r="AZ84" i="37" s="1"/>
  <c r="P38" i="38"/>
  <c r="BC31" i="37"/>
  <c r="J99" i="39"/>
  <c r="CQ19" i="26"/>
  <c r="Z31" i="36"/>
  <c r="AE55" i="39"/>
  <c r="DE35" i="38"/>
  <c r="Z82" i="1"/>
  <c r="AR38" i="40"/>
  <c r="AF14" i="25"/>
  <c r="AC38" i="26"/>
  <c r="DE51" i="25"/>
  <c r="DE84" i="25" s="1"/>
  <c r="AW32" i="40"/>
  <c r="DA19" i="36"/>
  <c r="AH35" i="1"/>
  <c r="AX28" i="26"/>
  <c r="AX32" i="26" s="1"/>
  <c r="CO93" i="1"/>
  <c r="CO106" i="1" s="1"/>
  <c r="DA51" i="37"/>
  <c r="DA84" i="37" s="1"/>
  <c r="O63" i="1"/>
  <c r="AF19" i="37"/>
  <c r="AS82" i="26"/>
  <c r="CU68" i="37"/>
  <c r="DF104" i="39"/>
  <c r="AT63" i="26"/>
  <c r="CA46" i="38"/>
  <c r="CF55" i="38"/>
  <c r="CF84" i="38" s="1"/>
  <c r="AK65" i="41"/>
  <c r="BL65" i="41" s="1"/>
  <c r="S68" i="41"/>
  <c r="AP51" i="26"/>
  <c r="CO38" i="36"/>
  <c r="I221" i="46"/>
  <c r="Z55" i="40"/>
  <c r="BR38" i="38"/>
  <c r="AD11" i="25"/>
  <c r="AD15" i="25" s="1"/>
  <c r="CZ19" i="41"/>
  <c r="CW51" i="41"/>
  <c r="BO104" i="41"/>
  <c r="T99" i="38"/>
  <c r="BV99" i="37"/>
  <c r="DA32" i="1"/>
  <c r="AA55" i="41"/>
  <c r="AO76" i="1"/>
  <c r="AZ22" i="38"/>
  <c r="BI46" i="37"/>
  <c r="AB14" i="37"/>
  <c r="CQ55" i="39"/>
  <c r="CH14" i="39"/>
  <c r="CH15" i="39" s="1"/>
  <c r="CE93" i="38"/>
  <c r="CE106" i="38" s="1"/>
  <c r="AE14" i="38"/>
  <c r="AE15" i="38" s="1"/>
  <c r="Y54" i="60"/>
  <c r="AJ8" i="60"/>
  <c r="AO82" i="36"/>
  <c r="CE72" i="40"/>
  <c r="AX28" i="39"/>
  <c r="AX32" i="39" s="1"/>
  <c r="CF51" i="40"/>
  <c r="CF84" i="40" s="1"/>
  <c r="CY38" i="1"/>
  <c r="BP28" i="25"/>
  <c r="BP32" i="25" s="1"/>
  <c r="AS46" i="1"/>
  <c r="AN22" i="25"/>
  <c r="S18" i="60"/>
  <c r="CW22" i="38"/>
  <c r="AK13" i="37"/>
  <c r="BL13" i="37" s="1"/>
  <c r="AI19" i="39"/>
  <c r="AX35" i="41"/>
  <c r="AS31" i="38"/>
  <c r="AS32" i="38" s="1"/>
  <c r="AW14" i="37"/>
  <c r="AW15" i="37" s="1"/>
  <c r="AI19" i="25"/>
  <c r="AV63" i="36"/>
  <c r="CE51" i="36"/>
  <c r="CE84" i="36" s="1"/>
  <c r="CW46" i="38"/>
  <c r="AT93" i="39"/>
  <c r="AK25" i="25"/>
  <c r="DF22" i="40"/>
  <c r="DD72" i="1"/>
  <c r="AV22" i="1"/>
  <c r="CY11" i="37"/>
  <c r="U68" i="38"/>
  <c r="CZ55" i="40"/>
  <c r="BT28" i="40"/>
  <c r="BT32" i="40" s="1"/>
  <c r="W51" i="38"/>
  <c r="BV38" i="37"/>
  <c r="J63" i="25"/>
  <c r="BV51" i="37"/>
  <c r="BV84" i="37" s="1"/>
  <c r="AD51" i="38"/>
  <c r="BV11" i="1"/>
  <c r="CE68" i="37"/>
  <c r="CA104" i="37"/>
  <c r="CA106" i="37" s="1"/>
  <c r="CU19" i="1"/>
  <c r="CT46" i="26"/>
  <c r="CO31" i="37"/>
  <c r="DF68" i="36"/>
  <c r="Y72" i="36"/>
  <c r="M68" i="25"/>
  <c r="X32" i="39"/>
  <c r="AC104" i="25"/>
  <c r="AC106" i="25" s="1"/>
  <c r="AI32" i="25"/>
  <c r="BX11" i="39"/>
  <c r="BX15" i="39" s="1"/>
  <c r="N51" i="39"/>
  <c r="BH22" i="39"/>
  <c r="BJ22" i="39" s="1"/>
  <c r="BJ21" i="39"/>
  <c r="BE63" i="39"/>
  <c r="AA38" i="36"/>
  <c r="Q98" i="38"/>
  <c r="J72" i="25"/>
  <c r="U93" i="1"/>
  <c r="M55" i="36"/>
  <c r="L38" i="25"/>
  <c r="BC76" i="26"/>
  <c r="CS82" i="1"/>
  <c r="I14" i="41"/>
  <c r="I15" i="41" s="1"/>
  <c r="Q30" i="1"/>
  <c r="BL30" i="1" s="1"/>
  <c r="AJ19" i="37"/>
  <c r="J38" i="40"/>
  <c r="BU11" i="25"/>
  <c r="T6" i="60"/>
  <c r="BQ51" i="41"/>
  <c r="AM55" i="25"/>
  <c r="BF53" i="25"/>
  <c r="CB28" i="1"/>
  <c r="BH19" i="37"/>
  <c r="BJ19" i="37" s="1"/>
  <c r="BJ17" i="37"/>
  <c r="CW35" i="25"/>
  <c r="AO63" i="26"/>
  <c r="DH59" i="26"/>
  <c r="AS11" i="39"/>
  <c r="AS15" i="39" s="1"/>
  <c r="CT46" i="36"/>
  <c r="P63" i="26"/>
  <c r="CX55" i="38"/>
  <c r="BO22" i="40"/>
  <c r="DH21" i="40"/>
  <c r="O14" i="37"/>
  <c r="O15" i="37" s="1"/>
  <c r="BY63" i="1"/>
  <c r="BY84" i="1" s="1"/>
  <c r="AW31" i="25"/>
  <c r="AW32" i="25" s="1"/>
  <c r="AS99" i="37"/>
  <c r="DD72" i="36"/>
  <c r="T31" i="25"/>
  <c r="T32" i="25" s="1"/>
  <c r="BQ35" i="26"/>
  <c r="CV38" i="1"/>
  <c r="CL99" i="41"/>
  <c r="W28" i="36"/>
  <c r="J22" i="37"/>
  <c r="CM93" i="36"/>
  <c r="CM106" i="36" s="1"/>
  <c r="W76" i="39"/>
  <c r="AN11" i="39"/>
  <c r="AN15" i="39" s="1"/>
  <c r="AN40" i="39" s="1"/>
  <c r="AI31" i="26"/>
  <c r="AI32" i="26" s="1"/>
  <c r="Z54" i="60"/>
  <c r="AK8" i="60"/>
  <c r="CM14" i="41"/>
  <c r="CM15" i="41" s="1"/>
  <c r="CM40" i="41" s="1"/>
  <c r="BF25" i="38"/>
  <c r="AC35" i="38"/>
  <c r="AC40" i="38" s="1"/>
  <c r="BW11" i="26"/>
  <c r="BW15" i="26" s="1"/>
  <c r="CM68" i="26"/>
  <c r="CM84" i="26" s="1"/>
  <c r="DB46" i="36"/>
  <c r="AW93" i="39"/>
  <c r="AW106" i="39" s="1"/>
  <c r="CH72" i="26"/>
  <c r="AR63" i="1"/>
  <c r="Y11" i="38"/>
  <c r="Y15" i="38" s="1"/>
  <c r="AQ63" i="39"/>
  <c r="BV68" i="1"/>
  <c r="AV35" i="36"/>
  <c r="BO76" i="1"/>
  <c r="DH75" i="1"/>
  <c r="J46" i="36"/>
  <c r="CO93" i="38"/>
  <c r="CO106" i="38" s="1"/>
  <c r="CB11" i="1"/>
  <c r="CB15" i="1" s="1"/>
  <c r="DE35" i="41"/>
  <c r="BF13" i="36"/>
  <c r="CG68" i="41"/>
  <c r="BV104" i="37"/>
  <c r="DB28" i="1"/>
  <c r="DB32" i="1" s="1"/>
  <c r="BR11" i="40"/>
  <c r="CA11" i="41"/>
  <c r="V72" i="26"/>
  <c r="CX68" i="26"/>
  <c r="Y76" i="1"/>
  <c r="BD63" i="26"/>
  <c r="BD84" i="26" s="1"/>
  <c r="I19" i="38"/>
  <c r="AP76" i="38"/>
  <c r="H278" i="46"/>
  <c r="H280" i="46" s="1"/>
  <c r="BR63" i="41"/>
  <c r="CA99" i="38"/>
  <c r="CD28" i="1"/>
  <c r="CD32" i="1" s="1"/>
  <c r="BF102" i="26"/>
  <c r="AM104" i="26"/>
  <c r="BF61" i="1"/>
  <c r="CC68" i="38"/>
  <c r="Q26" i="39"/>
  <c r="BL26" i="39" s="1"/>
  <c r="G28" i="39"/>
  <c r="Q28" i="39" s="1"/>
  <c r="CA93" i="1"/>
  <c r="CA106" i="1" s="1"/>
  <c r="Z31" i="41"/>
  <c r="Z32" i="41" s="1"/>
  <c r="CV11" i="1"/>
  <c r="CV15" i="1" s="1"/>
  <c r="AU28" i="26"/>
  <c r="AU32" i="26" s="1"/>
  <c r="J28" i="36"/>
  <c r="J32" i="36" s="1"/>
  <c r="J40" i="36" s="1"/>
  <c r="AZ14" i="25"/>
  <c r="AZ15" i="25" s="1"/>
  <c r="K51" i="39"/>
  <c r="CN22" i="39"/>
  <c r="CJ22" i="26"/>
  <c r="AE19" i="38"/>
  <c r="I35" i="41"/>
  <c r="O46" i="36"/>
  <c r="CE76" i="37"/>
  <c r="CN14" i="40"/>
  <c r="CN15" i="40" s="1"/>
  <c r="CN40" i="40" s="1"/>
  <c r="BJ60" i="37"/>
  <c r="AH22" i="39"/>
  <c r="AE76" i="25"/>
  <c r="G28" i="40"/>
  <c r="Q26" i="40"/>
  <c r="BL26" i="40" s="1"/>
  <c r="DB104" i="40"/>
  <c r="BY99" i="41"/>
  <c r="AP28" i="1"/>
  <c r="AP32" i="1" s="1"/>
  <c r="BU32" i="37"/>
  <c r="DA93" i="1"/>
  <c r="DA106" i="1" s="1"/>
  <c r="AJ104" i="26"/>
  <c r="BQ35" i="39"/>
  <c r="CW35" i="40"/>
  <c r="AQ82" i="36"/>
  <c r="BT55" i="40"/>
  <c r="BR31" i="26"/>
  <c r="AH93" i="1"/>
  <c r="CF93" i="41"/>
  <c r="CF106" i="41" s="1"/>
  <c r="BC72" i="40"/>
  <c r="CE46" i="1"/>
  <c r="CI55" i="38"/>
  <c r="CW19" i="37"/>
  <c r="AW51" i="39"/>
  <c r="CE82" i="1"/>
  <c r="S51" i="40"/>
  <c r="AK48" i="40"/>
  <c r="CV19" i="36"/>
  <c r="AX51" i="39"/>
  <c r="CF72" i="1"/>
  <c r="AC32" i="25"/>
  <c r="BB46" i="1"/>
  <c r="AD63" i="1"/>
  <c r="BC31" i="41"/>
  <c r="AK89" i="37"/>
  <c r="S93" i="37"/>
  <c r="AQ63" i="37"/>
  <c r="AQ84" i="37" s="1"/>
  <c r="BF57" i="1"/>
  <c r="AM63" i="1"/>
  <c r="BC19" i="36"/>
  <c r="BD46" i="39"/>
  <c r="U63" i="1"/>
  <c r="BE76" i="1"/>
  <c r="DC93" i="40"/>
  <c r="DC106" i="40" s="1"/>
  <c r="AK50" i="38"/>
  <c r="CA22" i="25"/>
  <c r="AI31" i="36"/>
  <c r="AI32" i="36" s="1"/>
  <c r="AF35" i="38"/>
  <c r="CF28" i="37"/>
  <c r="CF32" i="37" s="1"/>
  <c r="CP32" i="41"/>
  <c r="DE63" i="38"/>
  <c r="AQ99" i="41"/>
  <c r="U55" i="26"/>
  <c r="CI14" i="25"/>
  <c r="CI15" i="25" s="1"/>
  <c r="AH14" i="26"/>
  <c r="AH15" i="26" s="1"/>
  <c r="BA35" i="38"/>
  <c r="BT82" i="26"/>
  <c r="AV72" i="36"/>
  <c r="BP99" i="37"/>
  <c r="DD14" i="39"/>
  <c r="DD15" i="39" s="1"/>
  <c r="K35" i="39"/>
  <c r="BE31" i="26"/>
  <c r="BE32" i="26" s="1"/>
  <c r="BW28" i="38"/>
  <c r="BW32" i="38" s="1"/>
  <c r="CE28" i="40"/>
  <c r="CE32" i="40" s="1"/>
  <c r="BU76" i="36"/>
  <c r="AV72" i="40"/>
  <c r="DA11" i="37"/>
  <c r="AC35" i="41"/>
  <c r="CH28" i="39"/>
  <c r="CL38" i="39"/>
  <c r="X51" i="36"/>
  <c r="DC28" i="41"/>
  <c r="DC32" i="41" s="1"/>
  <c r="P76" i="39"/>
  <c r="AH68" i="39"/>
  <c r="K72" i="38"/>
  <c r="W38" i="36"/>
  <c r="AI63" i="38"/>
  <c r="L68" i="40"/>
  <c r="AA72" i="1"/>
  <c r="CA46" i="36"/>
  <c r="W28" i="40"/>
  <c r="W32" i="40" s="1"/>
  <c r="CJ22" i="25"/>
  <c r="BX72" i="41"/>
  <c r="AE55" i="36"/>
  <c r="CA99" i="25"/>
  <c r="AC68" i="36"/>
  <c r="DH61" i="39"/>
  <c r="CI104" i="25"/>
  <c r="P28" i="36"/>
  <c r="P32" i="36" s="1"/>
  <c r="CP51" i="36"/>
  <c r="CP84" i="36" s="1"/>
  <c r="O11" i="1"/>
  <c r="BT19" i="25"/>
  <c r="CL93" i="39"/>
  <c r="CL106" i="39" s="1"/>
  <c r="BB35" i="39"/>
  <c r="AE47" i="60"/>
  <c r="T24" i="60"/>
  <c r="CD72" i="26"/>
  <c r="BE31" i="25"/>
  <c r="AG35" i="39"/>
  <c r="AG40" i="39" s="1"/>
  <c r="CY93" i="41"/>
  <c r="CL28" i="26"/>
  <c r="CL32" i="26" s="1"/>
  <c r="CK22" i="41"/>
  <c r="DD55" i="37"/>
  <c r="CG82" i="26"/>
  <c r="AW35" i="1"/>
  <c r="BP19" i="37"/>
  <c r="BR46" i="41"/>
  <c r="CN51" i="25"/>
  <c r="BI31" i="39"/>
  <c r="BI32" i="39" s="1"/>
  <c r="J99" i="26"/>
  <c r="CT93" i="25"/>
  <c r="CT106" i="25" s="1"/>
  <c r="L35" i="40"/>
  <c r="AX72" i="1"/>
  <c r="CB99" i="39"/>
  <c r="AG22" i="41"/>
  <c r="Q75" i="39"/>
  <c r="BL75" i="39" s="1"/>
  <c r="G76" i="39"/>
  <c r="CM35" i="39"/>
  <c r="BQ104" i="1"/>
  <c r="CZ35" i="39"/>
  <c r="BE76" i="25"/>
  <c r="BY63" i="39"/>
  <c r="CO99" i="39"/>
  <c r="CM32" i="26"/>
  <c r="BJ37" i="26"/>
  <c r="BH38" i="26"/>
  <c r="BJ38" i="26" s="1"/>
  <c r="AS55" i="36"/>
  <c r="AC72" i="26"/>
  <c r="CL14" i="1"/>
  <c r="CL15" i="1" s="1"/>
  <c r="BT28" i="1"/>
  <c r="BT32" i="1" s="1"/>
  <c r="AB93" i="26"/>
  <c r="AB106" i="26" s="1"/>
  <c r="CB46" i="37"/>
  <c r="CR46" i="1"/>
  <c r="CR84" i="1" s="1"/>
  <c r="AU38" i="38"/>
  <c r="CH99" i="37"/>
  <c r="AG14" i="25"/>
  <c r="AG15" i="25" s="1"/>
  <c r="CO82" i="1"/>
  <c r="T51" i="40"/>
  <c r="AL33" i="60"/>
  <c r="BJ30" i="38"/>
  <c r="DC22" i="36"/>
  <c r="BE68" i="37"/>
  <c r="CF38" i="37"/>
  <c r="Q92" i="25"/>
  <c r="CA51" i="25"/>
  <c r="CA84" i="25" s="1"/>
  <c r="BI46" i="36"/>
  <c r="BB72" i="37"/>
  <c r="CC32" i="39"/>
  <c r="BD14" i="39"/>
  <c r="BD15" i="39" s="1"/>
  <c r="O104" i="25"/>
  <c r="AY38" i="26"/>
  <c r="CX38" i="41"/>
  <c r="CW31" i="38"/>
  <c r="CW32" i="38" s="1"/>
  <c r="H82" i="37"/>
  <c r="BD63" i="36"/>
  <c r="DC68" i="36"/>
  <c r="CD72" i="39"/>
  <c r="AB28" i="25"/>
  <c r="AB32" i="25" s="1"/>
  <c r="CU72" i="41"/>
  <c r="AF63" i="26"/>
  <c r="BU35" i="26"/>
  <c r="CR55" i="37"/>
  <c r="CR84" i="37" s="1"/>
  <c r="AS38" i="37"/>
  <c r="P51" i="39"/>
  <c r="CU72" i="40"/>
  <c r="BJ34" i="26"/>
  <c r="BL34" i="26" s="1"/>
  <c r="BH35" i="26"/>
  <c r="BJ35" i="26" s="1"/>
  <c r="AF72" i="41"/>
  <c r="AF84" i="41" s="1"/>
  <c r="CV19" i="38"/>
  <c r="DF11" i="38"/>
  <c r="N31" i="26"/>
  <c r="N32" i="26" s="1"/>
  <c r="AF55" i="40"/>
  <c r="V46" i="1"/>
  <c r="CQ14" i="1"/>
  <c r="CQ15" i="1" s="1"/>
  <c r="S104" i="25"/>
  <c r="X55" i="26"/>
  <c r="DE11" i="1"/>
  <c r="DE15" i="1" s="1"/>
  <c r="DE40" i="1" s="1"/>
  <c r="BE28" i="38"/>
  <c r="BE32" i="38" s="1"/>
  <c r="CZ11" i="36"/>
  <c r="CZ15" i="36" s="1"/>
  <c r="CZ40" i="36" s="1"/>
  <c r="AU46" i="1"/>
  <c r="Z11" i="41"/>
  <c r="AO63" i="1"/>
  <c r="AD68" i="40"/>
  <c r="BA82" i="25"/>
  <c r="BF81" i="25"/>
  <c r="BS38" i="40"/>
  <c r="AU38" i="37"/>
  <c r="CT28" i="39"/>
  <c r="CT32" i="39" s="1"/>
  <c r="AN35" i="38"/>
  <c r="CK55" i="25"/>
  <c r="CA35" i="26"/>
  <c r="BV99" i="38"/>
  <c r="AI99" i="40"/>
  <c r="AS38" i="39"/>
  <c r="CN19" i="36"/>
  <c r="CI22" i="36"/>
  <c r="BI38" i="38"/>
  <c r="BJ38" i="38" s="1"/>
  <c r="AN11" i="41"/>
  <c r="P46" i="36"/>
  <c r="X31" i="26"/>
  <c r="X32" i="26" s="1"/>
  <c r="O19" i="40"/>
  <c r="BF81" i="37"/>
  <c r="CV99" i="41"/>
  <c r="CL76" i="39"/>
  <c r="CF22" i="40"/>
  <c r="CS11" i="26"/>
  <c r="AA28" i="38"/>
  <c r="AA32" i="38" s="1"/>
  <c r="AA40" i="38" s="1"/>
  <c r="AI72" i="36"/>
  <c r="Y11" i="26"/>
  <c r="CY28" i="37"/>
  <c r="DA51" i="26"/>
  <c r="DA84" i="26" s="1"/>
  <c r="CV28" i="25"/>
  <c r="CV32" i="25" s="1"/>
  <c r="AF55" i="1"/>
  <c r="X76" i="36"/>
  <c r="BA31" i="26"/>
  <c r="BA32" i="26" s="1"/>
  <c r="CM32" i="25"/>
  <c r="CI76" i="39"/>
  <c r="AQ35" i="38"/>
  <c r="CV72" i="40"/>
  <c r="N82" i="38"/>
  <c r="CJ35" i="40"/>
  <c r="BY82" i="25"/>
  <c r="V19" i="38"/>
  <c r="AZ46" i="25"/>
  <c r="AZ84" i="25" s="1"/>
  <c r="AC38" i="1"/>
  <c r="Z19" i="37"/>
  <c r="AI82" i="39"/>
  <c r="DB11" i="36"/>
  <c r="DB15" i="36" s="1"/>
  <c r="DB40" i="36" s="1"/>
  <c r="DC99" i="36"/>
  <c r="DC106" i="36" s="1"/>
  <c r="S14" i="41"/>
  <c r="AK12" i="41"/>
  <c r="BL12" i="41" s="1"/>
  <c r="AJ28" i="38"/>
  <c r="AJ32" i="38" s="1"/>
  <c r="BS72" i="1"/>
  <c r="AH22" i="37"/>
  <c r="CD28" i="37"/>
  <c r="CD32" i="37" s="1"/>
  <c r="CD40" i="37" s="1"/>
  <c r="CS14" i="38"/>
  <c r="CS15" i="38" s="1"/>
  <c r="CI38" i="38"/>
  <c r="BY22" i="41"/>
  <c r="V82" i="39"/>
  <c r="AT46" i="38"/>
  <c r="AT84" i="38" s="1"/>
  <c r="CA28" i="38"/>
  <c r="CA32" i="38" s="1"/>
  <c r="CD14" i="36"/>
  <c r="CD15" i="36" s="1"/>
  <c r="L104" i="36"/>
  <c r="BX104" i="36"/>
  <c r="AC31" i="26"/>
  <c r="AF11" i="25"/>
  <c r="L11" i="39"/>
  <c r="L15" i="39" s="1"/>
  <c r="CK99" i="41"/>
  <c r="CK106" i="41" s="1"/>
  <c r="N76" i="41"/>
  <c r="DA46" i="38"/>
  <c r="AJ35" i="25"/>
  <c r="AT14" i="40"/>
  <c r="AT15" i="40" s="1"/>
  <c r="BA22" i="39"/>
  <c r="DA104" i="36"/>
  <c r="AA14" i="25"/>
  <c r="AA15" i="25" s="1"/>
  <c r="DH49" i="38"/>
  <c r="AV28" i="25"/>
  <c r="AV32" i="25" s="1"/>
  <c r="DF63" i="36"/>
  <c r="DB46" i="41"/>
  <c r="CQ46" i="37"/>
  <c r="V22" i="38"/>
  <c r="CJ82" i="36"/>
  <c r="Z46" i="1"/>
  <c r="K76" i="25"/>
  <c r="CU35" i="1"/>
  <c r="S104" i="39"/>
  <c r="U14" i="37"/>
  <c r="Q71" i="37"/>
  <c r="G72" i="37"/>
  <c r="AI63" i="40"/>
  <c r="AA14" i="1"/>
  <c r="AA15" i="1" s="1"/>
  <c r="AA40" i="1" s="1"/>
  <c r="CS55" i="38"/>
  <c r="AS22" i="38"/>
  <c r="L51" i="25"/>
  <c r="Y22" i="36"/>
  <c r="CG76" i="39"/>
  <c r="W38" i="38"/>
  <c r="K104" i="26"/>
  <c r="K106" i="26" s="1"/>
  <c r="AP46" i="1"/>
  <c r="CZ82" i="40"/>
  <c r="AG14" i="37"/>
  <c r="AG15" i="37" s="1"/>
  <c r="AG40" i="37" s="1"/>
  <c r="P22" i="39"/>
  <c r="BQ14" i="38"/>
  <c r="BW76" i="36"/>
  <c r="BF91" i="40"/>
  <c r="AS19" i="1"/>
  <c r="BA31" i="38"/>
  <c r="BA32" i="38" s="1"/>
  <c r="DE76" i="37"/>
  <c r="G93" i="40"/>
  <c r="Q89" i="40"/>
  <c r="M31" i="25"/>
  <c r="M32" i="25" s="1"/>
  <c r="N63" i="38"/>
  <c r="AB19" i="36"/>
  <c r="AH8" i="60"/>
  <c r="W54" i="60"/>
  <c r="BV51" i="25"/>
  <c r="BV84" i="25" s="1"/>
  <c r="CB19" i="1"/>
  <c r="BW104" i="38"/>
  <c r="BW106" i="38" s="1"/>
  <c r="L51" i="39"/>
  <c r="L84" i="39" s="1"/>
  <c r="O28" i="26"/>
  <c r="O32" i="26" s="1"/>
  <c r="W51" i="25"/>
  <c r="AW31" i="38"/>
  <c r="AW32" i="38" s="1"/>
  <c r="DF104" i="37"/>
  <c r="L38" i="26"/>
  <c r="Q98" i="26"/>
  <c r="CG55" i="36"/>
  <c r="AJ14" i="25"/>
  <c r="AJ15" i="25" s="1"/>
  <c r="BD38" i="40"/>
  <c r="BT38" i="1"/>
  <c r="CV46" i="26"/>
  <c r="Q50" i="36"/>
  <c r="BL50" i="36" s="1"/>
  <c r="CU99" i="36"/>
  <c r="DE38" i="36"/>
  <c r="CQ46" i="40"/>
  <c r="CQ84" i="40" s="1"/>
  <c r="AN11" i="40"/>
  <c r="AN15" i="40" s="1"/>
  <c r="AN68" i="41"/>
  <c r="AM32" i="39"/>
  <c r="BF24" i="39"/>
  <c r="AB99" i="39"/>
  <c r="CT19" i="1"/>
  <c r="CU51" i="39"/>
  <c r="CU84" i="39" s="1"/>
  <c r="BS72" i="26"/>
  <c r="G51" i="1"/>
  <c r="Q48" i="1"/>
  <c r="BW35" i="41"/>
  <c r="DA55" i="38"/>
  <c r="AA76" i="37"/>
  <c r="BE19" i="1"/>
  <c r="BV93" i="40"/>
  <c r="BV106" i="40" s="1"/>
  <c r="CY22" i="41"/>
  <c r="I116" i="50"/>
  <c r="BT38" i="40"/>
  <c r="DF51" i="26"/>
  <c r="DF84" i="26" s="1"/>
  <c r="N32" i="40"/>
  <c r="AO14" i="39"/>
  <c r="AO15" i="39" s="1"/>
  <c r="AK62" i="37"/>
  <c r="CW14" i="37"/>
  <c r="CW15" i="37" s="1"/>
  <c r="BO14" i="1"/>
  <c r="CE19" i="36"/>
  <c r="N72" i="25"/>
  <c r="CY38" i="26"/>
  <c r="W50" i="60"/>
  <c r="AS50" i="60" s="1"/>
  <c r="AE82" i="26"/>
  <c r="BJ89" i="38"/>
  <c r="BX68" i="26"/>
  <c r="I72" i="38"/>
  <c r="BX63" i="40"/>
  <c r="CY82" i="25"/>
  <c r="BU93" i="26"/>
  <c r="BU106" i="26" s="1"/>
  <c r="BD38" i="37"/>
  <c r="AA82" i="25"/>
  <c r="AA84" i="25" s="1"/>
  <c r="DF46" i="41"/>
  <c r="AG28" i="25"/>
  <c r="AG32" i="25" s="1"/>
  <c r="AG40" i="25" s="1"/>
  <c r="AJ82" i="39"/>
  <c r="V38" i="41"/>
  <c r="CV72" i="26"/>
  <c r="CZ68" i="25"/>
  <c r="AO72" i="26"/>
  <c r="Q71" i="1"/>
  <c r="G72" i="1"/>
  <c r="DC19" i="36"/>
  <c r="T14" i="1"/>
  <c r="X28" i="40"/>
  <c r="X32" i="40" s="1"/>
  <c r="CW99" i="25"/>
  <c r="AS14" i="40"/>
  <c r="AD55" i="38"/>
  <c r="DC14" i="25"/>
  <c r="DC15" i="25" s="1"/>
  <c r="DC40" i="25" s="1"/>
  <c r="BA93" i="39"/>
  <c r="BA106" i="39" s="1"/>
  <c r="U38" i="40"/>
  <c r="L11" i="26"/>
  <c r="BV104" i="38"/>
  <c r="L11" i="40"/>
  <c r="L15" i="40" s="1"/>
  <c r="CU19" i="41"/>
  <c r="BA93" i="38"/>
  <c r="AA63" i="40"/>
  <c r="DD35" i="37"/>
  <c r="P68" i="40"/>
  <c r="L63" i="38"/>
  <c r="BE72" i="40"/>
  <c r="BF72" i="40" s="1"/>
  <c r="CF68" i="39"/>
  <c r="CD68" i="39"/>
  <c r="BU63" i="25"/>
  <c r="O76" i="26"/>
  <c r="BQ14" i="37"/>
  <c r="AY104" i="1"/>
  <c r="V82" i="40"/>
  <c r="AJ51" i="1"/>
  <c r="Z68" i="39"/>
  <c r="CX11" i="38"/>
  <c r="CX15" i="38" s="1"/>
  <c r="CX40" i="38" s="1"/>
  <c r="CH68" i="36"/>
  <c r="AQ38" i="26"/>
  <c r="AJ99" i="38"/>
  <c r="AJ106" i="38" s="1"/>
  <c r="CO32" i="41"/>
  <c r="AH63" i="37"/>
  <c r="AH84" i="37" s="1"/>
  <c r="AJ76" i="25"/>
  <c r="AZ68" i="36"/>
  <c r="CN76" i="38"/>
  <c r="N76" i="36"/>
  <c r="M38" i="41"/>
  <c r="AR51" i="40"/>
  <c r="AR84" i="40" s="1"/>
  <c r="DF99" i="41"/>
  <c r="BJ18" i="41"/>
  <c r="U72" i="37"/>
  <c r="BZ68" i="37"/>
  <c r="AB68" i="36"/>
  <c r="CL72" i="37"/>
  <c r="BD104" i="38"/>
  <c r="BD106" i="38" s="1"/>
  <c r="BA76" i="38"/>
  <c r="BA84" i="38" s="1"/>
  <c r="CR104" i="37"/>
  <c r="N31" i="1"/>
  <c r="N32" i="1" s="1"/>
  <c r="N40" i="1" s="1"/>
  <c r="BA38" i="36"/>
  <c r="Q79" i="37"/>
  <c r="BL79" i="37" s="1"/>
  <c r="G82" i="37"/>
  <c r="J82" i="25"/>
  <c r="CK31" i="36"/>
  <c r="CK32" i="36" s="1"/>
  <c r="BB99" i="37"/>
  <c r="BB106" i="37" s="1"/>
  <c r="CI31" i="26"/>
  <c r="CI32" i="26" s="1"/>
  <c r="CI40" i="26" s="1"/>
  <c r="CL76" i="25"/>
  <c r="AI22" i="1"/>
  <c r="CD11" i="1"/>
  <c r="CL68" i="25"/>
  <c r="BB22" i="38"/>
  <c r="CA14" i="41"/>
  <c r="CA15" i="41" s="1"/>
  <c r="CA40" i="41" s="1"/>
  <c r="AW38" i="25"/>
  <c r="I46" i="25"/>
  <c r="CL11" i="26"/>
  <c r="DE14" i="38"/>
  <c r="AW104" i="37"/>
  <c r="CU35" i="36"/>
  <c r="CP55" i="25"/>
  <c r="AQ99" i="40"/>
  <c r="L28" i="38"/>
  <c r="AA31" i="39"/>
  <c r="BJ25" i="36"/>
  <c r="BV32" i="37"/>
  <c r="AJ31" i="36"/>
  <c r="AJ32" i="36" s="1"/>
  <c r="U14" i="36"/>
  <c r="CR99" i="37"/>
  <c r="AD76" i="1"/>
  <c r="CC93" i="38"/>
  <c r="CC106" i="38" s="1"/>
  <c r="BB51" i="26"/>
  <c r="BB84" i="26" s="1"/>
  <c r="AE38" i="1"/>
  <c r="AY19" i="26"/>
  <c r="BP22" i="41"/>
  <c r="I63" i="36"/>
  <c r="DB51" i="25"/>
  <c r="DB84" i="25" s="1"/>
  <c r="BU51" i="1"/>
  <c r="BU84" i="1" s="1"/>
  <c r="X76" i="38"/>
  <c r="AA19" i="40"/>
  <c r="CX82" i="37"/>
  <c r="CX84" i="37" s="1"/>
  <c r="AD32" i="39"/>
  <c r="CY93" i="26"/>
  <c r="AM63" i="25"/>
  <c r="BF63" i="25" s="1"/>
  <c r="BF57" i="25"/>
  <c r="BL57" i="25" s="1"/>
  <c r="CK51" i="26"/>
  <c r="AX63" i="39"/>
  <c r="K46" i="26"/>
  <c r="DD68" i="39"/>
  <c r="DD84" i="39" s="1"/>
  <c r="CZ76" i="1"/>
  <c r="CV38" i="38"/>
  <c r="AZ28" i="1"/>
  <c r="AZ32" i="1" s="1"/>
  <c r="CJ51" i="26"/>
  <c r="CJ84" i="26" s="1"/>
  <c r="CW46" i="40"/>
  <c r="V72" i="37"/>
  <c r="AH51" i="39"/>
  <c r="AH84" i="39" s="1"/>
  <c r="CH51" i="37"/>
  <c r="U22" i="38"/>
  <c r="BW93" i="1"/>
  <c r="BW106" i="1" s="1"/>
  <c r="BJ18" i="37"/>
  <c r="BL18" i="37" s="1"/>
  <c r="AT35" i="38"/>
  <c r="AW76" i="38"/>
  <c r="CD22" i="41"/>
  <c r="V28" i="41"/>
  <c r="V32" i="41" s="1"/>
  <c r="BU32" i="1"/>
  <c r="BU40" i="1" s="1"/>
  <c r="AX35" i="37"/>
  <c r="U76" i="39"/>
  <c r="CP14" i="1"/>
  <c r="CP15" i="1" s="1"/>
  <c r="CP40" i="1" s="1"/>
  <c r="AO32" i="37"/>
  <c r="J11" i="39"/>
  <c r="J15" i="39" s="1"/>
  <c r="P72" i="39"/>
  <c r="CW82" i="37"/>
  <c r="AP35" i="38"/>
  <c r="Y31" i="1"/>
  <c r="Q91" i="1"/>
  <c r="DD35" i="39"/>
  <c r="DH60" i="26"/>
  <c r="X38" i="26"/>
  <c r="DE93" i="25"/>
  <c r="DE106" i="25" s="1"/>
  <c r="CH35" i="40"/>
  <c r="CC68" i="41"/>
  <c r="BC35" i="38"/>
  <c r="W31" i="1"/>
  <c r="O35" i="25"/>
  <c r="Q61" i="36"/>
  <c r="BL61" i="36" s="1"/>
  <c r="BD32" i="41"/>
  <c r="AU46" i="38"/>
  <c r="N279" i="46"/>
  <c r="N280" i="46" s="1"/>
  <c r="AN93" i="37"/>
  <c r="AN106" i="37" s="1"/>
  <c r="BE22" i="26"/>
  <c r="AE31" i="36"/>
  <c r="AE32" i="36" s="1"/>
  <c r="BZ93" i="25"/>
  <c r="BZ106" i="25" s="1"/>
  <c r="V28" i="39"/>
  <c r="V32" i="39" s="1"/>
  <c r="CV51" i="40"/>
  <c r="CX63" i="41"/>
  <c r="AS51" i="36"/>
  <c r="AE35" i="38"/>
  <c r="Q13" i="39"/>
  <c r="BL13" i="39" s="1"/>
  <c r="CD38" i="39"/>
  <c r="AB31" i="38"/>
  <c r="AB32" i="38" s="1"/>
  <c r="AP104" i="40"/>
  <c r="DD32" i="38"/>
  <c r="CV35" i="40"/>
  <c r="BS19" i="26"/>
  <c r="AZ55" i="36"/>
  <c r="CI104" i="1"/>
  <c r="CP76" i="25"/>
  <c r="L19" i="37"/>
  <c r="CX93" i="40"/>
  <c r="CX106" i="40" s="1"/>
  <c r="BD72" i="25"/>
  <c r="AD72" i="40"/>
  <c r="BY14" i="25"/>
  <c r="BY15" i="25" s="1"/>
  <c r="BJ62" i="37"/>
  <c r="AX68" i="26"/>
  <c r="J93" i="38"/>
  <c r="X14" i="26"/>
  <c r="X15" i="26" s="1"/>
  <c r="AU22" i="36"/>
  <c r="CG31" i="40"/>
  <c r="CG32" i="40" s="1"/>
  <c r="BW35" i="26"/>
  <c r="CR93" i="36"/>
  <c r="AU11" i="1"/>
  <c r="AU15" i="1" s="1"/>
  <c r="AQ51" i="38"/>
  <c r="AQ84" i="38" s="1"/>
  <c r="AF22" i="41"/>
  <c r="CO35" i="25"/>
  <c r="CD31" i="26"/>
  <c r="CD32" i="26" s="1"/>
  <c r="BX46" i="40"/>
  <c r="CP28" i="36"/>
  <c r="CP32" i="36" s="1"/>
  <c r="M19" i="1"/>
  <c r="AA51" i="41"/>
  <c r="Z63" i="40"/>
  <c r="BI22" i="38"/>
  <c r="CK82" i="26"/>
  <c r="Q96" i="40"/>
  <c r="G99" i="40"/>
  <c r="Q99" i="40" s="1"/>
  <c r="AP68" i="39"/>
  <c r="CA63" i="26"/>
  <c r="AG38" i="26"/>
  <c r="AD68" i="38"/>
  <c r="BT68" i="26"/>
  <c r="AJ68" i="41"/>
  <c r="BJ9" i="40"/>
  <c r="BH11" i="40"/>
  <c r="BJ11" i="40" s="1"/>
  <c r="CQ14" i="25"/>
  <c r="CQ15" i="25" s="1"/>
  <c r="Y31" i="37"/>
  <c r="AO72" i="37"/>
  <c r="Q79" i="36"/>
  <c r="BL79" i="36" s="1"/>
  <c r="G82" i="36"/>
  <c r="BO28" i="38"/>
  <c r="DH26" i="38"/>
  <c r="T32" i="36"/>
  <c r="CQ82" i="25"/>
  <c r="CB68" i="38"/>
  <c r="CB84" i="38" s="1"/>
  <c r="AD76" i="41"/>
  <c r="CU104" i="38"/>
  <c r="CZ76" i="40"/>
  <c r="CC99" i="25"/>
  <c r="BX31" i="1"/>
  <c r="BX32" i="1" s="1"/>
  <c r="CL51" i="37"/>
  <c r="CL84" i="37" s="1"/>
  <c r="S22" i="37"/>
  <c r="AK21" i="37"/>
  <c r="M46" i="25"/>
  <c r="AU93" i="40"/>
  <c r="AM55" i="1"/>
  <c r="BF53" i="1"/>
  <c r="AI51" i="39"/>
  <c r="I68" i="38"/>
  <c r="CS28" i="1"/>
  <c r="CS32" i="1" s="1"/>
  <c r="CR46" i="39"/>
  <c r="BI68" i="25"/>
  <c r="BJ68" i="25" s="1"/>
  <c r="CY63" i="40"/>
  <c r="BP72" i="26"/>
  <c r="CT31" i="41"/>
  <c r="CT32" i="41" s="1"/>
  <c r="V28" i="26"/>
  <c r="V32" i="26" s="1"/>
  <c r="CJ46" i="39"/>
  <c r="BR35" i="1"/>
  <c r="AI72" i="39"/>
  <c r="AN68" i="38"/>
  <c r="CU55" i="25"/>
  <c r="AD28" i="37"/>
  <c r="AD32" i="37" s="1"/>
  <c r="CL76" i="26"/>
  <c r="U46" i="37"/>
  <c r="H76" i="25"/>
  <c r="CM31" i="40"/>
  <c r="CM32" i="40" s="1"/>
  <c r="AH72" i="40"/>
  <c r="AX46" i="36"/>
  <c r="AX84" i="36" s="1"/>
  <c r="BY72" i="36"/>
  <c r="AP38" i="25"/>
  <c r="AP22" i="26"/>
  <c r="S104" i="1"/>
  <c r="AI72" i="1"/>
  <c r="AV51" i="37"/>
  <c r="AV84" i="37" s="1"/>
  <c r="CS31" i="36"/>
  <c r="CS32" i="36" s="1"/>
  <c r="U22" i="37"/>
  <c r="BX14" i="1"/>
  <c r="BX15" i="1" s="1"/>
  <c r="BX40" i="1" s="1"/>
  <c r="AB22" i="1"/>
  <c r="AB104" i="38"/>
  <c r="AB106" i="38" s="1"/>
  <c r="AQ76" i="40"/>
  <c r="CK46" i="38"/>
  <c r="AZ63" i="39"/>
  <c r="BQ76" i="38"/>
  <c r="BZ55" i="41"/>
  <c r="AB51" i="37"/>
  <c r="J11" i="40"/>
  <c r="J15" i="40" s="1"/>
  <c r="H22" i="40"/>
  <c r="P11" i="39"/>
  <c r="P15" i="39" s="1"/>
  <c r="AJ99" i="41"/>
  <c r="AB31" i="40"/>
  <c r="AB32" i="40" s="1"/>
  <c r="BR14" i="40"/>
  <c r="BR15" i="40" s="1"/>
  <c r="BR40" i="40" s="1"/>
  <c r="AJ99" i="25"/>
  <c r="AX51" i="25"/>
  <c r="AX84" i="25" s="1"/>
  <c r="BW14" i="41"/>
  <c r="BW15" i="41" s="1"/>
  <c r="I11" i="25"/>
  <c r="BD93" i="1"/>
  <c r="BI11" i="37"/>
  <c r="BI15" i="37" s="1"/>
  <c r="CM31" i="39"/>
  <c r="CM32" i="39" s="1"/>
  <c r="BJ62" i="41"/>
  <c r="AO82" i="41"/>
  <c r="AJ19" i="41"/>
  <c r="AO31" i="39"/>
  <c r="AO32" i="39" s="1"/>
  <c r="BD51" i="39"/>
  <c r="CJ11" i="1"/>
  <c r="CJ15" i="1" s="1"/>
  <c r="AK10" i="40"/>
  <c r="BL10" i="40" s="1"/>
  <c r="O31" i="38"/>
  <c r="AS31" i="37"/>
  <c r="AS32" i="37" s="1"/>
  <c r="BY46" i="39"/>
  <c r="BZ63" i="36"/>
  <c r="AA99" i="41"/>
  <c r="AA106" i="41" s="1"/>
  <c r="BD35" i="36"/>
  <c r="DE38" i="38"/>
  <c r="Q18" i="39"/>
  <c r="BS22" i="41"/>
  <c r="AU14" i="37"/>
  <c r="AU15" i="37" s="1"/>
  <c r="AI63" i="37"/>
  <c r="CM72" i="40"/>
  <c r="CM84" i="40" s="1"/>
  <c r="Z19" i="1"/>
  <c r="AN31" i="26"/>
  <c r="I14" i="25"/>
  <c r="AA32" i="41"/>
  <c r="AI99" i="41"/>
  <c r="AI106" i="41" s="1"/>
  <c r="N19" i="41"/>
  <c r="CM38" i="39"/>
  <c r="N82" i="1"/>
  <c r="BD93" i="39"/>
  <c r="BD106" i="39" s="1"/>
  <c r="CQ38" i="39"/>
  <c r="N11" i="38"/>
  <c r="N15" i="38" s="1"/>
  <c r="N40" i="38" s="1"/>
  <c r="CW72" i="26"/>
  <c r="X99" i="41"/>
  <c r="BJ18" i="39"/>
  <c r="DC51" i="1"/>
  <c r="CY51" i="25"/>
  <c r="CK11" i="37"/>
  <c r="DF11" i="39"/>
  <c r="DF15" i="39" s="1"/>
  <c r="DF40" i="39" s="1"/>
  <c r="CO55" i="25"/>
  <c r="AQ19" i="25"/>
  <c r="AV38" i="41"/>
  <c r="Y6" i="60"/>
  <c r="AV104" i="1"/>
  <c r="AV106" i="1" s="1"/>
  <c r="DE51" i="40"/>
  <c r="DE84" i="40" s="1"/>
  <c r="CL31" i="41"/>
  <c r="CL32" i="41" s="1"/>
  <c r="CL40" i="41" s="1"/>
  <c r="DF104" i="40"/>
  <c r="DF106" i="40" s="1"/>
  <c r="CY35" i="37"/>
  <c r="AE93" i="25"/>
  <c r="CB46" i="40"/>
  <c r="AB68" i="41"/>
  <c r="CK19" i="39"/>
  <c r="BS14" i="40"/>
  <c r="BS15" i="40" s="1"/>
  <c r="BA38" i="39"/>
  <c r="O19" i="39"/>
  <c r="BC31" i="39"/>
  <c r="AQ76" i="1"/>
  <c r="AQ99" i="39"/>
  <c r="O68" i="39"/>
  <c r="Q68" i="39" s="1"/>
  <c r="AP11" i="40"/>
  <c r="AP15" i="40" s="1"/>
  <c r="DF93" i="37"/>
  <c r="CP38" i="38"/>
  <c r="CM22" i="1"/>
  <c r="BC99" i="40"/>
  <c r="CU28" i="25"/>
  <c r="CU32" i="25" s="1"/>
  <c r="H31" i="25"/>
  <c r="Q25" i="39"/>
  <c r="BL25" i="39" s="1"/>
  <c r="DD55" i="38"/>
  <c r="BW46" i="38"/>
  <c r="BW84" i="38" s="1"/>
  <c r="AR28" i="38"/>
  <c r="AR32" i="38" s="1"/>
  <c r="BU14" i="40"/>
  <c r="BU15" i="40" s="1"/>
  <c r="CC22" i="39"/>
  <c r="CI63" i="25"/>
  <c r="CS51" i="39"/>
  <c r="CN22" i="25"/>
  <c r="CH72" i="37"/>
  <c r="CN51" i="38"/>
  <c r="CO31" i="26"/>
  <c r="CO32" i="26" s="1"/>
  <c r="CV63" i="36"/>
  <c r="DB99" i="37"/>
  <c r="DB106" i="37" s="1"/>
  <c r="BJ54" i="1"/>
  <c r="CO72" i="25"/>
  <c r="BV38" i="40"/>
  <c r="AK10" i="39"/>
  <c r="CF63" i="41"/>
  <c r="CB68" i="39"/>
  <c r="T22" i="36"/>
  <c r="CU46" i="41"/>
  <c r="AD68" i="26"/>
  <c r="CF51" i="26"/>
  <c r="CF84" i="26" s="1"/>
  <c r="AY93" i="36"/>
  <c r="AY106" i="36" s="1"/>
  <c r="AN11" i="37"/>
  <c r="AN15" i="37" s="1"/>
  <c r="AN40" i="37" s="1"/>
  <c r="AX35" i="1"/>
  <c r="DA68" i="1"/>
  <c r="AA51" i="40"/>
  <c r="O46" i="41"/>
  <c r="CV32" i="38"/>
  <c r="BF13" i="40"/>
  <c r="BI11" i="26"/>
  <c r="BI15" i="26" s="1"/>
  <c r="BI40" i="26" s="1"/>
  <c r="K19" i="26"/>
  <c r="O72" i="37"/>
  <c r="O84" i="37" s="1"/>
  <c r="AR28" i="26"/>
  <c r="AR32" i="26" s="1"/>
  <c r="CT28" i="25"/>
  <c r="BI35" i="38"/>
  <c r="BJ35" i="38" s="1"/>
  <c r="AY22" i="40"/>
  <c r="CS51" i="38"/>
  <c r="CS84" i="38" s="1"/>
  <c r="BZ32" i="38"/>
  <c r="Q62" i="36"/>
  <c r="BL62" i="36" s="1"/>
  <c r="CW82" i="38"/>
  <c r="BF25" i="36"/>
  <c r="BL25" i="36" s="1"/>
  <c r="Z55" i="26"/>
  <c r="BC93" i="37"/>
  <c r="BC106" i="37" s="1"/>
  <c r="BR28" i="1"/>
  <c r="BR32" i="1" s="1"/>
  <c r="AU55" i="40"/>
  <c r="AV38" i="39"/>
  <c r="AX28" i="38"/>
  <c r="AR14" i="26"/>
  <c r="AR15" i="26" s="1"/>
  <c r="AW35" i="37"/>
  <c r="AQ19" i="26"/>
  <c r="AH82" i="26"/>
  <c r="AH84" i="26" s="1"/>
  <c r="DD99" i="26"/>
  <c r="AQ31" i="26"/>
  <c r="AV11" i="41"/>
  <c r="AV15" i="41" s="1"/>
  <c r="AF31" i="39"/>
  <c r="AF32" i="39" s="1"/>
  <c r="N99" i="39"/>
  <c r="BO104" i="36"/>
  <c r="CX51" i="25"/>
  <c r="CX84" i="25" s="1"/>
  <c r="W63" i="26"/>
  <c r="AK63" i="26" s="1"/>
  <c r="BX63" i="39"/>
  <c r="BH63" i="36"/>
  <c r="BJ63" i="36" s="1"/>
  <c r="BJ57" i="36"/>
  <c r="M19" i="39"/>
  <c r="CX76" i="36"/>
  <c r="CC99" i="41"/>
  <c r="CB63" i="40"/>
  <c r="BU35" i="36"/>
  <c r="CT55" i="1"/>
  <c r="CT84" i="1" s="1"/>
  <c r="M32" i="39"/>
  <c r="DF11" i="1"/>
  <c r="DF15" i="1" s="1"/>
  <c r="Y93" i="1"/>
  <c r="CA22" i="26"/>
  <c r="CS93" i="1"/>
  <c r="CS106" i="1" s="1"/>
  <c r="Z82" i="39"/>
  <c r="AH22" i="60"/>
  <c r="W35" i="25"/>
  <c r="CY63" i="1"/>
  <c r="CY84" i="1" s="1"/>
  <c r="DH49" i="1"/>
  <c r="CR46" i="25"/>
  <c r="CP51" i="1"/>
  <c r="CP84" i="1" s="1"/>
  <c r="BF10" i="37"/>
  <c r="BL10" i="37" s="1"/>
  <c r="CZ35" i="37"/>
  <c r="BC72" i="25"/>
  <c r="Q62" i="38"/>
  <c r="BL62" i="38" s="1"/>
  <c r="AM104" i="40"/>
  <c r="BF102" i="40"/>
  <c r="AO72" i="41"/>
  <c r="K68" i="41"/>
  <c r="AG51" i="37"/>
  <c r="BC28" i="40"/>
  <c r="BC32" i="40" s="1"/>
  <c r="AR63" i="36"/>
  <c r="T28" i="37"/>
  <c r="T32" i="37" s="1"/>
  <c r="P32" i="39"/>
  <c r="S38" i="25"/>
  <c r="AK38" i="25" s="1"/>
  <c r="AK37" i="25"/>
  <c r="BL37" i="25" s="1"/>
  <c r="BA32" i="1"/>
  <c r="CH11" i="36"/>
  <c r="CH15" i="36" s="1"/>
  <c r="CK72" i="38"/>
  <c r="BX68" i="38"/>
  <c r="BV104" i="26"/>
  <c r="BV106" i="26" s="1"/>
  <c r="BO63" i="38"/>
  <c r="DH57" i="38"/>
  <c r="CO72" i="37"/>
  <c r="CO84" i="37" s="1"/>
  <c r="CD99" i="41"/>
  <c r="CD106" i="41" s="1"/>
  <c r="CN46" i="41"/>
  <c r="Z14" i="1"/>
  <c r="Z15" i="1" s="1"/>
  <c r="CU82" i="38"/>
  <c r="L51" i="1"/>
  <c r="L84" i="1" s="1"/>
  <c r="CH19" i="39"/>
  <c r="CB38" i="41"/>
  <c r="AX31" i="36"/>
  <c r="Y46" i="26"/>
  <c r="DH65" i="37"/>
  <c r="BO68" i="37"/>
  <c r="F287" i="46"/>
  <c r="F298" i="46" s="1"/>
  <c r="Y76" i="40"/>
  <c r="CO32" i="25"/>
  <c r="AE93" i="26"/>
  <c r="BW99" i="37"/>
  <c r="AC19" i="36"/>
  <c r="AQ31" i="25"/>
  <c r="BJ79" i="38"/>
  <c r="DD46" i="40"/>
  <c r="CH22" i="40"/>
  <c r="AY22" i="38"/>
  <c r="CG63" i="25"/>
  <c r="I35" i="38"/>
  <c r="I19" i="26"/>
  <c r="W31" i="36"/>
  <c r="BR38" i="25"/>
  <c r="U28" i="37"/>
  <c r="U32" i="37" s="1"/>
  <c r="O51" i="1"/>
  <c r="O84" i="1" s="1"/>
  <c r="S51" i="41"/>
  <c r="AK48" i="41"/>
  <c r="CY72" i="40"/>
  <c r="I72" i="25"/>
  <c r="CT104" i="26"/>
  <c r="CT106" i="26" s="1"/>
  <c r="S93" i="39"/>
  <c r="AK89" i="39"/>
  <c r="AA19" i="25"/>
  <c r="X63" i="25"/>
  <c r="AK63" i="25" s="1"/>
  <c r="BB99" i="38"/>
  <c r="BB106" i="38" s="1"/>
  <c r="AD16" i="60"/>
  <c r="BX19" i="26"/>
  <c r="CC22" i="25"/>
  <c r="CB32" i="38"/>
  <c r="AD93" i="25"/>
  <c r="W19" i="36"/>
  <c r="AS55" i="1"/>
  <c r="AZ38" i="37"/>
  <c r="DE51" i="41"/>
  <c r="L68" i="26"/>
  <c r="CV68" i="1"/>
  <c r="BU35" i="38"/>
  <c r="CK93" i="36"/>
  <c r="CK106" i="36" s="1"/>
  <c r="W76" i="26"/>
  <c r="CM28" i="36"/>
  <c r="AA55" i="38"/>
  <c r="DF35" i="1"/>
  <c r="X46" i="41"/>
  <c r="U6" i="60"/>
  <c r="BI99" i="37"/>
  <c r="CA14" i="26"/>
  <c r="CA15" i="26" s="1"/>
  <c r="BJ54" i="36"/>
  <c r="AQ32" i="38"/>
  <c r="AO35" i="25"/>
  <c r="CN93" i="36"/>
  <c r="CN106" i="36" s="1"/>
  <c r="CT51" i="38"/>
  <c r="CT84" i="38" s="1"/>
  <c r="Y63" i="39"/>
  <c r="Y51" i="1"/>
  <c r="AA82" i="26"/>
  <c r="AX22" i="40"/>
  <c r="AX40" i="40" s="1"/>
  <c r="CO76" i="39"/>
  <c r="CO84" i="39" s="1"/>
  <c r="BB55" i="41"/>
  <c r="Z14" i="40"/>
  <c r="Z15" i="40" s="1"/>
  <c r="Z40" i="40" s="1"/>
  <c r="CP28" i="39"/>
  <c r="CP32" i="39" s="1"/>
  <c r="Z38" i="38"/>
  <c r="CN76" i="37"/>
  <c r="BU68" i="36"/>
  <c r="DE99" i="38"/>
  <c r="DE106" i="38" s="1"/>
  <c r="AN46" i="40"/>
  <c r="AN84" i="40" s="1"/>
  <c r="AC11" i="39"/>
  <c r="AC15" i="39" s="1"/>
  <c r="BW46" i="36"/>
  <c r="CA35" i="38"/>
  <c r="DB82" i="1"/>
  <c r="BF54" i="25"/>
  <c r="M19" i="25"/>
  <c r="Q19" i="25" s="1"/>
  <c r="BR68" i="37"/>
  <c r="BR84" i="37" s="1"/>
  <c r="BI35" i="40"/>
  <c r="BJ35" i="40" s="1"/>
  <c r="CH55" i="36"/>
  <c r="AD55" i="37"/>
  <c r="DE28" i="39"/>
  <c r="DE32" i="39" s="1"/>
  <c r="AK65" i="25"/>
  <c r="BL65" i="25" s="1"/>
  <c r="S68" i="25"/>
  <c r="AF31" i="40"/>
  <c r="AF32" i="40" s="1"/>
  <c r="CP63" i="26"/>
  <c r="BJ12" i="25"/>
  <c r="BH14" i="25"/>
  <c r="AZ19" i="1"/>
  <c r="CV104" i="39"/>
  <c r="CV106" i="39" s="1"/>
  <c r="BJ60" i="25"/>
  <c r="BE19" i="41"/>
  <c r="CN68" i="39"/>
  <c r="H99" i="39"/>
  <c r="H106" i="39" s="1"/>
  <c r="K99" i="39"/>
  <c r="BY55" i="37"/>
  <c r="BY84" i="37" s="1"/>
  <c r="BI32" i="37"/>
  <c r="CJ72" i="41"/>
  <c r="DB46" i="26"/>
  <c r="DB84" i="26" s="1"/>
  <c r="BI31" i="25"/>
  <c r="BI32" i="25" s="1"/>
  <c r="BQ31" i="41"/>
  <c r="BQ32" i="41" s="1"/>
  <c r="T32" i="39"/>
  <c r="I82" i="40"/>
  <c r="I84" i="40" s="1"/>
  <c r="BE28" i="37"/>
  <c r="BE32" i="37" s="1"/>
  <c r="BA51" i="37"/>
  <c r="BA84" i="37" s="1"/>
  <c r="AR93" i="25"/>
  <c r="AR106" i="25" s="1"/>
  <c r="AP35" i="40"/>
  <c r="DC99" i="25"/>
  <c r="CI31" i="25"/>
  <c r="CI32" i="25" s="1"/>
  <c r="BJ79" i="1"/>
  <c r="AG32" i="26"/>
  <c r="AK60" i="41"/>
  <c r="BL60" i="41" s="1"/>
  <c r="DB32" i="40"/>
  <c r="AP38" i="40"/>
  <c r="BB68" i="38"/>
  <c r="BB84" i="38" s="1"/>
  <c r="Z22" i="39"/>
  <c r="AG37" i="60"/>
  <c r="CQ46" i="36"/>
  <c r="BD104" i="1"/>
  <c r="AW72" i="38"/>
  <c r="BC46" i="25"/>
  <c r="BF46" i="25" s="1"/>
  <c r="CL104" i="40"/>
  <c r="CC104" i="25"/>
  <c r="AD35" i="36"/>
  <c r="AD40" i="36" s="1"/>
  <c r="BJ10" i="41"/>
  <c r="BL10" i="41" s="1"/>
  <c r="Y36" i="60"/>
  <c r="CD28" i="25"/>
  <c r="CD32" i="25" s="1"/>
  <c r="BI68" i="26"/>
  <c r="BJ68" i="26" s="1"/>
  <c r="BI14" i="1"/>
  <c r="BI15" i="1" s="1"/>
  <c r="BZ82" i="38"/>
  <c r="BZ84" i="38" s="1"/>
  <c r="CW63" i="41"/>
  <c r="CJ76" i="38"/>
  <c r="CJ84" i="38" s="1"/>
  <c r="CZ72" i="38"/>
  <c r="CZ55" i="38"/>
  <c r="BJ61" i="38"/>
  <c r="BL61" i="38" s="1"/>
  <c r="Z51" i="39"/>
  <c r="Z84" i="39" s="1"/>
  <c r="BZ46" i="41"/>
  <c r="BJ49" i="37"/>
  <c r="CG55" i="39"/>
  <c r="CG84" i="39" s="1"/>
  <c r="BE97" i="36"/>
  <c r="BF97" i="36" s="1"/>
  <c r="AC35" i="40"/>
  <c r="AK35" i="40" s="1"/>
  <c r="BB68" i="25"/>
  <c r="CH22" i="36"/>
  <c r="CW38" i="39"/>
  <c r="DC38" i="1"/>
  <c r="O11" i="25"/>
  <c r="O15" i="25" s="1"/>
  <c r="BI99" i="25"/>
  <c r="CS46" i="1"/>
  <c r="X99" i="37"/>
  <c r="CC31" i="38"/>
  <c r="CC32" i="38" s="1"/>
  <c r="BY31" i="41"/>
  <c r="BY32" i="41" s="1"/>
  <c r="CY82" i="39"/>
  <c r="P68" i="37"/>
  <c r="BY38" i="37"/>
  <c r="BC99" i="1"/>
  <c r="BC106" i="1" s="1"/>
  <c r="CI51" i="38"/>
  <c r="BJ58" i="37"/>
  <c r="AW72" i="1"/>
  <c r="AT19" i="1"/>
  <c r="AD46" i="40"/>
  <c r="BF102" i="37"/>
  <c r="AM104" i="37"/>
  <c r="CA46" i="40"/>
  <c r="CM99" i="37"/>
  <c r="CM106" i="37" s="1"/>
  <c r="N28" i="25"/>
  <c r="N32" i="25" s="1"/>
  <c r="AB99" i="25"/>
  <c r="AB106" i="25" s="1"/>
  <c r="BY55" i="36"/>
  <c r="AR28" i="36"/>
  <c r="AR32" i="36" s="1"/>
  <c r="CN76" i="26"/>
  <c r="CN84" i="26" s="1"/>
  <c r="AH47" i="60"/>
  <c r="W24" i="60"/>
  <c r="BE76" i="40"/>
  <c r="DH30" i="41"/>
  <c r="AA76" i="38"/>
  <c r="BC19" i="40"/>
  <c r="J55" i="38"/>
  <c r="J84" i="38" s="1"/>
  <c r="CV31" i="1"/>
  <c r="DH31" i="1" s="1"/>
  <c r="P76" i="37"/>
  <c r="AR104" i="39"/>
  <c r="AR106" i="39" s="1"/>
  <c r="BZ72" i="26"/>
  <c r="AO11" i="38"/>
  <c r="AO15" i="38" s="1"/>
  <c r="AU51" i="1"/>
  <c r="AU84" i="1" s="1"/>
  <c r="BR28" i="25"/>
  <c r="BR32" i="25" s="1"/>
  <c r="Y46" i="36"/>
  <c r="L38" i="36"/>
  <c r="Q38" i="36" s="1"/>
  <c r="CS104" i="37"/>
  <c r="BR104" i="25"/>
  <c r="BR106" i="25" s="1"/>
  <c r="M46" i="37"/>
  <c r="M84" i="37" s="1"/>
  <c r="CG68" i="37"/>
  <c r="CG84" i="37" s="1"/>
  <c r="CH35" i="26"/>
  <c r="X14" i="25"/>
  <c r="X15" i="25" s="1"/>
  <c r="CD104" i="36"/>
  <c r="CZ19" i="39"/>
  <c r="BZ104" i="41"/>
  <c r="BZ106" i="41" s="1"/>
  <c r="AB99" i="41"/>
  <c r="AB106" i="41" s="1"/>
  <c r="AS76" i="39"/>
  <c r="DH57" i="25"/>
  <c r="BO63" i="25"/>
  <c r="AQ46" i="36"/>
  <c r="BD46" i="37"/>
  <c r="H76" i="41"/>
  <c r="AM22" i="26"/>
  <c r="BF21" i="26"/>
  <c r="CK38" i="40"/>
  <c r="CV19" i="25"/>
  <c r="CW55" i="26"/>
  <c r="Q60" i="36"/>
  <c r="BL60" i="36" s="1"/>
  <c r="CW99" i="40"/>
  <c r="BV51" i="26"/>
  <c r="BV84" i="26" s="1"/>
  <c r="AQ28" i="36"/>
  <c r="U46" i="26"/>
  <c r="CB72" i="36"/>
  <c r="P63" i="39"/>
  <c r="BF24" i="1"/>
  <c r="AM32" i="1"/>
  <c r="CW63" i="25"/>
  <c r="X68" i="41"/>
  <c r="T63" i="37"/>
  <c r="CH104" i="25"/>
  <c r="CH106" i="25" s="1"/>
  <c r="CS68" i="1"/>
  <c r="DC35" i="26"/>
  <c r="N72" i="41"/>
  <c r="Q72" i="41" s="1"/>
  <c r="P38" i="25"/>
  <c r="I55" i="26"/>
  <c r="J68" i="37"/>
  <c r="AV35" i="26"/>
  <c r="L72" i="38"/>
  <c r="BJ10" i="39"/>
  <c r="AZ32" i="25"/>
  <c r="AZ40" i="25" s="1"/>
  <c r="L76" i="25"/>
  <c r="BI72" i="1"/>
  <c r="BZ82" i="1"/>
  <c r="BZ84" i="1" s="1"/>
  <c r="AK29" i="38"/>
  <c r="S31" i="38"/>
  <c r="BD82" i="36"/>
  <c r="CL35" i="36"/>
  <c r="Z22" i="36"/>
  <c r="G82" i="41"/>
  <c r="Q79" i="41"/>
  <c r="BL79" i="41" s="1"/>
  <c r="CT11" i="40"/>
  <c r="CT15" i="40" s="1"/>
  <c r="AK48" i="39"/>
  <c r="S51" i="39"/>
  <c r="AN63" i="1"/>
  <c r="S19" i="1"/>
  <c r="AK19" i="1" s="1"/>
  <c r="AK17" i="1"/>
  <c r="BL17" i="1" s="1"/>
  <c r="CZ28" i="1"/>
  <c r="CZ32" i="1" s="1"/>
  <c r="BZ51" i="25"/>
  <c r="AA63" i="37"/>
  <c r="I11" i="36"/>
  <c r="I15" i="36" s="1"/>
  <c r="AE51" i="26"/>
  <c r="CY14" i="37"/>
  <c r="I93" i="41"/>
  <c r="I106" i="41" s="1"/>
  <c r="W38" i="39"/>
  <c r="AK38" i="39" s="1"/>
  <c r="Y99" i="36"/>
  <c r="CT11" i="36"/>
  <c r="CT15" i="36" s="1"/>
  <c r="DA104" i="25"/>
  <c r="L28" i="26"/>
  <c r="L32" i="26" s="1"/>
  <c r="CY72" i="25"/>
  <c r="H63" i="39"/>
  <c r="H84" i="39" s="1"/>
  <c r="DD14" i="41"/>
  <c r="DD15" i="41" s="1"/>
  <c r="AT82" i="39"/>
  <c r="CA55" i="37"/>
  <c r="Z49" i="60"/>
  <c r="AV49" i="60" s="1"/>
  <c r="H99" i="25"/>
  <c r="H106" i="25" s="1"/>
  <c r="CW72" i="38"/>
  <c r="CO22" i="37"/>
  <c r="CX28" i="37"/>
  <c r="CX32" i="37" s="1"/>
  <c r="H104" i="37"/>
  <c r="Q104" i="37" s="1"/>
  <c r="AX93" i="37"/>
  <c r="AX106" i="37" s="1"/>
  <c r="CZ72" i="1"/>
  <c r="BF13" i="38"/>
  <c r="BL13" i="38" s="1"/>
  <c r="DE76" i="41"/>
  <c r="Z28" i="60"/>
  <c r="CR76" i="25"/>
  <c r="CR84" i="25" s="1"/>
  <c r="CR31" i="36"/>
  <c r="CR32" i="36" s="1"/>
  <c r="CL31" i="36"/>
  <c r="CL32" i="36" s="1"/>
  <c r="BY22" i="38"/>
  <c r="AB46" i="26"/>
  <c r="AV63" i="26"/>
  <c r="BT19" i="38"/>
  <c r="AU32" i="37"/>
  <c r="M22" i="37"/>
  <c r="CC11" i="36"/>
  <c r="CO93" i="39"/>
  <c r="CB14" i="39"/>
  <c r="CB15" i="39" s="1"/>
  <c r="AH82" i="36"/>
  <c r="BW63" i="1"/>
  <c r="DB11" i="26"/>
  <c r="DB15" i="26" s="1"/>
  <c r="DB40" i="26" s="1"/>
  <c r="N104" i="26"/>
  <c r="N106" i="26" s="1"/>
  <c r="CP68" i="41"/>
  <c r="CP84" i="41" s="1"/>
  <c r="Q96" i="26"/>
  <c r="G99" i="26"/>
  <c r="O14" i="39"/>
  <c r="O15" i="39" s="1"/>
  <c r="O40" i="39" s="1"/>
  <c r="AM28" i="37"/>
  <c r="BF26" i="37"/>
  <c r="BC22" i="41"/>
  <c r="CK104" i="38"/>
  <c r="CK106" i="38" s="1"/>
  <c r="DC11" i="36"/>
  <c r="DC15" i="36" s="1"/>
  <c r="BJ79" i="40"/>
  <c r="CJ72" i="40"/>
  <c r="BE68" i="36"/>
  <c r="DC72" i="39"/>
  <c r="CO11" i="1"/>
  <c r="BV19" i="41"/>
  <c r="CM93" i="38"/>
  <c r="CM106" i="38" s="1"/>
  <c r="I72" i="39"/>
  <c r="DE93" i="1"/>
  <c r="DE106" i="1" s="1"/>
  <c r="CL22" i="36"/>
  <c r="CQ76" i="36"/>
  <c r="N63" i="39"/>
  <c r="CB51" i="40"/>
  <c r="BY35" i="37"/>
  <c r="CL63" i="1"/>
  <c r="AZ46" i="36"/>
  <c r="DH58" i="25"/>
  <c r="DD99" i="36"/>
  <c r="DD106" i="36" s="1"/>
  <c r="AD55" i="25"/>
  <c r="AD84" i="25" s="1"/>
  <c r="AC35" i="39"/>
  <c r="BS68" i="39"/>
  <c r="DC82" i="39"/>
  <c r="CS19" i="40"/>
  <c r="I22" i="26"/>
  <c r="M288" i="46"/>
  <c r="M299" i="46" s="1"/>
  <c r="BV11" i="36"/>
  <c r="BV15" i="36" s="1"/>
  <c r="CV22" i="25"/>
  <c r="CM72" i="38"/>
  <c r="K11" i="36"/>
  <c r="K15" i="36" s="1"/>
  <c r="CN72" i="37"/>
  <c r="AI31" i="41"/>
  <c r="AI32" i="41" s="1"/>
  <c r="AJ63" i="37"/>
  <c r="DF31" i="41"/>
  <c r="DF32" i="41" s="1"/>
  <c r="DF40" i="41" s="1"/>
  <c r="AQ51" i="41"/>
  <c r="AQ84" i="41" s="1"/>
  <c r="AJ104" i="40"/>
  <c r="AJ106" i="40" s="1"/>
  <c r="S28" i="37"/>
  <c r="AK26" i="37"/>
  <c r="Y68" i="25"/>
  <c r="X63" i="38"/>
  <c r="DA76" i="38"/>
  <c r="AN72" i="38"/>
  <c r="Y68" i="40"/>
  <c r="T76" i="37"/>
  <c r="CO76" i="38"/>
  <c r="CP35" i="40"/>
  <c r="CM19" i="25"/>
  <c r="BD72" i="36"/>
  <c r="AU76" i="39"/>
  <c r="AY93" i="25"/>
  <c r="AY106" i="25" s="1"/>
  <c r="BR55" i="36"/>
  <c r="BR84" i="36" s="1"/>
  <c r="BZ11" i="36"/>
  <c r="BZ15" i="36" s="1"/>
  <c r="CI55" i="41"/>
  <c r="DC82" i="1"/>
  <c r="DC84" i="1" s="1"/>
  <c r="CR99" i="1"/>
  <c r="CR106" i="1" s="1"/>
  <c r="CW32" i="26"/>
  <c r="CV46" i="40"/>
  <c r="CZ51" i="26"/>
  <c r="CZ84" i="26" s="1"/>
  <c r="BS63" i="25"/>
  <c r="AZ76" i="40"/>
  <c r="BA82" i="40"/>
  <c r="BA84" i="40" s="1"/>
  <c r="BJ54" i="37"/>
  <c r="BF54" i="40"/>
  <c r="CO38" i="40"/>
  <c r="AS11" i="40"/>
  <c r="AS72" i="41"/>
  <c r="CB28" i="41"/>
  <c r="CB32" i="41" s="1"/>
  <c r="AD104" i="39"/>
  <c r="BY35" i="40"/>
  <c r="CT31" i="25"/>
  <c r="AY28" i="25"/>
  <c r="AY32" i="25" s="1"/>
  <c r="AY40" i="25" s="1"/>
  <c r="CN11" i="1"/>
  <c r="CN15" i="1" s="1"/>
  <c r="CN40" i="1" s="1"/>
  <c r="AY235" i="47"/>
  <c r="BA240" i="47"/>
  <c r="BF248" i="47"/>
  <c r="BG248" i="47"/>
  <c r="BE235" i="47"/>
  <c r="BC248" i="47"/>
  <c r="BA235" i="47"/>
  <c r="BB241" i="47"/>
  <c r="M31" i="4"/>
  <c r="BF241" i="47"/>
  <c r="BE241" i="47"/>
  <c r="BA248" i="47"/>
  <c r="BC241" i="47"/>
  <c r="BC235" i="47"/>
  <c r="BD240" i="47"/>
  <c r="J50" i="64"/>
  <c r="BF233" i="47"/>
  <c r="BG241" i="47"/>
  <c r="BE248" i="47"/>
  <c r="BB248" i="47"/>
  <c r="AY241" i="47"/>
  <c r="BG240" i="47"/>
  <c r="BF235" i="47"/>
  <c r="I31" i="4"/>
  <c r="AZ248" i="47"/>
  <c r="BD241" i="47"/>
  <c r="BD248" i="47"/>
  <c r="BA241" i="47"/>
  <c r="K53" i="64"/>
  <c r="BD235" i="47"/>
  <c r="AZ235" i="47"/>
  <c r="AY240" i="47"/>
  <c r="BG235" i="47"/>
  <c r="AY248" i="47"/>
  <c r="AZ241" i="47"/>
  <c r="BB240" i="47"/>
  <c r="BF240" i="47"/>
  <c r="BB235" i="47"/>
  <c r="BC240" i="47"/>
  <c r="BS84" i="25" l="1"/>
  <c r="Q99" i="26"/>
  <c r="BT40" i="38"/>
  <c r="DD40" i="41"/>
  <c r="BF46" i="37"/>
  <c r="CI84" i="38"/>
  <c r="BL89" i="39"/>
  <c r="Q35" i="38"/>
  <c r="DD84" i="40"/>
  <c r="AX32" i="38"/>
  <c r="CJ40" i="1"/>
  <c r="AQ84" i="40"/>
  <c r="BF72" i="26"/>
  <c r="BL89" i="40"/>
  <c r="CD40" i="36"/>
  <c r="Q63" i="1"/>
  <c r="BT84" i="36"/>
  <c r="BL58" i="39"/>
  <c r="BL59" i="1"/>
  <c r="DE40" i="25"/>
  <c r="DE40" i="26"/>
  <c r="BJ63" i="40"/>
  <c r="BA84" i="36"/>
  <c r="BI15" i="41"/>
  <c r="K106" i="37"/>
  <c r="Q55" i="1"/>
  <c r="DC106" i="41"/>
  <c r="CV32" i="37"/>
  <c r="AP84" i="36"/>
  <c r="BW106" i="40"/>
  <c r="CZ32" i="40"/>
  <c r="CZ40" i="40" s="1"/>
  <c r="AR15" i="38"/>
  <c r="BU15" i="26"/>
  <c r="BC106" i="39"/>
  <c r="AZ15" i="40"/>
  <c r="AZ40" i="40" s="1"/>
  <c r="BJ11" i="39"/>
  <c r="CY15" i="37"/>
  <c r="Q38" i="25"/>
  <c r="BE40" i="37"/>
  <c r="BE95" i="37" s="1"/>
  <c r="BF95" i="37" s="1"/>
  <c r="BF35" i="25"/>
  <c r="Z84" i="26"/>
  <c r="AA84" i="40"/>
  <c r="DH22" i="1"/>
  <c r="AH84" i="40"/>
  <c r="CR106" i="36"/>
  <c r="Q19" i="37"/>
  <c r="AS84" i="36"/>
  <c r="Q19" i="40"/>
  <c r="AI106" i="40"/>
  <c r="CH32" i="39"/>
  <c r="CH40" i="39" s="1"/>
  <c r="BR32" i="26"/>
  <c r="Q28" i="40"/>
  <c r="BC32" i="37"/>
  <c r="BL30" i="40"/>
  <c r="DE84" i="1"/>
  <c r="CU106" i="1"/>
  <c r="CF40" i="26"/>
  <c r="CJ40" i="36"/>
  <c r="AG84" i="25"/>
  <c r="DF84" i="1"/>
  <c r="CS84" i="37"/>
  <c r="BZ84" i="39"/>
  <c r="L32" i="37"/>
  <c r="CB106" i="41"/>
  <c r="CA84" i="1"/>
  <c r="CC106" i="1"/>
  <c r="AN32" i="25"/>
  <c r="DA15" i="1"/>
  <c r="DA40" i="1" s="1"/>
  <c r="CB32" i="39"/>
  <c r="CI32" i="39"/>
  <c r="BL50" i="1"/>
  <c r="CB40" i="39"/>
  <c r="CI84" i="41"/>
  <c r="AU84" i="39"/>
  <c r="CO84" i="38"/>
  <c r="CA84" i="37"/>
  <c r="CZ40" i="1"/>
  <c r="Q82" i="41"/>
  <c r="AQ32" i="36"/>
  <c r="Q76" i="37"/>
  <c r="AK76" i="38"/>
  <c r="BF35" i="40"/>
  <c r="CN84" i="41"/>
  <c r="AG84" i="37"/>
  <c r="CK15" i="37"/>
  <c r="CK40" i="37" s="1"/>
  <c r="AP40" i="25"/>
  <c r="CM40" i="40"/>
  <c r="AP84" i="39"/>
  <c r="J106" i="38"/>
  <c r="L32" i="38"/>
  <c r="AN84" i="41"/>
  <c r="DE84" i="37"/>
  <c r="AW84" i="39"/>
  <c r="AP84" i="26"/>
  <c r="CA84" i="38"/>
  <c r="AK35" i="37"/>
  <c r="CU40" i="37"/>
  <c r="N15" i="40"/>
  <c r="N40" i="40" s="1"/>
  <c r="BZ40" i="37"/>
  <c r="BR84" i="39"/>
  <c r="Y40" i="25"/>
  <c r="AX32" i="25"/>
  <c r="BF32" i="25" s="1"/>
  <c r="BZ32" i="36"/>
  <c r="AN15" i="25"/>
  <c r="BB15" i="38"/>
  <c r="BC84" i="38"/>
  <c r="DC84" i="38"/>
  <c r="CT106" i="38"/>
  <c r="AN32" i="36"/>
  <c r="AI32" i="1"/>
  <c r="CB15" i="36"/>
  <c r="BA15" i="25"/>
  <c r="CP32" i="40"/>
  <c r="CL15" i="36"/>
  <c r="CL40" i="36" s="1"/>
  <c r="CZ15" i="1"/>
  <c r="AZ106" i="25"/>
  <c r="AZ109" i="25" s="1"/>
  <c r="J40" i="39"/>
  <c r="CO106" i="39"/>
  <c r="BE84" i="40"/>
  <c r="DH46" i="1"/>
  <c r="Q19" i="39"/>
  <c r="AA84" i="41"/>
  <c r="N84" i="36"/>
  <c r="BA106" i="38"/>
  <c r="CY32" i="37"/>
  <c r="CY40" i="37" s="1"/>
  <c r="K84" i="39"/>
  <c r="CB32" i="1"/>
  <c r="BT84" i="25"/>
  <c r="Q82" i="26"/>
  <c r="AF84" i="38"/>
  <c r="CT84" i="41"/>
  <c r="CT15" i="41"/>
  <c r="AH32" i="41"/>
  <c r="BL25" i="26"/>
  <c r="I32" i="37"/>
  <c r="BZ15" i="1"/>
  <c r="BL27" i="39"/>
  <c r="AX84" i="37"/>
  <c r="BL60" i="39"/>
  <c r="BL26" i="26"/>
  <c r="CE32" i="37"/>
  <c r="BT15" i="26"/>
  <c r="AH40" i="36"/>
  <c r="AQ15" i="38"/>
  <c r="CB32" i="25"/>
  <c r="CB40" i="25" s="1"/>
  <c r="CB109" i="25" s="1"/>
  <c r="N15" i="25"/>
  <c r="I106" i="25"/>
  <c r="CE15" i="1"/>
  <c r="AX15" i="26"/>
  <c r="AK28" i="37"/>
  <c r="AE84" i="26"/>
  <c r="AK31" i="38"/>
  <c r="BF22" i="26"/>
  <c r="DH63" i="25"/>
  <c r="BF72" i="1"/>
  <c r="O40" i="25"/>
  <c r="CM32" i="36"/>
  <c r="DH63" i="38"/>
  <c r="AG95" i="37"/>
  <c r="AR40" i="26"/>
  <c r="CS84" i="39"/>
  <c r="BW40" i="41"/>
  <c r="AK22" i="37"/>
  <c r="Q82" i="36"/>
  <c r="BT84" i="26"/>
  <c r="Q72" i="1"/>
  <c r="BL21" i="36"/>
  <c r="CC15" i="25"/>
  <c r="CC40" i="25" s="1"/>
  <c r="CC109" i="25" s="1"/>
  <c r="Q38" i="1"/>
  <c r="BT32" i="26"/>
  <c r="CS84" i="26"/>
  <c r="BU84" i="38"/>
  <c r="BL50" i="41"/>
  <c r="CS32" i="38"/>
  <c r="CS40" i="38" s="1"/>
  <c r="DE106" i="39"/>
  <c r="CS84" i="36"/>
  <c r="DF84" i="37"/>
  <c r="CX15" i="36"/>
  <c r="AQ32" i="39"/>
  <c r="BX15" i="40"/>
  <c r="BX40" i="40" s="1"/>
  <c r="AU32" i="1"/>
  <c r="CP106" i="36"/>
  <c r="BL75" i="36"/>
  <c r="AT32" i="40"/>
  <c r="BR32" i="39"/>
  <c r="AA15" i="41"/>
  <c r="AA40" i="41" s="1"/>
  <c r="AA109" i="41" s="1"/>
  <c r="BR15" i="1"/>
  <c r="DD32" i="39"/>
  <c r="DD40" i="39" s="1"/>
  <c r="M106" i="38"/>
  <c r="CB84" i="41"/>
  <c r="AC106" i="38"/>
  <c r="H15" i="26"/>
  <c r="H40" i="26" s="1"/>
  <c r="H109" i="26" s="1"/>
  <c r="CD106" i="37"/>
  <c r="M15" i="39"/>
  <c r="DB106" i="1"/>
  <c r="Q76" i="41"/>
  <c r="CN84" i="38"/>
  <c r="BL18" i="39"/>
  <c r="CV84" i="26"/>
  <c r="CN84" i="25"/>
  <c r="BF55" i="25"/>
  <c r="CB15" i="38"/>
  <c r="DE15" i="38"/>
  <c r="DE40" i="38" s="1"/>
  <c r="L40" i="39"/>
  <c r="L109" i="39" s="1"/>
  <c r="Q46" i="39"/>
  <c r="AX106" i="39"/>
  <c r="H84" i="1"/>
  <c r="BF19" i="1"/>
  <c r="DH28" i="38"/>
  <c r="CQ40" i="1"/>
  <c r="AH84" i="1"/>
  <c r="Y32" i="26"/>
  <c r="BA106" i="40"/>
  <c r="CA40" i="26"/>
  <c r="DE84" i="41"/>
  <c r="AP40" i="40"/>
  <c r="BA40" i="38"/>
  <c r="X84" i="36"/>
  <c r="W32" i="36"/>
  <c r="BC32" i="41"/>
  <c r="BR106" i="39"/>
  <c r="Y32" i="1"/>
  <c r="BF63" i="40"/>
  <c r="CV40" i="26"/>
  <c r="CB32" i="40"/>
  <c r="CT40" i="36"/>
  <c r="Y40" i="39"/>
  <c r="BD32" i="38"/>
  <c r="CQ40" i="25"/>
  <c r="AE15" i="39"/>
  <c r="W32" i="37"/>
  <c r="BP32" i="36"/>
  <c r="Y32" i="38"/>
  <c r="Y40" i="38" s="1"/>
  <c r="CK32" i="25"/>
  <c r="S32" i="26"/>
  <c r="AN40" i="40"/>
  <c r="AT32" i="1"/>
  <c r="CW32" i="36"/>
  <c r="Y32" i="41"/>
  <c r="CS40" i="40"/>
  <c r="CN32" i="25"/>
  <c r="L32" i="25"/>
  <c r="CP40" i="37"/>
  <c r="BW32" i="37"/>
  <c r="BW40" i="37" s="1"/>
  <c r="DC40" i="39"/>
  <c r="AJ32" i="37"/>
  <c r="AJ40" i="37" s="1"/>
  <c r="AJ44" i="37" s="1"/>
  <c r="AA32" i="25"/>
  <c r="AA40" i="25" s="1"/>
  <c r="BJ63" i="1"/>
  <c r="I32" i="25"/>
  <c r="BX32" i="37"/>
  <c r="X32" i="37"/>
  <c r="X40" i="37" s="1"/>
  <c r="CK32" i="39"/>
  <c r="AB32" i="1"/>
  <c r="AK68" i="25"/>
  <c r="CT32" i="25"/>
  <c r="CT40" i="25" s="1"/>
  <c r="CH84" i="37"/>
  <c r="I40" i="41"/>
  <c r="AS84" i="25"/>
  <c r="BA106" i="41"/>
  <c r="BX84" i="36"/>
  <c r="AE32" i="40"/>
  <c r="W32" i="1"/>
  <c r="BE32" i="25"/>
  <c r="AG84" i="39"/>
  <c r="P32" i="1"/>
  <c r="P40" i="1" s="1"/>
  <c r="BZ32" i="1"/>
  <c r="CG32" i="39"/>
  <c r="Z32" i="36"/>
  <c r="Z40" i="36" s="1"/>
  <c r="BL18" i="25"/>
  <c r="O32" i="38"/>
  <c r="O40" i="38" s="1"/>
  <c r="AE84" i="1"/>
  <c r="CA32" i="36"/>
  <c r="O32" i="36"/>
  <c r="CJ84" i="37"/>
  <c r="BU32" i="26"/>
  <c r="J32" i="38"/>
  <c r="K32" i="40"/>
  <c r="AC84" i="41"/>
  <c r="AQ32" i="26"/>
  <c r="AQ40" i="26" s="1"/>
  <c r="CA32" i="1"/>
  <c r="X40" i="25"/>
  <c r="BV40" i="36"/>
  <c r="AP32" i="39"/>
  <c r="AP40" i="39" s="1"/>
  <c r="BB32" i="37"/>
  <c r="P32" i="26"/>
  <c r="P40" i="26" s="1"/>
  <c r="U32" i="1"/>
  <c r="L40" i="40"/>
  <c r="CD32" i="41"/>
  <c r="BL59" i="41"/>
  <c r="Y32" i="37"/>
  <c r="BY32" i="25"/>
  <c r="BY40" i="25" s="1"/>
  <c r="DA32" i="41"/>
  <c r="BX32" i="38"/>
  <c r="L32" i="41"/>
  <c r="L40" i="41" s="1"/>
  <c r="K32" i="26"/>
  <c r="AX32" i="1"/>
  <c r="AX40" i="1" s="1"/>
  <c r="V32" i="40"/>
  <c r="BT32" i="41"/>
  <c r="BT40" i="41" s="1"/>
  <c r="DA106" i="39"/>
  <c r="BQ32" i="36"/>
  <c r="Y15" i="1"/>
  <c r="AC32" i="1"/>
  <c r="AB32" i="37"/>
  <c r="BI15" i="39"/>
  <c r="BI40" i="39" s="1"/>
  <c r="S32" i="38"/>
  <c r="BO32" i="41"/>
  <c r="AD32" i="41"/>
  <c r="AD40" i="41" s="1"/>
  <c r="BF55" i="1"/>
  <c r="BS40" i="40"/>
  <c r="BW40" i="26"/>
  <c r="DC40" i="36"/>
  <c r="V32" i="25"/>
  <c r="I40" i="36"/>
  <c r="BZ40" i="36"/>
  <c r="AC32" i="37"/>
  <c r="AC32" i="26"/>
  <c r="AU32" i="41"/>
  <c r="AU40" i="41" s="1"/>
  <c r="AJ40" i="25"/>
  <c r="AJ44" i="25" s="1"/>
  <c r="AR40" i="40"/>
  <c r="J32" i="40"/>
  <c r="J40" i="40" s="1"/>
  <c r="CL32" i="39"/>
  <c r="O32" i="41"/>
  <c r="O40" i="41" s="1"/>
  <c r="AJ40" i="1"/>
  <c r="AJ44" i="1" s="1"/>
  <c r="AU32" i="38"/>
  <c r="AU40" i="38" s="1"/>
  <c r="CY32" i="1"/>
  <c r="AO32" i="41"/>
  <c r="H32" i="25"/>
  <c r="H40" i="25" s="1"/>
  <c r="AA32" i="26"/>
  <c r="CR32" i="38"/>
  <c r="CR40" i="38" s="1"/>
  <c r="CW106" i="37"/>
  <c r="BC32" i="38"/>
  <c r="L32" i="1"/>
  <c r="L40" i="1" s="1"/>
  <c r="L109" i="1" s="1"/>
  <c r="DC32" i="38"/>
  <c r="BD32" i="25"/>
  <c r="AR32" i="39"/>
  <c r="T32" i="38"/>
  <c r="AH40" i="1"/>
  <c r="AH95" i="1" s="1"/>
  <c r="BA32" i="25"/>
  <c r="BA40" i="25" s="1"/>
  <c r="CW32" i="39"/>
  <c r="CW40" i="39" s="1"/>
  <c r="BT40" i="25"/>
  <c r="BC32" i="1"/>
  <c r="AO32" i="38"/>
  <c r="AO40" i="38" s="1"/>
  <c r="BX32" i="39"/>
  <c r="BX40" i="39" s="1"/>
  <c r="CU40" i="40"/>
  <c r="CE84" i="37"/>
  <c r="CO32" i="37"/>
  <c r="CO40" i="37" s="1"/>
  <c r="CO109" i="37" s="1"/>
  <c r="AX32" i="36"/>
  <c r="AX40" i="36" s="1"/>
  <c r="CF40" i="25"/>
  <c r="AB32" i="39"/>
  <c r="AN32" i="26"/>
  <c r="AN40" i="26" s="1"/>
  <c r="BC32" i="39"/>
  <c r="Y32" i="40"/>
  <c r="CH40" i="40"/>
  <c r="Z40" i="1"/>
  <c r="DD32" i="1"/>
  <c r="DD40" i="1" s="1"/>
  <c r="BB32" i="40"/>
  <c r="BB40" i="40" s="1"/>
  <c r="CU32" i="36"/>
  <c r="CU40" i="36" s="1"/>
  <c r="BZ40" i="39"/>
  <c r="CZ32" i="25"/>
  <c r="I32" i="39"/>
  <c r="I40" i="39" s="1"/>
  <c r="BU40" i="40"/>
  <c r="BT40" i="39"/>
  <c r="CJ32" i="41"/>
  <c r="CJ40" i="41" s="1"/>
  <c r="CT32" i="38"/>
  <c r="CT40" i="38" s="1"/>
  <c r="CT109" i="38" s="1"/>
  <c r="BW32" i="36"/>
  <c r="AQ32" i="25"/>
  <c r="BP32" i="37"/>
  <c r="T32" i="26"/>
  <c r="AA32" i="39"/>
  <c r="DC32" i="1"/>
  <c r="BP32" i="26"/>
  <c r="CL32" i="40"/>
  <c r="CL40" i="40" s="1"/>
  <c r="Z32" i="26"/>
  <c r="Z40" i="26" s="1"/>
  <c r="K32" i="25"/>
  <c r="I758" i="4"/>
  <c r="M758" i="4"/>
  <c r="AK32" i="38"/>
  <c r="AM32" i="37"/>
  <c r="BF28" i="37"/>
  <c r="S106" i="39"/>
  <c r="DH51" i="40"/>
  <c r="CB84" i="40"/>
  <c r="P84" i="37"/>
  <c r="AK51" i="41"/>
  <c r="DH68" i="37"/>
  <c r="DF40" i="1"/>
  <c r="DF109" i="1" s="1"/>
  <c r="Q19" i="26"/>
  <c r="I15" i="25"/>
  <c r="I40" i="25" s="1"/>
  <c r="BD106" i="1"/>
  <c r="P40" i="39"/>
  <c r="Q82" i="37"/>
  <c r="AS15" i="40"/>
  <c r="AS40" i="40" s="1"/>
  <c r="L84" i="25"/>
  <c r="X40" i="26"/>
  <c r="BD40" i="39"/>
  <c r="CL40" i="1"/>
  <c r="Q76" i="39"/>
  <c r="CI40" i="25"/>
  <c r="AD84" i="38"/>
  <c r="N106" i="39"/>
  <c r="BY109" i="1"/>
  <c r="BL13" i="40"/>
  <c r="Q76" i="26"/>
  <c r="BF63" i="36"/>
  <c r="AO84" i="37"/>
  <c r="DH76" i="25"/>
  <c r="AG40" i="26"/>
  <c r="DH51" i="1"/>
  <c r="BU40" i="38"/>
  <c r="AU32" i="36"/>
  <c r="Q46" i="36"/>
  <c r="AV40" i="25"/>
  <c r="Q72" i="39"/>
  <c r="CL15" i="26"/>
  <c r="CL40" i="26" s="1"/>
  <c r="DH63" i="41"/>
  <c r="I84" i="41"/>
  <c r="BA40" i="1"/>
  <c r="AH40" i="40"/>
  <c r="AH95" i="40" s="1"/>
  <c r="AQ84" i="1"/>
  <c r="AC40" i="26"/>
  <c r="BF46" i="40"/>
  <c r="AY15" i="41"/>
  <c r="AY40" i="41" s="1"/>
  <c r="CK40" i="36"/>
  <c r="DH22" i="38"/>
  <c r="BF38" i="39"/>
  <c r="BF28" i="36"/>
  <c r="BF51" i="25"/>
  <c r="AM84" i="25"/>
  <c r="H84" i="37"/>
  <c r="CE84" i="1"/>
  <c r="CT84" i="36"/>
  <c r="CT109" i="36" s="1"/>
  <c r="AK38" i="38"/>
  <c r="BL79" i="40"/>
  <c r="CJ106" i="26"/>
  <c r="DE15" i="39"/>
  <c r="DE40" i="39" s="1"/>
  <c r="CC84" i="1"/>
  <c r="H15" i="38"/>
  <c r="H40" i="38" s="1"/>
  <c r="BD106" i="37"/>
  <c r="AK14" i="37"/>
  <c r="BB40" i="36"/>
  <c r="AG95" i="39"/>
  <c r="CA40" i="37"/>
  <c r="CA109" i="37" s="1"/>
  <c r="BL61" i="1"/>
  <c r="CP40" i="25"/>
  <c r="BF76" i="1"/>
  <c r="AS84" i="1"/>
  <c r="CS40" i="1"/>
  <c r="Q93" i="38"/>
  <c r="G106" i="38"/>
  <c r="AM106" i="40"/>
  <c r="BF93" i="40"/>
  <c r="BF19" i="26"/>
  <c r="AV40" i="1"/>
  <c r="CZ40" i="37"/>
  <c r="AX40" i="25"/>
  <c r="BY106" i="36"/>
  <c r="CG40" i="40"/>
  <c r="G106" i="39"/>
  <c r="Q93" i="39"/>
  <c r="BS84" i="41"/>
  <c r="H106" i="41"/>
  <c r="DB40" i="37"/>
  <c r="BR15" i="39"/>
  <c r="CO84" i="25"/>
  <c r="AI84" i="25"/>
  <c r="CQ106" i="26"/>
  <c r="AF84" i="1"/>
  <c r="CR84" i="39"/>
  <c r="CU84" i="25"/>
  <c r="DH76" i="39"/>
  <c r="BF19" i="37"/>
  <c r="CX84" i="26"/>
  <c r="S32" i="41"/>
  <c r="AK31" i="41"/>
  <c r="S106" i="41"/>
  <c r="L15" i="26"/>
  <c r="L40" i="26" s="1"/>
  <c r="BY40" i="38"/>
  <c r="CO15" i="25"/>
  <c r="CO40" i="25" s="1"/>
  <c r="BW40" i="39"/>
  <c r="AZ106" i="36"/>
  <c r="AS40" i="37"/>
  <c r="CY84" i="26"/>
  <c r="AF84" i="37"/>
  <c r="BY106" i="40"/>
  <c r="BI40" i="41"/>
  <c r="BJ76" i="40"/>
  <c r="DE40" i="41"/>
  <c r="DE109" i="41" s="1"/>
  <c r="Q38" i="37"/>
  <c r="L106" i="36"/>
  <c r="O15" i="1"/>
  <c r="O40" i="1" s="1"/>
  <c r="AN40" i="25"/>
  <c r="BL75" i="40"/>
  <c r="BX40" i="26"/>
  <c r="BY106" i="25"/>
  <c r="DF15" i="38"/>
  <c r="DF40" i="38" s="1"/>
  <c r="BF82" i="37"/>
  <c r="CK40" i="40"/>
  <c r="BA106" i="37"/>
  <c r="X40" i="1"/>
  <c r="BB40" i="1"/>
  <c r="CS106" i="25"/>
  <c r="CP40" i="39"/>
  <c r="BL29" i="38"/>
  <c r="CX84" i="36"/>
  <c r="CJ40" i="37"/>
  <c r="N84" i="37"/>
  <c r="Q72" i="40"/>
  <c r="CX84" i="38"/>
  <c r="BL21" i="41"/>
  <c r="AJ106" i="25"/>
  <c r="DA15" i="37"/>
  <c r="DA40" i="37" s="1"/>
  <c r="X84" i="39"/>
  <c r="CU106" i="26"/>
  <c r="DD40" i="26"/>
  <c r="BL37" i="26"/>
  <c r="CQ106" i="38"/>
  <c r="Q63" i="37"/>
  <c r="AI84" i="37"/>
  <c r="CZ84" i="39"/>
  <c r="BL61" i="41"/>
  <c r="BL89" i="41"/>
  <c r="CY40" i="41"/>
  <c r="Q35" i="39"/>
  <c r="X15" i="40"/>
  <c r="X40" i="40" s="1"/>
  <c r="AK51" i="1"/>
  <c r="DC84" i="37"/>
  <c r="AK76" i="40"/>
  <c r="BL76" i="40" s="1"/>
  <c r="DB106" i="40"/>
  <c r="DH35" i="25"/>
  <c r="BW84" i="37"/>
  <c r="AK51" i="25"/>
  <c r="CJ40" i="39"/>
  <c r="AO40" i="25"/>
  <c r="AW106" i="26"/>
  <c r="AV40" i="39"/>
  <c r="AZ15" i="37"/>
  <c r="AZ40" i="37" s="1"/>
  <c r="I84" i="36"/>
  <c r="K84" i="26"/>
  <c r="BU84" i="36"/>
  <c r="CI106" i="39"/>
  <c r="DH72" i="1"/>
  <c r="AH40" i="25"/>
  <c r="AH95" i="25" s="1"/>
  <c r="AW106" i="40"/>
  <c r="M32" i="36"/>
  <c r="M40" i="36" s="1"/>
  <c r="Q31" i="41"/>
  <c r="BD84" i="36"/>
  <c r="J15" i="25"/>
  <c r="J40" i="25" s="1"/>
  <c r="DD84" i="37"/>
  <c r="DH31" i="26"/>
  <c r="AK68" i="39"/>
  <c r="CC84" i="26"/>
  <c r="BC84" i="41"/>
  <c r="AO40" i="37"/>
  <c r="BL75" i="1"/>
  <c r="BU84" i="37"/>
  <c r="BW84" i="41"/>
  <c r="BW109" i="41" s="1"/>
  <c r="CL84" i="1"/>
  <c r="AN106" i="25"/>
  <c r="BU106" i="1"/>
  <c r="BU109" i="1" s="1"/>
  <c r="BF63" i="26"/>
  <c r="BY40" i="40"/>
  <c r="CO106" i="41"/>
  <c r="CN106" i="1"/>
  <c r="CK106" i="39"/>
  <c r="CJ40" i="38"/>
  <c r="CH106" i="26"/>
  <c r="K40" i="26"/>
  <c r="BV84" i="39"/>
  <c r="BV40" i="37"/>
  <c r="AV40" i="26"/>
  <c r="CM84" i="37"/>
  <c r="BL27" i="40"/>
  <c r="P84" i="40"/>
  <c r="G32" i="26"/>
  <c r="Q28" i="26"/>
  <c r="CB40" i="36"/>
  <c r="CW106" i="25"/>
  <c r="CT106" i="41"/>
  <c r="CU106" i="37"/>
  <c r="CX15" i="39"/>
  <c r="CX40" i="39" s="1"/>
  <c r="CX109" i="39" s="1"/>
  <c r="AJ15" i="38"/>
  <c r="AJ40" i="38" s="1"/>
  <c r="AJ44" i="38" s="1"/>
  <c r="CV84" i="1"/>
  <c r="AS84" i="39"/>
  <c r="BF28" i="40"/>
  <c r="BL12" i="36"/>
  <c r="BU40" i="39"/>
  <c r="CQ106" i="41"/>
  <c r="AC84" i="38"/>
  <c r="BZ84" i="26"/>
  <c r="CQ15" i="37"/>
  <c r="CU84" i="40"/>
  <c r="CU109" i="40" s="1"/>
  <c r="AQ40" i="36"/>
  <c r="BW15" i="40"/>
  <c r="BW40" i="40" s="1"/>
  <c r="Q28" i="36"/>
  <c r="BL13" i="36"/>
  <c r="BL12" i="26"/>
  <c r="M106" i="25"/>
  <c r="CH15" i="25"/>
  <c r="CH40" i="25" s="1"/>
  <c r="BY84" i="41"/>
  <c r="Q82" i="39"/>
  <c r="BL60" i="25"/>
  <c r="CN40" i="26"/>
  <c r="L106" i="41"/>
  <c r="AZ40" i="39"/>
  <c r="DH72" i="38"/>
  <c r="DH76" i="41"/>
  <c r="DH72" i="26"/>
  <c r="AZ106" i="39"/>
  <c r="BL75" i="38"/>
  <c r="AK14" i="26"/>
  <c r="BL26" i="37"/>
  <c r="DB40" i="41"/>
  <c r="CG106" i="40"/>
  <c r="CW106" i="26"/>
  <c r="BL10" i="39"/>
  <c r="AZ84" i="38"/>
  <c r="CM84" i="25"/>
  <c r="Q99" i="41"/>
  <c r="AO106" i="1"/>
  <c r="AW84" i="36"/>
  <c r="BU84" i="41"/>
  <c r="CA40" i="1"/>
  <c r="CA109" i="1" s="1"/>
  <c r="AH84" i="38"/>
  <c r="O84" i="26"/>
  <c r="CI106" i="40"/>
  <c r="Q55" i="38"/>
  <c r="AO84" i="38"/>
  <c r="BZ84" i="40"/>
  <c r="CO40" i="36"/>
  <c r="BF28" i="1"/>
  <c r="BF51" i="38"/>
  <c r="AM84" i="38"/>
  <c r="BJ31" i="26"/>
  <c r="CF106" i="40"/>
  <c r="Q35" i="26"/>
  <c r="BX106" i="41"/>
  <c r="AK63" i="39"/>
  <c r="AO50" i="60"/>
  <c r="BF28" i="39"/>
  <c r="CW84" i="40"/>
  <c r="CL40" i="38"/>
  <c r="Q104" i="36"/>
  <c r="BU106" i="41"/>
  <c r="CT84" i="40"/>
  <c r="BV84" i="1"/>
  <c r="AG84" i="1"/>
  <c r="AM15" i="40"/>
  <c r="BF14" i="40"/>
  <c r="AK63" i="36"/>
  <c r="BU106" i="37"/>
  <c r="BD106" i="25"/>
  <c r="AU15" i="40"/>
  <c r="AU40" i="40" s="1"/>
  <c r="AM84" i="37"/>
  <c r="BF51" i="37"/>
  <c r="Q31" i="36"/>
  <c r="CP15" i="38"/>
  <c r="CP40" i="38" s="1"/>
  <c r="CX106" i="1"/>
  <c r="Q72" i="25"/>
  <c r="AY15" i="38"/>
  <c r="AY40" i="38" s="1"/>
  <c r="CL84" i="38"/>
  <c r="BL66" i="41"/>
  <c r="BB84" i="1"/>
  <c r="DH28" i="26"/>
  <c r="H84" i="26"/>
  <c r="BR15" i="37"/>
  <c r="BR40" i="37" s="1"/>
  <c r="Q31" i="25"/>
  <c r="BY84" i="36"/>
  <c r="CM15" i="37"/>
  <c r="CM40" i="37" s="1"/>
  <c r="BF76" i="40"/>
  <c r="BL21" i="38"/>
  <c r="BJ76" i="36"/>
  <c r="K106" i="38"/>
  <c r="Y15" i="41"/>
  <c r="BJ68" i="41"/>
  <c r="N40" i="25"/>
  <c r="DA84" i="1"/>
  <c r="AX40" i="41"/>
  <c r="CM40" i="25"/>
  <c r="BL29" i="1"/>
  <c r="CW15" i="36"/>
  <c r="CW40" i="36" s="1"/>
  <c r="BF19" i="25"/>
  <c r="CQ15" i="26"/>
  <c r="CQ40" i="26" s="1"/>
  <c r="CQ109" i="26" s="1"/>
  <c r="BL89" i="26"/>
  <c r="AM15" i="25"/>
  <c r="BF14" i="25"/>
  <c r="AG15" i="40"/>
  <c r="AG40" i="40" s="1"/>
  <c r="DC15" i="41"/>
  <c r="DC40" i="41" s="1"/>
  <c r="BH32" i="39"/>
  <c r="BJ32" i="39" s="1"/>
  <c r="I84" i="25"/>
  <c r="CZ15" i="39"/>
  <c r="CZ40" i="39" s="1"/>
  <c r="CY40" i="26"/>
  <c r="CJ84" i="40"/>
  <c r="CT15" i="39"/>
  <c r="CT40" i="39" s="1"/>
  <c r="BL21" i="26"/>
  <c r="N40" i="37"/>
  <c r="Z15" i="39"/>
  <c r="Z40" i="39" s="1"/>
  <c r="CW15" i="26"/>
  <c r="CW40" i="26" s="1"/>
  <c r="AK38" i="37"/>
  <c r="O106" i="37"/>
  <c r="BJ19" i="38"/>
  <c r="BF68" i="36"/>
  <c r="DH35" i="26"/>
  <c r="CS106" i="39"/>
  <c r="BF28" i="41"/>
  <c r="H1252" i="4"/>
  <c r="H760" i="4"/>
  <c r="H765" i="4" s="1" a="1"/>
  <c r="BR106" i="38"/>
  <c r="BX106" i="26"/>
  <c r="N84" i="40"/>
  <c r="AC40" i="40"/>
  <c r="BU84" i="25"/>
  <c r="AE84" i="38"/>
  <c r="AR15" i="41"/>
  <c r="AR40" i="41" s="1"/>
  <c r="CD106" i="39"/>
  <c r="BE106" i="36"/>
  <c r="CP84" i="37"/>
  <c r="CP15" i="41"/>
  <c r="CP40" i="41" s="1"/>
  <c r="BL10" i="1"/>
  <c r="AC106" i="40"/>
  <c r="DF106" i="38"/>
  <c r="CW84" i="39"/>
  <c r="CL84" i="41"/>
  <c r="O15" i="40"/>
  <c r="O40" i="40" s="1"/>
  <c r="O109" i="40" s="1"/>
  <c r="BE106" i="25"/>
  <c r="BH32" i="26"/>
  <c r="BJ32" i="26" s="1"/>
  <c r="BI15" i="25"/>
  <c r="BI40" i="25" s="1"/>
  <c r="DF84" i="36"/>
  <c r="Y40" i="1"/>
  <c r="BL21" i="39"/>
  <c r="CW106" i="36"/>
  <c r="BL89" i="25"/>
  <c r="BL13" i="26"/>
  <c r="CV106" i="26"/>
  <c r="CV109" i="26" s="1"/>
  <c r="AA106" i="37"/>
  <c r="AX106" i="25"/>
  <c r="AX109" i="25" s="1"/>
  <c r="AY84" i="37"/>
  <c r="BL27" i="26"/>
  <c r="CC84" i="39"/>
  <c r="G32" i="36"/>
  <c r="Q93" i="36"/>
  <c r="G106" i="36"/>
  <c r="CU32" i="1"/>
  <c r="BJ76" i="38"/>
  <c r="CJ84" i="41"/>
  <c r="CI84" i="36"/>
  <c r="BZ84" i="37"/>
  <c r="F255" i="46"/>
  <c r="F369" i="46" s="1"/>
  <c r="F359" i="46"/>
  <c r="AW84" i="41"/>
  <c r="BA15" i="39"/>
  <c r="BA40" i="39" s="1"/>
  <c r="BF35" i="36"/>
  <c r="CA40" i="40"/>
  <c r="DD84" i="38"/>
  <c r="BH15" i="38"/>
  <c r="BJ14" i="38"/>
  <c r="CL106" i="38"/>
  <c r="CL109" i="38" s="1"/>
  <c r="X15" i="36"/>
  <c r="X40" i="36" s="1"/>
  <c r="AC84" i="39"/>
  <c r="DH28" i="37"/>
  <c r="AO84" i="25"/>
  <c r="AO109" i="25" s="1"/>
  <c r="AC106" i="41"/>
  <c r="DC84" i="36"/>
  <c r="AN84" i="36"/>
  <c r="AJ15" i="41"/>
  <c r="AJ40" i="41" s="1"/>
  <c r="AJ44" i="41" s="1"/>
  <c r="AZ84" i="36"/>
  <c r="BZ15" i="41"/>
  <c r="BZ40" i="41" s="1"/>
  <c r="BE84" i="38"/>
  <c r="AF15" i="1"/>
  <c r="AF40" i="1" s="1"/>
  <c r="Q68" i="36"/>
  <c r="AK22" i="1"/>
  <c r="AP15" i="37"/>
  <c r="AP40" i="37" s="1"/>
  <c r="BU15" i="25"/>
  <c r="BU40" i="25" s="1"/>
  <c r="CF15" i="38"/>
  <c r="CF40" i="38" s="1"/>
  <c r="CF109" i="38" s="1"/>
  <c r="CZ106" i="1"/>
  <c r="CS106" i="37"/>
  <c r="BL57" i="1"/>
  <c r="I84" i="38"/>
  <c r="DH68" i="41"/>
  <c r="AY15" i="1"/>
  <c r="AY40" i="1" s="1"/>
  <c r="M40" i="37"/>
  <c r="M109" i="37" s="1"/>
  <c r="CP106" i="1"/>
  <c r="CP109" i="1" s="1"/>
  <c r="J106" i="37"/>
  <c r="BL50" i="40"/>
  <c r="BS84" i="40"/>
  <c r="DH38" i="39"/>
  <c r="CC15" i="26"/>
  <c r="CC40" i="26" s="1"/>
  <c r="BJ22" i="38"/>
  <c r="BL27" i="1"/>
  <c r="BF35" i="37"/>
  <c r="BF68" i="41"/>
  <c r="AG15" i="36"/>
  <c r="AG40" i="36" s="1"/>
  <c r="BA15" i="37"/>
  <c r="BA40" i="37" s="1"/>
  <c r="BA109" i="37" s="1"/>
  <c r="J106" i="26"/>
  <c r="Q63" i="36"/>
  <c r="BL63" i="36" s="1"/>
  <c r="BL34" i="37"/>
  <c r="Q35" i="41"/>
  <c r="Q68" i="26"/>
  <c r="AQ15" i="39"/>
  <c r="AQ40" i="39" s="1"/>
  <c r="CI84" i="40"/>
  <c r="BH32" i="40"/>
  <c r="BJ32" i="40" s="1"/>
  <c r="BE84" i="41"/>
  <c r="DH63" i="40"/>
  <c r="J84" i="40"/>
  <c r="AX106" i="38"/>
  <c r="J106" i="40"/>
  <c r="CE106" i="37"/>
  <c r="CA106" i="25"/>
  <c r="CG15" i="36"/>
  <c r="CG40" i="36" s="1"/>
  <c r="CQ106" i="25"/>
  <c r="CU15" i="39"/>
  <c r="CU40" i="39" s="1"/>
  <c r="CZ84" i="1"/>
  <c r="BU15" i="37"/>
  <c r="BU40" i="37" s="1"/>
  <c r="BL60" i="38"/>
  <c r="AT15" i="39"/>
  <c r="AT40" i="39" s="1"/>
  <c r="CF84" i="36"/>
  <c r="CS106" i="38"/>
  <c r="BJ19" i="39"/>
  <c r="CL106" i="26"/>
  <c r="BE15" i="38"/>
  <c r="BE40" i="38" s="1"/>
  <c r="DH68" i="26"/>
  <c r="AG15" i="38"/>
  <c r="AG40" i="38" s="1"/>
  <c r="BZ106" i="26"/>
  <c r="P84" i="1"/>
  <c r="P109" i="1" s="1"/>
  <c r="BY106" i="26"/>
  <c r="BF31" i="1"/>
  <c r="CK84" i="41"/>
  <c r="CG15" i="25"/>
  <c r="CG40" i="25" s="1"/>
  <c r="AA15" i="39"/>
  <c r="BL62" i="40"/>
  <c r="P106" i="41"/>
  <c r="CE106" i="25"/>
  <c r="CD84" i="37"/>
  <c r="CD109" i="37" s="1"/>
  <c r="CN84" i="39"/>
  <c r="BS84" i="36"/>
  <c r="CU15" i="41"/>
  <c r="CU40" i="41" s="1"/>
  <c r="CR84" i="40"/>
  <c r="CV84" i="38"/>
  <c r="Q22" i="1"/>
  <c r="AQ84" i="36"/>
  <c r="Q35" i="1"/>
  <c r="AJ106" i="26"/>
  <c r="N760" i="4"/>
  <c r="N765" i="4" s="1" a="1"/>
  <c r="N1252" i="4"/>
  <c r="CV15" i="39"/>
  <c r="CV40" i="39" s="1"/>
  <c r="CB84" i="1"/>
  <c r="I106" i="39"/>
  <c r="CQ15" i="39"/>
  <c r="CQ40" i="39" s="1"/>
  <c r="BR15" i="38"/>
  <c r="BR40" i="38" s="1"/>
  <c r="BL21" i="25"/>
  <c r="Z32" i="37"/>
  <c r="AP84" i="38"/>
  <c r="AW15" i="25"/>
  <c r="AW40" i="25" s="1"/>
  <c r="AS15" i="25"/>
  <c r="AS40" i="25" s="1"/>
  <c r="BL67" i="25"/>
  <c r="CG106" i="25"/>
  <c r="DA15" i="36"/>
  <c r="DA40" i="36" s="1"/>
  <c r="CP40" i="36"/>
  <c r="CP109" i="36" s="1"/>
  <c r="L280" i="46"/>
  <c r="I15" i="38"/>
  <c r="I40" i="38" s="1"/>
  <c r="BL37" i="38"/>
  <c r="J84" i="41"/>
  <c r="AF32" i="36"/>
  <c r="AN84" i="1"/>
  <c r="AN109" i="1" s="1"/>
  <c r="AF84" i="25"/>
  <c r="BL59" i="36"/>
  <c r="P84" i="36"/>
  <c r="AO84" i="40"/>
  <c r="CW84" i="37"/>
  <c r="CP106" i="41"/>
  <c r="BL21" i="37"/>
  <c r="AC15" i="1"/>
  <c r="AC40" i="1" s="1"/>
  <c r="AI84" i="26"/>
  <c r="BW106" i="26"/>
  <c r="BL25" i="40"/>
  <c r="AX84" i="41"/>
  <c r="L760" i="4"/>
  <c r="L765" i="4" s="1" a="1"/>
  <c r="L1252" i="4"/>
  <c r="CD15" i="41"/>
  <c r="CD40" i="41" s="1"/>
  <c r="BF31" i="37"/>
  <c r="AY106" i="39"/>
  <c r="CK106" i="25"/>
  <c r="Q14" i="38"/>
  <c r="CZ40" i="26"/>
  <c r="BO32" i="26"/>
  <c r="BL34" i="25"/>
  <c r="AA84" i="36"/>
  <c r="P106" i="36"/>
  <c r="CO32" i="1"/>
  <c r="AP84" i="1"/>
  <c r="BL67" i="1"/>
  <c r="BO32" i="37"/>
  <c r="BJ11" i="38"/>
  <c r="CZ106" i="39"/>
  <c r="BF93" i="36"/>
  <c r="AM106" i="36"/>
  <c r="CW84" i="26"/>
  <c r="DD15" i="36"/>
  <c r="DD40" i="36" s="1"/>
  <c r="AI106" i="25"/>
  <c r="CG84" i="25"/>
  <c r="DH63" i="26"/>
  <c r="BE84" i="37"/>
  <c r="BE109" i="37" s="1"/>
  <c r="AT15" i="36"/>
  <c r="AT40" i="36" s="1"/>
  <c r="O106" i="36"/>
  <c r="BV106" i="39"/>
  <c r="M84" i="36"/>
  <c r="DH68" i="38"/>
  <c r="BW40" i="36"/>
  <c r="Q28" i="1"/>
  <c r="Q68" i="41"/>
  <c r="CU15" i="25"/>
  <c r="CU40" i="25" s="1"/>
  <c r="K84" i="40"/>
  <c r="BS15" i="41"/>
  <c r="BS40" i="41" s="1"/>
  <c r="CG40" i="41"/>
  <c r="BS106" i="37"/>
  <c r="AK63" i="1"/>
  <c r="DD106" i="40"/>
  <c r="CG84" i="40"/>
  <c r="CG109" i="40" s="1"/>
  <c r="CO15" i="26"/>
  <c r="CO40" i="26" s="1"/>
  <c r="K1252" i="4"/>
  <c r="K760" i="4"/>
  <c r="K765" i="4" s="1" a="1"/>
  <c r="AJ106" i="37"/>
  <c r="AK35" i="39"/>
  <c r="AC84" i="40"/>
  <c r="BZ106" i="40"/>
  <c r="CO84" i="41"/>
  <c r="CW15" i="25"/>
  <c r="CW40" i="25" s="1"/>
  <c r="CV106" i="41"/>
  <c r="CY15" i="36"/>
  <c r="CY40" i="36" s="1"/>
  <c r="AD84" i="26"/>
  <c r="AK22" i="36"/>
  <c r="DD84" i="41"/>
  <c r="DD109" i="41" s="1"/>
  <c r="CJ106" i="1"/>
  <c r="DC15" i="40"/>
  <c r="DC40" i="40" s="1"/>
  <c r="CN106" i="41"/>
  <c r="F760" i="4"/>
  <c r="F765" i="4" s="1" a="1"/>
  <c r="F1252" i="4"/>
  <c r="CQ84" i="41"/>
  <c r="CB84" i="25"/>
  <c r="BU106" i="40"/>
  <c r="AY84" i="41"/>
  <c r="AR106" i="36"/>
  <c r="CE84" i="26"/>
  <c r="BY84" i="25"/>
  <c r="CQ84" i="36"/>
  <c r="CI106" i="37"/>
  <c r="AY84" i="26"/>
  <c r="J15" i="37"/>
  <c r="J40" i="37" s="1"/>
  <c r="AK76" i="37"/>
  <c r="CE15" i="37"/>
  <c r="CD84" i="25"/>
  <c r="L15" i="25"/>
  <c r="L40" i="25" s="1"/>
  <c r="DA15" i="38"/>
  <c r="DA40" i="38" s="1"/>
  <c r="AW84" i="26"/>
  <c r="CF32" i="40"/>
  <c r="CF40" i="40" s="1"/>
  <c r="BS106" i="25"/>
  <c r="BF35" i="26"/>
  <c r="CP84" i="38"/>
  <c r="CR15" i="1"/>
  <c r="CR40" i="1" s="1"/>
  <c r="CR109" i="1" s="1"/>
  <c r="BJ76" i="25"/>
  <c r="CR106" i="37"/>
  <c r="L84" i="26"/>
  <c r="Z84" i="1"/>
  <c r="AE84" i="25"/>
  <c r="BF38" i="36"/>
  <c r="DE84" i="36"/>
  <c r="BJ51" i="37"/>
  <c r="AX106" i="36"/>
  <c r="AX109" i="36" s="1"/>
  <c r="AK38" i="41"/>
  <c r="AQ84" i="39"/>
  <c r="Z15" i="38"/>
  <c r="Z40" i="38" s="1"/>
  <c r="DA15" i="41"/>
  <c r="DA40" i="41" s="1"/>
  <c r="BL61" i="26"/>
  <c r="DH28" i="40"/>
  <c r="BY84" i="38"/>
  <c r="BI40" i="1"/>
  <c r="CH40" i="36"/>
  <c r="AV40" i="41"/>
  <c r="DF106" i="37"/>
  <c r="AU40" i="37"/>
  <c r="BF51" i="39"/>
  <c r="BD84" i="39"/>
  <c r="AI84" i="39"/>
  <c r="AU40" i="1"/>
  <c r="CV84" i="40"/>
  <c r="AO40" i="39"/>
  <c r="G106" i="40"/>
  <c r="Q93" i="40"/>
  <c r="Q72" i="37"/>
  <c r="AK14" i="41"/>
  <c r="P84" i="39"/>
  <c r="AK51" i="40"/>
  <c r="AC109" i="38"/>
  <c r="AC95" i="38"/>
  <c r="AC97" i="38" s="1"/>
  <c r="N84" i="39"/>
  <c r="AE40" i="38"/>
  <c r="AD40" i="25"/>
  <c r="AD95" i="25" s="1"/>
  <c r="AF15" i="25"/>
  <c r="AF40" i="25" s="1"/>
  <c r="CO40" i="40"/>
  <c r="Q99" i="1"/>
  <c r="AW84" i="1"/>
  <c r="AD84" i="37"/>
  <c r="L40" i="37"/>
  <c r="CX40" i="41"/>
  <c r="AZ40" i="1"/>
  <c r="BX84" i="40"/>
  <c r="BX106" i="36"/>
  <c r="BF72" i="38"/>
  <c r="BB84" i="40"/>
  <c r="BS40" i="39"/>
  <c r="BV40" i="41"/>
  <c r="BV15" i="1"/>
  <c r="BV40" i="1" s="1"/>
  <c r="BV109" i="1" s="1"/>
  <c r="BF82" i="36"/>
  <c r="CR84" i="38"/>
  <c r="CR109" i="38" s="1"/>
  <c r="CL84" i="25"/>
  <c r="AC15" i="25"/>
  <c r="AC40" i="25" s="1"/>
  <c r="DD40" i="37"/>
  <c r="CK106" i="1"/>
  <c r="CH15" i="1"/>
  <c r="CH40" i="1" s="1"/>
  <c r="CZ40" i="25"/>
  <c r="N84" i="25"/>
  <c r="Q82" i="40"/>
  <c r="AV84" i="36"/>
  <c r="BC106" i="40"/>
  <c r="BL66" i="25"/>
  <c r="DH68" i="39"/>
  <c r="CB40" i="37"/>
  <c r="CD84" i="36"/>
  <c r="G32" i="40"/>
  <c r="Q32" i="40" s="1"/>
  <c r="K40" i="36"/>
  <c r="AX84" i="1"/>
  <c r="AV106" i="25"/>
  <c r="BO32" i="1"/>
  <c r="DH28" i="1"/>
  <c r="BL89" i="38"/>
  <c r="BL65" i="38"/>
  <c r="CB40" i="41"/>
  <c r="CB109" i="41" s="1"/>
  <c r="AV84" i="41"/>
  <c r="BL79" i="1"/>
  <c r="BL60" i="37"/>
  <c r="AA84" i="26"/>
  <c r="AE40" i="25"/>
  <c r="AM15" i="26"/>
  <c r="BF14" i="26"/>
  <c r="AZ40" i="41"/>
  <c r="I40" i="26"/>
  <c r="BV40" i="40"/>
  <c r="BD40" i="37"/>
  <c r="BJ32" i="41"/>
  <c r="BE40" i="40"/>
  <c r="BE95" i="40" s="1"/>
  <c r="BF95" i="40" s="1"/>
  <c r="BT40" i="1"/>
  <c r="CG84" i="1"/>
  <c r="AK76" i="1"/>
  <c r="AS84" i="37"/>
  <c r="CC84" i="38"/>
  <c r="BI40" i="36"/>
  <c r="BX40" i="36"/>
  <c r="BX109" i="36" s="1"/>
  <c r="BF82" i="25"/>
  <c r="AK14" i="38"/>
  <c r="CD40" i="26"/>
  <c r="BL30" i="36"/>
  <c r="H106" i="37"/>
  <c r="BF82" i="40"/>
  <c r="H84" i="40"/>
  <c r="CZ106" i="36"/>
  <c r="BF76" i="39"/>
  <c r="J106" i="25"/>
  <c r="BY40" i="39"/>
  <c r="BJ51" i="39"/>
  <c r="AV106" i="37"/>
  <c r="X40" i="41"/>
  <c r="Q35" i="36"/>
  <c r="CP106" i="40"/>
  <c r="CV84" i="36"/>
  <c r="X84" i="1"/>
  <c r="BL29" i="37"/>
  <c r="K84" i="36"/>
  <c r="AY84" i="36"/>
  <c r="H15" i="39"/>
  <c r="H40" i="39" s="1"/>
  <c r="H109" i="39" s="1"/>
  <c r="CS106" i="36"/>
  <c r="CV106" i="1"/>
  <c r="K84" i="38"/>
  <c r="Q55" i="36"/>
  <c r="DE40" i="36"/>
  <c r="DA15" i="25"/>
  <c r="DA40" i="25" s="1"/>
  <c r="BF28" i="26"/>
  <c r="CM106" i="26"/>
  <c r="BF72" i="41"/>
  <c r="BV106" i="41"/>
  <c r="Q14" i="41"/>
  <c r="G84" i="37"/>
  <c r="Q51" i="37"/>
  <c r="AU84" i="37"/>
  <c r="AO106" i="37"/>
  <c r="BY106" i="37"/>
  <c r="AX84" i="40"/>
  <c r="AX109" i="40" s="1"/>
  <c r="AE84" i="39"/>
  <c r="CZ84" i="37"/>
  <c r="BJ14" i="40"/>
  <c r="BH15" i="40"/>
  <c r="AN84" i="26"/>
  <c r="BB84" i="25"/>
  <c r="BB40" i="38"/>
  <c r="BB109" i="38" s="1"/>
  <c r="CK84" i="36"/>
  <c r="AR84" i="26"/>
  <c r="DD106" i="1"/>
  <c r="DF84" i="25"/>
  <c r="BF72" i="39"/>
  <c r="Q22" i="41"/>
  <c r="BF38" i="1"/>
  <c r="BL18" i="36"/>
  <c r="O109" i="1"/>
  <c r="BS84" i="37"/>
  <c r="CH84" i="41"/>
  <c r="DB84" i="37"/>
  <c r="BL10" i="26"/>
  <c r="BF82" i="38"/>
  <c r="BE84" i="26"/>
  <c r="DH38" i="25"/>
  <c r="G32" i="25"/>
  <c r="Q32" i="25" s="1"/>
  <c r="Q28" i="25"/>
  <c r="J106" i="41"/>
  <c r="BL34" i="39"/>
  <c r="BF82" i="26"/>
  <c r="CU40" i="26"/>
  <c r="CN40" i="36"/>
  <c r="CE40" i="25"/>
  <c r="Q82" i="38"/>
  <c r="CV106" i="38"/>
  <c r="BL58" i="26"/>
  <c r="BF14" i="39"/>
  <c r="AM15" i="39"/>
  <c r="BE40" i="26"/>
  <c r="AM84" i="41"/>
  <c r="BF51" i="41"/>
  <c r="Q72" i="26"/>
  <c r="AT40" i="38"/>
  <c r="CS84" i="41"/>
  <c r="Q35" i="40"/>
  <c r="BL35" i="40" s="1"/>
  <c r="M84" i="26"/>
  <c r="P106" i="37"/>
  <c r="AP84" i="25"/>
  <c r="CU84" i="26"/>
  <c r="AU15" i="25"/>
  <c r="AU40" i="25" s="1"/>
  <c r="CG15" i="39"/>
  <c r="AC40" i="39"/>
  <c r="CT106" i="37"/>
  <c r="M84" i="41"/>
  <c r="O40" i="26"/>
  <c r="AY40" i="36"/>
  <c r="AM84" i="40"/>
  <c r="BF51" i="40"/>
  <c r="AZ106" i="26"/>
  <c r="BF31" i="36"/>
  <c r="DB84" i="1"/>
  <c r="AV106" i="38"/>
  <c r="CI84" i="37"/>
  <c r="AK28" i="25"/>
  <c r="BF31" i="39"/>
  <c r="BL27" i="37"/>
  <c r="BT84" i="1"/>
  <c r="DH31" i="37"/>
  <c r="P84" i="38"/>
  <c r="Q76" i="1"/>
  <c r="BL76" i="1" s="1"/>
  <c r="CX40" i="25"/>
  <c r="CX109" i="25" s="1"/>
  <c r="AS40" i="38"/>
  <c r="DH63" i="39"/>
  <c r="BX15" i="37"/>
  <c r="BX40" i="37" s="1"/>
  <c r="AN40" i="36"/>
  <c r="CS15" i="41"/>
  <c r="CS40" i="41" s="1"/>
  <c r="CS109" i="41" s="1"/>
  <c r="CA84" i="39"/>
  <c r="BL62" i="37"/>
  <c r="AF84" i="39"/>
  <c r="CI40" i="1"/>
  <c r="Q93" i="1"/>
  <c r="G106" i="1"/>
  <c r="AF32" i="41"/>
  <c r="CW40" i="1"/>
  <c r="AU40" i="39"/>
  <c r="M15" i="38"/>
  <c r="AW40" i="26"/>
  <c r="DH68" i="25"/>
  <c r="CT106" i="39"/>
  <c r="CH106" i="37"/>
  <c r="CH109" i="37" s="1"/>
  <c r="AO84" i="26"/>
  <c r="CB106" i="1"/>
  <c r="DH19" i="25"/>
  <c r="AN106" i="41"/>
  <c r="AT15" i="26"/>
  <c r="AT40" i="26" s="1"/>
  <c r="CX106" i="41"/>
  <c r="CU84" i="1"/>
  <c r="DE84" i="39"/>
  <c r="DH19" i="37"/>
  <c r="AA106" i="25"/>
  <c r="BV106" i="37"/>
  <c r="BV109" i="37" s="1"/>
  <c r="CE15" i="26"/>
  <c r="CE40" i="26" s="1"/>
  <c r="CE109" i="26" s="1"/>
  <c r="DH35" i="1"/>
  <c r="BJ68" i="36"/>
  <c r="BL26" i="36"/>
  <c r="Q14" i="26"/>
  <c r="BL30" i="37"/>
  <c r="BF28" i="25"/>
  <c r="Z84" i="37"/>
  <c r="Q55" i="40"/>
  <c r="CT15" i="26"/>
  <c r="CT40" i="26" s="1"/>
  <c r="CA84" i="26"/>
  <c r="AI84" i="40"/>
  <c r="BF31" i="40"/>
  <c r="BJ28" i="36"/>
  <c r="O84" i="25"/>
  <c r="BL62" i="26"/>
  <c r="AU84" i="41"/>
  <c r="Q76" i="38"/>
  <c r="BF55" i="38"/>
  <c r="Q28" i="37"/>
  <c r="BF46" i="26"/>
  <c r="CK40" i="38"/>
  <c r="BF93" i="25"/>
  <c r="AM106" i="25"/>
  <c r="G146" i="50"/>
  <c r="F184" i="50"/>
  <c r="BA40" i="41"/>
  <c r="CP84" i="39"/>
  <c r="DH31" i="36"/>
  <c r="AY15" i="40"/>
  <c r="AY40" i="40" s="1"/>
  <c r="AY106" i="40"/>
  <c r="BW15" i="1"/>
  <c r="BW40" i="1" s="1"/>
  <c r="CW15" i="40"/>
  <c r="CW40" i="40" s="1"/>
  <c r="Q76" i="25"/>
  <c r="CG106" i="26"/>
  <c r="BR84" i="1"/>
  <c r="BL59" i="40"/>
  <c r="CZ40" i="41"/>
  <c r="BJ68" i="40"/>
  <c r="BJ51" i="25"/>
  <c r="CX15" i="37"/>
  <c r="CX40" i="37" s="1"/>
  <c r="BF46" i="1"/>
  <c r="BY84" i="40"/>
  <c r="AT84" i="1"/>
  <c r="BJ22" i="26"/>
  <c r="CP106" i="38"/>
  <c r="BF68" i="39"/>
  <c r="Q63" i="39"/>
  <c r="CO84" i="40"/>
  <c r="CG84" i="41"/>
  <c r="CN84" i="36"/>
  <c r="CX84" i="1"/>
  <c r="DH19" i="1"/>
  <c r="AW84" i="40"/>
  <c r="M15" i="41"/>
  <c r="M40" i="41" s="1"/>
  <c r="AK28" i="41"/>
  <c r="BL28" i="41" s="1"/>
  <c r="BW84" i="36"/>
  <c r="CX15" i="1"/>
  <c r="CX40" i="1" s="1"/>
  <c r="AQ49" i="60"/>
  <c r="I106" i="26"/>
  <c r="G32" i="39"/>
  <c r="K84" i="37"/>
  <c r="CS40" i="37"/>
  <c r="CC40" i="39"/>
  <c r="BT40" i="37"/>
  <c r="AX84" i="38"/>
  <c r="AW84" i="37"/>
  <c r="BE84" i="39"/>
  <c r="Q104" i="41"/>
  <c r="BF46" i="39"/>
  <c r="AD15" i="38"/>
  <c r="AD40" i="38" s="1"/>
  <c r="AX84" i="26"/>
  <c r="I84" i="1"/>
  <c r="BF93" i="37"/>
  <c r="AM106" i="37"/>
  <c r="DH28" i="36"/>
  <c r="AW15" i="38"/>
  <c r="AW40" i="38" s="1"/>
  <c r="G32" i="37"/>
  <c r="CH84" i="1"/>
  <c r="CT106" i="1"/>
  <c r="CD15" i="25"/>
  <c r="CD40" i="25" s="1"/>
  <c r="CD109" i="25" s="1"/>
  <c r="BZ106" i="1"/>
  <c r="CK15" i="26"/>
  <c r="CK40" i="26" s="1"/>
  <c r="CE84" i="39"/>
  <c r="BL67" i="39"/>
  <c r="AC15" i="37"/>
  <c r="Q55" i="39"/>
  <c r="AZ15" i="26"/>
  <c r="AZ40" i="26" s="1"/>
  <c r="BB40" i="37"/>
  <c r="CS84" i="1"/>
  <c r="CV106" i="37"/>
  <c r="BS106" i="39"/>
  <c r="BL66" i="37"/>
  <c r="AK22" i="26"/>
  <c r="BL10" i="36"/>
  <c r="DH38" i="1"/>
  <c r="BF31" i="38"/>
  <c r="BL17" i="41"/>
  <c r="BX84" i="41"/>
  <c r="Q93" i="26"/>
  <c r="G106" i="26"/>
  <c r="AB106" i="37"/>
  <c r="CL106" i="41"/>
  <c r="Q22" i="26"/>
  <c r="AV84" i="39"/>
  <c r="BS84" i="1"/>
  <c r="CI15" i="40"/>
  <c r="CI40" i="40" s="1"/>
  <c r="BZ15" i="38"/>
  <c r="BZ40" i="38" s="1"/>
  <c r="BX84" i="1"/>
  <c r="CN40" i="41"/>
  <c r="BX106" i="1"/>
  <c r="O106" i="39"/>
  <c r="AA106" i="1"/>
  <c r="CK84" i="1"/>
  <c r="CX84" i="40"/>
  <c r="BX84" i="37"/>
  <c r="Q46" i="41"/>
  <c r="CQ15" i="41"/>
  <c r="CQ40" i="41" s="1"/>
  <c r="CY84" i="41"/>
  <c r="BH15" i="41"/>
  <c r="BJ15" i="41" s="1"/>
  <c r="BJ14" i="41"/>
  <c r="AO84" i="41"/>
  <c r="BF35" i="38"/>
  <c r="BL59" i="38"/>
  <c r="AK51" i="37"/>
  <c r="CN15" i="25"/>
  <c r="CN40" i="25" s="1"/>
  <c r="AJ15" i="36"/>
  <c r="AJ40" i="36" s="1"/>
  <c r="AJ44" i="36" s="1"/>
  <c r="Q22" i="39"/>
  <c r="AV106" i="26"/>
  <c r="AC106" i="37"/>
  <c r="DD106" i="39"/>
  <c r="CD106" i="38"/>
  <c r="CA106" i="36"/>
  <c r="AX40" i="26"/>
  <c r="BL24" i="25"/>
  <c r="BD84" i="38"/>
  <c r="BL29" i="26"/>
  <c r="BL24" i="36"/>
  <c r="CI106" i="41"/>
  <c r="BL89" i="36"/>
  <c r="AF40" i="38"/>
  <c r="AF95" i="38" s="1"/>
  <c r="BF28" i="38"/>
  <c r="BX84" i="39"/>
  <c r="Q104" i="38"/>
  <c r="BR84" i="40"/>
  <c r="BF38" i="26"/>
  <c r="AS15" i="1"/>
  <c r="AS40" i="1" s="1"/>
  <c r="CD84" i="40"/>
  <c r="BR40" i="1"/>
  <c r="N84" i="1"/>
  <c r="CG106" i="38"/>
  <c r="BL57" i="38"/>
  <c r="DB106" i="26"/>
  <c r="DB109" i="26" s="1"/>
  <c r="BE106" i="39"/>
  <c r="DE106" i="36"/>
  <c r="AM32" i="26"/>
  <c r="Z15" i="25"/>
  <c r="Z40" i="25" s="1"/>
  <c r="N84" i="26"/>
  <c r="AW50" i="60"/>
  <c r="DF40" i="40"/>
  <c r="CP40" i="40"/>
  <c r="BX84" i="26"/>
  <c r="CP106" i="26"/>
  <c r="BL62" i="41"/>
  <c r="CP15" i="26"/>
  <c r="CP40" i="26" s="1"/>
  <c r="BF72" i="36"/>
  <c r="AW15" i="39"/>
  <c r="AW40" i="39" s="1"/>
  <c r="AW109" i="39" s="1"/>
  <c r="DE106" i="26"/>
  <c r="AS84" i="38"/>
  <c r="BF72" i="37"/>
  <c r="DA84" i="38"/>
  <c r="DA109" i="38" s="1"/>
  <c r="Y15" i="36"/>
  <c r="Y40" i="36" s="1"/>
  <c r="BL25" i="25"/>
  <c r="CS84" i="25"/>
  <c r="AV84" i="26"/>
  <c r="CX106" i="36"/>
  <c r="DA84" i="41"/>
  <c r="Q99" i="38"/>
  <c r="Q104" i="40"/>
  <c r="CW15" i="38"/>
  <c r="CW40" i="38" s="1"/>
  <c r="AY84" i="25"/>
  <c r="AY109" i="25" s="1"/>
  <c r="J84" i="36"/>
  <c r="J109" i="36" s="1"/>
  <c r="BA15" i="36"/>
  <c r="BA40" i="36" s="1"/>
  <c r="BY15" i="26"/>
  <c r="BY40" i="26" s="1"/>
  <c r="AF84" i="26"/>
  <c r="AF95" i="26" s="1"/>
  <c r="AU84" i="38"/>
  <c r="BL66" i="26"/>
  <c r="DE84" i="38"/>
  <c r="P84" i="41"/>
  <c r="DH38" i="26"/>
  <c r="BX15" i="38"/>
  <c r="BX40" i="38" s="1"/>
  <c r="BR106" i="40"/>
  <c r="Q68" i="37"/>
  <c r="BF46" i="38"/>
  <c r="CC106" i="41"/>
  <c r="CH106" i="38"/>
  <c r="Q22" i="40"/>
  <c r="CT15" i="1"/>
  <c r="CT40" i="1" s="1"/>
  <c r="CT109" i="1" s="1"/>
  <c r="CO106" i="26"/>
  <c r="BX106" i="39"/>
  <c r="BJ51" i="41"/>
  <c r="CQ84" i="39"/>
  <c r="CT84" i="26"/>
  <c r="CT109" i="26" s="1"/>
  <c r="CU84" i="36"/>
  <c r="BF31" i="26"/>
  <c r="DA40" i="40"/>
  <c r="AJ106" i="1"/>
  <c r="BL26" i="38"/>
  <c r="Q68" i="25"/>
  <c r="AE84" i="37"/>
  <c r="BC84" i="26"/>
  <c r="Q51" i="38"/>
  <c r="G84" i="38"/>
  <c r="AI84" i="38"/>
  <c r="DH68" i="36"/>
  <c r="BJ19" i="36"/>
  <c r="CB106" i="40"/>
  <c r="CN84" i="1"/>
  <c r="CN109" i="1" s="1"/>
  <c r="CV84" i="39"/>
  <c r="AT15" i="41"/>
  <c r="AT40" i="41" s="1"/>
  <c r="K106" i="25"/>
  <c r="BX15" i="41"/>
  <c r="BX40" i="41" s="1"/>
  <c r="BX109" i="41" s="1"/>
  <c r="H84" i="41"/>
  <c r="P15" i="41"/>
  <c r="P40" i="41" s="1"/>
  <c r="BW84" i="1"/>
  <c r="P106" i="26"/>
  <c r="CP106" i="25"/>
  <c r="CZ84" i="25"/>
  <c r="BF19" i="39"/>
  <c r="BX106" i="37"/>
  <c r="AA106" i="26"/>
  <c r="CK106" i="26"/>
  <c r="AN15" i="38"/>
  <c r="AN40" i="38" s="1"/>
  <c r="Z84" i="40"/>
  <c r="CW106" i="39"/>
  <c r="CC106" i="39"/>
  <c r="X84" i="41"/>
  <c r="CV106" i="36"/>
  <c r="Q38" i="38"/>
  <c r="AK35" i="25"/>
  <c r="DF15" i="37"/>
  <c r="DF40" i="37" s="1"/>
  <c r="DF109" i="37" s="1"/>
  <c r="CV40" i="41"/>
  <c r="Y15" i="40"/>
  <c r="Y40" i="40" s="1"/>
  <c r="CS15" i="26"/>
  <c r="CS40" i="26" s="1"/>
  <c r="CS109" i="26" s="1"/>
  <c r="BA84" i="26"/>
  <c r="BL29" i="40"/>
  <c r="DH31" i="39"/>
  <c r="H106" i="38"/>
  <c r="AY84" i="1"/>
  <c r="BJ22" i="41"/>
  <c r="BF31" i="25"/>
  <c r="BD15" i="25"/>
  <c r="BS84" i="26"/>
  <c r="CZ84" i="36"/>
  <c r="CZ109" i="36" s="1"/>
  <c r="G106" i="37"/>
  <c r="Q93" i="37"/>
  <c r="DD106" i="25"/>
  <c r="BX15" i="25"/>
  <c r="BX40" i="25" s="1"/>
  <c r="CI15" i="41"/>
  <c r="CI40" i="41" s="1"/>
  <c r="CI109" i="41" s="1"/>
  <c r="Q104" i="1"/>
  <c r="M84" i="1"/>
  <c r="BF76" i="41"/>
  <c r="M15" i="25"/>
  <c r="M40" i="25" s="1"/>
  <c r="AO15" i="40"/>
  <c r="AO40" i="40" s="1"/>
  <c r="Q72" i="38"/>
  <c r="BZ106" i="38"/>
  <c r="CQ84" i="25"/>
  <c r="BT15" i="40"/>
  <c r="BT40" i="40" s="1"/>
  <c r="BF63" i="39"/>
  <c r="O32" i="37"/>
  <c r="O40" i="37" s="1"/>
  <c r="BF76" i="36"/>
  <c r="BZ106" i="36"/>
  <c r="AW106" i="37"/>
  <c r="CI84" i="25"/>
  <c r="Y15" i="37"/>
  <c r="CW84" i="1"/>
  <c r="CQ106" i="39"/>
  <c r="BL26" i="1"/>
  <c r="AC84" i="26"/>
  <c r="S32" i="25"/>
  <c r="CI106" i="26"/>
  <c r="CI109" i="26" s="1"/>
  <c r="AG84" i="38"/>
  <c r="AC84" i="25"/>
  <c r="Q14" i="25"/>
  <c r="CG40" i="26"/>
  <c r="CJ84" i="25"/>
  <c r="CB84" i="37"/>
  <c r="CB109" i="37" s="1"/>
  <c r="M255" i="46"/>
  <c r="M369" i="46" s="1"/>
  <c r="M359" i="46"/>
  <c r="AK68" i="37"/>
  <c r="AR106" i="1"/>
  <c r="BL58" i="25"/>
  <c r="BJ11" i="1"/>
  <c r="AT84" i="39"/>
  <c r="CQ84" i="37"/>
  <c r="AK22" i="39"/>
  <c r="AK19" i="38"/>
  <c r="J106" i="39"/>
  <c r="BL13" i="41"/>
  <c r="BF38" i="41"/>
  <c r="CT84" i="25"/>
  <c r="BE32" i="1"/>
  <c r="BE40" i="1" s="1"/>
  <c r="BH15" i="37"/>
  <c r="BJ14" i="37"/>
  <c r="BF22" i="39"/>
  <c r="P15" i="40"/>
  <c r="P40" i="40" s="1"/>
  <c r="P109" i="40" s="1"/>
  <c r="CX40" i="26"/>
  <c r="AM32" i="36"/>
  <c r="AD15" i="37"/>
  <c r="AD40" i="37" s="1"/>
  <c r="BL18" i="26"/>
  <c r="BR32" i="41"/>
  <c r="AN106" i="1"/>
  <c r="BF51" i="1"/>
  <c r="AM84" i="1"/>
  <c r="AQ84" i="26"/>
  <c r="BL67" i="36"/>
  <c r="CF15" i="36"/>
  <c r="CF40" i="36" s="1"/>
  <c r="CF84" i="41"/>
  <c r="DH28" i="25"/>
  <c r="AN84" i="25"/>
  <c r="BC84" i="40"/>
  <c r="I106" i="37"/>
  <c r="Q63" i="40"/>
  <c r="DH72" i="39"/>
  <c r="CV106" i="40"/>
  <c r="DH51" i="25"/>
  <c r="BZ84" i="25"/>
  <c r="CK84" i="26"/>
  <c r="G84" i="1"/>
  <c r="Q51" i="1"/>
  <c r="S106" i="25"/>
  <c r="AX84" i="39"/>
  <c r="DH76" i="1"/>
  <c r="DH22" i="40"/>
  <c r="AS40" i="39"/>
  <c r="CB40" i="1"/>
  <c r="AW40" i="37"/>
  <c r="CD15" i="1"/>
  <c r="CD40" i="1" s="1"/>
  <c r="BF35" i="39"/>
  <c r="BF32" i="38"/>
  <c r="AK31" i="26"/>
  <c r="DH51" i="39"/>
  <c r="CY84" i="39"/>
  <c r="CT40" i="41"/>
  <c r="CT109" i="41" s="1"/>
  <c r="K40" i="25"/>
  <c r="AJ40" i="39"/>
  <c r="AJ44" i="39" s="1"/>
  <c r="AK68" i="38"/>
  <c r="AK19" i="40"/>
  <c r="AG95" i="25"/>
  <c r="AF40" i="36"/>
  <c r="DH31" i="38"/>
  <c r="CP84" i="26"/>
  <c r="AR40" i="36"/>
  <c r="BY106" i="41"/>
  <c r="AQ50" i="60"/>
  <c r="DB40" i="1"/>
  <c r="DB109" i="1" s="1"/>
  <c r="AR15" i="1"/>
  <c r="AR40" i="1" s="1"/>
  <c r="AT84" i="26"/>
  <c r="Q99" i="39"/>
  <c r="CJ84" i="1"/>
  <c r="AA84" i="37"/>
  <c r="BZ84" i="41"/>
  <c r="BZ109" i="41" s="1"/>
  <c r="AM15" i="37"/>
  <c r="BF14" i="37"/>
  <c r="BJ31" i="37"/>
  <c r="DH22" i="36"/>
  <c r="BA40" i="26"/>
  <c r="Q68" i="38"/>
  <c r="I40" i="37"/>
  <c r="BF19" i="41"/>
  <c r="Q104" i="26"/>
  <c r="Q82" i="1"/>
  <c r="BW40" i="38"/>
  <c r="BW109" i="38" s="1"/>
  <c r="AA15" i="26"/>
  <c r="AA40" i="26" s="1"/>
  <c r="Q38" i="40"/>
  <c r="Q63" i="25"/>
  <c r="BL63" i="25" s="1"/>
  <c r="BZ109" i="37"/>
  <c r="CO40" i="41"/>
  <c r="AF84" i="36"/>
  <c r="N106" i="36"/>
  <c r="BF76" i="37"/>
  <c r="AR84" i="39"/>
  <c r="AW84" i="38"/>
  <c r="DH31" i="40"/>
  <c r="CJ40" i="40"/>
  <c r="CJ109" i="40" s="1"/>
  <c r="AK63" i="38"/>
  <c r="DC106" i="25"/>
  <c r="AK38" i="26"/>
  <c r="CN15" i="39"/>
  <c r="CN40" i="39" s="1"/>
  <c r="M40" i="1"/>
  <c r="CJ84" i="39"/>
  <c r="AZ106" i="37"/>
  <c r="BH32" i="1"/>
  <c r="BJ32" i="1" s="1"/>
  <c r="BJ28" i="1"/>
  <c r="BV40" i="26"/>
  <c r="BV109" i="26" s="1"/>
  <c r="CY84" i="36"/>
  <c r="DH63" i="36"/>
  <c r="BF22" i="37"/>
  <c r="DH35" i="41"/>
  <c r="AS84" i="41"/>
  <c r="CC106" i="25"/>
  <c r="BL12" i="37"/>
  <c r="BH15" i="1"/>
  <c r="BJ14" i="1"/>
  <c r="AG84" i="40"/>
  <c r="DD84" i="25"/>
  <c r="Q31" i="37"/>
  <c r="CA84" i="36"/>
  <c r="BJ28" i="37"/>
  <c r="DH19" i="26"/>
  <c r="BL27" i="36"/>
  <c r="K84" i="1"/>
  <c r="AK22" i="41"/>
  <c r="O84" i="36"/>
  <c r="CM106" i="1"/>
  <c r="AK31" i="39"/>
  <c r="BL27" i="38"/>
  <c r="CF15" i="41"/>
  <c r="CF40" i="41" s="1"/>
  <c r="BD84" i="40"/>
  <c r="N106" i="41"/>
  <c r="BD84" i="25"/>
  <c r="DB84" i="41"/>
  <c r="BV40" i="38"/>
  <c r="AW106" i="38"/>
  <c r="BD40" i="38"/>
  <c r="BD109" i="38" s="1"/>
  <c r="BC84" i="36"/>
  <c r="L84" i="36"/>
  <c r="AK28" i="36"/>
  <c r="CR15" i="36"/>
  <c r="CR40" i="36" s="1"/>
  <c r="CR109" i="36" s="1"/>
  <c r="CJ40" i="26"/>
  <c r="CJ109" i="26" s="1"/>
  <c r="K40" i="41"/>
  <c r="BL58" i="1"/>
  <c r="CC84" i="41"/>
  <c r="CE84" i="25"/>
  <c r="CE106" i="41"/>
  <c r="AZ40" i="36"/>
  <c r="J40" i="26"/>
  <c r="AC84" i="1"/>
  <c r="CV32" i="1"/>
  <c r="CV40" i="1" s="1"/>
  <c r="DA15" i="26"/>
  <c r="DA40" i="26" s="1"/>
  <c r="AZ106" i="40"/>
  <c r="CZ40" i="38"/>
  <c r="DH38" i="37"/>
  <c r="I106" i="36"/>
  <c r="CJ84" i="36"/>
  <c r="CL40" i="25"/>
  <c r="BL26" i="25"/>
  <c r="BJ51" i="40"/>
  <c r="P40" i="36"/>
  <c r="BL59" i="26"/>
  <c r="X84" i="40"/>
  <c r="BJ76" i="39"/>
  <c r="AK14" i="36"/>
  <c r="AB106" i="39"/>
  <c r="BL79" i="38"/>
  <c r="DH38" i="40"/>
  <c r="S106" i="1"/>
  <c r="AY40" i="26"/>
  <c r="AG84" i="26"/>
  <c r="AG95" i="26" s="1"/>
  <c r="CM40" i="26"/>
  <c r="BL34" i="40"/>
  <c r="AM15" i="41"/>
  <c r="CB15" i="26"/>
  <c r="AK28" i="26"/>
  <c r="AQ40" i="37"/>
  <c r="BX84" i="38"/>
  <c r="CW84" i="36"/>
  <c r="AG84" i="36"/>
  <c r="CQ106" i="40"/>
  <c r="DH76" i="26"/>
  <c r="CO15" i="1"/>
  <c r="CO40" i="1" s="1"/>
  <c r="X84" i="26"/>
  <c r="BF93" i="1"/>
  <c r="AM106" i="1"/>
  <c r="I84" i="26"/>
  <c r="BL24" i="38"/>
  <c r="BX106" i="25"/>
  <c r="DH22" i="26"/>
  <c r="AK14" i="39"/>
  <c r="AK31" i="1"/>
  <c r="AE84" i="41"/>
  <c r="AJ106" i="36"/>
  <c r="BB40" i="39"/>
  <c r="AO15" i="26"/>
  <c r="AO40" i="26" s="1"/>
  <c r="AO84" i="36"/>
  <c r="AC106" i="36"/>
  <c r="CX40" i="36"/>
  <c r="CX109" i="36" s="1"/>
  <c r="CB84" i="36"/>
  <c r="BL89" i="1"/>
  <c r="BY84" i="26"/>
  <c r="BB84" i="37"/>
  <c r="J255" i="46"/>
  <c r="J369" i="46" s="1"/>
  <c r="J359" i="46"/>
  <c r="BT40" i="26"/>
  <c r="CO84" i="26"/>
  <c r="CU84" i="37"/>
  <c r="CB84" i="39"/>
  <c r="CW106" i="40"/>
  <c r="DH38" i="41"/>
  <c r="DH72" i="40"/>
  <c r="AK22" i="25"/>
  <c r="DD15" i="25"/>
  <c r="DD40" i="25" s="1"/>
  <c r="AX15" i="38"/>
  <c r="AX40" i="38" s="1"/>
  <c r="AX109" i="38" s="1"/>
  <c r="BR84" i="25"/>
  <c r="BE84" i="1"/>
  <c r="AK63" i="41"/>
  <c r="I255" i="46"/>
  <c r="I369" i="46" s="1"/>
  <c r="I379" i="46" s="1"/>
  <c r="I359" i="46"/>
  <c r="CK40" i="1"/>
  <c r="CK109" i="1" s="1"/>
  <c r="BF14" i="38"/>
  <c r="AM15" i="38"/>
  <c r="L84" i="41"/>
  <c r="BB106" i="39"/>
  <c r="AS15" i="36"/>
  <c r="AS40" i="36" s="1"/>
  <c r="X84" i="25"/>
  <c r="AP15" i="38"/>
  <c r="AP40" i="38" s="1"/>
  <c r="DH72" i="41"/>
  <c r="M84" i="25"/>
  <c r="BL17" i="40"/>
  <c r="CY32" i="39"/>
  <c r="DH51" i="38"/>
  <c r="BJ35" i="25"/>
  <c r="BE40" i="41"/>
  <c r="BE95" i="41" s="1"/>
  <c r="BF95" i="41" s="1"/>
  <c r="DF106" i="39"/>
  <c r="BT84" i="40"/>
  <c r="BL17" i="36"/>
  <c r="CS106" i="40"/>
  <c r="CE106" i="39"/>
  <c r="CC84" i="25"/>
  <c r="CX106" i="38"/>
  <c r="CX109" i="38" s="1"/>
  <c r="CG84" i="38"/>
  <c r="CG109" i="38" s="1"/>
  <c r="CS40" i="25"/>
  <c r="AN106" i="26"/>
  <c r="L106" i="26"/>
  <c r="BJ31" i="41"/>
  <c r="H40" i="36"/>
  <c r="K106" i="41"/>
  <c r="AU84" i="26"/>
  <c r="BJ51" i="1"/>
  <c r="BR84" i="41"/>
  <c r="CM106" i="25"/>
  <c r="BJ46" i="1"/>
  <c r="AK31" i="36"/>
  <c r="J84" i="25"/>
  <c r="BE106" i="26"/>
  <c r="BL79" i="25"/>
  <c r="AF15" i="39"/>
  <c r="AF40" i="39" s="1"/>
  <c r="AF95" i="39" s="1"/>
  <c r="BS106" i="41"/>
  <c r="CO15" i="38"/>
  <c r="CO40" i="38" s="1"/>
  <c r="CO109" i="38" s="1"/>
  <c r="AA15" i="36"/>
  <c r="AA40" i="36" s="1"/>
  <c r="CL40" i="37"/>
  <c r="AK31" i="37"/>
  <c r="CW84" i="38"/>
  <c r="L106" i="25"/>
  <c r="CF84" i="25"/>
  <c r="CF109" i="25" s="1"/>
  <c r="BL67" i="41"/>
  <c r="AR40" i="38"/>
  <c r="AW40" i="1"/>
  <c r="AP84" i="37"/>
  <c r="AY106" i="41"/>
  <c r="BE84" i="25"/>
  <c r="BV15" i="39"/>
  <c r="BV40" i="39" s="1"/>
  <c r="BV109" i="39" s="1"/>
  <c r="CH84" i="40"/>
  <c r="BU40" i="26"/>
  <c r="CH106" i="41"/>
  <c r="CY15" i="1"/>
  <c r="CY40" i="1" s="1"/>
  <c r="CK84" i="39"/>
  <c r="Q51" i="39"/>
  <c r="G84" i="39"/>
  <c r="BL57" i="39"/>
  <c r="BU40" i="36"/>
  <c r="H15" i="37"/>
  <c r="H40" i="37" s="1"/>
  <c r="H109" i="37" s="1"/>
  <c r="DH51" i="26"/>
  <c r="BJ22" i="25"/>
  <c r="BR106" i="37"/>
  <c r="CC15" i="36"/>
  <c r="CC40" i="36" s="1"/>
  <c r="DC32" i="26"/>
  <c r="DC40" i="26" s="1"/>
  <c r="BJ35" i="39"/>
  <c r="BW84" i="25"/>
  <c r="AK76" i="41"/>
  <c r="BF38" i="38"/>
  <c r="BF72" i="25"/>
  <c r="BL37" i="41"/>
  <c r="Z84" i="36"/>
  <c r="P106" i="39"/>
  <c r="P109" i="39" s="1"/>
  <c r="BL24" i="39"/>
  <c r="CH84" i="26"/>
  <c r="AK19" i="26"/>
  <c r="BY84" i="39"/>
  <c r="BH32" i="37"/>
  <c r="BJ32" i="37" s="1"/>
  <c r="AR84" i="36"/>
  <c r="BL66" i="38"/>
  <c r="Q76" i="36"/>
  <c r="AW106" i="1"/>
  <c r="DE15" i="37"/>
  <c r="CF84" i="1"/>
  <c r="BF82" i="1"/>
  <c r="AV40" i="37"/>
  <c r="AV109" i="37" s="1"/>
  <c r="BL59" i="37"/>
  <c r="BC84" i="37"/>
  <c r="BO32" i="38"/>
  <c r="DH32" i="38" s="1"/>
  <c r="CR15" i="25"/>
  <c r="CR40" i="25" s="1"/>
  <c r="CR109" i="25" s="1"/>
  <c r="DD106" i="37"/>
  <c r="CE15" i="40"/>
  <c r="CE40" i="40" s="1"/>
  <c r="DH19" i="39"/>
  <c r="CF106" i="37"/>
  <c r="AT15" i="1"/>
  <c r="AT40" i="1" s="1"/>
  <c r="BL24" i="37"/>
  <c r="BZ15" i="40"/>
  <c r="BZ40" i="40" s="1"/>
  <c r="BZ109" i="40" s="1"/>
  <c r="AK28" i="39"/>
  <c r="BF38" i="40"/>
  <c r="CC106" i="40"/>
  <c r="CA40" i="38"/>
  <c r="BL25" i="41"/>
  <c r="L15" i="36"/>
  <c r="L40" i="36" s="1"/>
  <c r="DE84" i="26"/>
  <c r="BF76" i="26"/>
  <c r="BJ38" i="40"/>
  <c r="BS40" i="26"/>
  <c r="AZ40" i="38"/>
  <c r="AT84" i="41"/>
  <c r="AA106" i="38"/>
  <c r="G32" i="41"/>
  <c r="I84" i="37"/>
  <c r="CZ106" i="38"/>
  <c r="BD15" i="41"/>
  <c r="BD40" i="41" s="1"/>
  <c r="AZ84" i="40"/>
  <c r="BF55" i="26"/>
  <c r="H84" i="38"/>
  <c r="BJ51" i="26"/>
  <c r="CJ106" i="38"/>
  <c r="BJ19" i="41"/>
  <c r="BJ14" i="26"/>
  <c r="BH15" i="26"/>
  <c r="Q19" i="41"/>
  <c r="BL37" i="39"/>
  <c r="CL84" i="36"/>
  <c r="Q55" i="37"/>
  <c r="CZ84" i="41"/>
  <c r="AQ15" i="40"/>
  <c r="AQ40" i="40" s="1"/>
  <c r="Q14" i="40"/>
  <c r="L84" i="40"/>
  <c r="AJ15" i="40"/>
  <c r="AJ40" i="40" s="1"/>
  <c r="AJ44" i="40" s="1"/>
  <c r="AN84" i="37"/>
  <c r="AN109" i="37" s="1"/>
  <c r="DA106" i="25"/>
  <c r="CB32" i="26"/>
  <c r="AK28" i="40"/>
  <c r="BL28" i="40" s="1"/>
  <c r="AZ84" i="26"/>
  <c r="BF55" i="37"/>
  <c r="AK31" i="25"/>
  <c r="Q99" i="36"/>
  <c r="DH63" i="37"/>
  <c r="CF84" i="37"/>
  <c r="CG106" i="37"/>
  <c r="CA106" i="38"/>
  <c r="BL50" i="26"/>
  <c r="AK68" i="1"/>
  <c r="BL62" i="39"/>
  <c r="BB106" i="40"/>
  <c r="CO84" i="1"/>
  <c r="CA15" i="36"/>
  <c r="CA40" i="36" s="1"/>
  <c r="K280" i="46"/>
  <c r="AE84" i="36"/>
  <c r="AM32" i="41"/>
  <c r="BT84" i="41"/>
  <c r="CY40" i="38"/>
  <c r="CO106" i="40"/>
  <c r="AK38" i="1"/>
  <c r="S106" i="40"/>
  <c r="CL15" i="39"/>
  <c r="CL40" i="39" s="1"/>
  <c r="CC15" i="1"/>
  <c r="CC40" i="1" s="1"/>
  <c r="Q31" i="26"/>
  <c r="AK51" i="26"/>
  <c r="CK84" i="38"/>
  <c r="BF68" i="38"/>
  <c r="DC15" i="38"/>
  <c r="DC40" i="38" s="1"/>
  <c r="DC109" i="38" s="1"/>
  <c r="BT106" i="1"/>
  <c r="AY40" i="39"/>
  <c r="CV15" i="36"/>
  <c r="CV40" i="36" s="1"/>
  <c r="AZ84" i="41"/>
  <c r="CG15" i="1"/>
  <c r="CG40" i="1" s="1"/>
  <c r="S106" i="36"/>
  <c r="AP84" i="40"/>
  <c r="CX84" i="41"/>
  <c r="CX109" i="41" s="1"/>
  <c r="AK35" i="1"/>
  <c r="BB106" i="26"/>
  <c r="BF93" i="38"/>
  <c r="L15" i="38"/>
  <c r="L40" i="38" s="1"/>
  <c r="BF22" i="41"/>
  <c r="Q63" i="38"/>
  <c r="DA106" i="26"/>
  <c r="BL65" i="1"/>
  <c r="DH22" i="37"/>
  <c r="AE15" i="40"/>
  <c r="AE40" i="40" s="1"/>
  <c r="AY106" i="1"/>
  <c r="DH19" i="38"/>
  <c r="BF68" i="1"/>
  <c r="CL106" i="25"/>
  <c r="BB32" i="26"/>
  <c r="BB40" i="26" s="1"/>
  <c r="AS15" i="26"/>
  <c r="AS40" i="26" s="1"/>
  <c r="DH35" i="38"/>
  <c r="Q99" i="37"/>
  <c r="DH72" i="37"/>
  <c r="BB15" i="41"/>
  <c r="BB40" i="41" s="1"/>
  <c r="AH84" i="36"/>
  <c r="AH95" i="36" s="1"/>
  <c r="BL18" i="40"/>
  <c r="AO106" i="39"/>
  <c r="CK15" i="39"/>
  <c r="CK40" i="39" s="1"/>
  <c r="BU106" i="25"/>
  <c r="AK51" i="36"/>
  <c r="CO84" i="36"/>
  <c r="AH40" i="41"/>
  <c r="AN106" i="36"/>
  <c r="AV40" i="36"/>
  <c r="AZ106" i="38"/>
  <c r="AI84" i="36"/>
  <c r="BR15" i="26"/>
  <c r="BR40" i="26" s="1"/>
  <c r="X84" i="38"/>
  <c r="BW84" i="39"/>
  <c r="BC106" i="25"/>
  <c r="BL12" i="39"/>
  <c r="BL60" i="26"/>
  <c r="AU84" i="40"/>
  <c r="AW106" i="25"/>
  <c r="DC84" i="40"/>
  <c r="I106" i="1"/>
  <c r="AO15" i="1"/>
  <c r="AO40" i="1" s="1"/>
  <c r="CR84" i="41"/>
  <c r="BF22" i="25"/>
  <c r="H106" i="36"/>
  <c r="DF84" i="41"/>
  <c r="DF109" i="41" s="1"/>
  <c r="AK76" i="39"/>
  <c r="BL65" i="37"/>
  <c r="DB106" i="39"/>
  <c r="AD84" i="39"/>
  <c r="CL106" i="1"/>
  <c r="J84" i="37"/>
  <c r="AY84" i="38"/>
  <c r="AN84" i="39"/>
  <c r="AN109" i="39" s="1"/>
  <c r="BL21" i="40"/>
  <c r="BV84" i="40"/>
  <c r="CF106" i="39"/>
  <c r="DA84" i="39"/>
  <c r="AY84" i="39"/>
  <c r="BO32" i="40"/>
  <c r="BJ51" i="38"/>
  <c r="BS84" i="39"/>
  <c r="BL30" i="38"/>
  <c r="Q28" i="38"/>
  <c r="G760" i="4"/>
  <c r="G765" i="4" s="1" a="1"/>
  <c r="G1252" i="4"/>
  <c r="CR32" i="39"/>
  <c r="CR40" i="39" s="1"/>
  <c r="DH22" i="41"/>
  <c r="AW15" i="40"/>
  <c r="AW40" i="40" s="1"/>
  <c r="BL60" i="1"/>
  <c r="AR15" i="37"/>
  <c r="AR40" i="37" s="1"/>
  <c r="DH76" i="38"/>
  <c r="AB106" i="36"/>
  <c r="O84" i="41"/>
  <c r="O109" i="41" s="1"/>
  <c r="BJ11" i="37"/>
  <c r="DD40" i="38"/>
  <c r="DD109" i="38" s="1"/>
  <c r="BF22" i="36"/>
  <c r="BL75" i="41"/>
  <c r="BB84" i="39"/>
  <c r="BE15" i="36"/>
  <c r="BE40" i="36" s="1"/>
  <c r="BE95" i="36" s="1"/>
  <c r="BF95" i="36" s="1"/>
  <c r="AK63" i="40"/>
  <c r="DF15" i="26"/>
  <c r="DF40" i="26" s="1"/>
  <c r="DF109" i="26" s="1"/>
  <c r="AU84" i="36"/>
  <c r="CJ106" i="36"/>
  <c r="CX106" i="37"/>
  <c r="CF84" i="39"/>
  <c r="BA84" i="1"/>
  <c r="AR49" i="60"/>
  <c r="AI84" i="1"/>
  <c r="CK84" i="25"/>
  <c r="CE106" i="40"/>
  <c r="CT84" i="37"/>
  <c r="BL34" i="38"/>
  <c r="BL57" i="41"/>
  <c r="CR15" i="40"/>
  <c r="CR40" i="40" s="1"/>
  <c r="CK106" i="37"/>
  <c r="Q55" i="26"/>
  <c r="DH76" i="36"/>
  <c r="BL58" i="37"/>
  <c r="DC15" i="37"/>
  <c r="DC40" i="37" s="1"/>
  <c r="DC109" i="37" s="1"/>
  <c r="CL84" i="39"/>
  <c r="AK76" i="25"/>
  <c r="DF15" i="36"/>
  <c r="DF40" i="36" s="1"/>
  <c r="CE15" i="36"/>
  <c r="CE40" i="36" s="1"/>
  <c r="CE109" i="36" s="1"/>
  <c r="CD15" i="39"/>
  <c r="CD40" i="39" s="1"/>
  <c r="DE106" i="37"/>
  <c r="AC106" i="39"/>
  <c r="AJ106" i="39"/>
  <c r="Q31" i="40"/>
  <c r="AE15" i="1"/>
  <c r="AE40" i="1" s="1"/>
  <c r="AE95" i="1" s="1"/>
  <c r="BF14" i="41"/>
  <c r="DH72" i="25"/>
  <c r="BD32" i="26"/>
  <c r="BD40" i="26" s="1"/>
  <c r="BD109" i="26" s="1"/>
  <c r="AI106" i="39"/>
  <c r="BS84" i="38"/>
  <c r="BS109" i="38" s="1"/>
  <c r="J84" i="39"/>
  <c r="BL75" i="37"/>
  <c r="CF106" i="26"/>
  <c r="CF109" i="26" s="1"/>
  <c r="DD106" i="26"/>
  <c r="AM15" i="1"/>
  <c r="BF14" i="1"/>
  <c r="CH106" i="39"/>
  <c r="CD106" i="1"/>
  <c r="CM106" i="40"/>
  <c r="CM109" i="40" s="1"/>
  <c r="BL89" i="37"/>
  <c r="BL24" i="1"/>
  <c r="AK68" i="36"/>
  <c r="BL12" i="1"/>
  <c r="BL57" i="26"/>
  <c r="CV84" i="41"/>
  <c r="AT84" i="37"/>
  <c r="AJ15" i="26"/>
  <c r="AJ40" i="26" s="1"/>
  <c r="AJ44" i="26" s="1"/>
  <c r="AV106" i="36"/>
  <c r="CR15" i="26"/>
  <c r="CR40" i="26" s="1"/>
  <c r="H255" i="46"/>
  <c r="H369" i="46" s="1"/>
  <c r="H359" i="46"/>
  <c r="AP15" i="26"/>
  <c r="AP40" i="26" s="1"/>
  <c r="BI15" i="40"/>
  <c r="BI40" i="40" s="1"/>
  <c r="DC84" i="25"/>
  <c r="AA84" i="38"/>
  <c r="AA109" i="38" s="1"/>
  <c r="DA106" i="37"/>
  <c r="CY15" i="25"/>
  <c r="CY40" i="25" s="1"/>
  <c r="CS32" i="39"/>
  <c r="CS40" i="39" s="1"/>
  <c r="AG84" i="41"/>
  <c r="CC15" i="41"/>
  <c r="CC40" i="41" s="1"/>
  <c r="CC109" i="41" s="1"/>
  <c r="BL12" i="25"/>
  <c r="X15" i="39"/>
  <c r="X40" i="39" s="1"/>
  <c r="DH35" i="37"/>
  <c r="BF68" i="37"/>
  <c r="BD84" i="1"/>
  <c r="BL29" i="39"/>
  <c r="CR84" i="26"/>
  <c r="CB15" i="40"/>
  <c r="CB40" i="40" s="1"/>
  <c r="CB109" i="40" s="1"/>
  <c r="BD84" i="41"/>
  <c r="K15" i="37"/>
  <c r="K40" i="37" s="1"/>
  <c r="K109" i="37" s="1"/>
  <c r="BJ14" i="36"/>
  <c r="BH15" i="36"/>
  <c r="BF19" i="40"/>
  <c r="BL19" i="40" s="1"/>
  <c r="BE15" i="25"/>
  <c r="BE40" i="25" s="1"/>
  <c r="AT84" i="36"/>
  <c r="H84" i="25"/>
  <c r="H109" i="25" s="1"/>
  <c r="BF93" i="41"/>
  <c r="AM106" i="41"/>
  <c r="Q46" i="25"/>
  <c r="AF15" i="41"/>
  <c r="AF40" i="41" s="1"/>
  <c r="AF95" i="41" s="1"/>
  <c r="Y15" i="26"/>
  <c r="Y40" i="26" s="1"/>
  <c r="CI84" i="1"/>
  <c r="K15" i="39"/>
  <c r="K40" i="39" s="1"/>
  <c r="AH84" i="41"/>
  <c r="BL58" i="41"/>
  <c r="BF63" i="37"/>
  <c r="AQ15" i="25"/>
  <c r="AQ40" i="25" s="1"/>
  <c r="J1252" i="4"/>
  <c r="J760" i="4"/>
  <c r="J765" i="4" s="1" a="1"/>
  <c r="BR106" i="26"/>
  <c r="DB106" i="25"/>
  <c r="DB109" i="25" s="1"/>
  <c r="CT106" i="40"/>
  <c r="DH31" i="25"/>
  <c r="M32" i="38"/>
  <c r="BS106" i="1"/>
  <c r="BS109" i="1" s="1"/>
  <c r="CN15" i="37"/>
  <c r="CN40" i="37" s="1"/>
  <c r="BL57" i="40"/>
  <c r="CW106" i="1"/>
  <c r="BD106" i="40"/>
  <c r="J84" i="26"/>
  <c r="K84" i="25"/>
  <c r="K109" i="25" s="1"/>
  <c r="CI106" i="25"/>
  <c r="AK51" i="39"/>
  <c r="BH15" i="25"/>
  <c r="BJ14" i="25"/>
  <c r="CY84" i="25"/>
  <c r="BI40" i="37"/>
  <c r="CW40" i="37"/>
  <c r="AT40" i="40"/>
  <c r="DE109" i="1"/>
  <c r="AH40" i="26"/>
  <c r="AH95" i="26" s="1"/>
  <c r="BF63" i="1"/>
  <c r="S106" i="37"/>
  <c r="I109" i="41"/>
  <c r="CW84" i="41"/>
  <c r="AK68" i="41"/>
  <c r="DH35" i="40"/>
  <c r="BF19" i="36"/>
  <c r="CU106" i="36"/>
  <c r="DH51" i="41"/>
  <c r="DH76" i="40"/>
  <c r="AZ84" i="39"/>
  <c r="Z15" i="41"/>
  <c r="Z40" i="41" s="1"/>
  <c r="AD84" i="40"/>
  <c r="AD95" i="40" s="1"/>
  <c r="BF31" i="41"/>
  <c r="BF55" i="40"/>
  <c r="BF76" i="38"/>
  <c r="DH31" i="41"/>
  <c r="AR84" i="1"/>
  <c r="L84" i="37"/>
  <c r="J40" i="38"/>
  <c r="J109" i="38" s="1"/>
  <c r="P40" i="37"/>
  <c r="AH40" i="37"/>
  <c r="AH95" i="37" s="1"/>
  <c r="AE95" i="26"/>
  <c r="AK35" i="38"/>
  <c r="BL35" i="38" s="1"/>
  <c r="CY84" i="38"/>
  <c r="CJ40" i="25"/>
  <c r="DE109" i="25"/>
  <c r="CB40" i="38"/>
  <c r="CB109" i="38" s="1"/>
  <c r="O84" i="39"/>
  <c r="DH51" i="37"/>
  <c r="CT40" i="37"/>
  <c r="DH38" i="36"/>
  <c r="BJ32" i="36"/>
  <c r="CP84" i="25"/>
  <c r="AA84" i="1"/>
  <c r="AA109" i="1" s="1"/>
  <c r="DH22" i="39"/>
  <c r="BJ14" i="39"/>
  <c r="BH15" i="39"/>
  <c r="DH38" i="38"/>
  <c r="CQ40" i="40"/>
  <c r="CQ109" i="40" s="1"/>
  <c r="AD95" i="26"/>
  <c r="I106" i="40"/>
  <c r="AF40" i="37"/>
  <c r="BL25" i="38"/>
  <c r="Q51" i="36"/>
  <c r="G84" i="36"/>
  <c r="AK35" i="26"/>
  <c r="X40" i="38"/>
  <c r="BF82" i="41"/>
  <c r="CA15" i="39"/>
  <c r="CA40" i="39" s="1"/>
  <c r="DH104" i="1"/>
  <c r="Q51" i="41"/>
  <c r="BL51" i="41" s="1"/>
  <c r="G84" i="41"/>
  <c r="AK31" i="40"/>
  <c r="CQ40" i="37"/>
  <c r="CQ109" i="37" s="1"/>
  <c r="CC40" i="38"/>
  <c r="CC109" i="38" s="1"/>
  <c r="Q19" i="1"/>
  <c r="BL19" i="1" s="1"/>
  <c r="BF38" i="25"/>
  <c r="CA84" i="41"/>
  <c r="CA109" i="41" s="1"/>
  <c r="DB40" i="39"/>
  <c r="Q68" i="40"/>
  <c r="BF82" i="39"/>
  <c r="AK51" i="38"/>
  <c r="AK19" i="41"/>
  <c r="DB84" i="40"/>
  <c r="DH68" i="1"/>
  <c r="M40" i="40"/>
  <c r="BR15" i="36"/>
  <c r="BR40" i="36" s="1"/>
  <c r="CI109" i="37"/>
  <c r="CE40" i="41"/>
  <c r="BF22" i="1"/>
  <c r="Q104" i="25"/>
  <c r="CU84" i="38"/>
  <c r="CI84" i="39"/>
  <c r="AX106" i="26"/>
  <c r="CL106" i="40"/>
  <c r="BL17" i="37"/>
  <c r="CD106" i="36"/>
  <c r="CC40" i="37"/>
  <c r="AK38" i="40"/>
  <c r="CK15" i="41"/>
  <c r="CK40" i="41" s="1"/>
  <c r="CK109" i="41" s="1"/>
  <c r="AW40" i="41"/>
  <c r="BY40" i="37"/>
  <c r="CZ106" i="26"/>
  <c r="CT84" i="39"/>
  <c r="BL30" i="25"/>
  <c r="BD84" i="37"/>
  <c r="Q14" i="37"/>
  <c r="BL14" i="37" s="1"/>
  <c r="Q104" i="39"/>
  <c r="CU40" i="1"/>
  <c r="BE84" i="36"/>
  <c r="BF55" i="39"/>
  <c r="AE40" i="37"/>
  <c r="CV15" i="25"/>
  <c r="CV40" i="25" s="1"/>
  <c r="CI15" i="36"/>
  <c r="CI40" i="36" s="1"/>
  <c r="CD84" i="1"/>
  <c r="AA84" i="39"/>
  <c r="CB106" i="39"/>
  <c r="CB109" i="39" s="1"/>
  <c r="AO106" i="41"/>
  <c r="BL66" i="39"/>
  <c r="M106" i="26"/>
  <c r="G32" i="38"/>
  <c r="Q31" i="38"/>
  <c r="AF84" i="40"/>
  <c r="BV106" i="38"/>
  <c r="CL84" i="26"/>
  <c r="DF40" i="25"/>
  <c r="AV84" i="40"/>
  <c r="AV109" i="40" s="1"/>
  <c r="AR84" i="25"/>
  <c r="BJ11" i="26"/>
  <c r="AE40" i="39"/>
  <c r="AE95" i="39" s="1"/>
  <c r="BW106" i="37"/>
  <c r="CD84" i="41"/>
  <c r="CD109" i="41" s="1"/>
  <c r="Q38" i="26"/>
  <c r="DH51" i="36"/>
  <c r="H40" i="41"/>
  <c r="H109" i="41" s="1"/>
  <c r="BW106" i="36"/>
  <c r="Q93" i="41"/>
  <c r="G106" i="41"/>
  <c r="DH76" i="37"/>
  <c r="BL18" i="41"/>
  <c r="O15" i="36"/>
  <c r="O40" i="36" s="1"/>
  <c r="AV40" i="38"/>
  <c r="AO84" i="39"/>
  <c r="AH40" i="38"/>
  <c r="AH95" i="38" s="1"/>
  <c r="CX15" i="40"/>
  <c r="CX40" i="40" s="1"/>
  <c r="CX109" i="40" s="1"/>
  <c r="CO40" i="39"/>
  <c r="CO109" i="39" s="1"/>
  <c r="H84" i="36"/>
  <c r="N84" i="41"/>
  <c r="Q46" i="38"/>
  <c r="AK14" i="25"/>
  <c r="BT40" i="36"/>
  <c r="AM106" i="38"/>
  <c r="L84" i="38"/>
  <c r="BF93" i="26"/>
  <c r="AM106" i="26"/>
  <c r="BL59" i="39"/>
  <c r="CB84" i="26"/>
  <c r="DH19" i="36"/>
  <c r="AW40" i="36"/>
  <c r="AW84" i="25"/>
  <c r="CA40" i="25"/>
  <c r="CR40" i="37"/>
  <c r="CR109" i="37" s="1"/>
  <c r="BL67" i="40"/>
  <c r="N106" i="1"/>
  <c r="CC84" i="36"/>
  <c r="AK22" i="40"/>
  <c r="CV40" i="40"/>
  <c r="AK68" i="26"/>
  <c r="AT40" i="37"/>
  <c r="K109" i="36"/>
  <c r="CC40" i="40"/>
  <c r="AG40" i="41"/>
  <c r="AG95" i="41" s="1"/>
  <c r="DD84" i="26"/>
  <c r="CI40" i="38"/>
  <c r="CY84" i="40"/>
  <c r="P84" i="26"/>
  <c r="CG40" i="37"/>
  <c r="CG109" i="37" s="1"/>
  <c r="AK38" i="36"/>
  <c r="BL38" i="36" s="1"/>
  <c r="CE84" i="40"/>
  <c r="CI106" i="36"/>
  <c r="AP40" i="1"/>
  <c r="Z40" i="37"/>
  <c r="CU84" i="41"/>
  <c r="CU109" i="41" s="1"/>
  <c r="AO84" i="1"/>
  <c r="CD40" i="40"/>
  <c r="CD109" i="40" s="1"/>
  <c r="O106" i="26"/>
  <c r="CH40" i="38"/>
  <c r="M106" i="39"/>
  <c r="BS15" i="37"/>
  <c r="BS40" i="37" s="1"/>
  <c r="BS109" i="37" s="1"/>
  <c r="S32" i="37"/>
  <c r="AK76" i="26"/>
  <c r="BF68" i="25"/>
  <c r="CA106" i="39"/>
  <c r="BL37" i="36"/>
  <c r="AV84" i="38"/>
  <c r="S106" i="38"/>
  <c r="AI106" i="36"/>
  <c r="AZ84" i="1"/>
  <c r="AZ109" i="1" s="1"/>
  <c r="BL13" i="25"/>
  <c r="G84" i="26"/>
  <c r="Q51" i="26"/>
  <c r="I84" i="39"/>
  <c r="I109" i="39" s="1"/>
  <c r="AK22" i="38"/>
  <c r="BE15" i="39"/>
  <c r="BE40" i="39" s="1"/>
  <c r="CH32" i="26"/>
  <c r="CH40" i="26" s="1"/>
  <c r="CA106" i="26"/>
  <c r="Z84" i="38"/>
  <c r="CF40" i="39"/>
  <c r="M15" i="26"/>
  <c r="M40" i="26" s="1"/>
  <c r="CB106" i="36"/>
  <c r="BC84" i="25"/>
  <c r="Q14" i="36"/>
  <c r="CI106" i="38"/>
  <c r="AR84" i="41"/>
  <c r="CG84" i="26"/>
  <c r="AE84" i="40"/>
  <c r="BY40" i="36"/>
  <c r="K106" i="39"/>
  <c r="Q19" i="36"/>
  <c r="CT40" i="40"/>
  <c r="J40" i="1"/>
  <c r="BL79" i="39"/>
  <c r="BF68" i="40"/>
  <c r="BF35" i="1"/>
  <c r="BB40" i="25"/>
  <c r="BI15" i="38"/>
  <c r="BI40" i="38" s="1"/>
  <c r="DH72" i="36"/>
  <c r="K40" i="38"/>
  <c r="K109" i="38" s="1"/>
  <c r="CG84" i="36"/>
  <c r="BT84" i="38"/>
  <c r="Q46" i="40"/>
  <c r="AD84" i="41"/>
  <c r="CY40" i="39"/>
  <c r="M40" i="39"/>
  <c r="Q82" i="25"/>
  <c r="AY84" i="40"/>
  <c r="K15" i="40"/>
  <c r="K40" i="40" s="1"/>
  <c r="CZ84" i="38"/>
  <c r="J84" i="1"/>
  <c r="J109" i="1" s="1"/>
  <c r="CO106" i="25"/>
  <c r="P40" i="38"/>
  <c r="BD40" i="40"/>
  <c r="BD109" i="40" s="1"/>
  <c r="BZ40" i="26"/>
  <c r="BZ109" i="26" s="1"/>
  <c r="K84" i="41"/>
  <c r="CN40" i="38"/>
  <c r="AN106" i="40"/>
  <c r="AN109" i="40" s="1"/>
  <c r="BJ19" i="26"/>
  <c r="BL60" i="40"/>
  <c r="BE106" i="40"/>
  <c r="BE109" i="40" s="1"/>
  <c r="CH106" i="40"/>
  <c r="AT49" i="60"/>
  <c r="BT84" i="39"/>
  <c r="BL66" i="40"/>
  <c r="BL10" i="25"/>
  <c r="BS40" i="25"/>
  <c r="BS109" i="25" s="1"/>
  <c r="BD40" i="1"/>
  <c r="BF93" i="39"/>
  <c r="AM106" i="39"/>
  <c r="S32" i="39"/>
  <c r="AK32" i="39" s="1"/>
  <c r="BL67" i="26"/>
  <c r="CL106" i="37"/>
  <c r="N106" i="37"/>
  <c r="BJ11" i="25"/>
  <c r="AF40" i="40"/>
  <c r="AK68" i="40"/>
  <c r="AV106" i="39"/>
  <c r="Q38" i="41"/>
  <c r="BL38" i="41" s="1"/>
  <c r="BL30" i="41"/>
  <c r="Q51" i="25"/>
  <c r="G84" i="25"/>
  <c r="BL66" i="1"/>
  <c r="CQ15" i="36"/>
  <c r="CQ40" i="36" s="1"/>
  <c r="AQ40" i="38"/>
  <c r="L106" i="38"/>
  <c r="BU84" i="26"/>
  <c r="O106" i="38"/>
  <c r="CN84" i="37"/>
  <c r="AP84" i="41"/>
  <c r="G84" i="40"/>
  <c r="Q51" i="40"/>
  <c r="BL29" i="36"/>
  <c r="BA106" i="26"/>
  <c r="CA84" i="40"/>
  <c r="Q99" i="25"/>
  <c r="CN84" i="40"/>
  <c r="CN109" i="40" s="1"/>
  <c r="BF63" i="41"/>
  <c r="AV84" i="1"/>
  <c r="CE15" i="38"/>
  <c r="CE40" i="38" s="1"/>
  <c r="Q46" i="1"/>
  <c r="BF46" i="41"/>
  <c r="AI106" i="37"/>
  <c r="BZ15" i="25"/>
  <c r="BZ40" i="25" s="1"/>
  <c r="BZ109" i="25" s="1"/>
  <c r="AX15" i="39"/>
  <c r="AX40" i="39" s="1"/>
  <c r="AX109" i="39" s="1"/>
  <c r="CW106" i="41"/>
  <c r="S32" i="1"/>
  <c r="AK32" i="1" s="1"/>
  <c r="AK28" i="1"/>
  <c r="DB40" i="40"/>
  <c r="DH28" i="39"/>
  <c r="DF84" i="38"/>
  <c r="Q22" i="38"/>
  <c r="BD15" i="36"/>
  <c r="BD40" i="36" s="1"/>
  <c r="AT40" i="25"/>
  <c r="Q46" i="37"/>
  <c r="AX106" i="1"/>
  <c r="BW106" i="39"/>
  <c r="BJ68" i="39"/>
  <c r="DH19" i="41"/>
  <c r="BL24" i="41"/>
  <c r="AY15" i="37"/>
  <c r="AY40" i="37" s="1"/>
  <c r="AY109" i="37" s="1"/>
  <c r="CS15" i="36"/>
  <c r="CS40" i="36" s="1"/>
  <c r="CS109" i="36" s="1"/>
  <c r="DC106" i="1"/>
  <c r="N40" i="26"/>
  <c r="AT84" i="40"/>
  <c r="Q38" i="39"/>
  <c r="BL38" i="39" s="1"/>
  <c r="Q31" i="1"/>
  <c r="BL31" i="1" s="1"/>
  <c r="N84" i="38"/>
  <c r="N109" i="38" s="1"/>
  <c r="BL12" i="40"/>
  <c r="DB106" i="41"/>
  <c r="AR84" i="37"/>
  <c r="CZ106" i="41"/>
  <c r="BY106" i="39"/>
  <c r="BJ51" i="36"/>
  <c r="BY40" i="41"/>
  <c r="BY109" i="41" s="1"/>
  <c r="BF76" i="25"/>
  <c r="BH32" i="25"/>
  <c r="BJ32" i="25" s="1"/>
  <c r="AA106" i="36"/>
  <c r="AQ84" i="25"/>
  <c r="CE15" i="39"/>
  <c r="CE40" i="39" s="1"/>
  <c r="DA84" i="40"/>
  <c r="AR106" i="37"/>
  <c r="AN84" i="38"/>
  <c r="CU106" i="38"/>
  <c r="BS106" i="26"/>
  <c r="CQ84" i="38"/>
  <c r="CS84" i="40"/>
  <c r="CY15" i="40"/>
  <c r="CY40" i="40" s="1"/>
  <c r="CL84" i="40"/>
  <c r="CL109" i="40" s="1"/>
  <c r="CX106" i="26"/>
  <c r="CE84" i="41"/>
  <c r="AP15" i="36"/>
  <c r="AP40" i="36" s="1"/>
  <c r="BR40" i="25"/>
  <c r="BR109" i="25" s="1"/>
  <c r="AK63" i="37"/>
  <c r="AC40" i="36"/>
  <c r="DD84" i="1"/>
  <c r="DD109" i="1" s="1"/>
  <c r="CH84" i="25"/>
  <c r="CH109" i="25" s="1"/>
  <c r="BU84" i="39"/>
  <c r="CE40" i="1"/>
  <c r="CE109" i="1" s="1"/>
  <c r="AD84" i="1"/>
  <c r="AD95" i="1" s="1"/>
  <c r="Q93" i="25"/>
  <c r="G106" i="25"/>
  <c r="BJ63" i="39"/>
  <c r="CJ106" i="25"/>
  <c r="CM84" i="36"/>
  <c r="CY84" i="37"/>
  <c r="CI15" i="39"/>
  <c r="P40" i="25"/>
  <c r="BU84" i="40"/>
  <c r="BU109" i="40" s="1"/>
  <c r="CM84" i="39"/>
  <c r="AO106" i="26"/>
  <c r="AU15" i="36"/>
  <c r="AU40" i="36" s="1"/>
  <c r="CM15" i="1"/>
  <c r="CM40" i="1" s="1"/>
  <c r="AO15" i="36"/>
  <c r="AO40" i="36" s="1"/>
  <c r="AO109" i="36" s="1"/>
  <c r="CF15" i="37"/>
  <c r="CF40" i="37" s="1"/>
  <c r="CF109" i="37" s="1"/>
  <c r="AK76" i="36"/>
  <c r="CC84" i="37"/>
  <c r="CC109" i="37" s="1"/>
  <c r="BC84" i="39"/>
  <c r="BV15" i="25"/>
  <c r="BV40" i="25" s="1"/>
  <c r="AR40" i="25"/>
  <c r="DB84" i="38"/>
  <c r="DB109" i="38" s="1"/>
  <c r="BA84" i="25"/>
  <c r="BA109" i="25" s="1"/>
  <c r="AC84" i="36"/>
  <c r="Q68" i="1"/>
  <c r="BL68" i="1" s="1"/>
  <c r="M84" i="40"/>
  <c r="CD84" i="38"/>
  <c r="CD109" i="38" s="1"/>
  <c r="AH15" i="39"/>
  <c r="AH40" i="39" s="1"/>
  <c r="AH95" i="39" s="1"/>
  <c r="AM32" i="40"/>
  <c r="DH22" i="25"/>
  <c r="P106" i="38"/>
  <c r="BS40" i="36"/>
  <c r="BS109" i="36" s="1"/>
  <c r="BF22" i="40"/>
  <c r="BE106" i="41"/>
  <c r="BF46" i="36"/>
  <c r="CN106" i="26"/>
  <c r="BF51" i="26"/>
  <c r="AM84" i="26"/>
  <c r="DH63" i="1"/>
  <c r="BJ35" i="1"/>
  <c r="CF15" i="1"/>
  <c r="CF40" i="1" s="1"/>
  <c r="AX106" i="41"/>
  <c r="DH35" i="36"/>
  <c r="BX106" i="40"/>
  <c r="BS106" i="40"/>
  <c r="CW15" i="41"/>
  <c r="O106" i="25"/>
  <c r="O109" i="25" s="1"/>
  <c r="CU106" i="39"/>
  <c r="CN106" i="25"/>
  <c r="AR84" i="38"/>
  <c r="BL57" i="36"/>
  <c r="Q35" i="37"/>
  <c r="BL35" i="37" s="1"/>
  <c r="AD84" i="36"/>
  <c r="AD95" i="36" s="1"/>
  <c r="Q55" i="25"/>
  <c r="DE32" i="37"/>
  <c r="BF55" i="41"/>
  <c r="BL65" i="26"/>
  <c r="BL61" i="37"/>
  <c r="CH84" i="36"/>
  <c r="CH109" i="36" s="1"/>
  <c r="K32" i="1"/>
  <c r="K40" i="1" s="1"/>
  <c r="K109" i="1" s="1"/>
  <c r="AK19" i="36"/>
  <c r="AK35" i="41"/>
  <c r="Q14" i="39"/>
  <c r="BL14" i="39" s="1"/>
  <c r="BV84" i="41"/>
  <c r="DA15" i="39"/>
  <c r="DA40" i="39" s="1"/>
  <c r="Q19" i="38"/>
  <c r="BL19" i="38" s="1"/>
  <c r="AD15" i="39"/>
  <c r="AD40" i="39" s="1"/>
  <c r="CE84" i="38"/>
  <c r="AV84" i="25"/>
  <c r="K255" i="46"/>
  <c r="K369" i="46" s="1"/>
  <c r="K359" i="46"/>
  <c r="AK28" i="38"/>
  <c r="CD84" i="39"/>
  <c r="AP49" i="60"/>
  <c r="DC84" i="41"/>
  <c r="AX15" i="37"/>
  <c r="AX40" i="37" s="1"/>
  <c r="AX109" i="37" s="1"/>
  <c r="CZ84" i="40"/>
  <c r="BO32" i="39"/>
  <c r="DH32" i="39" s="1"/>
  <c r="CQ84" i="1"/>
  <c r="CQ109" i="1" s="1"/>
  <c r="DH28" i="41"/>
  <c r="AU84" i="25"/>
  <c r="DA84" i="36"/>
  <c r="AO15" i="41"/>
  <c r="AO40" i="41" s="1"/>
  <c r="AO109" i="41" s="1"/>
  <c r="L106" i="40"/>
  <c r="DH68" i="40"/>
  <c r="Q46" i="26"/>
  <c r="AA15" i="40"/>
  <c r="AA40" i="40" s="1"/>
  <c r="AA109" i="40" s="1"/>
  <c r="DC15" i="1"/>
  <c r="DC40" i="1" s="1"/>
  <c r="DB84" i="36"/>
  <c r="DB109" i="36" s="1"/>
  <c r="BL65" i="39"/>
  <c r="AI84" i="41"/>
  <c r="AB32" i="26"/>
  <c r="AT50" i="60"/>
  <c r="BA84" i="41"/>
  <c r="CW32" i="41"/>
  <c r="M84" i="38"/>
  <c r="DC84" i="39"/>
  <c r="DC109" i="39" s="1"/>
  <c r="CI106" i="1"/>
  <c r="BV84" i="38"/>
  <c r="BH32" i="38"/>
  <c r="BJ32" i="38" s="1"/>
  <c r="BZ84" i="36"/>
  <c r="BL27" i="25"/>
  <c r="BL24" i="26"/>
  <c r="BL21" i="1"/>
  <c r="G255" i="46"/>
  <c r="G369" i="46" s="1"/>
  <c r="G359" i="46"/>
  <c r="BB106" i="36"/>
  <c r="BL34" i="1"/>
  <c r="BB84" i="36"/>
  <c r="CD84" i="26"/>
  <c r="CD109" i="26" s="1"/>
  <c r="BA84" i="39"/>
  <c r="BA109" i="39" s="1"/>
  <c r="AK35" i="36"/>
  <c r="CK84" i="40"/>
  <c r="CQ40" i="38"/>
  <c r="CQ109" i="38" s="1"/>
  <c r="CM84" i="1"/>
  <c r="DC84" i="26"/>
  <c r="P84" i="25"/>
  <c r="Q22" i="25"/>
  <c r="BL22" i="25" s="1"/>
  <c r="BJ31" i="39"/>
  <c r="H15" i="40"/>
  <c r="H40" i="40" s="1"/>
  <c r="AO106" i="38"/>
  <c r="AA106" i="39"/>
  <c r="CH84" i="38"/>
  <c r="DE106" i="40"/>
  <c r="DE109" i="40" s="1"/>
  <c r="Q63" i="41"/>
  <c r="S32" i="36"/>
  <c r="AK32" i="36" s="1"/>
  <c r="BR106" i="41"/>
  <c r="BF35" i="41"/>
  <c r="AK14" i="1"/>
  <c r="AC15" i="41"/>
  <c r="AC40" i="41" s="1"/>
  <c r="BA106" i="1"/>
  <c r="BW84" i="40"/>
  <c r="I106" i="38"/>
  <c r="Q22" i="37"/>
  <c r="BL22" i="37" s="1"/>
  <c r="BC106" i="38"/>
  <c r="I15" i="40"/>
  <c r="I40" i="40" s="1"/>
  <c r="I109" i="40" s="1"/>
  <c r="BL50" i="38"/>
  <c r="BO32" i="36"/>
  <c r="DH32" i="36" s="1"/>
  <c r="CV15" i="37"/>
  <c r="CV40" i="37" s="1"/>
  <c r="BV84" i="36"/>
  <c r="H15" i="1"/>
  <c r="H40" i="1" s="1"/>
  <c r="H109" i="1" s="1"/>
  <c r="AI106" i="1"/>
  <c r="BR106" i="36"/>
  <c r="O84" i="38"/>
  <c r="DA106" i="36"/>
  <c r="Q35" i="25"/>
  <c r="BL35" i="25" s="1"/>
  <c r="AK19" i="39"/>
  <c r="BL19" i="39" s="1"/>
  <c r="M106" i="40"/>
  <c r="AK19" i="25"/>
  <c r="BL19" i="25" s="1"/>
  <c r="AY106" i="26"/>
  <c r="AE15" i="41"/>
  <c r="AE40" i="41" s="1"/>
  <c r="AE95" i="41" s="1"/>
  <c r="Q14" i="1"/>
  <c r="Q63" i="26"/>
  <c r="BL63" i="26" s="1"/>
  <c r="AJ106" i="41"/>
  <c r="N32" i="39"/>
  <c r="N40" i="39" s="1"/>
  <c r="N109" i="39" s="1"/>
  <c r="AN15" i="41"/>
  <c r="AN40" i="41" s="1"/>
  <c r="AN109" i="41" s="1"/>
  <c r="CQ106" i="36"/>
  <c r="CM15" i="36"/>
  <c r="CM40" i="36" s="1"/>
  <c r="CM109" i="36" s="1"/>
  <c r="N15" i="36"/>
  <c r="N40" i="36" s="1"/>
  <c r="N109" i="36" s="1"/>
  <c r="CH15" i="41"/>
  <c r="CH40" i="41" s="1"/>
  <c r="CH109" i="41" s="1"/>
  <c r="AM84" i="36"/>
  <c r="BF51" i="36"/>
  <c r="CM84" i="41"/>
  <c r="CM109" i="41" s="1"/>
  <c r="BF68" i="26"/>
  <c r="X84" i="37"/>
  <c r="BV106" i="25"/>
  <c r="AG15" i="1"/>
  <c r="AG40" i="1" s="1"/>
  <c r="AG95" i="1" s="1"/>
  <c r="CK84" i="37"/>
  <c r="CK109" i="37" s="1"/>
  <c r="BL17" i="26"/>
  <c r="CN106" i="38"/>
  <c r="CN109" i="38" s="1"/>
  <c r="CW84" i="25"/>
  <c r="DF84" i="40"/>
  <c r="DF109" i="40" s="1"/>
  <c r="BW106" i="25"/>
  <c r="BA15" i="40"/>
  <c r="BA40" i="40" s="1"/>
  <c r="BA109" i="40" s="1"/>
  <c r="AU15" i="26"/>
  <c r="AU40" i="26" s="1"/>
  <c r="DF84" i="39"/>
  <c r="DF109" i="39" s="1"/>
  <c r="CM106" i="39"/>
  <c r="CV40" i="38"/>
  <c r="CV109" i="38" s="1"/>
  <c r="CA106" i="40"/>
  <c r="CA109" i="40" s="1"/>
  <c r="BL61" i="25"/>
  <c r="AK14" i="40"/>
  <c r="S106" i="26"/>
  <c r="CU15" i="38"/>
  <c r="CU40" i="38" s="1"/>
  <c r="CU109" i="38" s="1"/>
  <c r="Q31" i="39"/>
  <c r="Z84" i="25"/>
  <c r="DD15" i="40"/>
  <c r="DD40" i="40" s="1"/>
  <c r="DD109" i="40" s="1"/>
  <c r="CK15" i="25"/>
  <c r="CK40" i="25" s="1"/>
  <c r="CK109" i="25" s="1"/>
  <c r="AK19" i="37"/>
  <c r="AS84" i="26"/>
  <c r="CM84" i="38"/>
  <c r="CM109" i="38" s="1"/>
  <c r="AW106" i="41"/>
  <c r="DH19" i="40"/>
  <c r="AR15" i="39"/>
  <c r="AR40" i="39" s="1"/>
  <c r="BF55" i="36"/>
  <c r="CV84" i="25"/>
  <c r="CV109" i="25" s="1"/>
  <c r="CM15" i="39"/>
  <c r="CM40" i="39" s="1"/>
  <c r="BR84" i="38"/>
  <c r="BJ31" i="25"/>
  <c r="BJ68" i="38"/>
  <c r="CJ106" i="37"/>
  <c r="CR106" i="39"/>
  <c r="BF63" i="38"/>
  <c r="BL63" i="38" s="1"/>
  <c r="CJ106" i="41"/>
  <c r="DH35" i="39"/>
  <c r="BF22" i="38"/>
  <c r="AE15" i="36"/>
  <c r="AE40" i="36" s="1"/>
  <c r="DD84" i="36"/>
  <c r="CC84" i="40"/>
  <c r="S32" i="40"/>
  <c r="AK32" i="40" s="1"/>
  <c r="AR106" i="40"/>
  <c r="AR109" i="40" s="1"/>
  <c r="BD106" i="36"/>
  <c r="DB84" i="39"/>
  <c r="CR15" i="41"/>
  <c r="CR40" i="41" s="1"/>
  <c r="CV84" i="37"/>
  <c r="I280" i="46"/>
  <c r="BU15" i="41"/>
  <c r="BU40" i="41" s="1"/>
  <c r="BF38" i="37"/>
  <c r="BF14" i="36"/>
  <c r="AM15" i="36"/>
  <c r="AQ32" i="1"/>
  <c r="AQ40" i="1" s="1"/>
  <c r="BB84" i="41"/>
  <c r="N15" i="41"/>
  <c r="N40" i="41" s="1"/>
  <c r="AY168" i="47"/>
  <c r="AX42" i="3"/>
  <c r="F17" i="63"/>
  <c r="F90" i="63"/>
  <c r="AZ27" i="47"/>
  <c r="F33" i="65"/>
  <c r="AZ160" i="47"/>
  <c r="BC160" i="47"/>
  <c r="AY165" i="47"/>
  <c r="I16" i="35"/>
  <c r="BD9" i="47"/>
  <c r="J9" i="65"/>
  <c r="F9" i="55"/>
  <c r="I9" i="55"/>
  <c r="BE240" i="47"/>
  <c r="AZ240" i="47"/>
  <c r="AY9" i="47"/>
  <c r="E9" i="65"/>
  <c r="F17" i="35"/>
  <c r="G9" i="55"/>
  <c r="AZ159" i="47"/>
  <c r="L17" i="35"/>
  <c r="AY174" i="47"/>
  <c r="BF183" i="47"/>
  <c r="L15" i="66"/>
  <c r="BG174" i="47"/>
  <c r="F31" i="65"/>
  <c r="AZ25" i="47"/>
  <c r="F88" i="63"/>
  <c r="F15" i="63"/>
  <c r="F45" i="65"/>
  <c r="AZ45" i="47"/>
  <c r="F102" i="63"/>
  <c r="F29" i="63"/>
  <c r="M9" i="55"/>
  <c r="BG161" i="47"/>
  <c r="AI9" i="39"/>
  <c r="BC65" i="47"/>
  <c r="G18" i="35"/>
  <c r="AZ171" i="47"/>
  <c r="BD160" i="47"/>
  <c r="AZ167" i="47"/>
  <c r="AY171" i="47"/>
  <c r="AX38" i="3"/>
  <c r="BA161" i="47"/>
  <c r="AZ163" i="47"/>
  <c r="K9" i="55"/>
  <c r="BB171" i="47"/>
  <c r="N16" i="35"/>
  <c r="BC163" i="47"/>
  <c r="BD17" i="47"/>
  <c r="BC169" i="47"/>
  <c r="BD167" i="47"/>
  <c r="BB40" i="47"/>
  <c r="H27" i="63"/>
  <c r="H43" i="65"/>
  <c r="I9" i="61"/>
  <c r="H100" i="63"/>
  <c r="BB168" i="47"/>
  <c r="BC170" i="47"/>
  <c r="H17" i="35"/>
  <c r="AZ174" i="47"/>
  <c r="N9" i="55"/>
  <c r="AY64" i="47"/>
  <c r="N17" i="35"/>
  <c r="BF14" i="47"/>
  <c r="L19" i="65"/>
  <c r="BE170" i="47"/>
  <c r="BA171" i="47"/>
  <c r="BD168" i="47"/>
  <c r="AX46" i="3"/>
  <c r="AY173" i="47"/>
  <c r="BE23" i="47"/>
  <c r="L15" i="44"/>
  <c r="K86" i="63"/>
  <c r="K13" i="63"/>
  <c r="K29" i="65"/>
  <c r="BA163" i="47"/>
  <c r="BA167" i="47"/>
  <c r="BA8" i="47"/>
  <c r="G8" i="65"/>
  <c r="BG16" i="47"/>
  <c r="M21" i="65"/>
  <c r="BA174" i="47"/>
  <c r="K95" i="63"/>
  <c r="K22" i="63"/>
  <c r="K38" i="65"/>
  <c r="BE33" i="47"/>
  <c r="K17" i="35"/>
  <c r="BE161" i="47"/>
  <c r="BE163" i="47"/>
  <c r="BF160" i="47"/>
  <c r="K16" i="35"/>
  <c r="G17" i="35"/>
  <c r="AI9" i="36"/>
  <c r="BB10" i="47"/>
  <c r="H10" i="65"/>
  <c r="H91" i="63"/>
  <c r="H18" i="63"/>
  <c r="H34" i="65"/>
  <c r="BB28" i="47"/>
  <c r="BE160" i="47"/>
  <c r="AI9" i="40"/>
  <c r="BG160" i="47"/>
  <c r="BC29" i="47"/>
  <c r="I92" i="63"/>
  <c r="I35" i="65"/>
  <c r="I19" i="63"/>
  <c r="E12" i="65"/>
  <c r="AY12" i="47"/>
  <c r="H9" i="55"/>
  <c r="J15" i="35"/>
  <c r="G7" i="65"/>
  <c r="BA7" i="47"/>
  <c r="BE17" i="47"/>
  <c r="G16" i="35"/>
  <c r="BA168" i="47"/>
  <c r="BF170" i="47"/>
  <c r="BG167" i="47"/>
  <c r="AY41" i="3"/>
  <c r="I23" i="63"/>
  <c r="BC34" i="47"/>
  <c r="I96" i="63"/>
  <c r="I39" i="65"/>
  <c r="K15" i="35"/>
  <c r="H86" i="63"/>
  <c r="BB23" i="47"/>
  <c r="H29" i="65"/>
  <c r="I15" i="44"/>
  <c r="H13" i="63"/>
  <c r="BF168" i="47"/>
  <c r="L12" i="65"/>
  <c r="BF12" i="47"/>
  <c r="BB170" i="47"/>
  <c r="H8" i="65"/>
  <c r="BB8" i="47"/>
  <c r="F8" i="65"/>
  <c r="AZ8" i="47"/>
  <c r="K9" i="61"/>
  <c r="J43" i="65"/>
  <c r="J27" i="63"/>
  <c r="J100" i="63"/>
  <c r="BD40" i="47"/>
  <c r="BE159" i="47"/>
  <c r="I17" i="35"/>
  <c r="BB163" i="47"/>
  <c r="N18" i="35"/>
  <c r="AY27" i="47"/>
  <c r="E17" i="63"/>
  <c r="E90" i="63"/>
  <c r="E33" i="65"/>
  <c r="I8" i="65"/>
  <c r="BC8" i="47"/>
  <c r="K39" i="65"/>
  <c r="K96" i="63"/>
  <c r="K23" i="63"/>
  <c r="BE34" i="47"/>
  <c r="J15" i="63"/>
  <c r="BD25" i="47"/>
  <c r="J88" i="63"/>
  <c r="J31" i="65"/>
  <c r="G102" i="63"/>
  <c r="G29" i="63"/>
  <c r="G45" i="65"/>
  <c r="BA45" i="47"/>
  <c r="BD169" i="47"/>
  <c r="E21" i="65"/>
  <c r="AY16" i="47"/>
  <c r="L27" i="63"/>
  <c r="L100" i="63"/>
  <c r="L43" i="65"/>
  <c r="M9" i="61"/>
  <c r="BF40" i="47"/>
  <c r="BE167" i="47"/>
  <c r="BD170" i="47"/>
  <c r="AY163" i="47"/>
  <c r="AX39" i="3"/>
  <c r="BC168" i="47"/>
  <c r="BB184" i="47"/>
  <c r="H16" i="66"/>
  <c r="BC174" i="47"/>
  <c r="BG170" i="47"/>
  <c r="BD171" i="47"/>
  <c r="H95" i="63"/>
  <c r="BB33" i="47"/>
  <c r="H22" i="63"/>
  <c r="H38" i="65"/>
  <c r="J21" i="65"/>
  <c r="BD16" i="47"/>
  <c r="BE25" i="47"/>
  <c r="K15" i="63"/>
  <c r="K88" i="63"/>
  <c r="K31" i="65"/>
  <c r="AZ161" i="47"/>
  <c r="BB167" i="47"/>
  <c r="AY170" i="47"/>
  <c r="J87" i="63"/>
  <c r="J30" i="65"/>
  <c r="BD24" i="47"/>
  <c r="J14" i="63"/>
  <c r="BG171" i="47"/>
  <c r="AY38" i="3"/>
  <c r="BD174" i="47"/>
  <c r="AY159" i="47"/>
  <c r="BD163" i="47"/>
  <c r="E100" i="63"/>
  <c r="E43" i="65"/>
  <c r="E27" i="63"/>
  <c r="AY40" i="47"/>
  <c r="F9" i="61"/>
  <c r="BG159" i="47"/>
  <c r="AY42" i="3"/>
  <c r="BG168" i="47"/>
  <c r="BF171" i="47"/>
  <c r="BC25" i="47"/>
  <c r="I88" i="63"/>
  <c r="I15" i="63"/>
  <c r="I31" i="65"/>
  <c r="BB16" i="47"/>
  <c r="H21" i="65"/>
  <c r="BB160" i="47"/>
  <c r="BB174" i="47"/>
  <c r="BA159" i="47"/>
  <c r="N19" i="35"/>
  <c r="BF16" i="47"/>
  <c r="L21" i="65"/>
  <c r="BB159" i="47"/>
  <c r="M16" i="35"/>
  <c r="E7" i="65"/>
  <c r="AY7" i="47"/>
  <c r="BB26" i="47"/>
  <c r="H32" i="65"/>
  <c r="H16" i="63"/>
  <c r="H89" i="63"/>
  <c r="BC11" i="47"/>
  <c r="I11" i="65"/>
  <c r="AZ168" i="47"/>
  <c r="H88" i="63"/>
  <c r="H31" i="65"/>
  <c r="H15" i="63"/>
  <c r="BB25" i="47"/>
  <c r="L29" i="63"/>
  <c r="L45" i="65"/>
  <c r="L102" i="63"/>
  <c r="BF45" i="47"/>
  <c r="BE64" i="47"/>
  <c r="BA169" i="47"/>
  <c r="F16" i="35"/>
  <c r="BB161" i="47"/>
  <c r="BD159" i="47"/>
  <c r="AZ170" i="47"/>
  <c r="J9" i="55"/>
  <c r="BF159" i="47"/>
  <c r="K12" i="65"/>
  <c r="BE12" i="47"/>
  <c r="BF161" i="47"/>
  <c r="AY17" i="47"/>
  <c r="AI9" i="26"/>
  <c r="BC161" i="47"/>
  <c r="AI9" i="1"/>
  <c r="BD161" i="47"/>
  <c r="AX41" i="3"/>
  <c r="AY167" i="47"/>
  <c r="BE168" i="47"/>
  <c r="BA160" i="47"/>
  <c r="BE171" i="47"/>
  <c r="BE174" i="47"/>
  <c r="BF174" i="47"/>
  <c r="BG163" i="47"/>
  <c r="AY39" i="3"/>
  <c r="L9" i="55"/>
  <c r="BC167" i="47"/>
  <c r="AI9" i="25"/>
  <c r="BC159" i="47"/>
  <c r="F21" i="65"/>
  <c r="AZ16" i="47"/>
  <c r="M15" i="35"/>
  <c r="AI9" i="38"/>
  <c r="BF163" i="47"/>
  <c r="BC7" i="47"/>
  <c r="I7" i="65"/>
  <c r="BC171" i="47"/>
  <c r="AY161" i="47"/>
  <c r="K19" i="35"/>
  <c r="J17" i="35"/>
  <c r="BF167" i="47"/>
  <c r="F18" i="35"/>
  <c r="AY160" i="47"/>
  <c r="BA170" i="47"/>
  <c r="AZ12" i="47"/>
  <c r="F12" i="65"/>
  <c r="H18" i="35"/>
  <c r="J18" i="63"/>
  <c r="J34" i="65"/>
  <c r="BD28" i="47"/>
  <c r="J91" i="63"/>
  <c r="M19" i="35"/>
  <c r="BE14" i="47"/>
  <c r="K19" i="65"/>
  <c r="BG34" i="47"/>
  <c r="M23" i="63"/>
  <c r="M96" i="63"/>
  <c r="M39" i="65"/>
  <c r="F19" i="35"/>
  <c r="BF184" i="47"/>
  <c r="L16" i="66"/>
  <c r="G88" i="63"/>
  <c r="G15" i="63"/>
  <c r="G31" i="65"/>
  <c r="BA25" i="47"/>
  <c r="BF64" i="47"/>
  <c r="J19" i="65"/>
  <c r="BD14" i="47"/>
  <c r="K100" i="63"/>
  <c r="BE40" i="47"/>
  <c r="K43" i="65"/>
  <c r="L9" i="61"/>
  <c r="K27" i="63"/>
  <c r="BE28" i="47"/>
  <c r="K91" i="63"/>
  <c r="K34" i="65"/>
  <c r="K18" i="63"/>
  <c r="BE42" i="47"/>
  <c r="F89" i="63"/>
  <c r="F32" i="65"/>
  <c r="AZ26" i="47"/>
  <c r="F16" i="63"/>
  <c r="N15" i="35"/>
  <c r="BC64" i="47"/>
  <c r="L18" i="35"/>
  <c r="AZ28" i="47"/>
  <c r="F34" i="65"/>
  <c r="F18" i="63"/>
  <c r="F91" i="63"/>
  <c r="J11" i="65"/>
  <c r="BD11" i="47"/>
  <c r="G11" i="65"/>
  <c r="BA11" i="47"/>
  <c r="AY8" i="47"/>
  <c r="E8" i="65"/>
  <c r="F71" i="65" l="1"/>
  <c r="AZ287" i="47"/>
  <c r="CH109" i="39"/>
  <c r="CR109" i="41"/>
  <c r="BR109" i="38"/>
  <c r="BZ109" i="36"/>
  <c r="DA109" i="39"/>
  <c r="CF109" i="1"/>
  <c r="BF32" i="40"/>
  <c r="BL51" i="25"/>
  <c r="K109" i="40"/>
  <c r="BY109" i="36"/>
  <c r="AK32" i="37"/>
  <c r="DF109" i="25"/>
  <c r="AF95" i="37"/>
  <c r="BL63" i="1"/>
  <c r="CW109" i="37"/>
  <c r="DA109" i="37"/>
  <c r="AW109" i="40"/>
  <c r="CV109" i="36"/>
  <c r="CC109" i="1"/>
  <c r="CA109" i="38"/>
  <c r="Q32" i="41"/>
  <c r="BU109" i="36"/>
  <c r="CF109" i="41"/>
  <c r="CF109" i="36"/>
  <c r="CT109" i="25"/>
  <c r="M379" i="46"/>
  <c r="CI109" i="40"/>
  <c r="AD95" i="38"/>
  <c r="CS109" i="37"/>
  <c r="AA109" i="25"/>
  <c r="BZ40" i="1"/>
  <c r="BU109" i="41"/>
  <c r="CC109" i="40"/>
  <c r="CJ109" i="37"/>
  <c r="O109" i="38"/>
  <c r="BV109" i="36"/>
  <c r="H109" i="40"/>
  <c r="AK32" i="26"/>
  <c r="CI40" i="39"/>
  <c r="CI109" i="39" s="1"/>
  <c r="CE109" i="41"/>
  <c r="N109" i="26"/>
  <c r="BL51" i="40"/>
  <c r="BD109" i="1"/>
  <c r="Q32" i="38"/>
  <c r="CU109" i="1"/>
  <c r="BL38" i="25"/>
  <c r="BL31" i="41"/>
  <c r="DH32" i="40"/>
  <c r="BL28" i="39"/>
  <c r="P109" i="36"/>
  <c r="AK32" i="25"/>
  <c r="AO109" i="40"/>
  <c r="BD40" i="25"/>
  <c r="DE109" i="38"/>
  <c r="AR109" i="26"/>
  <c r="AE95" i="25"/>
  <c r="CE40" i="37"/>
  <c r="CE109" i="37" s="1"/>
  <c r="BW109" i="26"/>
  <c r="N109" i="40"/>
  <c r="Y40" i="41"/>
  <c r="BU109" i="38"/>
  <c r="AD95" i="39"/>
  <c r="CS109" i="40"/>
  <c r="P109" i="26"/>
  <c r="AE95" i="37"/>
  <c r="O109" i="39"/>
  <c r="P109" i="37"/>
  <c r="DF109" i="36"/>
  <c r="DH32" i="25"/>
  <c r="CG109" i="1"/>
  <c r="CA109" i="36"/>
  <c r="L109" i="41"/>
  <c r="CU109" i="37"/>
  <c r="CM109" i="26"/>
  <c r="Y40" i="37"/>
  <c r="BA109" i="36"/>
  <c r="DD109" i="39"/>
  <c r="CK109" i="36"/>
  <c r="AA40" i="39"/>
  <c r="BU109" i="37"/>
  <c r="AF95" i="1"/>
  <c r="CP109" i="37"/>
  <c r="DA109" i="1"/>
  <c r="BZ109" i="39"/>
  <c r="I249" i="35"/>
  <c r="I387" i="35"/>
  <c r="M109" i="36"/>
  <c r="AO109" i="39"/>
  <c r="J109" i="39"/>
  <c r="BX109" i="25"/>
  <c r="AA109" i="26"/>
  <c r="CP109" i="40"/>
  <c r="CQ109" i="41"/>
  <c r="CS109" i="38"/>
  <c r="Q32" i="26"/>
  <c r="BW109" i="25"/>
  <c r="BF84" i="36"/>
  <c r="BL63" i="41"/>
  <c r="AR109" i="25"/>
  <c r="DB109" i="40"/>
  <c r="M109" i="26"/>
  <c r="CH109" i="26"/>
  <c r="Q106" i="41"/>
  <c r="BL31" i="38"/>
  <c r="CT109" i="37"/>
  <c r="DC109" i="25"/>
  <c r="CS109" i="25"/>
  <c r="BL28" i="26"/>
  <c r="AZ109" i="36"/>
  <c r="CN109" i="39"/>
  <c r="BF32" i="36"/>
  <c r="J109" i="41"/>
  <c r="BY109" i="25"/>
  <c r="Q32" i="36"/>
  <c r="CM109" i="37"/>
  <c r="BR40" i="39"/>
  <c r="BR109" i="39" s="1"/>
  <c r="N109" i="41"/>
  <c r="AE95" i="36"/>
  <c r="DC109" i="1"/>
  <c r="AF95" i="40"/>
  <c r="K109" i="41"/>
  <c r="CT109" i="40"/>
  <c r="CF109" i="39"/>
  <c r="O109" i="36"/>
  <c r="BL38" i="26"/>
  <c r="BD109" i="41"/>
  <c r="CK109" i="39"/>
  <c r="BL31" i="26"/>
  <c r="I109" i="37"/>
  <c r="BL76" i="41"/>
  <c r="CQ109" i="25"/>
  <c r="BX109" i="39"/>
  <c r="AC40" i="37"/>
  <c r="AW109" i="26"/>
  <c r="CG40" i="39"/>
  <c r="CG109" i="39" s="1"/>
  <c r="AF95" i="25"/>
  <c r="BF32" i="39"/>
  <c r="BY109" i="38"/>
  <c r="CU109" i="25"/>
  <c r="CC109" i="26"/>
  <c r="DC109" i="36"/>
  <c r="BA109" i="38"/>
  <c r="G116" i="55"/>
  <c r="F388" i="35"/>
  <c r="F290" i="35"/>
  <c r="I116" i="55"/>
  <c r="F116" i="55"/>
  <c r="CW40" i="41"/>
  <c r="CW109" i="41" s="1"/>
  <c r="M109" i="39"/>
  <c r="CR109" i="39"/>
  <c r="DC109" i="26"/>
  <c r="J379" i="46"/>
  <c r="AO109" i="26"/>
  <c r="DA109" i="26"/>
  <c r="P109" i="41"/>
  <c r="CU109" i="36"/>
  <c r="CK109" i="26"/>
  <c r="AY109" i="36"/>
  <c r="AX109" i="1"/>
  <c r="CH109" i="1"/>
  <c r="DA109" i="41"/>
  <c r="L109" i="25"/>
  <c r="J109" i="37"/>
  <c r="J109" i="40"/>
  <c r="BD109" i="36"/>
  <c r="BB109" i="41"/>
  <c r="DH32" i="41"/>
  <c r="BX109" i="38"/>
  <c r="BL68" i="39"/>
  <c r="BW109" i="37"/>
  <c r="BL14" i="1"/>
  <c r="CQ109" i="36"/>
  <c r="DD109" i="25"/>
  <c r="AF95" i="36"/>
  <c r="AW109" i="37"/>
  <c r="CN109" i="25"/>
  <c r="BL22" i="26"/>
  <c r="I109" i="1"/>
  <c r="CX109" i="37"/>
  <c r="BB109" i="40"/>
  <c r="CW109" i="39"/>
  <c r="K109" i="26"/>
  <c r="I109" i="36"/>
  <c r="L109" i="40"/>
  <c r="AW109" i="1"/>
  <c r="CD109" i="36"/>
  <c r="CJ109" i="41"/>
  <c r="F72" i="65"/>
  <c r="AZ288" i="47"/>
  <c r="L263" i="35"/>
  <c r="L389" i="35"/>
  <c r="N386" i="35"/>
  <c r="N235" i="35"/>
  <c r="AZ286" i="47"/>
  <c r="F70" i="65"/>
  <c r="K72" i="65"/>
  <c r="BE288" i="47"/>
  <c r="BA285" i="47"/>
  <c r="G68" i="65"/>
  <c r="F276" i="35"/>
  <c r="F390" i="35"/>
  <c r="M276" i="35"/>
  <c r="M390" i="35"/>
  <c r="BD288" i="47"/>
  <c r="J72" i="65"/>
  <c r="H263" i="35"/>
  <c r="H389" i="35"/>
  <c r="F263" i="35"/>
  <c r="F389" i="35"/>
  <c r="J290" i="35"/>
  <c r="J388" i="35"/>
  <c r="K276" i="35"/>
  <c r="K390" i="35"/>
  <c r="AI11" i="38"/>
  <c r="AI15" i="38" s="1"/>
  <c r="AI40" i="38" s="1"/>
  <c r="AI109" i="38" s="1"/>
  <c r="M386" i="35"/>
  <c r="M235" i="35"/>
  <c r="AI11" i="25"/>
  <c r="AI15" i="25" s="1"/>
  <c r="AI40" i="25" s="1"/>
  <c r="AI109" i="25" s="1"/>
  <c r="L116" i="55"/>
  <c r="AI11" i="1"/>
  <c r="AI15" i="1" s="1"/>
  <c r="AI40" i="1" s="1"/>
  <c r="AI109" i="1" s="1"/>
  <c r="AI11" i="26"/>
  <c r="AI15" i="26" s="1"/>
  <c r="AI40" i="26" s="1"/>
  <c r="AI109" i="26" s="1"/>
  <c r="J116" i="55"/>
  <c r="F387" i="35"/>
  <c r="F249" i="35"/>
  <c r="BB285" i="47"/>
  <c r="H68" i="65"/>
  <c r="H70" i="65"/>
  <c r="BB286" i="47"/>
  <c r="M387" i="35"/>
  <c r="M249" i="35"/>
  <c r="N390" i="35"/>
  <c r="N276" i="35"/>
  <c r="I68" i="65"/>
  <c r="BC285" i="47"/>
  <c r="F121" i="61"/>
  <c r="F124" i="61" s="1"/>
  <c r="F127" i="61" s="1"/>
  <c r="J121" i="61"/>
  <c r="J124" i="61" s="1"/>
  <c r="J127" i="61" s="1"/>
  <c r="H121" i="61"/>
  <c r="H124" i="61" s="1"/>
  <c r="H127" i="61" s="1"/>
  <c r="K121" i="61"/>
  <c r="K124" i="61" s="1"/>
  <c r="K127" i="61" s="1"/>
  <c r="L121" i="61"/>
  <c r="L124" i="61" s="1"/>
  <c r="L127" i="61" s="1"/>
  <c r="N121" i="61"/>
  <c r="N124" i="61" s="1"/>
  <c r="N127" i="61" s="1"/>
  <c r="I121" i="61"/>
  <c r="I124" i="61" s="1"/>
  <c r="I127" i="61" s="1"/>
  <c r="G121" i="61"/>
  <c r="G124" i="61" s="1"/>
  <c r="G127" i="61" s="1"/>
  <c r="M121" i="61"/>
  <c r="M124" i="61" s="1"/>
  <c r="M127" i="61" s="1"/>
  <c r="BD284" i="47"/>
  <c r="J69" i="65"/>
  <c r="K68" i="65"/>
  <c r="BE285" i="47"/>
  <c r="J68" i="65"/>
  <c r="BD285" i="47"/>
  <c r="E71" i="65"/>
  <c r="AY287" i="47"/>
  <c r="N389" i="35"/>
  <c r="N263" i="35"/>
  <c r="I290" i="35"/>
  <c r="I388" i="35"/>
  <c r="H67" i="65"/>
  <c r="BB283" i="47"/>
  <c r="H120" i="63"/>
  <c r="H109" i="63"/>
  <c r="K386" i="35"/>
  <c r="K235" i="35"/>
  <c r="G387" i="35"/>
  <c r="G249" i="35"/>
  <c r="J235" i="35"/>
  <c r="J386" i="35"/>
  <c r="H116" i="55"/>
  <c r="I73" i="65"/>
  <c r="BC289" i="47"/>
  <c r="AI11" i="40"/>
  <c r="AI15" i="40" s="1"/>
  <c r="AI40" i="40" s="1"/>
  <c r="AI109" i="40" s="1"/>
  <c r="BB288" i="47"/>
  <c r="H72" i="65"/>
  <c r="AI11" i="36"/>
  <c r="AI15" i="36" s="1"/>
  <c r="AI40" i="36" s="1"/>
  <c r="AI109" i="36" s="1"/>
  <c r="G290" i="35"/>
  <c r="G388" i="35"/>
  <c r="K387" i="35"/>
  <c r="K249" i="35"/>
  <c r="K388" i="35"/>
  <c r="K290" i="35"/>
  <c r="K67" i="65"/>
  <c r="K109" i="63"/>
  <c r="K120" i="63"/>
  <c r="BE283" i="47"/>
  <c r="N388" i="35"/>
  <c r="N290" i="35"/>
  <c r="N116" i="55"/>
  <c r="H388" i="35"/>
  <c r="H290" i="35"/>
  <c r="N387" i="35"/>
  <c r="N249" i="35"/>
  <c r="K116" i="55"/>
  <c r="G389" i="35"/>
  <c r="G263" i="35"/>
  <c r="AI11" i="39"/>
  <c r="AI15" i="39" s="1"/>
  <c r="AI40" i="39" s="1"/>
  <c r="AI109" i="39" s="1"/>
  <c r="M116" i="55"/>
  <c r="AZ285" i="47"/>
  <c r="F68" i="65"/>
  <c r="L388" i="35"/>
  <c r="L290" i="35"/>
  <c r="AC95" i="25"/>
  <c r="AC97" i="25" s="1"/>
  <c r="AC109" i="25"/>
  <c r="AC95" i="41"/>
  <c r="AC97" i="41" s="1"/>
  <c r="AC109" i="41"/>
  <c r="CV109" i="37"/>
  <c r="K379" i="46"/>
  <c r="BV109" i="25"/>
  <c r="P109" i="25"/>
  <c r="AR109" i="37"/>
  <c r="Q84" i="40"/>
  <c r="BE95" i="39"/>
  <c r="BF95" i="39" s="1"/>
  <c r="BE109" i="39"/>
  <c r="Q84" i="26"/>
  <c r="DB109" i="39"/>
  <c r="Q84" i="41"/>
  <c r="CA109" i="39"/>
  <c r="Q84" i="36"/>
  <c r="BF84" i="39"/>
  <c r="J1223" i="4"/>
  <c r="BJ15" i="36"/>
  <c r="BH40" i="36"/>
  <c r="BJ40" i="36" s="1"/>
  <c r="H379" i="46"/>
  <c r="G1223" i="4"/>
  <c r="L109" i="38"/>
  <c r="CL109" i="39"/>
  <c r="AM40" i="41"/>
  <c r="BF32" i="41"/>
  <c r="BS109" i="26"/>
  <c r="CE109" i="40"/>
  <c r="BL19" i="26"/>
  <c r="CC109" i="36"/>
  <c r="CH109" i="40"/>
  <c r="AR109" i="38"/>
  <c r="H109" i="36"/>
  <c r="CO109" i="1"/>
  <c r="AY109" i="26"/>
  <c r="CL109" i="25"/>
  <c r="CZ109" i="38"/>
  <c r="BV109" i="38"/>
  <c r="BL68" i="38"/>
  <c r="M109" i="25"/>
  <c r="Q106" i="37"/>
  <c r="AN109" i="38"/>
  <c r="DA109" i="40"/>
  <c r="CW109" i="38"/>
  <c r="DE109" i="26"/>
  <c r="AV109" i="26"/>
  <c r="CZ109" i="40"/>
  <c r="BX109" i="1"/>
  <c r="AV109" i="39"/>
  <c r="AX109" i="26"/>
  <c r="CC109" i="39"/>
  <c r="AC109" i="39"/>
  <c r="AC95" i="39"/>
  <c r="AC97" i="39" s="1"/>
  <c r="BF84" i="41"/>
  <c r="CN109" i="36"/>
  <c r="BL38" i="1"/>
  <c r="BL14" i="41"/>
  <c r="DE109" i="36"/>
  <c r="BT109" i="1"/>
  <c r="BD109" i="37"/>
  <c r="AV109" i="41"/>
  <c r="CJ109" i="1"/>
  <c r="CO109" i="41"/>
  <c r="CO109" i="26"/>
  <c r="DH32" i="26"/>
  <c r="AC95" i="1"/>
  <c r="AC97" i="1" s="1"/>
  <c r="AC109" i="1"/>
  <c r="I109" i="38"/>
  <c r="CQ109" i="39"/>
  <c r="N1223" i="4"/>
  <c r="BL22" i="1"/>
  <c r="CG109" i="25"/>
  <c r="BE109" i="38"/>
  <c r="BE95" i="38"/>
  <c r="BF95" i="38" s="1"/>
  <c r="CA109" i="25"/>
  <c r="BL68" i="26"/>
  <c r="CZ109" i="1"/>
  <c r="F379" i="46"/>
  <c r="AA109" i="37"/>
  <c r="BE109" i="36"/>
  <c r="CS109" i="39"/>
  <c r="O109" i="37"/>
  <c r="N109" i="37"/>
  <c r="AM40" i="25"/>
  <c r="CW109" i="36"/>
  <c r="CP109" i="38"/>
  <c r="BF84" i="38"/>
  <c r="O109" i="26"/>
  <c r="CM109" i="25"/>
  <c r="BW109" i="40"/>
  <c r="AO109" i="37"/>
  <c r="J109" i="25"/>
  <c r="AZ109" i="37"/>
  <c r="CJ109" i="39"/>
  <c r="BL35" i="39"/>
  <c r="BL38" i="37"/>
  <c r="CO109" i="25"/>
  <c r="AK32" i="41"/>
  <c r="BL32" i="41" s="1"/>
  <c r="CS109" i="1"/>
  <c r="BF84" i="25"/>
  <c r="BA109" i="1"/>
  <c r="CL109" i="26"/>
  <c r="I109" i="25"/>
  <c r="AO109" i="38"/>
  <c r="I1252" i="4"/>
  <c r="I760" i="4"/>
  <c r="I765" i="4" s="1" a="1"/>
  <c r="AM40" i="36"/>
  <c r="BF84" i="26"/>
  <c r="AC109" i="36"/>
  <c r="AC95" i="36"/>
  <c r="AC97" i="36" s="1"/>
  <c r="Q84" i="25"/>
  <c r="CH109" i="38"/>
  <c r="CI109" i="36"/>
  <c r="AW109" i="41"/>
  <c r="BR109" i="36"/>
  <c r="BL51" i="36"/>
  <c r="BJ15" i="39"/>
  <c r="BH40" i="39"/>
  <c r="BJ40" i="39" s="1"/>
  <c r="BJ15" i="25"/>
  <c r="BH40" i="25"/>
  <c r="BJ40" i="25" s="1"/>
  <c r="K109" i="39"/>
  <c r="CR109" i="26"/>
  <c r="G775" i="4"/>
  <c r="G765" i="4"/>
  <c r="G770" i="4"/>
  <c r="G776" i="4"/>
  <c r="G766" i="4"/>
  <c r="G769" i="4"/>
  <c r="G773" i="4"/>
  <c r="G789" i="4" s="1"/>
  <c r="G771" i="4"/>
  <c r="G777" i="4"/>
  <c r="G793" i="4" s="1"/>
  <c r="G774" i="4"/>
  <c r="G790" i="4" s="1"/>
  <c r="G768" i="4"/>
  <c r="G767" i="4"/>
  <c r="G783" i="4" s="1"/>
  <c r="G772" i="4"/>
  <c r="G788" i="4" s="1"/>
  <c r="BR109" i="26"/>
  <c r="AV109" i="36"/>
  <c r="BL19" i="41"/>
  <c r="DE40" i="37"/>
  <c r="DE109" i="37" s="1"/>
  <c r="CJ109" i="36"/>
  <c r="AZ109" i="40"/>
  <c r="J109" i="26"/>
  <c r="BE95" i="1"/>
  <c r="BF95" i="1" s="1"/>
  <c r="BE109" i="1"/>
  <c r="BL31" i="37"/>
  <c r="BJ15" i="1"/>
  <c r="BH40" i="1"/>
  <c r="BJ40" i="1" s="1"/>
  <c r="BL38" i="40"/>
  <c r="BA109" i="26"/>
  <c r="AR109" i="1"/>
  <c r="BF32" i="1"/>
  <c r="BF84" i="1"/>
  <c r="CX109" i="26"/>
  <c r="BJ15" i="37"/>
  <c r="BH40" i="37"/>
  <c r="BJ40" i="37" s="1"/>
  <c r="CG109" i="26"/>
  <c r="CI109" i="25"/>
  <c r="CV109" i="41"/>
  <c r="BL38" i="38"/>
  <c r="Q84" i="38"/>
  <c r="BL68" i="25"/>
  <c r="BL68" i="37"/>
  <c r="N109" i="1"/>
  <c r="BL22" i="39"/>
  <c r="BZ109" i="38"/>
  <c r="Q106" i="26"/>
  <c r="AC95" i="37"/>
  <c r="AC97" i="37" s="1"/>
  <c r="AC109" i="37"/>
  <c r="Q32" i="37"/>
  <c r="BL63" i="39"/>
  <c r="CZ109" i="41"/>
  <c r="BL76" i="25"/>
  <c r="BA109" i="41"/>
  <c r="BL28" i="37"/>
  <c r="Q106" i="1"/>
  <c r="AN109" i="36"/>
  <c r="BE95" i="26"/>
  <c r="BF95" i="26" s="1"/>
  <c r="BE109" i="26"/>
  <c r="CU109" i="26"/>
  <c r="BL28" i="25"/>
  <c r="BH40" i="40"/>
  <c r="BJ40" i="40" s="1"/>
  <c r="BJ15" i="40"/>
  <c r="BL51" i="37"/>
  <c r="BL35" i="36"/>
  <c r="BV109" i="40"/>
  <c r="DH32" i="1"/>
  <c r="BL32" i="40"/>
  <c r="CZ109" i="25"/>
  <c r="BV109" i="41"/>
  <c r="AD95" i="37"/>
  <c r="CO109" i="40"/>
  <c r="F773" i="4"/>
  <c r="F789" i="4" s="1"/>
  <c r="F777" i="4"/>
  <c r="F793" i="4" s="1"/>
  <c r="F770" i="4"/>
  <c r="F767" i="4"/>
  <c r="F783" i="4" s="1"/>
  <c r="F766" i="4"/>
  <c r="F768" i="4"/>
  <c r="F771" i="4"/>
  <c r="F765" i="4"/>
  <c r="F769" i="4"/>
  <c r="F776" i="4"/>
  <c r="F772" i="4"/>
  <c r="F788" i="4" s="1"/>
  <c r="F774" i="4"/>
  <c r="F790" i="4" s="1"/>
  <c r="F775" i="4"/>
  <c r="CG109" i="41"/>
  <c r="BL68" i="41"/>
  <c r="DD109" i="36"/>
  <c r="CZ109" i="26"/>
  <c r="N773" i="4"/>
  <c r="N789" i="4" s="1"/>
  <c r="N765" i="4"/>
  <c r="N777" i="4"/>
  <c r="N772" i="4"/>
  <c r="N788" i="4" s="1"/>
  <c r="N769" i="4"/>
  <c r="N776" i="4"/>
  <c r="N775" i="4"/>
  <c r="N774" i="4"/>
  <c r="N790" i="4" s="1"/>
  <c r="N767" i="4"/>
  <c r="N783" i="4" s="1"/>
  <c r="N771" i="4"/>
  <c r="N766" i="4"/>
  <c r="N770" i="4"/>
  <c r="N768" i="4"/>
  <c r="BL35" i="1"/>
  <c r="CU109" i="39"/>
  <c r="BL68" i="36"/>
  <c r="BJ15" i="38"/>
  <c r="BH40" i="38"/>
  <c r="BJ40" i="38" s="1"/>
  <c r="CL109" i="41"/>
  <c r="AC95" i="40"/>
  <c r="AC97" i="40" s="1"/>
  <c r="AC109" i="40"/>
  <c r="H768" i="4"/>
  <c r="H774" i="4"/>
  <c r="H790" i="4" s="1"/>
  <c r="H772" i="4"/>
  <c r="H788" i="4" s="1"/>
  <c r="H773" i="4"/>
  <c r="H789" i="4" s="1"/>
  <c r="H769" i="4"/>
  <c r="H766" i="4"/>
  <c r="H765" i="4"/>
  <c r="H767" i="4"/>
  <c r="H783" i="4" s="1"/>
  <c r="H775" i="4"/>
  <c r="H770" i="4"/>
  <c r="H771" i="4"/>
  <c r="H776" i="4"/>
  <c r="H777" i="4"/>
  <c r="H793" i="4" s="1"/>
  <c r="DC109" i="41"/>
  <c r="AX109" i="41"/>
  <c r="BL31" i="25"/>
  <c r="BL31" i="36"/>
  <c r="AM40" i="40"/>
  <c r="BL35" i="26"/>
  <c r="AW109" i="36"/>
  <c r="DB109" i="41"/>
  <c r="CN109" i="26"/>
  <c r="CL109" i="1"/>
  <c r="DD109" i="26"/>
  <c r="CP109" i="39"/>
  <c r="DF109" i="38"/>
  <c r="AN109" i="25"/>
  <c r="DB109" i="37"/>
  <c r="CZ109" i="37"/>
  <c r="DE109" i="39"/>
  <c r="AC109" i="26"/>
  <c r="AC95" i="26"/>
  <c r="AC97" i="26" s="1"/>
  <c r="BD109" i="39"/>
  <c r="M760" i="4"/>
  <c r="M765" i="4" s="1" a="1"/>
  <c r="M1252" i="4"/>
  <c r="F212" i="55"/>
  <c r="F145" i="55"/>
  <c r="CM109" i="39"/>
  <c r="BL31" i="39"/>
  <c r="G379" i="46"/>
  <c r="M109" i="40"/>
  <c r="Q106" i="25"/>
  <c r="AV109" i="38"/>
  <c r="BL32" i="38"/>
  <c r="CJ109" i="25"/>
  <c r="BE109" i="25"/>
  <c r="BE95" i="25"/>
  <c r="BF95" i="25" s="1"/>
  <c r="AM40" i="1"/>
  <c r="BL31" i="40"/>
  <c r="CD109" i="39"/>
  <c r="BL28" i="38"/>
  <c r="AO109" i="1"/>
  <c r="BW109" i="39"/>
  <c r="AE95" i="40"/>
  <c r="BB109" i="26"/>
  <c r="BJ15" i="26"/>
  <c r="BH40" i="26"/>
  <c r="BJ40" i="26" s="1"/>
  <c r="Q84" i="39"/>
  <c r="CL109" i="37"/>
  <c r="BX109" i="40"/>
  <c r="CL109" i="36"/>
  <c r="BB109" i="39"/>
  <c r="CB40" i="26"/>
  <c r="CB109" i="26" s="1"/>
  <c r="AR109" i="39"/>
  <c r="AR109" i="36"/>
  <c r="Q84" i="1"/>
  <c r="BL51" i="1"/>
  <c r="M109" i="1"/>
  <c r="BL51" i="38"/>
  <c r="BR109" i="40"/>
  <c r="BB109" i="37"/>
  <c r="AW109" i="38"/>
  <c r="CX109" i="1"/>
  <c r="CW109" i="40"/>
  <c r="AY109" i="40"/>
  <c r="BL14" i="26"/>
  <c r="BX109" i="37"/>
  <c r="M109" i="41"/>
  <c r="AM40" i="39"/>
  <c r="BL32" i="25"/>
  <c r="BL22" i="41"/>
  <c r="BY109" i="37"/>
  <c r="Q84" i="37"/>
  <c r="BR40" i="41"/>
  <c r="BR109" i="41" s="1"/>
  <c r="DA109" i="25"/>
  <c r="I109" i="26"/>
  <c r="DD109" i="37"/>
  <c r="BS109" i="39"/>
  <c r="Q106" i="40"/>
  <c r="CV109" i="40"/>
  <c r="BL76" i="37"/>
  <c r="CN109" i="41"/>
  <c r="BL22" i="36"/>
  <c r="K765" i="4"/>
  <c r="K771" i="4"/>
  <c r="K772" i="4"/>
  <c r="K788" i="4" s="1"/>
  <c r="K774" i="4"/>
  <c r="K790" i="4" s="1"/>
  <c r="K775" i="4"/>
  <c r="K767" i="4"/>
  <c r="K783" i="4" s="1"/>
  <c r="K769" i="4"/>
  <c r="K766" i="4"/>
  <c r="K773" i="4"/>
  <c r="K789" i="4" s="1"/>
  <c r="K777" i="4"/>
  <c r="K793" i="4" s="1"/>
  <c r="K776" i="4"/>
  <c r="K768" i="4"/>
  <c r="K770" i="4"/>
  <c r="BS109" i="41"/>
  <c r="BL28" i="1"/>
  <c r="L1223" i="4"/>
  <c r="CB109" i="1"/>
  <c r="CR109" i="40"/>
  <c r="AG95" i="38"/>
  <c r="BL35" i="41"/>
  <c r="BS109" i="40"/>
  <c r="BU109" i="25"/>
  <c r="CP109" i="41"/>
  <c r="AR109" i="41"/>
  <c r="H1223" i="4"/>
  <c r="CW109" i="26"/>
  <c r="CT109" i="39"/>
  <c r="CZ109" i="39"/>
  <c r="AG95" i="40"/>
  <c r="BR109" i="37"/>
  <c r="CF109" i="40"/>
  <c r="AZ109" i="39"/>
  <c r="CJ109" i="38"/>
  <c r="BL63" i="37"/>
  <c r="BL19" i="37"/>
  <c r="Q106" i="39"/>
  <c r="BZ109" i="1"/>
  <c r="AV109" i="1"/>
  <c r="BL76" i="26"/>
  <c r="Q32" i="1"/>
  <c r="BL32" i="1" s="1"/>
  <c r="I260" i="35"/>
  <c r="I333" i="35" s="1"/>
  <c r="I256" i="35"/>
  <c r="I332" i="35" s="1"/>
  <c r="I252" i="35"/>
  <c r="I331" i="35" s="1"/>
  <c r="G145" i="55"/>
  <c r="G152" i="55" s="1"/>
  <c r="G212" i="55"/>
  <c r="G118" i="55"/>
  <c r="G119" i="55"/>
  <c r="G117" i="55"/>
  <c r="CM109" i="1"/>
  <c r="BL22" i="38"/>
  <c r="CE109" i="38"/>
  <c r="P109" i="38"/>
  <c r="BL19" i="36"/>
  <c r="BL14" i="36"/>
  <c r="BL51" i="26"/>
  <c r="CI109" i="38"/>
  <c r="BL68" i="40"/>
  <c r="CN109" i="37"/>
  <c r="J777" i="4"/>
  <c r="J793" i="4" s="1"/>
  <c r="J768" i="4"/>
  <c r="J772" i="4"/>
  <c r="J788" i="4" s="1"/>
  <c r="J770" i="4"/>
  <c r="J775" i="4"/>
  <c r="J769" i="4"/>
  <c r="J774" i="4"/>
  <c r="J790" i="4" s="1"/>
  <c r="J766" i="4"/>
  <c r="J767" i="4"/>
  <c r="J783" i="4" s="1"/>
  <c r="J776" i="4"/>
  <c r="J773" i="4"/>
  <c r="J789" i="4" s="1"/>
  <c r="J765" i="4"/>
  <c r="J771" i="4"/>
  <c r="CD109" i="1"/>
  <c r="AH95" i="41"/>
  <c r="AY109" i="39"/>
  <c r="BL14" i="40"/>
  <c r="AZ109" i="38"/>
  <c r="BL76" i="36"/>
  <c r="BL51" i="39"/>
  <c r="BU109" i="26"/>
  <c r="AA109" i="36"/>
  <c r="CE109" i="39"/>
  <c r="AM40" i="38"/>
  <c r="BL76" i="39"/>
  <c r="BL63" i="40"/>
  <c r="BL14" i="25"/>
  <c r="BD109" i="25"/>
  <c r="Q106" i="38"/>
  <c r="BL22" i="40"/>
  <c r="BY109" i="26"/>
  <c r="CP109" i="26"/>
  <c r="AM40" i="26"/>
  <c r="BF32" i="26"/>
  <c r="BL32" i="26" s="1"/>
  <c r="AZ109" i="26"/>
  <c r="Q32" i="39"/>
  <c r="BL32" i="39" s="1"/>
  <c r="BR109" i="1"/>
  <c r="BW109" i="1"/>
  <c r="CK109" i="38"/>
  <c r="BL76" i="38"/>
  <c r="CA109" i="26"/>
  <c r="M40" i="38"/>
  <c r="M109" i="38" s="1"/>
  <c r="CW109" i="1"/>
  <c r="CI109" i="1"/>
  <c r="BF84" i="40"/>
  <c r="CE109" i="25"/>
  <c r="BB109" i="25"/>
  <c r="CV109" i="1"/>
  <c r="BY109" i="39"/>
  <c r="BH40" i="41"/>
  <c r="BJ40" i="41" s="1"/>
  <c r="AZ109" i="41"/>
  <c r="L109" i="37"/>
  <c r="DC109" i="40"/>
  <c r="CW109" i="25"/>
  <c r="K1223" i="4"/>
  <c r="BW109" i="36"/>
  <c r="DH32" i="37"/>
  <c r="BL14" i="38"/>
  <c r="L771" i="4"/>
  <c r="L772" i="4"/>
  <c r="L788" i="4" s="1"/>
  <c r="L767" i="4"/>
  <c r="L783" i="4" s="1"/>
  <c r="L769" i="4"/>
  <c r="L765" i="4"/>
  <c r="L774" i="4"/>
  <c r="L790" i="4" s="1"/>
  <c r="L775" i="4"/>
  <c r="L766" i="4"/>
  <c r="L768" i="4"/>
  <c r="L773" i="4"/>
  <c r="L789" i="4" s="1"/>
  <c r="L770" i="4"/>
  <c r="L777" i="4"/>
  <c r="L793" i="4" s="1"/>
  <c r="L776" i="4"/>
  <c r="DA109" i="36"/>
  <c r="AW109" i="25"/>
  <c r="CV109" i="39"/>
  <c r="AA109" i="39"/>
  <c r="CG109" i="36"/>
  <c r="BE109" i="41"/>
  <c r="AG95" i="36"/>
  <c r="AY109" i="1"/>
  <c r="Q106" i="36"/>
  <c r="AE95" i="38"/>
  <c r="N109" i="25"/>
  <c r="AD95" i="41"/>
  <c r="AY109" i="38"/>
  <c r="BF84" i="37"/>
  <c r="CO109" i="36"/>
  <c r="BL28" i="36"/>
  <c r="BU109" i="39"/>
  <c r="CB109" i="36"/>
  <c r="BY109" i="40"/>
  <c r="AN109" i="26"/>
  <c r="BB109" i="1"/>
  <c r="CK109" i="40"/>
  <c r="BX109" i="26"/>
  <c r="L109" i="36"/>
  <c r="L109" i="26"/>
  <c r="CP109" i="25"/>
  <c r="BB109" i="36"/>
  <c r="H109" i="38"/>
  <c r="AY109" i="41"/>
  <c r="AV109" i="25"/>
  <c r="AM40" i="37"/>
  <c r="BF32" i="37"/>
  <c r="F297" i="35"/>
  <c r="F341" i="35" s="1"/>
  <c r="F293" i="35"/>
  <c r="F340" i="35" s="1"/>
  <c r="F301" i="35"/>
  <c r="F342" i="35" s="1"/>
  <c r="I118" i="55"/>
  <c r="I212" i="55"/>
  <c r="I119" i="55"/>
  <c r="I145" i="55"/>
  <c r="I117" i="55"/>
  <c r="BC12" i="47"/>
  <c r="I12" i="65"/>
  <c r="E96" i="63"/>
  <c r="AY34" i="47"/>
  <c r="E23" i="63"/>
  <c r="E39" i="65"/>
  <c r="BG42" i="47"/>
  <c r="BE11" i="47"/>
  <c r="K11" i="65"/>
  <c r="BB17" i="47"/>
  <c r="I16" i="66"/>
  <c r="BC184" i="47"/>
  <c r="J18" i="35"/>
  <c r="BE169" i="47"/>
  <c r="K29" i="63"/>
  <c r="BE45" i="47"/>
  <c r="K45" i="65"/>
  <c r="K102" i="63"/>
  <c r="G19" i="35"/>
  <c r="BG17" i="47"/>
  <c r="BF9" i="47"/>
  <c r="L9" i="65"/>
  <c r="BA28" i="47"/>
  <c r="G18" i="63"/>
  <c r="G91" i="63"/>
  <c r="G34" i="65"/>
  <c r="BE8" i="47"/>
  <c r="K8" i="65"/>
  <c r="I15" i="35"/>
  <c r="K30" i="65"/>
  <c r="K87" i="63"/>
  <c r="BE24" i="47"/>
  <c r="K14" i="63"/>
  <c r="BE184" i="47"/>
  <c r="K16" i="66"/>
  <c r="BE16" i="47"/>
  <c r="K21" i="65"/>
  <c r="BG11" i="47"/>
  <c r="M11" i="65"/>
  <c r="BB185" i="47"/>
  <c r="H17" i="66"/>
  <c r="I19" i="35"/>
  <c r="AZ169" i="47"/>
  <c r="F15" i="35"/>
  <c r="AZ64" i="47"/>
  <c r="BA17" i="47"/>
  <c r="K18" i="35"/>
  <c r="BD12" i="47"/>
  <c r="J12" i="65"/>
  <c r="BD45" i="47"/>
  <c r="J45" i="65"/>
  <c r="J102" i="63"/>
  <c r="J29" i="63"/>
  <c r="AZ183" i="47"/>
  <c r="F15" i="66"/>
  <c r="L7" i="65"/>
  <c r="BF7" i="47"/>
  <c r="L15" i="35"/>
  <c r="BA12" i="47"/>
  <c r="G12" i="65"/>
  <c r="G15" i="35"/>
  <c r="AG96" i="37"/>
  <c r="J7" i="65"/>
  <c r="BD7" i="47"/>
  <c r="BF188" i="47"/>
  <c r="L20" i="66"/>
  <c r="BG10" i="47"/>
  <c r="M10" i="65"/>
  <c r="H20" i="66"/>
  <c r="BB188" i="47"/>
  <c r="G33" i="65"/>
  <c r="G17" i="63"/>
  <c r="BA27" i="47"/>
  <c r="G90" i="63"/>
  <c r="L11" i="65"/>
  <c r="BF11" i="47"/>
  <c r="L8" i="65"/>
  <c r="BF8" i="47"/>
  <c r="BB14" i="47"/>
  <c r="H19" i="65"/>
  <c r="BA10" i="47"/>
  <c r="G10" i="65"/>
  <c r="BC188" i="47"/>
  <c r="I20" i="66"/>
  <c r="H19" i="35"/>
  <c r="L23" i="63"/>
  <c r="L39" i="65"/>
  <c r="BF34" i="47"/>
  <c r="L96" i="63"/>
  <c r="M30" i="65"/>
  <c r="M87" i="63"/>
  <c r="M14" i="63"/>
  <c r="BG24" i="47"/>
  <c r="I91" i="63"/>
  <c r="I34" i="65"/>
  <c r="I18" i="63"/>
  <c r="BC28" i="47"/>
  <c r="BG64" i="47"/>
  <c r="AZ42" i="47"/>
  <c r="E23" i="66"/>
  <c r="AY191" i="47"/>
  <c r="F9" i="54"/>
  <c r="F20" i="66"/>
  <c r="AZ188" i="47"/>
  <c r="J10" i="65"/>
  <c r="BD10" i="47"/>
  <c r="M102" i="63"/>
  <c r="M29" i="63"/>
  <c r="BG45" i="47"/>
  <c r="M45" i="65"/>
  <c r="G23" i="63"/>
  <c r="G96" i="63"/>
  <c r="G39" i="65"/>
  <c r="BA34" i="47"/>
  <c r="F23" i="66"/>
  <c r="AZ191" i="47"/>
  <c r="G9" i="54"/>
  <c r="AY24" i="47"/>
  <c r="E87" i="63"/>
  <c r="E14" i="63"/>
  <c r="E30" i="65"/>
  <c r="AH96" i="1"/>
  <c r="G32" i="65"/>
  <c r="G89" i="63"/>
  <c r="G16" i="63"/>
  <c r="BA26" i="47"/>
  <c r="F9" i="65"/>
  <c r="AZ9" i="47"/>
  <c r="L92" i="63"/>
  <c r="L35" i="65"/>
  <c r="BF29" i="47"/>
  <c r="L19" i="63"/>
  <c r="H15" i="35"/>
  <c r="AY14" i="47"/>
  <c r="E19" i="65"/>
  <c r="M8" i="65"/>
  <c r="BG8" i="47"/>
  <c r="BF17" i="47"/>
  <c r="E15" i="63"/>
  <c r="AY25" i="47"/>
  <c r="E88" i="63"/>
  <c r="E31" i="65"/>
  <c r="BB7" i="47"/>
  <c r="H7" i="65"/>
  <c r="BF169" i="47"/>
  <c r="H30" i="65"/>
  <c r="H87" i="63"/>
  <c r="H14" i="63"/>
  <c r="BB24" i="47"/>
  <c r="BA14" i="47"/>
  <c r="G19" i="65"/>
  <c r="E17" i="66"/>
  <c r="AY185" i="47"/>
  <c r="BE7" i="47"/>
  <c r="K7" i="65"/>
  <c r="G20" i="66"/>
  <c r="BA188" i="47"/>
  <c r="K19" i="63"/>
  <c r="K92" i="63"/>
  <c r="BE29" i="47"/>
  <c r="K35" i="65"/>
  <c r="BE9" i="47"/>
  <c r="K9" i="65"/>
  <c r="AD96" i="40"/>
  <c r="AE96" i="1"/>
  <c r="AE96" i="41"/>
  <c r="AD96" i="1"/>
  <c r="AE96" i="39"/>
  <c r="AF96" i="41"/>
  <c r="AY69" i="47"/>
  <c r="AD96" i="26"/>
  <c r="AF96" i="39"/>
  <c r="AG96" i="25"/>
  <c r="AH96" i="25"/>
  <c r="AH96" i="26"/>
  <c r="AH96" i="36"/>
  <c r="AH96" i="40"/>
  <c r="J16" i="66"/>
  <c r="BD184" i="47"/>
  <c r="BE185" i="47"/>
  <c r="K17" i="66"/>
  <c r="BC42" i="47"/>
  <c r="M16" i="63"/>
  <c r="M32" i="65"/>
  <c r="BG26" i="47"/>
  <c r="M89" i="63"/>
  <c r="BC189" i="47"/>
  <c r="I21" i="66"/>
  <c r="BD23" i="47"/>
  <c r="J86" i="63"/>
  <c r="J29" i="65"/>
  <c r="K15" i="44"/>
  <c r="J13" i="63"/>
  <c r="M15" i="44"/>
  <c r="L13" i="63"/>
  <c r="L29" i="65"/>
  <c r="L86" i="63"/>
  <c r="BF23" i="47"/>
  <c r="BC14" i="47"/>
  <c r="I19" i="65"/>
  <c r="BB64" i="47"/>
  <c r="H11" i="65"/>
  <c r="BB11" i="47"/>
  <c r="BC187" i="47"/>
  <c r="I19" i="66"/>
  <c r="AZ187" i="47"/>
  <c r="F19" i="66"/>
  <c r="H33" i="65"/>
  <c r="BB27" i="47"/>
  <c r="H90" i="63"/>
  <c r="H17" i="63"/>
  <c r="AY188" i="47"/>
  <c r="E20" i="66"/>
  <c r="F19" i="65"/>
  <c r="AZ14" i="47"/>
  <c r="G18" i="66"/>
  <c r="BA186" i="47"/>
  <c r="G29" i="65"/>
  <c r="H15" i="44"/>
  <c r="G13" i="63"/>
  <c r="BA23" i="47"/>
  <c r="G86" i="63"/>
  <c r="BG7" i="47"/>
  <c r="M7" i="65"/>
  <c r="BG28" i="47"/>
  <c r="M91" i="63"/>
  <c r="M18" i="63"/>
  <c r="M34" i="65"/>
  <c r="AY11" i="47"/>
  <c r="E11" i="65"/>
  <c r="L18" i="63"/>
  <c r="BF28" i="47"/>
  <c r="L34" i="65"/>
  <c r="L91" i="63"/>
  <c r="G43" i="65"/>
  <c r="G100" i="63"/>
  <c r="H9" i="61"/>
  <c r="G27" i="63"/>
  <c r="BA40" i="47"/>
  <c r="BE65" i="47"/>
  <c r="BG187" i="47"/>
  <c r="M19" i="66"/>
  <c r="BG65" i="47"/>
  <c r="E54" i="60"/>
  <c r="AJ45" i="1"/>
  <c r="M35" i="65"/>
  <c r="M92" i="63"/>
  <c r="M19" i="63"/>
  <c r="BG29" i="47"/>
  <c r="BD42" i="47"/>
  <c r="L16" i="35"/>
  <c r="E13" i="63"/>
  <c r="AY23" i="47"/>
  <c r="F15" i="44"/>
  <c r="E86" i="63"/>
  <c r="E29" i="65"/>
  <c r="AY187" i="47"/>
  <c r="E19" i="66"/>
  <c r="M17" i="35"/>
  <c r="M90" i="63"/>
  <c r="M33" i="65"/>
  <c r="BG27" i="47"/>
  <c r="M17" i="63"/>
  <c r="AY183" i="47"/>
  <c r="E15" i="66"/>
  <c r="I10" i="65"/>
  <c r="BC10" i="47"/>
  <c r="H9" i="65"/>
  <c r="BB9" i="47"/>
  <c r="K23" i="66"/>
  <c r="BE191" i="47"/>
  <c r="L9" i="54"/>
  <c r="BA185" i="47"/>
  <c r="G17" i="66"/>
  <c r="M43" i="65"/>
  <c r="N9" i="61"/>
  <c r="BG40" i="47"/>
  <c r="M100" i="63"/>
  <c r="M27" i="63"/>
  <c r="G9" i="65"/>
  <c r="BA9" i="47"/>
  <c r="BA29" i="47"/>
  <c r="G19" i="63"/>
  <c r="G35" i="65"/>
  <c r="G92" i="63"/>
  <c r="F86" i="63"/>
  <c r="F13" i="63"/>
  <c r="F29" i="65"/>
  <c r="AZ23" i="47"/>
  <c r="G15" i="44"/>
  <c r="AJ45" i="37"/>
  <c r="H54" i="60"/>
  <c r="F96" i="63"/>
  <c r="F23" i="63"/>
  <c r="F39" i="65"/>
  <c r="AZ34" i="47"/>
  <c r="BB169" i="47"/>
  <c r="BF33" i="47"/>
  <c r="L22" i="63"/>
  <c r="L38" i="65"/>
  <c r="L95" i="63"/>
  <c r="BD69" i="47"/>
  <c r="M86" i="63"/>
  <c r="M13" i="63"/>
  <c r="BG23" i="47"/>
  <c r="N15" i="44"/>
  <c r="M29" i="65"/>
  <c r="H12" i="65"/>
  <c r="BB12" i="47"/>
  <c r="BG189" i="47"/>
  <c r="M21" i="66"/>
  <c r="BG191" i="47"/>
  <c r="M23" i="66"/>
  <c r="N9" i="54"/>
  <c r="AI9" i="41"/>
  <c r="BC186" i="47"/>
  <c r="I18" i="66"/>
  <c r="H19" i="66"/>
  <c r="BB187" i="47"/>
  <c r="G15" i="66"/>
  <c r="BA183" i="47"/>
  <c r="M15" i="66"/>
  <c r="BG183" i="47"/>
  <c r="BG69" i="47"/>
  <c r="AG96" i="1"/>
  <c r="AE96" i="26"/>
  <c r="AF96" i="38"/>
  <c r="AG96" i="39"/>
  <c r="AG96" i="26"/>
  <c r="AD96" i="25"/>
  <c r="BF65" i="47"/>
  <c r="AZ17" i="47"/>
  <c r="J38" i="65"/>
  <c r="BD33" i="47"/>
  <c r="J22" i="63"/>
  <c r="J95" i="63"/>
  <c r="BA16" i="47"/>
  <c r="G21" i="65"/>
  <c r="M31" i="65"/>
  <c r="BG25" i="47"/>
  <c r="M15" i="63"/>
  <c r="M88" i="63"/>
  <c r="AY44" i="3"/>
  <c r="BG169" i="47"/>
  <c r="J20" i="66"/>
  <c r="BD188" i="47"/>
  <c r="BC33" i="47"/>
  <c r="I38" i="65"/>
  <c r="I22" i="63"/>
  <c r="I95" i="63"/>
  <c r="G38" i="65"/>
  <c r="G22" i="63"/>
  <c r="BA33" i="47"/>
  <c r="G95" i="63"/>
  <c r="K15" i="66"/>
  <c r="BE183" i="47"/>
  <c r="BD186" i="47"/>
  <c r="J18" i="66"/>
  <c r="BC45" i="47"/>
  <c r="I102" i="63"/>
  <c r="I45" i="65"/>
  <c r="I29" i="63"/>
  <c r="L87" i="63"/>
  <c r="L14" i="63"/>
  <c r="L30" i="65"/>
  <c r="BF24" i="47"/>
  <c r="M20" i="66"/>
  <c r="BG188" i="47"/>
  <c r="M17" i="66"/>
  <c r="BG185" i="47"/>
  <c r="BB65" i="47"/>
  <c r="BA191" i="47"/>
  <c r="H9" i="54"/>
  <c r="G23" i="66"/>
  <c r="J21" i="66"/>
  <c r="BD189" i="47"/>
  <c r="BC191" i="47"/>
  <c r="J9" i="54"/>
  <c r="I23" i="66"/>
  <c r="BE10" i="47"/>
  <c r="K10" i="65"/>
  <c r="E45" i="65"/>
  <c r="E29" i="63"/>
  <c r="AY45" i="47"/>
  <c r="E102" i="63"/>
  <c r="H18" i="66"/>
  <c r="BB186" i="47"/>
  <c r="BB29" i="47"/>
  <c r="H92" i="63"/>
  <c r="H19" i="63"/>
  <c r="H35" i="65"/>
  <c r="K16" i="63"/>
  <c r="BE26" i="47"/>
  <c r="K32" i="65"/>
  <c r="K89" i="63"/>
  <c r="BB183" i="47"/>
  <c r="H15" i="66"/>
  <c r="BE189" i="47"/>
  <c r="K21" i="66"/>
  <c r="AY184" i="47"/>
  <c r="E16" i="66"/>
  <c r="F17" i="66"/>
  <c r="AZ185" i="47"/>
  <c r="AZ189" i="47"/>
  <c r="F21" i="66"/>
  <c r="F30" i="65"/>
  <c r="F87" i="63"/>
  <c r="F14" i="63"/>
  <c r="AZ24" i="47"/>
  <c r="AZ11" i="47"/>
  <c r="F11" i="65"/>
  <c r="E35" i="65"/>
  <c r="E92" i="63"/>
  <c r="AY29" i="47"/>
  <c r="E19" i="63"/>
  <c r="M9" i="65"/>
  <c r="BG9" i="47"/>
  <c r="I21" i="65"/>
  <c r="BC16" i="47"/>
  <c r="AF96" i="26"/>
  <c r="BC69" i="47"/>
  <c r="AH96" i="37"/>
  <c r="AH96" i="39"/>
  <c r="AZ65" i="47"/>
  <c r="BB42" i="47"/>
  <c r="AZ10" i="47"/>
  <c r="F10" i="65"/>
  <c r="BD65" i="47"/>
  <c r="AY65" i="47"/>
  <c r="M12" i="65"/>
  <c r="BG12" i="47"/>
  <c r="K90" i="63"/>
  <c r="BE27" i="47"/>
  <c r="K17" i="63"/>
  <c r="K33" i="65"/>
  <c r="BF189" i="47"/>
  <c r="L21" i="66"/>
  <c r="BF42" i="47"/>
  <c r="J17" i="63"/>
  <c r="BD27" i="47"/>
  <c r="J33" i="65"/>
  <c r="J90" i="63"/>
  <c r="J16" i="63"/>
  <c r="J32" i="65"/>
  <c r="BD26" i="47"/>
  <c r="J89" i="63"/>
  <c r="E21" i="66"/>
  <c r="AY189" i="47"/>
  <c r="BD64" i="47"/>
  <c r="AD96" i="36"/>
  <c r="AH96" i="38"/>
  <c r="BA69" i="47"/>
  <c r="BB189" i="47"/>
  <c r="H21" i="66"/>
  <c r="I27" i="63"/>
  <c r="I100" i="63"/>
  <c r="I43" i="65"/>
  <c r="BC40" i="47"/>
  <c r="J9" i="61"/>
  <c r="G19" i="66"/>
  <c r="BA187" i="47"/>
  <c r="E8" i="66"/>
  <c r="AY181" i="47"/>
  <c r="H29" i="63"/>
  <c r="H102" i="63"/>
  <c r="H45" i="65"/>
  <c r="BB45" i="47"/>
  <c r="AY28" i="47"/>
  <c r="E34" i="65"/>
  <c r="E91" i="63"/>
  <c r="E18" i="63"/>
  <c r="AI9" i="37"/>
  <c r="BA65" i="47"/>
  <c r="J8" i="65"/>
  <c r="BD8" i="47"/>
  <c r="E22" i="63"/>
  <c r="E95" i="63"/>
  <c r="E38" i="65"/>
  <c r="AY33" i="47"/>
  <c r="AY42" i="47"/>
  <c r="AZ186" i="47"/>
  <c r="F18" i="66"/>
  <c r="BC183" i="47"/>
  <c r="I15" i="66"/>
  <c r="M95" i="63"/>
  <c r="M38" i="65"/>
  <c r="BG33" i="47"/>
  <c r="M22" i="63"/>
  <c r="AX44" i="3"/>
  <c r="AY169" i="47"/>
  <c r="I18" i="35"/>
  <c r="BF186" i="47"/>
  <c r="L18" i="66"/>
  <c r="M9" i="54"/>
  <c r="L23" i="66"/>
  <c r="BF191" i="47"/>
  <c r="G87" i="63"/>
  <c r="BA24" i="47"/>
  <c r="G30" i="65"/>
  <c r="G14" i="63"/>
  <c r="G9" i="61"/>
  <c r="F27" i="63"/>
  <c r="F43" i="65"/>
  <c r="AZ40" i="47"/>
  <c r="F100" i="63"/>
  <c r="BD34" i="47"/>
  <c r="J39" i="65"/>
  <c r="J23" i="63"/>
  <c r="J96" i="63"/>
  <c r="J19" i="66"/>
  <c r="BD187" i="47"/>
  <c r="I29" i="65"/>
  <c r="I86" i="63"/>
  <c r="BC23" i="47"/>
  <c r="J15" i="44"/>
  <c r="I13" i="63"/>
  <c r="F95" i="63"/>
  <c r="F22" i="63"/>
  <c r="F38" i="65"/>
  <c r="AZ33" i="47"/>
  <c r="BD183" i="47"/>
  <c r="J15" i="66"/>
  <c r="J35" i="65"/>
  <c r="J92" i="63"/>
  <c r="J19" i="63"/>
  <c r="BD29" i="47"/>
  <c r="BA42" i="47"/>
  <c r="BC24" i="47"/>
  <c r="I87" i="63"/>
  <c r="I14" i="63"/>
  <c r="I30" i="65"/>
  <c r="L10" i="65"/>
  <c r="BF10" i="47"/>
  <c r="I9" i="54"/>
  <c r="H23" i="66"/>
  <c r="BB191" i="47"/>
  <c r="BF187" i="47"/>
  <c r="L19" i="66"/>
  <c r="K20" i="66"/>
  <c r="BE188" i="47"/>
  <c r="BC17" i="47"/>
  <c r="I33" i="65"/>
  <c r="I17" i="63"/>
  <c r="BC27" i="47"/>
  <c r="I90" i="63"/>
  <c r="BA64" i="47"/>
  <c r="AY186" i="47"/>
  <c r="E18" i="66"/>
  <c r="F92" i="63"/>
  <c r="F35" i="65"/>
  <c r="AZ29" i="47"/>
  <c r="F19" i="63"/>
  <c r="L17" i="63"/>
  <c r="L33" i="65"/>
  <c r="BF27" i="47"/>
  <c r="L90" i="63"/>
  <c r="H16" i="35"/>
  <c r="J19" i="35"/>
  <c r="M18" i="35"/>
  <c r="G16" i="66"/>
  <c r="BA184" i="47"/>
  <c r="BE186" i="47"/>
  <c r="K18" i="66"/>
  <c r="L16" i="63"/>
  <c r="L89" i="63"/>
  <c r="BF26" i="47"/>
  <c r="L32" i="65"/>
  <c r="AZ69" i="47"/>
  <c r="AG96" i="41"/>
  <c r="BE69" i="47"/>
  <c r="I9" i="65"/>
  <c r="BC9" i="47"/>
  <c r="BB34" i="47"/>
  <c r="H96" i="63"/>
  <c r="H23" i="63"/>
  <c r="H39" i="65"/>
  <c r="G21" i="66"/>
  <c r="BA189" i="47"/>
  <c r="M18" i="66"/>
  <c r="BG186" i="47"/>
  <c r="K19" i="66"/>
  <c r="BE187" i="47"/>
  <c r="L88" i="63"/>
  <c r="L31" i="65"/>
  <c r="L15" i="63"/>
  <c r="BF25" i="47"/>
  <c r="E10" i="65"/>
  <c r="AY10" i="47"/>
  <c r="AJ45" i="25"/>
  <c r="F54" i="60"/>
  <c r="BC185" i="47"/>
  <c r="I17" i="66"/>
  <c r="BG184" i="47"/>
  <c r="M16" i="66"/>
  <c r="AY26" i="47"/>
  <c r="E89" i="63"/>
  <c r="E32" i="65"/>
  <c r="E16" i="63"/>
  <c r="F16" i="66"/>
  <c r="AZ184" i="47"/>
  <c r="AZ7" i="47"/>
  <c r="F7" i="65"/>
  <c r="L17" i="66"/>
  <c r="BF185" i="47"/>
  <c r="BD191" i="47"/>
  <c r="K9" i="54"/>
  <c r="J23" i="66"/>
  <c r="L19" i="35"/>
  <c r="M19" i="65"/>
  <c r="BG14" i="47"/>
  <c r="J16" i="35"/>
  <c r="BD185" i="47"/>
  <c r="J17" i="66"/>
  <c r="I89" i="63"/>
  <c r="BC26" i="47"/>
  <c r="I32" i="65"/>
  <c r="I16" i="63"/>
  <c r="K389" i="35" l="1"/>
  <c r="K263" i="35"/>
  <c r="F235" i="35"/>
  <c r="F386" i="35"/>
  <c r="I390" i="35"/>
  <c r="I276" i="35"/>
  <c r="BE284" i="47"/>
  <c r="K69" i="65"/>
  <c r="I235" i="35"/>
  <c r="I386" i="35"/>
  <c r="G72" i="65"/>
  <c r="BA288" i="47"/>
  <c r="G276" i="35"/>
  <c r="G390" i="35"/>
  <c r="J389" i="35"/>
  <c r="J263" i="35"/>
  <c r="BL32" i="36"/>
  <c r="F43" i="54"/>
  <c r="BC288" i="47"/>
  <c r="I72" i="65"/>
  <c r="BG284" i="47"/>
  <c r="M69" i="65"/>
  <c r="H276" i="35"/>
  <c r="H390" i="35"/>
  <c r="BA287" i="47"/>
  <c r="G71" i="65"/>
  <c r="AG97" i="37"/>
  <c r="AG99" i="37"/>
  <c r="AG106" i="37" s="1"/>
  <c r="AG109" i="37" s="1"/>
  <c r="G235" i="35"/>
  <c r="G386" i="35"/>
  <c r="L235" i="35"/>
  <c r="L386" i="35"/>
  <c r="K73" i="65"/>
  <c r="BE289" i="47"/>
  <c r="BB284" i="47"/>
  <c r="H69" i="65"/>
  <c r="E68" i="65"/>
  <c r="AY285" i="47"/>
  <c r="H386" i="35"/>
  <c r="H235" i="35"/>
  <c r="H238" i="35" s="1"/>
  <c r="BF289" i="47"/>
  <c r="L73" i="65"/>
  <c r="BA286" i="47"/>
  <c r="G70" i="65"/>
  <c r="AH99" i="1"/>
  <c r="AH106" i="1" s="1"/>
  <c r="AH109" i="1" s="1"/>
  <c r="AH97" i="1"/>
  <c r="E69" i="65"/>
  <c r="AY284" i="47"/>
  <c r="G43" i="54"/>
  <c r="G46" i="54" s="1"/>
  <c r="AZ374" i="47"/>
  <c r="I70" i="65"/>
  <c r="BC286" i="47"/>
  <c r="J387" i="35"/>
  <c r="J249" i="35"/>
  <c r="L390" i="35"/>
  <c r="L276" i="35"/>
  <c r="K43" i="54"/>
  <c r="F13" i="65"/>
  <c r="F18" i="65" s="1"/>
  <c r="AZ13" i="47"/>
  <c r="E70" i="65"/>
  <c r="AY286" i="47"/>
  <c r="AE24" i="60"/>
  <c r="AP24" i="60" s="1"/>
  <c r="AJ46" i="25"/>
  <c r="AJ84" i="25" s="1"/>
  <c r="AJ109" i="25" s="1"/>
  <c r="AY13" i="47"/>
  <c r="E13" i="65"/>
  <c r="E18" i="65" s="1"/>
  <c r="BF285" i="47"/>
  <c r="L68" i="65"/>
  <c r="BC13" i="47"/>
  <c r="I13" i="65"/>
  <c r="I18" i="65" s="1"/>
  <c r="AG99" i="41"/>
  <c r="AG106" i="41" s="1"/>
  <c r="AG109" i="41" s="1"/>
  <c r="AG97" i="41"/>
  <c r="L70" i="65"/>
  <c r="BF286" i="47"/>
  <c r="M263" i="35"/>
  <c r="M389" i="35"/>
  <c r="J276" i="35"/>
  <c r="J390" i="35"/>
  <c r="H249" i="35"/>
  <c r="H387" i="35"/>
  <c r="BF287" i="47"/>
  <c r="L71" i="65"/>
  <c r="AZ289" i="47"/>
  <c r="F73" i="65"/>
  <c r="BC287" i="47"/>
  <c r="I71" i="65"/>
  <c r="I43" i="54"/>
  <c r="BF13" i="47"/>
  <c r="L13" i="65"/>
  <c r="L18" i="65" s="1"/>
  <c r="I69" i="65"/>
  <c r="BC284" i="47"/>
  <c r="BD289" i="47"/>
  <c r="J73" i="65"/>
  <c r="BC283" i="47"/>
  <c r="I109" i="63"/>
  <c r="I120" i="63"/>
  <c r="I67" i="65"/>
  <c r="G69" i="65"/>
  <c r="BA284" i="47"/>
  <c r="M43" i="54"/>
  <c r="I263" i="35"/>
  <c r="I389" i="35"/>
  <c r="BD13" i="47"/>
  <c r="J13" i="65"/>
  <c r="J18" i="65" s="1"/>
  <c r="AI11" i="37"/>
  <c r="AI15" i="37" s="1"/>
  <c r="AI40" i="37" s="1"/>
  <c r="AI109" i="37" s="1"/>
  <c r="E72" i="65"/>
  <c r="AY288" i="47"/>
  <c r="AH99" i="38"/>
  <c r="AH106" i="38" s="1"/>
  <c r="AH109" i="38" s="1"/>
  <c r="AH97" i="38"/>
  <c r="AD99" i="36"/>
  <c r="AD106" i="36" s="1"/>
  <c r="AD109" i="36" s="1"/>
  <c r="AD97" i="36"/>
  <c r="BD286" i="47"/>
  <c r="J70" i="65"/>
  <c r="J71" i="65"/>
  <c r="BD287" i="47"/>
  <c r="K71" i="65"/>
  <c r="BE287" i="47"/>
  <c r="AH99" i="39"/>
  <c r="AH106" i="39" s="1"/>
  <c r="AH109" i="39" s="1"/>
  <c r="AH97" i="39"/>
  <c r="AH99" i="37"/>
  <c r="AH106" i="37" s="1"/>
  <c r="AH109" i="37" s="1"/>
  <c r="AH97" i="37"/>
  <c r="AF99" i="26"/>
  <c r="AF106" i="26" s="1"/>
  <c r="AF109" i="26" s="1"/>
  <c r="AF97" i="26"/>
  <c r="AY289" i="47"/>
  <c r="E73" i="65"/>
  <c r="AZ284" i="47"/>
  <c r="F69" i="65"/>
  <c r="K70" i="65"/>
  <c r="BE286" i="47"/>
  <c r="H73" i="65"/>
  <c r="BB289" i="47"/>
  <c r="K13" i="65"/>
  <c r="K18" i="65" s="1"/>
  <c r="BE13" i="47"/>
  <c r="J43" i="54"/>
  <c r="H43" i="54"/>
  <c r="H46" i="54" s="1"/>
  <c r="BF284" i="47"/>
  <c r="L69" i="65"/>
  <c r="BG285" i="47"/>
  <c r="M68" i="65"/>
  <c r="AD99" i="25"/>
  <c r="AD106" i="25" s="1"/>
  <c r="AD109" i="25" s="1"/>
  <c r="AD97" i="25"/>
  <c r="AG99" i="26"/>
  <c r="AG106" i="26" s="1"/>
  <c r="AG109" i="26" s="1"/>
  <c r="AG97" i="26"/>
  <c r="AG99" i="39"/>
  <c r="AG106" i="39" s="1"/>
  <c r="AG109" i="39" s="1"/>
  <c r="AG97" i="39"/>
  <c r="AF99" i="38"/>
  <c r="AF106" i="38" s="1"/>
  <c r="AF109" i="38" s="1"/>
  <c r="AF97" i="38"/>
  <c r="AE99" i="26"/>
  <c r="AE106" i="26" s="1"/>
  <c r="AE109" i="26" s="1"/>
  <c r="AE97" i="26"/>
  <c r="AG99" i="1"/>
  <c r="AG106" i="1" s="1"/>
  <c r="AG109" i="1" s="1"/>
  <c r="AG97" i="1"/>
  <c r="AI11" i="41"/>
  <c r="AI15" i="41" s="1"/>
  <c r="AI40" i="41" s="1"/>
  <c r="AI109" i="41" s="1"/>
  <c r="N43" i="54"/>
  <c r="M67" i="65"/>
  <c r="BG283" i="47"/>
  <c r="M109" i="63"/>
  <c r="M120" i="63"/>
  <c r="AG24" i="60"/>
  <c r="AR24" i="60" s="1"/>
  <c r="AJ46" i="37"/>
  <c r="AJ84" i="37" s="1"/>
  <c r="AJ109" i="37" s="1"/>
  <c r="AZ283" i="47"/>
  <c r="F67" i="65"/>
  <c r="F109" i="63"/>
  <c r="F120" i="63"/>
  <c r="G73" i="65"/>
  <c r="BA289" i="47"/>
  <c r="BA13" i="47"/>
  <c r="G13" i="65"/>
  <c r="G18" i="65" s="1"/>
  <c r="AZ372" i="47"/>
  <c r="L43" i="54"/>
  <c r="BB13" i="47"/>
  <c r="H13" i="65"/>
  <c r="H18" i="65" s="1"/>
  <c r="BG287" i="47"/>
  <c r="M71" i="65"/>
  <c r="M388" i="35"/>
  <c r="M290" i="35"/>
  <c r="E67" i="65"/>
  <c r="E109" i="63"/>
  <c r="E120" i="63"/>
  <c r="AY283" i="47"/>
  <c r="L249" i="35"/>
  <c r="L387" i="35"/>
  <c r="BG289" i="47"/>
  <c r="M73" i="65"/>
  <c r="AJ46" i="1"/>
  <c r="AK45" i="1"/>
  <c r="AD24" i="60"/>
  <c r="AO24" i="60" s="1"/>
  <c r="S25" i="60"/>
  <c r="AO25" i="60" s="1"/>
  <c r="L72" i="65"/>
  <c r="BF288" i="47"/>
  <c r="M72" i="65"/>
  <c r="BG288" i="47"/>
  <c r="M13" i="65"/>
  <c r="M18" i="65" s="1"/>
  <c r="BG13" i="47"/>
  <c r="G120" i="63"/>
  <c r="G109" i="63"/>
  <c r="BA283" i="47"/>
  <c r="G67" i="65"/>
  <c r="BB287" i="47"/>
  <c r="H71" i="65"/>
  <c r="BF283" i="47"/>
  <c r="L120" i="63"/>
  <c r="L109" i="63"/>
  <c r="L67" i="65"/>
  <c r="J67" i="65"/>
  <c r="J109" i="63"/>
  <c r="J120" i="63"/>
  <c r="BD283" i="47"/>
  <c r="BG286" i="47"/>
  <c r="M70" i="65"/>
  <c r="AH99" i="40"/>
  <c r="AH106" i="40" s="1"/>
  <c r="AH109" i="40" s="1"/>
  <c r="AH97" i="40"/>
  <c r="AH99" i="36"/>
  <c r="AH106" i="36" s="1"/>
  <c r="AH109" i="36" s="1"/>
  <c r="AH97" i="36"/>
  <c r="AH99" i="26"/>
  <c r="AH106" i="26" s="1"/>
  <c r="AH109" i="26" s="1"/>
  <c r="AH97" i="26"/>
  <c r="AH99" i="25"/>
  <c r="AH106" i="25" s="1"/>
  <c r="AH109" i="25" s="1"/>
  <c r="AH97" i="25"/>
  <c r="AG99" i="25"/>
  <c r="AG106" i="25" s="1"/>
  <c r="AG109" i="25" s="1"/>
  <c r="AG97" i="25"/>
  <c r="AF99" i="39"/>
  <c r="AF106" i="39" s="1"/>
  <c r="AF109" i="39" s="1"/>
  <c r="AF97" i="39"/>
  <c r="AD99" i="26"/>
  <c r="AD106" i="26" s="1"/>
  <c r="AD109" i="26" s="1"/>
  <c r="AD97" i="26"/>
  <c r="AF99" i="41"/>
  <c r="AF106" i="41" s="1"/>
  <c r="AF109" i="41" s="1"/>
  <c r="AF97" i="41"/>
  <c r="AE99" i="39"/>
  <c r="AE106" i="39" s="1"/>
  <c r="AE109" i="39" s="1"/>
  <c r="AE97" i="39"/>
  <c r="AD99" i="1"/>
  <c r="AD106" i="1" s="1"/>
  <c r="AD109" i="1" s="1"/>
  <c r="AD97" i="1"/>
  <c r="AE99" i="41"/>
  <c r="AE106" i="41" s="1"/>
  <c r="AE109" i="41" s="1"/>
  <c r="AE97" i="41"/>
  <c r="AE99" i="1"/>
  <c r="AE106" i="1" s="1"/>
  <c r="AE109" i="1" s="1"/>
  <c r="AE97" i="1"/>
  <c r="AD99" i="40"/>
  <c r="AD106" i="40" s="1"/>
  <c r="AD109" i="40" s="1"/>
  <c r="AD97" i="40"/>
  <c r="J778" i="4"/>
  <c r="J781" i="4"/>
  <c r="J786" i="4"/>
  <c r="J1008" i="4"/>
  <c r="I767" i="4"/>
  <c r="I783" i="4" s="1"/>
  <c r="I766" i="4"/>
  <c r="I770" i="4"/>
  <c r="I777" i="4"/>
  <c r="I793" i="4" s="1"/>
  <c r="I773" i="4"/>
  <c r="I789" i="4" s="1"/>
  <c r="I776" i="4"/>
  <c r="I772" i="4"/>
  <c r="I788" i="4" s="1"/>
  <c r="I775" i="4"/>
  <c r="I768" i="4"/>
  <c r="I769" i="4"/>
  <c r="I774" i="4"/>
  <c r="I790" i="4" s="1"/>
  <c r="I771" i="4"/>
  <c r="I765" i="4"/>
  <c r="G279" i="35"/>
  <c r="G337" i="35" s="1"/>
  <c r="G287" i="35"/>
  <c r="G339" i="35" s="1"/>
  <c r="G283" i="35"/>
  <c r="G338" i="35" s="1"/>
  <c r="H145" i="55"/>
  <c r="H152" i="55" s="1"/>
  <c r="H119" i="55"/>
  <c r="H212" i="55"/>
  <c r="H118" i="55"/>
  <c r="H117" i="55"/>
  <c r="L792" i="4"/>
  <c r="L1014" i="4"/>
  <c r="L781" i="4"/>
  <c r="L778" i="4"/>
  <c r="J782" i="4"/>
  <c r="K784" i="4"/>
  <c r="K782" i="4"/>
  <c r="H778" i="4"/>
  <c r="H781" i="4"/>
  <c r="F784" i="4"/>
  <c r="I128" i="61"/>
  <c r="I177" i="61" s="1"/>
  <c r="L266" i="35"/>
  <c r="L334" i="35" s="1"/>
  <c r="L274" i="35"/>
  <c r="L336" i="35" s="1"/>
  <c r="L270" i="35"/>
  <c r="L335" i="35" s="1"/>
  <c r="AM109" i="37"/>
  <c r="L782" i="4"/>
  <c r="L785" i="4"/>
  <c r="AM109" i="26"/>
  <c r="G146" i="55"/>
  <c r="G153" i="55" s="1"/>
  <c r="G122" i="55"/>
  <c r="G137" i="55"/>
  <c r="G142" i="55"/>
  <c r="G149" i="55" s="1"/>
  <c r="G127" i="55"/>
  <c r="K792" i="4"/>
  <c r="K1014" i="4"/>
  <c r="K785" i="4"/>
  <c r="M769" i="4"/>
  <c r="M770" i="4"/>
  <c r="M765" i="4"/>
  <c r="M771" i="4"/>
  <c r="M776" i="4"/>
  <c r="M772" i="4"/>
  <c r="M788" i="4" s="1"/>
  <c r="M768" i="4"/>
  <c r="M777" i="4"/>
  <c r="M793" i="4" s="1"/>
  <c r="M775" i="4"/>
  <c r="M774" i="4"/>
  <c r="M790" i="4" s="1"/>
  <c r="M767" i="4"/>
  <c r="M783" i="4" s="1"/>
  <c r="M773" i="4"/>
  <c r="M789" i="4" s="1"/>
  <c r="M766" i="4"/>
  <c r="H1008" i="4"/>
  <c r="H786" i="4"/>
  <c r="H782" i="4"/>
  <c r="N1008" i="4"/>
  <c r="N786" i="4"/>
  <c r="F1013" i="4"/>
  <c r="F791" i="4"/>
  <c r="F785" i="4"/>
  <c r="F782" i="4"/>
  <c r="BL32" i="37"/>
  <c r="G782" i="4"/>
  <c r="G791" i="4"/>
  <c r="G1013" i="4"/>
  <c r="I1223" i="4"/>
  <c r="G270" i="35"/>
  <c r="G335" i="35" s="1"/>
  <c r="G266" i="35"/>
  <c r="G334" i="35" s="1"/>
  <c r="G274" i="35"/>
  <c r="G336" i="35" s="1"/>
  <c r="N252" i="35"/>
  <c r="N331" i="35" s="1"/>
  <c r="N260" i="35"/>
  <c r="N333" i="35" s="1"/>
  <c r="N256" i="35"/>
  <c r="N332" i="35" s="1"/>
  <c r="I242" i="35"/>
  <c r="I246" i="35"/>
  <c r="I238" i="35"/>
  <c r="L246" i="35"/>
  <c r="L242" i="35"/>
  <c r="L238" i="35"/>
  <c r="K252" i="35"/>
  <c r="K331" i="35" s="1"/>
  <c r="K260" i="35"/>
  <c r="K333" i="35" s="1"/>
  <c r="K256" i="35"/>
  <c r="K332" i="35" s="1"/>
  <c r="I293" i="35"/>
  <c r="I340" i="35" s="1"/>
  <c r="I297" i="35"/>
  <c r="I341" i="35" s="1"/>
  <c r="I301" i="35"/>
  <c r="I342" i="35" s="1"/>
  <c r="J266" i="35"/>
  <c r="J334" i="35" s="1"/>
  <c r="J274" i="35"/>
  <c r="J336" i="35" s="1"/>
  <c r="J270" i="35"/>
  <c r="J335" i="35" s="1"/>
  <c r="N128" i="61"/>
  <c r="N177" i="61" s="1"/>
  <c r="J128" i="61"/>
  <c r="J177" i="61" s="1"/>
  <c r="N279" i="35"/>
  <c r="N337" i="35" s="1"/>
  <c r="N287" i="35"/>
  <c r="N339" i="35" s="1"/>
  <c r="N283" i="35"/>
  <c r="N338" i="35" s="1"/>
  <c r="F256" i="35"/>
  <c r="F332" i="35" s="1"/>
  <c r="F260" i="35"/>
  <c r="F333" i="35" s="1"/>
  <c r="F252" i="35"/>
  <c r="F331" i="35" s="1"/>
  <c r="J145" i="55"/>
  <c r="J152" i="55" s="1"/>
  <c r="J118" i="55"/>
  <c r="J212" i="55"/>
  <c r="J117" i="55"/>
  <c r="J119" i="55"/>
  <c r="I123" i="55"/>
  <c r="I138" i="55"/>
  <c r="I143" i="55"/>
  <c r="L784" i="4"/>
  <c r="L787" i="4"/>
  <c r="L1009" i="4"/>
  <c r="AM109" i="40"/>
  <c r="H1009" i="4"/>
  <c r="H787" i="4"/>
  <c r="N784" i="4"/>
  <c r="N785" i="4"/>
  <c r="F1014" i="4"/>
  <c r="F792" i="4"/>
  <c r="G778" i="4"/>
  <c r="G781" i="4"/>
  <c r="K212" i="55"/>
  <c r="K117" i="55"/>
  <c r="K145" i="55"/>
  <c r="K119" i="55"/>
  <c r="K118" i="55"/>
  <c r="G297" i="35"/>
  <c r="G341" i="35" s="1"/>
  <c r="F359" i="35" s="1"/>
  <c r="G293" i="35"/>
  <c r="G340" i="35" s="1"/>
  <c r="F358" i="35" s="1"/>
  <c r="G301" i="35"/>
  <c r="G342" i="35" s="1"/>
  <c r="F360" i="35" s="1"/>
  <c r="F246" i="35"/>
  <c r="F238" i="35"/>
  <c r="F242" i="35"/>
  <c r="H128" i="61"/>
  <c r="H177" i="61" s="1"/>
  <c r="K283" i="35"/>
  <c r="K338" i="35" s="1"/>
  <c r="K287" i="35"/>
  <c r="K339" i="35" s="1"/>
  <c r="K279" i="35"/>
  <c r="K337" i="35" s="1"/>
  <c r="F274" i="35"/>
  <c r="F336" i="35" s="1"/>
  <c r="F266" i="35"/>
  <c r="F334" i="35" s="1"/>
  <c r="F270" i="35"/>
  <c r="F335" i="35" s="1"/>
  <c r="K274" i="35"/>
  <c r="K336" i="35" s="1"/>
  <c r="K270" i="35"/>
  <c r="K335" i="35" s="1"/>
  <c r="K266" i="35"/>
  <c r="K334" i="35" s="1"/>
  <c r="M283" i="35"/>
  <c r="M338" i="35" s="1"/>
  <c r="M279" i="35"/>
  <c r="M337" i="35" s="1"/>
  <c r="M287" i="35"/>
  <c r="M339" i="35" s="1"/>
  <c r="F279" i="35"/>
  <c r="F337" i="35" s="1"/>
  <c r="F283" i="35"/>
  <c r="F338" i="35" s="1"/>
  <c r="F287" i="35"/>
  <c r="F339" i="35" s="1"/>
  <c r="I128" i="55"/>
  <c r="I139" i="55"/>
  <c r="I144" i="55"/>
  <c r="L1008" i="4"/>
  <c r="L786" i="4"/>
  <c r="L791" i="4"/>
  <c r="L1013" i="4"/>
  <c r="J1014" i="4"/>
  <c r="J792" i="4"/>
  <c r="J785" i="4"/>
  <c r="J784" i="4"/>
  <c r="G128" i="55"/>
  <c r="G139" i="55"/>
  <c r="G144" i="55"/>
  <c r="G151" i="55" s="1"/>
  <c r="K787" i="4"/>
  <c r="K1009" i="4"/>
  <c r="H1013" i="4"/>
  <c r="H791" i="4"/>
  <c r="H785" i="4"/>
  <c r="H784" i="4"/>
  <c r="N782" i="4"/>
  <c r="N791" i="4"/>
  <c r="N1014" i="4"/>
  <c r="N793" i="4"/>
  <c r="F781" i="4"/>
  <c r="F778" i="4"/>
  <c r="G787" i="4"/>
  <c r="G1009" i="4"/>
  <c r="G792" i="4"/>
  <c r="G1014" i="4"/>
  <c r="AM109" i="25"/>
  <c r="AM109" i="41"/>
  <c r="L293" i="35"/>
  <c r="L340" i="35" s="1"/>
  <c r="L301" i="35"/>
  <c r="L342" i="35" s="1"/>
  <c r="L297" i="35"/>
  <c r="L341" i="35" s="1"/>
  <c r="H301" i="35"/>
  <c r="H342" i="35" s="1"/>
  <c r="G360" i="35" s="1"/>
  <c r="H297" i="35"/>
  <c r="H341" i="35" s="1"/>
  <c r="H293" i="35"/>
  <c r="H340" i="35" s="1"/>
  <c r="N301" i="35"/>
  <c r="N342" i="35" s="1"/>
  <c r="N293" i="35"/>
  <c r="N340" i="35" s="1"/>
  <c r="N297" i="35"/>
  <c r="N341" i="35" s="1"/>
  <c r="G252" i="35"/>
  <c r="G331" i="35" s="1"/>
  <c r="F349" i="35" s="1"/>
  <c r="G260" i="35"/>
  <c r="G333" i="35" s="1"/>
  <c r="F351" i="35" s="1"/>
  <c r="G256" i="35"/>
  <c r="G332" i="35" s="1"/>
  <c r="K242" i="35"/>
  <c r="K246" i="35"/>
  <c r="K238" i="35"/>
  <c r="H131" i="63"/>
  <c r="N266" i="35"/>
  <c r="N334" i="35" s="1"/>
  <c r="N270" i="35"/>
  <c r="N335" i="35" s="1"/>
  <c r="N274" i="35"/>
  <c r="N336" i="35" s="1"/>
  <c r="M128" i="61"/>
  <c r="M177" i="61" s="1"/>
  <c r="L128" i="61"/>
  <c r="L177" i="61" s="1"/>
  <c r="F128" i="61"/>
  <c r="F177" i="61" s="1"/>
  <c r="M238" i="35"/>
  <c r="M246" i="35"/>
  <c r="M242" i="35"/>
  <c r="J293" i="35"/>
  <c r="J340" i="35" s="1"/>
  <c r="J301" i="35"/>
  <c r="J342" i="35" s="1"/>
  <c r="I360" i="35" s="1"/>
  <c r="J297" i="35"/>
  <c r="J341" i="35" s="1"/>
  <c r="I359" i="35" s="1"/>
  <c r="H270" i="35"/>
  <c r="H335" i="35" s="1"/>
  <c r="H266" i="35"/>
  <c r="H334" i="35" s="1"/>
  <c r="H274" i="35"/>
  <c r="H336" i="35" s="1"/>
  <c r="H279" i="35"/>
  <c r="H337" i="35" s="1"/>
  <c r="G355" i="35" s="1"/>
  <c r="H287" i="35"/>
  <c r="H339" i="35" s="1"/>
  <c r="G357" i="35" s="1"/>
  <c r="H283" i="35"/>
  <c r="H338" i="35" s="1"/>
  <c r="G238" i="35"/>
  <c r="G246" i="35"/>
  <c r="G242" i="35"/>
  <c r="G52" i="54"/>
  <c r="G75" i="54" s="1"/>
  <c r="G49" i="54"/>
  <c r="G74" i="54" s="1"/>
  <c r="I142" i="55"/>
  <c r="I137" i="55"/>
  <c r="I241" i="55" s="1"/>
  <c r="I127" i="55"/>
  <c r="I122" i="55"/>
  <c r="I146" i="55"/>
  <c r="M1223" i="4"/>
  <c r="G785" i="4"/>
  <c r="N145" i="55"/>
  <c r="N117" i="55"/>
  <c r="N118" i="55"/>
  <c r="N119" i="55"/>
  <c r="N212" i="55"/>
  <c r="AM109" i="38"/>
  <c r="J1009" i="4"/>
  <c r="J787" i="4"/>
  <c r="J791" i="4"/>
  <c r="J1013" i="4"/>
  <c r="G123" i="55"/>
  <c r="G143" i="55"/>
  <c r="G150" i="55" s="1"/>
  <c r="G138" i="55"/>
  <c r="K786" i="4"/>
  <c r="K1008" i="4"/>
  <c r="K791" i="4"/>
  <c r="K1013" i="4"/>
  <c r="K778" i="4"/>
  <c r="K781" i="4"/>
  <c r="AM109" i="39"/>
  <c r="F214" i="55"/>
  <c r="H1014" i="4"/>
  <c r="H792" i="4"/>
  <c r="N1009" i="4"/>
  <c r="N787" i="4"/>
  <c r="N792" i="4"/>
  <c r="N1013" i="4"/>
  <c r="N778" i="4"/>
  <c r="N781" i="4"/>
  <c r="F787" i="4"/>
  <c r="F1009" i="4"/>
  <c r="F786" i="4"/>
  <c r="F1008" i="4"/>
  <c r="AM109" i="1"/>
  <c r="G784" i="4"/>
  <c r="G786" i="4"/>
  <c r="G1008" i="4"/>
  <c r="AM109" i="36"/>
  <c r="M117" i="55"/>
  <c r="M119" i="55"/>
  <c r="M118" i="55"/>
  <c r="M145" i="55"/>
  <c r="M212" i="55"/>
  <c r="I279" i="35"/>
  <c r="I337" i="35" s="1"/>
  <c r="I287" i="35"/>
  <c r="I339" i="35" s="1"/>
  <c r="I283" i="35"/>
  <c r="I338" i="35" s="1"/>
  <c r="K131" i="63"/>
  <c r="K293" i="35"/>
  <c r="K340" i="35" s="1"/>
  <c r="K297" i="35"/>
  <c r="K341" i="35" s="1"/>
  <c r="K301" i="35"/>
  <c r="K342" i="35" s="1"/>
  <c r="J246" i="35"/>
  <c r="J242" i="35"/>
  <c r="J238" i="35"/>
  <c r="G128" i="61"/>
  <c r="G177" i="61" s="1"/>
  <c r="K128" i="61"/>
  <c r="K177" i="61" s="1"/>
  <c r="M256" i="35"/>
  <c r="M332" i="35" s="1"/>
  <c r="M252" i="35"/>
  <c r="M331" i="35" s="1"/>
  <c r="M260" i="35"/>
  <c r="M333" i="35" s="1"/>
  <c r="L117" i="55"/>
  <c r="L212" i="55"/>
  <c r="L145" i="55"/>
  <c r="L152" i="55" s="1"/>
  <c r="L119" i="55"/>
  <c r="L118" i="55"/>
  <c r="BF385" i="47"/>
  <c r="BH385" i="47" s="1"/>
  <c r="BI385" i="47" s="1"/>
  <c r="N238" i="35"/>
  <c r="N242" i="35"/>
  <c r="N246" i="35"/>
  <c r="AD96" i="39"/>
  <c r="AE96" i="37"/>
  <c r="AF96" i="37"/>
  <c r="AE96" i="25"/>
  <c r="AD96" i="38"/>
  <c r="AF96" i="1"/>
  <c r="AF96" i="25"/>
  <c r="AE96" i="36"/>
  <c r="BB68" i="47"/>
  <c r="AF96" i="40"/>
  <c r="AF96" i="36"/>
  <c r="AG96" i="38"/>
  <c r="BF68" i="47"/>
  <c r="AD96" i="41"/>
  <c r="AG96" i="36"/>
  <c r="AD96" i="37"/>
  <c r="BB69" i="47"/>
  <c r="BG67" i="47"/>
  <c r="BD67" i="47"/>
  <c r="BF67" i="47"/>
  <c r="AY71" i="47"/>
  <c r="BE71" i="47"/>
  <c r="BH53" i="26"/>
  <c r="BE38" i="47"/>
  <c r="K41" i="65"/>
  <c r="K98" i="63"/>
  <c r="K25" i="63"/>
  <c r="J54" i="60"/>
  <c r="AJ45" i="39"/>
  <c r="F25" i="63"/>
  <c r="AZ38" i="47"/>
  <c r="F98" i="63"/>
  <c r="F41" i="65"/>
  <c r="BA71" i="47"/>
  <c r="BG68" i="47"/>
  <c r="BC67" i="47"/>
  <c r="BF69" i="47"/>
  <c r="AH96" i="41"/>
  <c r="AG96" i="40"/>
  <c r="BH53" i="37"/>
  <c r="BG38" i="47"/>
  <c r="M98" i="63"/>
  <c r="M25" i="63"/>
  <c r="M41" i="65"/>
  <c r="BH53" i="1"/>
  <c r="AZ70" i="47"/>
  <c r="AE96" i="38"/>
  <c r="BB70" i="47"/>
  <c r="AZ68" i="47"/>
  <c r="BG71" i="47"/>
  <c r="AJ45" i="36"/>
  <c r="G54" i="60"/>
  <c r="BB38" i="47"/>
  <c r="H25" i="63"/>
  <c r="H41" i="65"/>
  <c r="H98" i="63"/>
  <c r="AJ45" i="38"/>
  <c r="I54" i="60"/>
  <c r="L98" i="63"/>
  <c r="L41" i="65"/>
  <c r="L25" i="63"/>
  <c r="BF38" i="47"/>
  <c r="BH53" i="40"/>
  <c r="M54" i="60"/>
  <c r="AJ45" i="26"/>
  <c r="K54" i="60"/>
  <c r="AJ45" i="40"/>
  <c r="BH53" i="39"/>
  <c r="L54" i="60"/>
  <c r="AJ45" i="41"/>
  <c r="BH53" i="25"/>
  <c r="AE96" i="40"/>
  <c r="AZ71" i="47"/>
  <c r="BD68" i="47"/>
  <c r="AY68" i="47"/>
  <c r="BH53" i="38"/>
  <c r="BH53" i="36"/>
  <c r="I41" i="65"/>
  <c r="I25" i="63"/>
  <c r="I98" i="63"/>
  <c r="BC38" i="47"/>
  <c r="J25" i="63"/>
  <c r="J41" i="65"/>
  <c r="BD38" i="47"/>
  <c r="J98" i="63"/>
  <c r="E25" i="63"/>
  <c r="E41" i="65"/>
  <c r="AY38" i="47"/>
  <c r="E98" i="63"/>
  <c r="G98" i="63"/>
  <c r="G25" i="63"/>
  <c r="BA38" i="47"/>
  <c r="G41" i="65"/>
  <c r="BH53" i="41"/>
  <c r="AF99" i="1" l="1"/>
  <c r="AF106" i="1" s="1"/>
  <c r="AF109" i="1" s="1"/>
  <c r="AF97" i="1"/>
  <c r="AD99" i="38"/>
  <c r="AD106" i="38" s="1"/>
  <c r="AD109" i="38" s="1"/>
  <c r="AD97" i="38"/>
  <c r="AE99" i="25"/>
  <c r="AE106" i="25" s="1"/>
  <c r="AE109" i="25" s="1"/>
  <c r="AE97" i="25"/>
  <c r="AF99" i="37"/>
  <c r="AF106" i="37" s="1"/>
  <c r="AF109" i="37" s="1"/>
  <c r="AF97" i="37"/>
  <c r="AE99" i="37"/>
  <c r="AE106" i="37" s="1"/>
  <c r="AE109" i="37" s="1"/>
  <c r="AE97" i="37"/>
  <c r="AD99" i="39"/>
  <c r="AD106" i="39" s="1"/>
  <c r="AD109" i="39" s="1"/>
  <c r="AD97" i="39"/>
  <c r="H356" i="35"/>
  <c r="L129" i="61"/>
  <c r="L176" i="61" s="1"/>
  <c r="AF99" i="40"/>
  <c r="AF106" i="40" s="1"/>
  <c r="AF109" i="40" s="1"/>
  <c r="AF97" i="40"/>
  <c r="AE99" i="36"/>
  <c r="AE106" i="36" s="1"/>
  <c r="AE109" i="36" s="1"/>
  <c r="AE97" i="36"/>
  <c r="AF97" i="25"/>
  <c r="AF99" i="25"/>
  <c r="AF106" i="25" s="1"/>
  <c r="AF109" i="25" s="1"/>
  <c r="H357" i="35"/>
  <c r="M129" i="61"/>
  <c r="G359" i="35"/>
  <c r="J353" i="35"/>
  <c r="F354" i="35"/>
  <c r="H129" i="61"/>
  <c r="H176" i="61" s="1"/>
  <c r="H242" i="35"/>
  <c r="K129" i="61"/>
  <c r="K176" i="61" s="1"/>
  <c r="G356" i="35"/>
  <c r="I358" i="35"/>
  <c r="H246" i="35"/>
  <c r="AF99" i="36"/>
  <c r="AF106" i="36" s="1"/>
  <c r="AF109" i="36" s="1"/>
  <c r="AF97" i="36"/>
  <c r="G354" i="35"/>
  <c r="G358" i="35"/>
  <c r="J129" i="61"/>
  <c r="J176" i="61" s="1"/>
  <c r="F355" i="35"/>
  <c r="K354" i="35"/>
  <c r="H360" i="35"/>
  <c r="I152" i="55"/>
  <c r="BH55" i="41"/>
  <c r="BH55" i="36"/>
  <c r="BH55" i="38"/>
  <c r="AE99" i="40"/>
  <c r="AE106" i="40" s="1"/>
  <c r="AE109" i="40" s="1"/>
  <c r="AE97" i="40"/>
  <c r="BH55" i="25"/>
  <c r="AJ46" i="41"/>
  <c r="AJ84" i="41" s="1"/>
  <c r="AJ109" i="41" s="1"/>
  <c r="AK24" i="60"/>
  <c r="AV24" i="60" s="1"/>
  <c r="BH55" i="39"/>
  <c r="AJ46" i="40"/>
  <c r="AJ84" i="40" s="1"/>
  <c r="AJ109" i="40" s="1"/>
  <c r="AJ24" i="60"/>
  <c r="AU24" i="60" s="1"/>
  <c r="AJ46" i="26"/>
  <c r="AJ84" i="26" s="1"/>
  <c r="AJ109" i="26" s="1"/>
  <c r="AL24" i="60"/>
  <c r="AW24" i="60" s="1"/>
  <c r="BH55" i="40"/>
  <c r="AH24" i="60"/>
  <c r="AS24" i="60" s="1"/>
  <c r="AJ46" i="38"/>
  <c r="AJ84" i="38" s="1"/>
  <c r="AJ109" i="38" s="1"/>
  <c r="AF24" i="60"/>
  <c r="AQ24" i="60" s="1"/>
  <c r="AJ46" i="36"/>
  <c r="AJ84" i="36" s="1"/>
  <c r="AJ109" i="36" s="1"/>
  <c r="AE99" i="38"/>
  <c r="AE106" i="38" s="1"/>
  <c r="AE109" i="38" s="1"/>
  <c r="AE97" i="38"/>
  <c r="BH55" i="1"/>
  <c r="AZ370" i="47"/>
  <c r="BH55" i="37"/>
  <c r="AG99" i="40"/>
  <c r="AG106" i="40" s="1"/>
  <c r="AG109" i="40" s="1"/>
  <c r="AG97" i="40"/>
  <c r="AH99" i="41"/>
  <c r="AH106" i="41" s="1"/>
  <c r="AH109" i="41" s="1"/>
  <c r="AH97" i="41"/>
  <c r="AJ46" i="39"/>
  <c r="AJ84" i="39" s="1"/>
  <c r="AJ109" i="39" s="1"/>
  <c r="AI24" i="60"/>
  <c r="AT24" i="60" s="1"/>
  <c r="BH55" i="26"/>
  <c r="AD99" i="37"/>
  <c r="AD106" i="37" s="1"/>
  <c r="AD109" i="37" s="1"/>
  <c r="AD97" i="37"/>
  <c r="AG99" i="36"/>
  <c r="AG106" i="36" s="1"/>
  <c r="AG109" i="36" s="1"/>
  <c r="AG97" i="36"/>
  <c r="AD99" i="41"/>
  <c r="AD106" i="41" s="1"/>
  <c r="AD109" i="41" s="1"/>
  <c r="AD97" i="41"/>
  <c r="AG99" i="38"/>
  <c r="AG106" i="38" s="1"/>
  <c r="AG109" i="38" s="1"/>
  <c r="AG97" i="38"/>
  <c r="G1028" i="4" a="1"/>
  <c r="G1028" i="4" s="1"/>
  <c r="G1239" i="4" s="1"/>
  <c r="G1024" i="4" a="1"/>
  <c r="G1024" i="4" s="1"/>
  <c r="G1234" i="4" s="1"/>
  <c r="G1026" i="4" a="1"/>
  <c r="G1026" i="4" s="1"/>
  <c r="G1236" i="4" s="1"/>
  <c r="G1022" i="4" a="1"/>
  <c r="G1022" i="4" s="1"/>
  <c r="G1232" i="4" s="1"/>
  <c r="G1023" i="4" a="1"/>
  <c r="G1023" i="4" s="1"/>
  <c r="G1233" i="4" s="1"/>
  <c r="G1027" i="4" a="1"/>
  <c r="G1027" i="4" s="1"/>
  <c r="G1238" i="4" s="1"/>
  <c r="G1025" i="4" a="1"/>
  <c r="G1025" i="4" s="1"/>
  <c r="G1235" i="4" s="1"/>
  <c r="G1021" i="4" a="1"/>
  <c r="G1021" i="4" s="1"/>
  <c r="G1016" i="4"/>
  <c r="G1029" i="4" a="1"/>
  <c r="G1029" i="4" s="1"/>
  <c r="G1240" i="4" s="1"/>
  <c r="F1029" i="4" a="1"/>
  <c r="F1029" i="4" s="1"/>
  <c r="F1240" i="4" s="1"/>
  <c r="F1022" i="4" a="1"/>
  <c r="F1022" i="4" s="1"/>
  <c r="F1232" i="4" s="1"/>
  <c r="F1027" i="4" a="1"/>
  <c r="F1027" i="4" s="1"/>
  <c r="F1238" i="4" s="1"/>
  <c r="F1223" i="4" s="1"/>
  <c r="F1021" i="4" a="1"/>
  <c r="F1021" i="4" s="1"/>
  <c r="F1023" i="4" a="1"/>
  <c r="F1023" i="4" s="1"/>
  <c r="F1233" i="4" s="1"/>
  <c r="F1028" i="4" a="1"/>
  <c r="F1028" i="4" s="1"/>
  <c r="F1239" i="4" s="1"/>
  <c r="F1016" i="4"/>
  <c r="F1026" i="4" a="1"/>
  <c r="F1026" i="4" s="1"/>
  <c r="F1236" i="4" s="1"/>
  <c r="F1025" i="4" a="1"/>
  <c r="F1025" i="4" s="1"/>
  <c r="F1235" i="4" s="1"/>
  <c r="F1024" i="4" a="1"/>
  <c r="F1024" i="4" s="1"/>
  <c r="F1234" i="4" s="1"/>
  <c r="K799" i="4" a="1"/>
  <c r="K799" i="4" s="1"/>
  <c r="K800" i="4" a="1"/>
  <c r="K800" i="4" s="1"/>
  <c r="K807" i="4" a="1"/>
  <c r="K807" i="4" s="1"/>
  <c r="K802" i="4" a="1"/>
  <c r="K802" i="4" s="1"/>
  <c r="K803" i="4" a="1"/>
  <c r="K803" i="4" s="1"/>
  <c r="K806" i="4" a="1"/>
  <c r="K806" i="4" s="1"/>
  <c r="K795" i="4"/>
  <c r="K804" i="4" a="1"/>
  <c r="K804" i="4" s="1"/>
  <c r="K801" i="4" a="1"/>
  <c r="K801" i="4" s="1"/>
  <c r="K805" i="4" a="1"/>
  <c r="K805" i="4" s="1"/>
  <c r="G328" i="35"/>
  <c r="G306" i="35"/>
  <c r="M328" i="35"/>
  <c r="K329" i="35"/>
  <c r="K307" i="35"/>
  <c r="K384" i="35" s="1"/>
  <c r="N359" i="35"/>
  <c r="F803" i="4" a="1"/>
  <c r="F803" i="4" s="1"/>
  <c r="F804" i="4" a="1"/>
  <c r="F804" i="4" s="1"/>
  <c r="F802" i="4" a="1"/>
  <c r="F802" i="4" s="1"/>
  <c r="F805" i="4" a="1"/>
  <c r="F805" i="4" s="1"/>
  <c r="F799" i="4" a="1"/>
  <c r="F799" i="4" s="1"/>
  <c r="F795" i="4"/>
  <c r="F807" i="4" a="1"/>
  <c r="F807" i="4" s="1"/>
  <c r="F800" i="4" a="1"/>
  <c r="F800" i="4" s="1"/>
  <c r="F806" i="4" a="1"/>
  <c r="F806" i="4" s="1"/>
  <c r="F801" i="4" a="1"/>
  <c r="F801" i="4" s="1"/>
  <c r="L1027" i="4" a="1"/>
  <c r="L1027" i="4" s="1"/>
  <c r="L1238" i="4" s="1"/>
  <c r="L1028" i="4" a="1"/>
  <c r="L1028" i="4" s="1"/>
  <c r="L1239" i="4" s="1"/>
  <c r="L1024" i="4" a="1"/>
  <c r="L1024" i="4" s="1"/>
  <c r="L1234" i="4" s="1"/>
  <c r="L1029" i="4" a="1"/>
  <c r="L1029" i="4" s="1"/>
  <c r="L1240" i="4" s="1"/>
  <c r="L1016" i="4"/>
  <c r="L1023" i="4" a="1"/>
  <c r="L1023" i="4" s="1"/>
  <c r="L1233" i="4" s="1"/>
  <c r="L1021" i="4" a="1"/>
  <c r="L1021" i="4" s="1"/>
  <c r="L1026" i="4" a="1"/>
  <c r="L1026" i="4" s="1"/>
  <c r="L1236" i="4" s="1"/>
  <c r="L1022" i="4" a="1"/>
  <c r="L1022" i="4" s="1"/>
  <c r="L1232" i="4" s="1"/>
  <c r="L1025" i="4" a="1"/>
  <c r="L1025" i="4" s="1"/>
  <c r="L1235" i="4" s="1"/>
  <c r="F330" i="35"/>
  <c r="F308" i="35"/>
  <c r="J139" i="55"/>
  <c r="J144" i="55"/>
  <c r="J151" i="55" s="1"/>
  <c r="J128" i="55"/>
  <c r="N329" i="35"/>
  <c r="N307" i="35"/>
  <c r="N384" i="35" s="1"/>
  <c r="G129" i="61"/>
  <c r="J329" i="35"/>
  <c r="K358" i="35"/>
  <c r="J358" i="35"/>
  <c r="M138" i="55"/>
  <c r="M123" i="55"/>
  <c r="M143" i="55"/>
  <c r="N142" i="55"/>
  <c r="N146" i="55"/>
  <c r="N127" i="55"/>
  <c r="N122" i="55"/>
  <c r="N137" i="55"/>
  <c r="I132" i="55"/>
  <c r="I223" i="55" s="1"/>
  <c r="I231" i="55"/>
  <c r="I211" i="55"/>
  <c r="I232" i="55"/>
  <c r="I133" i="55"/>
  <c r="I224" i="55" s="1"/>
  <c r="I230" i="55"/>
  <c r="I233" i="55"/>
  <c r="I131" i="55"/>
  <c r="I222" i="55" s="1"/>
  <c r="G352" i="35"/>
  <c r="L135" i="61"/>
  <c r="L175" i="61" s="1"/>
  <c r="L146" i="61"/>
  <c r="L133" i="61"/>
  <c r="L132" i="61"/>
  <c r="L134" i="61"/>
  <c r="L174" i="61" s="1"/>
  <c r="N354" i="35"/>
  <c r="F350" i="35"/>
  <c r="N358" i="35"/>
  <c r="K139" i="55"/>
  <c r="K128" i="55"/>
  <c r="K144" i="55"/>
  <c r="J127" i="55"/>
  <c r="J122" i="55"/>
  <c r="J146" i="55"/>
  <c r="J153" i="55" s="1"/>
  <c r="J142" i="55"/>
  <c r="J149" i="55" s="1"/>
  <c r="J137" i="55"/>
  <c r="N357" i="35"/>
  <c r="M357" i="35"/>
  <c r="H359" i="35"/>
  <c r="I328" i="35"/>
  <c r="N351" i="35"/>
  <c r="M351" i="35"/>
  <c r="G353" i="35"/>
  <c r="F353" i="35"/>
  <c r="N1027" i="4" a="1"/>
  <c r="N1027" i="4" s="1"/>
  <c r="N1238" i="4" s="1"/>
  <c r="N1016" i="4"/>
  <c r="N1025" i="4" a="1"/>
  <c r="N1025" i="4" s="1"/>
  <c r="N1235" i="4" s="1"/>
  <c r="N1024" i="4" a="1"/>
  <c r="N1024" i="4" s="1"/>
  <c r="N1234" i="4" s="1"/>
  <c r="N1022" i="4" a="1"/>
  <c r="N1022" i="4" s="1"/>
  <c r="N1232" i="4" s="1"/>
  <c r="N1021" i="4" a="1"/>
  <c r="N1021" i="4" s="1"/>
  <c r="N1029" i="4" a="1"/>
  <c r="N1029" i="4" s="1"/>
  <c r="N1240" i="4" s="1"/>
  <c r="N1023" i="4" a="1"/>
  <c r="N1023" i="4" s="1"/>
  <c r="N1233" i="4" s="1"/>
  <c r="N1028" i="4" a="1"/>
  <c r="N1028" i="4" s="1"/>
  <c r="N1239" i="4" s="1"/>
  <c r="N1026" i="4" a="1"/>
  <c r="N1026" i="4" s="1"/>
  <c r="N1236" i="4" s="1"/>
  <c r="M782" i="4"/>
  <c r="M1013" i="4"/>
  <c r="M791" i="4"/>
  <c r="M792" i="4"/>
  <c r="M1014" i="4"/>
  <c r="M785" i="4"/>
  <c r="G132" i="55"/>
  <c r="G223" i="55" s="1"/>
  <c r="G131" i="55"/>
  <c r="G222" i="55" s="1"/>
  <c r="G233" i="55"/>
  <c r="G231" i="55"/>
  <c r="G133" i="55"/>
  <c r="G224" i="55" s="1"/>
  <c r="G230" i="55"/>
  <c r="G211" i="55"/>
  <c r="G232" i="55"/>
  <c r="H328" i="35"/>
  <c r="G346" i="35" s="1"/>
  <c r="H799" i="4" a="1"/>
  <c r="H799" i="4" s="1"/>
  <c r="H807" i="4" a="1"/>
  <c r="H807" i="4" s="1"/>
  <c r="H802" i="4" a="1"/>
  <c r="H802" i="4" s="1"/>
  <c r="H795" i="4"/>
  <c r="H805" i="4" a="1"/>
  <c r="H805" i="4" s="1"/>
  <c r="H800" i="4" a="1"/>
  <c r="H800" i="4" s="1"/>
  <c r="H803" i="4" a="1"/>
  <c r="H803" i="4" s="1"/>
  <c r="H806" i="4" a="1"/>
  <c r="H806" i="4" s="1"/>
  <c r="H801" i="4" a="1"/>
  <c r="H801" i="4" s="1"/>
  <c r="H804" i="4" a="1"/>
  <c r="H804" i="4" s="1"/>
  <c r="H143" i="55"/>
  <c r="H138" i="55"/>
  <c r="H123" i="55"/>
  <c r="F356" i="35"/>
  <c r="I787" i="4"/>
  <c r="I1009" i="4"/>
  <c r="I791" i="4"/>
  <c r="I1013" i="4"/>
  <c r="J1027" i="4" a="1"/>
  <c r="J1027" i="4" s="1"/>
  <c r="J1238" i="4" s="1"/>
  <c r="J1023" i="4" a="1"/>
  <c r="J1023" i="4" s="1"/>
  <c r="J1233" i="4" s="1"/>
  <c r="J1028" i="4" a="1"/>
  <c r="J1028" i="4" s="1"/>
  <c r="J1239" i="4" s="1"/>
  <c r="J1022" i="4" a="1"/>
  <c r="J1022" i="4" s="1"/>
  <c r="J1232" i="4" s="1"/>
  <c r="J1024" i="4" a="1"/>
  <c r="J1024" i="4" s="1"/>
  <c r="J1234" i="4" s="1"/>
  <c r="J1025" i="4" a="1"/>
  <c r="J1025" i="4" s="1"/>
  <c r="J1235" i="4" s="1"/>
  <c r="J1029" i="4" a="1"/>
  <c r="J1029" i="4" s="1"/>
  <c r="J1240" i="4" s="1"/>
  <c r="J1026" i="4" a="1"/>
  <c r="J1026" i="4" s="1"/>
  <c r="J1236" i="4" s="1"/>
  <c r="J1016" i="4"/>
  <c r="J1021" i="4" a="1"/>
  <c r="J1021" i="4" s="1"/>
  <c r="J803" i="4" a="1"/>
  <c r="J803" i="4" s="1"/>
  <c r="J806" i="4" a="1"/>
  <c r="J806" i="4" s="1"/>
  <c r="J807" i="4" a="1"/>
  <c r="J807" i="4" s="1"/>
  <c r="J805" i="4" a="1"/>
  <c r="J805" i="4" s="1"/>
  <c r="J802" i="4" a="1"/>
  <c r="J802" i="4" s="1"/>
  <c r="J799" i="4" a="1"/>
  <c r="J799" i="4" s="1"/>
  <c r="J795" i="4"/>
  <c r="J800" i="4" a="1"/>
  <c r="J800" i="4" s="1"/>
  <c r="J801" i="4" a="1"/>
  <c r="J801" i="4" s="1"/>
  <c r="J804" i="4" a="1"/>
  <c r="J804" i="4" s="1"/>
  <c r="E131" i="63"/>
  <c r="I270" i="35"/>
  <c r="I335" i="35" s="1"/>
  <c r="H353" i="35" s="1"/>
  <c r="I266" i="35"/>
  <c r="I334" i="35" s="1"/>
  <c r="H352" i="35" s="1"/>
  <c r="I274" i="35"/>
  <c r="I336" i="35" s="1"/>
  <c r="H354" i="35" s="1"/>
  <c r="I46" i="54"/>
  <c r="H260" i="35"/>
  <c r="H333" i="35" s="1"/>
  <c r="H252" i="35"/>
  <c r="H331" i="35" s="1"/>
  <c r="H256" i="35"/>
  <c r="H332" i="35" s="1"/>
  <c r="M274" i="35"/>
  <c r="M336" i="35" s="1"/>
  <c r="L354" i="35" s="1"/>
  <c r="M270" i="35"/>
  <c r="M335" i="35" s="1"/>
  <c r="L353" i="35" s="1"/>
  <c r="M266" i="35"/>
  <c r="M334" i="35" s="1"/>
  <c r="L352" i="35" s="1"/>
  <c r="L144" i="55"/>
  <c r="L151" i="55" s="1"/>
  <c r="L128" i="55"/>
  <c r="L139" i="55"/>
  <c r="K359" i="35"/>
  <c r="J359" i="35"/>
  <c r="N328" i="35"/>
  <c r="N306" i="35"/>
  <c r="L138" i="55"/>
  <c r="L143" i="55"/>
  <c r="L123" i="55"/>
  <c r="L142" i="55"/>
  <c r="L146" i="55"/>
  <c r="L137" i="55"/>
  <c r="L127" i="55"/>
  <c r="L122" i="55"/>
  <c r="J330" i="35"/>
  <c r="I348" i="35" s="1"/>
  <c r="H355" i="35"/>
  <c r="M139" i="55"/>
  <c r="M144" i="55"/>
  <c r="M128" i="55"/>
  <c r="AZ419" i="47"/>
  <c r="BG388" i="47" s="1"/>
  <c r="BH388" i="47" s="1"/>
  <c r="BI388" i="47" s="1"/>
  <c r="N152" i="55"/>
  <c r="G329" i="35"/>
  <c r="G307" i="35"/>
  <c r="G384" i="35" s="1"/>
  <c r="M329" i="35"/>
  <c r="F129" i="61"/>
  <c r="M353" i="35"/>
  <c r="N353" i="35"/>
  <c r="K328" i="35"/>
  <c r="K306" i="35"/>
  <c r="N360" i="35"/>
  <c r="G124" i="55"/>
  <c r="G213" i="55" s="1"/>
  <c r="G210" i="55"/>
  <c r="J352" i="35"/>
  <c r="F352" i="35"/>
  <c r="F329" i="35"/>
  <c r="F307" i="35"/>
  <c r="F384" i="35" s="1"/>
  <c r="K152" i="55"/>
  <c r="N355" i="35"/>
  <c r="M355" i="35"/>
  <c r="J354" i="35"/>
  <c r="I354" i="35"/>
  <c r="H358" i="35"/>
  <c r="L328" i="35"/>
  <c r="I330" i="35"/>
  <c r="I308" i="35"/>
  <c r="N349" i="35"/>
  <c r="M349" i="35"/>
  <c r="M1009" i="4"/>
  <c r="M787" i="4"/>
  <c r="K352" i="35"/>
  <c r="I129" i="61"/>
  <c r="F357" i="35"/>
  <c r="I1008" i="4"/>
  <c r="I786" i="4"/>
  <c r="L131" i="63"/>
  <c r="AJ84" i="1"/>
  <c r="AJ109" i="1" s="1"/>
  <c r="AK46" i="1"/>
  <c r="BL46" i="1" s="1"/>
  <c r="M297" i="35"/>
  <c r="M341" i="35" s="1"/>
  <c r="L359" i="35" s="1"/>
  <c r="M301" i="35"/>
  <c r="M342" i="35" s="1"/>
  <c r="L360" i="35" s="1"/>
  <c r="M293" i="35"/>
  <c r="M340" i="35" s="1"/>
  <c r="L358" i="35" s="1"/>
  <c r="F131" i="63"/>
  <c r="K132" i="61"/>
  <c r="K135" i="61"/>
  <c r="K175" i="61" s="1"/>
  <c r="K134" i="61"/>
  <c r="K174" i="61" s="1"/>
  <c r="K146" i="61"/>
  <c r="K133" i="61"/>
  <c r="M137" i="55"/>
  <c r="M241" i="55" s="1"/>
  <c r="M127" i="55"/>
  <c r="M142" i="55"/>
  <c r="M122" i="55"/>
  <c r="M146" i="55"/>
  <c r="M330" i="35"/>
  <c r="M176" i="61"/>
  <c r="M133" i="61"/>
  <c r="M146" i="61"/>
  <c r="M132" i="61"/>
  <c r="M135" i="61"/>
  <c r="M175" i="61" s="1"/>
  <c r="M134" i="61"/>
  <c r="M174" i="61" s="1"/>
  <c r="N352" i="35"/>
  <c r="K330" i="35"/>
  <c r="K308" i="35"/>
  <c r="I124" i="55"/>
  <c r="I213" i="55" s="1"/>
  <c r="I210" i="55"/>
  <c r="F306" i="35"/>
  <c r="F328" i="35"/>
  <c r="K142" i="55"/>
  <c r="K149" i="55" s="1"/>
  <c r="K137" i="55"/>
  <c r="K127" i="55"/>
  <c r="K146" i="55"/>
  <c r="K153" i="55" s="1"/>
  <c r="K122" i="55"/>
  <c r="G804" i="4" a="1"/>
  <c r="G804" i="4" s="1"/>
  <c r="G799" i="4" a="1"/>
  <c r="G799" i="4" s="1"/>
  <c r="G807" i="4" a="1"/>
  <c r="G807" i="4" s="1"/>
  <c r="G803" i="4" a="1"/>
  <c r="G803" i="4" s="1"/>
  <c r="G795" i="4"/>
  <c r="G805" i="4" a="1"/>
  <c r="G805" i="4" s="1"/>
  <c r="G802" i="4" a="1"/>
  <c r="G802" i="4" s="1"/>
  <c r="G801" i="4" a="1"/>
  <c r="G801" i="4" s="1"/>
  <c r="G806" i="4" a="1"/>
  <c r="G806" i="4" s="1"/>
  <c r="G800" i="4" a="1"/>
  <c r="G800" i="4" s="1"/>
  <c r="J123" i="55"/>
  <c r="J138" i="55"/>
  <c r="J143" i="55"/>
  <c r="J150" i="55" s="1"/>
  <c r="N129" i="61"/>
  <c r="I352" i="35"/>
  <c r="L329" i="35"/>
  <c r="K347" i="35" s="1"/>
  <c r="I329" i="35"/>
  <c r="I307" i="35"/>
  <c r="I384" i="35" s="1"/>
  <c r="M784" i="4"/>
  <c r="M778" i="4"/>
  <c r="M781" i="4"/>
  <c r="G241" i="55"/>
  <c r="H307" i="35"/>
  <c r="H384" i="35" s="1"/>
  <c r="H329" i="35"/>
  <c r="G347" i="35" s="1"/>
  <c r="L802" i="4" a="1"/>
  <c r="L802" i="4" s="1"/>
  <c r="L800" i="4" a="1"/>
  <c r="L800" i="4" s="1"/>
  <c r="L807" i="4" a="1"/>
  <c r="L807" i="4" s="1"/>
  <c r="L806" i="4" a="1"/>
  <c r="L806" i="4" s="1"/>
  <c r="L801" i="4" a="1"/>
  <c r="L801" i="4" s="1"/>
  <c r="L795" i="4"/>
  <c r="L799" i="4" a="1"/>
  <c r="L799" i="4" s="1"/>
  <c r="L805" i="4" a="1"/>
  <c r="L805" i="4" s="1"/>
  <c r="L804" i="4" a="1"/>
  <c r="L804" i="4" s="1"/>
  <c r="L803" i="4" a="1"/>
  <c r="L803" i="4" s="1"/>
  <c r="H144" i="55"/>
  <c r="H151" i="55" s="1"/>
  <c r="H128" i="55"/>
  <c r="H139" i="55"/>
  <c r="I785" i="4"/>
  <c r="I1014" i="4"/>
  <c r="I792" i="4"/>
  <c r="I782" i="4"/>
  <c r="J131" i="63"/>
  <c r="BF406" i="47"/>
  <c r="BH406" i="47" s="1"/>
  <c r="BI406" i="47" s="1"/>
  <c r="H73" i="54"/>
  <c r="H49" i="54"/>
  <c r="H74" i="54" s="1"/>
  <c r="H52" i="54"/>
  <c r="H75" i="54" s="1"/>
  <c r="I131" i="63"/>
  <c r="J279" i="35"/>
  <c r="J337" i="35" s="1"/>
  <c r="I355" i="35" s="1"/>
  <c r="J287" i="35"/>
  <c r="J339" i="35" s="1"/>
  <c r="I357" i="35" s="1"/>
  <c r="J283" i="35"/>
  <c r="J338" i="35" s="1"/>
  <c r="I356" i="35" s="1"/>
  <c r="J256" i="35"/>
  <c r="J332" i="35" s="1"/>
  <c r="I350" i="35" s="1"/>
  <c r="J252" i="35"/>
  <c r="J331" i="35" s="1"/>
  <c r="I349" i="35" s="1"/>
  <c r="J260" i="35"/>
  <c r="J333" i="35" s="1"/>
  <c r="I351" i="35" s="1"/>
  <c r="K360" i="35"/>
  <c r="J360" i="35"/>
  <c r="N139" i="55"/>
  <c r="N128" i="55"/>
  <c r="N144" i="55"/>
  <c r="N151" i="55" s="1"/>
  <c r="G330" i="35"/>
  <c r="G308" i="35"/>
  <c r="N330" i="35"/>
  <c r="N308" i="35"/>
  <c r="J328" i="35"/>
  <c r="I346" i="35" s="1"/>
  <c r="J306" i="35"/>
  <c r="M152" i="55"/>
  <c r="N802" i="4" a="1"/>
  <c r="N802" i="4" s="1"/>
  <c r="N803" i="4" a="1"/>
  <c r="N803" i="4" s="1"/>
  <c r="N806" i="4" a="1"/>
  <c r="N806" i="4" s="1"/>
  <c r="N805" i="4" a="1"/>
  <c r="N805" i="4" s="1"/>
  <c r="N807" i="4" a="1"/>
  <c r="N807" i="4" s="1"/>
  <c r="N799" i="4" a="1"/>
  <c r="N799" i="4" s="1"/>
  <c r="N804" i="4" a="1"/>
  <c r="N804" i="4" s="1"/>
  <c r="N795" i="4"/>
  <c r="N801" i="4" a="1"/>
  <c r="N801" i="4" s="1"/>
  <c r="N800" i="4" a="1"/>
  <c r="N800" i="4" s="1"/>
  <c r="K1029" i="4" a="1"/>
  <c r="K1029" i="4" s="1"/>
  <c r="K1240" i="4" s="1"/>
  <c r="K1028" i="4" a="1"/>
  <c r="K1028" i="4" s="1"/>
  <c r="K1239" i="4" s="1"/>
  <c r="K1021" i="4" a="1"/>
  <c r="K1021" i="4" s="1"/>
  <c r="K1023" i="4" a="1"/>
  <c r="K1023" i="4" s="1"/>
  <c r="K1233" i="4" s="1"/>
  <c r="K1025" i="4" a="1"/>
  <c r="K1025" i="4" s="1"/>
  <c r="K1235" i="4" s="1"/>
  <c r="K1024" i="4" a="1"/>
  <c r="K1024" i="4" s="1"/>
  <c r="K1234" i="4" s="1"/>
  <c r="K1026" i="4" a="1"/>
  <c r="K1026" i="4" s="1"/>
  <c r="K1236" i="4" s="1"/>
  <c r="K1022" i="4" a="1"/>
  <c r="K1022" i="4" s="1"/>
  <c r="K1232" i="4" s="1"/>
  <c r="K1016" i="4"/>
  <c r="K1027" i="4" a="1"/>
  <c r="K1027" i="4" s="1"/>
  <c r="K1238" i="4" s="1"/>
  <c r="N123" i="55"/>
  <c r="N138" i="55"/>
  <c r="N143" i="55"/>
  <c r="N150" i="55" s="1"/>
  <c r="H134" i="61"/>
  <c r="H174" i="61" s="1"/>
  <c r="H132" i="61"/>
  <c r="H133" i="61"/>
  <c r="H146" i="61"/>
  <c r="H135" i="61"/>
  <c r="H175" i="61" s="1"/>
  <c r="K143" i="55"/>
  <c r="K150" i="55" s="1"/>
  <c r="K123" i="55"/>
  <c r="K138" i="55"/>
  <c r="N356" i="35"/>
  <c r="M356" i="35"/>
  <c r="J135" i="61"/>
  <c r="J175" i="61" s="1"/>
  <c r="J132" i="61"/>
  <c r="J134" i="61"/>
  <c r="J174" i="61" s="1"/>
  <c r="J133" i="61"/>
  <c r="J146" i="61"/>
  <c r="J351" i="35"/>
  <c r="L330" i="35"/>
  <c r="K348" i="35" s="1"/>
  <c r="M350" i="35"/>
  <c r="N350" i="35"/>
  <c r="H1026" i="4" a="1"/>
  <c r="H1026" i="4" s="1"/>
  <c r="H1236" i="4" s="1"/>
  <c r="H1025" i="4" a="1"/>
  <c r="H1025" i="4" s="1"/>
  <c r="H1235" i="4" s="1"/>
  <c r="H1022" i="4" a="1"/>
  <c r="H1022" i="4" s="1"/>
  <c r="H1232" i="4" s="1"/>
  <c r="H1028" i="4" a="1"/>
  <c r="H1028" i="4" s="1"/>
  <c r="H1239" i="4" s="1"/>
  <c r="H1021" i="4" a="1"/>
  <c r="H1021" i="4" s="1"/>
  <c r="H1029" i="4" a="1"/>
  <c r="H1029" i="4" s="1"/>
  <c r="H1240" i="4" s="1"/>
  <c r="H1027" i="4" a="1"/>
  <c r="H1027" i="4" s="1"/>
  <c r="H1238" i="4" s="1"/>
  <c r="H1023" i="4" a="1"/>
  <c r="H1023" i="4" s="1"/>
  <c r="H1233" i="4" s="1"/>
  <c r="H1016" i="4"/>
  <c r="H1024" i="4" a="1"/>
  <c r="H1024" i="4" s="1"/>
  <c r="H1234" i="4" s="1"/>
  <c r="M1008" i="4"/>
  <c r="M786" i="4"/>
  <c r="K353" i="35"/>
  <c r="H308" i="35"/>
  <c r="H330" i="35"/>
  <c r="G348" i="35" s="1"/>
  <c r="H127" i="55"/>
  <c r="H122" i="55"/>
  <c r="H137" i="55"/>
  <c r="H241" i="55" s="1"/>
  <c r="H146" i="55"/>
  <c r="H153" i="55" s="1"/>
  <c r="H142" i="55"/>
  <c r="I781" i="4"/>
  <c r="I778" i="4"/>
  <c r="I784" i="4"/>
  <c r="G131" i="63"/>
  <c r="L256" i="35"/>
  <c r="L332" i="35" s="1"/>
  <c r="K350" i="35" s="1"/>
  <c r="L252" i="35"/>
  <c r="L331" i="35" s="1"/>
  <c r="K349" i="35" s="1"/>
  <c r="L260" i="35"/>
  <c r="L333" i="35" s="1"/>
  <c r="K351" i="35" s="1"/>
  <c r="M131" i="63"/>
  <c r="L287" i="35"/>
  <c r="L339" i="35" s="1"/>
  <c r="K357" i="35" s="1"/>
  <c r="L279" i="35"/>
  <c r="L337" i="35" s="1"/>
  <c r="K355" i="35" s="1"/>
  <c r="L283" i="35"/>
  <c r="L338" i="35" s="1"/>
  <c r="K356" i="35" s="1"/>
  <c r="AY67" i="47"/>
  <c r="Y53" i="40"/>
  <c r="BC71" i="47"/>
  <c r="BB67" i="47"/>
  <c r="BD71" i="47"/>
  <c r="BE67" i="47"/>
  <c r="AZ67" i="47"/>
  <c r="Y53" i="36"/>
  <c r="Y53" i="39"/>
  <c r="BA67" i="47"/>
  <c r="Y53" i="38"/>
  <c r="BE68" i="47"/>
  <c r="BD70" i="47"/>
  <c r="BB71" i="47"/>
  <c r="BF71" i="47"/>
  <c r="F42" i="60"/>
  <c r="E42" i="60"/>
  <c r="E60" i="60"/>
  <c r="E40" i="60"/>
  <c r="V96" i="39"/>
  <c r="J26" i="60"/>
  <c r="BD216" i="47"/>
  <c r="K43" i="60"/>
  <c r="W45" i="37"/>
  <c r="H53" i="60"/>
  <c r="BO45" i="25"/>
  <c r="I39" i="60"/>
  <c r="I41" i="60"/>
  <c r="E26" i="60"/>
  <c r="V96" i="1"/>
  <c r="AY216" i="47"/>
  <c r="AY70" i="47"/>
  <c r="BB306" i="47"/>
  <c r="H7" i="64"/>
  <c r="H50" i="60"/>
  <c r="S45" i="37"/>
  <c r="BB216" i="47"/>
  <c r="H26" i="60"/>
  <c r="V96" i="37"/>
  <c r="W53" i="36"/>
  <c r="G80" i="60"/>
  <c r="G64" i="60"/>
  <c r="AB53" i="36"/>
  <c r="G60" i="60"/>
  <c r="BF70" i="47"/>
  <c r="BG70" i="47"/>
  <c r="BA70" i="47"/>
  <c r="F60" i="60"/>
  <c r="F39" i="60"/>
  <c r="K42" i="60"/>
  <c r="BO45" i="37"/>
  <c r="M41" i="60"/>
  <c r="M43" i="60"/>
  <c r="F53" i="60"/>
  <c r="W45" i="25"/>
  <c r="I60" i="60"/>
  <c r="I43" i="60"/>
  <c r="AB53" i="39"/>
  <c r="J64" i="60"/>
  <c r="Y53" i="41"/>
  <c r="L64" i="60"/>
  <c r="AB53" i="41"/>
  <c r="J39" i="60"/>
  <c r="J42" i="60"/>
  <c r="W53" i="38"/>
  <c r="I80" i="60"/>
  <c r="G43" i="60"/>
  <c r="BE70" i="47"/>
  <c r="BA68" i="47"/>
  <c r="BC68" i="47"/>
  <c r="F40" i="60"/>
  <c r="F43" i="60"/>
  <c r="K60" i="60"/>
  <c r="K39" i="60"/>
  <c r="K41" i="60"/>
  <c r="BP45" i="37"/>
  <c r="BQ45" i="37"/>
  <c r="M40" i="60"/>
  <c r="M39" i="60"/>
  <c r="I42" i="60"/>
  <c r="F55" i="60"/>
  <c r="BH45" i="25"/>
  <c r="W53" i="39"/>
  <c r="J80" i="60"/>
  <c r="W53" i="41"/>
  <c r="L80" i="60"/>
  <c r="BA216" i="47"/>
  <c r="V96" i="36"/>
  <c r="G26" i="60"/>
  <c r="J43" i="60"/>
  <c r="J41" i="60"/>
  <c r="G41" i="60"/>
  <c r="G40" i="60"/>
  <c r="BC70" i="47"/>
  <c r="F41" i="60"/>
  <c r="E43" i="60"/>
  <c r="E39" i="60"/>
  <c r="E41" i="60"/>
  <c r="K40" i="60"/>
  <c r="M26" i="60"/>
  <c r="BG216" i="47"/>
  <c r="V96" i="26"/>
  <c r="K64" i="60"/>
  <c r="AB53" i="40"/>
  <c r="K80" i="60"/>
  <c r="W53" i="40"/>
  <c r="M42" i="60"/>
  <c r="M60" i="60"/>
  <c r="BP45" i="25"/>
  <c r="BQ45" i="25"/>
  <c r="I40" i="60"/>
  <c r="F26" i="60"/>
  <c r="AZ216" i="47"/>
  <c r="V96" i="25"/>
  <c r="F7" i="64"/>
  <c r="F50" i="60"/>
  <c r="S45" i="25"/>
  <c r="AZ306" i="47"/>
  <c r="H55" i="60"/>
  <c r="BH45" i="37"/>
  <c r="J60" i="60"/>
  <c r="J40" i="60"/>
  <c r="AB53" i="38"/>
  <c r="I64" i="60"/>
  <c r="G42" i="60"/>
  <c r="G39" i="60"/>
  <c r="Y55" i="40" l="1"/>
  <c r="Y84" i="40" s="1"/>
  <c r="M151" i="55"/>
  <c r="M360" i="35"/>
  <c r="F347" i="35"/>
  <c r="Y55" i="39"/>
  <c r="Y84" i="39" s="1"/>
  <c r="Y55" i="36"/>
  <c r="Y84" i="36" s="1"/>
  <c r="Y55" i="38"/>
  <c r="Y84" i="38" s="1"/>
  <c r="M352" i="35"/>
  <c r="M307" i="35"/>
  <c r="M384" i="35" s="1"/>
  <c r="K151" i="55"/>
  <c r="L153" i="55"/>
  <c r="AF11" i="60"/>
  <c r="U11" i="60"/>
  <c r="AB55" i="38"/>
  <c r="BH46" i="37"/>
  <c r="BJ46" i="37" s="1"/>
  <c r="BJ45" i="37"/>
  <c r="V25" i="60"/>
  <c r="AZ322" i="47"/>
  <c r="AK45" i="25"/>
  <c r="S46" i="25"/>
  <c r="AE25" i="60"/>
  <c r="F26" i="64"/>
  <c r="BQ46" i="25"/>
  <c r="BP46" i="25"/>
  <c r="AA11" i="60"/>
  <c r="W55" i="40"/>
  <c r="AB55" i="40"/>
  <c r="AD11" i="60"/>
  <c r="W55" i="41"/>
  <c r="W55" i="39"/>
  <c r="BH46" i="25"/>
  <c r="BJ46" i="25" s="1"/>
  <c r="BJ45" i="25"/>
  <c r="T25" i="60"/>
  <c r="AP25" i="60" s="1"/>
  <c r="W11" i="60"/>
  <c r="AL11" i="60"/>
  <c r="BQ46" i="37"/>
  <c r="BP46" i="37"/>
  <c r="AJ11" i="60"/>
  <c r="W55" i="38"/>
  <c r="X11" i="60"/>
  <c r="AI11" i="60"/>
  <c r="AB55" i="41"/>
  <c r="Y55" i="41"/>
  <c r="Y84" i="41" s="1"/>
  <c r="AB55" i="39"/>
  <c r="W46" i="25"/>
  <c r="BO46" i="37"/>
  <c r="Y11" i="60"/>
  <c r="AE11" i="60"/>
  <c r="AB55" i="36"/>
  <c r="W55" i="36"/>
  <c r="AK45" i="37"/>
  <c r="S46" i="37"/>
  <c r="AG25" i="60"/>
  <c r="H26" i="64"/>
  <c r="BB322" i="47"/>
  <c r="AH11" i="60"/>
  <c r="BO46" i="25"/>
  <c r="W46" i="37"/>
  <c r="S11" i="60"/>
  <c r="T11" i="60"/>
  <c r="AP11" i="60" s="1"/>
  <c r="I807" i="4" a="1"/>
  <c r="I807" i="4" s="1"/>
  <c r="I801" i="4" a="1"/>
  <c r="I801" i="4" s="1"/>
  <c r="I805" i="4" a="1"/>
  <c r="I805" i="4" s="1"/>
  <c r="I803" i="4" a="1"/>
  <c r="I803" i="4" s="1"/>
  <c r="I795" i="4"/>
  <c r="I799" i="4" a="1"/>
  <c r="I799" i="4" s="1"/>
  <c r="I802" i="4" a="1"/>
  <c r="I802" i="4" s="1"/>
  <c r="I806" i="4" a="1"/>
  <c r="I806" i="4" s="1"/>
  <c r="I804" i="4" a="1"/>
  <c r="I804" i="4" s="1"/>
  <c r="I800" i="4" a="1"/>
  <c r="I800" i="4" s="1"/>
  <c r="M1016" i="4"/>
  <c r="M1021" i="4" a="1"/>
  <c r="M1021" i="4" s="1"/>
  <c r="M1027" i="4" a="1"/>
  <c r="M1027" i="4" s="1"/>
  <c r="M1238" i="4" s="1"/>
  <c r="M1026" i="4" a="1"/>
  <c r="M1026" i="4" s="1"/>
  <c r="M1236" i="4" s="1"/>
  <c r="M1025" i="4" a="1"/>
  <c r="M1025" i="4" s="1"/>
  <c r="M1235" i="4" s="1"/>
  <c r="M1024" i="4" a="1"/>
  <c r="M1024" i="4" s="1"/>
  <c r="M1234" i="4" s="1"/>
  <c r="M1028" i="4" a="1"/>
  <c r="M1028" i="4" s="1"/>
  <c r="M1239" i="4" s="1"/>
  <c r="M1029" i="4" a="1"/>
  <c r="M1029" i="4" s="1"/>
  <c r="M1240" i="4" s="1"/>
  <c r="M1023" i="4" a="1"/>
  <c r="M1023" i="4" s="1"/>
  <c r="M1233" i="4" s="1"/>
  <c r="M1022" i="4" a="1"/>
  <c r="M1022" i="4" s="1"/>
  <c r="M1232" i="4" s="1"/>
  <c r="K147" i="61"/>
  <c r="I147" i="61"/>
  <c r="N1082" i="4"/>
  <c r="N963" i="4"/>
  <c r="N1253" i="4" s="1"/>
  <c r="N385" i="35"/>
  <c r="H124" i="55"/>
  <c r="H213" i="55" s="1"/>
  <c r="H210" i="55"/>
  <c r="L1082" i="4"/>
  <c r="L963" i="4"/>
  <c r="L1253" i="4" s="1"/>
  <c r="L1083" i="4"/>
  <c r="L964" i="4"/>
  <c r="H347" i="35"/>
  <c r="G960" i="4"/>
  <c r="G1249" i="4" s="1"/>
  <c r="G1079" i="4"/>
  <c r="G965" i="4"/>
  <c r="G1084" i="4"/>
  <c r="N147" i="61"/>
  <c r="M148" i="61"/>
  <c r="L348" i="35"/>
  <c r="M149" i="55"/>
  <c r="L147" i="61"/>
  <c r="K148" i="61"/>
  <c r="I176" i="61"/>
  <c r="I133" i="61"/>
  <c r="I132" i="61"/>
  <c r="I146" i="61"/>
  <c r="J148" i="61" s="1"/>
  <c r="I135" i="61"/>
  <c r="I175" i="61" s="1"/>
  <c r="I134" i="61"/>
  <c r="I174" i="61" s="1"/>
  <c r="K346" i="35"/>
  <c r="G214" i="55"/>
  <c r="M124" i="55"/>
  <c r="M213" i="55" s="1"/>
  <c r="M210" i="55"/>
  <c r="J308" i="35"/>
  <c r="J391" i="35" s="1"/>
  <c r="L241" i="55"/>
  <c r="L150" i="55"/>
  <c r="G351" i="35"/>
  <c r="H351" i="35"/>
  <c r="J1084" i="4"/>
  <c r="J965" i="4"/>
  <c r="I150" i="55"/>
  <c r="H150" i="55"/>
  <c r="H961" i="4"/>
  <c r="H1250" i="4" s="1"/>
  <c r="H1080" i="4"/>
  <c r="H1079" i="4"/>
  <c r="H960" i="4"/>
  <c r="H1249" i="4" s="1"/>
  <c r="AZ425" i="47"/>
  <c r="AZ407" i="47"/>
  <c r="J241" i="55"/>
  <c r="J231" i="55"/>
  <c r="J230" i="55"/>
  <c r="J211" i="55"/>
  <c r="J233" i="55"/>
  <c r="J133" i="55"/>
  <c r="J224" i="55" s="1"/>
  <c r="J232" i="55"/>
  <c r="J131" i="55"/>
  <c r="J222" i="55" s="1"/>
  <c r="J132" i="55"/>
  <c r="J223" i="55" s="1"/>
  <c r="J357" i="35"/>
  <c r="N233" i="55"/>
  <c r="N211" i="55"/>
  <c r="N231" i="55"/>
  <c r="N131" i="55"/>
  <c r="N222" i="55" s="1"/>
  <c r="N232" i="55"/>
  <c r="N133" i="55"/>
  <c r="N224" i="55" s="1"/>
  <c r="N230" i="55"/>
  <c r="N132" i="55"/>
  <c r="N223" i="55" s="1"/>
  <c r="J307" i="35"/>
  <c r="J384" i="35" s="1"/>
  <c r="AZ391" i="47"/>
  <c r="L355" i="35"/>
  <c r="L1035" i="4" a="1"/>
  <c r="L1035" i="4" s="1"/>
  <c r="L1231" i="4"/>
  <c r="L1241" i="4" s="1"/>
  <c r="L1034" i="4" a="1"/>
  <c r="L1034" i="4" s="1"/>
  <c r="L1030" i="4"/>
  <c r="L1033" i="4" a="1"/>
  <c r="L1033" i="4" s="1"/>
  <c r="F1083" i="4"/>
  <c r="F964" i="4"/>
  <c r="F808" i="4"/>
  <c r="F957" i="4"/>
  <c r="F1076" i="4"/>
  <c r="F1080" i="4"/>
  <c r="F961" i="4"/>
  <c r="F1250" i="4" s="1"/>
  <c r="F346" i="35"/>
  <c r="K1084" i="4"/>
  <c r="K965" i="4"/>
  <c r="L308" i="35"/>
  <c r="J221" i="61"/>
  <c r="J229" i="61" s="1"/>
  <c r="J220" i="61"/>
  <c r="J228" i="61" s="1"/>
  <c r="J219" i="61"/>
  <c r="J227" i="61" s="1"/>
  <c r="J141" i="61"/>
  <c r="J189" i="61" s="1"/>
  <c r="J139" i="61"/>
  <c r="J187" i="61" s="1"/>
  <c r="J140" i="61"/>
  <c r="J188" i="61" s="1"/>
  <c r="J222" i="61"/>
  <c r="J230" i="61" s="1"/>
  <c r="J173" i="61"/>
  <c r="H140" i="61"/>
  <c r="H188" i="61" s="1"/>
  <c r="H219" i="61"/>
  <c r="H227" i="61" s="1"/>
  <c r="H222" i="61"/>
  <c r="H230" i="61" s="1"/>
  <c r="H221" i="61"/>
  <c r="H229" i="61" s="1"/>
  <c r="H220" i="61"/>
  <c r="H228" i="61" s="1"/>
  <c r="H139" i="61"/>
  <c r="H187" i="61" s="1"/>
  <c r="H141" i="61"/>
  <c r="H189" i="61" s="1"/>
  <c r="H173" i="61"/>
  <c r="N962" i="4"/>
  <c r="N1251" i="4" s="1"/>
  <c r="N1081" i="4"/>
  <c r="N1083" i="4"/>
  <c r="N964" i="4"/>
  <c r="J383" i="35"/>
  <c r="N348" i="35"/>
  <c r="M348" i="35"/>
  <c r="N124" i="55"/>
  <c r="N213" i="55" s="1"/>
  <c r="N210" i="55"/>
  <c r="L1076" i="4"/>
  <c r="L957" i="4"/>
  <c r="L808" i="4"/>
  <c r="L965" i="4"/>
  <c r="L1084" i="4"/>
  <c r="L307" i="35"/>
  <c r="L384" i="35" s="1"/>
  <c r="N134" i="61"/>
  <c r="N174" i="61" s="1"/>
  <c r="N132" i="61"/>
  <c r="N133" i="61"/>
  <c r="N135" i="61"/>
  <c r="N175" i="61" s="1"/>
  <c r="N146" i="61"/>
  <c r="N148" i="61" s="1"/>
  <c r="N176" i="61"/>
  <c r="G958" i="4"/>
  <c r="G1247" i="4" s="1"/>
  <c r="G1077" i="4"/>
  <c r="G1082" i="4"/>
  <c r="G963" i="4"/>
  <c r="G1253" i="4" s="1"/>
  <c r="G808" i="4"/>
  <c r="G1076" i="4"/>
  <c r="G957" i="4"/>
  <c r="K231" i="55"/>
  <c r="K233" i="55"/>
  <c r="K133" i="55"/>
  <c r="K224" i="55" s="1"/>
  <c r="K230" i="55"/>
  <c r="K232" i="55"/>
  <c r="K132" i="55"/>
  <c r="K223" i="55" s="1"/>
  <c r="K131" i="55"/>
  <c r="K222" i="55" s="1"/>
  <c r="K211" i="55"/>
  <c r="F383" i="35"/>
  <c r="F391" i="35"/>
  <c r="K385" i="35"/>
  <c r="M220" i="61"/>
  <c r="M228" i="61" s="1"/>
  <c r="M139" i="61"/>
  <c r="M187" i="61" s="1"/>
  <c r="M140" i="61"/>
  <c r="M188" i="61" s="1"/>
  <c r="M222" i="61"/>
  <c r="M230" i="61" s="1"/>
  <c r="M219" i="61"/>
  <c r="M227" i="61" s="1"/>
  <c r="M141" i="61"/>
  <c r="M189" i="61" s="1"/>
  <c r="M221" i="61"/>
  <c r="M229" i="61" s="1"/>
  <c r="M173" i="61"/>
  <c r="I153" i="55"/>
  <c r="M233" i="55"/>
  <c r="M132" i="55"/>
  <c r="M223" i="55" s="1"/>
  <c r="M211" i="55"/>
  <c r="M232" i="55"/>
  <c r="M230" i="55"/>
  <c r="M131" i="55"/>
  <c r="M222" i="55" s="1"/>
  <c r="M231" i="55"/>
  <c r="M133" i="55"/>
  <c r="M224" i="55" s="1"/>
  <c r="I385" i="35"/>
  <c r="J356" i="35"/>
  <c r="K383" i="35"/>
  <c r="K391" i="35"/>
  <c r="F135" i="61"/>
  <c r="F175" i="61" s="1"/>
  <c r="F133" i="61"/>
  <c r="F146" i="61"/>
  <c r="G147" i="61" s="1"/>
  <c r="F132" i="61"/>
  <c r="F134" i="61"/>
  <c r="F174" i="61" s="1"/>
  <c r="F176" i="61"/>
  <c r="I49" i="54"/>
  <c r="I74" i="54" s="1"/>
  <c r="I52" i="54"/>
  <c r="I75" i="54" s="1"/>
  <c r="I73" i="54"/>
  <c r="J1081" i="4"/>
  <c r="J962" i="4"/>
  <c r="J1251" i="4" s="1"/>
  <c r="J1076" i="4"/>
  <c r="J957" i="4"/>
  <c r="J808" i="4"/>
  <c r="J964" i="4"/>
  <c r="J1254" i="4" s="1"/>
  <c r="J1083" i="4"/>
  <c r="H962" i="4"/>
  <c r="H1251" i="4" s="1"/>
  <c r="H1081" i="4"/>
  <c r="H1077" i="4"/>
  <c r="H958" i="4"/>
  <c r="H1247" i="4" s="1"/>
  <c r="H965" i="4"/>
  <c r="H1084" i="4"/>
  <c r="AZ404" i="47"/>
  <c r="AZ405" i="47"/>
  <c r="I306" i="35"/>
  <c r="I353" i="35"/>
  <c r="L356" i="35"/>
  <c r="L172" i="61"/>
  <c r="L178" i="61"/>
  <c r="N153" i="55"/>
  <c r="J347" i="35"/>
  <c r="I347" i="35"/>
  <c r="N347" i="35"/>
  <c r="M347" i="35"/>
  <c r="F385" i="35"/>
  <c r="F958" i="4"/>
  <c r="F1247" i="4" s="1"/>
  <c r="F1077" i="4"/>
  <c r="F963" i="4"/>
  <c r="F1253" i="4" s="1"/>
  <c r="F1082" i="4"/>
  <c r="M359" i="35"/>
  <c r="M306" i="35"/>
  <c r="K1082" i="4"/>
  <c r="K963" i="4"/>
  <c r="K1253" i="4" s="1"/>
  <c r="K1083" i="4"/>
  <c r="K964" i="4"/>
  <c r="K1077" i="4"/>
  <c r="K958" i="4"/>
  <c r="K1247" i="4" s="1"/>
  <c r="F1035" i="4" a="1"/>
  <c r="F1035" i="4" s="1"/>
  <c r="F1231" i="4"/>
  <c r="F1241" i="4" s="1"/>
  <c r="F1030" i="4"/>
  <c r="F1034" i="4" a="1"/>
  <c r="F1034" i="4" s="1"/>
  <c r="F1033" i="4" a="1"/>
  <c r="F1033" i="4" s="1"/>
  <c r="H1231" i="4"/>
  <c r="H1241" i="4" s="1"/>
  <c r="H1034" i="4" a="1"/>
  <c r="H1034" i="4" s="1"/>
  <c r="H1033" i="4" a="1"/>
  <c r="H1033" i="4" s="1"/>
  <c r="H1030" i="4"/>
  <c r="H1035" i="4" a="1"/>
  <c r="H1035" i="4" s="1"/>
  <c r="H172" i="61"/>
  <c r="H178" i="61"/>
  <c r="N958" i="4"/>
  <c r="N1247" i="4" s="1"/>
  <c r="N1077" i="4"/>
  <c r="N808" i="4"/>
  <c r="N1076" i="4"/>
  <c r="N957" i="4"/>
  <c r="N961" i="4"/>
  <c r="N1250" i="4" s="1"/>
  <c r="N1080" i="4"/>
  <c r="G385" i="35"/>
  <c r="L1080" i="4"/>
  <c r="L961" i="4"/>
  <c r="L1250" i="4" s="1"/>
  <c r="L1077" i="4"/>
  <c r="L958" i="4"/>
  <c r="L1247" i="4" s="1"/>
  <c r="M804" i="4" a="1"/>
  <c r="M804" i="4" s="1"/>
  <c r="M800" i="4" a="1"/>
  <c r="M800" i="4" s="1"/>
  <c r="M806" i="4" a="1"/>
  <c r="M806" i="4" s="1"/>
  <c r="M795" i="4"/>
  <c r="M803" i="4" a="1"/>
  <c r="M803" i="4" s="1"/>
  <c r="M801" i="4" a="1"/>
  <c r="M801" i="4" s="1"/>
  <c r="M805" i="4" a="1"/>
  <c r="M805" i="4" s="1"/>
  <c r="M799" i="4" a="1"/>
  <c r="M799" i="4" s="1"/>
  <c r="M807" i="4" a="1"/>
  <c r="M807" i="4" s="1"/>
  <c r="M802" i="4" a="1"/>
  <c r="M802" i="4" s="1"/>
  <c r="G964" i="4"/>
  <c r="G1254" i="4" s="1"/>
  <c r="G1083" i="4"/>
  <c r="G1081" i="4"/>
  <c r="G962" i="4"/>
  <c r="G1251" i="4" s="1"/>
  <c r="K241" i="55"/>
  <c r="L357" i="35"/>
  <c r="J348" i="35"/>
  <c r="M153" i="55"/>
  <c r="J46" i="54"/>
  <c r="I1022" i="4" a="1"/>
  <c r="I1022" i="4" s="1"/>
  <c r="I1232" i="4" s="1"/>
  <c r="I1026" i="4" a="1"/>
  <c r="I1026" i="4" s="1"/>
  <c r="I1236" i="4" s="1"/>
  <c r="I1027" i="4" a="1"/>
  <c r="I1027" i="4" s="1"/>
  <c r="I1238" i="4" s="1"/>
  <c r="I1021" i="4" a="1"/>
  <c r="I1021" i="4" s="1"/>
  <c r="I1024" i="4" a="1"/>
  <c r="I1024" i="4" s="1"/>
  <c r="I1234" i="4" s="1"/>
  <c r="I1028" i="4" a="1"/>
  <c r="I1028" i="4" s="1"/>
  <c r="I1239" i="4" s="1"/>
  <c r="I1016" i="4"/>
  <c r="I1029" i="4" a="1"/>
  <c r="I1029" i="4" s="1"/>
  <c r="I1240" i="4" s="1"/>
  <c r="I1025" i="4" a="1"/>
  <c r="I1025" i="4" s="1"/>
  <c r="I1235" i="4" s="1"/>
  <c r="I1023" i="4" a="1"/>
  <c r="I1023" i="4" s="1"/>
  <c r="I1233" i="4" s="1"/>
  <c r="H348" i="35"/>
  <c r="J346" i="35"/>
  <c r="L149" i="55"/>
  <c r="N383" i="35"/>
  <c r="N391" i="35"/>
  <c r="G350" i="35"/>
  <c r="H350" i="35"/>
  <c r="J1078" i="4"/>
  <c r="J959" i="4"/>
  <c r="J1248" i="4" s="1"/>
  <c r="J960" i="4"/>
  <c r="J1249" i="4" s="1"/>
  <c r="J1079" i="4"/>
  <c r="J1080" i="4"/>
  <c r="J961" i="4"/>
  <c r="J1250" i="4" s="1"/>
  <c r="H959" i="4"/>
  <c r="H1248" i="4" s="1"/>
  <c r="H1078" i="4"/>
  <c r="H963" i="4"/>
  <c r="H1253" i="4" s="1"/>
  <c r="H1082" i="4"/>
  <c r="H957" i="4"/>
  <c r="H1076" i="4"/>
  <c r="H808" i="4"/>
  <c r="AZ408" i="47"/>
  <c r="AZ406" i="47"/>
  <c r="H346" i="35"/>
  <c r="K210" i="55"/>
  <c r="K124" i="55"/>
  <c r="K213" i="55" s="1"/>
  <c r="I151" i="55"/>
  <c r="M354" i="35"/>
  <c r="L219" i="61"/>
  <c r="L227" i="61" s="1"/>
  <c r="L220" i="61"/>
  <c r="L228" i="61" s="1"/>
  <c r="L221" i="61"/>
  <c r="L229" i="61" s="1"/>
  <c r="L222" i="61"/>
  <c r="L230" i="61" s="1"/>
  <c r="L141" i="61"/>
  <c r="L189" i="61" s="1"/>
  <c r="L139" i="61"/>
  <c r="L187" i="61" s="1"/>
  <c r="L173" i="61"/>
  <c r="L140" i="61"/>
  <c r="L188" i="61" s="1"/>
  <c r="N241" i="55"/>
  <c r="N149" i="55"/>
  <c r="G135" i="61"/>
  <c r="G175" i="61" s="1"/>
  <c r="G146" i="61"/>
  <c r="G134" i="61"/>
  <c r="G174" i="61" s="1"/>
  <c r="G133" i="61"/>
  <c r="G132" i="61"/>
  <c r="G176" i="61"/>
  <c r="J210" i="55"/>
  <c r="J124" i="55"/>
  <c r="J213" i="55" s="1"/>
  <c r="F348" i="35"/>
  <c r="F965" i="4"/>
  <c r="F1084" i="4"/>
  <c r="F960" i="4"/>
  <c r="F1249" i="4" s="1"/>
  <c r="F1079" i="4"/>
  <c r="L346" i="35"/>
  <c r="K959" i="4"/>
  <c r="K1248" i="4" s="1"/>
  <c r="K1078" i="4"/>
  <c r="K1080" i="4"/>
  <c r="K961" i="4"/>
  <c r="K1250" i="4" s="1"/>
  <c r="K808" i="4"/>
  <c r="K1076" i="4"/>
  <c r="K957" i="4"/>
  <c r="I149" i="55"/>
  <c r="H149" i="55"/>
  <c r="H211" i="55"/>
  <c r="H133" i="55"/>
  <c r="H224" i="55" s="1"/>
  <c r="H132" i="55"/>
  <c r="H223" i="55" s="1"/>
  <c r="H233" i="55"/>
  <c r="H232" i="55"/>
  <c r="H231" i="55"/>
  <c r="H230" i="55"/>
  <c r="H131" i="55"/>
  <c r="H222" i="55" s="1"/>
  <c r="H385" i="35"/>
  <c r="J178" i="61"/>
  <c r="J172" i="61"/>
  <c r="K1030" i="4"/>
  <c r="K1231" i="4"/>
  <c r="K1241" i="4" s="1"/>
  <c r="K1034" i="4" a="1"/>
  <c r="K1034" i="4" s="1"/>
  <c r="K1035" i="4" a="1"/>
  <c r="K1035" i="4" s="1"/>
  <c r="K1033" i="4" a="1"/>
  <c r="K1033" i="4" s="1"/>
  <c r="N959" i="4"/>
  <c r="N1248" i="4" s="1"/>
  <c r="N1078" i="4"/>
  <c r="N965" i="4"/>
  <c r="N1084" i="4"/>
  <c r="N1079" i="4"/>
  <c r="N960" i="4"/>
  <c r="N1249" i="4" s="1"/>
  <c r="L349" i="35"/>
  <c r="L1081" i="4"/>
  <c r="L962" i="4"/>
  <c r="L1251" i="4" s="1"/>
  <c r="L959" i="4"/>
  <c r="L1248" i="4" s="1"/>
  <c r="L1078" i="4"/>
  <c r="L960" i="4"/>
  <c r="L1249" i="4" s="1"/>
  <c r="L1079" i="4"/>
  <c r="J350" i="35"/>
  <c r="G1078" i="4"/>
  <c r="G959" i="4"/>
  <c r="G1248" i="4" s="1"/>
  <c r="G961" i="4"/>
  <c r="G1250" i="4" s="1"/>
  <c r="G1080" i="4"/>
  <c r="I214" i="55"/>
  <c r="M178" i="61"/>
  <c r="M172" i="61"/>
  <c r="M308" i="35"/>
  <c r="K173" i="61"/>
  <c r="K139" i="61"/>
  <c r="K187" i="61" s="1"/>
  <c r="K219" i="61"/>
  <c r="K227" i="61" s="1"/>
  <c r="K140" i="61"/>
  <c r="K188" i="61" s="1"/>
  <c r="K222" i="61"/>
  <c r="K230" i="61" s="1"/>
  <c r="K141" i="61"/>
  <c r="K189" i="61" s="1"/>
  <c r="K221" i="61"/>
  <c r="K229" i="61" s="1"/>
  <c r="K220" i="61"/>
  <c r="K228" i="61" s="1"/>
  <c r="K172" i="61"/>
  <c r="K178" i="61"/>
  <c r="L306" i="35"/>
  <c r="L347" i="35"/>
  <c r="L133" i="55"/>
  <c r="L224" i="55" s="1"/>
  <c r="L132" i="55"/>
  <c r="L223" i="55" s="1"/>
  <c r="L131" i="55"/>
  <c r="L222" i="55" s="1"/>
  <c r="L233" i="55"/>
  <c r="L232" i="55"/>
  <c r="L231" i="55"/>
  <c r="L211" i="55"/>
  <c r="L230" i="55"/>
  <c r="M346" i="35"/>
  <c r="N346" i="35"/>
  <c r="L210" i="55"/>
  <c r="L124" i="55"/>
  <c r="L213" i="55" s="1"/>
  <c r="G349" i="35"/>
  <c r="H349" i="35"/>
  <c r="J958" i="4"/>
  <c r="J1247" i="4" s="1"/>
  <c r="J1077" i="4"/>
  <c r="J1082" i="4"/>
  <c r="J963" i="4"/>
  <c r="J1253" i="4" s="1"/>
  <c r="J1231" i="4"/>
  <c r="J1241" i="4" s="1"/>
  <c r="J1030" i="4"/>
  <c r="J1034" i="4" a="1"/>
  <c r="J1034" i="4" s="1"/>
  <c r="J1035" i="4" a="1"/>
  <c r="J1035" i="4" s="1"/>
  <c r="J1033" i="4" a="1"/>
  <c r="J1033" i="4" s="1"/>
  <c r="H1083" i="4"/>
  <c r="H964" i="4"/>
  <c r="H1254" i="4" s="1"/>
  <c r="H306" i="35"/>
  <c r="N1035" i="4" a="1"/>
  <c r="N1035" i="4" s="1"/>
  <c r="N1034" i="4" a="1"/>
  <c r="N1034" i="4" s="1"/>
  <c r="N1231" i="4"/>
  <c r="N1241" i="4" s="1"/>
  <c r="N1033" i="4" a="1"/>
  <c r="N1033" i="4" s="1"/>
  <c r="N1030" i="4"/>
  <c r="J349" i="35"/>
  <c r="M358" i="35"/>
  <c r="M147" i="61"/>
  <c r="M149" i="61" s="1"/>
  <c r="L148" i="61"/>
  <c r="L149" i="61" s="1"/>
  <c r="M150" i="55"/>
  <c r="L350" i="35"/>
  <c r="J355" i="35"/>
  <c r="F959" i="4"/>
  <c r="F1248" i="4" s="1"/>
  <c r="F1078" i="4"/>
  <c r="F1081" i="4"/>
  <c r="F962" i="4"/>
  <c r="F1251" i="4" s="1"/>
  <c r="G383" i="35"/>
  <c r="G391" i="35"/>
  <c r="K962" i="4"/>
  <c r="K1251" i="4" s="1"/>
  <c r="K1081" i="4"/>
  <c r="K960" i="4"/>
  <c r="K1249" i="4" s="1"/>
  <c r="K1079" i="4"/>
  <c r="G1033" i="4" a="1"/>
  <c r="G1033" i="4" s="1"/>
  <c r="G1231" i="4"/>
  <c r="G1241" i="4" s="1"/>
  <c r="G1035" i="4" a="1"/>
  <c r="G1035" i="4" s="1"/>
  <c r="G1034" i="4" a="1"/>
  <c r="G1034" i="4" s="1"/>
  <c r="G1030" i="4"/>
  <c r="L351" i="35"/>
  <c r="V96" i="41"/>
  <c r="L26" i="60"/>
  <c r="BF216" i="47"/>
  <c r="L41" i="60"/>
  <c r="L39" i="60"/>
  <c r="BG217" i="47"/>
  <c r="M27" i="60"/>
  <c r="W96" i="26"/>
  <c r="W53" i="37"/>
  <c r="H80" i="60"/>
  <c r="L7" i="64"/>
  <c r="S45" i="41"/>
  <c r="BF306" i="47"/>
  <c r="L50" i="60"/>
  <c r="BP45" i="38"/>
  <c r="W9" i="1"/>
  <c r="BO53" i="38"/>
  <c r="BP53" i="36"/>
  <c r="AB9" i="26"/>
  <c r="M62" i="60"/>
  <c r="I25" i="60"/>
  <c r="U96" i="38"/>
  <c r="BC215" i="47"/>
  <c r="BH45" i="26"/>
  <c r="M55" i="60"/>
  <c r="W53" i="26"/>
  <c r="M80" i="60"/>
  <c r="J53" i="60"/>
  <c r="W45" i="39"/>
  <c r="V53" i="41"/>
  <c r="L79" i="60"/>
  <c r="L53" i="60"/>
  <c r="W45" i="41"/>
  <c r="Y53" i="1"/>
  <c r="S53" i="36"/>
  <c r="BA317" i="47"/>
  <c r="G77" i="60"/>
  <c r="G18" i="64"/>
  <c r="W9" i="40"/>
  <c r="AB9" i="25"/>
  <c r="F62" i="60"/>
  <c r="M28" i="60"/>
  <c r="BH96" i="26"/>
  <c r="U9" i="38"/>
  <c r="W9" i="38"/>
  <c r="BH45" i="39"/>
  <c r="J55" i="60"/>
  <c r="BO53" i="40"/>
  <c r="BH45" i="38"/>
  <c r="I55" i="60"/>
  <c r="V9" i="1"/>
  <c r="G53" i="60"/>
  <c r="W45" i="36"/>
  <c r="W96" i="36"/>
  <c r="BA217" i="47"/>
  <c r="G27" i="60"/>
  <c r="V9" i="40"/>
  <c r="U9" i="25"/>
  <c r="BI53" i="41"/>
  <c r="BO53" i="39"/>
  <c r="BQ53" i="39"/>
  <c r="BI53" i="39"/>
  <c r="BP45" i="40"/>
  <c r="BC9" i="38"/>
  <c r="I58" i="60"/>
  <c r="AB9" i="1"/>
  <c r="E62" i="60"/>
  <c r="U9" i="1"/>
  <c r="U96" i="25"/>
  <c r="F25" i="60"/>
  <c r="AZ215" i="47"/>
  <c r="V9" i="39"/>
  <c r="L40" i="60"/>
  <c r="L42" i="60"/>
  <c r="BC9" i="40"/>
  <c r="K58" i="60"/>
  <c r="V9" i="25"/>
  <c r="V9" i="36"/>
  <c r="BQ45" i="38"/>
  <c r="BO45" i="26"/>
  <c r="BP45" i="26"/>
  <c r="BP53" i="38"/>
  <c r="BO53" i="36"/>
  <c r="I28" i="60"/>
  <c r="BH96" i="38"/>
  <c r="M50" i="60"/>
  <c r="S45" i="26"/>
  <c r="M7" i="64"/>
  <c r="BG306" i="47"/>
  <c r="Y53" i="26"/>
  <c r="F58" i="60"/>
  <c r="BC9" i="25"/>
  <c r="U96" i="1"/>
  <c r="AY215" i="47"/>
  <c r="E25" i="60"/>
  <c r="BQ45" i="41"/>
  <c r="J25" i="60"/>
  <c r="U96" i="39"/>
  <c r="BD215" i="47"/>
  <c r="I62" i="60"/>
  <c r="AB9" i="38"/>
  <c r="G9" i="38"/>
  <c r="AY217" i="47"/>
  <c r="E27" i="60"/>
  <c r="W96" i="1"/>
  <c r="BC9" i="1"/>
  <c r="E58" i="60"/>
  <c r="BI53" i="36"/>
  <c r="F27" i="60"/>
  <c r="AZ217" i="47"/>
  <c r="W96" i="25"/>
  <c r="G9" i="25"/>
  <c r="H43" i="60"/>
  <c r="V9" i="38"/>
  <c r="U9" i="36"/>
  <c r="K79" i="60"/>
  <c r="V53" i="40"/>
  <c r="F64" i="60"/>
  <c r="AB53" i="25"/>
  <c r="BQ45" i="36"/>
  <c r="U9" i="26"/>
  <c r="K62" i="60"/>
  <c r="AB9" i="40"/>
  <c r="W9" i="25"/>
  <c r="S53" i="41"/>
  <c r="L18" i="64"/>
  <c r="L77" i="60"/>
  <c r="BF317" i="47"/>
  <c r="BO45" i="40"/>
  <c r="K53" i="60"/>
  <c r="W45" i="40"/>
  <c r="S45" i="40"/>
  <c r="K50" i="60"/>
  <c r="BE306" i="47"/>
  <c r="K7" i="64"/>
  <c r="T9" i="38"/>
  <c r="G9" i="36"/>
  <c r="L60" i="60"/>
  <c r="G55" i="60"/>
  <c r="BH45" i="36"/>
  <c r="W9" i="36"/>
  <c r="I26" i="60"/>
  <c r="BC216" i="47"/>
  <c r="V96" i="38"/>
  <c r="BQ53" i="36"/>
  <c r="T9" i="25"/>
  <c r="BP45" i="39"/>
  <c r="BH96" i="1"/>
  <c r="E28" i="60"/>
  <c r="BO53" i="41"/>
  <c r="BQ53" i="41"/>
  <c r="BB217" i="47"/>
  <c r="H27" i="60"/>
  <c r="W96" i="37"/>
  <c r="BH96" i="39"/>
  <c r="J28" i="60"/>
  <c r="T9" i="36"/>
  <c r="S53" i="40"/>
  <c r="BE317" i="47"/>
  <c r="K77" i="60"/>
  <c r="K18" i="64"/>
  <c r="BC9" i="39"/>
  <c r="J58" i="60"/>
  <c r="T9" i="39"/>
  <c r="T9" i="26"/>
  <c r="T9" i="40"/>
  <c r="H42" i="60"/>
  <c r="H40" i="60"/>
  <c r="H41" i="60"/>
  <c r="BP53" i="40"/>
  <c r="Y53" i="25"/>
  <c r="W9" i="39"/>
  <c r="BP45" i="36"/>
  <c r="BI53" i="38"/>
  <c r="V9" i="26"/>
  <c r="U9" i="40"/>
  <c r="BP53" i="39"/>
  <c r="K55" i="60"/>
  <c r="BH45" i="40"/>
  <c r="BH96" i="25"/>
  <c r="F28" i="60"/>
  <c r="W53" i="25"/>
  <c r="F80" i="60"/>
  <c r="BC317" i="47"/>
  <c r="S53" i="38"/>
  <c r="I77" i="60"/>
  <c r="I18" i="64"/>
  <c r="J62" i="60"/>
  <c r="AB9" i="39"/>
  <c r="L43" i="60"/>
  <c r="BC9" i="26"/>
  <c r="M58" i="60"/>
  <c r="G50" i="60"/>
  <c r="BA306" i="47"/>
  <c r="G7" i="64"/>
  <c r="S45" i="36"/>
  <c r="Y53" i="37"/>
  <c r="AB53" i="37"/>
  <c r="H64" i="60"/>
  <c r="L55" i="60"/>
  <c r="BH45" i="41"/>
  <c r="I53" i="60"/>
  <c r="W45" i="38"/>
  <c r="BO45" i="38"/>
  <c r="M53" i="60"/>
  <c r="W45" i="26"/>
  <c r="BQ45" i="26"/>
  <c r="BQ53" i="38"/>
  <c r="V53" i="38"/>
  <c r="I79" i="60"/>
  <c r="V53" i="36"/>
  <c r="G79" i="60"/>
  <c r="V96" i="40"/>
  <c r="BE216" i="47"/>
  <c r="K26" i="60"/>
  <c r="M64" i="60"/>
  <c r="AB53" i="26"/>
  <c r="BQ45" i="39"/>
  <c r="BO45" i="39"/>
  <c r="W96" i="39"/>
  <c r="J27" i="60"/>
  <c r="BD217" i="47"/>
  <c r="BP53" i="41"/>
  <c r="BP45" i="41"/>
  <c r="BO45" i="41"/>
  <c r="AB53" i="1"/>
  <c r="E64" i="60"/>
  <c r="W53" i="1"/>
  <c r="E80" i="60"/>
  <c r="G62" i="60"/>
  <c r="AB9" i="36"/>
  <c r="BI53" i="40"/>
  <c r="T9" i="1"/>
  <c r="W9" i="26"/>
  <c r="H60" i="60"/>
  <c r="H39" i="60"/>
  <c r="U96" i="26"/>
  <c r="M25" i="60"/>
  <c r="BG215" i="47"/>
  <c r="BC9" i="36"/>
  <c r="G58" i="60"/>
  <c r="J50" i="60"/>
  <c r="J7" i="64"/>
  <c r="BD306" i="47"/>
  <c r="S45" i="39"/>
  <c r="BQ53" i="40"/>
  <c r="S45" i="38"/>
  <c r="BC306" i="47"/>
  <c r="I7" i="64"/>
  <c r="I50" i="60"/>
  <c r="U9" i="39"/>
  <c r="BO45" i="36"/>
  <c r="V53" i="39"/>
  <c r="J79" i="60"/>
  <c r="J18" i="64"/>
  <c r="S53" i="39"/>
  <c r="BD317" i="47"/>
  <c r="J77" i="60"/>
  <c r="BQ45" i="40"/>
  <c r="BF242" i="47"/>
  <c r="BE246" i="47"/>
  <c r="BC246" i="47"/>
  <c r="BE242" i="47"/>
  <c r="AZ246" i="47"/>
  <c r="BC97" i="47"/>
  <c r="I39" i="64"/>
  <c r="BA246" i="47"/>
  <c r="F39" i="64"/>
  <c r="AZ97" i="47"/>
  <c r="BA97" i="47"/>
  <c r="G39" i="64"/>
  <c r="BD97" i="47"/>
  <c r="M39" i="64"/>
  <c r="K39" i="64"/>
  <c r="BE97" i="47"/>
  <c r="BD246" i="47"/>
  <c r="BC242" i="47"/>
  <c r="BA242" i="47"/>
  <c r="AY97" i="47"/>
  <c r="E39" i="64"/>
  <c r="BG246" i="47"/>
  <c r="BD242" i="47"/>
  <c r="AO11" i="60" l="1"/>
  <c r="DH46" i="25"/>
  <c r="AK46" i="37"/>
  <c r="BL46" i="37" s="1"/>
  <c r="AU11" i="60"/>
  <c r="BQ46" i="40"/>
  <c r="AI29" i="60"/>
  <c r="BD323" i="47"/>
  <c r="S55" i="39"/>
  <c r="AK53" i="39"/>
  <c r="J27" i="64"/>
  <c r="V55" i="39"/>
  <c r="V84" i="39" s="1"/>
  <c r="BO46" i="36"/>
  <c r="U11" i="39"/>
  <c r="U15" i="39" s="1"/>
  <c r="AH25" i="60"/>
  <c r="I26" i="64"/>
  <c r="BC322" i="47"/>
  <c r="AK45" i="38"/>
  <c r="S46" i="38"/>
  <c r="BQ55" i="40"/>
  <c r="AK45" i="39"/>
  <c r="S46" i="39"/>
  <c r="BD322" i="47"/>
  <c r="J26" i="64"/>
  <c r="AI25" i="60"/>
  <c r="U45" i="60"/>
  <c r="BC11" i="36"/>
  <c r="BF9" i="36"/>
  <c r="AA8" i="60"/>
  <c r="AW8" i="60" s="1"/>
  <c r="AK96" i="26"/>
  <c r="AG11" i="60"/>
  <c r="W11" i="26"/>
  <c r="W15" i="26" s="1"/>
  <c r="W40" i="26" s="1"/>
  <c r="T11" i="1"/>
  <c r="T15" i="1" s="1"/>
  <c r="T40" i="1" s="1"/>
  <c r="T90" i="1" s="1"/>
  <c r="BI55" i="40"/>
  <c r="BJ55" i="40" s="1"/>
  <c r="BJ53" i="40"/>
  <c r="AB11" i="36"/>
  <c r="AB15" i="36" s="1"/>
  <c r="AB40" i="36" s="1"/>
  <c r="AB70" i="36" s="1"/>
  <c r="U15" i="60"/>
  <c r="W55" i="1"/>
  <c r="AB55" i="1"/>
  <c r="BO46" i="41"/>
  <c r="BP46" i="41"/>
  <c r="BP55" i="41"/>
  <c r="J103" i="60"/>
  <c r="BO46" i="39"/>
  <c r="BQ46" i="39"/>
  <c r="AB55" i="26"/>
  <c r="V55" i="36"/>
  <c r="V84" i="36" s="1"/>
  <c r="V55" i="38"/>
  <c r="V84" i="38" s="1"/>
  <c r="BQ55" i="38"/>
  <c r="BQ46" i="26"/>
  <c r="W46" i="26"/>
  <c r="BO46" i="38"/>
  <c r="W46" i="38"/>
  <c r="BJ45" i="41"/>
  <c r="BH46" i="41"/>
  <c r="BJ46" i="41" s="1"/>
  <c r="Z25" i="60"/>
  <c r="AB55" i="37"/>
  <c r="Y55" i="37"/>
  <c r="Y84" i="37" s="1"/>
  <c r="S46" i="36"/>
  <c r="AK45" i="36"/>
  <c r="G26" i="64"/>
  <c r="BA322" i="47"/>
  <c r="AF25" i="60"/>
  <c r="AA45" i="60"/>
  <c r="BC11" i="26"/>
  <c r="BF9" i="26"/>
  <c r="AB11" i="39"/>
  <c r="AB15" i="39" s="1"/>
  <c r="AB40" i="39" s="1"/>
  <c r="AB70" i="39" s="1"/>
  <c r="X15" i="60"/>
  <c r="I27" i="64"/>
  <c r="AH29" i="60"/>
  <c r="AK53" i="38"/>
  <c r="S55" i="38"/>
  <c r="BC323" i="47"/>
  <c r="W55" i="25"/>
  <c r="BJ96" i="25"/>
  <c r="BH99" i="25"/>
  <c r="BJ99" i="25" s="1"/>
  <c r="BH46" i="40"/>
  <c r="BJ46" i="40" s="1"/>
  <c r="BJ45" i="40"/>
  <c r="Y25" i="60"/>
  <c r="BP55" i="39"/>
  <c r="U11" i="40"/>
  <c r="U15" i="40" s="1"/>
  <c r="V11" i="26"/>
  <c r="V15" i="26" s="1"/>
  <c r="V40" i="26" s="1"/>
  <c r="BI55" i="38"/>
  <c r="BJ55" i="38" s="1"/>
  <c r="BJ53" i="38"/>
  <c r="BP46" i="36"/>
  <c r="W11" i="39"/>
  <c r="W15" i="39" s="1"/>
  <c r="W40" i="39" s="1"/>
  <c r="Y55" i="25"/>
  <c r="Y84" i="25" s="1"/>
  <c r="BP55" i="40"/>
  <c r="V11" i="60"/>
  <c r="AR11" i="60" s="1"/>
  <c r="T11" i="40"/>
  <c r="T15" i="40" s="1"/>
  <c r="T40" i="40" s="1"/>
  <c r="T11" i="26"/>
  <c r="T15" i="26" s="1"/>
  <c r="T40" i="26" s="1"/>
  <c r="T11" i="39"/>
  <c r="T15" i="39" s="1"/>
  <c r="T40" i="39" s="1"/>
  <c r="T90" i="39" s="1"/>
  <c r="X45" i="60"/>
  <c r="BC11" i="39"/>
  <c r="BF9" i="39"/>
  <c r="K27" i="64"/>
  <c r="AJ29" i="60"/>
  <c r="BE323" i="47"/>
  <c r="S55" i="40"/>
  <c r="AK53" i="40"/>
  <c r="T11" i="36"/>
  <c r="T15" i="36" s="1"/>
  <c r="T40" i="36" s="1"/>
  <c r="T90" i="36" s="1"/>
  <c r="BH99" i="39"/>
  <c r="BJ99" i="39" s="1"/>
  <c r="BJ96" i="39"/>
  <c r="H103" i="60"/>
  <c r="BQ55" i="41"/>
  <c r="BO55" i="41"/>
  <c r="DH53" i="41"/>
  <c r="BH99" i="1"/>
  <c r="BJ99" i="1" s="1"/>
  <c r="BJ96" i="1"/>
  <c r="BP46" i="39"/>
  <c r="T11" i="25"/>
  <c r="T15" i="25" s="1"/>
  <c r="T40" i="25" s="1"/>
  <c r="T90" i="25" s="1"/>
  <c r="BQ55" i="36"/>
  <c r="W11" i="36"/>
  <c r="W15" i="36" s="1"/>
  <c r="W40" i="36" s="1"/>
  <c r="BJ45" i="36"/>
  <c r="BH46" i="36"/>
  <c r="BJ46" i="36" s="1"/>
  <c r="U25" i="60"/>
  <c r="Q9" i="36"/>
  <c r="G11" i="36"/>
  <c r="T11" i="38"/>
  <c r="T15" i="38" s="1"/>
  <c r="T40" i="38" s="1"/>
  <c r="T90" i="38" s="1"/>
  <c r="K26" i="64"/>
  <c r="BE322" i="47"/>
  <c r="AJ25" i="60"/>
  <c r="AK45" i="40"/>
  <c r="S46" i="40"/>
  <c r="W46" i="40"/>
  <c r="BO46" i="40"/>
  <c r="BF323" i="47"/>
  <c r="AK29" i="60"/>
  <c r="L27" i="64"/>
  <c r="S55" i="41"/>
  <c r="AK53" i="41"/>
  <c r="W11" i="25"/>
  <c r="W15" i="25" s="1"/>
  <c r="W40" i="25" s="1"/>
  <c r="AB11" i="40"/>
  <c r="AB15" i="40" s="1"/>
  <c r="AB40" i="40" s="1"/>
  <c r="AB70" i="40" s="1"/>
  <c r="Y15" i="60"/>
  <c r="U11" i="26"/>
  <c r="U15" i="26" s="1"/>
  <c r="BQ46" i="36"/>
  <c r="AB55" i="25"/>
  <c r="V55" i="40"/>
  <c r="V84" i="40" s="1"/>
  <c r="U11" i="36"/>
  <c r="U15" i="36" s="1"/>
  <c r="V11" i="38"/>
  <c r="V15" i="38" s="1"/>
  <c r="V40" i="38" s="1"/>
  <c r="Q9" i="25"/>
  <c r="G11" i="25"/>
  <c r="F103" i="60"/>
  <c r="BI55" i="36"/>
  <c r="BJ55" i="36" s="1"/>
  <c r="BJ53" i="36"/>
  <c r="S45" i="60"/>
  <c r="BC11" i="1"/>
  <c r="BF9" i="1"/>
  <c r="E103" i="60"/>
  <c r="Q9" i="38"/>
  <c r="G11" i="38"/>
  <c r="AB11" i="38"/>
  <c r="AB15" i="38" s="1"/>
  <c r="AB40" i="38" s="1"/>
  <c r="W15" i="60"/>
  <c r="AK96" i="39"/>
  <c r="X8" i="60"/>
  <c r="AT8" i="60" s="1"/>
  <c r="BQ46" i="41"/>
  <c r="S8" i="60"/>
  <c r="AO8" i="60" s="1"/>
  <c r="AK96" i="1"/>
  <c r="BC11" i="25"/>
  <c r="BF9" i="25"/>
  <c r="T45" i="60"/>
  <c r="Y55" i="26"/>
  <c r="Y84" i="26" s="1"/>
  <c r="BG322" i="47"/>
  <c r="M26" i="64"/>
  <c r="S46" i="26"/>
  <c r="AK46" i="26" s="1"/>
  <c r="AK45" i="26"/>
  <c r="AL25" i="60"/>
  <c r="BJ96" i="38"/>
  <c r="BH99" i="38"/>
  <c r="BJ99" i="38" s="1"/>
  <c r="BO55" i="36"/>
  <c r="DH53" i="36"/>
  <c r="BP55" i="38"/>
  <c r="BP46" i="26"/>
  <c r="BO46" i="26"/>
  <c r="BQ46" i="38"/>
  <c r="V11" i="36"/>
  <c r="V15" i="36" s="1"/>
  <c r="V40" i="36" s="1"/>
  <c r="V11" i="25"/>
  <c r="V15" i="25" s="1"/>
  <c r="V40" i="25" s="1"/>
  <c r="Y45" i="60"/>
  <c r="BC11" i="40"/>
  <c r="BF9" i="40"/>
  <c r="Z11" i="60"/>
  <c r="V11" i="39"/>
  <c r="V15" i="39" s="1"/>
  <c r="V40" i="39" s="1"/>
  <c r="T8" i="60"/>
  <c r="AP8" i="60" s="1"/>
  <c r="AK96" i="25"/>
  <c r="BL96" i="25" s="1"/>
  <c r="U11" i="1"/>
  <c r="U15" i="1" s="1"/>
  <c r="S15" i="60"/>
  <c r="AB11" i="1"/>
  <c r="AB15" i="1" s="1"/>
  <c r="AB40" i="1" s="1"/>
  <c r="AB70" i="1" s="1"/>
  <c r="W45" i="60"/>
  <c r="BC11" i="38"/>
  <c r="BF9" i="38"/>
  <c r="BP46" i="40"/>
  <c r="BI55" i="39"/>
  <c r="BJ55" i="39" s="1"/>
  <c r="BJ53" i="39"/>
  <c r="BQ55" i="39"/>
  <c r="BO55" i="39"/>
  <c r="DH53" i="39"/>
  <c r="BI55" i="41"/>
  <c r="BJ55" i="41" s="1"/>
  <c r="BJ53" i="41"/>
  <c r="U11" i="25"/>
  <c r="U15" i="25" s="1"/>
  <c r="V11" i="40"/>
  <c r="V15" i="40" s="1"/>
  <c r="V40" i="40" s="1"/>
  <c r="G103" i="60"/>
  <c r="W46" i="36"/>
  <c r="V11" i="1"/>
  <c r="V15" i="1" s="1"/>
  <c r="V40" i="1" s="1"/>
  <c r="W25" i="60"/>
  <c r="AS25" i="60" s="1"/>
  <c r="BH46" i="38"/>
  <c r="BJ46" i="38" s="1"/>
  <c r="BJ45" i="38"/>
  <c r="BO55" i="40"/>
  <c r="DH53" i="40"/>
  <c r="X25" i="60"/>
  <c r="AT25" i="60" s="1"/>
  <c r="BJ45" i="39"/>
  <c r="BH46" i="39"/>
  <c r="BJ46" i="39" s="1"/>
  <c r="W11" i="38"/>
  <c r="W15" i="38" s="1"/>
  <c r="W40" i="38" s="1"/>
  <c r="U11" i="38"/>
  <c r="U15" i="38" s="1"/>
  <c r="BJ96" i="26"/>
  <c r="BH99" i="26"/>
  <c r="BJ99" i="26" s="1"/>
  <c r="T15" i="60"/>
  <c r="AB11" i="25"/>
  <c r="AB15" i="25" s="1"/>
  <c r="AB40" i="25" s="1"/>
  <c r="AB70" i="25" s="1"/>
  <c r="W11" i="40"/>
  <c r="W15" i="40" s="1"/>
  <c r="W40" i="40" s="1"/>
  <c r="G27" i="64"/>
  <c r="AF29" i="60"/>
  <c r="BA323" i="47"/>
  <c r="S55" i="36"/>
  <c r="AK53" i="36"/>
  <c r="Y55" i="1"/>
  <c r="Y84" i="1" s="1"/>
  <c r="W46" i="41"/>
  <c r="V55" i="41"/>
  <c r="V84" i="41" s="1"/>
  <c r="W46" i="39"/>
  <c r="W55" i="26"/>
  <c r="AA25" i="60"/>
  <c r="AW25" i="60" s="1"/>
  <c r="BJ45" i="26"/>
  <c r="BH46" i="26"/>
  <c r="BJ46" i="26" s="1"/>
  <c r="AA15" i="60"/>
  <c r="AB11" i="26"/>
  <c r="AB15" i="26" s="1"/>
  <c r="AB40" i="26" s="1"/>
  <c r="BP55" i="36"/>
  <c r="BO55" i="38"/>
  <c r="DH53" i="38"/>
  <c r="W11" i="1"/>
  <c r="W15" i="1" s="1"/>
  <c r="W40" i="1" s="1"/>
  <c r="BP46" i="38"/>
  <c r="AK25" i="60"/>
  <c r="BF322" i="47"/>
  <c r="S46" i="41"/>
  <c r="AK46" i="41" s="1"/>
  <c r="BL46" i="41" s="1"/>
  <c r="AK45" i="41"/>
  <c r="L26" i="64"/>
  <c r="W55" i="37"/>
  <c r="M103" i="60"/>
  <c r="AK11" i="60"/>
  <c r="K179" i="61"/>
  <c r="K1219" i="4"/>
  <c r="J214" i="55"/>
  <c r="K214" i="55"/>
  <c r="H1224" i="4"/>
  <c r="AZ390" i="47"/>
  <c r="N392" i="35"/>
  <c r="M1084" i="4"/>
  <c r="M965" i="4"/>
  <c r="M1080" i="4"/>
  <c r="M961" i="4"/>
  <c r="M1250" i="4" s="1"/>
  <c r="M962" i="4"/>
  <c r="M1251" i="4" s="1"/>
  <c r="M1081" i="4"/>
  <c r="N1221" i="4"/>
  <c r="F1218" i="4"/>
  <c r="I383" i="35"/>
  <c r="I391" i="35"/>
  <c r="H1222" i="4"/>
  <c r="J1246" i="4"/>
  <c r="J966" i="4"/>
  <c r="J969" i="4" a="1"/>
  <c r="J969" i="4" s="1"/>
  <c r="J1279" i="4" s="1"/>
  <c r="J971" i="4" a="1"/>
  <c r="J971" i="4" s="1"/>
  <c r="J1281" i="4" s="1"/>
  <c r="J970" i="4" a="1"/>
  <c r="J970" i="4" s="1"/>
  <c r="J1280" i="4" s="1"/>
  <c r="G1085" i="4"/>
  <c r="G1111" i="4"/>
  <c r="G1299" i="4" s="1"/>
  <c r="AZ429" i="47"/>
  <c r="L971" i="4" a="1"/>
  <c r="L971" i="4" s="1"/>
  <c r="L1281" i="4" s="1"/>
  <c r="L1246" i="4"/>
  <c r="L966" i="4"/>
  <c r="L969" i="4" a="1"/>
  <c r="L969" i="4" s="1"/>
  <c r="L1279" i="4" s="1"/>
  <c r="L970" i="4" a="1"/>
  <c r="L970" i="4" s="1"/>
  <c r="L1280" i="4" s="1"/>
  <c r="N1254" i="4"/>
  <c r="L385" i="35"/>
  <c r="F1254" i="4"/>
  <c r="AZ418" i="47"/>
  <c r="BF375" i="47"/>
  <c r="L1254" i="4"/>
  <c r="H214" i="55"/>
  <c r="N1224" i="4"/>
  <c r="AZ423" i="47"/>
  <c r="BF409" i="47" s="1"/>
  <c r="BH409" i="47" s="1"/>
  <c r="BI409" i="47" s="1"/>
  <c r="I958" i="4"/>
  <c r="I1247" i="4" s="1"/>
  <c r="I1077" i="4"/>
  <c r="I808" i="4"/>
  <c r="I1076" i="4"/>
  <c r="I957" i="4"/>
  <c r="I959" i="4"/>
  <c r="I1248" i="4" s="1"/>
  <c r="I1078" i="4"/>
  <c r="AT11" i="60"/>
  <c r="AW11" i="60"/>
  <c r="AB70" i="38"/>
  <c r="K1222" i="4"/>
  <c r="J179" i="61"/>
  <c r="M385" i="35"/>
  <c r="L1219" i="4"/>
  <c r="N1220" i="4"/>
  <c r="K1221" i="4"/>
  <c r="H147" i="61"/>
  <c r="G148" i="61"/>
  <c r="H1085" i="4"/>
  <c r="H1111" i="4"/>
  <c r="H1299" i="4" s="1"/>
  <c r="M1076" i="4"/>
  <c r="M957" i="4"/>
  <c r="M808" i="4"/>
  <c r="L1218" i="4"/>
  <c r="N1246" i="4"/>
  <c r="N970" i="4" a="1"/>
  <c r="N970" i="4" s="1"/>
  <c r="N1280" i="4" s="1"/>
  <c r="N969" i="4" a="1"/>
  <c r="N969" i="4" s="1"/>
  <c r="N1279" i="4" s="1"/>
  <c r="N966" i="4"/>
  <c r="N971" i="4" a="1"/>
  <c r="N971" i="4" s="1"/>
  <c r="N1281" i="4" s="1"/>
  <c r="N1218" i="4"/>
  <c r="K1218" i="4"/>
  <c r="K1224" i="4"/>
  <c r="L179" i="61"/>
  <c r="H1218" i="4"/>
  <c r="J1085" i="4"/>
  <c r="J1111" i="4"/>
  <c r="J1299" i="4" s="1"/>
  <c r="F178" i="61"/>
  <c r="F172" i="61"/>
  <c r="M190" i="61"/>
  <c r="G1218" i="4"/>
  <c r="N219" i="61"/>
  <c r="N227" i="61" s="1"/>
  <c r="N141" i="61"/>
  <c r="N189" i="61" s="1"/>
  <c r="N173" i="61"/>
  <c r="N220" i="61"/>
  <c r="N228" i="61" s="1"/>
  <c r="N222" i="61"/>
  <c r="N230" i="61" s="1"/>
  <c r="N221" i="61"/>
  <c r="N229" i="61" s="1"/>
  <c r="N140" i="61"/>
  <c r="N188" i="61" s="1"/>
  <c r="N139" i="61"/>
  <c r="N187" i="61" s="1"/>
  <c r="L1111" i="4"/>
  <c r="L1299" i="4" s="1"/>
  <c r="L1085" i="4"/>
  <c r="F1111" i="4"/>
  <c r="F1299" i="4" s="1"/>
  <c r="F1085" i="4"/>
  <c r="H1221" i="4"/>
  <c r="J147" i="61"/>
  <c r="J149" i="61" s="1"/>
  <c r="I148" i="61"/>
  <c r="I149" i="61" s="1"/>
  <c r="K149" i="61"/>
  <c r="I962" i="4"/>
  <c r="I1251" i="4" s="1"/>
  <c r="I1081" i="4"/>
  <c r="I1084" i="4"/>
  <c r="I965" i="4"/>
  <c r="AK46" i="25"/>
  <c r="BL46" i="25" s="1"/>
  <c r="AR25" i="60"/>
  <c r="H1225" i="4"/>
  <c r="J1218" i="4"/>
  <c r="L214" i="55"/>
  <c r="L383" i="35"/>
  <c r="L391" i="35"/>
  <c r="M179" i="61"/>
  <c r="G1221" i="4"/>
  <c r="L1222" i="4"/>
  <c r="N1219" i="4"/>
  <c r="K971" i="4" a="1"/>
  <c r="K971" i="4" s="1"/>
  <c r="K1281" i="4" s="1"/>
  <c r="K1246" i="4"/>
  <c r="K969" i="4" a="1"/>
  <c r="K969" i="4" s="1"/>
  <c r="K1279" i="4" s="1"/>
  <c r="K966" i="4"/>
  <c r="K970" i="4" a="1"/>
  <c r="K970" i="4" s="1"/>
  <c r="K1280" i="4" s="1"/>
  <c r="G178" i="61"/>
  <c r="G172" i="61"/>
  <c r="H1246" i="4"/>
  <c r="H966" i="4"/>
  <c r="H970" i="4" a="1"/>
  <c r="H970" i="4" s="1"/>
  <c r="H1280" i="4" s="1"/>
  <c r="H969" i="4" a="1"/>
  <c r="H969" i="4" s="1"/>
  <c r="H1279" i="4" s="1"/>
  <c r="H971" i="4" a="1"/>
  <c r="H971" i="4" s="1"/>
  <c r="H1281" i="4" s="1"/>
  <c r="H1219" i="4"/>
  <c r="J1220" i="4"/>
  <c r="I1030" i="4"/>
  <c r="I1231" i="4"/>
  <c r="I1241" i="4" s="1"/>
  <c r="I1034" i="4" a="1"/>
  <c r="I1034" i="4" s="1"/>
  <c r="I1035" i="4" a="1"/>
  <c r="I1035" i="4" s="1"/>
  <c r="I1033" i="4" a="1"/>
  <c r="I1033" i="4" s="1"/>
  <c r="J52" i="54"/>
  <c r="J75" i="54" s="1"/>
  <c r="J49" i="54"/>
  <c r="J74" i="54" s="1"/>
  <c r="J73" i="54"/>
  <c r="K46" i="54"/>
  <c r="G1225" i="4"/>
  <c r="M1082" i="4"/>
  <c r="M963" i="4"/>
  <c r="M1253" i="4" s="1"/>
  <c r="M1083" i="4"/>
  <c r="M964" i="4"/>
  <c r="M1254" i="4" s="1"/>
  <c r="N1111" i="4"/>
  <c r="N1299" i="4" s="1"/>
  <c r="N1085" i="4"/>
  <c r="F1224" i="4"/>
  <c r="BG375" i="47"/>
  <c r="J1225" i="4"/>
  <c r="J1222" i="4"/>
  <c r="G149" i="61"/>
  <c r="K392" i="35"/>
  <c r="F392" i="35"/>
  <c r="G1224" i="4"/>
  <c r="N178" i="61"/>
  <c r="N172" i="61"/>
  <c r="AZ415" i="47"/>
  <c r="N214" i="55"/>
  <c r="H190" i="61"/>
  <c r="F971" i="4" a="1"/>
  <c r="F971" i="4" s="1"/>
  <c r="F1281" i="4" s="1"/>
  <c r="F966" i="4"/>
  <c r="F1246" i="4"/>
  <c r="F969" i="4" a="1"/>
  <c r="F969" i="4" s="1"/>
  <c r="F1279" i="4" s="1"/>
  <c r="F970" i="4" a="1"/>
  <c r="F970" i="4" s="1"/>
  <c r="F1280" i="4" s="1"/>
  <c r="N225" i="55"/>
  <c r="H1220" i="4"/>
  <c r="J385" i="35"/>
  <c r="I178" i="61"/>
  <c r="I172" i="61"/>
  <c r="N149" i="61"/>
  <c r="G1220" i="4"/>
  <c r="L1224" i="4"/>
  <c r="H148" i="61"/>
  <c r="H149" i="61" s="1"/>
  <c r="M1034" i="4" a="1"/>
  <c r="M1034" i="4" s="1"/>
  <c r="M1030" i="4"/>
  <c r="M1033" i="4" a="1"/>
  <c r="M1033" i="4" s="1"/>
  <c r="M1231" i="4"/>
  <c r="M1241" i="4" s="1"/>
  <c r="M1035" i="4" a="1"/>
  <c r="M1035" i="4" s="1"/>
  <c r="I964" i="4"/>
  <c r="I1254" i="4" s="1"/>
  <c r="I1083" i="4"/>
  <c r="I961" i="4"/>
  <c r="I1250" i="4" s="1"/>
  <c r="I1080" i="4"/>
  <c r="DH46" i="37"/>
  <c r="AS11" i="60"/>
  <c r="AQ11" i="60"/>
  <c r="K1220" i="4"/>
  <c r="G392" i="35"/>
  <c r="F1219" i="4"/>
  <c r="F1222" i="4"/>
  <c r="H383" i="35"/>
  <c r="H391" i="35"/>
  <c r="J1224" i="4"/>
  <c r="K190" i="61"/>
  <c r="G1219" i="4"/>
  <c r="L1220" i="4"/>
  <c r="K1111" i="4"/>
  <c r="K1299" i="4" s="1"/>
  <c r="K1085" i="4"/>
  <c r="F1220" i="4"/>
  <c r="G141" i="61"/>
  <c r="G189" i="61" s="1"/>
  <c r="G221" i="61"/>
  <c r="G229" i="61" s="1"/>
  <c r="G173" i="61"/>
  <c r="G219" i="61"/>
  <c r="G227" i="61" s="1"/>
  <c r="G139" i="61"/>
  <c r="G187" i="61" s="1"/>
  <c r="G220" i="61"/>
  <c r="G228" i="61" s="1"/>
  <c r="G140" i="61"/>
  <c r="G188" i="61" s="1"/>
  <c r="G222" i="61"/>
  <c r="G230" i="61" s="1"/>
  <c r="L190" i="61"/>
  <c r="J1221" i="4"/>
  <c r="J1219" i="4"/>
  <c r="AZ393" i="47"/>
  <c r="G1222" i="4"/>
  <c r="M1079" i="4"/>
  <c r="M960" i="4"/>
  <c r="M1249" i="4" s="1"/>
  <c r="M959" i="4"/>
  <c r="M1248" i="4" s="1"/>
  <c r="M1078" i="4"/>
  <c r="M1077" i="4"/>
  <c r="M958" i="4"/>
  <c r="M1247" i="4" s="1"/>
  <c r="L1221" i="4"/>
  <c r="H179" i="61"/>
  <c r="K1254" i="4"/>
  <c r="M383" i="35"/>
  <c r="M391" i="35"/>
  <c r="F219" i="61"/>
  <c r="F227" i="61" s="1"/>
  <c r="F222" i="61"/>
  <c r="F230" i="61" s="1"/>
  <c r="F221" i="61"/>
  <c r="F229" i="61" s="1"/>
  <c r="F139" i="61"/>
  <c r="F187" i="61" s="1"/>
  <c r="F141" i="61"/>
  <c r="F189" i="61" s="1"/>
  <c r="F220" i="61"/>
  <c r="F228" i="61" s="1"/>
  <c r="F173" i="61"/>
  <c r="F140" i="61"/>
  <c r="F188" i="61" s="1"/>
  <c r="G966" i="4"/>
  <c r="G971" i="4" a="1"/>
  <c r="G971" i="4" s="1"/>
  <c r="G1281" i="4" s="1"/>
  <c r="G1246" i="4"/>
  <c r="G969" i="4" a="1"/>
  <c r="G969" i="4" s="1"/>
  <c r="G1279" i="4" s="1"/>
  <c r="G970" i="4" a="1"/>
  <c r="G970" i="4" s="1"/>
  <c r="G1280" i="4" s="1"/>
  <c r="AZ446" i="47"/>
  <c r="AZ420" i="47"/>
  <c r="BF389" i="47" s="1"/>
  <c r="N1222" i="4"/>
  <c r="AZ427" i="47"/>
  <c r="J190" i="61"/>
  <c r="F1221" i="4"/>
  <c r="M214" i="55"/>
  <c r="I139" i="61"/>
  <c r="I187" i="61" s="1"/>
  <c r="I221" i="61"/>
  <c r="I229" i="61" s="1"/>
  <c r="I141" i="61"/>
  <c r="I189" i="61" s="1"/>
  <c r="I219" i="61"/>
  <c r="I227" i="61" s="1"/>
  <c r="I222" i="61"/>
  <c r="I230" i="61" s="1"/>
  <c r="I140" i="61"/>
  <c r="I188" i="61" s="1"/>
  <c r="I173" i="61"/>
  <c r="I220" i="61"/>
  <c r="I228" i="61" s="1"/>
  <c r="AZ392" i="47"/>
  <c r="I1079" i="4"/>
  <c r="I960" i="4"/>
  <c r="I1249" i="4" s="1"/>
  <c r="I963" i="4"/>
  <c r="I1253" i="4" s="1"/>
  <c r="I1082" i="4"/>
  <c r="AZ165" i="47"/>
  <c r="BD236" i="47"/>
  <c r="BA238" i="47"/>
  <c r="BK40" i="3"/>
  <c r="BE236" i="47"/>
  <c r="J39" i="64"/>
  <c r="F9" i="53"/>
  <c r="J66" i="60"/>
  <c r="M68" i="60"/>
  <c r="BQ9" i="38"/>
  <c r="BO9" i="40"/>
  <c r="G9" i="40"/>
  <c r="T9" i="37"/>
  <c r="M67" i="60"/>
  <c r="BO9" i="26"/>
  <c r="M79" i="60"/>
  <c r="V53" i="26"/>
  <c r="BP53" i="26"/>
  <c r="F25" i="46"/>
  <c r="F68" i="60"/>
  <c r="S9" i="39"/>
  <c r="J10" i="64"/>
  <c r="BD309" i="47"/>
  <c r="BI53" i="25"/>
  <c r="BP9" i="36"/>
  <c r="I67" i="60"/>
  <c r="BC9" i="41"/>
  <c r="L58" i="60"/>
  <c r="AY309" i="47"/>
  <c r="S9" i="1"/>
  <c r="E10" i="64"/>
  <c r="G67" i="60"/>
  <c r="BB317" i="47"/>
  <c r="S53" i="37"/>
  <c r="H18" i="64"/>
  <c r="H77" i="60"/>
  <c r="W9" i="37"/>
  <c r="BH96" i="36"/>
  <c r="G28" i="60"/>
  <c r="K67" i="60"/>
  <c r="BQ53" i="25"/>
  <c r="BO53" i="25"/>
  <c r="BQ53" i="1"/>
  <c r="BP9" i="25"/>
  <c r="L9" i="53"/>
  <c r="E66" i="60"/>
  <c r="K25" i="46"/>
  <c r="BQ9" i="25"/>
  <c r="BC238" i="47"/>
  <c r="BL40" i="3"/>
  <c r="K9" i="53"/>
  <c r="AZ236" i="47"/>
  <c r="BC236" i="47"/>
  <c r="W9" i="41"/>
  <c r="BC309" i="47"/>
  <c r="I10" i="64"/>
  <c r="S9" i="38"/>
  <c r="BP9" i="38"/>
  <c r="BQ9" i="40"/>
  <c r="BP9" i="40"/>
  <c r="G9" i="1"/>
  <c r="U9" i="37"/>
  <c r="BF217" i="47"/>
  <c r="L27" i="60"/>
  <c r="W96" i="41"/>
  <c r="J68" i="60"/>
  <c r="H25" i="46"/>
  <c r="J25" i="46"/>
  <c r="BO53" i="26"/>
  <c r="BE215" i="47"/>
  <c r="K25" i="60"/>
  <c r="U96" i="40"/>
  <c r="BO9" i="39"/>
  <c r="AZ317" i="47"/>
  <c r="S53" i="25"/>
  <c r="F18" i="64"/>
  <c r="F77" i="60"/>
  <c r="BO9" i="36"/>
  <c r="BI53" i="26"/>
  <c r="BO9" i="1"/>
  <c r="I68" i="60"/>
  <c r="G9" i="39"/>
  <c r="BO53" i="37"/>
  <c r="BD238" i="47"/>
  <c r="BG97" i="47"/>
  <c r="BG236" i="47"/>
  <c r="BE238" i="47"/>
  <c r="AY236" i="47"/>
  <c r="G9" i="53"/>
  <c r="AY246" i="47"/>
  <c r="AB9" i="41"/>
  <c r="L62" i="60"/>
  <c r="H25" i="60"/>
  <c r="U96" i="37"/>
  <c r="BB215" i="47"/>
  <c r="K10" i="64"/>
  <c r="BE309" i="47"/>
  <c r="S9" i="40"/>
  <c r="G9" i="26"/>
  <c r="J9" i="53"/>
  <c r="M10" i="64"/>
  <c r="BG309" i="47"/>
  <c r="S9" i="26"/>
  <c r="BQ9" i="26"/>
  <c r="BI53" i="1"/>
  <c r="L25" i="46"/>
  <c r="G68" i="60"/>
  <c r="AB9" i="37"/>
  <c r="H62" i="60"/>
  <c r="BH96" i="40"/>
  <c r="K28" i="60"/>
  <c r="M66" i="60"/>
  <c r="G10" i="64"/>
  <c r="BA309" i="47"/>
  <c r="S9" i="36"/>
  <c r="BQ9" i="36"/>
  <c r="G9" i="41"/>
  <c r="S53" i="26"/>
  <c r="M18" i="64"/>
  <c r="BG317" i="47"/>
  <c r="M77" i="60"/>
  <c r="BQ9" i="1"/>
  <c r="BP9" i="1"/>
  <c r="F67" i="60"/>
  <c r="G9" i="37"/>
  <c r="BB165" i="47"/>
  <c r="F79" i="60"/>
  <c r="V53" i="25"/>
  <c r="BP53" i="25"/>
  <c r="I66" i="60"/>
  <c r="V9" i="41"/>
  <c r="T9" i="41"/>
  <c r="L25" i="60"/>
  <c r="BF215" i="47"/>
  <c r="U96" i="41"/>
  <c r="E79" i="60"/>
  <c r="V53" i="1"/>
  <c r="S9" i="25"/>
  <c r="F10" i="64"/>
  <c r="AZ309" i="47"/>
  <c r="BP53" i="37"/>
  <c r="J67" i="60"/>
  <c r="U96" i="36"/>
  <c r="BA215" i="47"/>
  <c r="G25" i="60"/>
  <c r="F66" i="60"/>
  <c r="E67" i="60"/>
  <c r="U9" i="41"/>
  <c r="K68" i="60"/>
  <c r="L28" i="60"/>
  <c r="BH96" i="41"/>
  <c r="BO53" i="1"/>
  <c r="BP53" i="1"/>
  <c r="BO9" i="25"/>
  <c r="H9" i="53"/>
  <c r="BA236" i="47"/>
  <c r="H28" i="60"/>
  <c r="BH96" i="37"/>
  <c r="BO9" i="38"/>
  <c r="G25" i="46"/>
  <c r="BE217" i="47"/>
  <c r="K27" i="60"/>
  <c r="W96" i="40"/>
  <c r="K66" i="60"/>
  <c r="BP9" i="26"/>
  <c r="E18" i="64"/>
  <c r="E77" i="60"/>
  <c r="S53" i="1"/>
  <c r="AY317" i="47"/>
  <c r="BQ53" i="26"/>
  <c r="BQ9" i="39"/>
  <c r="BP9" i="39"/>
  <c r="G66" i="60"/>
  <c r="N25" i="46"/>
  <c r="BI53" i="37"/>
  <c r="E68" i="60"/>
  <c r="BQ53" i="37"/>
  <c r="V53" i="37"/>
  <c r="H79" i="60"/>
  <c r="V9" i="37"/>
  <c r="BC9" i="37"/>
  <c r="H58" i="60"/>
  <c r="BC217" i="47"/>
  <c r="I27" i="60"/>
  <c r="W96" i="38"/>
  <c r="BB97" i="47"/>
  <c r="H39" i="64"/>
  <c r="BB246" i="47"/>
  <c r="BF246" i="47"/>
  <c r="AZ242" i="47"/>
  <c r="L39" i="64"/>
  <c r="BF97" i="47"/>
  <c r="AY242" i="47"/>
  <c r="AQ25" i="60" l="1"/>
  <c r="BL53" i="40"/>
  <c r="BL53" i="36"/>
  <c r="BG389" i="47"/>
  <c r="BL96" i="1"/>
  <c r="BL96" i="39"/>
  <c r="BL53" i="38"/>
  <c r="BH389" i="47"/>
  <c r="BI389" i="47" s="1"/>
  <c r="DH46" i="26"/>
  <c r="AK96" i="38"/>
  <c r="BL96" i="38" s="1"/>
  <c r="I103" i="60"/>
  <c r="W8" i="60"/>
  <c r="AS8" i="60" s="1"/>
  <c r="V45" i="60"/>
  <c r="BC11" i="37"/>
  <c r="BF9" i="37"/>
  <c r="V11" i="37"/>
  <c r="V15" i="37" s="1"/>
  <c r="V40" i="37" s="1"/>
  <c r="V55" i="37"/>
  <c r="V84" i="37" s="1"/>
  <c r="BQ55" i="37"/>
  <c r="BI55" i="37"/>
  <c r="BJ55" i="37" s="1"/>
  <c r="BJ53" i="37"/>
  <c r="N264" i="46"/>
  <c r="N266" i="46" s="1"/>
  <c r="N286" i="46" s="1"/>
  <c r="BP11" i="39"/>
  <c r="BP15" i="39" s="1"/>
  <c r="BP40" i="39" s="1"/>
  <c r="BQ11" i="39"/>
  <c r="BQ15" i="39" s="1"/>
  <c r="BQ40" i="39" s="1"/>
  <c r="BQ55" i="26"/>
  <c r="AY323" i="47"/>
  <c r="AK53" i="1"/>
  <c r="S55" i="1"/>
  <c r="AD29" i="60"/>
  <c r="E27" i="64"/>
  <c r="BP11" i="26"/>
  <c r="BP15" i="26" s="1"/>
  <c r="BP40" i="26" s="1"/>
  <c r="K103" i="60"/>
  <c r="G264" i="46"/>
  <c r="G266" i="46" s="1"/>
  <c r="G286" i="46" s="1"/>
  <c r="BO11" i="38"/>
  <c r="BO15" i="38" s="1"/>
  <c r="BH99" i="37"/>
  <c r="BJ99" i="37" s="1"/>
  <c r="BJ96" i="37"/>
  <c r="H47" i="53"/>
  <c r="BO11" i="25"/>
  <c r="BO15" i="25" s="1"/>
  <c r="BP55" i="1"/>
  <c r="BO55" i="1"/>
  <c r="DH53" i="1"/>
  <c r="BH99" i="41"/>
  <c r="BJ99" i="41" s="1"/>
  <c r="BJ96" i="41"/>
  <c r="U11" i="41"/>
  <c r="U15" i="41" s="1"/>
  <c r="U8" i="60"/>
  <c r="AQ8" i="60" s="1"/>
  <c r="AK96" i="36"/>
  <c r="BP55" i="37"/>
  <c r="S11" i="25"/>
  <c r="AK9" i="25"/>
  <c r="BL9" i="25" s="1"/>
  <c r="V55" i="1"/>
  <c r="V84" i="1" s="1"/>
  <c r="AK96" i="41"/>
  <c r="BL96" i="41" s="1"/>
  <c r="Z8" i="60"/>
  <c r="AV8" i="60" s="1"/>
  <c r="T11" i="41"/>
  <c r="T15" i="41" s="1"/>
  <c r="T40" i="41" s="1"/>
  <c r="T90" i="41" s="1"/>
  <c r="V11" i="41"/>
  <c r="V15" i="41" s="1"/>
  <c r="V40" i="41" s="1"/>
  <c r="BP55" i="25"/>
  <c r="V55" i="25"/>
  <c r="V84" i="25" s="1"/>
  <c r="G11" i="37"/>
  <c r="Q9" i="37"/>
  <c r="BP11" i="1"/>
  <c r="BP15" i="1" s="1"/>
  <c r="BP40" i="1" s="1"/>
  <c r="BQ11" i="1"/>
  <c r="BQ15" i="1" s="1"/>
  <c r="BQ40" i="1" s="1"/>
  <c r="AL29" i="60"/>
  <c r="BG323" i="47"/>
  <c r="M27" i="64"/>
  <c r="S55" i="26"/>
  <c r="AK53" i="26"/>
  <c r="Q9" i="41"/>
  <c r="G11" i="41"/>
  <c r="BQ11" i="36"/>
  <c r="BQ15" i="36" s="1"/>
  <c r="BQ40" i="36" s="1"/>
  <c r="S11" i="36"/>
  <c r="AK9" i="36"/>
  <c r="BJ96" i="40"/>
  <c r="BH99" i="40"/>
  <c r="BJ99" i="40" s="1"/>
  <c r="V15" i="60"/>
  <c r="AB11" i="37"/>
  <c r="AB15" i="37" s="1"/>
  <c r="AB40" i="37" s="1"/>
  <c r="AB70" i="37" s="1"/>
  <c r="L264" i="46"/>
  <c r="L266" i="46" s="1"/>
  <c r="L286" i="46" s="1"/>
  <c r="BI55" i="1"/>
  <c r="BJ55" i="1" s="1"/>
  <c r="BJ53" i="1"/>
  <c r="BQ11" i="26"/>
  <c r="BQ15" i="26" s="1"/>
  <c r="BQ40" i="26" s="1"/>
  <c r="AK9" i="26"/>
  <c r="S11" i="26"/>
  <c r="J47" i="53"/>
  <c r="G11" i="26"/>
  <c r="Q9" i="26"/>
  <c r="S11" i="40"/>
  <c r="AK9" i="40"/>
  <c r="AK96" i="37"/>
  <c r="BL96" i="37" s="1"/>
  <c r="V8" i="60"/>
  <c r="AR8" i="60" s="1"/>
  <c r="Z15" i="60"/>
  <c r="AB11" i="41"/>
  <c r="AB15" i="41" s="1"/>
  <c r="AB40" i="41" s="1"/>
  <c r="AB70" i="41" s="1"/>
  <c r="G47" i="53"/>
  <c r="DH53" i="37"/>
  <c r="BO55" i="37"/>
  <c r="Q9" i="39"/>
  <c r="G11" i="39"/>
  <c r="BO11" i="1"/>
  <c r="BO15" i="1" s="1"/>
  <c r="BI55" i="26"/>
  <c r="BJ55" i="26" s="1"/>
  <c r="BJ53" i="26"/>
  <c r="BO11" i="36"/>
  <c r="BO15" i="36" s="1"/>
  <c r="AE29" i="60"/>
  <c r="F27" i="64"/>
  <c r="AK53" i="25"/>
  <c r="S55" i="25"/>
  <c r="AZ323" i="47"/>
  <c r="BO11" i="39"/>
  <c r="BO15" i="39" s="1"/>
  <c r="AK96" i="40"/>
  <c r="BL96" i="40" s="1"/>
  <c r="Y8" i="60"/>
  <c r="AU8" i="60" s="1"/>
  <c r="DH53" i="26"/>
  <c r="BO55" i="26"/>
  <c r="J264" i="46"/>
  <c r="J266" i="46" s="1"/>
  <c r="J286" i="46" s="1"/>
  <c r="H264" i="46"/>
  <c r="H266" i="46" s="1"/>
  <c r="H286" i="46" s="1"/>
  <c r="L103" i="60"/>
  <c r="U11" i="37"/>
  <c r="U15" i="37" s="1"/>
  <c r="G11" i="1"/>
  <c r="Q9" i="1"/>
  <c r="BP11" i="40"/>
  <c r="BP15" i="40" s="1"/>
  <c r="BP40" i="40" s="1"/>
  <c r="BQ11" i="40"/>
  <c r="BQ15" i="40" s="1"/>
  <c r="BQ40" i="40" s="1"/>
  <c r="BP11" i="38"/>
  <c r="BP15" i="38" s="1"/>
  <c r="BP40" i="38" s="1"/>
  <c r="AK9" i="38"/>
  <c r="S11" i="38"/>
  <c r="W11" i="41"/>
  <c r="W15" i="41" s="1"/>
  <c r="W40" i="41" s="1"/>
  <c r="K47" i="53"/>
  <c r="BQ11" i="25"/>
  <c r="BQ15" i="25" s="1"/>
  <c r="BQ40" i="25" s="1"/>
  <c r="K264" i="46"/>
  <c r="K266" i="46" s="1"/>
  <c r="K286" i="46" s="1"/>
  <c r="L47" i="53"/>
  <c r="BP11" i="25"/>
  <c r="BP15" i="25" s="1"/>
  <c r="BP40" i="25" s="1"/>
  <c r="BQ55" i="1"/>
  <c r="DH53" i="25"/>
  <c r="BO55" i="25"/>
  <c r="BQ55" i="25"/>
  <c r="BJ96" i="36"/>
  <c r="BH99" i="36"/>
  <c r="BJ99" i="36" s="1"/>
  <c r="W11" i="37"/>
  <c r="W15" i="37" s="1"/>
  <c r="W40" i="37" s="1"/>
  <c r="AG29" i="60"/>
  <c r="H27" i="64"/>
  <c r="S55" i="37"/>
  <c r="AK53" i="37"/>
  <c r="BB323" i="47"/>
  <c r="S11" i="1"/>
  <c r="AK9" i="1"/>
  <c r="Z45" i="60"/>
  <c r="BC11" i="41"/>
  <c r="BF9" i="41"/>
  <c r="BP11" i="36"/>
  <c r="BP15" i="36" s="1"/>
  <c r="BP40" i="36" s="1"/>
  <c r="BI55" i="25"/>
  <c r="BJ55" i="25" s="1"/>
  <c r="BJ53" i="25"/>
  <c r="S11" i="39"/>
  <c r="AK9" i="39"/>
  <c r="F264" i="46"/>
  <c r="F266" i="46" s="1"/>
  <c r="F286" i="46" s="1"/>
  <c r="BP55" i="26"/>
  <c r="V55" i="26"/>
  <c r="V84" i="26" s="1"/>
  <c r="BO11" i="26"/>
  <c r="BO15" i="26" s="1"/>
  <c r="T11" i="37"/>
  <c r="T15" i="37" s="1"/>
  <c r="T40" i="37" s="1"/>
  <c r="T90" i="37" s="1"/>
  <c r="G11" i="40"/>
  <c r="Q9" i="40"/>
  <c r="BO11" i="40"/>
  <c r="BO15" i="40" s="1"/>
  <c r="BQ11" i="38"/>
  <c r="BQ15" i="38" s="1"/>
  <c r="BQ40" i="38" s="1"/>
  <c r="F47" i="53"/>
  <c r="I1224" i="4"/>
  <c r="I1220" i="4"/>
  <c r="J392" i="35"/>
  <c r="K1264" i="4"/>
  <c r="K1265" i="4"/>
  <c r="F179" i="61"/>
  <c r="N1264" i="4"/>
  <c r="M971" i="4" a="1"/>
  <c r="M971" i="4" s="1"/>
  <c r="M1281" i="4" s="1"/>
  <c r="M1246" i="4"/>
  <c r="M970" i="4" a="1"/>
  <c r="M970" i="4" s="1"/>
  <c r="M1280" i="4" s="1"/>
  <c r="M969" i="4" a="1"/>
  <c r="M969" i="4" s="1"/>
  <c r="M1279" i="4" s="1"/>
  <c r="M966" i="4"/>
  <c r="I1085" i="4"/>
  <c r="I1111" i="4"/>
  <c r="I1299" i="4" s="1"/>
  <c r="BH375" i="47"/>
  <c r="BI375" i="47" s="1"/>
  <c r="J1263" i="4"/>
  <c r="J1282" i="4"/>
  <c r="AK55" i="36"/>
  <c r="BL55" i="36" s="1"/>
  <c r="S84" i="36"/>
  <c r="DH55" i="40"/>
  <c r="V95" i="1"/>
  <c r="BC15" i="38"/>
  <c r="BF11" i="38"/>
  <c r="V95" i="25"/>
  <c r="BL9" i="38"/>
  <c r="U40" i="36"/>
  <c r="AK46" i="40"/>
  <c r="BL46" i="40" s="1"/>
  <c r="DH55" i="41"/>
  <c r="T90" i="26"/>
  <c r="BC15" i="26"/>
  <c r="BF11" i="26"/>
  <c r="AK46" i="39"/>
  <c r="BL46" i="39" s="1"/>
  <c r="DH46" i="36"/>
  <c r="AK55" i="39"/>
  <c r="BL55" i="39" s="1"/>
  <c r="S84" i="39"/>
  <c r="G1263" i="4"/>
  <c r="G1282" i="4"/>
  <c r="F190" i="61"/>
  <c r="M1219" i="4"/>
  <c r="BF372" i="47"/>
  <c r="BH372" i="47" s="1"/>
  <c r="BI372" i="47" s="1"/>
  <c r="H392" i="35"/>
  <c r="G1217" i="4"/>
  <c r="G1255" i="4"/>
  <c r="M392" i="35"/>
  <c r="M1218" i="4"/>
  <c r="M1220" i="4"/>
  <c r="I1225" i="4"/>
  <c r="F1264" i="4"/>
  <c r="F1265" i="4"/>
  <c r="N179" i="61"/>
  <c r="AZ443" i="47"/>
  <c r="M1225" i="4"/>
  <c r="H1265" i="4"/>
  <c r="H1217" i="4"/>
  <c r="H1255" i="4"/>
  <c r="AZ432" i="47"/>
  <c r="I1222" i="4"/>
  <c r="N1265" i="4"/>
  <c r="N1217" i="4"/>
  <c r="N1255" i="4"/>
  <c r="M1085" i="4"/>
  <c r="M1111" i="4"/>
  <c r="M1299" i="4" s="1"/>
  <c r="N1258" i="4"/>
  <c r="N1257" i="4" s="1"/>
  <c r="N1225" i="4"/>
  <c r="L1255" i="4"/>
  <c r="L1217" i="4"/>
  <c r="I392" i="35"/>
  <c r="M1222" i="4"/>
  <c r="V95" i="40"/>
  <c r="U40" i="1"/>
  <c r="BC15" i="40"/>
  <c r="BF11" i="40"/>
  <c r="V95" i="36"/>
  <c r="BC15" i="1"/>
  <c r="BF11" i="1"/>
  <c r="Q11" i="25"/>
  <c r="G15" i="25"/>
  <c r="U40" i="26"/>
  <c r="BL53" i="41"/>
  <c r="Q11" i="36"/>
  <c r="G15" i="36"/>
  <c r="AU25" i="60"/>
  <c r="AK55" i="38"/>
  <c r="BL55" i="38" s="1"/>
  <c r="S84" i="38"/>
  <c r="DH46" i="39"/>
  <c r="I190" i="61"/>
  <c r="K1225" i="4"/>
  <c r="F1263" i="4"/>
  <c r="F1266" i="4" s="1"/>
  <c r="F1282" i="4"/>
  <c r="K73" i="54"/>
  <c r="K52" i="54"/>
  <c r="K75" i="54" s="1"/>
  <c r="K49" i="54"/>
  <c r="K74" i="54" s="1"/>
  <c r="L46" i="54"/>
  <c r="H1263" i="4"/>
  <c r="H1282" i="4"/>
  <c r="G179" i="61"/>
  <c r="K1263" i="4"/>
  <c r="K1282" i="4"/>
  <c r="L392" i="35"/>
  <c r="N190" i="61"/>
  <c r="I1219" i="4"/>
  <c r="F1258" i="4"/>
  <c r="F1257" i="4" s="1"/>
  <c r="F1225" i="4"/>
  <c r="L1264" i="4"/>
  <c r="L1265" i="4"/>
  <c r="J1264" i="4"/>
  <c r="J1255" i="4"/>
  <c r="J1217" i="4"/>
  <c r="M1221" i="4"/>
  <c r="U40" i="38"/>
  <c r="U40" i="25"/>
  <c r="DH55" i="39"/>
  <c r="V95" i="39"/>
  <c r="BL46" i="26"/>
  <c r="AK55" i="41"/>
  <c r="BL55" i="41" s="1"/>
  <c r="S84" i="41"/>
  <c r="DH46" i="40"/>
  <c r="BL9" i="36"/>
  <c r="AK55" i="40"/>
  <c r="BL55" i="40" s="1"/>
  <c r="S84" i="40"/>
  <c r="T90" i="40"/>
  <c r="V95" i="26"/>
  <c r="AK46" i="36"/>
  <c r="BL46" i="36" s="1"/>
  <c r="AV25" i="60"/>
  <c r="DH46" i="38"/>
  <c r="BL96" i="26"/>
  <c r="G1265" i="4"/>
  <c r="G1264" i="4"/>
  <c r="G190" i="61"/>
  <c r="I1221" i="4"/>
  <c r="I179" i="61"/>
  <c r="F1217" i="4"/>
  <c r="F1255" i="4"/>
  <c r="M1224" i="4"/>
  <c r="H1264" i="4"/>
  <c r="K1255" i="4"/>
  <c r="K1217" i="4"/>
  <c r="AZ445" i="47"/>
  <c r="N1282" i="4"/>
  <c r="N1263" i="4"/>
  <c r="AZ433" i="47"/>
  <c r="I971" i="4" a="1"/>
  <c r="I971" i="4" s="1"/>
  <c r="I1281" i="4" s="1"/>
  <c r="I970" i="4" a="1"/>
  <c r="I970" i="4" s="1"/>
  <c r="I1280" i="4" s="1"/>
  <c r="I966" i="4"/>
  <c r="I969" i="4" a="1"/>
  <c r="I969" i="4" s="1"/>
  <c r="I1279" i="4" s="1"/>
  <c r="I1246" i="4"/>
  <c r="I1218" i="4"/>
  <c r="L1225" i="4"/>
  <c r="L1282" i="4"/>
  <c r="L1263" i="4"/>
  <c r="BG393" i="47"/>
  <c r="BH393" i="47" s="1"/>
  <c r="BI393" i="47" s="1"/>
  <c r="J1265" i="4"/>
  <c r="AZ434" i="47"/>
  <c r="DH55" i="38"/>
  <c r="AV11" i="60"/>
  <c r="DH55" i="36"/>
  <c r="BC15" i="25"/>
  <c r="BF11" i="25"/>
  <c r="Q11" i="38"/>
  <c r="G15" i="38"/>
  <c r="V95" i="38"/>
  <c r="BC15" i="39"/>
  <c r="BF11" i="39"/>
  <c r="U40" i="40"/>
  <c r="AB70" i="26"/>
  <c r="DH46" i="41"/>
  <c r="BC15" i="36"/>
  <c r="BF11" i="36"/>
  <c r="AK46" i="38"/>
  <c r="BL46" i="38" s="1"/>
  <c r="U40" i="39"/>
  <c r="BL53" i="39"/>
  <c r="BG165" i="47"/>
  <c r="I9" i="53"/>
  <c r="BL43" i="3"/>
  <c r="BG238" i="47"/>
  <c r="BM40" i="3"/>
  <c r="BK43" i="3"/>
  <c r="BQ9" i="41"/>
  <c r="F25" i="35"/>
  <c r="G25" i="35"/>
  <c r="BF172" i="47"/>
  <c r="BA165" i="47"/>
  <c r="L25" i="35"/>
  <c r="N9" i="53"/>
  <c r="S9" i="37"/>
  <c r="BB309" i="47"/>
  <c r="H10" i="64"/>
  <c r="BC172" i="47"/>
  <c r="BF165" i="47"/>
  <c r="BF236" i="47"/>
  <c r="BJ40" i="3"/>
  <c r="AY238" i="47"/>
  <c r="AZ238" i="47"/>
  <c r="M9" i="53"/>
  <c r="BL42" i="3"/>
  <c r="BK42" i="3"/>
  <c r="BF309" i="47"/>
  <c r="L10" i="64"/>
  <c r="S9" i="41"/>
  <c r="F65" i="60"/>
  <c r="L67" i="60"/>
  <c r="G65" i="60"/>
  <c r="M25" i="46"/>
  <c r="K65" i="60"/>
  <c r="H25" i="35"/>
  <c r="BD172" i="47"/>
  <c r="BE165" i="47"/>
  <c r="H68" i="60"/>
  <c r="BQ9" i="37"/>
  <c r="J25" i="35"/>
  <c r="BB242" i="47"/>
  <c r="BB236" i="47"/>
  <c r="BL44" i="3"/>
  <c r="BK44" i="3"/>
  <c r="H67" i="60"/>
  <c r="BP9" i="41"/>
  <c r="I25" i="46"/>
  <c r="BE172" i="47"/>
  <c r="L66" i="60"/>
  <c r="M65" i="60"/>
  <c r="I65" i="60"/>
  <c r="BP9" i="37"/>
  <c r="BB238" i="47"/>
  <c r="BF238" i="47"/>
  <c r="BG242" i="47"/>
  <c r="BO9" i="41"/>
  <c r="BD165" i="47"/>
  <c r="H66" i="60"/>
  <c r="L68" i="60"/>
  <c r="K25" i="35"/>
  <c r="N25" i="35"/>
  <c r="BC165" i="47"/>
  <c r="E65" i="60"/>
  <c r="BA172" i="47"/>
  <c r="J65" i="60"/>
  <c r="BO9" i="37"/>
  <c r="BL53" i="37" l="1"/>
  <c r="L1266" i="4"/>
  <c r="N1266" i="4"/>
  <c r="K1266" i="4"/>
  <c r="BL53" i="26"/>
  <c r="BO11" i="37"/>
  <c r="BO15" i="37" s="1"/>
  <c r="AI27" i="60"/>
  <c r="AD27" i="60"/>
  <c r="N312" i="35"/>
  <c r="N317" i="35" s="1"/>
  <c r="K312" i="35"/>
  <c r="K317" i="35" s="1"/>
  <c r="BO11" i="41"/>
  <c r="BO15" i="41" s="1"/>
  <c r="BP11" i="37"/>
  <c r="BP15" i="37" s="1"/>
  <c r="BP40" i="37" s="1"/>
  <c r="AH27" i="60"/>
  <c r="AL27" i="60"/>
  <c r="I264" i="46"/>
  <c r="I266" i="46" s="1"/>
  <c r="I286" i="46" s="1"/>
  <c r="BP11" i="41"/>
  <c r="BP15" i="41" s="1"/>
  <c r="BP40" i="41" s="1"/>
  <c r="J312" i="35"/>
  <c r="J317" i="35" s="1"/>
  <c r="BQ11" i="37"/>
  <c r="BQ15" i="37" s="1"/>
  <c r="BQ40" i="37" s="1"/>
  <c r="H312" i="35"/>
  <c r="H317" i="35" s="1"/>
  <c r="AJ27" i="60"/>
  <c r="M264" i="46"/>
  <c r="M266" i="46" s="1"/>
  <c r="M286" i="46" s="1"/>
  <c r="AF27" i="60"/>
  <c r="AE27" i="60"/>
  <c r="S11" i="41"/>
  <c r="AK9" i="41"/>
  <c r="BL9" i="41" s="1"/>
  <c r="M47" i="53"/>
  <c r="AK9" i="37"/>
  <c r="BL9" i="37" s="1"/>
  <c r="S11" i="37"/>
  <c r="N47" i="53"/>
  <c r="L312" i="35"/>
  <c r="L317" i="35" s="1"/>
  <c r="G312" i="35"/>
  <c r="G317" i="35" s="1"/>
  <c r="F312" i="35"/>
  <c r="F317" i="35" s="1"/>
  <c r="BQ11" i="41"/>
  <c r="BQ15" i="41" s="1"/>
  <c r="BQ40" i="41" s="1"/>
  <c r="I47" i="53"/>
  <c r="I1282" i="4"/>
  <c r="I1263" i="4"/>
  <c r="K1226" i="4"/>
  <c r="F1226" i="4"/>
  <c r="V97" i="26"/>
  <c r="V97" i="39"/>
  <c r="L52" i="54"/>
  <c r="L75" i="54" s="1"/>
  <c r="L73" i="54"/>
  <c r="L49" i="54"/>
  <c r="L74" i="54" s="1"/>
  <c r="M46" i="54"/>
  <c r="BC40" i="1"/>
  <c r="BF15" i="1"/>
  <c r="BC40" i="40"/>
  <c r="BF15" i="40"/>
  <c r="G1266" i="4"/>
  <c r="BC40" i="26"/>
  <c r="BF15" i="26"/>
  <c r="M1263" i="4"/>
  <c r="M1282" i="4"/>
  <c r="F53" i="53"/>
  <c r="G55" i="53" s="1"/>
  <c r="F77" i="53"/>
  <c r="F49" i="53"/>
  <c r="F78" i="53" s="1"/>
  <c r="Q11" i="40"/>
  <c r="G15" i="40"/>
  <c r="AK11" i="39"/>
  <c r="S15" i="39"/>
  <c r="AK55" i="37"/>
  <c r="BL55" i="37" s="1"/>
  <c r="S84" i="37"/>
  <c r="DH55" i="25"/>
  <c r="L53" i="53"/>
  <c r="L49" i="53"/>
  <c r="L78" i="53" s="1"/>
  <c r="L77" i="53"/>
  <c r="K53" i="53"/>
  <c r="K77" i="53"/>
  <c r="K49" i="53"/>
  <c r="K78" i="53" s="1"/>
  <c r="Q11" i="1"/>
  <c r="G15" i="1"/>
  <c r="BL53" i="25"/>
  <c r="BL9" i="39"/>
  <c r="BL9" i="40"/>
  <c r="J49" i="53"/>
  <c r="J78" i="53" s="1"/>
  <c r="J77" i="53"/>
  <c r="J53" i="53"/>
  <c r="V95" i="41"/>
  <c r="AK11" i="25"/>
  <c r="S15" i="25"/>
  <c r="N297" i="46"/>
  <c r="N303" i="46" s="1"/>
  <c r="N323" i="46" s="1"/>
  <c r="N292" i="46"/>
  <c r="N310" i="46" s="1"/>
  <c r="BF11" i="37"/>
  <c r="BC15" i="37"/>
  <c r="I1264" i="4"/>
  <c r="J1226" i="4"/>
  <c r="Q15" i="36"/>
  <c r="G40" i="36"/>
  <c r="G109" i="36" s="1"/>
  <c r="G40" i="25"/>
  <c r="G109" i="25" s="1"/>
  <c r="Q15" i="25"/>
  <c r="N1226" i="4"/>
  <c r="AZ431" i="47"/>
  <c r="BG391" i="47" s="1"/>
  <c r="BH391" i="47" s="1"/>
  <c r="BI391" i="47" s="1"/>
  <c r="BC40" i="38"/>
  <c r="BF15" i="38"/>
  <c r="M1264" i="4"/>
  <c r="BF11" i="41"/>
  <c r="BC15" i="41"/>
  <c r="K297" i="46"/>
  <c r="K303" i="46" s="1"/>
  <c r="K323" i="46" s="1"/>
  <c r="K292" i="46"/>
  <c r="K310" i="46" s="1"/>
  <c r="U40" i="37"/>
  <c r="H292" i="46"/>
  <c r="H310" i="46" s="1"/>
  <c r="H297" i="46"/>
  <c r="H303" i="46" s="1"/>
  <c r="H323" i="46" s="1"/>
  <c r="DH15" i="39"/>
  <c r="BO40" i="39"/>
  <c r="DH40" i="39" s="1"/>
  <c r="DH55" i="37"/>
  <c r="G77" i="53"/>
  <c r="G53" i="53"/>
  <c r="G49" i="53"/>
  <c r="G78" i="53" s="1"/>
  <c r="AK11" i="40"/>
  <c r="S15" i="40"/>
  <c r="AK11" i="26"/>
  <c r="S15" i="26"/>
  <c r="AK11" i="36"/>
  <c r="S15" i="36"/>
  <c r="Q11" i="37"/>
  <c r="G15" i="37"/>
  <c r="BO40" i="25"/>
  <c r="DH40" i="25" s="1"/>
  <c r="DH15" i="25"/>
  <c r="BC40" i="36"/>
  <c r="BF15" i="36"/>
  <c r="V97" i="38"/>
  <c r="BC40" i="25"/>
  <c r="BF15" i="25"/>
  <c r="I1265" i="4"/>
  <c r="BL11" i="36"/>
  <c r="BL11" i="25"/>
  <c r="V97" i="36"/>
  <c r="L1226" i="4"/>
  <c r="H1226" i="4"/>
  <c r="G1226" i="4"/>
  <c r="M1255" i="4"/>
  <c r="M1217" i="4"/>
  <c r="DH15" i="40"/>
  <c r="BO40" i="40"/>
  <c r="DH40" i="40" s="1"/>
  <c r="BO40" i="26"/>
  <c r="DH40" i="26" s="1"/>
  <c r="DH15" i="26"/>
  <c r="F297" i="46"/>
  <c r="F303" i="46" s="1"/>
  <c r="F323" i="46" s="1"/>
  <c r="F292" i="46"/>
  <c r="F310" i="46" s="1"/>
  <c r="AK11" i="38"/>
  <c r="BL11" i="38" s="1"/>
  <c r="S15" i="38"/>
  <c r="J297" i="46"/>
  <c r="J303" i="46" s="1"/>
  <c r="J323" i="46" s="1"/>
  <c r="J292" i="46"/>
  <c r="J310" i="46" s="1"/>
  <c r="DH15" i="1"/>
  <c r="BO40" i="1"/>
  <c r="DH40" i="1" s="1"/>
  <c r="BL9" i="26"/>
  <c r="L292" i="46"/>
  <c r="L310" i="46" s="1"/>
  <c r="L297" i="46"/>
  <c r="L303" i="46" s="1"/>
  <c r="L323" i="46" s="1"/>
  <c r="AK55" i="26"/>
  <c r="BL55" i="26" s="1"/>
  <c r="S84" i="26"/>
  <c r="BL96" i="36"/>
  <c r="U40" i="41"/>
  <c r="H53" i="53"/>
  <c r="H49" i="53"/>
  <c r="H78" i="53" s="1"/>
  <c r="H77" i="53"/>
  <c r="DH15" i="38"/>
  <c r="BO40" i="38"/>
  <c r="DH40" i="38" s="1"/>
  <c r="AK55" i="1"/>
  <c r="BL55" i="1" s="1"/>
  <c r="S84" i="1"/>
  <c r="V95" i="37"/>
  <c r="G40" i="38"/>
  <c r="G109" i="38" s="1"/>
  <c r="Q15" i="38"/>
  <c r="I1217" i="4"/>
  <c r="I1255" i="4"/>
  <c r="BC40" i="39"/>
  <c r="BF15" i="39"/>
  <c r="H1266" i="4"/>
  <c r="V97" i="40"/>
  <c r="V97" i="25"/>
  <c r="V97" i="1"/>
  <c r="J1266" i="4"/>
  <c r="M1265" i="4"/>
  <c r="AK11" i="1"/>
  <c r="S15" i="1"/>
  <c r="BL9" i="1"/>
  <c r="DH55" i="26"/>
  <c r="AK55" i="25"/>
  <c r="BL55" i="25" s="1"/>
  <c r="S84" i="25"/>
  <c r="DH15" i="36"/>
  <c r="BO40" i="36"/>
  <c r="DH40" i="36" s="1"/>
  <c r="Q11" i="39"/>
  <c r="BL11" i="39" s="1"/>
  <c r="G15" i="39"/>
  <c r="Q11" i="26"/>
  <c r="BL11" i="26" s="1"/>
  <c r="G15" i="26"/>
  <c r="Q11" i="41"/>
  <c r="G15" i="41"/>
  <c r="DH55" i="1"/>
  <c r="G297" i="46"/>
  <c r="G303" i="46" s="1"/>
  <c r="G323" i="46" s="1"/>
  <c r="G292" i="46"/>
  <c r="G310" i="46" s="1"/>
  <c r="BL53" i="1"/>
  <c r="BM44" i="3"/>
  <c r="E36" i="60"/>
  <c r="AB71" i="1"/>
  <c r="BE319" i="47"/>
  <c r="K20" i="64"/>
  <c r="T71" i="40"/>
  <c r="AB71" i="39"/>
  <c r="J36" i="60"/>
  <c r="BC319" i="47"/>
  <c r="T71" i="38"/>
  <c r="I20" i="64"/>
  <c r="M25" i="35"/>
  <c r="AZ166" i="47"/>
  <c r="L65" i="60"/>
  <c r="AY40" i="3"/>
  <c r="BG166" i="47"/>
  <c r="BC166" i="47"/>
  <c r="I25" i="35"/>
  <c r="I20" i="65"/>
  <c r="BC15" i="47"/>
  <c r="H65" i="60"/>
  <c r="AY172" i="47"/>
  <c r="AX45" i="3"/>
  <c r="BJ44" i="3"/>
  <c r="BM42" i="3"/>
  <c r="AY319" i="47"/>
  <c r="E20" i="64"/>
  <c r="T71" i="1"/>
  <c r="AZ172" i="47"/>
  <c r="K36" i="60"/>
  <c r="AB71" i="40"/>
  <c r="T71" i="39"/>
  <c r="BD319" i="47"/>
  <c r="J20" i="64"/>
  <c r="AB71" i="38"/>
  <c r="I36" i="60"/>
  <c r="G20" i="65"/>
  <c r="BA15" i="47"/>
  <c r="BB172" i="47"/>
  <c r="T71" i="25"/>
  <c r="AZ319" i="47"/>
  <c r="F20" i="64"/>
  <c r="J16" i="51"/>
  <c r="BE166" i="47"/>
  <c r="G20" i="64"/>
  <c r="T71" i="36"/>
  <c r="BA319" i="47"/>
  <c r="F16" i="51"/>
  <c r="G36" i="60"/>
  <c r="AB71" i="36"/>
  <c r="BG172" i="47"/>
  <c r="AY45" i="3"/>
  <c r="BJ43" i="3"/>
  <c r="BM43" i="3"/>
  <c r="N16" i="51"/>
  <c r="F20" i="65"/>
  <c r="AZ15" i="47"/>
  <c r="BJ42" i="3"/>
  <c r="K16" i="51"/>
  <c r="BD166" i="47"/>
  <c r="F36" i="60"/>
  <c r="AB71" i="25"/>
  <c r="H16" i="51"/>
  <c r="AX40" i="3"/>
  <c r="AY166" i="47"/>
  <c r="L16" i="51"/>
  <c r="G16" i="51"/>
  <c r="BA166" i="47"/>
  <c r="K50" i="53" l="1"/>
  <c r="K79" i="53" s="1"/>
  <c r="G50" i="53"/>
  <c r="G79" i="53" s="1"/>
  <c r="BL11" i="40"/>
  <c r="F50" i="53"/>
  <c r="F79" i="53" s="1"/>
  <c r="L50" i="53"/>
  <c r="L79" i="53" s="1"/>
  <c r="L80" i="53" s="1"/>
  <c r="G79" i="51"/>
  <c r="G108" i="51" s="1"/>
  <c r="L79" i="51"/>
  <c r="L108" i="51" s="1"/>
  <c r="H79" i="51"/>
  <c r="H108" i="51" s="1"/>
  <c r="AB72" i="25"/>
  <c r="AB84" i="25" s="1"/>
  <c r="AB109" i="25" s="1"/>
  <c r="AE15" i="60"/>
  <c r="AP15" i="60" s="1"/>
  <c r="K79" i="51"/>
  <c r="K108" i="51" s="1"/>
  <c r="AZ18" i="47"/>
  <c r="F22" i="65"/>
  <c r="N79" i="51"/>
  <c r="N108" i="51" s="1"/>
  <c r="AB72" i="36"/>
  <c r="AB84" i="36" s="1"/>
  <c r="AB109" i="36" s="1"/>
  <c r="AF15" i="60"/>
  <c r="AQ15" i="60" s="1"/>
  <c r="F79" i="51"/>
  <c r="F108" i="51" s="1"/>
  <c r="BA324" i="47"/>
  <c r="BA326" i="47" s="1"/>
  <c r="BA320" i="47"/>
  <c r="T72" i="36"/>
  <c r="AK71" i="36"/>
  <c r="G28" i="64"/>
  <c r="G30" i="64" s="1"/>
  <c r="G21" i="64"/>
  <c r="J79" i="51"/>
  <c r="J108" i="51" s="1"/>
  <c r="F28" i="64"/>
  <c r="F30" i="64" s="1"/>
  <c r="F21" i="64"/>
  <c r="AZ320" i="47"/>
  <c r="AZ324" i="47"/>
  <c r="AZ326" i="47" s="1"/>
  <c r="T72" i="25"/>
  <c r="AK72" i="25" s="1"/>
  <c r="AK71" i="25"/>
  <c r="BA18" i="47"/>
  <c r="G22" i="65"/>
  <c r="AH15" i="60"/>
  <c r="AS15" i="60" s="1"/>
  <c r="AB72" i="38"/>
  <c r="AB84" i="38" s="1"/>
  <c r="AB109" i="38" s="1"/>
  <c r="J28" i="64"/>
  <c r="J30" i="64" s="1"/>
  <c r="J21" i="64"/>
  <c r="BD320" i="47"/>
  <c r="BD324" i="47"/>
  <c r="BD326" i="47" s="1"/>
  <c r="T72" i="39"/>
  <c r="AK71" i="39"/>
  <c r="AB72" i="40"/>
  <c r="AB84" i="40" s="1"/>
  <c r="AB109" i="40" s="1"/>
  <c r="AJ15" i="60"/>
  <c r="AU15" i="60" s="1"/>
  <c r="T72" i="1"/>
  <c r="AK71" i="1"/>
  <c r="E21" i="64"/>
  <c r="E28" i="64"/>
  <c r="E30" i="64" s="1"/>
  <c r="AY324" i="47"/>
  <c r="AY326" i="47" s="1"/>
  <c r="AY320" i="47"/>
  <c r="AG27" i="60"/>
  <c r="BC18" i="47"/>
  <c r="I22" i="65"/>
  <c r="I312" i="35"/>
  <c r="I317" i="35" s="1"/>
  <c r="AK27" i="60"/>
  <c r="M312" i="35"/>
  <c r="M317" i="35" s="1"/>
  <c r="I28" i="64"/>
  <c r="I30" i="64" s="1"/>
  <c r="I21" i="64"/>
  <c r="T72" i="38"/>
  <c r="AK72" i="38" s="1"/>
  <c r="AK71" i="38"/>
  <c r="BC324" i="47"/>
  <c r="BC326" i="47" s="1"/>
  <c r="BC320" i="47"/>
  <c r="AI15" i="60"/>
  <c r="AT15" i="60" s="1"/>
  <c r="AB72" i="39"/>
  <c r="AB84" i="39" s="1"/>
  <c r="AB109" i="39" s="1"/>
  <c r="T72" i="40"/>
  <c r="AK71" i="40"/>
  <c r="K28" i="64"/>
  <c r="K30" i="64" s="1"/>
  <c r="K21" i="64"/>
  <c r="BE324" i="47"/>
  <c r="BE326" i="47" s="1"/>
  <c r="BE320" i="47"/>
  <c r="AB72" i="1"/>
  <c r="AB84" i="1" s="1"/>
  <c r="AB109" i="1" s="1"/>
  <c r="AD15" i="60"/>
  <c r="AO15" i="60" s="1"/>
  <c r="G40" i="26"/>
  <c r="G109" i="26" s="1"/>
  <c r="Q15" i="26"/>
  <c r="Q40" i="26" s="1"/>
  <c r="H50" i="53"/>
  <c r="H79" i="53" s="1"/>
  <c r="H80" i="53" s="1"/>
  <c r="G80" i="53"/>
  <c r="Q40" i="25"/>
  <c r="BC40" i="37"/>
  <c r="BF15" i="37"/>
  <c r="AK15" i="25"/>
  <c r="BL15" i="25" s="1"/>
  <c r="S40" i="25"/>
  <c r="J50" i="53"/>
  <c r="J79" i="53" s="1"/>
  <c r="BL11" i="1"/>
  <c r="L55" i="53"/>
  <c r="K54" i="53"/>
  <c r="M55" i="53"/>
  <c r="L54" i="53"/>
  <c r="I1266" i="4"/>
  <c r="N77" i="53"/>
  <c r="N49" i="53"/>
  <c r="N78" i="53" s="1"/>
  <c r="N53" i="53"/>
  <c r="I292" i="46"/>
  <c r="I310" i="46" s="1"/>
  <c r="I297" i="46"/>
  <c r="I303" i="46" s="1"/>
  <c r="I323" i="46" s="1"/>
  <c r="BC109" i="25"/>
  <c r="BF40" i="25"/>
  <c r="G40" i="37"/>
  <c r="G109" i="37" s="1"/>
  <c r="Q15" i="37"/>
  <c r="Q40" i="37" s="1"/>
  <c r="S40" i="26"/>
  <c r="AK15" i="26"/>
  <c r="BL15" i="26" s="1"/>
  <c r="BC40" i="41"/>
  <c r="BF15" i="41"/>
  <c r="Q109" i="25"/>
  <c r="K55" i="53"/>
  <c r="AK15" i="39"/>
  <c r="S40" i="39"/>
  <c r="BC109" i="40"/>
  <c r="BF40" i="40"/>
  <c r="AK11" i="37"/>
  <c r="BL11" i="37" s="1"/>
  <c r="S15" i="37"/>
  <c r="M53" i="53"/>
  <c r="M77" i="53"/>
  <c r="M49" i="53"/>
  <c r="M78" i="53" s="1"/>
  <c r="Q15" i="41"/>
  <c r="Q40" i="41" s="1"/>
  <c r="G40" i="41"/>
  <c r="G109" i="41" s="1"/>
  <c r="G40" i="39"/>
  <c r="G109" i="39" s="1"/>
  <c r="Q15" i="39"/>
  <c r="AK15" i="1"/>
  <c r="S40" i="1"/>
  <c r="Q40" i="38"/>
  <c r="BC109" i="36"/>
  <c r="BF40" i="36"/>
  <c r="BC109" i="38"/>
  <c r="BF40" i="38"/>
  <c r="Q109" i="36"/>
  <c r="J80" i="53"/>
  <c r="M1266" i="4"/>
  <c r="BC109" i="26"/>
  <c r="BF40" i="26"/>
  <c r="M52" i="54"/>
  <c r="M75" i="54" s="1"/>
  <c r="M73" i="54"/>
  <c r="M49" i="54"/>
  <c r="M74" i="54" s="1"/>
  <c r="N46" i="54"/>
  <c r="I77" i="53"/>
  <c r="I53" i="53"/>
  <c r="I49" i="53"/>
  <c r="I78" i="53" s="1"/>
  <c r="M292" i="46"/>
  <c r="M310" i="46" s="1"/>
  <c r="M297" i="46"/>
  <c r="M303" i="46" s="1"/>
  <c r="M323" i="46" s="1"/>
  <c r="BO40" i="41"/>
  <c r="DH40" i="41" s="1"/>
  <c r="DH15" i="41"/>
  <c r="I1226" i="4"/>
  <c r="BC109" i="39"/>
  <c r="BF40" i="39"/>
  <c r="Q109" i="38"/>
  <c r="V97" i="37"/>
  <c r="H54" i="53"/>
  <c r="I55" i="53"/>
  <c r="AK15" i="38"/>
  <c r="BL15" i="38" s="1"/>
  <c r="S40" i="38"/>
  <c r="M1226" i="4"/>
  <c r="AK15" i="36"/>
  <c r="BL15" i="36" s="1"/>
  <c r="S40" i="36"/>
  <c r="AK15" i="40"/>
  <c r="S40" i="40"/>
  <c r="H55" i="53"/>
  <c r="G54" i="53"/>
  <c r="G56" i="53" s="1"/>
  <c r="Q40" i="36"/>
  <c r="V97" i="41"/>
  <c r="Q15" i="1"/>
  <c r="G40" i="1"/>
  <c r="G109" i="1" s="1"/>
  <c r="K80" i="53"/>
  <c r="G40" i="40"/>
  <c r="G109" i="40" s="1"/>
  <c r="Q15" i="40"/>
  <c r="Q40" i="40" s="1"/>
  <c r="F80" i="53"/>
  <c r="BC109" i="1"/>
  <c r="BF40" i="1"/>
  <c r="AK11" i="41"/>
  <c r="BL11" i="41" s="1"/>
  <c r="S15" i="41"/>
  <c r="DH15" i="37"/>
  <c r="BO40" i="37"/>
  <c r="DH40" i="37" s="1"/>
  <c r="BH71" i="39"/>
  <c r="BH71" i="25"/>
  <c r="BH71" i="1"/>
  <c r="BH71" i="40"/>
  <c r="F18" i="60"/>
  <c r="AZ221" i="47"/>
  <c r="V98" i="25"/>
  <c r="BA221" i="47"/>
  <c r="G18" i="60"/>
  <c r="V98" i="36"/>
  <c r="BA66" i="47"/>
  <c r="BH71" i="36"/>
  <c r="AB71" i="26"/>
  <c r="M36" i="60"/>
  <c r="F37" i="65"/>
  <c r="F21" i="63"/>
  <c r="F94" i="63"/>
  <c r="AZ32" i="47"/>
  <c r="BF15" i="47"/>
  <c r="L20" i="65"/>
  <c r="BF166" i="47"/>
  <c r="E37" i="65"/>
  <c r="E94" i="63"/>
  <c r="E21" i="63"/>
  <c r="AY32" i="47"/>
  <c r="V98" i="39"/>
  <c r="BD221" i="47"/>
  <c r="J18" i="60"/>
  <c r="V98" i="26"/>
  <c r="BG221" i="47"/>
  <c r="M18" i="60"/>
  <c r="AY66" i="47"/>
  <c r="M20" i="65"/>
  <c r="BG15" i="47"/>
  <c r="BH71" i="38"/>
  <c r="BG319" i="47"/>
  <c r="T71" i="26"/>
  <c r="M20" i="64"/>
  <c r="BD15" i="47"/>
  <c r="J20" i="65"/>
  <c r="H36" i="60"/>
  <c r="AB71" i="37"/>
  <c r="I16" i="51"/>
  <c r="K20" i="65"/>
  <c r="BE15" i="47"/>
  <c r="J21" i="63"/>
  <c r="J94" i="63"/>
  <c r="BD32" i="47"/>
  <c r="J37" i="65"/>
  <c r="V98" i="40"/>
  <c r="K18" i="60"/>
  <c r="BE221" i="47"/>
  <c r="AZ66" i="47"/>
  <c r="BE66" i="47"/>
  <c r="BD66" i="47"/>
  <c r="H20" i="65"/>
  <c r="BB15" i="47"/>
  <c r="K37" i="65"/>
  <c r="BE32" i="47"/>
  <c r="K94" i="63"/>
  <c r="K21" i="63"/>
  <c r="E18" i="60"/>
  <c r="V98" i="1"/>
  <c r="AY221" i="47"/>
  <c r="V98" i="38"/>
  <c r="I18" i="60"/>
  <c r="BC221" i="47"/>
  <c r="BC66" i="47"/>
  <c r="L36" i="60"/>
  <c r="AB71" i="41"/>
  <c r="I37" i="65"/>
  <c r="I94" i="63"/>
  <c r="BC32" i="47"/>
  <c r="I21" i="63"/>
  <c r="M94" i="63"/>
  <c r="BG32" i="47"/>
  <c r="M21" i="63"/>
  <c r="M37" i="65"/>
  <c r="H20" i="64"/>
  <c r="BB319" i="47"/>
  <c r="T71" i="37"/>
  <c r="L20" i="64"/>
  <c r="T71" i="41"/>
  <c r="BF319" i="47"/>
  <c r="G21" i="63"/>
  <c r="BA32" i="47"/>
  <c r="G94" i="63"/>
  <c r="G37" i="65"/>
  <c r="M16" i="51"/>
  <c r="BB166" i="47"/>
  <c r="E20" i="65"/>
  <c r="AY15" i="47"/>
  <c r="BH72" i="39" l="1"/>
  <c r="BJ71" i="39"/>
  <c r="BH72" i="25"/>
  <c r="BJ71" i="25"/>
  <c r="H56" i="53"/>
  <c r="L56" i="53"/>
  <c r="BL71" i="39"/>
  <c r="I50" i="53"/>
  <c r="I79" i="53" s="1"/>
  <c r="BJ71" i="40"/>
  <c r="BH72" i="40"/>
  <c r="BJ72" i="40" s="1"/>
  <c r="BH72" i="1"/>
  <c r="BJ71" i="1"/>
  <c r="BL71" i="1" s="1"/>
  <c r="K56" i="53"/>
  <c r="J84" i="51"/>
  <c r="F84" i="51"/>
  <c r="N84" i="51"/>
  <c r="AZ382" i="47" s="1"/>
  <c r="K84" i="51"/>
  <c r="AK72" i="40"/>
  <c r="AY18" i="47"/>
  <c r="E22" i="65"/>
  <c r="M79" i="51"/>
  <c r="M108" i="51" s="1"/>
  <c r="G75" i="65"/>
  <c r="BA291" i="47"/>
  <c r="BF324" i="47"/>
  <c r="BF326" i="47" s="1"/>
  <c r="BF320" i="47"/>
  <c r="T72" i="41"/>
  <c r="AK71" i="41"/>
  <c r="L28" i="64"/>
  <c r="L30" i="64" s="1"/>
  <c r="L21" i="64"/>
  <c r="T72" i="37"/>
  <c r="AK71" i="37"/>
  <c r="BB320" i="47"/>
  <c r="BB324" i="47"/>
  <c r="BB326" i="47" s="1"/>
  <c r="H28" i="64"/>
  <c r="H30" i="64" s="1"/>
  <c r="H21" i="64"/>
  <c r="M75" i="65"/>
  <c r="BG291" i="47"/>
  <c r="BC291" i="47"/>
  <c r="I75" i="65"/>
  <c r="AB72" i="41"/>
  <c r="AB84" i="41" s="1"/>
  <c r="AB109" i="41" s="1"/>
  <c r="AK15" i="60"/>
  <c r="AV15" i="60" s="1"/>
  <c r="BC226" i="47"/>
  <c r="W9" i="60"/>
  <c r="I102" i="60"/>
  <c r="V99" i="38"/>
  <c r="AY226" i="47"/>
  <c r="V99" i="1"/>
  <c r="E102" i="60"/>
  <c r="S9" i="60"/>
  <c r="BE291" i="47"/>
  <c r="K75" i="65"/>
  <c r="BB18" i="47"/>
  <c r="H22" i="65"/>
  <c r="BE226" i="47"/>
  <c r="Y9" i="60"/>
  <c r="K102" i="60"/>
  <c r="V99" i="40"/>
  <c r="J75" i="65"/>
  <c r="BD291" i="47"/>
  <c r="BE18" i="47"/>
  <c r="K22" i="65"/>
  <c r="I79" i="51"/>
  <c r="I108" i="51" s="1"/>
  <c r="AB72" i="37"/>
  <c r="AB84" i="37" s="1"/>
  <c r="AB109" i="37" s="1"/>
  <c r="AG15" i="60"/>
  <c r="AR15" i="60" s="1"/>
  <c r="J22" i="65"/>
  <c r="BD18" i="47"/>
  <c r="M28" i="64"/>
  <c r="M30" i="64" s="1"/>
  <c r="M21" i="64"/>
  <c r="T72" i="26"/>
  <c r="AK71" i="26"/>
  <c r="BG320" i="47"/>
  <c r="BG324" i="47"/>
  <c r="BG326" i="47" s="1"/>
  <c r="BH72" i="38"/>
  <c r="BJ71" i="38"/>
  <c r="BG18" i="47"/>
  <c r="M22" i="65"/>
  <c r="M102" i="60"/>
  <c r="AA9" i="60"/>
  <c r="BG226" i="47"/>
  <c r="V99" i="26"/>
  <c r="X9" i="60"/>
  <c r="J102" i="60"/>
  <c r="BD226" i="47"/>
  <c r="V99" i="39"/>
  <c r="AY291" i="47"/>
  <c r="E75" i="65"/>
  <c r="L22" i="65"/>
  <c r="BF18" i="47"/>
  <c r="AZ291" i="47"/>
  <c r="F75" i="65"/>
  <c r="AL15" i="60"/>
  <c r="AW15" i="60" s="1"/>
  <c r="AB72" i="26"/>
  <c r="AB84" i="26" s="1"/>
  <c r="AB109" i="26" s="1"/>
  <c r="BH72" i="36"/>
  <c r="BJ71" i="36"/>
  <c r="V99" i="36"/>
  <c r="U9" i="60"/>
  <c r="G102" i="60"/>
  <c r="BA226" i="47"/>
  <c r="V99" i="25"/>
  <c r="AZ226" i="47"/>
  <c r="F102" i="60"/>
  <c r="T9" i="60"/>
  <c r="Q109" i="1"/>
  <c r="N73" i="54"/>
  <c r="N49" i="54"/>
  <c r="N74" i="54" s="1"/>
  <c r="N50" i="54"/>
  <c r="N76" i="54" s="1"/>
  <c r="N52" i="54"/>
  <c r="AK15" i="41"/>
  <c r="BL15" i="41" s="1"/>
  <c r="S40" i="41"/>
  <c r="BC109" i="41"/>
  <c r="BF40" i="41"/>
  <c r="N50" i="53"/>
  <c r="N79" i="53" s="1"/>
  <c r="AK72" i="36"/>
  <c r="BJ72" i="1"/>
  <c r="BJ72" i="39"/>
  <c r="BL71" i="25"/>
  <c r="L84" i="51"/>
  <c r="J55" i="53"/>
  <c r="I54" i="53"/>
  <c r="I56" i="53" s="1"/>
  <c r="Q40" i="39"/>
  <c r="BL15" i="39"/>
  <c r="N55" i="53"/>
  <c r="M54" i="53"/>
  <c r="M56" i="53" s="1"/>
  <c r="J54" i="53"/>
  <c r="J56" i="53" s="1"/>
  <c r="Q109" i="37"/>
  <c r="N54" i="53"/>
  <c r="BF373" i="47"/>
  <c r="BH373" i="47" s="1"/>
  <c r="BI373" i="47" s="1"/>
  <c r="S101" i="40"/>
  <c r="S74" i="40"/>
  <c r="S109" i="40"/>
  <c r="S90" i="40"/>
  <c r="AK40" i="40"/>
  <c r="BL40" i="40" s="1"/>
  <c r="Q109" i="40"/>
  <c r="Q40" i="1"/>
  <c r="BL15" i="1"/>
  <c r="BL15" i="40"/>
  <c r="S90" i="38"/>
  <c r="S109" i="38"/>
  <c r="AK40" i="38"/>
  <c r="BL40" i="38" s="1"/>
  <c r="S101" i="38"/>
  <c r="S74" i="38"/>
  <c r="I80" i="53"/>
  <c r="S74" i="1"/>
  <c r="S101" i="1"/>
  <c r="AK40" i="1"/>
  <c r="S90" i="1"/>
  <c r="S109" i="1"/>
  <c r="Q109" i="39"/>
  <c r="M50" i="53"/>
  <c r="M79" i="53" s="1"/>
  <c r="M80" i="53" s="1"/>
  <c r="AK15" i="37"/>
  <c r="BL15" i="37" s="1"/>
  <c r="S40" i="37"/>
  <c r="S90" i="39"/>
  <c r="AK40" i="39"/>
  <c r="BL40" i="39" s="1"/>
  <c r="S101" i="39"/>
  <c r="S109" i="39"/>
  <c r="S74" i="39"/>
  <c r="BC109" i="37"/>
  <c r="BF40" i="37"/>
  <c r="Q109" i="26"/>
  <c r="BL71" i="38"/>
  <c r="AK72" i="1"/>
  <c r="BL72" i="1" s="1"/>
  <c r="BL71" i="40"/>
  <c r="H84" i="51"/>
  <c r="G84" i="51"/>
  <c r="S109" i="36"/>
  <c r="S90" i="36"/>
  <c r="AK40" i="36"/>
  <c r="BL40" i="36" s="1"/>
  <c r="S74" i="36"/>
  <c r="S101" i="36"/>
  <c r="Q109" i="41"/>
  <c r="S101" i="26"/>
  <c r="AK40" i="26"/>
  <c r="BL40" i="26" s="1"/>
  <c r="S90" i="26"/>
  <c r="S74" i="26"/>
  <c r="S109" i="26"/>
  <c r="AZ401" i="47"/>
  <c r="N80" i="53"/>
  <c r="S90" i="25"/>
  <c r="S74" i="25"/>
  <c r="S109" i="25"/>
  <c r="AK40" i="25"/>
  <c r="BL40" i="25" s="1"/>
  <c r="S101" i="25"/>
  <c r="AK72" i="39"/>
  <c r="BL72" i="39" s="1"/>
  <c r="BL71" i="36"/>
  <c r="BJ72" i="25"/>
  <c r="BL72" i="25" s="1"/>
  <c r="BH71" i="37"/>
  <c r="BJ41" i="3"/>
  <c r="AY239" i="47"/>
  <c r="BM41" i="3"/>
  <c r="BG239" i="47"/>
  <c r="BG66" i="47"/>
  <c r="AZ239" i="47"/>
  <c r="BE80" i="47"/>
  <c r="K9" i="48"/>
  <c r="BE239" i="47"/>
  <c r="BB66" i="47"/>
  <c r="BD239" i="47"/>
  <c r="BF32" i="47"/>
  <c r="L94" i="63"/>
  <c r="L21" i="63"/>
  <c r="L37" i="65"/>
  <c r="L9" i="48"/>
  <c r="BH71" i="41"/>
  <c r="H9" i="48"/>
  <c r="N15" i="6"/>
  <c r="F9" i="48"/>
  <c r="G9" i="48"/>
  <c r="BF221" i="47"/>
  <c r="L18" i="60"/>
  <c r="V98" i="41"/>
  <c r="BL41" i="3"/>
  <c r="BC239" i="47"/>
  <c r="BF66" i="47"/>
  <c r="V98" i="37"/>
  <c r="H18" i="60"/>
  <c r="BB221" i="47"/>
  <c r="BK41" i="3"/>
  <c r="BA239" i="47"/>
  <c r="BH71" i="26"/>
  <c r="L15" i="6"/>
  <c r="J9" i="48"/>
  <c r="J15" i="6"/>
  <c r="F15" i="6"/>
  <c r="AY80" i="47"/>
  <c r="BD80" i="47"/>
  <c r="H15" i="6"/>
  <c r="G15" i="6"/>
  <c r="BC80" i="47"/>
  <c r="K15" i="6"/>
  <c r="BA80" i="47"/>
  <c r="N9" i="48"/>
  <c r="AZ80" i="47"/>
  <c r="H37" i="65"/>
  <c r="BB32" i="47"/>
  <c r="H21" i="63"/>
  <c r="H94" i="63"/>
  <c r="BG80" i="47"/>
  <c r="BL72" i="40" l="1"/>
  <c r="BL40" i="1"/>
  <c r="I84" i="51"/>
  <c r="BJ71" i="37"/>
  <c r="BL71" i="37" s="1"/>
  <c r="BH72" i="37"/>
  <c r="BB291" i="47"/>
  <c r="H75" i="65"/>
  <c r="N65" i="48"/>
  <c r="N67" i="48" s="1"/>
  <c r="J65" i="48"/>
  <c r="J67" i="48" s="1"/>
  <c r="BJ71" i="26"/>
  <c r="BH72" i="26"/>
  <c r="BA254" i="47"/>
  <c r="BB226" i="47"/>
  <c r="H102" i="60"/>
  <c r="V9" i="60"/>
  <c r="V99" i="37"/>
  <c r="BC254" i="47"/>
  <c r="V99" i="41"/>
  <c r="Z9" i="60"/>
  <c r="L102" i="60"/>
  <c r="BF226" i="47"/>
  <c r="G65" i="48"/>
  <c r="G67" i="48" s="1"/>
  <c r="F65" i="48"/>
  <c r="F67" i="48" s="1"/>
  <c r="H65" i="48"/>
  <c r="H67" i="48" s="1"/>
  <c r="BH72" i="41"/>
  <c r="BJ71" i="41"/>
  <c r="BL71" i="41" s="1"/>
  <c r="L65" i="48"/>
  <c r="L67" i="48" s="1"/>
  <c r="L75" i="65"/>
  <c r="BF291" i="47"/>
  <c r="BD254" i="47"/>
  <c r="BE254" i="47"/>
  <c r="K65" i="48"/>
  <c r="K67" i="48" s="1"/>
  <c r="AZ254" i="47"/>
  <c r="BG254" i="47"/>
  <c r="AY254" i="47"/>
  <c r="S78" i="39"/>
  <c r="S80" i="39" s="1"/>
  <c r="S78" i="25"/>
  <c r="S80" i="25" s="1"/>
  <c r="S78" i="36"/>
  <c r="S80" i="36" s="1"/>
  <c r="S109" i="37"/>
  <c r="S74" i="37"/>
  <c r="S101" i="37"/>
  <c r="S90" i="37"/>
  <c r="AK40" i="37"/>
  <c r="BL40" i="37" s="1"/>
  <c r="S78" i="1"/>
  <c r="S80" i="1" s="1"/>
  <c r="S78" i="38"/>
  <c r="S80" i="38" s="1"/>
  <c r="S78" i="40"/>
  <c r="S80" i="40" s="1"/>
  <c r="S90" i="41"/>
  <c r="S101" i="41"/>
  <c r="S74" i="41"/>
  <c r="AK40" i="41"/>
  <c r="BL40" i="41" s="1"/>
  <c r="S109" i="41"/>
  <c r="V101" i="36"/>
  <c r="AK72" i="37"/>
  <c r="AK72" i="41"/>
  <c r="M84" i="51"/>
  <c r="V101" i="38"/>
  <c r="S78" i="26"/>
  <c r="S80" i="26" s="1"/>
  <c r="N56" i="53"/>
  <c r="N75" i="54"/>
  <c r="N53" i="54"/>
  <c r="N77" i="54" s="1"/>
  <c r="BJ72" i="36"/>
  <c r="BL72" i="36" s="1"/>
  <c r="V101" i="39"/>
  <c r="BL71" i="26"/>
  <c r="V101" i="40"/>
  <c r="BJ72" i="37"/>
  <c r="AZ430" i="47"/>
  <c r="BF379" i="47" s="1"/>
  <c r="BG379" i="47"/>
  <c r="V101" i="25"/>
  <c r="V101" i="26"/>
  <c r="BJ72" i="38"/>
  <c r="BL72" i="38" s="1"/>
  <c r="AK72" i="26"/>
  <c r="V101" i="1"/>
  <c r="BF80" i="47"/>
  <c r="BB239" i="47"/>
  <c r="K15" i="24"/>
  <c r="I9" i="48"/>
  <c r="J15" i="24"/>
  <c r="H10" i="45"/>
  <c r="N15" i="24"/>
  <c r="BB80" i="47"/>
  <c r="L15" i="24"/>
  <c r="H15" i="24"/>
  <c r="F15" i="24"/>
  <c r="K10" i="45"/>
  <c r="M15" i="6"/>
  <c r="G10" i="45"/>
  <c r="M9" i="48"/>
  <c r="J10" i="45"/>
  <c r="L10" i="45"/>
  <c r="BF239" i="47"/>
  <c r="G15" i="24"/>
  <c r="I15" i="6"/>
  <c r="N10" i="45"/>
  <c r="F10" i="45"/>
  <c r="F62" i="45" l="1"/>
  <c r="N62" i="45"/>
  <c r="BF254" i="47"/>
  <c r="L62" i="45"/>
  <c r="J62" i="45"/>
  <c r="M65" i="48"/>
  <c r="M67" i="48" s="1"/>
  <c r="G62" i="45"/>
  <c r="K62" i="45"/>
  <c r="H62" i="45"/>
  <c r="I65" i="48"/>
  <c r="I67" i="48" s="1"/>
  <c r="BB254" i="47"/>
  <c r="BH379" i="47"/>
  <c r="BI379" i="47" s="1"/>
  <c r="BL72" i="37"/>
  <c r="S78" i="37"/>
  <c r="S80" i="37" s="1"/>
  <c r="G471" i="17"/>
  <c r="G494" i="34"/>
  <c r="G472" i="17"/>
  <c r="G491" i="34"/>
  <c r="G352" i="13"/>
  <c r="G349" i="13"/>
  <c r="G978" i="4"/>
  <c r="G979" i="4"/>
  <c r="L472" i="17"/>
  <c r="L494" i="34"/>
  <c r="L491" i="34"/>
  <c r="L352" i="13"/>
  <c r="L471" i="17"/>
  <c r="L349" i="13"/>
  <c r="L979" i="4"/>
  <c r="L978" i="4"/>
  <c r="H116" i="48"/>
  <c r="H69" i="48"/>
  <c r="H117" i="48" s="1"/>
  <c r="V101" i="41"/>
  <c r="N116" i="48"/>
  <c r="N69" i="48"/>
  <c r="N117" i="48" s="1"/>
  <c r="K69" i="48"/>
  <c r="K117" i="48" s="1"/>
  <c r="K116" i="48"/>
  <c r="S78" i="41"/>
  <c r="S80" i="41" s="1"/>
  <c r="J349" i="13"/>
  <c r="J472" i="17"/>
  <c r="J494" i="34"/>
  <c r="J352" i="13"/>
  <c r="J471" i="17"/>
  <c r="J491" i="34"/>
  <c r="J978" i="4"/>
  <c r="J979" i="4"/>
  <c r="N471" i="17"/>
  <c r="N472" i="17"/>
  <c r="N494" i="34"/>
  <c r="N491" i="34"/>
  <c r="N352" i="13"/>
  <c r="N349" i="13"/>
  <c r="N978" i="4"/>
  <c r="N979" i="4"/>
  <c r="BJ72" i="41"/>
  <c r="BL72" i="41" s="1"/>
  <c r="G69" i="48"/>
  <c r="G117" i="48" s="1"/>
  <c r="G116" i="48"/>
  <c r="K472" i="17"/>
  <c r="K349" i="13"/>
  <c r="K494" i="34"/>
  <c r="K491" i="34"/>
  <c r="K352" i="13"/>
  <c r="K471" i="17"/>
  <c r="K978" i="4"/>
  <c r="K979" i="4"/>
  <c r="L69" i="48"/>
  <c r="L117" i="48" s="1"/>
  <c r="L116" i="48"/>
  <c r="F352" i="13"/>
  <c r="F472" i="17"/>
  <c r="F471" i="17"/>
  <c r="F494" i="34"/>
  <c r="F491" i="34"/>
  <c r="F349" i="13"/>
  <c r="F979" i="4"/>
  <c r="F978" i="4"/>
  <c r="F116" i="48"/>
  <c r="F69" i="48"/>
  <c r="F117" i="48" s="1"/>
  <c r="V101" i="37"/>
  <c r="H349" i="13"/>
  <c r="H491" i="34"/>
  <c r="H494" i="34"/>
  <c r="H471" i="17"/>
  <c r="H352" i="13"/>
  <c r="H472" i="17"/>
  <c r="H978" i="4"/>
  <c r="H979" i="4"/>
  <c r="J116" i="48"/>
  <c r="J69" i="48"/>
  <c r="J117" i="48" s="1"/>
  <c r="BJ72" i="26"/>
  <c r="BL72" i="26" s="1"/>
  <c r="J52" i="60"/>
  <c r="BI91" i="39"/>
  <c r="T91" i="1"/>
  <c r="BI91" i="38"/>
  <c r="I52" i="60"/>
  <c r="M10" i="45"/>
  <c r="T91" i="39"/>
  <c r="E52" i="60"/>
  <c r="BI91" i="1"/>
  <c r="M15" i="24"/>
  <c r="F52" i="60"/>
  <c r="BI91" i="25"/>
  <c r="BI91" i="40"/>
  <c r="K52" i="60"/>
  <c r="I15" i="24"/>
  <c r="T91" i="26"/>
  <c r="I10" i="45"/>
  <c r="T91" i="36"/>
  <c r="M52" i="60"/>
  <c r="BI91" i="26"/>
  <c r="T91" i="25"/>
  <c r="T91" i="40"/>
  <c r="T91" i="38"/>
  <c r="BI91" i="36"/>
  <c r="G52" i="60"/>
  <c r="BD84" i="47"/>
  <c r="BG84" i="47"/>
  <c r="BA84" i="47"/>
  <c r="AZ84" i="47"/>
  <c r="BE84" i="47"/>
  <c r="BE85" i="47" l="1"/>
  <c r="AZ85" i="47"/>
  <c r="BA85" i="47"/>
  <c r="BG85" i="47"/>
  <c r="BD85" i="47"/>
  <c r="BJ91" i="36"/>
  <c r="AK91" i="38"/>
  <c r="T93" i="38"/>
  <c r="AK91" i="40"/>
  <c r="T93" i="40"/>
  <c r="T93" i="25"/>
  <c r="AK91" i="25"/>
  <c r="BJ91" i="26"/>
  <c r="T93" i="36"/>
  <c r="AK91" i="36"/>
  <c r="I62" i="45"/>
  <c r="T93" i="26"/>
  <c r="AK91" i="26"/>
  <c r="BJ91" i="40"/>
  <c r="BJ91" i="25"/>
  <c r="BJ91" i="1"/>
  <c r="T93" i="39"/>
  <c r="AK91" i="39"/>
  <c r="M62" i="45"/>
  <c r="BJ91" i="38"/>
  <c r="T93" i="1"/>
  <c r="AK91" i="1"/>
  <c r="BJ91" i="39"/>
  <c r="J118" i="48"/>
  <c r="L118" i="48"/>
  <c r="G118" i="48"/>
  <c r="AZ417" i="47"/>
  <c r="H118" i="48"/>
  <c r="I69" i="48"/>
  <c r="I117" i="48" s="1"/>
  <c r="I116" i="48"/>
  <c r="M116" i="48"/>
  <c r="M69" i="48"/>
  <c r="M117" i="48" s="1"/>
  <c r="N118" i="48"/>
  <c r="K109" i="45"/>
  <c r="K112" i="45"/>
  <c r="J109" i="45"/>
  <c r="J112" i="45"/>
  <c r="K118" i="48"/>
  <c r="I472" i="17"/>
  <c r="I471" i="17"/>
  <c r="I352" i="13"/>
  <c r="I494" i="34"/>
  <c r="I349" i="13"/>
  <c r="I491" i="34"/>
  <c r="I979" i="4"/>
  <c r="I978" i="4"/>
  <c r="H109" i="45"/>
  <c r="H112" i="45"/>
  <c r="L112" i="45"/>
  <c r="L109" i="45"/>
  <c r="N112" i="45"/>
  <c r="N109" i="45"/>
  <c r="F118" i="48"/>
  <c r="G112" i="45"/>
  <c r="G109" i="45"/>
  <c r="M494" i="34"/>
  <c r="M349" i="13"/>
  <c r="M472" i="17"/>
  <c r="M491" i="34"/>
  <c r="M352" i="13"/>
  <c r="M471" i="17"/>
  <c r="M978" i="4"/>
  <c r="M979" i="4"/>
  <c r="F109" i="45"/>
  <c r="F112" i="45"/>
  <c r="Y102" i="40"/>
  <c r="Y102" i="1"/>
  <c r="T91" i="37"/>
  <c r="V102" i="39"/>
  <c r="V102" i="40"/>
  <c r="Y102" i="25"/>
  <c r="AY84" i="47"/>
  <c r="Y102" i="39"/>
  <c r="V102" i="36"/>
  <c r="Y102" i="26"/>
  <c r="V102" i="25"/>
  <c r="T91" i="41"/>
  <c r="BC84" i="47"/>
  <c r="BI91" i="41"/>
  <c r="L52" i="60"/>
  <c r="V102" i="38"/>
  <c r="Y102" i="36"/>
  <c r="V102" i="26"/>
  <c r="V102" i="1"/>
  <c r="BI91" i="37"/>
  <c r="H52" i="60"/>
  <c r="Y102" i="38"/>
  <c r="BB84" i="47"/>
  <c r="BL91" i="26" l="1"/>
  <c r="BL91" i="1"/>
  <c r="BB85" i="47"/>
  <c r="Y103" i="38"/>
  <c r="AT103" i="38" s="1"/>
  <c r="AT104" i="38" s="1"/>
  <c r="AT106" i="38" s="1"/>
  <c r="AT109" i="38" s="1"/>
  <c r="BJ91" i="37"/>
  <c r="V104" i="1"/>
  <c r="V106" i="1" s="1"/>
  <c r="V109" i="1" s="1"/>
  <c r="V104" i="26"/>
  <c r="V106" i="26" s="1"/>
  <c r="V109" i="26" s="1"/>
  <c r="Y103" i="36"/>
  <c r="AT103" i="36" s="1"/>
  <c r="AT104" i="36" s="1"/>
  <c r="AT106" i="36" s="1"/>
  <c r="AT109" i="36" s="1"/>
  <c r="V104" i="38"/>
  <c r="V106" i="38" s="1"/>
  <c r="V109" i="38" s="1"/>
  <c r="BJ91" i="41"/>
  <c r="BC85" i="47"/>
  <c r="AK91" i="41"/>
  <c r="T93" i="41"/>
  <c r="V104" i="25"/>
  <c r="V106" i="25" s="1"/>
  <c r="V109" i="25" s="1"/>
  <c r="Y103" i="26"/>
  <c r="AT103" i="26" s="1"/>
  <c r="AT104" i="26" s="1"/>
  <c r="AT106" i="26" s="1"/>
  <c r="AT109" i="26" s="1"/>
  <c r="V104" i="36"/>
  <c r="V106" i="36" s="1"/>
  <c r="V109" i="36" s="1"/>
  <c r="Y103" i="39"/>
  <c r="AT103" i="39" s="1"/>
  <c r="AT104" i="39" s="1"/>
  <c r="AT106" i="39" s="1"/>
  <c r="AT109" i="39" s="1"/>
  <c r="AY85" i="47"/>
  <c r="Y103" i="25"/>
  <c r="AT103" i="25" s="1"/>
  <c r="AT104" i="25" s="1"/>
  <c r="AT106" i="25" s="1"/>
  <c r="AT109" i="25" s="1"/>
  <c r="V104" i="40"/>
  <c r="V106" i="40" s="1"/>
  <c r="V109" i="40" s="1"/>
  <c r="V104" i="39"/>
  <c r="V106" i="39" s="1"/>
  <c r="V109" i="39" s="1"/>
  <c r="AK91" i="37"/>
  <c r="T93" i="37"/>
  <c r="Y103" i="1"/>
  <c r="AT103" i="1" s="1"/>
  <c r="AT104" i="1" s="1"/>
  <c r="AT106" i="1" s="1"/>
  <c r="AT109" i="1" s="1"/>
  <c r="Y103" i="40"/>
  <c r="AT103" i="40" s="1"/>
  <c r="AT104" i="40" s="1"/>
  <c r="AT106" i="40" s="1"/>
  <c r="AT109" i="40" s="1"/>
  <c r="T74" i="25"/>
  <c r="T74" i="1"/>
  <c r="M109" i="45"/>
  <c r="M112" i="45"/>
  <c r="T74" i="26"/>
  <c r="T74" i="40"/>
  <c r="M118" i="48"/>
  <c r="BL91" i="40"/>
  <c r="BL91" i="39"/>
  <c r="I109" i="45"/>
  <c r="I112" i="45"/>
  <c r="I118" i="48"/>
  <c r="T74" i="39"/>
  <c r="BL91" i="36"/>
  <c r="BL91" i="25"/>
  <c r="T74" i="38"/>
  <c r="T74" i="36"/>
  <c r="BL91" i="38"/>
  <c r="AZ62" i="47"/>
  <c r="K30" i="60"/>
  <c r="K28" i="63"/>
  <c r="BE41" i="47"/>
  <c r="K101" i="63"/>
  <c r="K44" i="65"/>
  <c r="L10" i="44"/>
  <c r="H16" i="6"/>
  <c r="AY62" i="47"/>
  <c r="BC62" i="47"/>
  <c r="BF84" i="47"/>
  <c r="J30" i="60"/>
  <c r="J28" i="63"/>
  <c r="J101" i="63"/>
  <c r="J44" i="65"/>
  <c r="BD41" i="47"/>
  <c r="K10" i="44"/>
  <c r="BE62" i="47"/>
  <c r="G16" i="6"/>
  <c r="V102" i="41"/>
  <c r="M30" i="60"/>
  <c r="M101" i="63"/>
  <c r="M28" i="63"/>
  <c r="M44" i="65"/>
  <c r="BM22" i="3"/>
  <c r="N10" i="44"/>
  <c r="M9" i="60" s="1"/>
  <c r="BG41" i="47"/>
  <c r="E30" i="60"/>
  <c r="E28" i="63"/>
  <c r="BJ22" i="3"/>
  <c r="AY41" i="47"/>
  <c r="F10" i="44"/>
  <c r="E9" i="60" s="1"/>
  <c r="E44" i="65"/>
  <c r="E101" i="63"/>
  <c r="I30" i="60"/>
  <c r="I44" i="65"/>
  <c r="BC41" i="47"/>
  <c r="BL22" i="3"/>
  <c r="J10" i="44"/>
  <c r="I101" i="63"/>
  <c r="I28" i="63"/>
  <c r="BG62" i="47"/>
  <c r="BD62" i="47"/>
  <c r="L16" i="6"/>
  <c r="J16" i="6"/>
  <c r="BA62" i="47"/>
  <c r="F16" i="6"/>
  <c r="N16" i="6"/>
  <c r="V102" i="37"/>
  <c r="G30" i="60"/>
  <c r="BA41" i="47"/>
  <c r="G44" i="65"/>
  <c r="G28" i="63"/>
  <c r="G101" i="63"/>
  <c r="BK22" i="3"/>
  <c r="H10" i="44"/>
  <c r="G9" i="60" s="1"/>
  <c r="F30" i="60"/>
  <c r="F44" i="65"/>
  <c r="G10" i="44"/>
  <c r="F28" i="63"/>
  <c r="F101" i="63"/>
  <c r="AZ41" i="47"/>
  <c r="Y102" i="37"/>
  <c r="Y102" i="41"/>
  <c r="K16" i="6"/>
  <c r="K114" i="60"/>
  <c r="J114" i="60"/>
  <c r="M114" i="60"/>
  <c r="E114" i="60"/>
  <c r="I114" i="60"/>
  <c r="F114" i="60"/>
  <c r="Y104" i="39" l="1"/>
  <c r="Y106" i="39" s="1"/>
  <c r="Y109" i="39" s="1"/>
  <c r="BL91" i="41"/>
  <c r="K127" i="6"/>
  <c r="K128" i="6" s="1"/>
  <c r="Y103" i="41"/>
  <c r="AT103" i="41" s="1"/>
  <c r="AT104" i="41" s="1"/>
  <c r="AT106" i="41" s="1"/>
  <c r="AT109" i="41" s="1"/>
  <c r="Y103" i="37"/>
  <c r="AT103" i="37" s="1"/>
  <c r="AT104" i="37" s="1"/>
  <c r="AT106" i="37" s="1"/>
  <c r="AT109" i="37" s="1"/>
  <c r="AZ43" i="47"/>
  <c r="AZ294" i="47" s="1"/>
  <c r="F113" i="63"/>
  <c r="F124" i="63"/>
  <c r="F62" i="65"/>
  <c r="F61" i="65"/>
  <c r="F52" i="65"/>
  <c r="T34" i="60"/>
  <c r="F108" i="60" s="1"/>
  <c r="F120" i="60" s="1"/>
  <c r="F126" i="60" s="1"/>
  <c r="F132" i="60" s="1"/>
  <c r="F106" i="64" s="1"/>
  <c r="U41" i="60"/>
  <c r="AF40" i="60"/>
  <c r="G20" i="60"/>
  <c r="G113" i="63"/>
  <c r="G135" i="63" s="1"/>
  <c r="G124" i="63"/>
  <c r="G62" i="65"/>
  <c r="G61" i="65"/>
  <c r="G52" i="65"/>
  <c r="BA43" i="47"/>
  <c r="BA294" i="47" s="1"/>
  <c r="U34" i="60"/>
  <c r="G108" i="60" s="1"/>
  <c r="V104" i="37"/>
  <c r="V106" i="37" s="1"/>
  <c r="V109" i="37" s="1"/>
  <c r="N127" i="6"/>
  <c r="N128" i="6" s="1"/>
  <c r="F127" i="6"/>
  <c r="F128" i="6" s="1"/>
  <c r="J127" i="6"/>
  <c r="J128" i="6" s="1"/>
  <c r="L127" i="6"/>
  <c r="L128" i="6" s="1"/>
  <c r="I113" i="63"/>
  <c r="I124" i="63"/>
  <c r="BC43" i="47"/>
  <c r="BC294" i="47" s="1"/>
  <c r="I61" i="65"/>
  <c r="I62" i="65"/>
  <c r="I52" i="65"/>
  <c r="W34" i="60"/>
  <c r="I108" i="60" s="1"/>
  <c r="I120" i="60" s="1"/>
  <c r="I126" i="60" s="1"/>
  <c r="I132" i="60" s="1"/>
  <c r="I106" i="64" s="1"/>
  <c r="E113" i="63"/>
  <c r="E124" i="63"/>
  <c r="E62" i="65"/>
  <c r="E61" i="65"/>
  <c r="E52" i="65"/>
  <c r="S41" i="60"/>
  <c r="E20" i="60"/>
  <c r="AD40" i="60"/>
  <c r="AY43" i="47"/>
  <c r="AY294" i="47" s="1"/>
  <c r="S34" i="60"/>
  <c r="E108" i="60" s="1"/>
  <c r="E120" i="60" s="1"/>
  <c r="E126" i="60" s="1"/>
  <c r="E132" i="60" s="1"/>
  <c r="E106" i="64" s="1"/>
  <c r="AZ395" i="47"/>
  <c r="BF398" i="47" s="1"/>
  <c r="AZ373" i="47"/>
  <c r="BG43" i="47"/>
  <c r="BG294" i="47" s="1"/>
  <c r="AA41" i="60"/>
  <c r="M20" i="60"/>
  <c r="AL40" i="60"/>
  <c r="M61" i="65"/>
  <c r="M62" i="65"/>
  <c r="M52" i="65"/>
  <c r="M113" i="63"/>
  <c r="M124" i="63"/>
  <c r="AA34" i="60"/>
  <c r="M108" i="60" s="1"/>
  <c r="M120" i="60" s="1"/>
  <c r="M126" i="60" s="1"/>
  <c r="M132" i="60" s="1"/>
  <c r="M106" i="64" s="1"/>
  <c r="V104" i="41"/>
  <c r="V106" i="41" s="1"/>
  <c r="V109" i="41" s="1"/>
  <c r="G127" i="6"/>
  <c r="G128" i="6" s="1"/>
  <c r="BD43" i="47"/>
  <c r="BD294" i="47" s="1"/>
  <c r="J61" i="65"/>
  <c r="J62" i="65"/>
  <c r="J52" i="65"/>
  <c r="J113" i="63"/>
  <c r="J124" i="63"/>
  <c r="X34" i="60"/>
  <c r="J108" i="60" s="1"/>
  <c r="J120" i="60" s="1"/>
  <c r="J126" i="60" s="1"/>
  <c r="J132" i="60" s="1"/>
  <c r="J106" i="64" s="1"/>
  <c r="BF85" i="47"/>
  <c r="H127" i="6"/>
  <c r="H128" i="6" s="1"/>
  <c r="K62" i="65"/>
  <c r="K61" i="65"/>
  <c r="K52" i="65"/>
  <c r="K113" i="63"/>
  <c r="K124" i="63"/>
  <c r="BE43" i="47"/>
  <c r="BE294" i="47" s="1"/>
  <c r="Y34" i="60"/>
  <c r="K108" i="60" s="1"/>
  <c r="K120" i="60" s="1"/>
  <c r="K126" i="60" s="1"/>
  <c r="K132" i="60" s="1"/>
  <c r="K106" i="64" s="1"/>
  <c r="T78" i="39"/>
  <c r="T80" i="39" s="1"/>
  <c r="T78" i="26"/>
  <c r="T80" i="26" s="1"/>
  <c r="T78" i="1"/>
  <c r="T80" i="1" s="1"/>
  <c r="Y104" i="40"/>
  <c r="Y106" i="40" s="1"/>
  <c r="Y109" i="40" s="1"/>
  <c r="BL91" i="37"/>
  <c r="Y104" i="25"/>
  <c r="Y106" i="25" s="1"/>
  <c r="Y109" i="25" s="1"/>
  <c r="T74" i="41"/>
  <c r="Y104" i="36"/>
  <c r="Y106" i="36" s="1"/>
  <c r="Y109" i="36" s="1"/>
  <c r="T78" i="38"/>
  <c r="T80" i="38" s="1"/>
  <c r="T78" i="40"/>
  <c r="T80" i="40" s="1"/>
  <c r="T78" i="25"/>
  <c r="T80" i="25" s="1"/>
  <c r="Y104" i="1"/>
  <c r="Y106" i="1" s="1"/>
  <c r="Y109" i="1" s="1"/>
  <c r="Y104" i="26"/>
  <c r="Y106" i="26" s="1"/>
  <c r="Y109" i="26" s="1"/>
  <c r="Y104" i="38"/>
  <c r="Y106" i="38" s="1"/>
  <c r="Y109" i="38" s="1"/>
  <c r="T78" i="36"/>
  <c r="T80" i="36" s="1"/>
  <c r="T74" i="37"/>
  <c r="BD59" i="47"/>
  <c r="H30" i="60"/>
  <c r="H28" i="63"/>
  <c r="BB41" i="47"/>
  <c r="I10" i="44"/>
  <c r="H9" i="60" s="1"/>
  <c r="H44" i="65"/>
  <c r="H101" i="63"/>
  <c r="G114" i="60"/>
  <c r="BF62" i="47"/>
  <c r="F16" i="24"/>
  <c r="M16" i="6"/>
  <c r="L16" i="24"/>
  <c r="BC59" i="47"/>
  <c r="F9" i="60"/>
  <c r="K9" i="60"/>
  <c r="BE59" i="47"/>
  <c r="G16" i="24"/>
  <c r="H16" i="24"/>
  <c r="J9" i="60"/>
  <c r="L30" i="60"/>
  <c r="M10" i="44"/>
  <c r="L9" i="60" s="1"/>
  <c r="L28" i="63"/>
  <c r="BF41" i="47"/>
  <c r="L101" i="63"/>
  <c r="L44" i="65"/>
  <c r="BB62" i="47"/>
  <c r="I9" i="60"/>
  <c r="K16" i="24"/>
  <c r="BA59" i="47"/>
  <c r="AY59" i="47"/>
  <c r="I16" i="6"/>
  <c r="N16" i="24"/>
  <c r="J16" i="24"/>
  <c r="AZ59" i="47"/>
  <c r="BG59" i="47"/>
  <c r="H114" i="60"/>
  <c r="L114" i="60"/>
  <c r="F135" i="63" l="1"/>
  <c r="J135" i="63"/>
  <c r="J242" i="24"/>
  <c r="N242" i="24"/>
  <c r="I127" i="6"/>
  <c r="I128" i="6" s="1"/>
  <c r="K242" i="24"/>
  <c r="W41" i="60"/>
  <c r="AH40" i="60"/>
  <c r="I20" i="60"/>
  <c r="L61" i="65"/>
  <c r="L62" i="65"/>
  <c r="L52" i="65"/>
  <c r="L113" i="63"/>
  <c r="L124" i="63"/>
  <c r="BF43" i="47"/>
  <c r="BF294" i="47" s="1"/>
  <c r="Z41" i="60"/>
  <c r="AK40" i="60"/>
  <c r="L20" i="60"/>
  <c r="Z34" i="60"/>
  <c r="L108" i="60" s="1"/>
  <c r="L120" i="60" s="1"/>
  <c r="L126" i="60" s="1"/>
  <c r="L132" i="60" s="1"/>
  <c r="L106" i="64" s="1"/>
  <c r="X41" i="60"/>
  <c r="AI40" i="60"/>
  <c r="J20" i="60"/>
  <c r="H242" i="24"/>
  <c r="G242" i="24"/>
  <c r="Y41" i="60"/>
  <c r="AJ40" i="60"/>
  <c r="K20" i="60"/>
  <c r="T41" i="60"/>
  <c r="AE40" i="60"/>
  <c r="F20" i="60"/>
  <c r="L242" i="24"/>
  <c r="M127" i="6"/>
  <c r="M128" i="6" s="1"/>
  <c r="F242" i="24"/>
  <c r="H113" i="63"/>
  <c r="H124" i="63"/>
  <c r="H62" i="65"/>
  <c r="H61" i="65"/>
  <c r="H52" i="65"/>
  <c r="V41" i="60"/>
  <c r="H20" i="60"/>
  <c r="AG40" i="60"/>
  <c r="BB43" i="47"/>
  <c r="BB294" i="47" s="1"/>
  <c r="V34" i="60"/>
  <c r="H108" i="60" s="1"/>
  <c r="H120" i="60" s="1"/>
  <c r="H126" i="60" s="1"/>
  <c r="H132" i="60" s="1"/>
  <c r="H106" i="64" s="1"/>
  <c r="AA40" i="60"/>
  <c r="AW40" i="60" s="1"/>
  <c r="AL34" i="60"/>
  <c r="AW34" i="60" s="1"/>
  <c r="Y104" i="37"/>
  <c r="Y106" i="37" s="1"/>
  <c r="Y109" i="37" s="1"/>
  <c r="T78" i="37"/>
  <c r="T80" i="37" s="1"/>
  <c r="S40" i="60"/>
  <c r="AO40" i="60" s="1"/>
  <c r="AD34" i="60"/>
  <c r="AO34" i="60" s="1"/>
  <c r="K135" i="63"/>
  <c r="M135" i="63"/>
  <c r="G120" i="60"/>
  <c r="G126" i="60" s="1"/>
  <c r="G132" i="60" s="1"/>
  <c r="G106" i="64" s="1"/>
  <c r="Y104" i="41"/>
  <c r="Y106" i="41" s="1"/>
  <c r="Y109" i="41" s="1"/>
  <c r="T78" i="41"/>
  <c r="T80" i="41" s="1"/>
  <c r="BF405" i="47"/>
  <c r="BH405" i="47" s="1"/>
  <c r="BI405" i="47" s="1"/>
  <c r="BG404" i="47"/>
  <c r="AZ384" i="47"/>
  <c r="E135" i="63"/>
  <c r="I135" i="63"/>
  <c r="U40" i="60"/>
  <c r="AQ40" i="60" s="1"/>
  <c r="AF34" i="60"/>
  <c r="AQ34" i="60" s="1"/>
  <c r="BF59" i="47"/>
  <c r="BB59" i="47"/>
  <c r="M16" i="24"/>
  <c r="I16" i="24"/>
  <c r="L135" i="63" l="1"/>
  <c r="I242" i="24"/>
  <c r="M242" i="24"/>
  <c r="F245" i="24"/>
  <c r="F252" i="24"/>
  <c r="K252" i="24"/>
  <c r="K245" i="24"/>
  <c r="AG34" i="60"/>
  <c r="AR34" i="60" s="1"/>
  <c r="V40" i="60"/>
  <c r="AR40" i="60" s="1"/>
  <c r="G252" i="24"/>
  <c r="G245" i="24"/>
  <c r="W40" i="60"/>
  <c r="AS40" i="60" s="1"/>
  <c r="AH34" i="60"/>
  <c r="AS34" i="60" s="1"/>
  <c r="L252" i="24"/>
  <c r="L245" i="24"/>
  <c r="Y40" i="60"/>
  <c r="AU40" i="60" s="1"/>
  <c r="AJ34" i="60"/>
  <c r="AU34" i="60" s="1"/>
  <c r="H252" i="24"/>
  <c r="H245" i="24"/>
  <c r="N245" i="24"/>
  <c r="N252" i="24"/>
  <c r="BF404" i="47"/>
  <c r="BH404" i="47" s="1"/>
  <c r="BI404" i="47" s="1"/>
  <c r="BG398" i="47"/>
  <c r="BH398" i="47" s="1"/>
  <c r="BI398" i="47" s="1"/>
  <c r="H135" i="63"/>
  <c r="T40" i="60"/>
  <c r="AP40" i="60" s="1"/>
  <c r="AE34" i="60"/>
  <c r="AP34" i="60" s="1"/>
  <c r="X40" i="60"/>
  <c r="AT40" i="60" s="1"/>
  <c r="AI34" i="60"/>
  <c r="AT34" i="60" s="1"/>
  <c r="Z40" i="60"/>
  <c r="AV40" i="60" s="1"/>
  <c r="AK34" i="60"/>
  <c r="AV34" i="60" s="1"/>
  <c r="J252" i="24"/>
  <c r="J245" i="24"/>
  <c r="J293" i="24" l="1"/>
  <c r="J247" i="24"/>
  <c r="J249" i="24" s="1"/>
  <c r="J254" i="24" s="1"/>
  <c r="J308" i="24"/>
  <c r="N293" i="24"/>
  <c r="N308" i="24"/>
  <c r="N247" i="24"/>
  <c r="N249" i="24" s="1"/>
  <c r="N254" i="24" s="1"/>
  <c r="G308" i="24"/>
  <c r="G293" i="24"/>
  <c r="G247" i="24"/>
  <c r="G249" i="24" s="1"/>
  <c r="G254" i="24" s="1"/>
  <c r="K247" i="24"/>
  <c r="K249" i="24" s="1"/>
  <c r="K254" i="24" s="1"/>
  <c r="K293" i="24"/>
  <c r="K308" i="24"/>
  <c r="F247" i="24"/>
  <c r="F249" i="24" s="1"/>
  <c r="F254" i="24" s="1"/>
  <c r="F293" i="24"/>
  <c r="F308" i="24"/>
  <c r="H293" i="24"/>
  <c r="H308" i="24"/>
  <c r="H247" i="24"/>
  <c r="H249" i="24" s="1"/>
  <c r="H254" i="24" s="1"/>
  <c r="M252" i="24"/>
  <c r="M245" i="24"/>
  <c r="L293" i="24"/>
  <c r="L247" i="24"/>
  <c r="L249" i="24" s="1"/>
  <c r="L254" i="24" s="1"/>
  <c r="L308" i="24"/>
  <c r="L310" i="24" s="1"/>
  <c r="I252" i="24"/>
  <c r="I245" i="24"/>
  <c r="L255" i="24" l="1"/>
  <c r="L336" i="24"/>
  <c r="L262" i="24"/>
  <c r="L264" i="24" s="1"/>
  <c r="K376" i="24"/>
  <c r="I247" i="24"/>
  <c r="I249" i="24" s="1"/>
  <c r="I254" i="24" s="1"/>
  <c r="I308" i="24"/>
  <c r="J310" i="24" s="1"/>
  <c r="I293" i="24"/>
  <c r="L376" i="24"/>
  <c r="M309" i="24"/>
  <c r="H310" i="24"/>
  <c r="F255" i="24"/>
  <c r="F262" i="24"/>
  <c r="F264" i="24" s="1"/>
  <c r="G255" i="24"/>
  <c r="G256" i="24" s="1"/>
  <c r="G258" i="24" s="1"/>
  <c r="G262" i="24"/>
  <c r="G264" i="24" s="1"/>
  <c r="J376" i="24"/>
  <c r="M308" i="24"/>
  <c r="M247" i="24"/>
  <c r="M249" i="24" s="1"/>
  <c r="M254" i="24" s="1"/>
  <c r="M293" i="24"/>
  <c r="H376" i="24"/>
  <c r="K310" i="24"/>
  <c r="G376" i="24"/>
  <c r="N376" i="24"/>
  <c r="H255" i="24"/>
  <c r="H262" i="24"/>
  <c r="H264" i="24" s="1"/>
  <c r="H336" i="24" s="1"/>
  <c r="F376" i="24"/>
  <c r="K255" i="24"/>
  <c r="K262" i="24"/>
  <c r="K264" i="24" s="1"/>
  <c r="K336" i="24" s="1"/>
  <c r="N255" i="24"/>
  <c r="N262" i="24"/>
  <c r="N264" i="24" s="1"/>
  <c r="J255" i="24"/>
  <c r="J262" i="24"/>
  <c r="J264" i="24" s="1"/>
  <c r="J336" i="24" s="1"/>
  <c r="T81" i="39"/>
  <c r="J37" i="60"/>
  <c r="BC119" i="47"/>
  <c r="I65" i="64"/>
  <c r="J49" i="46"/>
  <c r="AZ119" i="47"/>
  <c r="G49" i="46"/>
  <c r="F65" i="64"/>
  <c r="AY119" i="47"/>
  <c r="E65" i="64"/>
  <c r="F49" i="46"/>
  <c r="J65" i="64"/>
  <c r="BD119" i="47"/>
  <c r="K49" i="46"/>
  <c r="BA119" i="47"/>
  <c r="H49" i="46"/>
  <c r="G65" i="64"/>
  <c r="BE119" i="47"/>
  <c r="L49" i="46"/>
  <c r="K65" i="64"/>
  <c r="M65" i="64"/>
  <c r="BG119" i="47"/>
  <c r="N49" i="46"/>
  <c r="T81" i="40"/>
  <c r="K37" i="60"/>
  <c r="G37" i="60"/>
  <c r="T81" i="36"/>
  <c r="I37" i="60"/>
  <c r="T81" i="38"/>
  <c r="J38" i="64"/>
  <c r="BE96" i="47"/>
  <c r="K38" i="64"/>
  <c r="BA96" i="47"/>
  <c r="G38" i="64"/>
  <c r="I38" i="64"/>
  <c r="BC96" i="47"/>
  <c r="BC99" i="47" l="1"/>
  <c r="BC111" i="47" s="1"/>
  <c r="BC86" i="47" s="1"/>
  <c r="I41" i="64"/>
  <c r="I46" i="64" s="1"/>
  <c r="I56" i="64" s="1"/>
  <c r="G41" i="64"/>
  <c r="G46" i="64" s="1"/>
  <c r="G56" i="64" s="1"/>
  <c r="BA99" i="47"/>
  <c r="BA111" i="47" s="1"/>
  <c r="BA86" i="47" s="1"/>
  <c r="K41" i="64"/>
  <c r="K46" i="64" s="1"/>
  <c r="K56" i="64" s="1"/>
  <c r="BE99" i="47"/>
  <c r="BE111" i="47" s="1"/>
  <c r="BE86" i="47" s="1"/>
  <c r="J41" i="64"/>
  <c r="J46" i="64" s="1"/>
  <c r="J56" i="64" s="1"/>
  <c r="T82" i="38"/>
  <c r="AH17" i="60"/>
  <c r="T82" i="36"/>
  <c r="AF17" i="60"/>
  <c r="AJ17" i="60"/>
  <c r="T82" i="40"/>
  <c r="N222" i="46"/>
  <c r="L222" i="46"/>
  <c r="H222" i="46"/>
  <c r="K222" i="46"/>
  <c r="F222" i="46"/>
  <c r="G222" i="46"/>
  <c r="J222" i="46"/>
  <c r="AI17" i="60"/>
  <c r="T82" i="39"/>
  <c r="G337" i="24"/>
  <c r="N294" i="24"/>
  <c r="N265" i="24"/>
  <c r="N266" i="24" s="1"/>
  <c r="N268" i="24" s="1"/>
  <c r="M255" i="24"/>
  <c r="M262" i="24"/>
  <c r="M264" i="24" s="1"/>
  <c r="M336" i="24" s="1"/>
  <c r="G294" i="24"/>
  <c r="G265" i="24"/>
  <c r="G266" i="24" s="1"/>
  <c r="G268" i="24" s="1"/>
  <c r="G340" i="24" s="1"/>
  <c r="F336" i="24"/>
  <c r="F294" i="24"/>
  <c r="F265" i="24"/>
  <c r="F266" i="24" s="1"/>
  <c r="F268" i="24" s="1"/>
  <c r="N336" i="24"/>
  <c r="N378" i="24"/>
  <c r="G336" i="24"/>
  <c r="F256" i="24"/>
  <c r="F258" i="24" s="1"/>
  <c r="F341" i="24"/>
  <c r="L378" i="24"/>
  <c r="L256" i="24"/>
  <c r="L258" i="24" s="1"/>
  <c r="N256" i="24"/>
  <c r="N258" i="24" s="1"/>
  <c r="H256" i="24"/>
  <c r="H258" i="24" s="1"/>
  <c r="H378" i="24"/>
  <c r="I376" i="24"/>
  <c r="K378" i="24"/>
  <c r="H294" i="24"/>
  <c r="H265" i="24"/>
  <c r="H341" i="24" s="1"/>
  <c r="I255" i="24"/>
  <c r="I262" i="24"/>
  <c r="I264" i="24" s="1"/>
  <c r="I336" i="24" s="1"/>
  <c r="J294" i="24"/>
  <c r="J265" i="24"/>
  <c r="J266" i="24" s="1"/>
  <c r="J268" i="24" s="1"/>
  <c r="K256" i="24"/>
  <c r="K258" i="24" s="1"/>
  <c r="J256" i="24"/>
  <c r="J258" i="24" s="1"/>
  <c r="J341" i="24"/>
  <c r="K294" i="24"/>
  <c r="K265" i="24"/>
  <c r="K341" i="24" s="1"/>
  <c r="F378" i="24"/>
  <c r="G378" i="24"/>
  <c r="M376" i="24"/>
  <c r="J378" i="24"/>
  <c r="M310" i="24"/>
  <c r="N309" i="24"/>
  <c r="N310" i="24" s="1"/>
  <c r="I310" i="24"/>
  <c r="L265" i="24"/>
  <c r="L341" i="24" s="1"/>
  <c r="L294" i="24"/>
  <c r="L266" i="24"/>
  <c r="L268" i="24" s="1"/>
  <c r="BI81" i="40"/>
  <c r="BI81" i="36"/>
  <c r="BD96" i="47"/>
  <c r="F32" i="60"/>
  <c r="U81" i="25"/>
  <c r="L37" i="60"/>
  <c r="T81" i="41"/>
  <c r="E37" i="60"/>
  <c r="T81" i="1"/>
  <c r="T81" i="26"/>
  <c r="M37" i="60"/>
  <c r="BI81" i="1"/>
  <c r="H37" i="60"/>
  <c r="T81" i="37"/>
  <c r="BI81" i="38"/>
  <c r="BB119" i="47"/>
  <c r="H65" i="64"/>
  <c r="I49" i="46"/>
  <c r="F37" i="60"/>
  <c r="T81" i="25"/>
  <c r="M49" i="46"/>
  <c r="L65" i="64"/>
  <c r="BF119" i="47"/>
  <c r="BH81" i="25"/>
  <c r="BI81" i="39"/>
  <c r="F94" i="64"/>
  <c r="AZ234" i="47"/>
  <c r="BF96" i="47"/>
  <c r="E38" i="64"/>
  <c r="AY96" i="47"/>
  <c r="M38" i="64"/>
  <c r="BG96" i="47"/>
  <c r="BB96" i="47"/>
  <c r="H38" i="64"/>
  <c r="F38" i="64"/>
  <c r="AZ96" i="47"/>
  <c r="H266" i="24" l="1"/>
  <c r="H268" i="24" s="1"/>
  <c r="N341" i="24"/>
  <c r="AZ99" i="47"/>
  <c r="AZ111" i="47" s="1"/>
  <c r="AZ86" i="47" s="1"/>
  <c r="F41" i="64"/>
  <c r="F46" i="64" s="1"/>
  <c r="F56" i="64" s="1"/>
  <c r="H41" i="64"/>
  <c r="H46" i="64" s="1"/>
  <c r="H56" i="64" s="1"/>
  <c r="BB99" i="47"/>
  <c r="BB111" i="47" s="1"/>
  <c r="BB86" i="47" s="1"/>
  <c r="BG99" i="47"/>
  <c r="BG111" i="47" s="1"/>
  <c r="BG86" i="47" s="1"/>
  <c r="M41" i="64"/>
  <c r="M46" i="64" s="1"/>
  <c r="M56" i="64" s="1"/>
  <c r="AY99" i="47"/>
  <c r="AY111" i="47" s="1"/>
  <c r="AY86" i="47" s="1"/>
  <c r="E41" i="64"/>
  <c r="E46" i="64" s="1"/>
  <c r="E56" i="64" s="1"/>
  <c r="BF99" i="47"/>
  <c r="BF111" i="47" s="1"/>
  <c r="BF86" i="47" s="1"/>
  <c r="BI82" i="39"/>
  <c r="BI84" i="39" s="1"/>
  <c r="BH82" i="25"/>
  <c r="M222" i="46"/>
  <c r="T82" i="25"/>
  <c r="AE17" i="60"/>
  <c r="I222" i="46"/>
  <c r="BI82" i="38"/>
  <c r="BI84" i="38" s="1"/>
  <c r="T82" i="37"/>
  <c r="AG17" i="60"/>
  <c r="BI82" i="1"/>
  <c r="BI84" i="1" s="1"/>
  <c r="AL17" i="60"/>
  <c r="T82" i="26"/>
  <c r="T82" i="1"/>
  <c r="AD17" i="60"/>
  <c r="T82" i="41"/>
  <c r="AK17" i="60"/>
  <c r="U82" i="25"/>
  <c r="U84" i="25" s="1"/>
  <c r="BD99" i="47"/>
  <c r="BD111" i="47" s="1"/>
  <c r="BD86" i="47" s="1"/>
  <c r="BI82" i="36"/>
  <c r="BI84" i="36" s="1"/>
  <c r="BI82" i="40"/>
  <c r="BI84" i="40" s="1"/>
  <c r="I298" i="24"/>
  <c r="H299" i="24"/>
  <c r="H297" i="24"/>
  <c r="H383" i="24"/>
  <c r="H390" i="24"/>
  <c r="L272" i="24"/>
  <c r="L351" i="24" s="1"/>
  <c r="L273" i="24"/>
  <c r="L352" i="24" s="1"/>
  <c r="L271" i="24"/>
  <c r="L350" i="24" s="1"/>
  <c r="L339" i="24"/>
  <c r="M378" i="24"/>
  <c r="J383" i="24"/>
  <c r="J299" i="24"/>
  <c r="K298" i="24"/>
  <c r="J390" i="24"/>
  <c r="H272" i="24"/>
  <c r="H351" i="24" s="1"/>
  <c r="H339" i="24"/>
  <c r="H273" i="24"/>
  <c r="H352" i="24" s="1"/>
  <c r="H271" i="24"/>
  <c r="H350" i="24" s="1"/>
  <c r="L337" i="24"/>
  <c r="L340" i="24"/>
  <c r="F272" i="24"/>
  <c r="F351" i="24" s="1"/>
  <c r="F339" i="24"/>
  <c r="F273" i="24"/>
  <c r="F352" i="24" s="1"/>
  <c r="F271" i="24"/>
  <c r="F350" i="24" s="1"/>
  <c r="G383" i="24"/>
  <c r="H298" i="24"/>
  <c r="G299" i="24"/>
  <c r="G297" i="24"/>
  <c r="G390" i="24"/>
  <c r="N339" i="24"/>
  <c r="N271" i="24"/>
  <c r="N350" i="24" s="1"/>
  <c r="N273" i="24"/>
  <c r="N352" i="24" s="1"/>
  <c r="N272" i="24"/>
  <c r="N351" i="24" s="1"/>
  <c r="G341" i="24"/>
  <c r="L298" i="24"/>
  <c r="K297" i="24"/>
  <c r="K299" i="24"/>
  <c r="K383" i="24"/>
  <c r="K390" i="24"/>
  <c r="K337" i="24"/>
  <c r="I265" i="24"/>
  <c r="I266" i="24" s="1"/>
  <c r="I268" i="24" s="1"/>
  <c r="I294" i="24"/>
  <c r="I378" i="24"/>
  <c r="F299" i="24"/>
  <c r="G298" i="24"/>
  <c r="F383" i="24"/>
  <c r="F390" i="24"/>
  <c r="M265" i="24"/>
  <c r="M266" i="24" s="1"/>
  <c r="M268" i="24" s="1"/>
  <c r="M294" i="24"/>
  <c r="N297" i="24" s="1"/>
  <c r="T84" i="39"/>
  <c r="T84" i="38"/>
  <c r="AZ402" i="47"/>
  <c r="BG381" i="47" s="1"/>
  <c r="N383" i="24"/>
  <c r="N299" i="24"/>
  <c r="N390" i="24"/>
  <c r="T84" i="40"/>
  <c r="J271" i="24"/>
  <c r="J350" i="24" s="1"/>
  <c r="J272" i="24"/>
  <c r="J351" i="24" s="1"/>
  <c r="J273" i="24"/>
  <c r="J352" i="24" s="1"/>
  <c r="J339" i="24"/>
  <c r="N337" i="24"/>
  <c r="N340" i="24"/>
  <c r="N342" i="24" s="1"/>
  <c r="K266" i="24"/>
  <c r="K268" i="24" s="1"/>
  <c r="K340" i="24" s="1"/>
  <c r="J337" i="24"/>
  <c r="J340" i="24"/>
  <c r="I256" i="24"/>
  <c r="I258" i="24" s="1"/>
  <c r="I341" i="24"/>
  <c r="H226" i="24"/>
  <c r="F337" i="24"/>
  <c r="H225" i="24"/>
  <c r="H227" i="24"/>
  <c r="F340" i="24"/>
  <c r="G339" i="24"/>
  <c r="G272" i="24"/>
  <c r="G351" i="24" s="1"/>
  <c r="G273" i="24"/>
  <c r="G352" i="24" s="1"/>
  <c r="G271" i="24"/>
  <c r="G350" i="24" s="1"/>
  <c r="M256" i="24"/>
  <c r="M258" i="24" s="1"/>
  <c r="L297" i="24"/>
  <c r="L383" i="24"/>
  <c r="L299" i="24"/>
  <c r="M298" i="24"/>
  <c r="L390" i="24"/>
  <c r="H337" i="24"/>
  <c r="H340" i="24"/>
  <c r="T84" i="36"/>
  <c r="BI81" i="26"/>
  <c r="BA117" i="47"/>
  <c r="K34" i="60"/>
  <c r="K96" i="64" s="1"/>
  <c r="W81" i="40"/>
  <c r="BQ81" i="36"/>
  <c r="BQ81" i="1"/>
  <c r="BO81" i="26"/>
  <c r="N47" i="46"/>
  <c r="M145" i="63"/>
  <c r="M66" i="64"/>
  <c r="BG120" i="47"/>
  <c r="BQ81" i="38"/>
  <c r="K145" i="63"/>
  <c r="BE120" i="47"/>
  <c r="K66" i="64"/>
  <c r="L47" i="46"/>
  <c r="U81" i="36"/>
  <c r="G32" i="60"/>
  <c r="BO81" i="38"/>
  <c r="BP81" i="40"/>
  <c r="BC117" i="47"/>
  <c r="BO81" i="36"/>
  <c r="BO81" i="1"/>
  <c r="BQ81" i="26"/>
  <c r="U81" i="39"/>
  <c r="J32" i="60"/>
  <c r="W81" i="38"/>
  <c r="I34" i="60"/>
  <c r="I96" i="64" s="1"/>
  <c r="F34" i="60"/>
  <c r="W81" i="25"/>
  <c r="BH81" i="36"/>
  <c r="G38" i="60"/>
  <c r="BI81" i="37"/>
  <c r="BP81" i="25"/>
  <c r="L38" i="64"/>
  <c r="BQ81" i="40"/>
  <c r="J47" i="46"/>
  <c r="I66" i="64"/>
  <c r="I145" i="63"/>
  <c r="BC120" i="47"/>
  <c r="BP81" i="36"/>
  <c r="K32" i="60"/>
  <c r="U81" i="40"/>
  <c r="BP81" i="1"/>
  <c r="F145" i="63"/>
  <c r="F66" i="64"/>
  <c r="G47" i="46"/>
  <c r="AZ120" i="47"/>
  <c r="AZ117" i="47"/>
  <c r="BP81" i="26"/>
  <c r="AY120" i="47"/>
  <c r="E145" i="63"/>
  <c r="F47" i="46"/>
  <c r="E66" i="64"/>
  <c r="M32" i="60"/>
  <c r="U81" i="26"/>
  <c r="U81" i="38"/>
  <c r="I32" i="60"/>
  <c r="AZ231" i="47"/>
  <c r="BA120" i="47"/>
  <c r="H47" i="46"/>
  <c r="G145" i="63"/>
  <c r="G66" i="64"/>
  <c r="BO81" i="40"/>
  <c r="G34" i="60"/>
  <c r="G96" i="64" s="1"/>
  <c r="W81" i="36"/>
  <c r="K38" i="60"/>
  <c r="BH81" i="40"/>
  <c r="E34" i="60"/>
  <c r="E96" i="64" s="1"/>
  <c r="W81" i="1"/>
  <c r="M34" i="60"/>
  <c r="M96" i="64" s="1"/>
  <c r="W81" i="26"/>
  <c r="F38" i="60"/>
  <c r="BI81" i="25"/>
  <c r="K47" i="46"/>
  <c r="J145" i="63"/>
  <c r="J66" i="64"/>
  <c r="BD120" i="47"/>
  <c r="AY117" i="47"/>
  <c r="BG117" i="47"/>
  <c r="BP81" i="38"/>
  <c r="M38" i="60"/>
  <c r="BH81" i="26"/>
  <c r="I38" i="60"/>
  <c r="BH81" i="38"/>
  <c r="E38" i="60"/>
  <c r="BH81" i="1"/>
  <c r="BQ81" i="25"/>
  <c r="BE117" i="47"/>
  <c r="BD117" i="47"/>
  <c r="E32" i="60"/>
  <c r="U81" i="1"/>
  <c r="BO81" i="25"/>
  <c r="J38" i="60"/>
  <c r="BH81" i="39"/>
  <c r="BE249" i="47"/>
  <c r="BA234" i="47"/>
  <c r="J94" i="64"/>
  <c r="AZ249" i="47"/>
  <c r="K94" i="64"/>
  <c r="BE234" i="47"/>
  <c r="M94" i="64"/>
  <c r="BG234" i="47"/>
  <c r="I94" i="64"/>
  <c r="BA249" i="47"/>
  <c r="AY249" i="47"/>
  <c r="E94" i="64"/>
  <c r="AY234" i="47"/>
  <c r="M341" i="24" l="1"/>
  <c r="K300" i="24"/>
  <c r="K301" i="24" s="1"/>
  <c r="G300" i="24"/>
  <c r="G301" i="24" s="1"/>
  <c r="BI82" i="26"/>
  <c r="BI84" i="26" s="1"/>
  <c r="H300" i="24"/>
  <c r="H301" i="24" s="1"/>
  <c r="E97" i="64"/>
  <c r="I97" i="64"/>
  <c r="M97" i="64"/>
  <c r="K97" i="64"/>
  <c r="BJ81" i="39"/>
  <c r="BH82" i="39"/>
  <c r="X52" i="60"/>
  <c r="DH81" i="25"/>
  <c r="BO82" i="25"/>
  <c r="U82" i="1"/>
  <c r="U84" i="1" s="1"/>
  <c r="AK81" i="1"/>
  <c r="AD52" i="60"/>
  <c r="BQ82" i="25"/>
  <c r="BQ84" i="25" s="1"/>
  <c r="BJ81" i="1"/>
  <c r="BH82" i="1"/>
  <c r="S52" i="60"/>
  <c r="AO52" i="60" s="1"/>
  <c r="BJ81" i="38"/>
  <c r="BH82" i="38"/>
  <c r="W52" i="60"/>
  <c r="BJ81" i="26"/>
  <c r="BH82" i="26"/>
  <c r="AA52" i="60"/>
  <c r="BP82" i="38"/>
  <c r="BP84" i="38" s="1"/>
  <c r="K52" i="46"/>
  <c r="K220" i="46"/>
  <c r="K225" i="46" s="1"/>
  <c r="K243" i="46" s="1"/>
  <c r="K253" i="46" s="1"/>
  <c r="BI82" i="25"/>
  <c r="BI84" i="25" s="1"/>
  <c r="BJ81" i="25"/>
  <c r="T52" i="60"/>
  <c r="W82" i="26"/>
  <c r="W84" i="26" s="1"/>
  <c r="W82" i="1"/>
  <c r="W84" i="1" s="1"/>
  <c r="BJ81" i="40"/>
  <c r="BH82" i="40"/>
  <c r="Y52" i="60"/>
  <c r="W82" i="36"/>
  <c r="W84" i="36" s="1"/>
  <c r="DH81" i="40"/>
  <c r="BO82" i="40"/>
  <c r="H52" i="46"/>
  <c r="H220" i="46"/>
  <c r="H225" i="46" s="1"/>
  <c r="H243" i="46" s="1"/>
  <c r="H253" i="46" s="1"/>
  <c r="AH52" i="60"/>
  <c r="U82" i="38"/>
  <c r="AK81" i="38"/>
  <c r="BL81" i="38" s="1"/>
  <c r="U82" i="26"/>
  <c r="U84" i="26" s="1"/>
  <c r="AK81" i="26"/>
  <c r="AL52" i="60"/>
  <c r="F52" i="46"/>
  <c r="F220" i="46"/>
  <c r="F225" i="46" s="1"/>
  <c r="F243" i="46" s="1"/>
  <c r="BP82" i="26"/>
  <c r="BP84" i="26" s="1"/>
  <c r="G52" i="46"/>
  <c r="G220" i="46"/>
  <c r="G225" i="46" s="1"/>
  <c r="G243" i="46" s="1"/>
  <c r="BP82" i="1"/>
  <c r="BP84" i="1" s="1"/>
  <c r="U82" i="40"/>
  <c r="AK81" i="40"/>
  <c r="BL81" i="40" s="1"/>
  <c r="AJ52" i="60"/>
  <c r="BP82" i="36"/>
  <c r="BP84" i="36" s="1"/>
  <c r="J220" i="46"/>
  <c r="J225" i="46" s="1"/>
  <c r="J243" i="46" s="1"/>
  <c r="J253" i="46" s="1"/>
  <c r="J52" i="46"/>
  <c r="BQ82" i="40"/>
  <c r="BQ84" i="40" s="1"/>
  <c r="L41" i="64"/>
  <c r="L46" i="64" s="1"/>
  <c r="L56" i="64" s="1"/>
  <c r="BP82" i="25"/>
  <c r="BP84" i="25" s="1"/>
  <c r="BI82" i="37"/>
  <c r="BI84" i="37" s="1"/>
  <c r="U52" i="60"/>
  <c r="BJ81" i="36"/>
  <c r="BH82" i="36"/>
  <c r="W82" i="25"/>
  <c r="W84" i="25" s="1"/>
  <c r="AK81" i="25"/>
  <c r="BL81" i="25" s="1"/>
  <c r="AE52" i="60"/>
  <c r="W82" i="38"/>
  <c r="W84" i="38" s="1"/>
  <c r="U82" i="39"/>
  <c r="BQ82" i="26"/>
  <c r="BQ84" i="26" s="1"/>
  <c r="DH81" i="1"/>
  <c r="BO82" i="1"/>
  <c r="DH81" i="36"/>
  <c r="BO82" i="36"/>
  <c r="BP82" i="40"/>
  <c r="BP84" i="40" s="1"/>
  <c r="DH81" i="38"/>
  <c r="BO82" i="38"/>
  <c r="AF52" i="60"/>
  <c r="U82" i="36"/>
  <c r="AK81" i="36"/>
  <c r="L220" i="46"/>
  <c r="L225" i="46" s="1"/>
  <c r="L243" i="46" s="1"/>
  <c r="L253" i="46" s="1"/>
  <c r="L52" i="46"/>
  <c r="BQ82" i="38"/>
  <c r="BQ84" i="38" s="1"/>
  <c r="N52" i="46"/>
  <c r="N220" i="46"/>
  <c r="N225" i="46" s="1"/>
  <c r="N243" i="46" s="1"/>
  <c r="N253" i="46" s="1"/>
  <c r="DH81" i="26"/>
  <c r="BO82" i="26"/>
  <c r="BQ82" i="1"/>
  <c r="BQ84" i="1" s="1"/>
  <c r="BQ82" i="36"/>
  <c r="BQ84" i="36" s="1"/>
  <c r="W82" i="40"/>
  <c r="W84" i="40" s="1"/>
  <c r="M337" i="24"/>
  <c r="M340" i="24"/>
  <c r="I337" i="24"/>
  <c r="I340" i="24"/>
  <c r="G353" i="24"/>
  <c r="T101" i="40"/>
  <c r="T103" i="40" s="1"/>
  <c r="F342" i="24"/>
  <c r="K391" i="24"/>
  <c r="T101" i="36"/>
  <c r="T103" i="36" s="1"/>
  <c r="L391" i="24"/>
  <c r="L300" i="24"/>
  <c r="L301" i="24" s="1"/>
  <c r="AZ403" i="47"/>
  <c r="BF416" i="47" s="1"/>
  <c r="N391" i="24"/>
  <c r="T101" i="39"/>
  <c r="T103" i="39" s="1"/>
  <c r="F391" i="24"/>
  <c r="K385" i="24"/>
  <c r="AZ399" i="47"/>
  <c r="N279" i="24"/>
  <c r="F279" i="24"/>
  <c r="H279" i="24"/>
  <c r="L353" i="24"/>
  <c r="H385" i="24"/>
  <c r="U95" i="25"/>
  <c r="T84" i="41"/>
  <c r="J342" i="24"/>
  <c r="AZ397" i="47"/>
  <c r="M271" i="24"/>
  <c r="M350" i="24" s="1"/>
  <c r="M339" i="24"/>
  <c r="M272" i="24"/>
  <c r="M351" i="24" s="1"/>
  <c r="M273" i="24"/>
  <c r="M352" i="24" s="1"/>
  <c r="F385" i="24"/>
  <c r="G391" i="24"/>
  <c r="G385" i="24"/>
  <c r="L342" i="24"/>
  <c r="J385" i="24"/>
  <c r="T84" i="1"/>
  <c r="AK82" i="1"/>
  <c r="I273" i="24"/>
  <c r="I352" i="24" s="1"/>
  <c r="I272" i="24"/>
  <c r="I351" i="24" s="1"/>
  <c r="I339" i="24"/>
  <c r="I271" i="24"/>
  <c r="I350" i="24" s="1"/>
  <c r="G279" i="24"/>
  <c r="J279" i="24"/>
  <c r="T101" i="38"/>
  <c r="T103" i="38" s="1"/>
  <c r="M383" i="24"/>
  <c r="N298" i="24"/>
  <c r="N300" i="24" s="1"/>
  <c r="N301" i="24" s="1"/>
  <c r="M299" i="24"/>
  <c r="M297" i="24"/>
  <c r="M300" i="24" s="1"/>
  <c r="M301" i="24" s="1"/>
  <c r="M390" i="24"/>
  <c r="J297" i="24"/>
  <c r="J298" i="24"/>
  <c r="I383" i="24"/>
  <c r="I297" i="24"/>
  <c r="I300" i="24" s="1"/>
  <c r="I301" i="24" s="1"/>
  <c r="I299" i="24"/>
  <c r="I390" i="24"/>
  <c r="F353" i="24"/>
  <c r="G342" i="24"/>
  <c r="H353" i="24"/>
  <c r="J391" i="24"/>
  <c r="T84" i="26"/>
  <c r="AK82" i="26"/>
  <c r="T84" i="37"/>
  <c r="T84" i="25"/>
  <c r="AK82" i="25"/>
  <c r="J353" i="24"/>
  <c r="K339" i="24"/>
  <c r="K271" i="24"/>
  <c r="K350" i="24" s="1"/>
  <c r="K272" i="24"/>
  <c r="K351" i="24" s="1"/>
  <c r="K273" i="24"/>
  <c r="K352" i="24" s="1"/>
  <c r="H342" i="24"/>
  <c r="L385" i="24"/>
  <c r="N385" i="24"/>
  <c r="N353" i="24"/>
  <c r="L279" i="24"/>
  <c r="H391" i="24"/>
  <c r="BJ82" i="25"/>
  <c r="BH84" i="25"/>
  <c r="BJ84" i="25" s="1"/>
  <c r="BI81" i="41"/>
  <c r="BG249" i="47"/>
  <c r="BG231" i="47"/>
  <c r="BM46" i="3"/>
  <c r="BD234" i="47"/>
  <c r="BE244" i="47"/>
  <c r="H32" i="60"/>
  <c r="U81" i="37"/>
  <c r="L15" i="50"/>
  <c r="L42" i="46"/>
  <c r="H15" i="50"/>
  <c r="H42" i="46"/>
  <c r="H58" i="59"/>
  <c r="H32" i="59"/>
  <c r="BO81" i="41"/>
  <c r="BG244" i="47"/>
  <c r="BM32" i="3"/>
  <c r="BC234" i="47"/>
  <c r="AZ244" i="47"/>
  <c r="BC249" i="47"/>
  <c r="L32" i="60"/>
  <c r="U81" i="41"/>
  <c r="H38" i="60"/>
  <c r="BH81" i="37"/>
  <c r="P32" i="59"/>
  <c r="P58" i="59"/>
  <c r="W81" i="41"/>
  <c r="L34" i="60"/>
  <c r="L96" i="64" s="1"/>
  <c r="I58" i="59"/>
  <c r="I32" i="59"/>
  <c r="BO81" i="37"/>
  <c r="H145" i="63"/>
  <c r="H66" i="64"/>
  <c r="BB120" i="47"/>
  <c r="I47" i="46"/>
  <c r="L58" i="59"/>
  <c r="L32" i="59"/>
  <c r="BQ81" i="39"/>
  <c r="BP81" i="41"/>
  <c r="M47" i="46"/>
  <c r="L145" i="63"/>
  <c r="BF120" i="47"/>
  <c r="L66" i="64"/>
  <c r="BF117" i="47"/>
  <c r="W81" i="39"/>
  <c r="J34" i="60"/>
  <c r="AY244" i="47"/>
  <c r="BJ32" i="3"/>
  <c r="BC244" i="47"/>
  <c r="BL32" i="3"/>
  <c r="BH81" i="41"/>
  <c r="L38" i="60"/>
  <c r="N32" i="59"/>
  <c r="N58" i="59"/>
  <c r="K15" i="50"/>
  <c r="K42" i="46"/>
  <c r="G24" i="35"/>
  <c r="BQ81" i="37"/>
  <c r="BJ46" i="3"/>
  <c r="AY231" i="47"/>
  <c r="BK32" i="3"/>
  <c r="BA244" i="47"/>
  <c r="F96" i="64"/>
  <c r="G94" i="64"/>
  <c r="M58" i="59"/>
  <c r="M32" i="59"/>
  <c r="BQ81" i="41"/>
  <c r="BP81" i="37"/>
  <c r="BO81" i="39"/>
  <c r="J58" i="59"/>
  <c r="J32" i="59"/>
  <c r="H34" i="60"/>
  <c r="H96" i="64" s="1"/>
  <c r="W81" i="37"/>
  <c r="J15" i="50"/>
  <c r="J42" i="46"/>
  <c r="BB117" i="47"/>
  <c r="BP81" i="39"/>
  <c r="BB234" i="47"/>
  <c r="L94" i="64"/>
  <c r="BF234" i="47"/>
  <c r="BF249" i="47"/>
  <c r="BD249" i="47"/>
  <c r="J96" i="64"/>
  <c r="BB249" i="47"/>
  <c r="BL81" i="26" l="1"/>
  <c r="BI82" i="41"/>
  <c r="BI84" i="41" s="1"/>
  <c r="BG416" i="47"/>
  <c r="BL81" i="1"/>
  <c r="J300" i="24"/>
  <c r="J301" i="24" s="1"/>
  <c r="AU52" i="60"/>
  <c r="BL81" i="36"/>
  <c r="J97" i="64"/>
  <c r="L97" i="64"/>
  <c r="BP82" i="39"/>
  <c r="BP84" i="39" s="1"/>
  <c r="J242" i="46"/>
  <c r="J114" i="50"/>
  <c r="J117" i="50" s="1"/>
  <c r="J145" i="50" s="1"/>
  <c r="J142" i="50"/>
  <c r="W82" i="37"/>
  <c r="W84" i="37" s="1"/>
  <c r="DH81" i="39"/>
  <c r="BO82" i="39"/>
  <c r="BP82" i="37"/>
  <c r="BP84" i="37" s="1"/>
  <c r="BQ82" i="41"/>
  <c r="BQ84" i="41" s="1"/>
  <c r="G97" i="64"/>
  <c r="F97" i="64"/>
  <c r="BQ82" i="37"/>
  <c r="BQ84" i="37" s="1"/>
  <c r="G311" i="35"/>
  <c r="K242" i="46"/>
  <c r="K114" i="50"/>
  <c r="K117" i="50" s="1"/>
  <c r="K145" i="50" s="1"/>
  <c r="K142" i="50"/>
  <c r="Z52" i="60"/>
  <c r="BJ81" i="41"/>
  <c r="BH82" i="41"/>
  <c r="AI52" i="60"/>
  <c r="W82" i="39"/>
  <c r="W84" i="39" s="1"/>
  <c r="AK81" i="39"/>
  <c r="BL81" i="39" s="1"/>
  <c r="M52" i="46"/>
  <c r="M220" i="46"/>
  <c r="M225" i="46" s="1"/>
  <c r="M243" i="46" s="1"/>
  <c r="M253" i="46" s="1"/>
  <c r="BP82" i="41"/>
  <c r="BP84" i="41" s="1"/>
  <c r="BQ82" i="39"/>
  <c r="BQ84" i="39" s="1"/>
  <c r="I52" i="46"/>
  <c r="I220" i="46"/>
  <c r="I225" i="46" s="1"/>
  <c r="I243" i="46" s="1"/>
  <c r="I253" i="46" s="1"/>
  <c r="DH81" i="37"/>
  <c r="BO82" i="37"/>
  <c r="W82" i="41"/>
  <c r="W84" i="41" s="1"/>
  <c r="BJ81" i="37"/>
  <c r="BH82" i="37"/>
  <c r="V52" i="60"/>
  <c r="U82" i="41"/>
  <c r="AK81" i="41"/>
  <c r="BL81" i="41" s="1"/>
  <c r="AK52" i="60"/>
  <c r="DH81" i="41"/>
  <c r="BO82" i="41"/>
  <c r="H242" i="46"/>
  <c r="H142" i="50"/>
  <c r="H114" i="50"/>
  <c r="H117" i="50" s="1"/>
  <c r="H145" i="50" s="1"/>
  <c r="L242" i="46"/>
  <c r="L142" i="50"/>
  <c r="L114" i="50"/>
  <c r="L117" i="50" s="1"/>
  <c r="L145" i="50" s="1"/>
  <c r="U82" i="37"/>
  <c r="AK81" i="37"/>
  <c r="AG52" i="60"/>
  <c r="I391" i="24"/>
  <c r="AQ103" i="38"/>
  <c r="T104" i="38"/>
  <c r="I279" i="24"/>
  <c r="K353" i="24"/>
  <c r="T101" i="25"/>
  <c r="T103" i="25" s="1"/>
  <c r="AK84" i="25"/>
  <c r="T101" i="41"/>
  <c r="T103" i="41" s="1"/>
  <c r="DH82" i="36"/>
  <c r="BO84" i="36"/>
  <c r="DH84" i="36" s="1"/>
  <c r="AP52" i="60"/>
  <c r="U95" i="1"/>
  <c r="T101" i="26"/>
  <c r="T103" i="26" s="1"/>
  <c r="AK84" i="26"/>
  <c r="T101" i="1"/>
  <c r="T103" i="1" s="1"/>
  <c r="AK84" i="1"/>
  <c r="U97" i="25"/>
  <c r="AQ103" i="39"/>
  <c r="T104" i="39"/>
  <c r="DH82" i="38"/>
  <c r="BO84" i="38"/>
  <c r="DH84" i="38" s="1"/>
  <c r="AQ52" i="60"/>
  <c r="G253" i="46"/>
  <c r="U84" i="38"/>
  <c r="AK82" i="38"/>
  <c r="AW52" i="60"/>
  <c r="AS52" i="60"/>
  <c r="DH82" i="25"/>
  <c r="BO84" i="25"/>
  <c r="DH84" i="25" s="1"/>
  <c r="BJ82" i="39"/>
  <c r="BH84" i="39"/>
  <c r="BJ84" i="39" s="1"/>
  <c r="BL84" i="25"/>
  <c r="K279" i="24"/>
  <c r="M391" i="24"/>
  <c r="M385" i="24"/>
  <c r="BL82" i="25"/>
  <c r="T101" i="37"/>
  <c r="T103" i="37" s="1"/>
  <c r="K342" i="24"/>
  <c r="I385" i="24"/>
  <c r="I353" i="24"/>
  <c r="M279" i="24"/>
  <c r="M342" i="24"/>
  <c r="DH82" i="26"/>
  <c r="BO84" i="26"/>
  <c r="DH84" i="26" s="1"/>
  <c r="U84" i="36"/>
  <c r="AK82" i="36"/>
  <c r="DH82" i="1"/>
  <c r="BO84" i="1"/>
  <c r="DH84" i="1" s="1"/>
  <c r="U84" i="39"/>
  <c r="AK82" i="39"/>
  <c r="BL82" i="39" s="1"/>
  <c r="U84" i="40"/>
  <c r="AK82" i="40"/>
  <c r="F253" i="46"/>
  <c r="DH82" i="40"/>
  <c r="BO84" i="40"/>
  <c r="DH84" i="40" s="1"/>
  <c r="M353" i="24"/>
  <c r="BH416" i="47"/>
  <c r="BI416" i="47" s="1"/>
  <c r="AQ103" i="36"/>
  <c r="T104" i="36"/>
  <c r="AQ103" i="40"/>
  <c r="T104" i="40"/>
  <c r="I342" i="24"/>
  <c r="BJ82" i="36"/>
  <c r="BH84" i="36"/>
  <c r="BJ84" i="36" s="1"/>
  <c r="U95" i="26"/>
  <c r="BJ82" i="40"/>
  <c r="BH84" i="40"/>
  <c r="BJ84" i="40" s="1"/>
  <c r="BJ82" i="26"/>
  <c r="BL82" i="26" s="1"/>
  <c r="BH84" i="26"/>
  <c r="BJ84" i="26" s="1"/>
  <c r="BJ82" i="38"/>
  <c r="BH84" i="38"/>
  <c r="BJ84" i="38" s="1"/>
  <c r="BJ82" i="1"/>
  <c r="BL82" i="1" s="1"/>
  <c r="BH84" i="1"/>
  <c r="BJ84" i="1" s="1"/>
  <c r="AT52" i="60"/>
  <c r="BK35" i="3"/>
  <c r="BJ48" i="3"/>
  <c r="BL35" i="3"/>
  <c r="BJ35" i="3"/>
  <c r="BF244" i="47"/>
  <c r="BM38" i="3"/>
  <c r="BM49" i="3"/>
  <c r="G113" i="64"/>
  <c r="BA158" i="47"/>
  <c r="N15" i="50"/>
  <c r="N42" i="46"/>
  <c r="G15" i="51"/>
  <c r="BC158" i="47"/>
  <c r="I113" i="64"/>
  <c r="BL46" i="3"/>
  <c r="BC231" i="47"/>
  <c r="BK34" i="3"/>
  <c r="BJ49" i="3"/>
  <c r="BL37" i="3"/>
  <c r="BJ34" i="3"/>
  <c r="BM35" i="3"/>
  <c r="BM36" i="3"/>
  <c r="BM51" i="3"/>
  <c r="G42" i="46"/>
  <c r="G15" i="50"/>
  <c r="M42" i="46"/>
  <c r="M15" i="50"/>
  <c r="O32" i="59"/>
  <c r="O58" i="59"/>
  <c r="BK46" i="3"/>
  <c r="BA231" i="47"/>
  <c r="BD231" i="47"/>
  <c r="N24" i="35"/>
  <c r="BE231" i="47"/>
  <c r="I15" i="50"/>
  <c r="I42" i="46"/>
  <c r="BB244" i="47"/>
  <c r="BK37" i="3"/>
  <c r="BK36" i="3"/>
  <c r="BJ51" i="3"/>
  <c r="BL34" i="3"/>
  <c r="BJ37" i="3"/>
  <c r="BJ36" i="3"/>
  <c r="BD244" i="47"/>
  <c r="BM34" i="3"/>
  <c r="H94" i="64"/>
  <c r="BM50" i="3"/>
  <c r="F24" i="35"/>
  <c r="F42" i="46"/>
  <c r="BE158" i="47"/>
  <c r="K113" i="64"/>
  <c r="BK38" i="3"/>
  <c r="BJ50" i="3"/>
  <c r="BL36" i="3"/>
  <c r="BL38" i="3"/>
  <c r="BJ38" i="3"/>
  <c r="BM37" i="3"/>
  <c r="BM48" i="3"/>
  <c r="K58" i="59"/>
  <c r="K32" i="59"/>
  <c r="AZ158" i="47"/>
  <c r="F113" i="64"/>
  <c r="AY36" i="3"/>
  <c r="M113" i="64"/>
  <c r="BG158" i="47"/>
  <c r="AY158" i="47"/>
  <c r="AX36" i="3"/>
  <c r="E113" i="64"/>
  <c r="BL81" i="37" l="1"/>
  <c r="AY261" i="47"/>
  <c r="BG261" i="47"/>
  <c r="AZ261" i="47"/>
  <c r="BE261" i="47"/>
  <c r="F242" i="46"/>
  <c r="F311" i="35"/>
  <c r="H97" i="64"/>
  <c r="I242" i="46"/>
  <c r="I114" i="50"/>
  <c r="I117" i="50" s="1"/>
  <c r="I145" i="50" s="1"/>
  <c r="I142" i="50"/>
  <c r="N311" i="35"/>
  <c r="M114" i="50"/>
  <c r="M117" i="50" s="1"/>
  <c r="M145" i="50" s="1"/>
  <c r="M142" i="50"/>
  <c r="M242" i="46"/>
  <c r="G114" i="50"/>
  <c r="G117" i="50" s="1"/>
  <c r="G145" i="50" s="1"/>
  <c r="G142" i="50"/>
  <c r="G242" i="46"/>
  <c r="BC261" i="47"/>
  <c r="G78" i="51"/>
  <c r="G83" i="51" s="1"/>
  <c r="G87" i="51" s="1" a="1"/>
  <c r="G87" i="51" s="1"/>
  <c r="G119" i="51" s="1"/>
  <c r="N242" i="46"/>
  <c r="N142" i="50"/>
  <c r="N114" i="50"/>
  <c r="N117" i="50" s="1"/>
  <c r="N145" i="50" s="1"/>
  <c r="BA261" i="47"/>
  <c r="BL82" i="40"/>
  <c r="DH112" i="1"/>
  <c r="DH112" i="26"/>
  <c r="DH112" i="25"/>
  <c r="T106" i="39"/>
  <c r="BL84" i="1"/>
  <c r="L184" i="50"/>
  <c r="L147" i="50"/>
  <c r="M146" i="50"/>
  <c r="DH82" i="37"/>
  <c r="BO84" i="37"/>
  <c r="DH84" i="37" s="1"/>
  <c r="G316" i="35"/>
  <c r="J247" i="46"/>
  <c r="J252" i="46"/>
  <c r="J356" i="46"/>
  <c r="J336" i="46"/>
  <c r="AQ104" i="40"/>
  <c r="T106" i="36"/>
  <c r="DH112" i="40"/>
  <c r="BL82" i="36"/>
  <c r="AQ103" i="1"/>
  <c r="T104" i="1"/>
  <c r="U97" i="1"/>
  <c r="T106" i="38"/>
  <c r="H247" i="46"/>
  <c r="H252" i="46"/>
  <c r="H356" i="46"/>
  <c r="H336" i="46"/>
  <c r="BJ82" i="37"/>
  <c r="BH84" i="37"/>
  <c r="BJ84" i="37" s="1"/>
  <c r="BJ82" i="41"/>
  <c r="BH84" i="41"/>
  <c r="BJ84" i="41" s="1"/>
  <c r="AQ103" i="37"/>
  <c r="T104" i="37"/>
  <c r="U95" i="40"/>
  <c r="AK84" i="40"/>
  <c r="BL84" i="40" s="1"/>
  <c r="U97" i="26"/>
  <c r="T106" i="40"/>
  <c r="U95" i="39"/>
  <c r="AK84" i="39"/>
  <c r="BL84" i="39" s="1"/>
  <c r="U95" i="36"/>
  <c r="AK84" i="36"/>
  <c r="BL84" i="36" s="1"/>
  <c r="BL82" i="38"/>
  <c r="AQ104" i="39"/>
  <c r="BL84" i="26"/>
  <c r="AQ103" i="41"/>
  <c r="T104" i="41"/>
  <c r="AQ103" i="25"/>
  <c r="T104" i="25"/>
  <c r="L252" i="46"/>
  <c r="L247" i="46"/>
  <c r="L356" i="46"/>
  <c r="L336" i="46"/>
  <c r="DH82" i="41"/>
  <c r="BO84" i="41"/>
  <c r="DH84" i="41" s="1"/>
  <c r="U84" i="41"/>
  <c r="AK82" i="41"/>
  <c r="BL82" i="41" s="1"/>
  <c r="L146" i="50"/>
  <c r="K147" i="50"/>
  <c r="K184" i="50"/>
  <c r="AQ104" i="36"/>
  <c r="U95" i="38"/>
  <c r="AK84" i="38"/>
  <c r="BL84" i="38" s="1"/>
  <c r="DH112" i="38"/>
  <c r="AQ103" i="26"/>
  <c r="T104" i="26"/>
  <c r="DH112" i="36"/>
  <c r="AQ104" i="38"/>
  <c r="U84" i="37"/>
  <c r="AK82" i="37"/>
  <c r="H184" i="50"/>
  <c r="H147" i="50"/>
  <c r="I146" i="50"/>
  <c r="AR52" i="60"/>
  <c r="AV52" i="60"/>
  <c r="K252" i="46"/>
  <c r="K247" i="46"/>
  <c r="K356" i="46"/>
  <c r="K336" i="46"/>
  <c r="DH82" i="39"/>
  <c r="BO84" i="39"/>
  <c r="DH84" i="39" s="1"/>
  <c r="K146" i="50"/>
  <c r="J184" i="50"/>
  <c r="J147" i="50"/>
  <c r="BK51" i="3"/>
  <c r="BL50" i="3"/>
  <c r="H113" i="64"/>
  <c r="BB158" i="47"/>
  <c r="BB231" i="47"/>
  <c r="BK48" i="3"/>
  <c r="BL51" i="3"/>
  <c r="N15" i="51"/>
  <c r="K24" i="35"/>
  <c r="H24" i="35"/>
  <c r="L113" i="64"/>
  <c r="BF158" i="47"/>
  <c r="J24" i="35"/>
  <c r="BK49" i="3"/>
  <c r="BL48" i="3"/>
  <c r="F15" i="51"/>
  <c r="BD158" i="47"/>
  <c r="J113" i="64"/>
  <c r="BK50" i="3"/>
  <c r="BL49" i="3"/>
  <c r="L24" i="35"/>
  <c r="BF231" i="47"/>
  <c r="CY98" i="25"/>
  <c r="K148" i="50" l="1"/>
  <c r="BL82" i="37"/>
  <c r="L148" i="50"/>
  <c r="DH98" i="25"/>
  <c r="L311" i="35"/>
  <c r="BD261" i="47"/>
  <c r="F78" i="51"/>
  <c r="F83" i="51" s="1"/>
  <c r="F87" i="51" s="1" a="1"/>
  <c r="F87" i="51" s="1"/>
  <c r="F119" i="51" s="1"/>
  <c r="J311" i="35"/>
  <c r="BF261" i="47"/>
  <c r="H311" i="35"/>
  <c r="K311" i="35"/>
  <c r="N78" i="51"/>
  <c r="N83" i="51"/>
  <c r="BB261" i="47"/>
  <c r="G120" i="51"/>
  <c r="U95" i="41"/>
  <c r="AK84" i="41"/>
  <c r="BL84" i="41" s="1"/>
  <c r="AQ104" i="41"/>
  <c r="U97" i="40"/>
  <c r="AQ104" i="37"/>
  <c r="T109" i="38"/>
  <c r="AQ104" i="1"/>
  <c r="J311" i="46"/>
  <c r="BA270" i="47"/>
  <c r="G147" i="50"/>
  <c r="G148" i="50" s="1"/>
  <c r="G184" i="50"/>
  <c r="H146" i="50"/>
  <c r="H148" i="50" s="1"/>
  <c r="F356" i="46"/>
  <c r="F252" i="46"/>
  <c r="F247" i="46"/>
  <c r="F336" i="46"/>
  <c r="AZ270" i="47"/>
  <c r="BG270" i="47"/>
  <c r="DH112" i="39"/>
  <c r="H257" i="46"/>
  <c r="H366" i="46"/>
  <c r="H376" i="46" s="1"/>
  <c r="H346" i="46"/>
  <c r="T109" i="36"/>
  <c r="T109" i="39"/>
  <c r="N147" i="50"/>
  <c r="N184" i="50"/>
  <c r="G107" i="51"/>
  <c r="M247" i="46"/>
  <c r="M252" i="46"/>
  <c r="M356" i="46"/>
  <c r="M336" i="46"/>
  <c r="K257" i="46"/>
  <c r="K366" i="46"/>
  <c r="K376" i="46" s="1"/>
  <c r="K346" i="46"/>
  <c r="AQ106" i="38"/>
  <c r="AQ109" i="38" s="1"/>
  <c r="AQ104" i="26"/>
  <c r="U97" i="38"/>
  <c r="AQ104" i="25"/>
  <c r="T109" i="40"/>
  <c r="K311" i="46"/>
  <c r="DH112" i="41"/>
  <c r="L257" i="46"/>
  <c r="L366" i="46"/>
  <c r="L376" i="46" s="1"/>
  <c r="L346" i="46"/>
  <c r="T106" i="41"/>
  <c r="U97" i="36"/>
  <c r="U97" i="39"/>
  <c r="T106" i="37"/>
  <c r="T106" i="1"/>
  <c r="J257" i="46"/>
  <c r="J366" i="46"/>
  <c r="J376" i="46" s="1"/>
  <c r="J346" i="46"/>
  <c r="G252" i="46"/>
  <c r="G247" i="46"/>
  <c r="G336" i="46"/>
  <c r="G356" i="46" s="1"/>
  <c r="J146" i="50"/>
  <c r="J148" i="50" s="1"/>
  <c r="I184" i="50"/>
  <c r="I147" i="50"/>
  <c r="I148" i="50" s="1"/>
  <c r="BE270" i="47"/>
  <c r="AY270" i="47"/>
  <c r="U95" i="37"/>
  <c r="AK84" i="37"/>
  <c r="BL84" i="37" s="1"/>
  <c r="AZ416" i="47"/>
  <c r="BF381" i="47" s="1"/>
  <c r="BH381" i="47" s="1"/>
  <c r="BI381" i="47" s="1"/>
  <c r="T106" i="26"/>
  <c r="AQ106" i="36"/>
  <c r="AQ109" i="36" s="1"/>
  <c r="L311" i="46"/>
  <c r="T106" i="25"/>
  <c r="AQ106" i="39"/>
  <c r="AQ109" i="39" s="1"/>
  <c r="H311" i="46"/>
  <c r="AQ106" i="40"/>
  <c r="AQ109" i="40" s="1"/>
  <c r="DH112" i="37"/>
  <c r="N252" i="46"/>
  <c r="N247" i="46"/>
  <c r="N356" i="46"/>
  <c r="N336" i="46"/>
  <c r="BC270" i="47"/>
  <c r="N146" i="50"/>
  <c r="N148" i="50" s="1"/>
  <c r="M184" i="50"/>
  <c r="M147" i="50"/>
  <c r="M148" i="50" s="1"/>
  <c r="N316" i="35"/>
  <c r="I247" i="46"/>
  <c r="I252" i="46"/>
  <c r="I336" i="46"/>
  <c r="I356" i="46" s="1"/>
  <c r="F316" i="35"/>
  <c r="I24" i="35"/>
  <c r="J51" i="60"/>
  <c r="J36" i="65"/>
  <c r="BD30" i="47"/>
  <c r="J93" i="63"/>
  <c r="J20" i="63"/>
  <c r="BD81" i="47"/>
  <c r="F17" i="60"/>
  <c r="U98" i="25"/>
  <c r="AZ220" i="47"/>
  <c r="K51" i="60"/>
  <c r="K93" i="63"/>
  <c r="K36" i="65"/>
  <c r="BE30" i="47"/>
  <c r="K20" i="63"/>
  <c r="M24" i="35"/>
  <c r="BC81" i="47"/>
  <c r="BE81" i="47"/>
  <c r="H15" i="51"/>
  <c r="G51" i="60"/>
  <c r="G36" i="65"/>
  <c r="G93" i="63"/>
  <c r="BK25" i="3"/>
  <c r="G20" i="63"/>
  <c r="BA30" i="47"/>
  <c r="L15" i="51"/>
  <c r="BA81" i="47"/>
  <c r="I51" i="60"/>
  <c r="I20" i="63"/>
  <c r="I93" i="63"/>
  <c r="BC30" i="47"/>
  <c r="I36" i="65"/>
  <c r="BL25" i="3"/>
  <c r="J15" i="51"/>
  <c r="K15" i="51"/>
  <c r="CY98" i="1"/>
  <c r="DH98" i="1" l="1"/>
  <c r="K78" i="51"/>
  <c r="K83" i="51" s="1"/>
  <c r="K87" i="51" s="1" a="1"/>
  <c r="K87" i="51" s="1"/>
  <c r="K119" i="51" s="1"/>
  <c r="J78" i="51"/>
  <c r="J83" i="51"/>
  <c r="J87" i="51" s="1" a="1"/>
  <c r="J87" i="51" s="1"/>
  <c r="J119" i="51" s="1"/>
  <c r="I74" i="65"/>
  <c r="BC113" i="47"/>
  <c r="BC114" i="47" s="1"/>
  <c r="BC290" i="47"/>
  <c r="BC31" i="47"/>
  <c r="I110" i="63"/>
  <c r="I121" i="63"/>
  <c r="W17" i="60"/>
  <c r="AS17" i="60" s="1"/>
  <c r="BA82" i="47"/>
  <c r="L78" i="51"/>
  <c r="L83" i="51" s="1"/>
  <c r="L87" i="51" s="1" a="1"/>
  <c r="L87" i="51" s="1"/>
  <c r="L119" i="51" s="1"/>
  <c r="BA113" i="47"/>
  <c r="BA114" i="47" s="1"/>
  <c r="BA290" i="47"/>
  <c r="BA31" i="47"/>
  <c r="G110" i="63"/>
  <c r="G121" i="63"/>
  <c r="G74" i="65"/>
  <c r="U17" i="60"/>
  <c r="AQ17" i="60" s="1"/>
  <c r="H78" i="51"/>
  <c r="BE82" i="47"/>
  <c r="BC82" i="47"/>
  <c r="M311" i="35"/>
  <c r="BE290" i="47"/>
  <c r="BE113" i="47"/>
  <c r="BE114" i="47" s="1"/>
  <c r="BE31" i="47"/>
  <c r="K74" i="65"/>
  <c r="K110" i="63"/>
  <c r="K121" i="63"/>
  <c r="Y17" i="60"/>
  <c r="AU17" i="60" s="1"/>
  <c r="AZ225" i="47"/>
  <c r="U99" i="25"/>
  <c r="T10" i="60"/>
  <c r="F101" i="60"/>
  <c r="BD82" i="47"/>
  <c r="J110" i="63"/>
  <c r="J121" i="63"/>
  <c r="BD290" i="47"/>
  <c r="BD113" i="47"/>
  <c r="BD114" i="47" s="1"/>
  <c r="BD31" i="47"/>
  <c r="J74" i="65"/>
  <c r="X17" i="60"/>
  <c r="AT17" i="60" s="1"/>
  <c r="I311" i="35"/>
  <c r="F120" i="51"/>
  <c r="G311" i="46"/>
  <c r="L324" i="46"/>
  <c r="M311" i="46"/>
  <c r="DH113" i="36"/>
  <c r="DH114" i="36" s="1"/>
  <c r="J337" i="46"/>
  <c r="J312" i="46" s="1"/>
  <c r="J338" i="46" s="1"/>
  <c r="BB270" i="47"/>
  <c r="K316" i="35"/>
  <c r="J316" i="35"/>
  <c r="BD270" i="47"/>
  <c r="H337" i="46"/>
  <c r="H312" i="46" s="1"/>
  <c r="T109" i="25"/>
  <c r="J324" i="46"/>
  <c r="T109" i="1"/>
  <c r="DH113" i="40"/>
  <c r="DH114" i="40" s="1"/>
  <c r="K324" i="46"/>
  <c r="H324" i="46"/>
  <c r="F311" i="46"/>
  <c r="DH113" i="38"/>
  <c r="DH114" i="38" s="1"/>
  <c r="U97" i="41"/>
  <c r="H316" i="35"/>
  <c r="L316" i="35"/>
  <c r="I257" i="46"/>
  <c r="I346" i="46"/>
  <c r="I366" i="46" s="1"/>
  <c r="I376" i="46" s="1"/>
  <c r="N257" i="46"/>
  <c r="N366" i="46"/>
  <c r="N376" i="46" s="1"/>
  <c r="N346" i="46"/>
  <c r="L337" i="46"/>
  <c r="L312" i="46" s="1"/>
  <c r="T109" i="26"/>
  <c r="AQ106" i="26"/>
  <c r="AQ109" i="26" s="1"/>
  <c r="M257" i="46"/>
  <c r="M366" i="46"/>
  <c r="M376" i="46" s="1"/>
  <c r="M346" i="46"/>
  <c r="DH113" i="39"/>
  <c r="DH114" i="39" s="1"/>
  <c r="AQ106" i="41"/>
  <c r="AQ109" i="41" s="1"/>
  <c r="AZ381" i="47"/>
  <c r="N87" i="51" a="1"/>
  <c r="N87" i="51" s="1"/>
  <c r="N119" i="51" s="1"/>
  <c r="F107" i="51"/>
  <c r="I311" i="46"/>
  <c r="N311" i="46"/>
  <c r="U97" i="37"/>
  <c r="G257" i="46"/>
  <c r="G346" i="46"/>
  <c r="G366" i="46" s="1"/>
  <c r="G376" i="46" s="1"/>
  <c r="T109" i="37"/>
  <c r="T109" i="41"/>
  <c r="K337" i="46"/>
  <c r="K312" i="46"/>
  <c r="AQ106" i="25"/>
  <c r="AQ109" i="25" s="1"/>
  <c r="F366" i="46"/>
  <c r="F376" i="46" s="1"/>
  <c r="F346" i="46"/>
  <c r="F257" i="46"/>
  <c r="AQ106" i="1"/>
  <c r="AQ109" i="1" s="1"/>
  <c r="AQ106" i="37"/>
  <c r="AQ109" i="37" s="1"/>
  <c r="N107" i="51"/>
  <c r="BF270" i="47"/>
  <c r="CY98" i="38"/>
  <c r="AZ81" i="47"/>
  <c r="AY81" i="47"/>
  <c r="M15" i="51"/>
  <c r="BG81" i="47"/>
  <c r="F51" i="60"/>
  <c r="F36" i="65"/>
  <c r="F93" i="63"/>
  <c r="F20" i="63"/>
  <c r="AZ30" i="47"/>
  <c r="CY98" i="26"/>
  <c r="CY98" i="39"/>
  <c r="I15" i="51"/>
  <c r="BB81" i="47"/>
  <c r="E51" i="60"/>
  <c r="E93" i="63"/>
  <c r="E20" i="63"/>
  <c r="BJ25" i="3"/>
  <c r="AY30" i="47"/>
  <c r="E36" i="65"/>
  <c r="M17" i="60"/>
  <c r="U98" i="26"/>
  <c r="BG220" i="47"/>
  <c r="BF81" i="47"/>
  <c r="H51" i="60"/>
  <c r="H36" i="65"/>
  <c r="H93" i="63"/>
  <c r="BB30" i="47"/>
  <c r="H20" i="63"/>
  <c r="AZ232" i="47"/>
  <c r="M51" i="60"/>
  <c r="M36" i="65"/>
  <c r="BG30" i="47"/>
  <c r="BM25" i="3"/>
  <c r="M93" i="63"/>
  <c r="M20" i="63"/>
  <c r="L51" i="60"/>
  <c r="L93" i="63"/>
  <c r="L20" i="63"/>
  <c r="BF30" i="47"/>
  <c r="L36" i="65"/>
  <c r="E17" i="60"/>
  <c r="U98" i="1"/>
  <c r="AY220" i="47"/>
  <c r="CY98" i="40"/>
  <c r="DH98" i="40" l="1"/>
  <c r="AY225" i="47"/>
  <c r="U99" i="1"/>
  <c r="S10" i="60"/>
  <c r="E101" i="60"/>
  <c r="L74" i="65"/>
  <c r="BF290" i="47"/>
  <c r="BF113" i="47"/>
  <c r="BF114" i="47" s="1"/>
  <c r="BF31" i="47"/>
  <c r="L110" i="63"/>
  <c r="L121" i="63"/>
  <c r="Z17" i="60"/>
  <c r="AV17" i="60" s="1"/>
  <c r="M110" i="63"/>
  <c r="M121" i="63"/>
  <c r="BG290" i="47"/>
  <c r="BG113" i="47"/>
  <c r="BG114" i="47" s="1"/>
  <c r="BG31" i="47"/>
  <c r="M74" i="65"/>
  <c r="AA17" i="60"/>
  <c r="AW17" i="60" s="1"/>
  <c r="AZ265" i="47"/>
  <c r="AZ253" i="47"/>
  <c r="AZ264" i="47"/>
  <c r="BB290" i="47"/>
  <c r="BB113" i="47"/>
  <c r="BB114" i="47" s="1"/>
  <c r="BB31" i="47"/>
  <c r="H110" i="63"/>
  <c r="H121" i="63"/>
  <c r="H74" i="65"/>
  <c r="V17" i="60"/>
  <c r="AR17" i="60" s="1"/>
  <c r="BF82" i="47"/>
  <c r="BG225" i="47"/>
  <c r="U99" i="26"/>
  <c r="M101" i="60"/>
  <c r="AA10" i="60"/>
  <c r="E74" i="65"/>
  <c r="AY290" i="47"/>
  <c r="AY113" i="47"/>
  <c r="AY114" i="47" s="1"/>
  <c r="AY31" i="47"/>
  <c r="E110" i="63"/>
  <c r="E121" i="63"/>
  <c r="S17" i="60"/>
  <c r="AO17" i="60" s="1"/>
  <c r="BB82" i="47"/>
  <c r="I78" i="51"/>
  <c r="I83" i="51" s="1"/>
  <c r="I87" i="51" s="1" a="1"/>
  <c r="I87" i="51" s="1"/>
  <c r="I119" i="51" s="1"/>
  <c r="DH98" i="39"/>
  <c r="DH98" i="26"/>
  <c r="AZ113" i="47"/>
  <c r="AZ114" i="47" s="1"/>
  <c r="AZ290" i="47"/>
  <c r="AZ31" i="47"/>
  <c r="F110" i="63"/>
  <c r="F121" i="63"/>
  <c r="F74" i="65"/>
  <c r="T17" i="60"/>
  <c r="AP17" i="60" s="1"/>
  <c r="BG82" i="47"/>
  <c r="M78" i="51"/>
  <c r="M83" i="51" s="1"/>
  <c r="M87" i="51" s="1" a="1"/>
  <c r="M87" i="51" s="1"/>
  <c r="M119" i="51" s="1"/>
  <c r="AY82" i="47"/>
  <c r="AZ82" i="47"/>
  <c r="DH98" i="38"/>
  <c r="H338" i="46"/>
  <c r="H358" i="46" s="1"/>
  <c r="L120" i="51"/>
  <c r="I316" i="35"/>
  <c r="M316" i="35"/>
  <c r="H107" i="51"/>
  <c r="K357" i="46"/>
  <c r="M324" i="46"/>
  <c r="L357" i="46"/>
  <c r="I324" i="46"/>
  <c r="J347" i="46"/>
  <c r="J325" i="46" s="1"/>
  <c r="J357" i="46"/>
  <c r="M337" i="46"/>
  <c r="M312" i="46" s="1"/>
  <c r="U101" i="25"/>
  <c r="I132" i="63"/>
  <c r="J107" i="51"/>
  <c r="K338" i="46"/>
  <c r="K358" i="46" s="1"/>
  <c r="DH113" i="41"/>
  <c r="DH114" i="41" s="1"/>
  <c r="L338" i="46"/>
  <c r="L358" i="46" s="1"/>
  <c r="DH113" i="37"/>
  <c r="DH114" i="37" s="1"/>
  <c r="I337" i="46"/>
  <c r="I312" i="46" s="1"/>
  <c r="H347" i="46"/>
  <c r="H325" i="46" s="1"/>
  <c r="H357" i="46"/>
  <c r="G337" i="46"/>
  <c r="G312" i="46"/>
  <c r="G338" i="46" s="1"/>
  <c r="J132" i="63"/>
  <c r="K120" i="51"/>
  <c r="F324" i="46"/>
  <c r="N120" i="51"/>
  <c r="N324" i="46"/>
  <c r="G132" i="63"/>
  <c r="L107" i="51"/>
  <c r="G324" i="46"/>
  <c r="N337" i="46"/>
  <c r="N312" i="46" s="1"/>
  <c r="BF374" i="47"/>
  <c r="BH374" i="47" s="1"/>
  <c r="BI374" i="47" s="1"/>
  <c r="DH113" i="26"/>
  <c r="DH114" i="26" s="1"/>
  <c r="L347" i="46"/>
  <c r="L325" i="46" s="1"/>
  <c r="L348" i="46" s="1"/>
  <c r="K132" i="63"/>
  <c r="H83" i="51"/>
  <c r="H87" i="51" s="1" a="1"/>
  <c r="H87" i="51" s="1"/>
  <c r="H119" i="51" s="1"/>
  <c r="K107" i="51"/>
  <c r="F337" i="46"/>
  <c r="K347" i="46"/>
  <c r="K325" i="46"/>
  <c r="DH113" i="1"/>
  <c r="DH114" i="1" s="1"/>
  <c r="DH113" i="25"/>
  <c r="DH114" i="25" s="1"/>
  <c r="J313" i="46"/>
  <c r="J358" i="46"/>
  <c r="J120" i="51"/>
  <c r="BG232" i="47"/>
  <c r="BM47" i="3"/>
  <c r="J17" i="60"/>
  <c r="U98" i="39"/>
  <c r="BD220" i="47"/>
  <c r="BC220" i="47"/>
  <c r="I17" i="60"/>
  <c r="U98" i="38"/>
  <c r="U98" i="40"/>
  <c r="BE220" i="47"/>
  <c r="K17" i="60"/>
  <c r="CY98" i="36"/>
  <c r="CY98" i="37"/>
  <c r="U98" i="36"/>
  <c r="G17" i="60"/>
  <c r="BA220" i="47"/>
  <c r="G9" i="45"/>
  <c r="BJ47" i="3"/>
  <c r="AY232" i="47"/>
  <c r="CY98" i="41"/>
  <c r="H313" i="46" l="1"/>
  <c r="H339" i="46" s="1"/>
  <c r="H314" i="46" s="1"/>
  <c r="H340" i="46" s="1"/>
  <c r="H315" i="46" s="1"/>
  <c r="H316" i="46" s="1"/>
  <c r="H388" i="46" s="1"/>
  <c r="DH98" i="41"/>
  <c r="AY253" i="47"/>
  <c r="AY264" i="47"/>
  <c r="AY265" i="47"/>
  <c r="G61" i="45"/>
  <c r="BA225" i="47"/>
  <c r="G101" i="60"/>
  <c r="U10" i="60"/>
  <c r="U99" i="36"/>
  <c r="DH98" i="37"/>
  <c r="DH98" i="36"/>
  <c r="Y10" i="60"/>
  <c r="K101" i="60"/>
  <c r="BE225" i="47"/>
  <c r="U99" i="40"/>
  <c r="U99" i="38"/>
  <c r="I101" i="60"/>
  <c r="W10" i="60"/>
  <c r="BC225" i="47"/>
  <c r="BD225" i="47"/>
  <c r="U99" i="39"/>
  <c r="X10" i="60"/>
  <c r="J101" i="60"/>
  <c r="BG265" i="47"/>
  <c r="BG253" i="47"/>
  <c r="BG264" i="47"/>
  <c r="M338" i="46"/>
  <c r="M358" i="46" s="1"/>
  <c r="J348" i="46"/>
  <c r="J368" i="46" s="1"/>
  <c r="J378" i="46" s="1"/>
  <c r="M120" i="51"/>
  <c r="L367" i="46"/>
  <c r="L377" i="46" s="1"/>
  <c r="N338" i="46"/>
  <c r="N358" i="46" s="1"/>
  <c r="N347" i="46"/>
  <c r="N325" i="46"/>
  <c r="G313" i="46"/>
  <c r="G339" i="46" s="1"/>
  <c r="G314" i="46" s="1"/>
  <c r="G358" i="46"/>
  <c r="H348" i="46"/>
  <c r="H368" i="46" s="1"/>
  <c r="H378" i="46" s="1"/>
  <c r="H326" i="46"/>
  <c r="H349" i="46" s="1"/>
  <c r="H327" i="46" s="1"/>
  <c r="I347" i="46"/>
  <c r="I325" i="46" s="1"/>
  <c r="M347" i="46"/>
  <c r="M325" i="46"/>
  <c r="K367" i="46"/>
  <c r="K377" i="46" s="1"/>
  <c r="N357" i="46"/>
  <c r="G357" i="46"/>
  <c r="H367" i="46"/>
  <c r="H377" i="46" s="1"/>
  <c r="F132" i="63"/>
  <c r="H132" i="63"/>
  <c r="G490" i="34"/>
  <c r="G481" i="17"/>
  <c r="G351" i="13"/>
  <c r="G482" i="17"/>
  <c r="G473" i="17"/>
  <c r="G348" i="13"/>
  <c r="G286" i="7"/>
  <c r="G493" i="34"/>
  <c r="G474" i="17"/>
  <c r="G287" i="7"/>
  <c r="G980" i="4"/>
  <c r="G988" i="4"/>
  <c r="G981" i="4"/>
  <c r="G989" i="4"/>
  <c r="G277" i="24"/>
  <c r="G276" i="24" s="1"/>
  <c r="U101" i="1"/>
  <c r="L326" i="46"/>
  <c r="L368" i="46"/>
  <c r="L378" i="46" s="1"/>
  <c r="I338" i="46"/>
  <c r="I358" i="46" s="1"/>
  <c r="J367" i="46"/>
  <c r="J377" i="46" s="1"/>
  <c r="M107" i="51"/>
  <c r="I120" i="51"/>
  <c r="L132" i="63"/>
  <c r="H120" i="51"/>
  <c r="G347" i="46"/>
  <c r="G325" i="46" s="1"/>
  <c r="I357" i="46"/>
  <c r="L313" i="46"/>
  <c r="K313" i="46"/>
  <c r="K339" i="46" s="1"/>
  <c r="I107" i="51"/>
  <c r="F357" i="46"/>
  <c r="M357" i="46"/>
  <c r="J339" i="46"/>
  <c r="F312" i="46"/>
  <c r="K348" i="46"/>
  <c r="K368" i="46" s="1"/>
  <c r="K378" i="46" s="1"/>
  <c r="F347" i="46"/>
  <c r="F325" i="46" s="1"/>
  <c r="E132" i="63"/>
  <c r="U101" i="26"/>
  <c r="M132" i="63"/>
  <c r="BL47" i="3"/>
  <c r="BC232" i="47"/>
  <c r="H17" i="60"/>
  <c r="BB220" i="47"/>
  <c r="U98" i="37"/>
  <c r="BK47" i="3"/>
  <c r="BA232" i="47"/>
  <c r="BE232" i="47"/>
  <c r="F9" i="45"/>
  <c r="U98" i="41"/>
  <c r="BF220" i="47"/>
  <c r="L17" i="60"/>
  <c r="BD232" i="47"/>
  <c r="N9" i="45"/>
  <c r="I313" i="46" l="1"/>
  <c r="I339" i="46" s="1"/>
  <c r="I314" i="46" s="1"/>
  <c r="N313" i="46"/>
  <c r="K326" i="46"/>
  <c r="K349" i="46" s="1"/>
  <c r="K327" i="46" s="1"/>
  <c r="N61" i="45"/>
  <c r="BD265" i="47"/>
  <c r="BD264" i="47"/>
  <c r="BD253" i="47"/>
  <c r="L101" i="60"/>
  <c r="Z10" i="60"/>
  <c r="BF225" i="47"/>
  <c r="U99" i="41"/>
  <c r="F61" i="45"/>
  <c r="BE253" i="47"/>
  <c r="BE265" i="47"/>
  <c r="BE264" i="47"/>
  <c r="BA253" i="47"/>
  <c r="BA265" i="47"/>
  <c r="BA264" i="47"/>
  <c r="U99" i="37"/>
  <c r="BB225" i="47"/>
  <c r="H101" i="60"/>
  <c r="V10" i="60"/>
  <c r="BC265" i="47"/>
  <c r="BC264" i="47"/>
  <c r="BC253" i="47"/>
  <c r="G348" i="46"/>
  <c r="G368" i="46" s="1"/>
  <c r="G378" i="46" s="1"/>
  <c r="F338" i="46"/>
  <c r="F313" i="46" s="1"/>
  <c r="L339" i="46"/>
  <c r="L314" i="46" s="1"/>
  <c r="L349" i="46"/>
  <c r="L327" i="46" s="1"/>
  <c r="L350" i="46" s="1"/>
  <c r="G283" i="24"/>
  <c r="G358" i="24" s="1"/>
  <c r="G280" i="24"/>
  <c r="G286" i="24"/>
  <c r="G361" i="24" s="1"/>
  <c r="G285" i="24"/>
  <c r="G360" i="24" s="1"/>
  <c r="G284" i="24"/>
  <c r="G359" i="24" s="1"/>
  <c r="M367" i="46"/>
  <c r="M377" i="46" s="1"/>
  <c r="N367" i="46"/>
  <c r="N377" i="46" s="1"/>
  <c r="M313" i="46"/>
  <c r="M339" i="46" s="1"/>
  <c r="U101" i="39"/>
  <c r="F348" i="46"/>
  <c r="F368" i="46" s="1"/>
  <c r="G367" i="46"/>
  <c r="G377" i="46" s="1"/>
  <c r="I348" i="46"/>
  <c r="I368" i="46" s="1"/>
  <c r="I378" i="46" s="1"/>
  <c r="N339" i="46"/>
  <c r="N314" i="46" s="1"/>
  <c r="U101" i="40"/>
  <c r="U101" i="36"/>
  <c r="I340" i="46"/>
  <c r="I315" i="46" s="1"/>
  <c r="I316" i="46" s="1"/>
  <c r="I388" i="46" s="1"/>
  <c r="F367" i="46"/>
  <c r="F377" i="46" s="1"/>
  <c r="J314" i="46"/>
  <c r="J340" i="46" s="1"/>
  <c r="J341" i="46" s="1"/>
  <c r="J361" i="46" s="1"/>
  <c r="H360" i="46"/>
  <c r="H341" i="46"/>
  <c r="H361" i="46" s="1"/>
  <c r="I367" i="46"/>
  <c r="I377" i="46" s="1"/>
  <c r="G340" i="46"/>
  <c r="G315" i="46" s="1"/>
  <c r="G316" i="46" s="1"/>
  <c r="G388" i="46" s="1"/>
  <c r="J326" i="46"/>
  <c r="J349" i="46" s="1"/>
  <c r="F482" i="17"/>
  <c r="F481" i="17"/>
  <c r="F348" i="13"/>
  <c r="F351" i="13"/>
  <c r="F493" i="34"/>
  <c r="F473" i="17"/>
  <c r="F490" i="34"/>
  <c r="F474" i="17"/>
  <c r="F287" i="7"/>
  <c r="F286" i="7"/>
  <c r="F981" i="4"/>
  <c r="F980" i="4"/>
  <c r="F988" i="4"/>
  <c r="F989" i="4"/>
  <c r="F277" i="24"/>
  <c r="F276" i="24" s="1"/>
  <c r="K350" i="46"/>
  <c r="K370" i="46" s="1"/>
  <c r="K314" i="46"/>
  <c r="M348" i="46"/>
  <c r="M368" i="46" s="1"/>
  <c r="M378" i="46" s="1"/>
  <c r="H350" i="46"/>
  <c r="H328" i="46" s="1"/>
  <c r="H329" i="46" s="1"/>
  <c r="N348" i="46"/>
  <c r="N368" i="46" s="1"/>
  <c r="N378" i="46" s="1"/>
  <c r="N286" i="7"/>
  <c r="N348" i="13"/>
  <c r="N474" i="17"/>
  <c r="N473" i="17"/>
  <c r="N481" i="17"/>
  <c r="N287" i="7"/>
  <c r="N493" i="34"/>
  <c r="N490" i="34"/>
  <c r="N351" i="13"/>
  <c r="N482" i="17"/>
  <c r="N980" i="4"/>
  <c r="N989" i="4"/>
  <c r="N981" i="4"/>
  <c r="N988" i="4"/>
  <c r="N277" i="24"/>
  <c r="N276" i="24" s="1"/>
  <c r="U101" i="38"/>
  <c r="G108" i="45"/>
  <c r="G111" i="45"/>
  <c r="H9" i="45"/>
  <c r="J9" i="45"/>
  <c r="U102" i="25"/>
  <c r="BF232" i="47"/>
  <c r="BB232" i="47"/>
  <c r="K9" i="45"/>
  <c r="L9" i="45"/>
  <c r="X102" i="25"/>
  <c r="I326" i="46" l="1"/>
  <c r="I349" i="46" s="1"/>
  <c r="I327" i="46" s="1"/>
  <c r="N326" i="46"/>
  <c r="M326" i="46"/>
  <c r="K351" i="46"/>
  <c r="K371" i="46" s="1"/>
  <c r="F326" i="46"/>
  <c r="F349" i="46" s="1"/>
  <c r="F327" i="46" s="1"/>
  <c r="X103" i="25"/>
  <c r="X104" i="25" s="1"/>
  <c r="X106" i="25" s="1"/>
  <c r="X109" i="25" s="1"/>
  <c r="L61" i="45"/>
  <c r="K61" i="45"/>
  <c r="BB253" i="47"/>
  <c r="BB264" i="47"/>
  <c r="BB265" i="47"/>
  <c r="BF264" i="47"/>
  <c r="BF265" i="47"/>
  <c r="BF253" i="47"/>
  <c r="U104" i="25"/>
  <c r="J61" i="45"/>
  <c r="H61" i="45"/>
  <c r="N340" i="46"/>
  <c r="N360" i="46" s="1"/>
  <c r="H370" i="46"/>
  <c r="H380" i="46" s="1"/>
  <c r="H351" i="46"/>
  <c r="H371" i="46" s="1"/>
  <c r="H381" i="46" s="1"/>
  <c r="H448" i="46" s="1"/>
  <c r="N349" i="46"/>
  <c r="N369" i="46" s="1"/>
  <c r="K340" i="46"/>
  <c r="K315" i="46" s="1"/>
  <c r="K316" i="46" s="1"/>
  <c r="K388" i="46" s="1"/>
  <c r="N286" i="24"/>
  <c r="N361" i="24" s="1"/>
  <c r="N283" i="24"/>
  <c r="N358" i="24" s="1"/>
  <c r="N285" i="24"/>
  <c r="N360" i="24" s="1"/>
  <c r="N284" i="24"/>
  <c r="N359" i="24" s="1"/>
  <c r="N280" i="24"/>
  <c r="K328" i="46"/>
  <c r="K329" i="46" s="1"/>
  <c r="J315" i="46"/>
  <c r="J316" i="46" s="1"/>
  <c r="J388" i="46" s="1"/>
  <c r="J360" i="46"/>
  <c r="I360" i="46"/>
  <c r="I341" i="46"/>
  <c r="I361" i="46" s="1"/>
  <c r="L359" i="46"/>
  <c r="L379" i="46" s="1"/>
  <c r="G326" i="46"/>
  <c r="G349" i="46" s="1"/>
  <c r="L348" i="13"/>
  <c r="L287" i="7"/>
  <c r="L474" i="17"/>
  <c r="L490" i="34"/>
  <c r="L473" i="17"/>
  <c r="L493" i="34"/>
  <c r="L481" i="17"/>
  <c r="L351" i="13"/>
  <c r="L482" i="17"/>
  <c r="L286" i="7"/>
  <c r="L989" i="4"/>
  <c r="L980" i="4"/>
  <c r="L988" i="4"/>
  <c r="L981" i="4"/>
  <c r="L277" i="24"/>
  <c r="L276" i="24" s="1"/>
  <c r="K348" i="13"/>
  <c r="K481" i="17"/>
  <c r="K286" i="7"/>
  <c r="K473" i="17"/>
  <c r="K474" i="17"/>
  <c r="K482" i="17"/>
  <c r="K351" i="13"/>
  <c r="K490" i="34"/>
  <c r="K287" i="7"/>
  <c r="K493" i="34"/>
  <c r="K980" i="4"/>
  <c r="K989" i="4"/>
  <c r="K981" i="4"/>
  <c r="K988" i="4"/>
  <c r="K277" i="24"/>
  <c r="K276" i="24" s="1"/>
  <c r="J327" i="46"/>
  <c r="N359" i="46"/>
  <c r="N341" i="46"/>
  <c r="N361" i="46" s="1"/>
  <c r="L328" i="46"/>
  <c r="L329" i="46" s="1"/>
  <c r="L370" i="46"/>
  <c r="U101" i="37"/>
  <c r="H287" i="7"/>
  <c r="H348" i="13"/>
  <c r="H490" i="34"/>
  <c r="H474" i="17"/>
  <c r="H286" i="7"/>
  <c r="H481" i="17"/>
  <c r="H493" i="34"/>
  <c r="H473" i="17"/>
  <c r="H351" i="13"/>
  <c r="H482" i="17"/>
  <c r="H988" i="4"/>
  <c r="H989" i="4"/>
  <c r="H981" i="4"/>
  <c r="H980" i="4"/>
  <c r="H277" i="24"/>
  <c r="H276" i="24" s="1"/>
  <c r="F111" i="45"/>
  <c r="F108" i="45"/>
  <c r="I350" i="46"/>
  <c r="I370" i="46" s="1"/>
  <c r="L351" i="46"/>
  <c r="L371" i="46" s="1"/>
  <c r="F339" i="46"/>
  <c r="F314" i="46" s="1"/>
  <c r="F340" i="46" s="1"/>
  <c r="F341" i="46" s="1"/>
  <c r="F361" i="46" s="1"/>
  <c r="J493" i="34"/>
  <c r="J287" i="7"/>
  <c r="J286" i="7"/>
  <c r="J351" i="13"/>
  <c r="J348" i="13"/>
  <c r="J473" i="17"/>
  <c r="J474" i="17"/>
  <c r="J482" i="17"/>
  <c r="J490" i="34"/>
  <c r="J481" i="17"/>
  <c r="J981" i="4"/>
  <c r="J989" i="4"/>
  <c r="J980" i="4"/>
  <c r="J988" i="4"/>
  <c r="J277" i="24"/>
  <c r="J276" i="24" s="1"/>
  <c r="U101" i="41"/>
  <c r="H386" i="46"/>
  <c r="H387" i="46" s="1"/>
  <c r="H389" i="46" s="1"/>
  <c r="H390" i="46" s="1"/>
  <c r="H397" i="46"/>
  <c r="F280" i="24"/>
  <c r="F284" i="24"/>
  <c r="F359" i="24" s="1"/>
  <c r="F283" i="24"/>
  <c r="F358" i="24" s="1"/>
  <c r="F285" i="24"/>
  <c r="F360" i="24" s="1"/>
  <c r="F286" i="24"/>
  <c r="F361" i="24" s="1"/>
  <c r="M349" i="46"/>
  <c r="M327" i="46" s="1"/>
  <c r="M350" i="46" s="1"/>
  <c r="G360" i="46"/>
  <c r="G341" i="46"/>
  <c r="G361" i="46" s="1"/>
  <c r="F350" i="46"/>
  <c r="F328" i="46" s="1"/>
  <c r="F329" i="46" s="1"/>
  <c r="M314" i="46"/>
  <c r="L340" i="46"/>
  <c r="L360" i="46" s="1"/>
  <c r="F358" i="46"/>
  <c r="F378" i="46" s="1"/>
  <c r="N108" i="45"/>
  <c r="N111" i="45"/>
  <c r="AZ58" i="47"/>
  <c r="I9" i="45"/>
  <c r="X102" i="1"/>
  <c r="M9" i="45"/>
  <c r="U102" i="1"/>
  <c r="U102" i="26"/>
  <c r="X102" i="26"/>
  <c r="N379" i="46" l="1"/>
  <c r="I380" i="46"/>
  <c r="X104" i="26"/>
  <c r="X106" i="26" s="1"/>
  <c r="X109" i="26" s="1"/>
  <c r="X103" i="26"/>
  <c r="U104" i="26"/>
  <c r="U104" i="1"/>
  <c r="M61" i="45"/>
  <c r="X103" i="1"/>
  <c r="X104" i="1" s="1"/>
  <c r="X106" i="1" s="1"/>
  <c r="X109" i="1" s="1"/>
  <c r="I61" i="45"/>
  <c r="M328" i="46"/>
  <c r="M329" i="46" s="1"/>
  <c r="M370" i="46"/>
  <c r="F397" i="46"/>
  <c r="F386" i="46"/>
  <c r="F387" i="46" s="1"/>
  <c r="M340" i="46"/>
  <c r="M315" i="46"/>
  <c r="M316" i="46" s="1"/>
  <c r="M388" i="46" s="1"/>
  <c r="H434" i="46"/>
  <c r="H398" i="46"/>
  <c r="L315" i="46"/>
  <c r="L316" i="46" s="1"/>
  <c r="L388" i="46" s="1"/>
  <c r="H446" i="46"/>
  <c r="H407" i="46"/>
  <c r="J283" i="24"/>
  <c r="J358" i="24" s="1"/>
  <c r="J280" i="24"/>
  <c r="J285" i="24"/>
  <c r="J360" i="24" s="1"/>
  <c r="J286" i="24"/>
  <c r="J361" i="24" s="1"/>
  <c r="J284" i="24"/>
  <c r="J359" i="24" s="1"/>
  <c r="K284" i="24"/>
  <c r="K359" i="24" s="1"/>
  <c r="K285" i="24"/>
  <c r="K360" i="24" s="1"/>
  <c r="K280" i="24"/>
  <c r="K286" i="24"/>
  <c r="K361" i="24" s="1"/>
  <c r="K283" i="24"/>
  <c r="K358" i="24" s="1"/>
  <c r="K397" i="46"/>
  <c r="K386" i="46"/>
  <c r="K387" i="46" s="1"/>
  <c r="K389" i="46" s="1"/>
  <c r="K390" i="46" s="1"/>
  <c r="N327" i="46"/>
  <c r="N350" i="46" s="1"/>
  <c r="N315" i="46"/>
  <c r="N316" i="46" s="1"/>
  <c r="N388" i="46" s="1"/>
  <c r="K108" i="45"/>
  <c r="K111" i="45"/>
  <c r="F370" i="46"/>
  <c r="F351" i="46"/>
  <c r="F371" i="46" s="1"/>
  <c r="F381" i="46" s="1"/>
  <c r="F448" i="46" s="1"/>
  <c r="BJ8" i="3" s="1"/>
  <c r="M351" i="46"/>
  <c r="M371" i="46" s="1"/>
  <c r="L380" i="46"/>
  <c r="U106" i="25"/>
  <c r="L111" i="45"/>
  <c r="L108" i="45"/>
  <c r="I328" i="46"/>
  <c r="I329" i="46" s="1"/>
  <c r="L397" i="46"/>
  <c r="L386" i="46"/>
  <c r="L387" i="46" s="1"/>
  <c r="L389" i="46" s="1"/>
  <c r="L390" i="46" s="1"/>
  <c r="J350" i="46"/>
  <c r="J328" i="46" s="1"/>
  <c r="J329" i="46" s="1"/>
  <c r="G327" i="46"/>
  <c r="H111" i="45"/>
  <c r="H108" i="45"/>
  <c r="M348" i="13"/>
  <c r="M481" i="17"/>
  <c r="M474" i="17"/>
  <c r="M482" i="17"/>
  <c r="M287" i="7"/>
  <c r="M493" i="34"/>
  <c r="M473" i="17"/>
  <c r="M351" i="13"/>
  <c r="M490" i="34"/>
  <c r="M286" i="7"/>
  <c r="M981" i="4"/>
  <c r="M989" i="4"/>
  <c r="M980" i="4"/>
  <c r="M988" i="4"/>
  <c r="M277" i="24"/>
  <c r="M276" i="24" s="1"/>
  <c r="AS103" i="25"/>
  <c r="F315" i="46"/>
  <c r="F316" i="46" s="1"/>
  <c r="F388" i="46" s="1"/>
  <c r="F360" i="46"/>
  <c r="H285" i="24"/>
  <c r="H360" i="24" s="1"/>
  <c r="H280" i="24"/>
  <c r="H286" i="24"/>
  <c r="H361" i="24" s="1"/>
  <c r="H284" i="24"/>
  <c r="H359" i="24" s="1"/>
  <c r="H283" i="24"/>
  <c r="H358" i="24" s="1"/>
  <c r="L283" i="24"/>
  <c r="L358" i="24" s="1"/>
  <c r="L284" i="24"/>
  <c r="L359" i="24" s="1"/>
  <c r="L286" i="24"/>
  <c r="L361" i="24" s="1"/>
  <c r="L285" i="24"/>
  <c r="L360" i="24" s="1"/>
  <c r="L280" i="24"/>
  <c r="L341" i="46"/>
  <c r="L361" i="46" s="1"/>
  <c r="L381" i="46" s="1"/>
  <c r="L448" i="46" s="1"/>
  <c r="I351" i="46"/>
  <c r="I371" i="46" s="1"/>
  <c r="I381" i="46" s="1"/>
  <c r="I448" i="46" s="1"/>
  <c r="BK8" i="3" s="1"/>
  <c r="K360" i="46"/>
  <c r="K380" i="46" s="1"/>
  <c r="K341" i="46"/>
  <c r="K361" i="46" s="1"/>
  <c r="K381" i="46" s="1"/>
  <c r="K448" i="46" s="1"/>
  <c r="BL8" i="3" s="1"/>
  <c r="J108" i="45"/>
  <c r="J111" i="45"/>
  <c r="I493" i="34"/>
  <c r="I482" i="17"/>
  <c r="I474" i="17"/>
  <c r="I481" i="17"/>
  <c r="I286" i="7"/>
  <c r="I348" i="13"/>
  <c r="I287" i="7"/>
  <c r="I351" i="13"/>
  <c r="I490" i="34"/>
  <c r="I473" i="17"/>
  <c r="I981" i="4"/>
  <c r="I989" i="4"/>
  <c r="I980" i="4"/>
  <c r="I988" i="4"/>
  <c r="I277" i="24"/>
  <c r="I276" i="24" s="1"/>
  <c r="BG58" i="47"/>
  <c r="G77" i="64"/>
  <c r="G146" i="63"/>
  <c r="BA131" i="47"/>
  <c r="U102" i="39"/>
  <c r="X102" i="40"/>
  <c r="BI92" i="36"/>
  <c r="X102" i="39"/>
  <c r="U102" i="40"/>
  <c r="X102" i="36"/>
  <c r="X102" i="38"/>
  <c r="U102" i="36"/>
  <c r="U102" i="38"/>
  <c r="AY58" i="47"/>
  <c r="F380" i="46" l="1"/>
  <c r="U104" i="38"/>
  <c r="U104" i="36"/>
  <c r="X103" i="38"/>
  <c r="X103" i="36"/>
  <c r="X104" i="36" s="1"/>
  <c r="X106" i="36" s="1"/>
  <c r="X109" i="36" s="1"/>
  <c r="U104" i="40"/>
  <c r="X103" i="39"/>
  <c r="X104" i="39" s="1"/>
  <c r="X106" i="39" s="1"/>
  <c r="X109" i="39" s="1"/>
  <c r="BI93" i="36"/>
  <c r="X103" i="40"/>
  <c r="X104" i="40" s="1"/>
  <c r="X106" i="40" s="1"/>
  <c r="X109" i="40" s="1"/>
  <c r="U104" i="39"/>
  <c r="BA132" i="47"/>
  <c r="G78" i="64"/>
  <c r="G350" i="46"/>
  <c r="G328" i="46" s="1"/>
  <c r="G329" i="46" s="1"/>
  <c r="L434" i="46"/>
  <c r="L398" i="46"/>
  <c r="M360" i="46"/>
  <c r="M341" i="46"/>
  <c r="M361" i="46" s="1"/>
  <c r="M397" i="46"/>
  <c r="M386" i="46"/>
  <c r="M387" i="46" s="1"/>
  <c r="M389" i="46" s="1"/>
  <c r="M390" i="46" s="1"/>
  <c r="AS104" i="25"/>
  <c r="J397" i="46"/>
  <c r="J386" i="46"/>
  <c r="J387" i="46" s="1"/>
  <c r="J389" i="46" s="1"/>
  <c r="J390" i="46" s="1"/>
  <c r="I386" i="46"/>
  <c r="I387" i="46" s="1"/>
  <c r="I389" i="46" s="1"/>
  <c r="I390" i="46" s="1"/>
  <c r="I397" i="46"/>
  <c r="U109" i="25"/>
  <c r="N328" i="46"/>
  <c r="N329" i="46" s="1"/>
  <c r="N370" i="46"/>
  <c r="N380" i="46" s="1"/>
  <c r="N351" i="46"/>
  <c r="N371" i="46" s="1"/>
  <c r="N381" i="46" s="1"/>
  <c r="N448" i="46" s="1"/>
  <c r="BM8" i="3" s="1"/>
  <c r="H435" i="46"/>
  <c r="H436" i="46"/>
  <c r="H399" i="46"/>
  <c r="H401" i="46" s="1"/>
  <c r="F389" i="46"/>
  <c r="F390" i="46" s="1"/>
  <c r="M111" i="45"/>
  <c r="M108" i="45"/>
  <c r="U106" i="26"/>
  <c r="M283" i="24"/>
  <c r="M358" i="24" s="1"/>
  <c r="M284" i="24"/>
  <c r="M359" i="24" s="1"/>
  <c r="M280" i="24"/>
  <c r="M285" i="24"/>
  <c r="M360" i="24" s="1"/>
  <c r="M286" i="24"/>
  <c r="M361" i="24" s="1"/>
  <c r="J370" i="46"/>
  <c r="J380" i="46" s="1"/>
  <c r="J351" i="46"/>
  <c r="J371" i="46" s="1"/>
  <c r="J381" i="46" s="1"/>
  <c r="J448" i="46" s="1"/>
  <c r="M381" i="46"/>
  <c r="M448" i="46" s="1"/>
  <c r="BL9" i="3"/>
  <c r="K446" i="46"/>
  <c r="K407" i="46"/>
  <c r="F434" i="46"/>
  <c r="F398" i="46"/>
  <c r="I108" i="45"/>
  <c r="I111" i="45"/>
  <c r="AS103" i="26"/>
  <c r="I280" i="24"/>
  <c r="I285" i="24"/>
  <c r="I360" i="24" s="1"/>
  <c r="I284" i="24"/>
  <c r="I359" i="24" s="1"/>
  <c r="I283" i="24"/>
  <c r="I358" i="24" s="1"/>
  <c r="I286" i="24"/>
  <c r="I361" i="24" s="1"/>
  <c r="L407" i="46"/>
  <c r="L446" i="46"/>
  <c r="K434" i="46"/>
  <c r="K398" i="46"/>
  <c r="H447" i="46"/>
  <c r="M380" i="46"/>
  <c r="AS103" i="1"/>
  <c r="U106" i="1"/>
  <c r="BI92" i="40"/>
  <c r="AZ61" i="47"/>
  <c r="W92" i="36"/>
  <c r="X102" i="41"/>
  <c r="X102" i="37"/>
  <c r="BH92" i="36"/>
  <c r="U102" i="41"/>
  <c r="BE58" i="47"/>
  <c r="H458" i="46"/>
  <c r="BP92" i="36" s="1"/>
  <c r="BI92" i="1"/>
  <c r="BE131" i="47"/>
  <c r="K146" i="63"/>
  <c r="K77" i="64"/>
  <c r="J36" i="59"/>
  <c r="J62" i="59"/>
  <c r="H457" i="46"/>
  <c r="J146" i="63"/>
  <c r="J77" i="64"/>
  <c r="BD131" i="47"/>
  <c r="H459" i="46"/>
  <c r="BQ92" i="36" s="1"/>
  <c r="U102" i="37"/>
  <c r="BI92" i="39"/>
  <c r="BD58" i="47"/>
  <c r="BA58" i="47"/>
  <c r="BO92" i="36"/>
  <c r="BO93" i="36" l="1"/>
  <c r="BI93" i="39"/>
  <c r="U104" i="37"/>
  <c r="BQ93" i="36"/>
  <c r="BQ106" i="36" s="1"/>
  <c r="BQ109" i="36" s="1"/>
  <c r="BD132" i="47"/>
  <c r="J78" i="64"/>
  <c r="H460" i="46"/>
  <c r="BK10" i="3" s="1"/>
  <c r="K78" i="64"/>
  <c r="BE132" i="47"/>
  <c r="BI93" i="1"/>
  <c r="BP93" i="36"/>
  <c r="BP106" i="36" s="1"/>
  <c r="BP109" i="36" s="1"/>
  <c r="U104" i="41"/>
  <c r="BJ92" i="36"/>
  <c r="BH93" i="36"/>
  <c r="X103" i="37"/>
  <c r="X104" i="37" s="1"/>
  <c r="X106" i="37" s="1"/>
  <c r="X109" i="37" s="1"/>
  <c r="X103" i="41"/>
  <c r="W93" i="36"/>
  <c r="AK92" i="36"/>
  <c r="BI93" i="40"/>
  <c r="G386" i="46"/>
  <c r="G387" i="46" s="1"/>
  <c r="G389" i="46" s="1"/>
  <c r="G390" i="46" s="1"/>
  <c r="G397" i="46"/>
  <c r="U109" i="1"/>
  <c r="AS104" i="1"/>
  <c r="F436" i="46"/>
  <c r="F435" i="46"/>
  <c r="F437" i="46" s="1"/>
  <c r="F399" i="46"/>
  <c r="F401" i="46" s="1"/>
  <c r="K447" i="46"/>
  <c r="U109" i="26"/>
  <c r="N386" i="46"/>
  <c r="N387" i="46" s="1"/>
  <c r="N389" i="46" s="1"/>
  <c r="N390" i="46" s="1"/>
  <c r="N397" i="46"/>
  <c r="I446" i="46"/>
  <c r="BK9" i="3"/>
  <c r="I407" i="46"/>
  <c r="AS103" i="40"/>
  <c r="U106" i="36"/>
  <c r="L447" i="46"/>
  <c r="AS104" i="26"/>
  <c r="J446" i="46"/>
  <c r="J407" i="46"/>
  <c r="AS106" i="25"/>
  <c r="AS109" i="25" s="1"/>
  <c r="G370" i="46"/>
  <c r="G380" i="46" s="1"/>
  <c r="G351" i="46"/>
  <c r="G371" i="46" s="1"/>
  <c r="G381" i="46" s="1"/>
  <c r="G448" i="46" s="1"/>
  <c r="AS103" i="38"/>
  <c r="K436" i="46"/>
  <c r="K435" i="46"/>
  <c r="K399" i="46"/>
  <c r="K401" i="46" s="1"/>
  <c r="H437" i="46"/>
  <c r="J434" i="46"/>
  <c r="J398" i="46"/>
  <c r="M446" i="46"/>
  <c r="M407" i="46"/>
  <c r="L436" i="46"/>
  <c r="L435" i="46"/>
  <c r="L399" i="46"/>
  <c r="L401" i="46" s="1"/>
  <c r="U106" i="40"/>
  <c r="X104" i="38"/>
  <c r="X106" i="38" s="1"/>
  <c r="X109" i="38" s="1"/>
  <c r="U106" i="38"/>
  <c r="F407" i="46"/>
  <c r="BJ9" i="3"/>
  <c r="F446" i="46"/>
  <c r="I434" i="46"/>
  <c r="I398" i="46"/>
  <c r="M434" i="46"/>
  <c r="M398" i="46"/>
  <c r="U106" i="39"/>
  <c r="AS103" i="39"/>
  <c r="AS103" i="36"/>
  <c r="AY61" i="47"/>
  <c r="K458" i="46"/>
  <c r="BP92" i="39" s="1"/>
  <c r="F457" i="46"/>
  <c r="BG61" i="47"/>
  <c r="BB131" i="47"/>
  <c r="H77" i="64"/>
  <c r="H146" i="63"/>
  <c r="N62" i="59"/>
  <c r="N36" i="59"/>
  <c r="I77" i="64"/>
  <c r="I146" i="63"/>
  <c r="BC131" i="47"/>
  <c r="K459" i="46"/>
  <c r="BQ92" i="39" s="1"/>
  <c r="W92" i="40"/>
  <c r="BI92" i="37"/>
  <c r="BH92" i="1"/>
  <c r="F458" i="46"/>
  <c r="BP92" i="1" s="1"/>
  <c r="BH92" i="39"/>
  <c r="W92" i="39"/>
  <c r="BI92" i="38"/>
  <c r="L458" i="46"/>
  <c r="BP92" i="40" s="1"/>
  <c r="W92" i="1"/>
  <c r="F42" i="65"/>
  <c r="F29" i="60"/>
  <c r="F26" i="63"/>
  <c r="F99" i="63"/>
  <c r="AZ37" i="47"/>
  <c r="G9" i="44"/>
  <c r="K457" i="46"/>
  <c r="BH92" i="40"/>
  <c r="BC58" i="47"/>
  <c r="BI92" i="41"/>
  <c r="F459" i="46"/>
  <c r="BQ92" i="1" s="1"/>
  <c r="M36" i="59"/>
  <c r="M62" i="59"/>
  <c r="L77" i="64"/>
  <c r="L146" i="63"/>
  <c r="BF131" i="47"/>
  <c r="L457" i="46"/>
  <c r="E146" i="63"/>
  <c r="AY131" i="47"/>
  <c r="E77" i="64"/>
  <c r="L459" i="46"/>
  <c r="BQ92" i="40" s="1"/>
  <c r="BB58" i="47"/>
  <c r="BO92" i="1"/>
  <c r="F113" i="60"/>
  <c r="BO92" i="39"/>
  <c r="L437" i="46" l="1"/>
  <c r="BL92" i="36"/>
  <c r="BO93" i="39"/>
  <c r="BO93" i="1"/>
  <c r="BQ93" i="40"/>
  <c r="BQ106" i="40" s="1"/>
  <c r="BQ109" i="40" s="1"/>
  <c r="E78" i="64"/>
  <c r="AY132" i="47"/>
  <c r="L460" i="46"/>
  <c r="BF132" i="47"/>
  <c r="L78" i="64"/>
  <c r="BQ93" i="1"/>
  <c r="BQ106" i="1" s="1"/>
  <c r="BQ109" i="1" s="1"/>
  <c r="BI93" i="41"/>
  <c r="BJ92" i="40"/>
  <c r="BH93" i="40"/>
  <c r="K460" i="46"/>
  <c r="AZ39" i="47"/>
  <c r="AZ293" i="47" s="1"/>
  <c r="F112" i="63"/>
  <c r="F123" i="63"/>
  <c r="T51" i="60"/>
  <c r="F107" i="60" s="1"/>
  <c r="F119" i="60" s="1"/>
  <c r="F125" i="60" s="1"/>
  <c r="F131" i="60" s="1"/>
  <c r="F105" i="64" s="1"/>
  <c r="F64" i="65"/>
  <c r="F63" i="65"/>
  <c r="F51" i="65"/>
  <c r="W93" i="1"/>
  <c r="AK92" i="1"/>
  <c r="BP93" i="40"/>
  <c r="BP106" i="40" s="1"/>
  <c r="BP109" i="40" s="1"/>
  <c r="BI93" i="38"/>
  <c r="AK92" i="39"/>
  <c r="BL92" i="39" s="1"/>
  <c r="W93" i="39"/>
  <c r="BJ92" i="39"/>
  <c r="BH93" i="39"/>
  <c r="BP93" i="1"/>
  <c r="BP106" i="1" s="1"/>
  <c r="BP109" i="1" s="1"/>
  <c r="BJ92" i="1"/>
  <c r="BH93" i="1"/>
  <c r="BI93" i="37"/>
  <c r="W93" i="40"/>
  <c r="AK92" i="40"/>
  <c r="BQ93" i="39"/>
  <c r="BQ106" i="39" s="1"/>
  <c r="BQ109" i="39" s="1"/>
  <c r="BC132" i="47"/>
  <c r="I78" i="64"/>
  <c r="H78" i="64"/>
  <c r="BB132" i="47"/>
  <c r="F460" i="46"/>
  <c r="BJ10" i="3" s="1"/>
  <c r="BP93" i="39"/>
  <c r="BP106" i="39" s="1"/>
  <c r="BP109" i="39" s="1"/>
  <c r="AS104" i="39"/>
  <c r="M435" i="46"/>
  <c r="M436" i="46"/>
  <c r="M399" i="46"/>
  <c r="M401" i="46" s="1"/>
  <c r="F447" i="46"/>
  <c r="M447" i="46"/>
  <c r="AS104" i="40"/>
  <c r="N398" i="46"/>
  <c r="N434" i="46"/>
  <c r="J435" i="46"/>
  <c r="J436" i="46"/>
  <c r="J399" i="46"/>
  <c r="J401" i="46" s="1"/>
  <c r="AS104" i="38"/>
  <c r="N407" i="46"/>
  <c r="N446" i="46"/>
  <c r="BM9" i="3"/>
  <c r="G434" i="46"/>
  <c r="G398" i="46"/>
  <c r="AK93" i="36"/>
  <c r="W95" i="36"/>
  <c r="U106" i="41"/>
  <c r="I436" i="46"/>
  <c r="I435" i="46"/>
  <c r="I399" i="46"/>
  <c r="I401" i="46" s="1"/>
  <c r="U109" i="36"/>
  <c r="AS106" i="1"/>
  <c r="AS109" i="1" s="1"/>
  <c r="G407" i="46"/>
  <c r="G446" i="46"/>
  <c r="AS103" i="41"/>
  <c r="BJ93" i="36"/>
  <c r="BH106" i="36"/>
  <c r="AS104" i="36"/>
  <c r="AS106" i="26"/>
  <c r="AS109" i="26" s="1"/>
  <c r="U109" i="40"/>
  <c r="J447" i="46"/>
  <c r="L412" i="46"/>
  <c r="I447" i="46"/>
  <c r="X104" i="41"/>
  <c r="X106" i="41" s="1"/>
  <c r="X109" i="41" s="1"/>
  <c r="U109" i="39"/>
  <c r="U109" i="38"/>
  <c r="K437" i="46"/>
  <c r="AS103" i="37"/>
  <c r="U106" i="37"/>
  <c r="BO106" i="36"/>
  <c r="DH93" i="36"/>
  <c r="F7" i="60"/>
  <c r="M459" i="46"/>
  <c r="BQ92" i="41" s="1"/>
  <c r="O36" i="59"/>
  <c r="O62" i="59"/>
  <c r="BI92" i="26"/>
  <c r="I458" i="46"/>
  <c r="F146" i="63"/>
  <c r="AZ131" i="47"/>
  <c r="F77" i="64"/>
  <c r="L62" i="59"/>
  <c r="L36" i="59"/>
  <c r="M458" i="46"/>
  <c r="BP92" i="41" s="1"/>
  <c r="J459" i="46"/>
  <c r="BQ92" i="38" s="1"/>
  <c r="H26" i="35"/>
  <c r="BC61" i="47"/>
  <c r="BO92" i="40"/>
  <c r="W92" i="41"/>
  <c r="W92" i="38"/>
  <c r="J458" i="46"/>
  <c r="BP92" i="38" s="1"/>
  <c r="I459" i="46"/>
  <c r="E29" i="60"/>
  <c r="F9" i="44"/>
  <c r="E7" i="60" s="1"/>
  <c r="AY37" i="47"/>
  <c r="E99" i="63"/>
  <c r="BJ21" i="3"/>
  <c r="E26" i="63"/>
  <c r="E42" i="65"/>
  <c r="BH92" i="41"/>
  <c r="H62" i="59"/>
  <c r="H36" i="59"/>
  <c r="J457" i="46"/>
  <c r="BG131" i="47"/>
  <c r="M77" i="64"/>
  <c r="M146" i="63"/>
  <c r="W92" i="37"/>
  <c r="BE61" i="47"/>
  <c r="K36" i="59"/>
  <c r="K62" i="59"/>
  <c r="BD61" i="47"/>
  <c r="BA164" i="47"/>
  <c r="BH92" i="38"/>
  <c r="BA61" i="47"/>
  <c r="M29" i="60"/>
  <c r="M26" i="63"/>
  <c r="M42" i="65"/>
  <c r="BG37" i="47"/>
  <c r="N9" i="44"/>
  <c r="M7" i="60" s="1"/>
  <c r="M99" i="63"/>
  <c r="BM21" i="3"/>
  <c r="M457" i="46"/>
  <c r="BI92" i="25"/>
  <c r="BH92" i="37"/>
  <c r="I457" i="46"/>
  <c r="BF58" i="47"/>
  <c r="E113" i="60"/>
  <c r="BO92" i="38"/>
  <c r="BO92" i="41"/>
  <c r="BO92" i="37"/>
  <c r="BL92" i="40" l="1"/>
  <c r="I437" i="46"/>
  <c r="M437" i="46"/>
  <c r="F134" i="63"/>
  <c r="J437" i="46"/>
  <c r="BO93" i="37"/>
  <c r="BO93" i="41"/>
  <c r="BO93" i="38"/>
  <c r="I460" i="46"/>
  <c r="BJ92" i="37"/>
  <c r="BH93" i="37"/>
  <c r="BI93" i="25"/>
  <c r="M460" i="46"/>
  <c r="M112" i="63"/>
  <c r="M123" i="63"/>
  <c r="AA13" i="60"/>
  <c r="AL12" i="60"/>
  <c r="M19" i="60"/>
  <c r="BG39" i="47"/>
  <c r="BG293" i="47" s="1"/>
  <c r="AZ394" i="47"/>
  <c r="AZ371" i="47"/>
  <c r="M63" i="65"/>
  <c r="M64" i="65"/>
  <c r="M51" i="65"/>
  <c r="AA51" i="60"/>
  <c r="M107" i="60" s="1"/>
  <c r="BJ92" i="38"/>
  <c r="BH93" i="38"/>
  <c r="AK92" i="37"/>
  <c r="W93" i="37"/>
  <c r="M78" i="64"/>
  <c r="BG132" i="47"/>
  <c r="J460" i="46"/>
  <c r="BL10" i="3" s="1"/>
  <c r="BJ92" i="41"/>
  <c r="BH93" i="41"/>
  <c r="E64" i="65"/>
  <c r="E63" i="65"/>
  <c r="E51" i="65"/>
  <c r="E112" i="63"/>
  <c r="E123" i="63"/>
  <c r="AY39" i="47"/>
  <c r="AY293" i="47" s="1"/>
  <c r="S13" i="60"/>
  <c r="AD12" i="60"/>
  <c r="E19" i="60"/>
  <c r="S51" i="60"/>
  <c r="E107" i="60" s="1"/>
  <c r="E119" i="60" s="1"/>
  <c r="E125" i="60" s="1"/>
  <c r="E131" i="60" s="1"/>
  <c r="E105" i="64" s="1"/>
  <c r="BP93" i="38"/>
  <c r="BP106" i="38" s="1"/>
  <c r="BP109" i="38" s="1"/>
  <c r="W93" i="38"/>
  <c r="AK92" i="38"/>
  <c r="W93" i="41"/>
  <c r="AK92" i="41"/>
  <c r="BL92" i="41" s="1"/>
  <c r="BO93" i="40"/>
  <c r="H313" i="35"/>
  <c r="BQ93" i="38"/>
  <c r="BQ106" i="38" s="1"/>
  <c r="BQ109" i="38" s="1"/>
  <c r="BP93" i="41"/>
  <c r="BP106" i="41" s="1"/>
  <c r="BP109" i="41" s="1"/>
  <c r="F78" i="64"/>
  <c r="AZ132" i="47"/>
  <c r="F10" i="48" s="1" a="1"/>
  <c r="BI93" i="26"/>
  <c r="BQ93" i="41"/>
  <c r="BQ106" i="41" s="1"/>
  <c r="BQ109" i="41" s="1"/>
  <c r="T13" i="60"/>
  <c r="F19" i="60"/>
  <c r="AE12" i="60"/>
  <c r="AS104" i="37"/>
  <c r="BH109" i="36"/>
  <c r="AS106" i="40"/>
  <c r="AS109" i="40" s="1"/>
  <c r="BH106" i="39"/>
  <c r="BJ93" i="39"/>
  <c r="I412" i="46"/>
  <c r="BL93" i="36"/>
  <c r="N447" i="46"/>
  <c r="N436" i="46"/>
  <c r="N435" i="46"/>
  <c r="N399" i="46"/>
  <c r="N401" i="46" s="1"/>
  <c r="AS106" i="39"/>
  <c r="AS109" i="39" s="1"/>
  <c r="AK93" i="39"/>
  <c r="BL93" i="39" s="1"/>
  <c r="W95" i="39"/>
  <c r="BL92" i="1"/>
  <c r="AS106" i="36"/>
  <c r="AS109" i="36" s="1"/>
  <c r="AS104" i="41"/>
  <c r="U109" i="41"/>
  <c r="G436" i="46"/>
  <c r="G435" i="46"/>
  <c r="G399" i="46"/>
  <c r="G401" i="46" s="1"/>
  <c r="AK93" i="40"/>
  <c r="W95" i="40"/>
  <c r="AK93" i="1"/>
  <c r="W95" i="1"/>
  <c r="BH106" i="40"/>
  <c r="BJ93" i="40"/>
  <c r="BO109" i="36"/>
  <c r="W97" i="36"/>
  <c r="BO106" i="1"/>
  <c r="DH93" i="1"/>
  <c r="K412" i="46"/>
  <c r="J412" i="46"/>
  <c r="G447" i="46"/>
  <c r="U109" i="37"/>
  <c r="AS106" i="38"/>
  <c r="AS109" i="38" s="1"/>
  <c r="M412" i="46"/>
  <c r="BJ93" i="1"/>
  <c r="BH106" i="1"/>
  <c r="DH93" i="39"/>
  <c r="BO106" i="39"/>
  <c r="M113" i="60"/>
  <c r="BQ92" i="37"/>
  <c r="BP92" i="37"/>
  <c r="BA52" i="47"/>
  <c r="P62" i="59"/>
  <c r="P36" i="59"/>
  <c r="BH92" i="26"/>
  <c r="W92" i="25"/>
  <c r="H17" i="51"/>
  <c r="BB61" i="47"/>
  <c r="BD164" i="47"/>
  <c r="N457" i="46"/>
  <c r="W92" i="26"/>
  <c r="G457" i="46"/>
  <c r="L26" i="35"/>
  <c r="BA180" i="47"/>
  <c r="G7" i="66"/>
  <c r="I36" i="59"/>
  <c r="I62" i="59"/>
  <c r="K42" i="65"/>
  <c r="K99" i="63"/>
  <c r="K29" i="60"/>
  <c r="K26" i="63"/>
  <c r="BE37" i="47"/>
  <c r="L9" i="44"/>
  <c r="K7" i="60" s="1"/>
  <c r="BD37" i="47"/>
  <c r="K9" i="44"/>
  <c r="J7" i="60" s="1"/>
  <c r="J26" i="63"/>
  <c r="J99" i="63"/>
  <c r="J29" i="60"/>
  <c r="J42" i="65"/>
  <c r="BH92" i="25"/>
  <c r="AY164" i="47"/>
  <c r="G458" i="46"/>
  <c r="I26" i="63"/>
  <c r="BC37" i="47"/>
  <c r="I42" i="65"/>
  <c r="I29" i="60"/>
  <c r="J9" i="44"/>
  <c r="I7" i="60" s="1"/>
  <c r="BL21" i="3"/>
  <c r="I99" i="63"/>
  <c r="BK21" i="3"/>
  <c r="G26" i="63"/>
  <c r="BA37" i="47"/>
  <c r="G42" i="65"/>
  <c r="G99" i="63"/>
  <c r="G29" i="60"/>
  <c r="H9" i="44"/>
  <c r="N459" i="46"/>
  <c r="BQ92" i="26" s="1"/>
  <c r="G459" i="46"/>
  <c r="F26" i="35"/>
  <c r="N458" i="46"/>
  <c r="BP92" i="26" s="1"/>
  <c r="K26" i="35"/>
  <c r="BF61" i="47"/>
  <c r="BO92" i="25"/>
  <c r="K113" i="60"/>
  <c r="J113" i="60"/>
  <c r="G113" i="60"/>
  <c r="BL92" i="37" l="1"/>
  <c r="G437" i="46"/>
  <c r="BL92" i="38"/>
  <c r="BO93" i="25"/>
  <c r="K313" i="35"/>
  <c r="BP93" i="26"/>
  <c r="BP106" i="26" s="1"/>
  <c r="BP109" i="26" s="1"/>
  <c r="F313" i="35"/>
  <c r="BQ93" i="26"/>
  <c r="BQ106" i="26" s="1"/>
  <c r="BQ109" i="26" s="1"/>
  <c r="U51" i="60"/>
  <c r="G107" i="60" s="1"/>
  <c r="G119" i="60" s="1"/>
  <c r="G125" i="60" s="1"/>
  <c r="G131" i="60" s="1"/>
  <c r="G105" i="64" s="1"/>
  <c r="G112" i="63"/>
  <c r="G123" i="63"/>
  <c r="G64" i="65"/>
  <c r="G63" i="65"/>
  <c r="G51" i="65"/>
  <c r="BA39" i="47"/>
  <c r="BA293" i="47" s="1"/>
  <c r="I112" i="63"/>
  <c r="I123" i="63"/>
  <c r="W13" i="60"/>
  <c r="AH12" i="60"/>
  <c r="I19" i="60"/>
  <c r="W51" i="60"/>
  <c r="I107" i="60" s="1"/>
  <c r="I64" i="65"/>
  <c r="I63" i="65"/>
  <c r="I51" i="65"/>
  <c r="BC39" i="47"/>
  <c r="BC293" i="47" s="1"/>
  <c r="BJ92" i="25"/>
  <c r="BH93" i="25"/>
  <c r="J63" i="65"/>
  <c r="J64" i="65"/>
  <c r="J51" i="65"/>
  <c r="X51" i="60"/>
  <c r="J107" i="60" s="1"/>
  <c r="J119" i="60" s="1"/>
  <c r="J125" i="60" s="1"/>
  <c r="J131" i="60" s="1"/>
  <c r="J105" i="64" s="1"/>
  <c r="J112" i="63"/>
  <c r="J123" i="63"/>
  <c r="X13" i="60"/>
  <c r="J19" i="60"/>
  <c r="AI12" i="60"/>
  <c r="BD39" i="47"/>
  <c r="BD293" i="47" s="1"/>
  <c r="Y13" i="60"/>
  <c r="AJ12" i="60"/>
  <c r="K19" i="60"/>
  <c r="BE39" i="47"/>
  <c r="BE293" i="47" s="1"/>
  <c r="Y51" i="60"/>
  <c r="K107" i="60" s="1"/>
  <c r="K119" i="60" s="1"/>
  <c r="K125" i="60" s="1"/>
  <c r="K131" i="60" s="1"/>
  <c r="K105" i="64" s="1"/>
  <c r="K112" i="63"/>
  <c r="K134" i="63" s="1"/>
  <c r="K123" i="63"/>
  <c r="K63" i="65"/>
  <c r="K64" i="65"/>
  <c r="K51" i="65"/>
  <c r="L313" i="35"/>
  <c r="G460" i="46"/>
  <c r="W93" i="26"/>
  <c r="AK92" i="26"/>
  <c r="N460" i="46"/>
  <c r="BM10" i="3" s="1"/>
  <c r="H80" i="51"/>
  <c r="H85" i="51" s="1"/>
  <c r="AK92" i="25"/>
  <c r="BL92" i="25" s="1"/>
  <c r="W93" i="25"/>
  <c r="BJ92" i="26"/>
  <c r="BH93" i="26"/>
  <c r="BP93" i="37"/>
  <c r="BP106" i="37" s="1"/>
  <c r="BP109" i="37" s="1"/>
  <c r="BQ93" i="37"/>
  <c r="BQ106" i="37" s="1"/>
  <c r="BQ109" i="37" s="1"/>
  <c r="BH109" i="1"/>
  <c r="BH109" i="40"/>
  <c r="W97" i="39"/>
  <c r="BO109" i="1"/>
  <c r="W97" i="1"/>
  <c r="AS106" i="37"/>
  <c r="AS109" i="37" s="1"/>
  <c r="BO106" i="40"/>
  <c r="DH93" i="40"/>
  <c r="AK93" i="38"/>
  <c r="W95" i="38"/>
  <c r="AK93" i="37"/>
  <c r="W95" i="37"/>
  <c r="BF415" i="47"/>
  <c r="AD51" i="60"/>
  <c r="AO51" i="60" s="1"/>
  <c r="S12" i="60"/>
  <c r="AO12" i="60" s="1"/>
  <c r="M119" i="60"/>
  <c r="M125" i="60" s="1"/>
  <c r="M131" i="60" s="1"/>
  <c r="M105" i="64" s="1"/>
  <c r="BH106" i="37"/>
  <c r="BJ93" i="37"/>
  <c r="BO106" i="38"/>
  <c r="DH93" i="38"/>
  <c r="G412" i="46"/>
  <c r="H412" i="46"/>
  <c r="BO109" i="39"/>
  <c r="W97" i="40"/>
  <c r="AS106" i="41"/>
  <c r="AS109" i="41" s="1"/>
  <c r="BH109" i="39"/>
  <c r="N437" i="46"/>
  <c r="BL93" i="1"/>
  <c r="BL93" i="40"/>
  <c r="N412" i="46"/>
  <c r="T12" i="60"/>
  <c r="AP12" i="60" s="1"/>
  <c r="AE51" i="60"/>
  <c r="AP51" i="60" s="1"/>
  <c r="AK93" i="41"/>
  <c r="W95" i="41"/>
  <c r="E134" i="63"/>
  <c r="BH106" i="38"/>
  <c r="BJ93" i="38"/>
  <c r="AA12" i="60"/>
  <c r="AW12" i="60" s="1"/>
  <c r="AL51" i="60"/>
  <c r="AW51" i="60" s="1"/>
  <c r="M134" i="63"/>
  <c r="BO106" i="41"/>
  <c r="DH93" i="41"/>
  <c r="M10" i="48"/>
  <c r="N10" i="48"/>
  <c r="J10" i="48"/>
  <c r="F10" i="48"/>
  <c r="H10" i="48"/>
  <c r="G10" i="48"/>
  <c r="L10" i="48"/>
  <c r="K10" i="48"/>
  <c r="I10" i="48"/>
  <c r="H318" i="35"/>
  <c r="H322" i="35" a="1"/>
  <c r="H322" i="35" s="1"/>
  <c r="H401" i="35" s="1"/>
  <c r="BH106" i="41"/>
  <c r="BJ93" i="41"/>
  <c r="BF377" i="47"/>
  <c r="BH377" i="47" s="1"/>
  <c r="BI377" i="47" s="1"/>
  <c r="AZ383" i="47"/>
  <c r="BG376" i="47"/>
  <c r="BO106" i="37"/>
  <c r="DH93" i="37"/>
  <c r="BQ92" i="25"/>
  <c r="J26" i="35"/>
  <c r="I26" i="35"/>
  <c r="BD52" i="47"/>
  <c r="BB164" i="47"/>
  <c r="BC164" i="47"/>
  <c r="I113" i="60"/>
  <c r="BP92" i="25"/>
  <c r="AY52" i="47"/>
  <c r="F17" i="51"/>
  <c r="BE164" i="47"/>
  <c r="L17" i="51"/>
  <c r="M26" i="35"/>
  <c r="CY96" i="36"/>
  <c r="G7" i="60"/>
  <c r="BO92" i="26"/>
  <c r="K17" i="51"/>
  <c r="BB37" i="47"/>
  <c r="I9" i="44"/>
  <c r="H26" i="63"/>
  <c r="H29" i="60"/>
  <c r="H99" i="63"/>
  <c r="H42" i="65"/>
  <c r="J7" i="66"/>
  <c r="BD180" i="47"/>
  <c r="M9" i="44"/>
  <c r="L7" i="60" s="1"/>
  <c r="L42" i="65"/>
  <c r="L99" i="63"/>
  <c r="L29" i="60"/>
  <c r="L26" i="63"/>
  <c r="BF37" i="47"/>
  <c r="BF164" i="47"/>
  <c r="BE52" i="47"/>
  <c r="AY180" i="47"/>
  <c r="E7" i="66"/>
  <c r="H113" i="60"/>
  <c r="BL93" i="37" l="1"/>
  <c r="I134" i="63"/>
  <c r="E9" i="66"/>
  <c r="E14" i="66" s="1"/>
  <c r="AY182" i="47"/>
  <c r="BF39" i="47"/>
  <c r="BF293" i="47" s="1"/>
  <c r="Z51" i="60"/>
  <c r="L107" i="60" s="1"/>
  <c r="L112" i="63"/>
  <c r="L123" i="63"/>
  <c r="L64" i="65"/>
  <c r="L63" i="65"/>
  <c r="L51" i="65"/>
  <c r="Z13" i="60"/>
  <c r="L19" i="60"/>
  <c r="AK12" i="60"/>
  <c r="H63" i="65"/>
  <c r="H64" i="65"/>
  <c r="H51" i="65"/>
  <c r="H112" i="63"/>
  <c r="H123" i="63"/>
  <c r="V51" i="60"/>
  <c r="H107" i="60" s="1"/>
  <c r="H119" i="60" s="1"/>
  <c r="H125" i="60" s="1"/>
  <c r="H131" i="60" s="1"/>
  <c r="H105" i="64" s="1"/>
  <c r="BB39" i="47"/>
  <c r="BB293" i="47" s="1"/>
  <c r="K80" i="51"/>
  <c r="K85" i="51" s="1"/>
  <c r="BO93" i="26"/>
  <c r="U13" i="60"/>
  <c r="G19" i="60"/>
  <c r="AF12" i="60"/>
  <c r="CY99" i="36"/>
  <c r="DH96" i="36"/>
  <c r="M313" i="35"/>
  <c r="L80" i="51"/>
  <c r="L85" i="51" s="1"/>
  <c r="F80" i="51"/>
  <c r="BP93" i="25"/>
  <c r="BP106" i="25" s="1"/>
  <c r="BP109" i="25" s="1"/>
  <c r="I313" i="35"/>
  <c r="J313" i="35"/>
  <c r="BQ93" i="25"/>
  <c r="BQ106" i="25" s="1"/>
  <c r="BQ109" i="25" s="1"/>
  <c r="BL93" i="38"/>
  <c r="AK93" i="25"/>
  <c r="W95" i="25"/>
  <c r="BJ93" i="25"/>
  <c r="BH106" i="25"/>
  <c r="F318" i="35"/>
  <c r="F322" i="35" a="1"/>
  <c r="F322" i="35" s="1"/>
  <c r="F401" i="35" s="1"/>
  <c r="BO109" i="38"/>
  <c r="L318" i="35"/>
  <c r="L322" i="35" a="1"/>
  <c r="L322" i="35" s="1"/>
  <c r="L401" i="35" s="1"/>
  <c r="Y12" i="60"/>
  <c r="AU12" i="60" s="1"/>
  <c r="AJ51" i="60"/>
  <c r="AU51" i="60" s="1"/>
  <c r="I119" i="60"/>
  <c r="I125" i="60" s="1"/>
  <c r="I131" i="60" s="1"/>
  <c r="I105" i="64" s="1"/>
  <c r="H402" i="35"/>
  <c r="BO109" i="41"/>
  <c r="W97" i="41"/>
  <c r="BJ93" i="26"/>
  <c r="BH106" i="26"/>
  <c r="BL92" i="26"/>
  <c r="X12" i="60"/>
  <c r="AT12" i="60" s="1"/>
  <c r="AI51" i="60"/>
  <c r="AT51" i="60" s="1"/>
  <c r="J134" i="63"/>
  <c r="G134" i="63"/>
  <c r="K318" i="35"/>
  <c r="K322" i="35" a="1"/>
  <c r="K322" i="35" s="1"/>
  <c r="K401" i="35" s="1"/>
  <c r="BO109" i="37"/>
  <c r="BH109" i="41"/>
  <c r="BF376" i="47"/>
  <c r="BH376" i="47" s="1"/>
  <c r="BI376" i="47" s="1"/>
  <c r="BG415" i="47"/>
  <c r="BH415" i="47" s="1"/>
  <c r="BI415" i="47" s="1"/>
  <c r="BH109" i="38"/>
  <c r="BL93" i="41"/>
  <c r="BH109" i="37"/>
  <c r="W97" i="37"/>
  <c r="W97" i="38"/>
  <c r="BO109" i="40"/>
  <c r="H109" i="51"/>
  <c r="H89" i="51"/>
  <c r="H128" i="51" s="1"/>
  <c r="H110" i="51"/>
  <c r="AK93" i="26"/>
  <c r="W95" i="26"/>
  <c r="W12" i="60"/>
  <c r="AS12" i="60" s="1"/>
  <c r="AH51" i="60"/>
  <c r="AS51" i="60" s="1"/>
  <c r="BO106" i="25"/>
  <c r="G26" i="35"/>
  <c r="CY96" i="1"/>
  <c r="J55" i="59"/>
  <c r="J23" i="59"/>
  <c r="L113" i="60"/>
  <c r="CY96" i="40"/>
  <c r="BF52" i="47"/>
  <c r="BC52" i="47"/>
  <c r="BB52" i="47"/>
  <c r="BE180" i="47"/>
  <c r="K7" i="66"/>
  <c r="AP98" i="36"/>
  <c r="H7" i="60"/>
  <c r="BC180" i="47"/>
  <c r="I7" i="66"/>
  <c r="BF180" i="47"/>
  <c r="L7" i="66"/>
  <c r="CY96" i="39"/>
  <c r="J17" i="51"/>
  <c r="N26" i="35"/>
  <c r="BB180" i="47"/>
  <c r="H7" i="66"/>
  <c r="I17" i="51"/>
  <c r="W98" i="36"/>
  <c r="BA222" i="47"/>
  <c r="M17" i="51"/>
  <c r="DH93" i="25" l="1"/>
  <c r="BL93" i="26"/>
  <c r="L134" i="63"/>
  <c r="BL93" i="25"/>
  <c r="M80" i="51"/>
  <c r="M85" i="51" s="1"/>
  <c r="BA227" i="47"/>
  <c r="W99" i="36"/>
  <c r="AK98" i="36"/>
  <c r="I80" i="51"/>
  <c r="I85" i="51" s="1"/>
  <c r="N313" i="35"/>
  <c r="J80" i="51"/>
  <c r="CY99" i="39"/>
  <c r="DH96" i="39"/>
  <c r="V13" i="60"/>
  <c r="H19" i="60"/>
  <c r="AG12" i="60"/>
  <c r="BF98" i="36"/>
  <c r="AP99" i="36"/>
  <c r="CY99" i="40"/>
  <c r="DH96" i="40"/>
  <c r="CY99" i="1"/>
  <c r="DH96" i="1"/>
  <c r="G313" i="35"/>
  <c r="BO109" i="25"/>
  <c r="H111" i="51"/>
  <c r="BH109" i="26"/>
  <c r="I318" i="35"/>
  <c r="I322" i="35" a="1"/>
  <c r="I322" i="35" s="1"/>
  <c r="I401" i="35" s="1"/>
  <c r="F85" i="51"/>
  <c r="F109" i="51"/>
  <c r="F110" i="51"/>
  <c r="F89" i="51"/>
  <c r="F128" i="51" s="1"/>
  <c r="W97" i="26"/>
  <c r="K402" i="35"/>
  <c r="BH109" i="25"/>
  <c r="DH99" i="36"/>
  <c r="CY106" i="36"/>
  <c r="CY109" i="36" s="1"/>
  <c r="BO106" i="26"/>
  <c r="DH93" i="26"/>
  <c r="Z12" i="60"/>
  <c r="AV12" i="60" s="1"/>
  <c r="AK51" i="60"/>
  <c r="AV51" i="60" s="1"/>
  <c r="L119" i="60"/>
  <c r="L125" i="60" s="1"/>
  <c r="L131" i="60" s="1"/>
  <c r="L105" i="64" s="1"/>
  <c r="L402" i="35"/>
  <c r="L109" i="51"/>
  <c r="L110" i="51"/>
  <c r="L89" i="51"/>
  <c r="L128" i="51" s="1"/>
  <c r="H134" i="63"/>
  <c r="F402" i="35"/>
  <c r="W97" i="25"/>
  <c r="J318" i="35"/>
  <c r="J322" i="35" a="1"/>
  <c r="J322" i="35" s="1"/>
  <c r="J401" i="35" s="1"/>
  <c r="M318" i="35"/>
  <c r="M322" i="35" a="1"/>
  <c r="M322" i="35" s="1"/>
  <c r="M401" i="35" s="1"/>
  <c r="U12" i="60"/>
  <c r="AQ12" i="60" s="1"/>
  <c r="AF51" i="60"/>
  <c r="AQ51" i="60" s="1"/>
  <c r="K109" i="51"/>
  <c r="K89" i="51"/>
  <c r="K128" i="51" s="1"/>
  <c r="K110" i="51"/>
  <c r="AZ164" i="47"/>
  <c r="F7" i="66"/>
  <c r="AZ180" i="47"/>
  <c r="BG52" i="47"/>
  <c r="G22" i="66"/>
  <c r="BA190" i="47"/>
  <c r="AP98" i="40"/>
  <c r="CY96" i="38"/>
  <c r="W98" i="1"/>
  <c r="AY222" i="47"/>
  <c r="N17" i="51"/>
  <c r="AZ52" i="47"/>
  <c r="N55" i="59"/>
  <c r="N23" i="59"/>
  <c r="BD222" i="47"/>
  <c r="W98" i="39"/>
  <c r="M55" i="59"/>
  <c r="M23" i="59"/>
  <c r="BE222" i="47"/>
  <c r="W98" i="40"/>
  <c r="AP98" i="1"/>
  <c r="BG164" i="47"/>
  <c r="G17" i="51"/>
  <c r="CY96" i="41"/>
  <c r="BK33" i="3"/>
  <c r="BA245" i="47"/>
  <c r="CY96" i="37"/>
  <c r="H55" i="59"/>
  <c r="H23" i="59"/>
  <c r="BA162" i="47"/>
  <c r="AP98" i="39"/>
  <c r="BF98" i="39" l="1"/>
  <c r="AP99" i="39"/>
  <c r="CY99" i="37"/>
  <c r="DH96" i="37"/>
  <c r="BA255" i="47"/>
  <c r="BA266" i="47"/>
  <c r="BA263" i="47"/>
  <c r="CY99" i="41"/>
  <c r="DH96" i="41"/>
  <c r="G80" i="51"/>
  <c r="G85" i="51" s="1"/>
  <c r="AP99" i="1"/>
  <c r="BF98" i="1"/>
  <c r="W99" i="40"/>
  <c r="AK98" i="40"/>
  <c r="BE227" i="47"/>
  <c r="W99" i="39"/>
  <c r="AK98" i="39"/>
  <c r="BL98" i="39" s="1"/>
  <c r="BD227" i="47"/>
  <c r="N80" i="51"/>
  <c r="AY227" i="47"/>
  <c r="W99" i="1"/>
  <c r="AK98" i="1"/>
  <c r="BL98" i="1" s="1"/>
  <c r="CY99" i="38"/>
  <c r="DH96" i="38"/>
  <c r="AP99" i="40"/>
  <c r="BF98" i="40"/>
  <c r="I402" i="35"/>
  <c r="G318" i="35"/>
  <c r="G322" i="35" a="1"/>
  <c r="G322" i="35" s="1"/>
  <c r="G401" i="35" s="1"/>
  <c r="CY106" i="40"/>
  <c r="CY109" i="40" s="1"/>
  <c r="DH99" i="40"/>
  <c r="CY106" i="39"/>
  <c r="CY109" i="39" s="1"/>
  <c r="DH99" i="39"/>
  <c r="AK99" i="36"/>
  <c r="W101" i="36"/>
  <c r="M402" i="35"/>
  <c r="V12" i="60"/>
  <c r="AR12" i="60" s="1"/>
  <c r="AG51" i="60"/>
  <c r="AR51" i="60" s="1"/>
  <c r="J85" i="51"/>
  <c r="J109" i="51"/>
  <c r="J110" i="51"/>
  <c r="J89" i="51"/>
  <c r="J128" i="51" s="1"/>
  <c r="L111" i="51"/>
  <c r="K111" i="51"/>
  <c r="BO109" i="26"/>
  <c r="F111" i="51"/>
  <c r="DH99" i="1"/>
  <c r="CY106" i="1"/>
  <c r="BF99" i="36"/>
  <c r="AP106" i="36"/>
  <c r="N318" i="35"/>
  <c r="N322" i="35" a="1"/>
  <c r="N322" i="35" s="1"/>
  <c r="N401" i="35" s="1"/>
  <c r="I109" i="51"/>
  <c r="I89" i="51"/>
  <c r="I128" i="51" s="1"/>
  <c r="I110" i="51"/>
  <c r="J402" i="35"/>
  <c r="BL98" i="36"/>
  <c r="M109" i="51"/>
  <c r="M89" i="51"/>
  <c r="M128" i="51" s="1"/>
  <c r="M110" i="51"/>
  <c r="BE190" i="47"/>
  <c r="K22" i="66"/>
  <c r="BD245" i="47"/>
  <c r="BE162" i="47"/>
  <c r="H11" i="45"/>
  <c r="W98" i="37"/>
  <c r="BB222" i="47"/>
  <c r="O55" i="59"/>
  <c r="O23" i="59"/>
  <c r="BE245" i="47"/>
  <c r="BD190" i="47"/>
  <c r="J22" i="66"/>
  <c r="BC222" i="47"/>
  <c r="W98" i="38"/>
  <c r="K23" i="59"/>
  <c r="K55" i="59"/>
  <c r="AP98" i="41"/>
  <c r="BD162" i="47"/>
  <c r="AP98" i="38"/>
  <c r="AX37" i="3"/>
  <c r="AY162" i="47"/>
  <c r="L23" i="59"/>
  <c r="L55" i="59"/>
  <c r="BF222" i="47"/>
  <c r="W98" i="41"/>
  <c r="BJ33" i="3"/>
  <c r="AY245" i="47"/>
  <c r="CY96" i="25"/>
  <c r="M7" i="66"/>
  <c r="BG180" i="47"/>
  <c r="AP98" i="37"/>
  <c r="CY96" i="26"/>
  <c r="BL99" i="36" l="1"/>
  <c r="CY99" i="26"/>
  <c r="DH96" i="26"/>
  <c r="AP99" i="37"/>
  <c r="BF98" i="37"/>
  <c r="CY99" i="25"/>
  <c r="DH96" i="25"/>
  <c r="AY266" i="47"/>
  <c r="AY255" i="47"/>
  <c r="AY263" i="47"/>
  <c r="W99" i="41"/>
  <c r="AK98" i="41"/>
  <c r="BF227" i="47"/>
  <c r="AY175" i="47"/>
  <c r="AX47" i="3"/>
  <c r="AX48" i="3" s="1"/>
  <c r="BF98" i="38"/>
  <c r="AP99" i="38"/>
  <c r="BF98" i="41"/>
  <c r="AP99" i="41"/>
  <c r="W99" i="38"/>
  <c r="AK98" i="38"/>
  <c r="BC227" i="47"/>
  <c r="BE255" i="47"/>
  <c r="BE266" i="47"/>
  <c r="BE263" i="47"/>
  <c r="BB227" i="47"/>
  <c r="W99" i="37"/>
  <c r="AK98" i="37"/>
  <c r="H64" i="45"/>
  <c r="BD266" i="47"/>
  <c r="BD263" i="47"/>
  <c r="BD255" i="47"/>
  <c r="N402" i="35"/>
  <c r="CY109" i="1"/>
  <c r="DH106" i="1"/>
  <c r="G402" i="35"/>
  <c r="BF99" i="40"/>
  <c r="AP106" i="40"/>
  <c r="AK99" i="1"/>
  <c r="W101" i="1"/>
  <c r="BL98" i="40"/>
  <c r="BA271" i="47"/>
  <c r="BA267" i="47"/>
  <c r="DH99" i="37"/>
  <c r="CY106" i="37"/>
  <c r="CY109" i="37" s="1"/>
  <c r="M111" i="51"/>
  <c r="AP109" i="36"/>
  <c r="J111" i="51"/>
  <c r="AK99" i="40"/>
  <c r="W101" i="40"/>
  <c r="G109" i="51"/>
  <c r="G89" i="51"/>
  <c r="G128" i="51" s="1"/>
  <c r="G110" i="51"/>
  <c r="I111" i="51"/>
  <c r="CY106" i="38"/>
  <c r="CY109" i="38" s="1"/>
  <c r="DH99" i="38"/>
  <c r="N85" i="51"/>
  <c r="N109" i="51"/>
  <c r="N89" i="51"/>
  <c r="N128" i="51" s="1"/>
  <c r="N110" i="51"/>
  <c r="AK99" i="39"/>
  <c r="W101" i="39"/>
  <c r="H467" i="17"/>
  <c r="H469" i="17"/>
  <c r="H475" i="17"/>
  <c r="H201" i="12"/>
  <c r="H470" i="17"/>
  <c r="H350" i="13"/>
  <c r="H202" i="12"/>
  <c r="H476" i="17"/>
  <c r="H172" i="18"/>
  <c r="H175" i="18"/>
  <c r="H353" i="13"/>
  <c r="H288" i="7"/>
  <c r="H173" i="18"/>
  <c r="H204" i="12"/>
  <c r="H478" i="17"/>
  <c r="H479" i="17"/>
  <c r="H289" i="7"/>
  <c r="H468" i="17"/>
  <c r="H495" i="34"/>
  <c r="H203" i="12"/>
  <c r="H477" i="17"/>
  <c r="H480" i="17"/>
  <c r="H492" i="34"/>
  <c r="H174" i="18"/>
  <c r="H974" i="4"/>
  <c r="H985" i="4"/>
  <c r="H975" i="4"/>
  <c r="H976" i="4"/>
  <c r="H984" i="4"/>
  <c r="H987" i="4"/>
  <c r="H982" i="4"/>
  <c r="H977" i="4"/>
  <c r="H983" i="4"/>
  <c r="H986" i="4"/>
  <c r="BF99" i="39"/>
  <c r="AP106" i="39"/>
  <c r="BF99" i="1"/>
  <c r="AP106" i="1"/>
  <c r="CY106" i="41"/>
  <c r="CY109" i="41" s="1"/>
  <c r="DH99" i="41"/>
  <c r="BC162" i="47"/>
  <c r="BC245" i="47"/>
  <c r="BL33" i="3"/>
  <c r="BB245" i="47"/>
  <c r="F11" i="45"/>
  <c r="G40" i="65"/>
  <c r="BA35" i="47"/>
  <c r="BK24" i="3"/>
  <c r="G97" i="63"/>
  <c r="G24" i="63"/>
  <c r="L11" i="45"/>
  <c r="AP98" i="25"/>
  <c r="W98" i="26"/>
  <c r="BG222" i="47"/>
  <c r="K11" i="45"/>
  <c r="AY190" i="47"/>
  <c r="E22" i="66"/>
  <c r="BB162" i="47"/>
  <c r="L22" i="66"/>
  <c r="BF190" i="47"/>
  <c r="BF245" i="47"/>
  <c r="BB190" i="47"/>
  <c r="H22" i="66"/>
  <c r="W98" i="25"/>
  <c r="AZ222" i="47"/>
  <c r="BC190" i="47"/>
  <c r="I22" i="66"/>
  <c r="P55" i="59"/>
  <c r="P23" i="59"/>
  <c r="BF162" i="47"/>
  <c r="I55" i="59"/>
  <c r="I23" i="59"/>
  <c r="AP98" i="26"/>
  <c r="BL98" i="38" l="1"/>
  <c r="BL98" i="37"/>
  <c r="BL98" i="41"/>
  <c r="BF98" i="26"/>
  <c r="AP99" i="26"/>
  <c r="AZ227" i="47"/>
  <c r="W99" i="25"/>
  <c r="AK98" i="25"/>
  <c r="BF255" i="47"/>
  <c r="BF263" i="47"/>
  <c r="BF266" i="47"/>
  <c r="E24" i="66"/>
  <c r="AY192" i="47"/>
  <c r="K64" i="45"/>
  <c r="BG227" i="47"/>
  <c r="W99" i="26"/>
  <c r="AK98" i="26"/>
  <c r="AP99" i="25"/>
  <c r="BF98" i="25"/>
  <c r="L64" i="45"/>
  <c r="G111" i="63"/>
  <c r="G122" i="63"/>
  <c r="BA36" i="47"/>
  <c r="G50" i="65"/>
  <c r="F64" i="45"/>
  <c r="BB255" i="47"/>
  <c r="BB266" i="47"/>
  <c r="BB263" i="47"/>
  <c r="BC266" i="47"/>
  <c r="BC263" i="47"/>
  <c r="BC255" i="47"/>
  <c r="H489" i="17"/>
  <c r="H774" i="17" s="1"/>
  <c r="H483" i="17"/>
  <c r="H484" i="17" s="1"/>
  <c r="H491" i="17"/>
  <c r="H776" i="17" s="1"/>
  <c r="H490" i="17"/>
  <c r="H775" i="17" s="1"/>
  <c r="H488" i="17"/>
  <c r="H773" i="17" s="1"/>
  <c r="BL99" i="40"/>
  <c r="AP109" i="39"/>
  <c r="H295" i="7"/>
  <c r="H327" i="7" s="1"/>
  <c r="H293" i="7"/>
  <c r="H325" i="7" s="1"/>
  <c r="H294" i="7"/>
  <c r="H326" i="7" s="1"/>
  <c r="H292" i="7"/>
  <c r="H324" i="7" s="1"/>
  <c r="G111" i="51"/>
  <c r="AP109" i="40"/>
  <c r="K353" i="13"/>
  <c r="K289" i="7"/>
  <c r="K350" i="13"/>
  <c r="K172" i="18"/>
  <c r="K175" i="18"/>
  <c r="K480" i="17"/>
  <c r="K174" i="18"/>
  <c r="K469" i="17"/>
  <c r="K475" i="17"/>
  <c r="K478" i="17"/>
  <c r="K495" i="34"/>
  <c r="K468" i="17"/>
  <c r="K467" i="17"/>
  <c r="K477" i="17"/>
  <c r="K204" i="12"/>
  <c r="K288" i="7"/>
  <c r="K479" i="17"/>
  <c r="K476" i="17"/>
  <c r="K201" i="12"/>
  <c r="K173" i="18"/>
  <c r="K492" i="34"/>
  <c r="K202" i="12"/>
  <c r="K203" i="12"/>
  <c r="K470" i="17"/>
  <c r="K976" i="4"/>
  <c r="K987" i="4"/>
  <c r="K977" i="4"/>
  <c r="K984" i="4"/>
  <c r="K983" i="4"/>
  <c r="K986" i="4"/>
  <c r="K974" i="4"/>
  <c r="K982" i="4"/>
  <c r="K985" i="4"/>
  <c r="K975" i="4"/>
  <c r="H65" i="45"/>
  <c r="H114" i="45" s="1"/>
  <c r="H78" i="45"/>
  <c r="H73" i="45"/>
  <c r="H123" i="45" s="1"/>
  <c r="H110" i="45"/>
  <c r="H66" i="45"/>
  <c r="H113" i="45" s="1"/>
  <c r="BE271" i="47"/>
  <c r="BE267" i="47"/>
  <c r="AK99" i="41"/>
  <c r="W101" i="41"/>
  <c r="H499" i="34"/>
  <c r="H590" i="34" s="1"/>
  <c r="H497" i="34"/>
  <c r="H589" i="34" s="1"/>
  <c r="H501" i="34"/>
  <c r="H592" i="34" s="1"/>
  <c r="H500" i="34"/>
  <c r="H591" i="34" s="1"/>
  <c r="DH109" i="1"/>
  <c r="AY271" i="47"/>
  <c r="AY267" i="47"/>
  <c r="CY106" i="25"/>
  <c r="CY109" i="25" s="1"/>
  <c r="DH99" i="25"/>
  <c r="BF99" i="37"/>
  <c r="AP106" i="37"/>
  <c r="N111" i="51"/>
  <c r="BD271" i="47"/>
  <c r="BD267" i="47"/>
  <c r="AP109" i="1"/>
  <c r="H358" i="13"/>
  <c r="H467" i="13" s="1"/>
  <c r="H357" i="13"/>
  <c r="H466" i="13" s="1"/>
  <c r="H355" i="13"/>
  <c r="H464" i="13" s="1"/>
  <c r="H356" i="13"/>
  <c r="H465" i="13" s="1"/>
  <c r="BL99" i="39"/>
  <c r="BA273" i="47"/>
  <c r="BA275" i="47"/>
  <c r="BA276" i="47" s="1"/>
  <c r="AK99" i="37"/>
  <c r="W101" i="37"/>
  <c r="L203" i="12"/>
  <c r="L476" i="17"/>
  <c r="L468" i="17"/>
  <c r="L172" i="18"/>
  <c r="L469" i="17"/>
  <c r="L480" i="17"/>
  <c r="L353" i="13"/>
  <c r="L475" i="17"/>
  <c r="L479" i="17"/>
  <c r="L350" i="13"/>
  <c r="L202" i="12"/>
  <c r="L175" i="18"/>
  <c r="L288" i="7"/>
  <c r="L289" i="7"/>
  <c r="L467" i="17"/>
  <c r="L173" i="18"/>
  <c r="L492" i="34"/>
  <c r="L174" i="18"/>
  <c r="L204" i="12"/>
  <c r="L477" i="17"/>
  <c r="L495" i="34"/>
  <c r="L478" i="17"/>
  <c r="L470" i="17"/>
  <c r="L201" i="12"/>
  <c r="L974" i="4"/>
  <c r="L977" i="4"/>
  <c r="L976" i="4"/>
  <c r="L985" i="4"/>
  <c r="L984" i="4"/>
  <c r="L982" i="4"/>
  <c r="L986" i="4"/>
  <c r="L975" i="4"/>
  <c r="L983" i="4"/>
  <c r="L987" i="4"/>
  <c r="AK99" i="38"/>
  <c r="W101" i="38"/>
  <c r="AP106" i="38"/>
  <c r="BF99" i="38"/>
  <c r="F469" i="17"/>
  <c r="F204" i="12"/>
  <c r="F470" i="17"/>
  <c r="F495" i="34"/>
  <c r="F288" i="7"/>
  <c r="F467" i="17"/>
  <c r="F480" i="17"/>
  <c r="F468" i="17"/>
  <c r="F173" i="18"/>
  <c r="F479" i="17"/>
  <c r="F350" i="13"/>
  <c r="F353" i="13"/>
  <c r="F475" i="17"/>
  <c r="F289" i="7"/>
  <c r="F201" i="12"/>
  <c r="F477" i="17"/>
  <c r="F203" i="12"/>
  <c r="F172" i="18"/>
  <c r="F175" i="18"/>
  <c r="F174" i="18"/>
  <c r="F478" i="17"/>
  <c r="F202" i="12"/>
  <c r="F476" i="17"/>
  <c r="F492" i="34"/>
  <c r="F976" i="4"/>
  <c r="F985" i="4"/>
  <c r="F986" i="4"/>
  <c r="F987" i="4"/>
  <c r="F974" i="4"/>
  <c r="F984" i="4"/>
  <c r="F983" i="4"/>
  <c r="F977" i="4"/>
  <c r="F975" i="4"/>
  <c r="F982" i="4"/>
  <c r="H997" i="4"/>
  <c r="H1290" i="4" s="1"/>
  <c r="H995" i="4"/>
  <c r="H1288" i="4" s="1"/>
  <c r="H990" i="4"/>
  <c r="H991" i="4" s="1"/>
  <c r="H996" i="4"/>
  <c r="H1289" i="4" s="1"/>
  <c r="H994" i="4"/>
  <c r="H1287" i="4" s="1"/>
  <c r="BL99" i="1"/>
  <c r="AP106" i="41"/>
  <c r="BF99" i="41"/>
  <c r="DH99" i="26"/>
  <c r="CY106" i="26"/>
  <c r="CY109" i="26" s="1"/>
  <c r="W102" i="36"/>
  <c r="AZ162" i="47"/>
  <c r="AZ245" i="47"/>
  <c r="K24" i="63"/>
  <c r="BE35" i="47"/>
  <c r="K40" i="65"/>
  <c r="K97" i="63"/>
  <c r="G93" i="60"/>
  <c r="BI102" i="36"/>
  <c r="Z102" i="36"/>
  <c r="M11" i="45"/>
  <c r="I11" i="45"/>
  <c r="BG245" i="47"/>
  <c r="BM33" i="3"/>
  <c r="J40" i="65"/>
  <c r="J97" i="63"/>
  <c r="J24" i="63"/>
  <c r="BD35" i="47"/>
  <c r="BJ24" i="3"/>
  <c r="E40" i="65"/>
  <c r="E97" i="63"/>
  <c r="AY35" i="47"/>
  <c r="E24" i="63"/>
  <c r="J11" i="45"/>
  <c r="BT102" i="36"/>
  <c r="F22" i="66"/>
  <c r="AZ190" i="47"/>
  <c r="AY37" i="3"/>
  <c r="BG162" i="47"/>
  <c r="M22" i="66"/>
  <c r="BG190" i="47"/>
  <c r="BL98" i="26" l="1"/>
  <c r="BT104" i="36"/>
  <c r="DH102" i="36"/>
  <c r="J64" i="45"/>
  <c r="AY36" i="47"/>
  <c r="E111" i="63"/>
  <c r="E122" i="63"/>
  <c r="E50" i="65"/>
  <c r="BD36" i="47"/>
  <c r="J111" i="63"/>
  <c r="J122" i="63"/>
  <c r="J50" i="65"/>
  <c r="BG255" i="47"/>
  <c r="BG263" i="47"/>
  <c r="BG266" i="47"/>
  <c r="I64" i="45"/>
  <c r="M64" i="45"/>
  <c r="Z103" i="36"/>
  <c r="Z104" i="36" s="1"/>
  <c r="Z106" i="36" s="1"/>
  <c r="Z109" i="36" s="1"/>
  <c r="BI104" i="36"/>
  <c r="BJ102" i="36"/>
  <c r="AF35" i="60"/>
  <c r="K111" i="63"/>
  <c r="K122" i="63"/>
  <c r="K50" i="65"/>
  <c r="BE36" i="47"/>
  <c r="AZ266" i="47"/>
  <c r="AZ255" i="47"/>
  <c r="AZ263" i="47"/>
  <c r="W104" i="36"/>
  <c r="AK102" i="36"/>
  <c r="BL102" i="36" s="1"/>
  <c r="F491" i="17"/>
  <c r="F776" i="17" s="1"/>
  <c r="F488" i="17"/>
  <c r="F773" i="17" s="1"/>
  <c r="F489" i="17"/>
  <c r="F774" i="17" s="1"/>
  <c r="F483" i="17"/>
  <c r="F484" i="17" s="1"/>
  <c r="F490" i="17"/>
  <c r="F775" i="17" s="1"/>
  <c r="L996" i="4"/>
  <c r="L1289" i="4" s="1"/>
  <c r="L997" i="4"/>
  <c r="L1290" i="4" s="1"/>
  <c r="L994" i="4"/>
  <c r="L1287" i="4" s="1"/>
  <c r="L995" i="4"/>
  <c r="L1288" i="4" s="1"/>
  <c r="L990" i="4"/>
  <c r="L991" i="4" s="1"/>
  <c r="L499" i="34"/>
  <c r="L590" i="34" s="1"/>
  <c r="L497" i="34"/>
  <c r="L589" i="34" s="1"/>
  <c r="L500" i="34"/>
  <c r="L591" i="34" s="1"/>
  <c r="L501" i="34"/>
  <c r="L592" i="34" s="1"/>
  <c r="L293" i="7"/>
  <c r="L325" i="7" s="1"/>
  <c r="L294" i="7"/>
  <c r="L326" i="7" s="1"/>
  <c r="L295" i="7"/>
  <c r="L327" i="7" s="1"/>
  <c r="L292" i="7"/>
  <c r="L324" i="7" s="1"/>
  <c r="BE275" i="47"/>
  <c r="BE276" i="47" s="1"/>
  <c r="BE273" i="47"/>
  <c r="H124" i="45"/>
  <c r="K500" i="34"/>
  <c r="K591" i="34" s="1"/>
  <c r="K501" i="34"/>
  <c r="K592" i="34" s="1"/>
  <c r="K497" i="34"/>
  <c r="K589" i="34" s="1"/>
  <c r="K499" i="34"/>
  <c r="K590" i="34" s="1"/>
  <c r="K483" i="17"/>
  <c r="K484" i="17" s="1"/>
  <c r="K491" i="17"/>
  <c r="K776" i="17" s="1"/>
  <c r="K490" i="17"/>
  <c r="K775" i="17" s="1"/>
  <c r="K488" i="17"/>
  <c r="K773" i="17" s="1"/>
  <c r="K489" i="17"/>
  <c r="K774" i="17" s="1"/>
  <c r="BB271" i="47"/>
  <c r="BB267" i="47"/>
  <c r="AY194" i="47"/>
  <c r="E38" i="66"/>
  <c r="E40" i="66" s="1"/>
  <c r="E42" i="66" s="1"/>
  <c r="AY155" i="47"/>
  <c r="AZ37" i="3" s="1"/>
  <c r="AP109" i="41"/>
  <c r="F996" i="4"/>
  <c r="F1289" i="4" s="1"/>
  <c r="F990" i="4"/>
  <c r="F991" i="4" s="1"/>
  <c r="F997" i="4"/>
  <c r="F1290" i="4" s="1"/>
  <c r="F995" i="4"/>
  <c r="F1288" i="4" s="1"/>
  <c r="F994" i="4"/>
  <c r="F1287" i="4" s="1"/>
  <c r="F295" i="7"/>
  <c r="F327" i="7" s="1"/>
  <c r="F293" i="7"/>
  <c r="F325" i="7" s="1"/>
  <c r="F294" i="7"/>
  <c r="F326" i="7" s="1"/>
  <c r="F292" i="7"/>
  <c r="F324" i="7" s="1"/>
  <c r="AP109" i="37"/>
  <c r="AY275" i="47"/>
  <c r="AY276" i="47" s="1"/>
  <c r="AY273" i="47"/>
  <c r="I79" i="45"/>
  <c r="K293" i="7"/>
  <c r="K325" i="7" s="1"/>
  <c r="K292" i="7"/>
  <c r="K324" i="7" s="1"/>
  <c r="K295" i="7"/>
  <c r="K327" i="7" s="1"/>
  <c r="K294" i="7"/>
  <c r="K326" i="7" s="1"/>
  <c r="J203" i="12"/>
  <c r="J174" i="18"/>
  <c r="J480" i="17"/>
  <c r="J476" i="17"/>
  <c r="J477" i="17"/>
  <c r="J353" i="13"/>
  <c r="J475" i="17"/>
  <c r="J172" i="18"/>
  <c r="J469" i="17"/>
  <c r="J467" i="17"/>
  <c r="J470" i="17"/>
  <c r="J175" i="18"/>
  <c r="J204" i="12"/>
  <c r="J173" i="18"/>
  <c r="J288" i="7"/>
  <c r="J479" i="17"/>
  <c r="J478" i="17"/>
  <c r="J492" i="34"/>
  <c r="J495" i="34"/>
  <c r="J201" i="12"/>
  <c r="J202" i="12"/>
  <c r="J468" i="17"/>
  <c r="J289" i="7"/>
  <c r="J350" i="13"/>
  <c r="J975" i="4"/>
  <c r="J983" i="4"/>
  <c r="J984" i="4"/>
  <c r="J985" i="4"/>
  <c r="J974" i="4"/>
  <c r="J982" i="4"/>
  <c r="J976" i="4"/>
  <c r="J987" i="4"/>
  <c r="J977" i="4"/>
  <c r="J986" i="4"/>
  <c r="L73" i="45"/>
  <c r="L123" i="45" s="1"/>
  <c r="L110" i="45"/>
  <c r="L152" i="45"/>
  <c r="L78" i="45"/>
  <c r="L65" i="45"/>
  <c r="L114" i="45" s="1"/>
  <c r="AK99" i="26"/>
  <c r="W101" i="26"/>
  <c r="BL98" i="25"/>
  <c r="F499" i="34"/>
  <c r="F590" i="34" s="1"/>
  <c r="F500" i="34"/>
  <c r="F591" i="34" s="1"/>
  <c r="F501" i="34"/>
  <c r="F592" i="34" s="1"/>
  <c r="F497" i="34"/>
  <c r="F589" i="34" s="1"/>
  <c r="BL99" i="38"/>
  <c r="L491" i="17"/>
  <c r="L776" i="17" s="1"/>
  <c r="L488" i="17"/>
  <c r="L773" i="17" s="1"/>
  <c r="L483" i="17"/>
  <c r="L484" i="17" s="1"/>
  <c r="L490" i="17"/>
  <c r="L775" i="17" s="1"/>
  <c r="L489" i="17"/>
  <c r="L774" i="17" s="1"/>
  <c r="BD275" i="47"/>
  <c r="BD276" i="47" s="1"/>
  <c r="BD273" i="47"/>
  <c r="K995" i="4"/>
  <c r="K1288" i="4" s="1"/>
  <c r="K990" i="4"/>
  <c r="K991" i="4" s="1"/>
  <c r="K994" i="4"/>
  <c r="K1287" i="4" s="1"/>
  <c r="K996" i="4"/>
  <c r="K1289" i="4" s="1"/>
  <c r="K997" i="4"/>
  <c r="K1290" i="4" s="1"/>
  <c r="K356" i="13"/>
  <c r="K465" i="13" s="1"/>
  <c r="K357" i="13"/>
  <c r="K466" i="13" s="1"/>
  <c r="K358" i="13"/>
  <c r="K467" i="13" s="1"/>
  <c r="K355" i="13"/>
  <c r="K464" i="13" s="1"/>
  <c r="BC271" i="47"/>
  <c r="BC267" i="47"/>
  <c r="I476" i="17"/>
  <c r="I353" i="13"/>
  <c r="I173" i="18"/>
  <c r="I175" i="18"/>
  <c r="I468" i="17"/>
  <c r="I288" i="7"/>
  <c r="I470" i="17"/>
  <c r="I289" i="7"/>
  <c r="I469" i="17"/>
  <c r="I203" i="12"/>
  <c r="I479" i="17"/>
  <c r="I477" i="17"/>
  <c r="I204" i="12"/>
  <c r="I480" i="17"/>
  <c r="I202" i="12"/>
  <c r="I350" i="13"/>
  <c r="I174" i="18"/>
  <c r="I201" i="12"/>
  <c r="I475" i="17"/>
  <c r="I467" i="17"/>
  <c r="I492" i="34"/>
  <c r="I172" i="18"/>
  <c r="I495" i="34"/>
  <c r="I478" i="17"/>
  <c r="I983" i="4"/>
  <c r="I974" i="4"/>
  <c r="I975" i="4"/>
  <c r="I984" i="4"/>
  <c r="I987" i="4"/>
  <c r="I977" i="4"/>
  <c r="I985" i="4"/>
  <c r="I986" i="4"/>
  <c r="I976" i="4"/>
  <c r="I982" i="4"/>
  <c r="G133" i="63"/>
  <c r="BF271" i="47"/>
  <c r="BF267" i="47"/>
  <c r="AK99" i="25"/>
  <c r="W101" i="25"/>
  <c r="BF99" i="26"/>
  <c r="AP106" i="26"/>
  <c r="F355" i="13"/>
  <c r="F464" i="13" s="1"/>
  <c r="F357" i="13"/>
  <c r="F466" i="13" s="1"/>
  <c r="F358" i="13"/>
  <c r="F467" i="13" s="1"/>
  <c r="F356" i="13"/>
  <c r="F465" i="13" s="1"/>
  <c r="AP109" i="38"/>
  <c r="L357" i="13"/>
  <c r="L466" i="13" s="1"/>
  <c r="L356" i="13"/>
  <c r="L465" i="13" s="1"/>
  <c r="L355" i="13"/>
  <c r="L464" i="13" s="1"/>
  <c r="L358" i="13"/>
  <c r="L467" i="13" s="1"/>
  <c r="BL99" i="37"/>
  <c r="BL99" i="41"/>
  <c r="H115" i="45"/>
  <c r="F110" i="45"/>
  <c r="F78" i="45"/>
  <c r="G79" i="45" s="1"/>
  <c r="F65" i="45"/>
  <c r="F114" i="45" s="1"/>
  <c r="BA292" i="47"/>
  <c r="AP106" i="25"/>
  <c r="BF99" i="25"/>
  <c r="K110" i="45"/>
  <c r="K73" i="45"/>
  <c r="K123" i="45" s="1"/>
  <c r="K78" i="45"/>
  <c r="L79" i="45" s="1"/>
  <c r="K65" i="45"/>
  <c r="K114" i="45" s="1"/>
  <c r="M202" i="12"/>
  <c r="M495" i="34"/>
  <c r="M492" i="34"/>
  <c r="M203" i="12"/>
  <c r="M175" i="18"/>
  <c r="M467" i="17"/>
  <c r="M469" i="17"/>
  <c r="M350" i="13"/>
  <c r="M470" i="17"/>
  <c r="M479" i="17"/>
  <c r="M201" i="12"/>
  <c r="M204" i="12"/>
  <c r="M476" i="17"/>
  <c r="M475" i="17"/>
  <c r="M480" i="17"/>
  <c r="M468" i="17"/>
  <c r="M478" i="17"/>
  <c r="M477" i="17"/>
  <c r="M173" i="18"/>
  <c r="M288" i="7"/>
  <c r="M353" i="13"/>
  <c r="M174" i="18"/>
  <c r="M289" i="7"/>
  <c r="M172" i="18"/>
  <c r="M985" i="4"/>
  <c r="M983" i="4"/>
  <c r="M982" i="4"/>
  <c r="M976" i="4"/>
  <c r="M987" i="4"/>
  <c r="M975" i="4"/>
  <c r="M977" i="4"/>
  <c r="M986" i="4"/>
  <c r="M984" i="4"/>
  <c r="M974" i="4"/>
  <c r="W102" i="40"/>
  <c r="J93" i="60"/>
  <c r="BI102" i="39"/>
  <c r="W102" i="39"/>
  <c r="E93" i="60"/>
  <c r="BI102" i="1"/>
  <c r="BT102" i="39"/>
  <c r="L40" i="65"/>
  <c r="L24" i="63"/>
  <c r="BF35" i="47"/>
  <c r="L97" i="63"/>
  <c r="H40" i="65"/>
  <c r="H97" i="63"/>
  <c r="BB35" i="47"/>
  <c r="H24" i="63"/>
  <c r="N11" i="45"/>
  <c r="BT102" i="40"/>
  <c r="K93" i="60"/>
  <c r="BI102" i="40"/>
  <c r="BC35" i="47"/>
  <c r="I97" i="63"/>
  <c r="BL24" i="3"/>
  <c r="I40" i="65"/>
  <c r="I24" i="63"/>
  <c r="G11" i="45"/>
  <c r="W102" i="1"/>
  <c r="BA60" i="47"/>
  <c r="AY153" i="47" l="1"/>
  <c r="L66" i="45"/>
  <c r="L113" i="45" s="1"/>
  <c r="W104" i="1"/>
  <c r="G64" i="45"/>
  <c r="I50" i="65"/>
  <c r="I111" i="63"/>
  <c r="I122" i="63"/>
  <c r="BC36" i="47"/>
  <c r="BI104" i="40"/>
  <c r="BJ102" i="40"/>
  <c r="AJ35" i="60"/>
  <c r="BT104" i="40"/>
  <c r="DH102" i="40"/>
  <c r="N64" i="45"/>
  <c r="BB36" i="47"/>
  <c r="H111" i="63"/>
  <c r="H122" i="63"/>
  <c r="H50" i="65"/>
  <c r="L111" i="63"/>
  <c r="L122" i="63"/>
  <c r="BF36" i="47"/>
  <c r="L50" i="65"/>
  <c r="BT104" i="39"/>
  <c r="DH102" i="39"/>
  <c r="BI104" i="1"/>
  <c r="BJ102" i="1"/>
  <c r="AD35" i="60"/>
  <c r="W104" i="39"/>
  <c r="BI104" i="39"/>
  <c r="BJ102" i="39"/>
  <c r="AI35" i="60"/>
  <c r="W104" i="40"/>
  <c r="M500" i="34"/>
  <c r="M591" i="34" s="1"/>
  <c r="M497" i="34"/>
  <c r="M589" i="34" s="1"/>
  <c r="M501" i="34"/>
  <c r="M592" i="34" s="1"/>
  <c r="M499" i="34"/>
  <c r="M590" i="34" s="1"/>
  <c r="M490" i="17"/>
  <c r="M775" i="17" s="1"/>
  <c r="M483" i="17"/>
  <c r="M484" i="17" s="1"/>
  <c r="M491" i="17"/>
  <c r="M776" i="17" s="1"/>
  <c r="M489" i="17"/>
  <c r="M774" i="17" s="1"/>
  <c r="M488" i="17"/>
  <c r="M773" i="17" s="1"/>
  <c r="AP109" i="25"/>
  <c r="F66" i="45"/>
  <c r="F113" i="45" s="1"/>
  <c r="I489" i="17"/>
  <c r="I774" i="17" s="1"/>
  <c r="I483" i="17"/>
  <c r="I484" i="17" s="1"/>
  <c r="I490" i="17"/>
  <c r="I775" i="17" s="1"/>
  <c r="I491" i="17"/>
  <c r="I776" i="17" s="1"/>
  <c r="I488" i="17"/>
  <c r="I773" i="17" s="1"/>
  <c r="I358" i="13"/>
  <c r="I467" i="13" s="1"/>
  <c r="I357" i="13"/>
  <c r="I466" i="13" s="1"/>
  <c r="I355" i="13"/>
  <c r="I464" i="13" s="1"/>
  <c r="I356" i="13"/>
  <c r="I465" i="13" s="1"/>
  <c r="BC275" i="47"/>
  <c r="BC276" i="47" s="1"/>
  <c r="BC273" i="47"/>
  <c r="L124" i="45"/>
  <c r="J295" i="7"/>
  <c r="J327" i="7" s="1"/>
  <c r="J294" i="7"/>
  <c r="J326" i="7" s="1"/>
  <c r="J293" i="7"/>
  <c r="J325" i="7" s="1"/>
  <c r="J292" i="7"/>
  <c r="J324" i="7" s="1"/>
  <c r="AZ271" i="47"/>
  <c r="AZ267" i="47"/>
  <c r="BG271" i="47"/>
  <c r="BG267" i="47"/>
  <c r="J73" i="45"/>
  <c r="J123" i="45" s="1"/>
  <c r="J110" i="45"/>
  <c r="J65" i="45"/>
  <c r="J114" i="45" s="1"/>
  <c r="J78" i="45"/>
  <c r="AP109" i="26"/>
  <c r="BL99" i="25"/>
  <c r="M79" i="45"/>
  <c r="L80" i="45"/>
  <c r="L81" i="45" s="1"/>
  <c r="J497" i="34"/>
  <c r="J589" i="34" s="1"/>
  <c r="J501" i="34"/>
  <c r="J592" i="34" s="1"/>
  <c r="J499" i="34"/>
  <c r="J590" i="34" s="1"/>
  <c r="J500" i="34"/>
  <c r="J591" i="34" s="1"/>
  <c r="J488" i="17"/>
  <c r="J773" i="17" s="1"/>
  <c r="J489" i="17"/>
  <c r="J774" i="17" s="1"/>
  <c r="J490" i="17"/>
  <c r="J775" i="17" s="1"/>
  <c r="J491" i="17"/>
  <c r="J776" i="17" s="1"/>
  <c r="J483" i="17"/>
  <c r="J484" i="17" s="1"/>
  <c r="BB273" i="47"/>
  <c r="BB275" i="47"/>
  <c r="BB276" i="47" s="1"/>
  <c r="G469" i="17"/>
  <c r="G470" i="17"/>
  <c r="G476" i="17"/>
  <c r="G172" i="18"/>
  <c r="G202" i="12"/>
  <c r="G468" i="17"/>
  <c r="G174" i="18"/>
  <c r="G350" i="13"/>
  <c r="G477" i="17"/>
  <c r="G173" i="18"/>
  <c r="G479" i="17"/>
  <c r="G175" i="18"/>
  <c r="G201" i="12"/>
  <c r="G203" i="12"/>
  <c r="G467" i="17"/>
  <c r="G492" i="34"/>
  <c r="G495" i="34"/>
  <c r="G475" i="17"/>
  <c r="G353" i="13"/>
  <c r="G289" i="7"/>
  <c r="G480" i="17"/>
  <c r="G478" i="17"/>
  <c r="G288" i="7"/>
  <c r="G204" i="12"/>
  <c r="G976" i="4"/>
  <c r="G986" i="4"/>
  <c r="G983" i="4"/>
  <c r="G977" i="4"/>
  <c r="G987" i="4"/>
  <c r="G975" i="4"/>
  <c r="G984" i="4"/>
  <c r="G982" i="4"/>
  <c r="G974" i="4"/>
  <c r="G985" i="4"/>
  <c r="M110" i="45"/>
  <c r="M152" i="45"/>
  <c r="M73" i="45"/>
  <c r="M123" i="45" s="1"/>
  <c r="M65" i="45"/>
  <c r="M114" i="45" s="1"/>
  <c r="M78" i="45"/>
  <c r="N468" i="17"/>
  <c r="N492" i="34"/>
  <c r="N495" i="34"/>
  <c r="N477" i="17"/>
  <c r="N480" i="17"/>
  <c r="N476" i="17"/>
  <c r="N479" i="17"/>
  <c r="N201" i="12"/>
  <c r="N203" i="12"/>
  <c r="N475" i="17"/>
  <c r="N204" i="12"/>
  <c r="N172" i="18"/>
  <c r="N470" i="17"/>
  <c r="N175" i="18"/>
  <c r="N173" i="18"/>
  <c r="N353" i="13"/>
  <c r="N288" i="7"/>
  <c r="N478" i="17"/>
  <c r="N469" i="17"/>
  <c r="N350" i="13"/>
  <c r="N202" i="12"/>
  <c r="N467" i="17"/>
  <c r="N174" i="18"/>
  <c r="N289" i="7"/>
  <c r="N986" i="4"/>
  <c r="N985" i="4"/>
  <c r="N983" i="4"/>
  <c r="N976" i="4"/>
  <c r="N987" i="4"/>
  <c r="N982" i="4"/>
  <c r="N977" i="4"/>
  <c r="N984" i="4"/>
  <c r="N974" i="4"/>
  <c r="N975" i="4"/>
  <c r="AY292" i="47"/>
  <c r="M995" i="4"/>
  <c r="M1288" i="4" s="1"/>
  <c r="M996" i="4"/>
  <c r="M1289" i="4" s="1"/>
  <c r="M994" i="4"/>
  <c r="M1287" i="4" s="1"/>
  <c r="M990" i="4"/>
  <c r="M991" i="4" s="1"/>
  <c r="M997" i="4"/>
  <c r="M1290" i="4" s="1"/>
  <c r="K124" i="45"/>
  <c r="M292" i="7"/>
  <c r="M324" i="7" s="1"/>
  <c r="M295" i="7"/>
  <c r="M327" i="7" s="1"/>
  <c r="M293" i="7"/>
  <c r="M325" i="7" s="1"/>
  <c r="M294" i="7"/>
  <c r="M326" i="7" s="1"/>
  <c r="M355" i="13"/>
  <c r="M464" i="13" s="1"/>
  <c r="M358" i="13"/>
  <c r="M467" i="13" s="1"/>
  <c r="M356" i="13"/>
  <c r="M465" i="13" s="1"/>
  <c r="M357" i="13"/>
  <c r="M466" i="13" s="1"/>
  <c r="K66" i="45"/>
  <c r="K113" i="45" s="1"/>
  <c r="K115" i="45" s="1"/>
  <c r="BF275" i="47"/>
  <c r="BF276" i="47" s="1"/>
  <c r="BF273" i="47"/>
  <c r="I994" i="4"/>
  <c r="I1287" i="4" s="1"/>
  <c r="I996" i="4"/>
  <c r="I1289" i="4" s="1"/>
  <c r="I995" i="4"/>
  <c r="I1288" i="4" s="1"/>
  <c r="I997" i="4"/>
  <c r="I1290" i="4" s="1"/>
  <c r="I990" i="4"/>
  <c r="I991" i="4" s="1"/>
  <c r="I294" i="7"/>
  <c r="I326" i="7" s="1"/>
  <c r="I295" i="7"/>
  <c r="I327" i="7" s="1"/>
  <c r="I293" i="7"/>
  <c r="I325" i="7" s="1"/>
  <c r="I292" i="7"/>
  <c r="I324" i="7" s="1"/>
  <c r="BL99" i="26"/>
  <c r="J996" i="4"/>
  <c r="J1289" i="4" s="1"/>
  <c r="J995" i="4"/>
  <c r="J1288" i="4" s="1"/>
  <c r="J994" i="4"/>
  <c r="J1287" i="4" s="1"/>
  <c r="J997" i="4"/>
  <c r="J1290" i="4" s="1"/>
  <c r="J990" i="4"/>
  <c r="J991" i="4" s="1"/>
  <c r="AZ150" i="47"/>
  <c r="AZ142" i="47"/>
  <c r="AZ147" i="47"/>
  <c r="BA147" i="47"/>
  <c r="BB147" i="47"/>
  <c r="BB143" i="47"/>
  <c r="BC143" i="47"/>
  <c r="BF147" i="47"/>
  <c r="BC147" i="47"/>
  <c r="AY150" i="47"/>
  <c r="AZ39" i="3"/>
  <c r="AY144" i="47"/>
  <c r="AZ42" i="3"/>
  <c r="AZ38" i="3"/>
  <c r="BE143" i="47"/>
  <c r="AZ41" i="3"/>
  <c r="BF143" i="47"/>
  <c r="BB144" i="47"/>
  <c r="BF142" i="47"/>
  <c r="BE146" i="47"/>
  <c r="AY145" i="47"/>
  <c r="BE147" i="47"/>
  <c r="BD142" i="47"/>
  <c r="BF150" i="47"/>
  <c r="BB148" i="47"/>
  <c r="AZ148" i="47"/>
  <c r="BB142" i="47"/>
  <c r="BB145" i="47"/>
  <c r="BD148" i="47"/>
  <c r="BG147" i="47"/>
  <c r="BE142" i="47"/>
  <c r="AZ44" i="3"/>
  <c r="BC145" i="47"/>
  <c r="BG148" i="47"/>
  <c r="BA144" i="47"/>
  <c r="AY146" i="47"/>
  <c r="AZ146" i="47"/>
  <c r="BC148" i="47"/>
  <c r="BE144" i="47"/>
  <c r="BG145" i="47"/>
  <c r="BE145" i="47"/>
  <c r="BF146" i="47"/>
  <c r="BC142" i="47"/>
  <c r="AZ144" i="47"/>
  <c r="BG142" i="47"/>
  <c r="AY142" i="47"/>
  <c r="BC146" i="47"/>
  <c r="BD143" i="47"/>
  <c r="BD150" i="47"/>
  <c r="AZ143" i="47"/>
  <c r="BG143" i="47"/>
  <c r="BA148" i="47"/>
  <c r="BA143" i="47"/>
  <c r="BB150" i="47"/>
  <c r="BF145" i="47"/>
  <c r="AZ145" i="47"/>
  <c r="BF148" i="47"/>
  <c r="AY143" i="47"/>
  <c r="BA150" i="47"/>
  <c r="BA142" i="47"/>
  <c r="BE150" i="47"/>
  <c r="BG146" i="47"/>
  <c r="BA145" i="47"/>
  <c r="BD144" i="47"/>
  <c r="BF144" i="47"/>
  <c r="BC144" i="47"/>
  <c r="BD146" i="47"/>
  <c r="BA146" i="47"/>
  <c r="AY148" i="47"/>
  <c r="BE148" i="47"/>
  <c r="BC150" i="47"/>
  <c r="BG144" i="47"/>
  <c r="BD145" i="47"/>
  <c r="BD147" i="47"/>
  <c r="BB146" i="47"/>
  <c r="BG150" i="47"/>
  <c r="AY147" i="47"/>
  <c r="AZ45" i="3"/>
  <c r="AZ40" i="3"/>
  <c r="AZ36" i="3"/>
  <c r="AY141" i="47"/>
  <c r="BA149" i="47"/>
  <c r="BD149" i="47"/>
  <c r="BE149" i="47"/>
  <c r="AY149" i="47"/>
  <c r="BC149" i="47"/>
  <c r="BB149" i="47"/>
  <c r="BF149" i="47"/>
  <c r="W106" i="36"/>
  <c r="AK104" i="36"/>
  <c r="BE292" i="47"/>
  <c r="BJ104" i="36"/>
  <c r="BI106" i="36"/>
  <c r="I110" i="45"/>
  <c r="I65" i="45"/>
  <c r="I114" i="45" s="1"/>
  <c r="I73" i="45"/>
  <c r="I123" i="45" s="1"/>
  <c r="I78" i="45"/>
  <c r="J133" i="63"/>
  <c r="BD292" i="47"/>
  <c r="BT106" i="36"/>
  <c r="DH104" i="36"/>
  <c r="I497" i="34"/>
  <c r="I589" i="34" s="1"/>
  <c r="I501" i="34"/>
  <c r="I592" i="34" s="1"/>
  <c r="I499" i="34"/>
  <c r="I590" i="34" s="1"/>
  <c r="I500" i="34"/>
  <c r="I591" i="34" s="1"/>
  <c r="L115" i="45"/>
  <c r="J356" i="13"/>
  <c r="J465" i="13" s="1"/>
  <c r="J355" i="13"/>
  <c r="J464" i="13" s="1"/>
  <c r="J358" i="13"/>
  <c r="J467" i="13" s="1"/>
  <c r="J357" i="13"/>
  <c r="J466" i="13" s="1"/>
  <c r="K133" i="63"/>
  <c r="AU103" i="36"/>
  <c r="AK103" i="36"/>
  <c r="E133" i="63"/>
  <c r="AZ149" i="47"/>
  <c r="BG149" i="47"/>
  <c r="Z102" i="40"/>
  <c r="BT102" i="41"/>
  <c r="H93" i="60"/>
  <c r="BI102" i="37"/>
  <c r="BT102" i="37"/>
  <c r="AZ35" i="47"/>
  <c r="F40" i="65"/>
  <c r="F97" i="63"/>
  <c r="F24" i="63"/>
  <c r="BT102" i="38"/>
  <c r="L93" i="60"/>
  <c r="BI102" i="41"/>
  <c r="W102" i="38"/>
  <c r="BM24" i="3"/>
  <c r="M24" i="63"/>
  <c r="M97" i="63"/>
  <c r="M40" i="65"/>
  <c r="BG35" i="47"/>
  <c r="W102" i="41"/>
  <c r="Z102" i="39"/>
  <c r="Z102" i="1"/>
  <c r="I93" i="60"/>
  <c r="BI102" i="38"/>
  <c r="W102" i="37"/>
  <c r="BA173" i="47"/>
  <c r="AK102" i="40" l="1"/>
  <c r="BL102" i="40" s="1"/>
  <c r="Z103" i="40"/>
  <c r="Z104" i="40" s="1"/>
  <c r="Z106" i="40" s="1"/>
  <c r="Z109" i="40" s="1"/>
  <c r="J66" i="45"/>
  <c r="J113" i="45" s="1"/>
  <c r="BA175" i="47"/>
  <c r="W104" i="37"/>
  <c r="BI104" i="38"/>
  <c r="BJ102" i="38"/>
  <c r="AH35" i="60"/>
  <c r="Z104" i="1"/>
  <c r="Z106" i="1" s="1"/>
  <c r="Z109" i="1" s="1"/>
  <c r="Z103" i="1"/>
  <c r="AK102" i="1"/>
  <c r="BL102" i="1" s="1"/>
  <c r="Z103" i="39"/>
  <c r="Z104" i="39" s="1"/>
  <c r="AK102" i="39"/>
  <c r="BL102" i="39" s="1"/>
  <c r="W104" i="41"/>
  <c r="BG36" i="47"/>
  <c r="M50" i="65"/>
  <c r="M111" i="63"/>
  <c r="M122" i="63"/>
  <c r="W104" i="38"/>
  <c r="BI104" i="41"/>
  <c r="BJ102" i="41"/>
  <c r="AK35" i="60"/>
  <c r="BT104" i="38"/>
  <c r="DH102" i="38"/>
  <c r="F111" i="63"/>
  <c r="F122" i="63"/>
  <c r="F50" i="65"/>
  <c r="AZ36" i="47"/>
  <c r="BT104" i="37"/>
  <c r="DH102" i="37"/>
  <c r="BI104" i="37"/>
  <c r="BJ102" i="37"/>
  <c r="AG35" i="60"/>
  <c r="BT104" i="41"/>
  <c r="DH102" i="41"/>
  <c r="AU104" i="36"/>
  <c r="BF103" i="36"/>
  <c r="BL103" i="36" s="1"/>
  <c r="W109" i="36"/>
  <c r="AK106" i="36"/>
  <c r="I66" i="45"/>
  <c r="I113" i="45" s="1"/>
  <c r="I115" i="45" s="1"/>
  <c r="N357" i="13"/>
  <c r="N466" i="13" s="1"/>
  <c r="N355" i="13"/>
  <c r="N464" i="13" s="1"/>
  <c r="N358" i="13"/>
  <c r="N467" i="13" s="1"/>
  <c r="N356" i="13"/>
  <c r="N465" i="13" s="1"/>
  <c r="M66" i="45"/>
  <c r="M113" i="45" s="1"/>
  <c r="M115" i="45" s="1"/>
  <c r="G501" i="34"/>
  <c r="G592" i="34" s="1"/>
  <c r="G497" i="34"/>
  <c r="G589" i="34" s="1"/>
  <c r="G500" i="34"/>
  <c r="G591" i="34" s="1"/>
  <c r="G499" i="34"/>
  <c r="G590" i="34" s="1"/>
  <c r="G356" i="13"/>
  <c r="G465" i="13" s="1"/>
  <c r="G355" i="13"/>
  <c r="G464" i="13" s="1"/>
  <c r="G358" i="13"/>
  <c r="G467" i="13" s="1"/>
  <c r="G357" i="13"/>
  <c r="G466" i="13" s="1"/>
  <c r="F115" i="45"/>
  <c r="BJ104" i="1"/>
  <c r="BI106" i="1"/>
  <c r="BF292" i="47"/>
  <c r="H133" i="63"/>
  <c r="BC292" i="47"/>
  <c r="G73" i="45"/>
  <c r="G123" i="45" s="1"/>
  <c r="G110" i="45"/>
  <c r="G65" i="45"/>
  <c r="G114" i="45" s="1"/>
  <c r="G78" i="45"/>
  <c r="F152" i="45"/>
  <c r="J79" i="45"/>
  <c r="I80" i="45"/>
  <c r="I81" i="45" s="1"/>
  <c r="BI109" i="36"/>
  <c r="BJ106" i="36"/>
  <c r="N79" i="45"/>
  <c r="M80" i="45"/>
  <c r="M81" i="45" s="1"/>
  <c r="G295" i="7"/>
  <c r="G327" i="7" s="1"/>
  <c r="G293" i="7"/>
  <c r="G325" i="7" s="1"/>
  <c r="G292" i="7"/>
  <c r="G324" i="7" s="1"/>
  <c r="G294" i="7"/>
  <c r="G326" i="7" s="1"/>
  <c r="G490" i="17"/>
  <c r="G775" i="17" s="1"/>
  <c r="G489" i="17"/>
  <c r="G774" i="17" s="1"/>
  <c r="G483" i="17"/>
  <c r="G484" i="17" s="1"/>
  <c r="G488" i="17"/>
  <c r="G773" i="17" s="1"/>
  <c r="G491" i="17"/>
  <c r="G776" i="17" s="1"/>
  <c r="J115" i="45"/>
  <c r="AZ275" i="47"/>
  <c r="AZ276" i="47" s="1"/>
  <c r="AZ273" i="47"/>
  <c r="W106" i="39"/>
  <c r="N78" i="45"/>
  <c r="N80" i="45" s="1"/>
  <c r="N81" i="45" s="1"/>
  <c r="N65" i="45"/>
  <c r="N114" i="45" s="1"/>
  <c r="N73" i="45"/>
  <c r="N123" i="45" s="1"/>
  <c r="N110" i="45"/>
  <c r="N152" i="45"/>
  <c r="N66" i="45"/>
  <c r="N113" i="45" s="1"/>
  <c r="AY151" i="47"/>
  <c r="N491" i="17"/>
  <c r="N776" i="17" s="1"/>
  <c r="N489" i="17"/>
  <c r="N774" i="17" s="1"/>
  <c r="N488" i="17"/>
  <c r="N773" i="17" s="1"/>
  <c r="N483" i="17"/>
  <c r="N484" i="17" s="1"/>
  <c r="N490" i="17"/>
  <c r="N775" i="17" s="1"/>
  <c r="N497" i="34"/>
  <c r="N589" i="34" s="1"/>
  <c r="N501" i="34"/>
  <c r="N592" i="34" s="1"/>
  <c r="N499" i="34"/>
  <c r="N590" i="34" s="1"/>
  <c r="N500" i="34"/>
  <c r="N591" i="34" s="1"/>
  <c r="K80" i="45"/>
  <c r="K79" i="45"/>
  <c r="J80" i="45"/>
  <c r="J124" i="45"/>
  <c r="AK104" i="40"/>
  <c r="W106" i="40"/>
  <c r="BT106" i="39"/>
  <c r="DH104" i="39"/>
  <c r="BB292" i="47"/>
  <c r="BJ104" i="40"/>
  <c r="BI106" i="40"/>
  <c r="AK104" i="1"/>
  <c r="W106" i="1"/>
  <c r="I124" i="45"/>
  <c r="BT109" i="36"/>
  <c r="DH106" i="36"/>
  <c r="N997" i="4"/>
  <c r="N1290" i="4" s="1"/>
  <c r="N990" i="4"/>
  <c r="N991" i="4" s="1"/>
  <c r="N996" i="4"/>
  <c r="N1289" i="4" s="1"/>
  <c r="N994" i="4"/>
  <c r="N1287" i="4" s="1"/>
  <c r="N995" i="4"/>
  <c r="N1288" i="4" s="1"/>
  <c r="N292" i="7"/>
  <c r="N324" i="7" s="1"/>
  <c r="N294" i="7"/>
  <c r="N326" i="7" s="1"/>
  <c r="N295" i="7"/>
  <c r="N327" i="7" s="1"/>
  <c r="N293" i="7"/>
  <c r="N325" i="7" s="1"/>
  <c r="M124" i="45"/>
  <c r="G990" i="4"/>
  <c r="G991" i="4" s="1"/>
  <c r="G995" i="4"/>
  <c r="G1288" i="4" s="1"/>
  <c r="G997" i="4"/>
  <c r="G1290" i="4" s="1"/>
  <c r="G994" i="4"/>
  <c r="G1287" i="4" s="1"/>
  <c r="G996" i="4"/>
  <c r="G1289" i="4" s="1"/>
  <c r="BG275" i="47"/>
  <c r="BG276" i="47" s="1"/>
  <c r="BG273" i="47"/>
  <c r="AU103" i="40"/>
  <c r="AK103" i="40"/>
  <c r="BJ104" i="39"/>
  <c r="BI106" i="39"/>
  <c r="L133" i="63"/>
  <c r="BT106" i="40"/>
  <c r="DH104" i="40"/>
  <c r="I133" i="63"/>
  <c r="BE60" i="47"/>
  <c r="Z102" i="38"/>
  <c r="Z102" i="37"/>
  <c r="BT102" i="25"/>
  <c r="BA53" i="47"/>
  <c r="BD173" i="47"/>
  <c r="BA181" i="47"/>
  <c r="G8" i="66"/>
  <c r="AY60" i="47"/>
  <c r="W102" i="25"/>
  <c r="M93" i="60"/>
  <c r="BI102" i="26"/>
  <c r="Z102" i="26"/>
  <c r="BA63" i="47"/>
  <c r="Z102" i="41"/>
  <c r="F93" i="60"/>
  <c r="BI102" i="25"/>
  <c r="BT102" i="26"/>
  <c r="W102" i="26"/>
  <c r="BE173" i="47"/>
  <c r="G66" i="45" l="1"/>
  <c r="G113" i="45" s="1"/>
  <c r="AK102" i="38"/>
  <c r="BL102" i="38" s="1"/>
  <c r="Z103" i="38"/>
  <c r="Z104" i="38" s="1"/>
  <c r="Z106" i="38" s="1"/>
  <c r="Z109" i="38" s="1"/>
  <c r="Z106" i="39"/>
  <c r="Z109" i="39" s="1"/>
  <c r="AK104" i="39"/>
  <c r="BE175" i="47"/>
  <c r="W104" i="26"/>
  <c r="AK102" i="26"/>
  <c r="BT104" i="26"/>
  <c r="DH102" i="26"/>
  <c r="BI104" i="25"/>
  <c r="BJ102" i="25"/>
  <c r="AE35" i="60"/>
  <c r="Z103" i="41"/>
  <c r="AK102" i="41"/>
  <c r="BL102" i="41" s="1"/>
  <c r="BA72" i="47"/>
  <c r="Z103" i="26"/>
  <c r="BI104" i="26"/>
  <c r="BJ102" i="26"/>
  <c r="AL35" i="60"/>
  <c r="W104" i="25"/>
  <c r="G9" i="66"/>
  <c r="G14" i="66" s="1"/>
  <c r="G24" i="66" s="1"/>
  <c r="BA182" i="47"/>
  <c r="BD175" i="47"/>
  <c r="BA299" i="47"/>
  <c r="BT104" i="25"/>
  <c r="DH102" i="25"/>
  <c r="Z103" i="37"/>
  <c r="Z104" i="37" s="1"/>
  <c r="AK102" i="37"/>
  <c r="BL102" i="37" s="1"/>
  <c r="W109" i="1"/>
  <c r="AK106" i="1"/>
  <c r="N115" i="45"/>
  <c r="W109" i="39"/>
  <c r="G80" i="45"/>
  <c r="G81" i="45" s="1"/>
  <c r="H79" i="45"/>
  <c r="H80" i="45"/>
  <c r="BT109" i="40"/>
  <c r="DH106" i="40"/>
  <c r="K81" i="45"/>
  <c r="BC204" i="47"/>
  <c r="BB204" i="47"/>
  <c r="N124" i="45"/>
  <c r="J81" i="45"/>
  <c r="AK109" i="36"/>
  <c r="M133" i="63"/>
  <c r="BG292" i="47"/>
  <c r="AU103" i="39"/>
  <c r="AK103" i="39"/>
  <c r="AU103" i="1"/>
  <c r="AK103" i="1"/>
  <c r="BJ104" i="38"/>
  <c r="BI106" i="38"/>
  <c r="BI109" i="39"/>
  <c r="BJ106" i="39"/>
  <c r="BI109" i="40"/>
  <c r="BJ106" i="40"/>
  <c r="AZ460" i="47"/>
  <c r="BG399" i="47" s="1"/>
  <c r="BH399" i="47" s="1"/>
  <c r="BI399" i="47" s="1"/>
  <c r="G115" i="45"/>
  <c r="BI109" i="1"/>
  <c r="BJ106" i="1"/>
  <c r="BJ104" i="37"/>
  <c r="BI106" i="37"/>
  <c r="AZ292" i="47"/>
  <c r="BJ104" i="41"/>
  <c r="BI106" i="41"/>
  <c r="DH109" i="36"/>
  <c r="AU104" i="40"/>
  <c r="BF103" i="40"/>
  <c r="BL103" i="40" s="1"/>
  <c r="BT109" i="39"/>
  <c r="DH106" i="39"/>
  <c r="BJ109" i="36"/>
  <c r="G124" i="45"/>
  <c r="AU106" i="36"/>
  <c r="BF104" i="36"/>
  <c r="BL104" i="36" s="1"/>
  <c r="BT106" i="41"/>
  <c r="DH104" i="41"/>
  <c r="F133" i="63"/>
  <c r="BT106" i="38"/>
  <c r="DH104" i="38"/>
  <c r="W106" i="41"/>
  <c r="W106" i="37"/>
  <c r="W109" i="40"/>
  <c r="AK106" i="40"/>
  <c r="AU103" i="38"/>
  <c r="AK103" i="38"/>
  <c r="BT106" i="37"/>
  <c r="DH104" i="37"/>
  <c r="AK104" i="38"/>
  <c r="W106" i="38"/>
  <c r="Z102" i="25"/>
  <c r="BC60" i="47"/>
  <c r="BD60" i="47"/>
  <c r="BF173" i="47"/>
  <c r="BD53" i="47"/>
  <c r="BD63" i="47"/>
  <c r="BD181" i="47"/>
  <c r="J8" i="66"/>
  <c r="BE63" i="47"/>
  <c r="AY63" i="47"/>
  <c r="K8" i="66"/>
  <c r="BE181" i="47"/>
  <c r="BE53" i="47"/>
  <c r="AY53" i="47"/>
  <c r="BB173" i="47"/>
  <c r="BC173" i="47"/>
  <c r="AK106" i="39" l="1"/>
  <c r="AK102" i="25"/>
  <c r="BL102" i="25" s="1"/>
  <c r="Z103" i="25"/>
  <c r="Z106" i="37"/>
  <c r="Z109" i="37" s="1"/>
  <c r="AK104" i="37"/>
  <c r="BE176" i="47"/>
  <c r="BC175" i="47"/>
  <c r="BD176" i="47" s="1"/>
  <c r="BB175" i="47"/>
  <c r="AY299" i="47"/>
  <c r="BE299" i="47"/>
  <c r="BE182" i="47"/>
  <c r="K9" i="66"/>
  <c r="K14" i="66" s="1"/>
  <c r="K24" i="66" s="1"/>
  <c r="AY72" i="47"/>
  <c r="BE72" i="47"/>
  <c r="J9" i="66"/>
  <c r="J14" i="66" s="1"/>
  <c r="J24" i="66" s="1"/>
  <c r="BD182" i="47"/>
  <c r="BD72" i="47"/>
  <c r="BD299" i="47"/>
  <c r="BF175" i="47"/>
  <c r="W109" i="38"/>
  <c r="AK106" i="38"/>
  <c r="AU104" i="38"/>
  <c r="BF103" i="38"/>
  <c r="BL103" i="38" s="1"/>
  <c r="BT109" i="38"/>
  <c r="DH106" i="38"/>
  <c r="AU106" i="40"/>
  <c r="BF104" i="40"/>
  <c r="BL104" i="40" s="1"/>
  <c r="BI109" i="38"/>
  <c r="BJ106" i="38"/>
  <c r="W109" i="41"/>
  <c r="BJ109" i="1"/>
  <c r="BJ109" i="40"/>
  <c r="AU104" i="39"/>
  <c r="BF103" i="39"/>
  <c r="BL103" i="39" s="1"/>
  <c r="DH109" i="40"/>
  <c r="AK109" i="1"/>
  <c r="BL102" i="26"/>
  <c r="BT109" i="37"/>
  <c r="DH106" i="37"/>
  <c r="AK109" i="40"/>
  <c r="AU109" i="36"/>
  <c r="BF106" i="36"/>
  <c r="BL106" i="36" s="1"/>
  <c r="DH109" i="39"/>
  <c r="BI109" i="41"/>
  <c r="BJ106" i="41"/>
  <c r="BI109" i="37"/>
  <c r="BJ106" i="37"/>
  <c r="AK109" i="39"/>
  <c r="BT106" i="25"/>
  <c r="DH104" i="25"/>
  <c r="BA141" i="47"/>
  <c r="BA151" i="47" s="1"/>
  <c r="BE205" i="47" s="1"/>
  <c r="BA192" i="47"/>
  <c r="BA194" i="47" s="1"/>
  <c r="BA153" i="47" s="1"/>
  <c r="BJ104" i="26"/>
  <c r="BI106" i="26"/>
  <c r="AU103" i="41"/>
  <c r="AK103" i="41"/>
  <c r="BJ104" i="25"/>
  <c r="BI106" i="25"/>
  <c r="W106" i="26"/>
  <c r="W109" i="37"/>
  <c r="BJ109" i="39"/>
  <c r="AU104" i="1"/>
  <c r="BF103" i="1"/>
  <c r="BL103" i="1" s="1"/>
  <c r="H81" i="45"/>
  <c r="AU103" i="37"/>
  <c r="AK103" i="37"/>
  <c r="Z104" i="25"/>
  <c r="Z106" i="25" s="1"/>
  <c r="Z109" i="25" s="1"/>
  <c r="AU103" i="25"/>
  <c r="AK103" i="25"/>
  <c r="W106" i="25"/>
  <c r="Z104" i="26"/>
  <c r="Z106" i="26" s="1"/>
  <c r="Z109" i="26" s="1"/>
  <c r="AU103" i="26"/>
  <c r="AK103" i="26"/>
  <c r="Z104" i="41"/>
  <c r="BF176" i="47"/>
  <c r="BT109" i="41"/>
  <c r="DH106" i="41"/>
  <c r="BT106" i="26"/>
  <c r="DH104" i="26"/>
  <c r="BB60" i="47"/>
  <c r="H8" i="66"/>
  <c r="BB181" i="47"/>
  <c r="BB53" i="47"/>
  <c r="AZ173" i="47"/>
  <c r="BG60" i="47"/>
  <c r="AY46" i="3"/>
  <c r="BG173" i="47"/>
  <c r="BF181" i="47"/>
  <c r="L8" i="66"/>
  <c r="BC63" i="47"/>
  <c r="BC181" i="47"/>
  <c r="I8" i="66"/>
  <c r="BC53" i="47"/>
  <c r="BF53" i="47"/>
  <c r="BF63" i="47"/>
  <c r="BK23" i="3"/>
  <c r="G30" i="63"/>
  <c r="G103" i="63"/>
  <c r="BA44" i="47"/>
  <c r="H11" i="44"/>
  <c r="G46" i="65"/>
  <c r="G31" i="60"/>
  <c r="BB63" i="47"/>
  <c r="AZ60" i="47"/>
  <c r="G115" i="60"/>
  <c r="AK106" i="37" l="1"/>
  <c r="BB72" i="47"/>
  <c r="U19" i="60"/>
  <c r="AF44" i="60"/>
  <c r="G60" i="65"/>
  <c r="G59" i="65"/>
  <c r="G53" i="65"/>
  <c r="G54" i="65" s="1"/>
  <c r="G47" i="65"/>
  <c r="G76" i="65" s="1"/>
  <c r="BA46" i="47"/>
  <c r="BA297" i="47"/>
  <c r="G114" i="63"/>
  <c r="G125" i="63"/>
  <c r="G104" i="63"/>
  <c r="G126" i="63" s="1"/>
  <c r="G31" i="63"/>
  <c r="BF299" i="47"/>
  <c r="BC299" i="47"/>
  <c r="I9" i="66"/>
  <c r="I14" i="66" s="1"/>
  <c r="I24" i="66" s="1"/>
  <c r="BC182" i="47"/>
  <c r="BC72" i="47"/>
  <c r="L9" i="66"/>
  <c r="L14" i="66" s="1"/>
  <c r="L24" i="66" s="1"/>
  <c r="BF182" i="47"/>
  <c r="BG175" i="47"/>
  <c r="BG176" i="47" s="1"/>
  <c r="AZ46" i="3"/>
  <c r="AY47" i="3"/>
  <c r="AZ47" i="3" s="1"/>
  <c r="AZ175" i="47"/>
  <c r="BB299" i="47"/>
  <c r="BB182" i="47"/>
  <c r="H9" i="66"/>
  <c r="H14" i="66" s="1"/>
  <c r="H24" i="66" s="1"/>
  <c r="BT109" i="26"/>
  <c r="DH106" i="26"/>
  <c r="Z106" i="41"/>
  <c r="AK104" i="41"/>
  <c r="AK109" i="37"/>
  <c r="BF109" i="36"/>
  <c r="BL109" i="36" s="1"/>
  <c r="AU106" i="39"/>
  <c r="BF104" i="39"/>
  <c r="BL104" i="39" s="1"/>
  <c r="AU106" i="38"/>
  <c r="BF104" i="38"/>
  <c r="BL104" i="38" s="1"/>
  <c r="AK104" i="25"/>
  <c r="AU106" i="1"/>
  <c r="BF104" i="1"/>
  <c r="BL104" i="1" s="1"/>
  <c r="AK104" i="26"/>
  <c r="BJ109" i="41"/>
  <c r="AU104" i="26"/>
  <c r="BF103" i="26"/>
  <c r="BL103" i="26" s="1"/>
  <c r="AU104" i="37"/>
  <c r="BF103" i="37"/>
  <c r="BL103" i="37" s="1"/>
  <c r="BJ109" i="38"/>
  <c r="DH109" i="38"/>
  <c r="AK109" i="38"/>
  <c r="DH109" i="41"/>
  <c r="W109" i="26"/>
  <c r="AK106" i="26"/>
  <c r="AU104" i="41"/>
  <c r="BF103" i="41"/>
  <c r="BL103" i="41" s="1"/>
  <c r="AU104" i="25"/>
  <c r="BF103" i="25"/>
  <c r="BL103" i="25" s="1"/>
  <c r="BI109" i="25"/>
  <c r="BJ106" i="25"/>
  <c r="BI109" i="26"/>
  <c r="BJ106" i="26"/>
  <c r="BJ109" i="37"/>
  <c r="DH109" i="37"/>
  <c r="BD192" i="47"/>
  <c r="BD194" i="47" s="1"/>
  <c r="BD153" i="47" s="1"/>
  <c r="BD141" i="47"/>
  <c r="BD151" i="47" s="1"/>
  <c r="BC176" i="47"/>
  <c r="BB176" i="47"/>
  <c r="W109" i="25"/>
  <c r="AK106" i="25"/>
  <c r="BT109" i="25"/>
  <c r="DH106" i="25"/>
  <c r="AU109" i="40"/>
  <c r="BF106" i="40"/>
  <c r="BL106" i="40" s="1"/>
  <c r="BE192" i="47"/>
  <c r="BE194" i="47" s="1"/>
  <c r="BE153" i="47" s="1"/>
  <c r="BE141" i="47"/>
  <c r="BE151" i="47" s="1"/>
  <c r="G11" i="60"/>
  <c r="BA89" i="47"/>
  <c r="F8" i="66"/>
  <c r="AZ181" i="47"/>
  <c r="BG63" i="47"/>
  <c r="AZ63" i="47"/>
  <c r="AZ53" i="47"/>
  <c r="M8" i="66"/>
  <c r="BG181" i="47"/>
  <c r="BG53" i="47"/>
  <c r="K30" i="63"/>
  <c r="K31" i="60"/>
  <c r="L11" i="44"/>
  <c r="K11" i="60" s="1"/>
  <c r="K103" i="63"/>
  <c r="BE44" i="47"/>
  <c r="K46" i="65"/>
  <c r="K60" i="65" l="1"/>
  <c r="K59" i="65"/>
  <c r="K53" i="65"/>
  <c r="K54" i="65" s="1"/>
  <c r="K47" i="65"/>
  <c r="K76" i="65" s="1"/>
  <c r="BE46" i="47"/>
  <c r="BE297" i="47"/>
  <c r="K114" i="63"/>
  <c r="K125" i="63"/>
  <c r="K104" i="63"/>
  <c r="K126" i="63" s="1"/>
  <c r="Y20" i="60"/>
  <c r="AJ38" i="60"/>
  <c r="K21" i="60"/>
  <c r="Y19" i="60"/>
  <c r="K109" i="60" s="1"/>
  <c r="AJ44" i="60"/>
  <c r="K31" i="63"/>
  <c r="K53" i="63" s="1"/>
  <c r="K77" i="63" s="1"/>
  <c r="BG299" i="47"/>
  <c r="BG182" i="47"/>
  <c r="M9" i="66"/>
  <c r="M14" i="66" s="1"/>
  <c r="M24" i="66" s="1"/>
  <c r="E43" i="66" s="1"/>
  <c r="AZ299" i="47"/>
  <c r="AZ72" i="47"/>
  <c r="BG72" i="47"/>
  <c r="AZ182" i="47"/>
  <c r="F9" i="66"/>
  <c r="F14" i="66" s="1"/>
  <c r="F24" i="66" s="1"/>
  <c r="U20" i="60"/>
  <c r="AF38" i="60"/>
  <c r="G21" i="60"/>
  <c r="BF109" i="40"/>
  <c r="BL109" i="40" s="1"/>
  <c r="BJ109" i="26"/>
  <c r="AU106" i="25"/>
  <c r="BF104" i="25"/>
  <c r="BL104" i="25" s="1"/>
  <c r="AU109" i="1"/>
  <c r="BF106" i="1"/>
  <c r="BL106" i="1" s="1"/>
  <c r="BA176" i="47"/>
  <c r="AZ176" i="47"/>
  <c r="AZ177" i="47" s="1"/>
  <c r="G54" i="63"/>
  <c r="G55" i="63" s="1"/>
  <c r="G40" i="63"/>
  <c r="G64" i="63" s="1"/>
  <c r="G38" i="63"/>
  <c r="G62" i="63" s="1"/>
  <c r="G46" i="63"/>
  <c r="G70" i="63" s="1"/>
  <c r="G41" i="63"/>
  <c r="G65" i="63" s="1"/>
  <c r="G52" i="63"/>
  <c r="G76" i="63" s="1"/>
  <c r="G39" i="63"/>
  <c r="G63" i="63" s="1"/>
  <c r="G50" i="63"/>
  <c r="G74" i="63" s="1"/>
  <c r="G37" i="63"/>
  <c r="G61" i="63" s="1"/>
  <c r="G45" i="63"/>
  <c r="G69" i="63" s="1"/>
  <c r="G42" i="63"/>
  <c r="G66" i="63" s="1"/>
  <c r="G36" i="63"/>
  <c r="G60" i="63" s="1"/>
  <c r="G48" i="63"/>
  <c r="G72" i="63" s="1"/>
  <c r="G44" i="63"/>
  <c r="G68" i="63" s="1"/>
  <c r="G51" i="63"/>
  <c r="G75" i="63" s="1"/>
  <c r="G43" i="63"/>
  <c r="G67" i="63" s="1"/>
  <c r="G49" i="63"/>
  <c r="G73" i="63" s="1"/>
  <c r="G47" i="63"/>
  <c r="G71" i="63" s="1"/>
  <c r="BF141" i="47"/>
  <c r="BF151" i="47" s="1"/>
  <c r="BF192" i="47"/>
  <c r="BF194" i="47" s="1"/>
  <c r="BF153" i="47" s="1"/>
  <c r="G53" i="63"/>
  <c r="G77" i="63" s="1"/>
  <c r="G65" i="65"/>
  <c r="G66" i="65"/>
  <c r="G109" i="60"/>
  <c r="G121" i="60" s="1"/>
  <c r="G127" i="60" s="1"/>
  <c r="G133" i="60" s="1"/>
  <c r="G107" i="64" s="1"/>
  <c r="G108" i="64" s="1"/>
  <c r="G114" i="64" s="1"/>
  <c r="G115" i="64" s="1"/>
  <c r="DH109" i="26"/>
  <c r="BJ109" i="25"/>
  <c r="Z109" i="41"/>
  <c r="AK106" i="41"/>
  <c r="BB141" i="47"/>
  <c r="BB151" i="47" s="1"/>
  <c r="BB192" i="47"/>
  <c r="BB194" i="47" s="1"/>
  <c r="BB153" i="47" s="1"/>
  <c r="BA295" i="47"/>
  <c r="BA47" i="47"/>
  <c r="AK109" i="25"/>
  <c r="AK109" i="26"/>
  <c r="AU106" i="26"/>
  <c r="BF104" i="26"/>
  <c r="BL104" i="26" s="1"/>
  <c r="BC192" i="47"/>
  <c r="BC194" i="47" s="1"/>
  <c r="BC153" i="47" s="1"/>
  <c r="BC141" i="47"/>
  <c r="BC151" i="47" s="1"/>
  <c r="BF205" i="47" s="1"/>
  <c r="G136" i="63"/>
  <c r="G115" i="63"/>
  <c r="G137" i="63" s="1"/>
  <c r="DH109" i="25"/>
  <c r="AU106" i="41"/>
  <c r="BF104" i="41"/>
  <c r="BL104" i="41" s="1"/>
  <c r="AU106" i="37"/>
  <c r="BF104" i="37"/>
  <c r="BL104" i="37" s="1"/>
  <c r="AU109" i="39"/>
  <c r="BF106" i="39"/>
  <c r="BL106" i="39" s="1"/>
  <c r="AU109" i="38"/>
  <c r="BF106" i="38"/>
  <c r="BL106" i="38" s="1"/>
  <c r="K115" i="60"/>
  <c r="BE89" i="47"/>
  <c r="F11" i="44"/>
  <c r="E11" i="60" s="1"/>
  <c r="E103" i="63"/>
  <c r="E30" i="63"/>
  <c r="E31" i="60"/>
  <c r="AY44" i="47"/>
  <c r="E46" i="65"/>
  <c r="BJ23" i="3"/>
  <c r="BC44" i="47"/>
  <c r="I30" i="63"/>
  <c r="I103" i="63"/>
  <c r="J11" i="44"/>
  <c r="I11" i="60" s="1"/>
  <c r="I31" i="60"/>
  <c r="BL23" i="3"/>
  <c r="I46" i="65"/>
  <c r="J46" i="65"/>
  <c r="J31" i="60"/>
  <c r="BD44" i="47"/>
  <c r="K11" i="44"/>
  <c r="J11" i="60" s="1"/>
  <c r="J30" i="63"/>
  <c r="J103" i="63"/>
  <c r="BF60" i="47"/>
  <c r="E115" i="60"/>
  <c r="J115" i="60"/>
  <c r="BA177" i="47" l="1"/>
  <c r="BB177" i="47" s="1"/>
  <c r="BC177" i="47" s="1"/>
  <c r="BD177" i="47" s="1"/>
  <c r="BE177" i="47" s="1"/>
  <c r="BF177" i="47" s="1"/>
  <c r="BG177" i="47" s="1"/>
  <c r="BF72" i="47"/>
  <c r="J114" i="63"/>
  <c r="J125" i="63"/>
  <c r="J104" i="63"/>
  <c r="J126" i="63" s="1"/>
  <c r="J31" i="63"/>
  <c r="J53" i="63" s="1"/>
  <c r="J77" i="63" s="1"/>
  <c r="X20" i="60"/>
  <c r="J21" i="60"/>
  <c r="AI38" i="60"/>
  <c r="BD46" i="47"/>
  <c r="BD297" i="47"/>
  <c r="X19" i="60"/>
  <c r="J109" i="60" s="1"/>
  <c r="J121" i="60" s="1"/>
  <c r="J127" i="60" s="1"/>
  <c r="J133" i="60" s="1"/>
  <c r="J107" i="64" s="1"/>
  <c r="J108" i="64" s="1"/>
  <c r="J114" i="64" s="1"/>
  <c r="J115" i="64" s="1"/>
  <c r="AI44" i="60"/>
  <c r="J59" i="65"/>
  <c r="J60" i="65"/>
  <c r="J53" i="65"/>
  <c r="J54" i="65" s="1"/>
  <c r="J47" i="65"/>
  <c r="J76" i="65" s="1"/>
  <c r="I59" i="65"/>
  <c r="I60" i="65"/>
  <c r="I53" i="65"/>
  <c r="I54" i="65" s="1"/>
  <c r="I47" i="65"/>
  <c r="I76" i="65" s="1"/>
  <c r="W19" i="60"/>
  <c r="I109" i="60" s="1"/>
  <c r="AH44" i="60"/>
  <c r="W20" i="60"/>
  <c r="AH38" i="60"/>
  <c r="I21" i="60"/>
  <c r="I114" i="63"/>
  <c r="I125" i="63"/>
  <c r="I104" i="63"/>
  <c r="I126" i="63" s="1"/>
  <c r="I31" i="63"/>
  <c r="BC46" i="47"/>
  <c r="BC297" i="47"/>
  <c r="E59" i="65"/>
  <c r="E60" i="65"/>
  <c r="E53" i="65"/>
  <c r="E54" i="65" s="1"/>
  <c r="E47" i="65"/>
  <c r="E76" i="65" s="1"/>
  <c r="AY46" i="47"/>
  <c r="AY297" i="47"/>
  <c r="S19" i="60"/>
  <c r="E109" i="60" s="1"/>
  <c r="E121" i="60" s="1"/>
  <c r="E127" i="60" s="1"/>
  <c r="E133" i="60" s="1"/>
  <c r="E107" i="64" s="1"/>
  <c r="E108" i="64" s="1"/>
  <c r="E114" i="64" s="1"/>
  <c r="E115" i="64" s="1"/>
  <c r="AD44" i="60"/>
  <c r="E31" i="63"/>
  <c r="E114" i="63"/>
  <c r="E125" i="63"/>
  <c r="E104" i="63"/>
  <c r="E126" i="63" s="1"/>
  <c r="S20" i="60"/>
  <c r="AD38" i="60"/>
  <c r="E21" i="60"/>
  <c r="AU109" i="41"/>
  <c r="BF106" i="41"/>
  <c r="BL106" i="41" s="1"/>
  <c r="AU109" i="26"/>
  <c r="BF106" i="26"/>
  <c r="BL106" i="26" s="1"/>
  <c r="AK109" i="41"/>
  <c r="G78" i="63"/>
  <c r="AF19" i="60"/>
  <c r="AQ19" i="60" s="1"/>
  <c r="U38" i="60"/>
  <c r="AQ38" i="60" s="1"/>
  <c r="AZ141" i="47"/>
  <c r="AZ151" i="47" s="1"/>
  <c r="AZ192" i="47"/>
  <c r="AZ194" i="47" s="1"/>
  <c r="AZ153" i="47" s="1"/>
  <c r="AJ19" i="60"/>
  <c r="AU19" i="60" s="1"/>
  <c r="Y38" i="60"/>
  <c r="AU38" i="60" s="1"/>
  <c r="AU109" i="25"/>
  <c r="BF106" i="25"/>
  <c r="BL106" i="25" s="1"/>
  <c r="BG192" i="47"/>
  <c r="BG194" i="47" s="1"/>
  <c r="BG153" i="47" s="1"/>
  <c r="BG141" i="47"/>
  <c r="BG151" i="47" s="1"/>
  <c r="K136" i="63"/>
  <c r="K115" i="63"/>
  <c r="K137" i="63" s="1"/>
  <c r="K65" i="65"/>
  <c r="K66" i="65"/>
  <c r="BF109" i="39"/>
  <c r="BL109" i="39" s="1"/>
  <c r="K121" i="60"/>
  <c r="K127" i="60" s="1"/>
  <c r="K133" i="60" s="1"/>
  <c r="K107" i="64" s="1"/>
  <c r="K108" i="64" s="1"/>
  <c r="K114" i="64" s="1"/>
  <c r="K115" i="64" s="1"/>
  <c r="BF109" i="38"/>
  <c r="BL109" i="38" s="1"/>
  <c r="AU109" i="37"/>
  <c r="BF106" i="37"/>
  <c r="BL106" i="37" s="1"/>
  <c r="BA296" i="47"/>
  <c r="BA298" i="47" s="1"/>
  <c r="BA54" i="47"/>
  <c r="BA74" i="47" s="1"/>
  <c r="BA91" i="47" s="1"/>
  <c r="BA49" i="47"/>
  <c r="BA20" i="47"/>
  <c r="BF109" i="1"/>
  <c r="BL109" i="1" s="1"/>
  <c r="K54" i="63"/>
  <c r="K55" i="63" s="1"/>
  <c r="K50" i="63"/>
  <c r="K74" i="63" s="1"/>
  <c r="K38" i="63"/>
  <c r="K62" i="63" s="1"/>
  <c r="K46" i="63"/>
  <c r="K70" i="63" s="1"/>
  <c r="K52" i="63"/>
  <c r="K76" i="63" s="1"/>
  <c r="K36" i="63"/>
  <c r="K60" i="63" s="1"/>
  <c r="K41" i="63"/>
  <c r="K65" i="63" s="1"/>
  <c r="K37" i="63"/>
  <c r="K61" i="63" s="1"/>
  <c r="K42" i="63"/>
  <c r="K66" i="63" s="1"/>
  <c r="K45" i="63"/>
  <c r="K69" i="63" s="1"/>
  <c r="K40" i="63"/>
  <c r="K64" i="63" s="1"/>
  <c r="K39" i="63"/>
  <c r="K63" i="63" s="1"/>
  <c r="K48" i="63"/>
  <c r="K72" i="63" s="1"/>
  <c r="K44" i="63"/>
  <c r="K68" i="63" s="1"/>
  <c r="K51" i="63"/>
  <c r="K75" i="63" s="1"/>
  <c r="K43" i="63"/>
  <c r="K67" i="63" s="1"/>
  <c r="K49" i="63"/>
  <c r="K73" i="63" s="1"/>
  <c r="K47" i="63"/>
  <c r="K71" i="63" s="1"/>
  <c r="BE295" i="47"/>
  <c r="BE47" i="47"/>
  <c r="I115" i="60"/>
  <c r="BF44" i="47"/>
  <c r="M11" i="44"/>
  <c r="L11" i="60" s="1"/>
  <c r="L46" i="65"/>
  <c r="L31" i="60"/>
  <c r="L30" i="63"/>
  <c r="L103" i="63"/>
  <c r="F31" i="60"/>
  <c r="F30" i="63"/>
  <c r="G11" i="44"/>
  <c r="F46" i="65"/>
  <c r="AZ44" i="47"/>
  <c r="F103" i="63"/>
  <c r="BD89" i="47"/>
  <c r="AY89" i="47"/>
  <c r="M46" i="65"/>
  <c r="BG44" i="47"/>
  <c r="M30" i="63"/>
  <c r="N11" i="44"/>
  <c r="M11" i="60" s="1"/>
  <c r="M31" i="60"/>
  <c r="M103" i="63"/>
  <c r="BM23" i="3"/>
  <c r="BC89" i="47"/>
  <c r="H103" i="63"/>
  <c r="I11" i="44"/>
  <c r="H46" i="65"/>
  <c r="H31" i="60"/>
  <c r="H30" i="63"/>
  <c r="BB44" i="47"/>
  <c r="L115" i="60"/>
  <c r="F115" i="60"/>
  <c r="M115" i="60"/>
  <c r="H115" i="60"/>
  <c r="BB46" i="47" l="1"/>
  <c r="BB297" i="47"/>
  <c r="H31" i="63"/>
  <c r="H53" i="63" s="1"/>
  <c r="H77" i="63" s="1"/>
  <c r="V19" i="60"/>
  <c r="H109" i="60" s="1"/>
  <c r="H121" i="60" s="1"/>
  <c r="H127" i="60" s="1"/>
  <c r="H133" i="60" s="1"/>
  <c r="H107" i="64" s="1"/>
  <c r="H108" i="64" s="1"/>
  <c r="H114" i="64" s="1"/>
  <c r="H115" i="64" s="1"/>
  <c r="AG44" i="60"/>
  <c r="H60" i="65"/>
  <c r="H59" i="65"/>
  <c r="H53" i="65"/>
  <c r="H54" i="65" s="1"/>
  <c r="H47" i="65"/>
  <c r="H76" i="65" s="1"/>
  <c r="H114" i="63"/>
  <c r="H125" i="63"/>
  <c r="H104" i="63"/>
  <c r="H126" i="63" s="1"/>
  <c r="M114" i="63"/>
  <c r="M125" i="63"/>
  <c r="M104" i="63"/>
  <c r="M126" i="63" s="1"/>
  <c r="AA19" i="60"/>
  <c r="M109" i="60" s="1"/>
  <c r="M121" i="60" s="1"/>
  <c r="M127" i="60" s="1"/>
  <c r="M133" i="60" s="1"/>
  <c r="M107" i="64" s="1"/>
  <c r="M108" i="64" s="1"/>
  <c r="M114" i="64" s="1"/>
  <c r="M115" i="64" s="1"/>
  <c r="AL44" i="60"/>
  <c r="AA20" i="60"/>
  <c r="AL38" i="60"/>
  <c r="M21" i="60"/>
  <c r="M31" i="63"/>
  <c r="M53" i="63" s="1"/>
  <c r="M77" i="63" s="1"/>
  <c r="AZ396" i="47"/>
  <c r="AZ375" i="47"/>
  <c r="BG46" i="47"/>
  <c r="BG297" i="47"/>
  <c r="M60" i="65"/>
  <c r="M59" i="65"/>
  <c r="M53" i="65"/>
  <c r="M54" i="65" s="1"/>
  <c r="M47" i="65"/>
  <c r="M76" i="65" s="1"/>
  <c r="F114" i="63"/>
  <c r="F125" i="63"/>
  <c r="F104" i="63"/>
  <c r="F126" i="63" s="1"/>
  <c r="AZ46" i="47"/>
  <c r="AZ297" i="47"/>
  <c r="F60" i="65"/>
  <c r="F59" i="65"/>
  <c r="F53" i="65"/>
  <c r="F54" i="65" s="1"/>
  <c r="F47" i="65"/>
  <c r="F76" i="65" s="1"/>
  <c r="F31" i="63"/>
  <c r="F53" i="63" s="1"/>
  <c r="F77" i="63" s="1"/>
  <c r="T19" i="60"/>
  <c r="F109" i="60" s="1"/>
  <c r="F121" i="60" s="1"/>
  <c r="F127" i="60" s="1"/>
  <c r="F133" i="60" s="1"/>
  <c r="F107" i="64" s="1"/>
  <c r="F108" i="64" s="1"/>
  <c r="F114" i="64" s="1"/>
  <c r="F115" i="64" s="1"/>
  <c r="AE44" i="60"/>
  <c r="L114" i="63"/>
  <c r="L125" i="63"/>
  <c r="L104" i="63"/>
  <c r="L126" i="63" s="1"/>
  <c r="L31" i="63"/>
  <c r="L53" i="63" s="1"/>
  <c r="L77" i="63" s="1"/>
  <c r="Z19" i="60"/>
  <c r="L109" i="60" s="1"/>
  <c r="L121" i="60" s="1"/>
  <c r="L127" i="60" s="1"/>
  <c r="L133" i="60" s="1"/>
  <c r="L107" i="64" s="1"/>
  <c r="L108" i="64" s="1"/>
  <c r="L114" i="64" s="1"/>
  <c r="L115" i="64" s="1"/>
  <c r="AK44" i="60"/>
  <c r="L59" i="65"/>
  <c r="L60" i="65"/>
  <c r="L53" i="65"/>
  <c r="L54" i="65" s="1"/>
  <c r="L47" i="65"/>
  <c r="L76" i="65" s="1"/>
  <c r="Z20" i="60"/>
  <c r="L21" i="60"/>
  <c r="AK38" i="60"/>
  <c r="BF46" i="47"/>
  <c r="BF297" i="47"/>
  <c r="BF109" i="37"/>
  <c r="BL109" i="37" s="1"/>
  <c r="E66" i="65"/>
  <c r="E65" i="65"/>
  <c r="BC295" i="47"/>
  <c r="BC47" i="47"/>
  <c r="I136" i="63"/>
  <c r="I115" i="63"/>
  <c r="I137" i="63" s="1"/>
  <c r="I66" i="65"/>
  <c r="I65" i="65"/>
  <c r="J66" i="65"/>
  <c r="J65" i="65"/>
  <c r="AI19" i="60"/>
  <c r="AT19" i="60" s="1"/>
  <c r="X38" i="60"/>
  <c r="AT38" i="60" s="1"/>
  <c r="I121" i="60"/>
  <c r="I127" i="60" s="1"/>
  <c r="I133" i="60" s="1"/>
  <c r="I107" i="64" s="1"/>
  <c r="I108" i="64" s="1"/>
  <c r="I114" i="64" s="1"/>
  <c r="I115" i="64" s="1"/>
  <c r="K78" i="63"/>
  <c r="BF109" i="26"/>
  <c r="BL109" i="26" s="1"/>
  <c r="E136" i="63"/>
  <c r="E115" i="63"/>
  <c r="E137" i="63" s="1"/>
  <c r="BE49" i="47"/>
  <c r="BE296" i="47"/>
  <c r="BE298" i="47" s="1"/>
  <c r="BE20" i="47"/>
  <c r="BE54" i="47"/>
  <c r="BE74" i="47" s="1"/>
  <c r="BE91" i="47" s="1"/>
  <c r="E54" i="63"/>
  <c r="E55" i="63" s="1"/>
  <c r="E38" i="63"/>
  <c r="E62" i="63" s="1"/>
  <c r="E46" i="63"/>
  <c r="E70" i="63" s="1"/>
  <c r="E50" i="63"/>
  <c r="E74" i="63" s="1"/>
  <c r="E40" i="63"/>
  <c r="E64" i="63" s="1"/>
  <c r="E37" i="63"/>
  <c r="E61" i="63" s="1"/>
  <c r="E45" i="63"/>
  <c r="E69" i="63" s="1"/>
  <c r="E41" i="63"/>
  <c r="E65" i="63" s="1"/>
  <c r="E42" i="63"/>
  <c r="E66" i="63" s="1"/>
  <c r="E52" i="63"/>
  <c r="E76" i="63" s="1"/>
  <c r="E39" i="63"/>
  <c r="E63" i="63" s="1"/>
  <c r="E36" i="63"/>
  <c r="E60" i="63" s="1"/>
  <c r="E48" i="63"/>
  <c r="E72" i="63" s="1"/>
  <c r="E44" i="63"/>
  <c r="E68" i="63" s="1"/>
  <c r="E51" i="63"/>
  <c r="E75" i="63" s="1"/>
  <c r="E43" i="63"/>
  <c r="E67" i="63" s="1"/>
  <c r="E49" i="63"/>
  <c r="E73" i="63" s="1"/>
  <c r="E47" i="63"/>
  <c r="E71" i="63" s="1"/>
  <c r="I53" i="63"/>
  <c r="I77" i="63" s="1"/>
  <c r="I54" i="63"/>
  <c r="I55" i="63" s="1"/>
  <c r="I41" i="63"/>
  <c r="I65" i="63" s="1"/>
  <c r="I42" i="63"/>
  <c r="I66" i="63" s="1"/>
  <c r="I38" i="63"/>
  <c r="I62" i="63" s="1"/>
  <c r="I46" i="63"/>
  <c r="I70" i="63" s="1"/>
  <c r="I39" i="63"/>
  <c r="I63" i="63" s="1"/>
  <c r="I52" i="63"/>
  <c r="I76" i="63" s="1"/>
  <c r="I36" i="63"/>
  <c r="I60" i="63" s="1"/>
  <c r="I45" i="63"/>
  <c r="I69" i="63" s="1"/>
  <c r="I40" i="63"/>
  <c r="I64" i="63" s="1"/>
  <c r="I37" i="63"/>
  <c r="I61" i="63" s="1"/>
  <c r="I50" i="63"/>
  <c r="I74" i="63" s="1"/>
  <c r="I48" i="63"/>
  <c r="I72" i="63" s="1"/>
  <c r="I44" i="63"/>
  <c r="I68" i="63" s="1"/>
  <c r="I51" i="63"/>
  <c r="I75" i="63" s="1"/>
  <c r="I43" i="63"/>
  <c r="I67" i="63" s="1"/>
  <c r="I49" i="63"/>
  <c r="I73" i="63" s="1"/>
  <c r="I47" i="63"/>
  <c r="I71" i="63" s="1"/>
  <c r="W38" i="60"/>
  <c r="AS38" i="60" s="1"/>
  <c r="AH19" i="60"/>
  <c r="AS19" i="60" s="1"/>
  <c r="BF109" i="25"/>
  <c r="BL109" i="25" s="1"/>
  <c r="BF109" i="41"/>
  <c r="BL109" i="41" s="1"/>
  <c r="E53" i="63"/>
  <c r="E77" i="63" s="1"/>
  <c r="AY295" i="47"/>
  <c r="AY47" i="47"/>
  <c r="BD295" i="47"/>
  <c r="BD47" i="47"/>
  <c r="J54" i="63"/>
  <c r="J55" i="63" s="1"/>
  <c r="J41" i="63"/>
  <c r="J65" i="63" s="1"/>
  <c r="J38" i="63"/>
  <c r="J62" i="63" s="1"/>
  <c r="J37" i="63"/>
  <c r="J61" i="63" s="1"/>
  <c r="J50" i="63"/>
  <c r="J74" i="63" s="1"/>
  <c r="J52" i="63"/>
  <c r="J76" i="63" s="1"/>
  <c r="J46" i="63"/>
  <c r="J70" i="63" s="1"/>
  <c r="J40" i="63"/>
  <c r="J64" i="63" s="1"/>
  <c r="J45" i="63"/>
  <c r="J69" i="63" s="1"/>
  <c r="J42" i="63"/>
  <c r="J66" i="63" s="1"/>
  <c r="J39" i="63"/>
  <c r="J63" i="63" s="1"/>
  <c r="J36" i="63"/>
  <c r="J60" i="63" s="1"/>
  <c r="J48" i="63"/>
  <c r="J72" i="63" s="1"/>
  <c r="J44" i="63"/>
  <c r="J68" i="63" s="1"/>
  <c r="J51" i="63"/>
  <c r="J75" i="63" s="1"/>
  <c r="J43" i="63"/>
  <c r="J67" i="63" s="1"/>
  <c r="J49" i="63"/>
  <c r="J73" i="63" s="1"/>
  <c r="J47" i="63"/>
  <c r="J71" i="63" s="1"/>
  <c r="J136" i="63"/>
  <c r="J115" i="63"/>
  <c r="J137" i="63" s="1"/>
  <c r="BG205" i="47"/>
  <c r="BG155" i="47"/>
  <c r="AD19" i="60"/>
  <c r="AO19" i="60" s="1"/>
  <c r="S38" i="60"/>
  <c r="AO38" i="60" s="1"/>
  <c r="F11" i="60"/>
  <c r="BG89" i="47"/>
  <c r="H11" i="60"/>
  <c r="BB89" i="47"/>
  <c r="AZ89" i="47"/>
  <c r="BF89" i="47"/>
  <c r="V20" i="60" l="1"/>
  <c r="AG38" i="60"/>
  <c r="H21" i="60"/>
  <c r="T20" i="60"/>
  <c r="AE38" i="60"/>
  <c r="F21" i="60"/>
  <c r="BF295" i="47"/>
  <c r="BF47" i="47"/>
  <c r="AY49" i="47"/>
  <c r="AY54" i="47"/>
  <c r="AY74" i="47" s="1"/>
  <c r="AY91" i="47" s="1"/>
  <c r="AY20" i="47"/>
  <c r="AY296" i="47"/>
  <c r="AY298" i="47" s="1"/>
  <c r="E78" i="63"/>
  <c r="L65" i="65"/>
  <c r="L66" i="65"/>
  <c r="F54" i="63"/>
  <c r="F55" i="63" s="1"/>
  <c r="F40" i="63"/>
  <c r="F64" i="63" s="1"/>
  <c r="F41" i="63"/>
  <c r="F65" i="63" s="1"/>
  <c r="F38" i="63"/>
  <c r="F62" i="63" s="1"/>
  <c r="F52" i="63"/>
  <c r="F76" i="63" s="1"/>
  <c r="F39" i="63"/>
  <c r="F63" i="63" s="1"/>
  <c r="F50" i="63"/>
  <c r="F74" i="63" s="1"/>
  <c r="F42" i="63"/>
  <c r="F66" i="63" s="1"/>
  <c r="F36" i="63"/>
  <c r="F60" i="63" s="1"/>
  <c r="F45" i="63"/>
  <c r="F69" i="63" s="1"/>
  <c r="F37" i="63"/>
  <c r="F61" i="63" s="1"/>
  <c r="F46" i="63"/>
  <c r="F70" i="63" s="1"/>
  <c r="F48" i="63"/>
  <c r="F72" i="63" s="1"/>
  <c r="F44" i="63"/>
  <c r="F68" i="63" s="1"/>
  <c r="F51" i="63"/>
  <c r="F75" i="63" s="1"/>
  <c r="F43" i="63"/>
  <c r="F67" i="63" s="1"/>
  <c r="F49" i="63"/>
  <c r="F73" i="63" s="1"/>
  <c r="F47" i="63"/>
  <c r="F71" i="63" s="1"/>
  <c r="F66" i="65"/>
  <c r="F65" i="65"/>
  <c r="AZ295" i="47"/>
  <c r="AZ47" i="47"/>
  <c r="M54" i="63"/>
  <c r="M55" i="63" s="1"/>
  <c r="M46" i="63"/>
  <c r="M70" i="63" s="1"/>
  <c r="M37" i="63"/>
  <c r="M61" i="63" s="1"/>
  <c r="M52" i="63"/>
  <c r="M76" i="63" s="1"/>
  <c r="M42" i="63"/>
  <c r="M66" i="63" s="1"/>
  <c r="M38" i="63"/>
  <c r="M62" i="63" s="1"/>
  <c r="M45" i="63"/>
  <c r="M69" i="63" s="1"/>
  <c r="M40" i="63"/>
  <c r="M64" i="63" s="1"/>
  <c r="M36" i="63"/>
  <c r="M60" i="63" s="1"/>
  <c r="M50" i="63"/>
  <c r="M74" i="63" s="1"/>
  <c r="M41" i="63"/>
  <c r="M65" i="63" s="1"/>
  <c r="M39" i="63"/>
  <c r="M63" i="63" s="1"/>
  <c r="M48" i="63"/>
  <c r="M72" i="63" s="1"/>
  <c r="M44" i="63"/>
  <c r="M68" i="63" s="1"/>
  <c r="M51" i="63"/>
  <c r="M75" i="63" s="1"/>
  <c r="M43" i="63"/>
  <c r="M67" i="63" s="1"/>
  <c r="M49" i="63"/>
  <c r="M73" i="63" s="1"/>
  <c r="M47" i="63"/>
  <c r="M71" i="63" s="1"/>
  <c r="H136" i="63"/>
  <c r="H115" i="63"/>
  <c r="H137" i="63" s="1"/>
  <c r="H54" i="63"/>
  <c r="H55" i="63" s="1"/>
  <c r="H50" i="63"/>
  <c r="H74" i="63" s="1"/>
  <c r="H39" i="63"/>
  <c r="H63" i="63" s="1"/>
  <c r="H36" i="63"/>
  <c r="H60" i="63" s="1"/>
  <c r="H41" i="63"/>
  <c r="H65" i="63" s="1"/>
  <c r="H38" i="63"/>
  <c r="H62" i="63" s="1"/>
  <c r="H37" i="63"/>
  <c r="H61" i="63" s="1"/>
  <c r="H45" i="63"/>
  <c r="H69" i="63" s="1"/>
  <c r="H40" i="63"/>
  <c r="H64" i="63" s="1"/>
  <c r="H52" i="63"/>
  <c r="H76" i="63" s="1"/>
  <c r="H42" i="63"/>
  <c r="H66" i="63" s="1"/>
  <c r="H46" i="63"/>
  <c r="H70" i="63" s="1"/>
  <c r="H48" i="63"/>
  <c r="H72" i="63" s="1"/>
  <c r="H44" i="63"/>
  <c r="H68" i="63" s="1"/>
  <c r="H51" i="63"/>
  <c r="H75" i="63" s="1"/>
  <c r="H43" i="63"/>
  <c r="H67" i="63" s="1"/>
  <c r="H49" i="63"/>
  <c r="H73" i="63" s="1"/>
  <c r="H47" i="63"/>
  <c r="H71" i="63" s="1"/>
  <c r="I78" i="63"/>
  <c r="BC20" i="47"/>
  <c r="BC49" i="47"/>
  <c r="BC54" i="47"/>
  <c r="BC74" i="47" s="1"/>
  <c r="BC91" i="47" s="1"/>
  <c r="BC296" i="47"/>
  <c r="BC298" i="47" s="1"/>
  <c r="Z38" i="60"/>
  <c r="AV38" i="60" s="1"/>
  <c r="AK19" i="60"/>
  <c r="AV19" i="60" s="1"/>
  <c r="L54" i="63"/>
  <c r="L55" i="63" s="1"/>
  <c r="L52" i="63"/>
  <c r="L76" i="63" s="1"/>
  <c r="L50" i="63"/>
  <c r="L74" i="63" s="1"/>
  <c r="L46" i="63"/>
  <c r="L70" i="63" s="1"/>
  <c r="L42" i="63"/>
  <c r="L66" i="63" s="1"/>
  <c r="L39" i="63"/>
  <c r="L63" i="63" s="1"/>
  <c r="L40" i="63"/>
  <c r="L64" i="63" s="1"/>
  <c r="L36" i="63"/>
  <c r="L60" i="63" s="1"/>
  <c r="L45" i="63"/>
  <c r="L69" i="63" s="1"/>
  <c r="L41" i="63"/>
  <c r="L65" i="63" s="1"/>
  <c r="L38" i="63"/>
  <c r="L62" i="63" s="1"/>
  <c r="L37" i="63"/>
  <c r="L61" i="63" s="1"/>
  <c r="L48" i="63"/>
  <c r="L72" i="63" s="1"/>
  <c r="L44" i="63"/>
  <c r="L68" i="63" s="1"/>
  <c r="L51" i="63"/>
  <c r="L75" i="63" s="1"/>
  <c r="L43" i="63"/>
  <c r="L67" i="63" s="1"/>
  <c r="L49" i="63"/>
  <c r="L73" i="63" s="1"/>
  <c r="L47" i="63"/>
  <c r="L71" i="63" s="1"/>
  <c r="L136" i="63"/>
  <c r="L115" i="63"/>
  <c r="L137" i="63" s="1"/>
  <c r="M65" i="65"/>
  <c r="M66" i="65"/>
  <c r="BG295" i="47"/>
  <c r="BG47" i="47"/>
  <c r="M136" i="63"/>
  <c r="M115" i="63"/>
  <c r="M137" i="63" s="1"/>
  <c r="J78" i="63"/>
  <c r="BD49" i="47"/>
  <c r="BD296" i="47"/>
  <c r="BD298" i="47" s="1"/>
  <c r="BD54" i="47"/>
  <c r="BD74" i="47" s="1"/>
  <c r="BD91" i="47" s="1"/>
  <c r="BD20" i="47"/>
  <c r="BF384" i="47"/>
  <c r="BH384" i="47" s="1"/>
  <c r="BI384" i="47" s="1"/>
  <c r="BG402" i="47"/>
  <c r="AZ385" i="47"/>
  <c r="AL19" i="60"/>
  <c r="AW19" i="60" s="1"/>
  <c r="AA38" i="60"/>
  <c r="AW38" i="60" s="1"/>
  <c r="F136" i="63"/>
  <c r="F115" i="63"/>
  <c r="F137" i="63" s="1"/>
  <c r="BF383" i="47"/>
  <c r="BG408" i="47"/>
  <c r="BH408" i="47" s="1"/>
  <c r="BI408" i="47" s="1"/>
  <c r="H66" i="65"/>
  <c r="H65" i="65"/>
  <c r="BB295" i="47"/>
  <c r="BB47" i="47"/>
  <c r="H78" i="63" l="1"/>
  <c r="AZ20" i="47"/>
  <c r="AZ296" i="47"/>
  <c r="AZ298" i="47" s="1"/>
  <c r="AZ54" i="47"/>
  <c r="AZ74" i="47" s="1"/>
  <c r="AZ91" i="47" s="1"/>
  <c r="AZ49" i="47"/>
  <c r="BF402" i="47"/>
  <c r="BH402" i="47" s="1"/>
  <c r="BI402" i="47" s="1"/>
  <c r="BG383" i="47"/>
  <c r="BH383" i="47" s="1"/>
  <c r="BI383" i="47" s="1"/>
  <c r="F78" i="63"/>
  <c r="BF296" i="47"/>
  <c r="BF298" i="47" s="1"/>
  <c r="BF49" i="47"/>
  <c r="BF54" i="47"/>
  <c r="BF74" i="47" s="1"/>
  <c r="BF91" i="47" s="1"/>
  <c r="BF20" i="47"/>
  <c r="BB49" i="47"/>
  <c r="BB296" i="47"/>
  <c r="BB298" i="47" s="1"/>
  <c r="BB54" i="47"/>
  <c r="BB74" i="47" s="1"/>
  <c r="BB91" i="47" s="1"/>
  <c r="BB20" i="47"/>
  <c r="AG19" i="60"/>
  <c r="AR19" i="60" s="1"/>
  <c r="V38" i="60"/>
  <c r="AR38" i="60" s="1"/>
  <c r="BG296" i="47"/>
  <c r="BG298" i="47" s="1"/>
  <c r="BG20" i="47"/>
  <c r="BG49" i="47"/>
  <c r="BG54" i="47"/>
  <c r="BG74" i="47" s="1"/>
  <c r="BG91" i="47" s="1"/>
  <c r="L78" i="63"/>
  <c r="M78" i="63"/>
  <c r="O78" i="63"/>
  <c r="T38" i="60"/>
  <c r="AP38" i="60" s="1"/>
  <c r="AE19" i="60"/>
  <c r="AP19" i="60" s="1"/>
</calcChain>
</file>

<file path=xl/comments1.xml><?xml version="1.0" encoding="utf-8"?>
<comments xmlns="http://schemas.openxmlformats.org/spreadsheetml/2006/main">
  <authors>
    <author>Sarah</author>
  </authors>
  <commentList>
    <comment ref="D317" authorId="0" shape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<sst xmlns="http://schemas.openxmlformats.org/spreadsheetml/2006/main" count="23047" uniqueCount="3802">
  <si>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</si>
  <si>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</si>
  <si>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</si>
  <si>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</si>
  <si>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</si>
  <si>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</si>
  <si>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</si>
  <si>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</si>
  <si>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</si>
  <si>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</si>
  <si>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</si>
  <si>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</si>
  <si>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</si>
  <si>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</si>
  <si>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</si>
  <si>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</si>
  <si>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</si>
  <si>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</si>
  <si>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</si>
  <si>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</si>
  <si>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</si>
  <si>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</si>
  <si>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</si>
  <si>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</si>
  <si>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</si>
  <si>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</si>
  <si>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</si>
  <si>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</si>
  <si>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</si>
  <si>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</si>
  <si>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</si>
  <si>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</si>
  <si>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</si>
  <si>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</si>
  <si>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</si>
  <si>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</si>
  <si>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</si>
  <si>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</si>
  <si>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</si>
  <si>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</si>
  <si>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</si>
  <si>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</si>
  <si>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</si>
  <si>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</si>
  <si>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</si>
  <si>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</si>
  <si>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</si>
  <si>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</si>
  <si>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</si>
  <si>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</si>
  <si>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</si>
  <si>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</si>
  <si>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</si>
  <si>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</si>
  <si>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</si>
  <si>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</si>
  <si>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</si>
  <si>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</si>
  <si>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</si>
  <si>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</si>
  <si>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</si>
  <si>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</si>
  <si>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</si>
  <si>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</si>
  <si>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</si>
  <si>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</si>
  <si>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</si>
  <si>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</si>
  <si>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</si>
  <si>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</si>
  <si>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</si>
  <si>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</si>
  <si>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</si>
  <si>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</si>
  <si>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</si>
  <si>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</si>
  <si>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</si>
  <si>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</si>
  <si>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</si>
  <si>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</si>
  <si>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</si>
  <si>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</si>
  <si>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</si>
  <si>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</si>
  <si>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</si>
  <si>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</si>
  <si>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</si>
  <si>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</si>
  <si>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</si>
  <si>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</si>
  <si>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</si>
  <si>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</si>
  <si>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</si>
  <si>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</si>
  <si>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</si>
  <si>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</si>
  <si>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</si>
  <si>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</si>
  <si>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</si>
  <si>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</si>
  <si>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</si>
  <si>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</si>
  <si>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</si>
  <si>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</si>
  <si>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</si>
  <si>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</si>
  <si>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</si>
  <si>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</si>
  <si>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</si>
  <si>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</si>
  <si>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</si>
  <si>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</si>
  <si>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</si>
  <si>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</si>
  <si>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</si>
  <si>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</si>
  <si>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</si>
  <si>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</si>
  <si>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</si>
  <si>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</si>
  <si>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</si>
  <si>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</si>
  <si>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</si>
  <si>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</si>
  <si>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</si>
  <si>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</si>
  <si>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</si>
  <si>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</si>
  <si>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</si>
  <si>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</si>
  <si>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</si>
  <si>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</si>
  <si>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</si>
  <si>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</si>
  <si>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</si>
  <si>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</si>
  <si>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</si>
  <si>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</si>
  <si>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</si>
  <si>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</si>
  <si>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</si>
  <si>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</si>
  <si>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</si>
  <si>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</si>
  <si>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</si>
  <si>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</si>
  <si>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</si>
  <si>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</si>
  <si>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</si>
  <si>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</si>
  <si>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</si>
  <si>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</si>
  <si>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</si>
  <si>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</si>
  <si>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</si>
  <si>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</si>
  <si>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</si>
  <si>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</si>
  <si>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</si>
  <si>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</si>
  <si>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</si>
  <si>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</si>
  <si>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</si>
  <si>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</si>
  <si>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</si>
  <si>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</si>
  <si>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</si>
  <si>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</si>
  <si>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</si>
  <si>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</si>
  <si>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</si>
  <si>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</si>
  <si>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</si>
  <si>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</si>
  <si>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</si>
  <si>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</si>
  <si>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</si>
  <si>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</si>
  <si>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</si>
  <si>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</si>
  <si>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</si>
  <si>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</si>
  <si>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</si>
  <si>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</si>
  <si>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</si>
  <si>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</si>
  <si>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</si>
  <si>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</si>
  <si>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</si>
  <si>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</si>
  <si>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</si>
  <si>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</si>
  <si>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</si>
  <si>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</si>
  <si>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</si>
  <si>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</si>
  <si>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</si>
  <si>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</si>
  <si>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</si>
  <si>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</si>
  <si>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</si>
  <si>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</si>
  <si>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</si>
  <si>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</si>
  <si>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</si>
  <si>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</si>
  <si>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</si>
  <si>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</si>
  <si>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</si>
  <si>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</si>
  <si>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</si>
  <si>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</si>
  <si>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</si>
  <si>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</si>
  <si>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</si>
  <si>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</si>
  <si>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</si>
  <si>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</si>
  <si>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</si>
  <si>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</si>
  <si>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</si>
  <si>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</si>
  <si>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</si>
  <si>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</si>
  <si>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</si>
  <si>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</si>
  <si>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</si>
  <si>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</si>
  <si>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</si>
  <si>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</si>
  <si>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</si>
  <si>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</si>
  <si>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</si>
  <si>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</si>
  <si>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</si>
  <si>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</si>
  <si>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</si>
  <si>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</si>
  <si>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</si>
  <si>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</si>
  <si>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</si>
  <si>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</si>
  <si>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</si>
  <si>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</si>
  <si>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</si>
  <si>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</si>
  <si>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</si>
  <si>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</si>
  <si>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</si>
  <si>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</si>
  <si>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</si>
  <si>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</si>
  <si>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</si>
  <si>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</si>
  <si>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</si>
  <si>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</si>
  <si>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</si>
  <si>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</si>
  <si>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</si>
  <si>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</si>
  <si>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</si>
  <si>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</si>
  <si>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</si>
  <si>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</si>
  <si>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</si>
  <si>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</si>
  <si>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</si>
  <si>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</si>
  <si>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</si>
  <si>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</si>
  <si>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</si>
  <si>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</si>
  <si>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</si>
  <si>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</si>
  <si>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</si>
  <si>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</si>
  <si>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</si>
  <si>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</si>
  <si>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</si>
  <si>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</si>
  <si>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</si>
  <si>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</si>
  <si>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</si>
  <si>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</si>
  <si>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</si>
  <si>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</si>
  <si>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</si>
  <si>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</si>
  <si>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</si>
  <si>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</si>
  <si>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</si>
  <si>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</si>
  <si>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</si>
  <si>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</si>
  <si>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</si>
  <si>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</si>
  <si>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</si>
  <si>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</si>
  <si>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</si>
  <si>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</si>
  <si>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</si>
  <si>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</si>
  <si>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</si>
  <si>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</si>
  <si>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</si>
  <si>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</si>
  <si>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</si>
  <si>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</si>
  <si>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</si>
  <si>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</si>
  <si>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</si>
  <si>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</si>
  <si>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</si>
  <si>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</si>
  <si>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</si>
  <si>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</si>
  <si>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</si>
  <si>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</si>
  <si>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</si>
  <si>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</si>
  <si>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</si>
  <si>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</si>
  <si>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</si>
  <si>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</si>
  <si>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</si>
  <si>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</si>
  <si>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</si>
  <si>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</si>
  <si>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</si>
  <si>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</si>
  <si>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</si>
  <si>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</si>
  <si>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</si>
  <si>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</si>
  <si>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</si>
  <si>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</si>
  <si>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</si>
  <si>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</si>
  <si>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</si>
  <si>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</si>
  <si>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</si>
  <si>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</si>
  <si>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Share of homes with an A or B rated BER Certificate</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</si>
  <si>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</si>
  <si>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</si>
  <si>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</si>
  <si>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</si>
  <si>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</si>
  <si>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</si>
  <si>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</si>
  <si>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</si>
  <si>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</si>
  <si>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</si>
  <si>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</si>
  <si>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</si>
  <si>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</si>
  <si>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</si>
  <si>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</si>
  <si>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</si>
  <si>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</si>
  <si>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</si>
  <si>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</si>
  <si>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</si>
  <si>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</si>
  <si>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</si>
  <si>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</si>
  <si>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</si>
  <si>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</si>
  <si>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</si>
  <si>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</si>
  <si>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</si>
  <si>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</si>
  <si>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</si>
  <si>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</si>
  <si>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</si>
  <si>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</si>
  <si>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</si>
  <si>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</si>
  <si>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</si>
  <si>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</si>
  <si>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</si>
  <si>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</si>
  <si>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</si>
  <si>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</si>
  <si>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</si>
  <si>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</si>
  <si>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</si>
  <si>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</si>
  <si>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</si>
  <si>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</si>
  <si>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</si>
  <si>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</si>
  <si>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</si>
  <si>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</si>
  <si>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</si>
  <si>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</si>
  <si>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</si>
  <si>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</si>
  <si>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</si>
  <si>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</si>
  <si>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</si>
  <si>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</si>
  <si>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</si>
  <si>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</si>
  <si>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</si>
  <si>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</si>
  <si>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</si>
  <si>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</si>
  <si>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</si>
  <si>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</si>
  <si>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</si>
  <si>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</si>
  <si>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</si>
  <si>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</si>
  <si>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</si>
  <si>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</si>
  <si>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</si>
  <si>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</si>
  <si>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</si>
  <si>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</si>
  <si>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</si>
  <si>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</si>
  <si>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</si>
  <si>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</si>
  <si>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</si>
  <si>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</si>
  <si>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</si>
  <si>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</si>
  <si>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</si>
  <si>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</si>
  <si>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</si>
  <si>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</si>
  <si>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</si>
  <si>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</si>
  <si>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</si>
  <si>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</si>
  <si>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</si>
  <si>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</si>
  <si>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</si>
  <si>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</si>
  <si>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</si>
  <si>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</si>
  <si>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</si>
  <si>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</si>
  <si>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</si>
  <si>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</si>
  <si>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</si>
  <si>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</si>
  <si>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</si>
  <si>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</si>
  <si>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</si>
  <si>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</si>
  <si>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</si>
  <si>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</si>
  <si>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</si>
  <si>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</si>
  <si>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</si>
  <si>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</si>
  <si>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</si>
  <si>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</si>
  <si>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</si>
  <si>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</si>
  <si>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</si>
  <si>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</si>
  <si>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</si>
  <si>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</si>
  <si>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</si>
  <si>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</si>
  <si>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</si>
  <si>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</si>
  <si>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</si>
  <si>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</si>
  <si>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</si>
  <si>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</si>
  <si>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</si>
  <si>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</si>
  <si>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</si>
  <si>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</si>
  <si>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</si>
  <si>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</si>
  <si>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</si>
  <si>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</si>
  <si>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</si>
  <si>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</si>
  <si>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</si>
  <si>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</si>
  <si>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</si>
  <si>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</si>
  <si>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</si>
  <si>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</si>
  <si>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</si>
  <si>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</si>
  <si>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</si>
  <si>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</si>
  <si>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</si>
  <si>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</si>
  <si>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</si>
  <si>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</si>
  <si>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</si>
  <si>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</si>
  <si>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</si>
  <si>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</si>
  <si>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</si>
  <si>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</si>
  <si>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</si>
  <si>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</si>
  <si>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</si>
  <si>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</si>
  <si>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</si>
  <si>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</si>
  <si>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</si>
  <si>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</si>
  <si>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</si>
  <si>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</si>
  <si>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</si>
  <si>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</si>
  <si>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</si>
  <si>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</si>
  <si>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</si>
  <si>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</si>
  <si>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</si>
  <si>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</si>
  <si>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</si>
  <si>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</si>
  <si>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</si>
  <si>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</si>
  <si>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</si>
  <si>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</si>
  <si>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</si>
  <si>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</si>
  <si>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</si>
  <si>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</si>
  <si>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</si>
  <si>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</si>
  <si>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</si>
  <si>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</si>
  <si>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</si>
  <si>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</si>
  <si>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</si>
  <si>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</si>
  <si>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</si>
  <si>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</si>
  <si>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</si>
  <si>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</si>
  <si>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</si>
  <si>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</si>
  <si>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</si>
  <si>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</si>
  <si>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</si>
  <si>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</si>
  <si>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</si>
  <si>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</si>
  <si>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</si>
  <si>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</si>
  <si>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</si>
  <si>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</si>
  <si>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</si>
  <si>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</si>
  <si>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</si>
  <si>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</si>
  <si>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</si>
  <si>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</si>
  <si>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</si>
  <si>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</si>
  <si>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</si>
  <si>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</si>
  <si>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</si>
  <si>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</si>
  <si>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</si>
  <si>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</si>
  <si>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</si>
  <si>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</si>
  <si>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</si>
  <si>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</si>
  <si>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</si>
  <si>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</si>
  <si>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</si>
  <si>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</si>
  <si>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</si>
  <si>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</si>
  <si>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</si>
  <si>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</si>
  <si>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</si>
  <si>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</si>
  <si>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</si>
  <si>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</si>
  <si>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</si>
  <si>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</si>
  <si>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</si>
  <si>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</si>
  <si>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</si>
  <si>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</si>
  <si>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</si>
  <si>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</si>
  <si>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</si>
  <si>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</si>
  <si>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</si>
  <si>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</si>
  <si>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</si>
  <si>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</si>
  <si>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</si>
  <si>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</si>
  <si>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Electricity Generation</t>
  </si>
  <si>
    <t>Nuclear power stations</t>
  </si>
  <si>
    <t>In the event of a 5 day peak in heating and drop in wind</t>
  </si>
  <si>
    <t>CCS power stations</t>
  </si>
  <si>
    <t>CCS power station fuel mix</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</si>
  <si>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</si>
  <si>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</si>
  <si>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</si>
  <si>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</si>
  <si>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</si>
  <si>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</si>
  <si>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</si>
  <si>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</si>
  <si>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</si>
  <si>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</si>
  <si>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</si>
  <si>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</si>
  <si>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</si>
  <si>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</si>
  <si>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</si>
  <si>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</si>
  <si>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</si>
  <si>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</si>
  <si>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</si>
  <si>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</si>
  <si>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</si>
  <si>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</si>
  <si>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</si>
  <si>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</si>
  <si>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</si>
  <si>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</si>
  <si>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</si>
  <si>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</si>
  <si>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</si>
  <si>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</si>
  <si>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</si>
  <si>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</si>
  <si>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</si>
  <si>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</si>
  <si>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</si>
  <si>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</si>
  <si>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</si>
  <si>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</si>
  <si>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</si>
  <si>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</si>
  <si>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</si>
  <si>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By 2050, 20% plug in hybrid electric cars; 2.5% zero emission cars.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</si>
  <si>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</si>
  <si>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</si>
  <si>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</si>
  <si>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</si>
  <si>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</si>
  <si>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</si>
  <si>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</si>
  <si>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</si>
  <si>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</si>
  <si>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</si>
  <si>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</si>
  <si>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</si>
  <si>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</si>
  <si>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</si>
  <si>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</si>
  <si>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</si>
  <si>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</si>
  <si>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</si>
  <si>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</si>
  <si>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</si>
  <si>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</si>
  <si>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</si>
  <si>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</si>
  <si>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</si>
  <si>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</si>
  <si>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</si>
  <si>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</si>
  <si>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</si>
  <si>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</si>
  <si>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</si>
  <si>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</si>
  <si>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</si>
  <si>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</si>
  <si>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</si>
  <si>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</si>
  <si>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</si>
  <si>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</si>
  <si>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</si>
  <si>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</si>
  <si>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</si>
  <si>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</si>
  <si>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</si>
  <si>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</si>
  <si>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</si>
  <si>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</si>
  <si>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</si>
  <si>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</si>
  <si>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</si>
  <si>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</si>
  <si>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</si>
  <si>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</si>
  <si>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</si>
  <si>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</si>
  <si>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</si>
  <si>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</si>
  <si>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</si>
  <si>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</si>
  <si>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</si>
  <si>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</si>
  <si>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</si>
  <si>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</si>
  <si>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</si>
  <si>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</si>
  <si>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</si>
  <si>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</si>
  <si>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</si>
  <si>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</si>
  <si>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</si>
  <si>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</si>
  <si>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</si>
  <si>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</si>
  <si>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</si>
  <si>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</si>
  <si>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</si>
  <si>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</si>
  <si>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</si>
  <si>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</si>
  <si>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</si>
  <si>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</si>
  <si>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</si>
  <si>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</si>
  <si>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</si>
  <si>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</si>
  <si>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</si>
  <si>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</si>
  <si>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</si>
  <si>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</si>
  <si>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</si>
  <si>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</si>
  <si>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</si>
  <si>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</si>
  <si>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</si>
  <si>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</si>
  <si>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</si>
  <si>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</si>
  <si>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</si>
  <si>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</si>
  <si>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</si>
  <si>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</si>
  <si>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</si>
  <si>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</si>
  <si>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</si>
  <si>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</si>
  <si>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</si>
  <si>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</si>
  <si>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</si>
  <si>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</si>
  <si>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</si>
  <si>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</si>
  <si>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</si>
  <si>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</si>
  <si>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</si>
  <si>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</si>
  <si>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</si>
  <si>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</si>
  <si>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</si>
  <si>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</si>
  <si>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</si>
  <si>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</si>
  <si>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</si>
  <si>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</si>
  <si>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</si>
  <si>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</si>
  <si>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</si>
  <si>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</si>
  <si>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</si>
  <si>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</si>
  <si>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</si>
  <si>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</si>
  <si>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</si>
  <si>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</si>
  <si>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</si>
  <si>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</si>
  <si>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</si>
  <si>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</si>
  <si>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</si>
  <si>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</si>
  <si>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</si>
  <si>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</si>
  <si>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</si>
  <si>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</si>
  <si>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</si>
  <si>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</si>
  <si>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</si>
  <si>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</si>
  <si>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</si>
  <si>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</si>
  <si>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</si>
  <si>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</si>
  <si>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</si>
  <si>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</si>
  <si>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</si>
  <si>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</si>
  <si>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</si>
  <si>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</si>
  <si>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</si>
  <si>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</si>
  <si>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</si>
  <si>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</si>
  <si>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</si>
  <si>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</si>
  <si>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</si>
  <si>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</si>
  <si>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</si>
  <si>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</si>
  <si>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</si>
  <si>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</si>
  <si>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</si>
  <si>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</si>
  <si>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</si>
  <si>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</si>
  <si>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</si>
  <si>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</si>
  <si>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</si>
  <si>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</si>
  <si>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</si>
  <si>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</si>
  <si>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</si>
  <si>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</si>
  <si>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</si>
  <si>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</si>
  <si>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</si>
  <si>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</si>
  <si>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</si>
  <si>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</si>
  <si>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</si>
  <si>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</si>
  <si>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</si>
  <si>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</si>
  <si>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</si>
  <si>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</si>
  <si>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</si>
  <si>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</si>
  <si>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</si>
  <si>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</si>
  <si>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</si>
  <si>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</si>
  <si>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</si>
  <si>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</si>
  <si>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</si>
  <si>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</si>
  <si>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</si>
  <si>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</si>
  <si>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</si>
  <si>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</si>
  <si>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</si>
  <si>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</si>
  <si>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</si>
  <si>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</si>
  <si>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</si>
  <si>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</si>
  <si>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</si>
  <si>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</si>
  <si>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</si>
  <si>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</si>
  <si>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</si>
  <si>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</si>
  <si>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</si>
  <si>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</si>
  <si>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</si>
  <si>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</si>
  <si>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</si>
  <si>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</si>
  <si>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</si>
  <si>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</si>
  <si>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</si>
  <si>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</si>
  <si>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</si>
  <si>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</si>
  <si>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</si>
  <si>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</si>
  <si>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</si>
  <si>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</si>
  <si>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</si>
  <si>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</si>
  <si>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</si>
  <si>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</si>
  <si>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</si>
  <si>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</si>
  <si>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</si>
  <si>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</si>
  <si>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</si>
  <si>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</si>
  <si>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</si>
  <si>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</si>
  <si>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</si>
  <si>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</si>
  <si>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</si>
  <si>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</si>
  <si>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</si>
  <si>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</si>
  <si>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</si>
  <si>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</si>
  <si>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</si>
  <si>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</si>
  <si>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</si>
  <si>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</si>
  <si>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</si>
  <si>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</si>
  <si>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</si>
  <si>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</si>
  <si>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</si>
  <si>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</si>
  <si>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</si>
  <si>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</si>
  <si>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</si>
  <si>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</si>
  <si>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</si>
  <si>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</si>
  <si>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</si>
  <si>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</si>
  <si>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</si>
  <si>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</si>
  <si>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</si>
  <si>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</si>
  <si>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</si>
  <si>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</si>
  <si>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</si>
  <si>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</si>
  <si>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</si>
  <si>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</si>
  <si>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</si>
  <si>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</si>
  <si>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</si>
  <si>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</si>
  <si>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</si>
  <si>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</si>
  <si>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</si>
  <si>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</si>
  <si>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</si>
  <si>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</si>
  <si>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</si>
  <si>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</si>
  <si>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</si>
  <si>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</si>
  <si>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</si>
  <si>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</si>
  <si>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</si>
  <si>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</si>
  <si>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</si>
  <si>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</si>
  <si>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</si>
  <si>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</si>
  <si>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</si>
  <si>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</si>
  <si>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</si>
  <si>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</si>
  <si>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</si>
  <si>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</si>
  <si>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</si>
  <si>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</si>
  <si>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</si>
  <si>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</si>
  <si>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</si>
  <si>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</si>
  <si>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</si>
  <si>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</si>
  <si>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</si>
  <si>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</si>
  <si>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</si>
  <si>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</si>
  <si>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</si>
  <si>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</si>
  <si>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</si>
  <si>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</si>
  <si>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</si>
  <si>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</si>
  <si>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</si>
  <si>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</si>
  <si>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</si>
  <si>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</si>
  <si>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</si>
  <si>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</si>
  <si>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</si>
  <si>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</si>
  <si>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</si>
  <si>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</si>
  <si>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</si>
  <si>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</si>
  <si>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</si>
  <si>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</si>
  <si>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</si>
  <si>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</si>
  <si>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</si>
  <si>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</si>
  <si>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</si>
  <si>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</si>
  <si>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</si>
  <si>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</si>
  <si>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</si>
  <si>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</si>
  <si>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</si>
  <si>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</si>
  <si>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</si>
  <si>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</si>
  <si>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</si>
  <si>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</si>
  <si>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</si>
  <si>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</si>
  <si>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</si>
  <si>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</si>
  <si>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</si>
  <si>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</si>
  <si>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</si>
  <si>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</si>
  <si>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</si>
  <si>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</si>
  <si>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</si>
  <si>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</si>
  <si>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</si>
  <si>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</si>
  <si>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</si>
  <si>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</si>
  <si>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</si>
  <si>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</si>
  <si>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</si>
  <si>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</si>
  <si>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</si>
  <si>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</si>
  <si>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</si>
  <si>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</si>
  <si>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</si>
  <si>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</si>
  <si>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</si>
  <si>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</si>
  <si>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</si>
  <si>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</si>
  <si>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</si>
  <si>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</si>
  <si>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</si>
  <si>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</si>
  <si>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</si>
  <si>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</si>
  <si>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</si>
  <si>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</si>
  <si>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</si>
  <si>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</si>
  <si>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</si>
  <si>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</si>
  <si>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</si>
  <si>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</si>
  <si>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</si>
  <si>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</si>
  <si>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</si>
  <si>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</si>
  <si>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</si>
  <si>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</si>
  <si>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</si>
  <si>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</si>
  <si>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</si>
  <si>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</si>
  <si>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</si>
  <si>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</si>
  <si>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</si>
  <si>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</si>
  <si>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</si>
  <si>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</si>
  <si>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</si>
  <si>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</si>
  <si>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</si>
  <si>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</si>
  <si>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</si>
  <si>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</si>
  <si>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</si>
  <si>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</si>
  <si>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</si>
  <si>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</si>
  <si>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</si>
  <si>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</si>
  <si>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</si>
  <si>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</si>
  <si>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</si>
  <si>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</si>
  <si>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</si>
  <si>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</si>
  <si>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</si>
  <si>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</si>
  <si>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</si>
  <si>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</si>
  <si>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</si>
  <si>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</si>
  <si>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</si>
  <si>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</si>
  <si>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</si>
  <si>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</si>
  <si>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</si>
  <si>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</si>
  <si>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</si>
  <si>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</si>
  <si>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</si>
  <si>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</si>
  <si>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</si>
  <si>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</si>
  <si>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</si>
  <si>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</si>
  <si>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</si>
  <si>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</si>
  <si>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</si>
  <si>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</si>
  <si>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</si>
  <si>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</si>
  <si>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</si>
  <si>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</si>
  <si>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</si>
  <si>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</si>
  <si>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</si>
  <si>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</si>
  <si>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</si>
  <si>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</si>
  <si>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</si>
  <si>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</si>
  <si>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</si>
  <si>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</si>
  <si>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</si>
  <si>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</si>
  <si>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</si>
  <si>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</si>
  <si>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</si>
  <si>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</si>
  <si>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</si>
  <si>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</si>
  <si>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</si>
  <si>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</si>
  <si>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</si>
  <si>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</si>
  <si>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</si>
  <si>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</si>
  <si>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</si>
  <si>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</si>
  <si>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</si>
  <si>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</si>
  <si>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[1a]</t>
  </si>
  <si>
    <t>Technology efficiences -- Electricity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</si>
  <si>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</si>
  <si>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</si>
  <si>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</si>
  <si>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</si>
  <si>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</si>
  <si>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</si>
  <si>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</si>
  <si>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</si>
  <si>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</si>
  <si>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</si>
  <si>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</si>
  <si>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</si>
  <si>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</si>
  <si>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</si>
  <si>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</si>
  <si>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</si>
  <si>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</si>
  <si>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</si>
  <si>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</si>
  <si>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</si>
  <si>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</si>
  <si>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</si>
  <si>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</si>
  <si>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</si>
  <si>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</si>
  <si>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</si>
  <si>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</si>
  <si>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</si>
  <si>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</si>
  <si>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</si>
  <si>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</si>
  <si>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</si>
  <si>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</si>
  <si>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</si>
  <si>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</si>
  <si>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</si>
  <si>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</si>
  <si>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</si>
  <si>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</si>
  <si>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</si>
  <si>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</si>
  <si>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</si>
  <si>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</si>
  <si>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</si>
  <si>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</si>
  <si>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</si>
  <si>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</si>
  <si>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</si>
  <si>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</si>
  <si>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</si>
  <si>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</si>
  <si>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</si>
  <si>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</si>
  <si>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</si>
  <si>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</si>
  <si>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</si>
  <si>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</si>
  <si>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</si>
  <si>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</si>
  <si>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</si>
  <si>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</si>
  <si>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</si>
  <si>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</si>
  <si>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</si>
  <si>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</si>
  <si>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</si>
  <si>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</si>
  <si>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</si>
  <si>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</si>
  <si>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</si>
  <si>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</si>
  <si>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</si>
  <si>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</si>
  <si>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</si>
  <si>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</si>
  <si>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</si>
  <si>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</si>
  <si>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</si>
  <si>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</si>
  <si>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</si>
  <si>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</si>
  <si>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</si>
  <si>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</si>
  <si>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</si>
  <si>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</si>
  <si>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</si>
  <si>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</si>
  <si>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</si>
  <si>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</si>
  <si>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</si>
  <si>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</si>
  <si>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</si>
  <si>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</si>
  <si>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</si>
  <si>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</si>
  <si>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</si>
  <si>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</si>
  <si>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</si>
  <si>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</si>
  <si>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</si>
  <si>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</si>
  <si>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</si>
  <si>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</si>
  <si>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</si>
  <si>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</si>
  <si>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</si>
  <si>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</si>
  <si>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</si>
  <si>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</si>
  <si>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National navigation, energy use</t>
  </si>
  <si>
    <t>Road Freight</t>
  </si>
  <si>
    <t>Rail Freight</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</si>
  <si>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</si>
  <si>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</si>
  <si>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</si>
  <si>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</si>
  <si>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</si>
  <si>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</si>
  <si>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</si>
  <si>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</si>
  <si>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</si>
  <si>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</si>
  <si>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</si>
  <si>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</si>
  <si>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</si>
  <si>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</si>
  <si>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</si>
  <si>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DIESEL RAIL</t>
  </si>
  <si>
    <t>GCV of diesel</t>
  </si>
  <si>
    <t>Energy content</t>
  </si>
  <si>
    <t>ELECTRIC RAIL</t>
  </si>
  <si>
    <t>Efficiency</t>
  </si>
  <si>
    <t>COMBUSTION EMISSIONS</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</si>
  <si>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</si>
  <si>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</si>
  <si>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</si>
  <si>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</si>
  <si>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</si>
  <si>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</si>
  <si>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</si>
  <si>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</si>
  <si>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</si>
  <si>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</si>
  <si>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</si>
  <si>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</si>
  <si>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</si>
  <si>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</si>
  <si>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</si>
  <si>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</si>
  <si>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</si>
  <si>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</si>
  <si>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</si>
  <si>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</si>
  <si>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</si>
  <si>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</si>
  <si>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</si>
  <si>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</si>
  <si>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</si>
  <si>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</si>
  <si>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</si>
  <si>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</si>
  <si>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</si>
  <si>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</si>
  <si>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</si>
  <si>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</si>
  <si>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</si>
  <si>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</si>
  <si>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</si>
  <si>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</si>
  <si>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</si>
  <si>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</si>
  <si>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</si>
  <si>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</si>
  <si>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</si>
  <si>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</si>
  <si>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</si>
  <si>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</si>
  <si>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</si>
  <si>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</si>
  <si>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</si>
  <si>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</si>
  <si>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</si>
  <si>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</si>
  <si>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</si>
  <si>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</si>
  <si>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</si>
  <si>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</si>
  <si>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</si>
  <si>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</si>
  <si>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</si>
  <si>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</si>
  <si>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</si>
  <si>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</si>
  <si>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</si>
  <si>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</si>
  <si>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</si>
  <si>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</si>
  <si>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</si>
  <si>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</si>
  <si>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</si>
  <si>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</si>
  <si>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</si>
  <si>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</si>
  <si>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</si>
  <si>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</si>
  <si>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</si>
  <si>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</si>
  <si>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</si>
  <si>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</si>
  <si>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</si>
  <si>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</si>
  <si>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</si>
  <si>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</si>
  <si>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</si>
  <si>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</si>
  <si>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</si>
  <si>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</si>
  <si>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</si>
  <si>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</si>
  <si>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</si>
  <si>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</si>
  <si>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</si>
  <si>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</si>
  <si>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</si>
  <si>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</si>
  <si>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</si>
  <si>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</si>
  <si>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</si>
  <si>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</si>
  <si>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</si>
  <si>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</si>
  <si>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</si>
  <si>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</si>
  <si>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</si>
  <si>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</si>
  <si>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</si>
  <si>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</si>
  <si>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</si>
  <si>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</si>
  <si>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</si>
  <si>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</si>
  <si>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</si>
  <si>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</si>
  <si>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</si>
  <si>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</si>
  <si>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</si>
  <si>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</si>
  <si>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</si>
  <si>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</si>
  <si>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</si>
  <si>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</si>
  <si>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</si>
  <si>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</si>
  <si>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</si>
  <si>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</si>
  <si>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</si>
  <si>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</si>
  <si>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</si>
  <si>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</si>
  <si>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</si>
  <si>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</si>
  <si>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</si>
  <si>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</si>
  <si>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</si>
  <si>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</si>
  <si>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</si>
  <si>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</si>
  <si>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</si>
  <si>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</si>
  <si>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</si>
  <si>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</si>
  <si>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</si>
  <si>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</si>
  <si>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</si>
  <si>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</si>
  <si>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</si>
  <si>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</si>
  <si>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</si>
  <si>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</si>
  <si>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</si>
  <si>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</si>
  <si>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</si>
  <si>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</si>
  <si>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</si>
  <si>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</si>
  <si>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</si>
  <si>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</si>
  <si>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</si>
  <si>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</si>
  <si>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</si>
  <si>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</si>
  <si>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</si>
  <si>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</si>
  <si>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</si>
  <si>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</si>
  <si>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</si>
  <si>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</si>
  <si>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</si>
  <si>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</si>
  <si>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</si>
  <si>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</si>
  <si>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</si>
  <si>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Households:</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</si>
  <si>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</si>
  <si>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</si>
  <si>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</si>
  <si>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</si>
  <si>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</si>
  <si>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</si>
  <si>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</si>
  <si>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</si>
  <si>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</si>
  <si>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</si>
  <si>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</si>
  <si>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</si>
  <si>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</si>
  <si>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</si>
  <si>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</si>
  <si>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</si>
  <si>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</si>
  <si>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</si>
  <si>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</si>
  <si>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</si>
  <si>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</si>
  <si>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</si>
  <si>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</si>
  <si>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</si>
  <si>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</si>
  <si>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</si>
  <si>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</si>
  <si>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</si>
  <si>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</si>
  <si>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</si>
  <si>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</si>
  <si>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</si>
  <si>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</si>
  <si>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</si>
  <si>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</si>
  <si>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</si>
  <si>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</si>
  <si>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</si>
  <si>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</si>
  <si>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</si>
  <si>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</si>
  <si>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</si>
  <si>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</si>
  <si>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</si>
  <si>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</si>
  <si>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</si>
  <si>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</si>
  <si>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</si>
  <si>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</si>
  <si>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</si>
  <si>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</si>
  <si>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</si>
  <si>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</si>
  <si>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</si>
  <si>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</si>
  <si>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</si>
  <si>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</si>
  <si>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</si>
  <si>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</si>
  <si>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</si>
  <si>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</si>
  <si>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</si>
  <si>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</si>
  <si>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</si>
  <si>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</si>
  <si>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</si>
  <si>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</si>
  <si>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</si>
  <si>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</si>
  <si>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</si>
  <si>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</si>
  <si>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</si>
  <si>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</si>
  <si>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</si>
  <si>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</si>
  <si>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</si>
  <si>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</si>
  <si>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</si>
  <si>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</si>
  <si>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</si>
  <si>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</si>
  <si>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</si>
  <si>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</si>
  <si>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</si>
  <si>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</si>
  <si>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</si>
  <si>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</si>
  <si>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</si>
  <si>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</si>
  <si>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</si>
  <si>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</si>
  <si>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</si>
  <si>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</si>
  <si>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</si>
  <si>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</si>
  <si>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</si>
  <si>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</si>
  <si>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</si>
  <si>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</si>
  <si>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</si>
  <si>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</si>
  <si>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</si>
  <si>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</si>
  <si>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</si>
  <si>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</si>
  <si>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</si>
  <si>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</si>
  <si>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</si>
  <si>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</si>
  <si>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</si>
  <si>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</si>
  <si>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</si>
  <si>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</si>
  <si>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</si>
  <si>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</si>
  <si>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</si>
  <si>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</si>
  <si>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</si>
  <si>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</si>
  <si>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</si>
  <si>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</si>
  <si>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</si>
  <si>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</si>
  <si>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</si>
  <si>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</si>
  <si>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</si>
  <si>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</si>
  <si>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</si>
  <si>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</si>
  <si>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</si>
  <si>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</si>
  <si>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</si>
  <si>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</si>
  <si>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</si>
  <si>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</si>
  <si>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</si>
  <si>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</si>
  <si>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</si>
  <si>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</si>
  <si>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</si>
  <si>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</si>
  <si>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</si>
  <si>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</si>
  <si>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</si>
  <si>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</si>
  <si>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</si>
  <si>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</si>
  <si>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</si>
  <si>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</si>
  <si>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</si>
  <si>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</si>
  <si>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</si>
  <si>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</si>
  <si>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</si>
  <si>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</si>
  <si>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</si>
  <si>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</si>
  <si>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</si>
  <si>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</si>
  <si>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</si>
  <si>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</si>
  <si>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</si>
  <si>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</si>
  <si>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</si>
  <si>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</si>
  <si>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</si>
  <si>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</si>
  <si>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</si>
  <si>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</si>
  <si>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</si>
  <si>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</si>
  <si>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</si>
  <si>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</si>
  <si>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</si>
  <si>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</si>
  <si>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</si>
  <si>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</si>
  <si>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</si>
  <si>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</si>
  <si>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</si>
  <si>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</si>
  <si>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</si>
  <si>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</si>
  <si>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</si>
  <si>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</si>
  <si>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</si>
  <si>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</si>
  <si>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</si>
  <si>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</si>
  <si>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</si>
  <si>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</si>
  <si>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</si>
  <si>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</si>
  <si>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</si>
  <si>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</si>
  <si>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</si>
  <si>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</si>
  <si>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</si>
  <si>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</si>
  <si>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</si>
  <si>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</si>
  <si>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</si>
  <si>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</si>
  <si>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</si>
  <si>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</si>
  <si>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</si>
  <si>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</si>
  <si>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</si>
  <si>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</si>
  <si>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</si>
  <si>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</si>
  <si>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</si>
  <si>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</si>
  <si>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</si>
  <si>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</si>
  <si>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</si>
  <si>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</si>
  <si>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</si>
  <si>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</si>
  <si>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</si>
  <si>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</si>
  <si>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</si>
  <si>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</si>
  <si>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</si>
  <si>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</si>
  <si>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</si>
  <si>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</si>
  <si>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</si>
  <si>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</si>
  <si>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</si>
  <si>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</si>
  <si>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</si>
  <si>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</si>
  <si>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</si>
  <si>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</si>
  <si>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</si>
  <si>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</si>
  <si>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</si>
  <si>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</si>
  <si>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</si>
  <si>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</si>
  <si>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</si>
  <si>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</si>
  <si>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</si>
  <si>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</si>
  <si>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</si>
  <si>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</si>
  <si>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</si>
  <si>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</si>
  <si>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</si>
  <si>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</si>
  <si>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</si>
  <si>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</si>
  <si>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</si>
  <si>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</si>
  <si>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</si>
  <si>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</si>
  <si>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</si>
  <si>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</si>
  <si>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</si>
  <si>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</si>
  <si>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</si>
  <si>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</si>
  <si>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</si>
  <si>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</si>
  <si>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</si>
  <si>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</si>
  <si>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</si>
  <si>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</si>
  <si>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</si>
  <si>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</si>
  <si>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</si>
  <si>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</si>
  <si>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</si>
  <si>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</si>
  <si>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</si>
  <si>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</si>
  <si>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</si>
  <si>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</si>
  <si>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</si>
  <si>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</si>
  <si>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</si>
  <si>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</si>
  <si>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</si>
  <si>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</si>
  <si>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</si>
  <si>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</si>
  <si>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</si>
  <si>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</si>
  <si>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</si>
  <si>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</si>
  <si>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</si>
  <si>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</si>
  <si>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</si>
  <si>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</si>
  <si>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</si>
  <si>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</si>
  <si>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</si>
  <si>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</si>
  <si>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</si>
  <si>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</si>
  <si>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</si>
  <si>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</si>
  <si>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</si>
  <si>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</si>
  <si>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</si>
  <si>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</si>
  <si>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</si>
  <si>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</si>
  <si>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</si>
  <si>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</si>
  <si>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</si>
  <si>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</si>
  <si>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</si>
  <si>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</si>
  <si>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</si>
  <si>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</si>
  <si>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</si>
  <si>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</si>
  <si>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</si>
  <si>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</si>
  <si>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</si>
  <si>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</si>
  <si>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</si>
  <si>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</si>
  <si>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</si>
  <si>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</si>
  <si>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</si>
  <si>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</si>
  <si>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</si>
  <si>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</si>
  <si>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</si>
  <si>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</si>
  <si>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</si>
  <si>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</si>
  <si>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</si>
  <si>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</si>
  <si>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</si>
  <si>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</si>
  <si>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</si>
  <si>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</si>
  <si>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</si>
  <si>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</si>
  <si>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</si>
  <si>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</si>
  <si>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</si>
  <si>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</si>
  <si>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</si>
  <si>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</si>
  <si>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</si>
  <si>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</si>
  <si>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</si>
  <si>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</si>
  <si>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</si>
  <si>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</si>
  <si>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</si>
  <si>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</si>
  <si>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</si>
  <si>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</si>
  <si>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</si>
  <si>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</si>
  <si>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</si>
  <si>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</si>
  <si>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</si>
  <si>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</si>
  <si>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</si>
  <si>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</si>
  <si>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</si>
  <si>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</si>
  <si>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</si>
  <si>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</si>
  <si>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</si>
  <si>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</si>
  <si>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</si>
  <si>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</si>
  <si>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</si>
  <si>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</si>
  <si>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</si>
  <si>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</si>
  <si>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</si>
  <si>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</si>
  <si>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</si>
  <si>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</si>
  <si>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</si>
  <si>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</si>
  <si>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</si>
  <si>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</si>
  <si>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</si>
  <si>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</si>
  <si>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2013 estimates from total passenger-km, vehicle-km and total sectoral energy usage</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</si>
  <si>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</si>
  <si>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</si>
  <si>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</si>
  <si>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</si>
  <si>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</si>
  <si>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</si>
  <si>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</si>
  <si>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</si>
  <si>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</si>
  <si>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</si>
  <si>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</si>
  <si>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</si>
  <si>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</si>
  <si>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</si>
  <si>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</si>
  <si>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</si>
  <si>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</si>
  <si>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</si>
  <si>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</si>
  <si>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</si>
  <si>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</si>
  <si>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</si>
  <si>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</si>
  <si>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</si>
  <si>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</si>
  <si>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</si>
  <si>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</si>
  <si>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</si>
  <si>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</si>
  <si>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</si>
  <si>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</si>
  <si>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</si>
  <si>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</si>
  <si>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</si>
  <si>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</si>
  <si>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</si>
  <si>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</si>
  <si>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</si>
  <si>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</si>
  <si>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</si>
  <si>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</si>
  <si>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</si>
  <si>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</si>
  <si>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</si>
  <si>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</si>
  <si>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</si>
  <si>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</si>
  <si>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</si>
  <si>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</si>
  <si>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</si>
  <si>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</si>
  <si>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</si>
  <si>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</si>
  <si>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</si>
  <si>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</si>
  <si>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</si>
  <si>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</si>
  <si>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</si>
  <si>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</si>
  <si>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</si>
  <si>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</si>
  <si>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</si>
  <si>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</si>
  <si>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</si>
  <si>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</si>
  <si>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</si>
  <si>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</si>
  <si>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</si>
  <si>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</si>
  <si>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</si>
  <si>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</si>
  <si>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</si>
  <si>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</si>
  <si>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</si>
  <si>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</si>
  <si>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</si>
  <si>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</si>
  <si>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</si>
  <si>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</si>
  <si>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</si>
  <si>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</si>
  <si>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</si>
  <si>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</si>
  <si>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</si>
  <si>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</si>
  <si>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</si>
  <si>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</si>
  <si>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</si>
  <si>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</si>
  <si>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</si>
  <si>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</si>
  <si>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</si>
  <si>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</si>
  <si>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</si>
  <si>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</si>
  <si>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</si>
  <si>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</si>
  <si>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</si>
  <si>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</si>
  <si>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</si>
  <si>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</si>
  <si>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</si>
  <si>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</si>
  <si>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</si>
  <si>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</si>
  <si>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</si>
  <si>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</si>
  <si>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</si>
  <si>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</si>
  <si>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</si>
  <si>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</si>
  <si>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</si>
  <si>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</si>
  <si>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</si>
  <si>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</si>
  <si>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</si>
  <si>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</si>
  <si>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</si>
  <si>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</si>
  <si>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</si>
  <si>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</si>
  <si>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</si>
  <si>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</si>
  <si>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</si>
  <si>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</si>
  <si>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</si>
  <si>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</si>
  <si>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</si>
  <si>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</si>
  <si>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</si>
  <si>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</si>
  <si>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</si>
  <si>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</si>
  <si>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</si>
  <si>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</si>
  <si>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</si>
  <si>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</si>
  <si>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</si>
  <si>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</si>
  <si>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</si>
  <si>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</si>
  <si>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</si>
  <si>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</si>
  <si>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</si>
  <si>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</si>
  <si>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</si>
  <si>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</si>
  <si>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</si>
  <si>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</si>
  <si>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</si>
  <si>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</si>
  <si>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</si>
  <si>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</si>
  <si>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</si>
  <si>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</si>
  <si>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</si>
  <si>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</si>
  <si>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</si>
  <si>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</si>
  <si>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</si>
  <si>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</si>
  <si>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</si>
  <si>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</si>
  <si>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</si>
  <si>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</si>
  <si>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</si>
  <si>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</si>
  <si>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</si>
  <si>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</si>
  <si>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</si>
  <si>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</si>
  <si>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</si>
  <si>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</si>
  <si>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</si>
  <si>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</si>
  <si>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</si>
  <si>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</si>
  <si>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</si>
  <si>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</si>
  <si>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</si>
  <si>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</si>
  <si>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</si>
  <si>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</si>
  <si>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</si>
  <si>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</si>
  <si>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</si>
  <si>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</si>
  <si>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</si>
  <si>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</si>
  <si>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</si>
  <si>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</si>
  <si>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</si>
  <si>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</si>
  <si>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</si>
  <si>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</si>
  <si>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</si>
  <si>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</si>
  <si>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</si>
  <si>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</si>
  <si>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</si>
  <si>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</si>
  <si>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</si>
  <si>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</si>
  <si>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</si>
  <si>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</si>
  <si>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</si>
  <si>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</si>
  <si>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</si>
  <si>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</si>
  <si>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</si>
  <si>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</si>
  <si>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</si>
  <si>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</si>
  <si>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</si>
  <si>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</si>
  <si>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</si>
  <si>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</si>
  <si>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</si>
  <si>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</si>
  <si>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</si>
  <si>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</si>
  <si>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</si>
  <si>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</si>
  <si>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</si>
  <si>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</si>
  <si>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</si>
  <si>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</si>
  <si>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</si>
  <si>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</si>
  <si>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</si>
  <si>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</si>
  <si>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</si>
  <si>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</si>
  <si>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</si>
  <si>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</si>
  <si>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</si>
  <si>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</si>
  <si>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</si>
  <si>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</si>
  <si>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</si>
  <si>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</si>
  <si>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</si>
  <si>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</si>
  <si>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</si>
  <si>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</si>
  <si>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</si>
  <si>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</si>
  <si>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</si>
  <si>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</si>
  <si>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</si>
  <si>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</si>
  <si>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</si>
  <si>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</si>
  <si>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</si>
  <si>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</si>
  <si>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</si>
  <si>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</si>
  <si>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</si>
  <si>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</si>
  <si>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</si>
  <si>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</si>
  <si>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</si>
  <si>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</si>
  <si>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</si>
  <si>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</si>
  <si>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</si>
  <si>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</si>
  <si>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</si>
  <si>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Coversion of Moneypoint (855 MW) and all peat stations in 2050 (1.2 GW capacity)</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</si>
  <si>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</si>
  <si>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</si>
  <si>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</si>
  <si>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</si>
  <si>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</si>
  <si>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</si>
  <si>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</si>
  <si>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</si>
  <si>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</si>
  <si>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</si>
  <si>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</si>
  <si>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</si>
  <si>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</si>
  <si>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</si>
  <si>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</si>
  <si>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</si>
  <si>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</si>
  <si>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</si>
  <si>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</si>
  <si>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</si>
  <si>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</si>
  <si>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</si>
  <si>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</si>
  <si>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</si>
  <si>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</si>
  <si>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</si>
  <si>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</si>
  <si>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</si>
  <si>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</si>
  <si>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</si>
  <si>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</si>
  <si>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</si>
  <si>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</si>
  <si>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</si>
  <si>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</si>
  <si>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</si>
  <si>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</si>
  <si>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</si>
  <si>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</si>
  <si>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</si>
  <si>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</si>
  <si>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</si>
  <si>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</si>
  <si>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</si>
  <si>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</si>
  <si>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</si>
  <si>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</si>
  <si>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</si>
  <si>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</si>
  <si>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</si>
  <si>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</si>
  <si>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</si>
  <si>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</si>
  <si>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</si>
  <si>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</si>
  <si>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</si>
  <si>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</si>
  <si>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</si>
  <si>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</si>
  <si>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</si>
  <si>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</si>
  <si>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</si>
  <si>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</si>
  <si>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</si>
  <si>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</si>
  <si>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</si>
  <si>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</si>
  <si>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</si>
  <si>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</si>
  <si>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</si>
  <si>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</si>
  <si>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</si>
  <si>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</si>
  <si>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</si>
  <si>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</si>
  <si>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</si>
  <si>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</si>
  <si>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</si>
  <si>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</si>
  <si>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</si>
  <si>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</si>
  <si>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</si>
  <si>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</si>
  <si>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</si>
  <si>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</si>
  <si>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</si>
  <si>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</si>
  <si>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</si>
  <si>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</si>
  <si>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</si>
  <si>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</si>
  <si>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</si>
  <si>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</si>
  <si>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</si>
  <si>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</si>
  <si>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</si>
  <si>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</si>
  <si>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</si>
  <si>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</si>
  <si>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</si>
  <si>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</si>
  <si>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</si>
  <si>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</si>
  <si>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</si>
  <si>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</si>
  <si>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</si>
  <si>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</si>
  <si>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</si>
  <si>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</si>
  <si>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</si>
  <si>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</si>
  <si>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</si>
  <si>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</si>
  <si>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</si>
  <si>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</si>
  <si>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</si>
  <si>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</si>
  <si>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</si>
  <si>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</si>
  <si>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</si>
  <si>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</si>
  <si>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</si>
  <si>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</si>
  <si>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</si>
  <si>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</si>
  <si>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</si>
  <si>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</si>
  <si>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</si>
  <si>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</si>
  <si>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</si>
  <si>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</si>
  <si>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</si>
  <si>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</si>
  <si>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</si>
  <si>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</si>
  <si>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</si>
  <si>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</si>
  <si>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</si>
  <si>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</si>
  <si>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</si>
  <si>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</si>
  <si>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</si>
  <si>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</si>
  <si>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</si>
  <si>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</si>
  <si>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</si>
  <si>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</si>
  <si>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</si>
  <si>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</si>
  <si>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</si>
  <si>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</si>
  <si>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</si>
  <si>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</si>
  <si>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</si>
  <si>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</si>
  <si>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</si>
  <si>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</si>
  <si>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</si>
  <si>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</si>
  <si>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</si>
  <si>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</si>
  <si>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</si>
  <si>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</si>
  <si>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</si>
  <si>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</si>
  <si>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</si>
  <si>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</si>
  <si>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</si>
  <si>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</si>
  <si>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</si>
  <si>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</si>
  <si>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</si>
  <si>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</si>
  <si>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</si>
  <si>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</si>
  <si>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</si>
  <si>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</si>
  <si>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</si>
  <si>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</si>
  <si>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</si>
  <si>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</si>
  <si>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</si>
  <si>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</si>
  <si>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</si>
  <si>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</si>
  <si>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</si>
  <si>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</si>
  <si>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</si>
  <si>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</si>
  <si>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</si>
  <si>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</si>
  <si>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</si>
  <si>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</si>
  <si>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</si>
  <si>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</si>
  <si>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</si>
  <si>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</si>
  <si>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</si>
  <si>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</si>
  <si>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</si>
  <si>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</si>
  <si>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</si>
  <si>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</si>
  <si>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</si>
  <si>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</si>
  <si>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</si>
  <si>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</si>
  <si>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</si>
  <si>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</si>
  <si>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</si>
  <si>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</si>
  <si>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</si>
  <si>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</si>
  <si>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</si>
  <si>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</si>
  <si>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</si>
  <si>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</si>
  <si>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</si>
  <si>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</si>
  <si>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</si>
  <si>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</si>
  <si>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</si>
  <si>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</si>
  <si>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</si>
  <si>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</si>
  <si>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</si>
  <si>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</si>
  <si>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</si>
  <si>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</si>
  <si>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</si>
  <si>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</si>
  <si>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</si>
  <si>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</si>
  <si>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</si>
  <si>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</si>
  <si>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</si>
  <si>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</si>
  <si>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</si>
  <si>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</si>
  <si>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</si>
  <si>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</si>
  <si>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</si>
  <si>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</si>
  <si>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</si>
  <si>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</si>
  <si>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</si>
  <si>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</si>
  <si>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</si>
  <si>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</si>
  <si>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</si>
  <si>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</si>
  <si>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</si>
  <si>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</si>
  <si>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</si>
  <si>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</si>
  <si>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</si>
  <si>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</si>
  <si>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</si>
  <si>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</si>
  <si>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</si>
  <si>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</si>
  <si>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</si>
  <si>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</si>
  <si>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</si>
  <si>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</si>
  <si>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</si>
  <si>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</si>
  <si>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</si>
  <si>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</si>
  <si>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</si>
  <si>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</si>
  <si>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</si>
  <si>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</si>
  <si>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</si>
  <si>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</si>
  <si>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</si>
  <si>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</si>
  <si>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</si>
  <si>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</si>
  <si>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</si>
  <si>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</si>
  <si>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</si>
  <si>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</si>
  <si>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</si>
  <si>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</si>
  <si>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</si>
  <si>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</si>
  <si>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</si>
  <si>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</si>
  <si>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</si>
  <si>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</si>
  <si>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</si>
  <si>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</si>
  <si>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</si>
  <si>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</si>
  <si>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</si>
  <si>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</si>
  <si>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</si>
  <si>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</si>
  <si>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</si>
  <si>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</si>
  <si>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</si>
  <si>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</si>
  <si>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</si>
  <si>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</si>
  <si>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</si>
  <si>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</si>
  <si>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</si>
  <si>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</si>
  <si>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</si>
  <si>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</si>
  <si>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</si>
  <si>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</si>
  <si>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</si>
  <si>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</si>
  <si>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</si>
  <si>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</si>
  <si>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</si>
  <si>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</si>
  <si>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</si>
  <si>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</si>
  <si>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</si>
  <si>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</si>
  <si>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</si>
  <si>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</si>
  <si>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</si>
  <si>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</si>
  <si>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</si>
  <si>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</si>
  <si>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</si>
  <si>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</si>
  <si>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</si>
  <si>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</si>
  <si>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</si>
  <si>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</si>
  <si>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</si>
  <si>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</si>
  <si>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</si>
  <si>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</si>
  <si>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</si>
  <si>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</si>
  <si>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</si>
  <si>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</si>
  <si>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</si>
  <si>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</si>
  <si>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</si>
  <si>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</si>
  <si>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</si>
  <si>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</si>
  <si>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</si>
  <si>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</si>
  <si>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</si>
  <si>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</si>
  <si>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</si>
  <si>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</si>
  <si>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</si>
  <si>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</si>
  <si>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</si>
  <si>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</si>
  <si>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</si>
  <si>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</si>
  <si>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</si>
  <si>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</si>
  <si>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</si>
  <si>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</si>
  <si>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</si>
  <si>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</si>
  <si>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</si>
  <si>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</si>
  <si>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</si>
  <si>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</si>
  <si>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</si>
  <si>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</si>
  <si>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</si>
  <si>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</si>
  <si>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</si>
  <si>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</si>
  <si>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</si>
  <si>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</si>
  <si>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</si>
  <si>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</si>
  <si>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</si>
  <si>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</si>
  <si>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</si>
  <si>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</si>
  <si>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</si>
  <si>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</si>
  <si>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</si>
  <si>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</si>
  <si>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</si>
  <si>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</si>
  <si>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</si>
  <si>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</si>
  <si>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</si>
  <si>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</si>
  <si>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</si>
  <si>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</si>
  <si>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</si>
  <si>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</si>
  <si>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</si>
  <si>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</si>
  <si>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</si>
  <si>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</si>
  <si>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</si>
  <si>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</si>
  <si>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</si>
  <si>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</si>
  <si>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</si>
  <si>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</si>
  <si>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</si>
  <si>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</si>
  <si>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</si>
  <si>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</si>
  <si>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</si>
  <si>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</si>
  <si>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</si>
  <si>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</si>
  <si>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</si>
  <si>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</si>
  <si>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</si>
  <si>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</si>
  <si>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</si>
  <si>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</si>
  <si>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</si>
  <si>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</si>
  <si>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</si>
  <si>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</si>
  <si>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</si>
  <si>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</si>
  <si>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</si>
  <si>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</si>
  <si>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</si>
  <si>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</si>
  <si>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</si>
  <si>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</si>
  <si>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</si>
  <si>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</si>
  <si>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</si>
  <si>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</si>
  <si>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</si>
  <si>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</si>
  <si>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</si>
  <si>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</si>
  <si>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</si>
  <si>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</si>
  <si>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</si>
  <si>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</si>
  <si>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</si>
  <si>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</si>
  <si>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</si>
  <si>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</si>
  <si>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</si>
  <si>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</si>
  <si>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</si>
  <si>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</si>
  <si>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</si>
  <si>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</si>
  <si>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</si>
  <si>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</si>
  <si>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</si>
  <si>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</si>
  <si>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</si>
  <si>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</si>
  <si>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</si>
  <si>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</si>
  <si>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</si>
  <si>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</si>
  <si>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</si>
  <si>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</si>
  <si>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</si>
  <si>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</si>
  <si>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</si>
  <si>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</si>
  <si>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</si>
  <si>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</si>
  <si>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</si>
  <si>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</si>
  <si>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</si>
  <si>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</si>
  <si>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</si>
  <si>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</si>
  <si>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</si>
  <si>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</si>
  <si>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</si>
  <si>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</si>
  <si>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</si>
  <si>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</si>
  <si>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</si>
  <si>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</si>
  <si>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</si>
  <si>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</si>
  <si>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</si>
  <si>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</si>
  <si>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</si>
  <si>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</si>
  <si>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</si>
  <si>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</si>
  <si>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</si>
  <si>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</si>
  <si>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</si>
  <si>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</si>
  <si>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</si>
  <si>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</si>
  <si>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</si>
  <si>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</si>
  <si>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</si>
  <si>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</si>
  <si>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</si>
  <si>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</si>
  <si>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</si>
  <si>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</si>
  <si>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</si>
  <si>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</si>
  <si>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</si>
  <si>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</si>
  <si>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</si>
  <si>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</si>
  <si>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</si>
  <si>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</si>
  <si>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</si>
  <si>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</si>
  <si>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</si>
  <si>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</si>
  <si>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</si>
  <si>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</si>
  <si>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</si>
  <si>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</si>
  <si>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</si>
  <si>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</si>
  <si>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</si>
  <si>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</si>
  <si>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</si>
  <si>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</si>
  <si>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</si>
  <si>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</si>
  <si>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</si>
  <si>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</si>
  <si>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</si>
  <si>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</si>
  <si>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</si>
  <si>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</si>
  <si>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</si>
  <si>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</si>
  <si>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</si>
  <si>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</si>
  <si>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</si>
  <si>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</si>
  <si>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</si>
  <si>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</si>
  <si>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</si>
  <si>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</si>
  <si>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</si>
  <si>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</si>
  <si>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</si>
  <si>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</si>
  <si>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</si>
  <si>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</si>
  <si>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</si>
  <si>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</si>
  <si>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</si>
  <si>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</si>
  <si>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</si>
  <si>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</si>
  <si>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</si>
  <si>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</si>
  <si>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</si>
  <si>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</si>
  <si>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</si>
  <si>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</si>
  <si>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</si>
  <si>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</si>
  <si>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</si>
  <si>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</si>
  <si>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</si>
  <si>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</si>
  <si>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</si>
  <si>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</si>
  <si>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</si>
  <si>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</si>
  <si>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</si>
  <si>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</si>
  <si>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</si>
  <si>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</si>
  <si>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</si>
  <si>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Irish Transport</t>
  </si>
  <si>
    <t>Irish Bioenergy</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</si>
  <si>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</si>
  <si>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</si>
  <si>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</si>
  <si>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</si>
  <si>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</si>
  <si>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</si>
  <si>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</si>
  <si>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</si>
  <si>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</si>
  <si>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</si>
  <si>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</si>
  <si>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</si>
  <si>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</si>
  <si>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</si>
  <si>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</si>
  <si>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</si>
  <si>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</si>
  <si>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</si>
  <si>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</si>
  <si>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</si>
  <si>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</si>
  <si>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Total forestry arisings, new forests (not used - estimated in row 411)</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</si>
  <si>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</si>
  <si>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</si>
  <si>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</si>
  <si>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</si>
  <si>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</si>
  <si>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</si>
  <si>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</si>
  <si>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</si>
  <si>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</si>
  <si>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</si>
  <si>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</si>
  <si>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</si>
  <si>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</si>
  <si>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</si>
  <si>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</si>
  <si>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</si>
  <si>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</si>
  <si>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</si>
  <si>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</si>
  <si>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</si>
  <si>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</si>
  <si>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</si>
  <si>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</si>
  <si>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</si>
  <si>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</si>
  <si>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</si>
  <si>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</si>
  <si>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</si>
  <si>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</si>
  <si>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</si>
  <si>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</si>
  <si>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</si>
  <si>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</si>
  <si>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</si>
  <si>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</si>
  <si>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</si>
  <si>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</si>
  <si>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</si>
  <si>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</si>
  <si>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</si>
  <si>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</si>
  <si>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</si>
  <si>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</si>
  <si>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</si>
  <si>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</si>
  <si>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</si>
  <si>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</si>
  <si>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</si>
  <si>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</si>
  <si>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</si>
  <si>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</si>
  <si>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</si>
  <si>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</si>
  <si>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</si>
  <si>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</si>
  <si>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</si>
  <si>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</si>
  <si>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</si>
  <si>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</si>
  <si>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</si>
  <si>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</si>
  <si>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</si>
  <si>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</si>
  <si>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</si>
  <si>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</si>
  <si>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</si>
  <si>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</si>
  <si>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</si>
  <si>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</si>
  <si>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</si>
  <si>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</si>
  <si>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</si>
  <si>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</si>
  <si>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</si>
  <si>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</si>
  <si>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</si>
  <si>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</si>
  <si>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</si>
  <si>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</si>
  <si>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</si>
  <si>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</si>
  <si>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</si>
  <si>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</si>
  <si>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</si>
  <si>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</si>
  <si>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</si>
  <si>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</si>
  <si>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</si>
  <si>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</si>
  <si>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</si>
  <si>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</si>
  <si>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</si>
  <si>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</si>
  <si>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</si>
  <si>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</si>
  <si>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</si>
  <si>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</si>
  <si>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</si>
  <si>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</si>
  <si>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</si>
  <si>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</si>
  <si>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</si>
  <si>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</si>
  <si>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</si>
  <si>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</si>
  <si>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</si>
  <si>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</si>
  <si>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</si>
  <si>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</si>
  <si>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</si>
  <si>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</si>
  <si>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</si>
  <si>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</si>
  <si>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</si>
  <si>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</si>
  <si>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</si>
  <si>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</si>
  <si>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</si>
  <si>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</si>
  <si>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</si>
  <si>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</si>
  <si>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</si>
  <si>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</si>
  <si>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</si>
  <si>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</si>
  <si>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</si>
  <si>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</si>
  <si>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</si>
  <si>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</si>
  <si>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</si>
  <si>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</si>
  <si>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</si>
  <si>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</si>
  <si>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</si>
  <si>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</si>
  <si>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</si>
  <si>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</si>
  <si>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</si>
  <si>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</si>
  <si>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</si>
  <si>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</si>
  <si>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</si>
  <si>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</si>
  <si>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</si>
  <si>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</si>
  <si>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</si>
  <si>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</si>
  <si>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</si>
  <si>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</si>
  <si>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</si>
  <si>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</si>
  <si>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</si>
  <si>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</si>
  <si>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</si>
  <si>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</si>
  <si>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</si>
  <si>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</si>
  <si>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</si>
  <si>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</si>
  <si>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</si>
  <si>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</si>
  <si>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</si>
  <si>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</si>
  <si>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</si>
  <si>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</si>
  <si>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</si>
  <si>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</si>
  <si>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</si>
  <si>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</si>
  <si>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</si>
  <si>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</si>
  <si>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</si>
  <si>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</si>
  <si>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</si>
  <si>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</si>
  <si>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</si>
  <si>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</si>
  <si>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</si>
  <si>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</si>
  <si>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</si>
  <si>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</si>
  <si>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</si>
  <si>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</si>
  <si>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</si>
  <si>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</si>
  <si>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</si>
  <si>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</si>
  <si>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</si>
  <si>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</si>
  <si>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</si>
  <si>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</si>
  <si>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</si>
  <si>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</si>
  <si>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</si>
  <si>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</si>
  <si>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</si>
  <si>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</si>
  <si>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</si>
  <si>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</si>
  <si>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</si>
  <si>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</si>
  <si>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</si>
  <si>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</si>
  <si>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</si>
  <si>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No offshore wind, Arklow Bank Wind Park is decommissioned</t>
  </si>
  <si>
    <t>Area same as lower estimate of total available resource used, delivering 7 TWh/yr</t>
  </si>
  <si>
    <t>Area same as upper estimate of total available resource used, delivering 16 TWh/yr</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</si>
  <si>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</si>
  <si>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</si>
  <si>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</si>
  <si>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</si>
  <si>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</si>
  <si>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</si>
  <si>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</si>
  <si>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</si>
  <si>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</si>
  <si>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</si>
  <si>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</si>
  <si>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</si>
  <si>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</si>
  <si>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</si>
  <si>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</si>
  <si>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</si>
  <si>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</si>
  <si>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</si>
  <si>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</si>
  <si>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</si>
  <si>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</si>
  <si>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</si>
  <si>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0.4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</si>
  <si>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</si>
  <si>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</si>
  <si>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</si>
  <si>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</si>
  <si>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</si>
  <si>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</si>
  <si>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</si>
  <si>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</si>
  <si>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</si>
  <si>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</si>
  <si>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</si>
  <si>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</si>
  <si>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</si>
  <si>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</si>
  <si>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</si>
  <si>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</si>
  <si>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Petroleum products oversupply (unused)</t>
  </si>
  <si>
    <t>Calculated from SEAI Energy Balance 2013</t>
  </si>
  <si>
    <t>Total [exlcuding solar, rounded up]</t>
  </si>
  <si>
    <t xml:space="preserve">Notes: </t>
  </si>
  <si>
    <t>Same technical potential (% hhs) as DECC at present, refine with SEAI, Jim</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</si>
  <si>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</si>
  <si>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</si>
  <si>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</si>
  <si>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</si>
  <si>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</si>
  <si>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</si>
  <si>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</si>
  <si>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</si>
  <si>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</si>
  <si>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</si>
  <si>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</si>
  <si>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</si>
  <si>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</si>
  <si>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</si>
  <si>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</si>
  <si>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</si>
  <si>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</si>
  <si>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</si>
  <si>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</si>
  <si>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</si>
  <si>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</si>
  <si>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</si>
  <si>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</si>
  <si>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</si>
  <si>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</si>
  <si>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</si>
  <si>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</si>
  <si>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</si>
  <si>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</si>
  <si>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</si>
  <si>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</si>
  <si>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</si>
  <si>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</si>
  <si>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</si>
  <si>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</si>
  <si>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</si>
  <si>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</si>
  <si>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</si>
  <si>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</si>
  <si>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</si>
  <si>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</si>
  <si>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</si>
  <si>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</si>
  <si>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</si>
  <si>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</si>
  <si>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</si>
  <si>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</si>
  <si>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</si>
  <si>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</si>
  <si>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</si>
  <si>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</si>
  <si>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</si>
  <si>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</si>
  <si>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</si>
  <si>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</si>
  <si>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</si>
  <si>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</si>
  <si>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</si>
  <si>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</si>
  <si>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</si>
  <si>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</si>
  <si>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</si>
  <si>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</si>
  <si>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</si>
  <si>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</si>
  <si>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</si>
  <si>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</si>
  <si>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Estimated from SEAI Energy Balance and shares from 'Energy in the Residential Sector', SEAI 2013. See: http://www.seai.ie/Publications/Statistics_Publications/Energy-in-the-Residential-Sector/Energy-in-the-Residential-Sector-2013.pdf</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</si>
  <si>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</si>
  <si>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</si>
  <si>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</si>
  <si>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</si>
  <si>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</si>
  <si>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</si>
  <si>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</si>
  <si>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</si>
  <si>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</si>
  <si>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</si>
  <si>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</si>
  <si>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</si>
  <si>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</si>
  <si>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</si>
  <si>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</si>
  <si>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</si>
  <si>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</si>
  <si>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</si>
  <si>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</si>
  <si>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</si>
  <si>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</si>
  <si>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</si>
  <si>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</si>
  <si>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</si>
  <si>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</si>
  <si>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</si>
  <si>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</si>
  <si>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</si>
  <si>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</si>
  <si>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</si>
  <si>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</si>
  <si>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</si>
  <si>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</si>
  <si>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</si>
  <si>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</si>
  <si>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</si>
  <si>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</si>
  <si>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</si>
  <si>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</si>
  <si>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</si>
  <si>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</si>
  <si>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</si>
  <si>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</si>
  <si>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</si>
  <si>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</si>
  <si>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</si>
  <si>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</si>
  <si>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</si>
  <si>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</si>
  <si>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</si>
  <si>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</si>
  <si>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</si>
  <si>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</si>
  <si>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</si>
  <si>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</si>
  <si>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</si>
  <si>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</si>
  <si>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</si>
  <si>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</si>
  <si>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</si>
  <si>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</si>
  <si>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</si>
  <si>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</si>
  <si>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</si>
  <si>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</si>
  <si>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</si>
  <si>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</si>
  <si>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</si>
  <si>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</si>
  <si>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</si>
  <si>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</si>
  <si>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</si>
  <si>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</si>
  <si>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</si>
  <si>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</si>
  <si>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</si>
  <si>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</si>
  <si>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</si>
  <si>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</si>
  <si>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</si>
  <si>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</si>
  <si>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</si>
  <si>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</si>
  <si>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</si>
  <si>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</si>
  <si>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</si>
  <si>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</si>
  <si>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</si>
  <si>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</si>
  <si>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</si>
  <si>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</si>
  <si>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</si>
  <si>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</si>
  <si>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</si>
  <si>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</si>
  <si>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</si>
  <si>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</si>
  <si>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</si>
  <si>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</si>
  <si>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</si>
  <si>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</si>
  <si>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</si>
  <si>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</si>
  <si>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</si>
  <si>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</si>
  <si>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</si>
  <si>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</si>
  <si>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</si>
  <si>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</si>
  <si>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</si>
  <si>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</si>
  <si>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</si>
  <si>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</si>
  <si>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</si>
  <si>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</si>
  <si>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</si>
  <si>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</si>
  <si>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</si>
  <si>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</si>
  <si>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</si>
  <si>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</si>
  <si>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</si>
  <si>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</si>
  <si>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</si>
  <si>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</si>
  <si>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</si>
  <si>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</si>
  <si>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</si>
  <si>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</si>
  <si>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</si>
  <si>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</si>
  <si>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</si>
  <si>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</si>
  <si>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</si>
  <si>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</si>
  <si>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</si>
  <si>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</si>
  <si>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</si>
  <si>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</si>
  <si>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</si>
  <si>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</si>
  <si>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</si>
  <si>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</si>
  <si>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</si>
  <si>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</si>
  <si>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</si>
  <si>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</si>
  <si>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</si>
  <si>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</si>
  <si>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</si>
  <si>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</si>
  <si>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</si>
  <si>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</si>
  <si>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</si>
  <si>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</si>
  <si>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</si>
  <si>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</si>
  <si>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</si>
  <si>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</si>
  <si>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</si>
  <si>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</si>
  <si>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[Edited]</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</si>
  <si>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</si>
  <si>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</si>
  <si>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</si>
  <si>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</si>
  <si>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</si>
  <si>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</si>
  <si>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</si>
  <si>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</si>
  <si>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</si>
  <si>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</si>
  <si>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</si>
  <si>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</si>
  <si>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</si>
  <si>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</si>
  <si>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</si>
  <si>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</si>
  <si>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</si>
  <si>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</si>
  <si>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50-80% co-firing in all peat stations by 2050 (~250 MW)</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</si>
  <si>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</si>
  <si>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</si>
  <si>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</si>
  <si>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</si>
  <si>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</si>
  <si>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</si>
  <si>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</si>
  <si>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</si>
  <si>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</si>
  <si>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</si>
  <si>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</si>
  <si>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</si>
  <si>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</si>
  <si>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</si>
  <si>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</si>
  <si>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</si>
  <si>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22.pdf</t>
  </si>
  <si>
    <t>23.pdf</t>
  </si>
  <si>
    <t>25.pdf</t>
  </si>
  <si>
    <t>26.pdf</t>
  </si>
  <si>
    <t>27.pdf</t>
  </si>
  <si>
    <t>28.pdf</t>
  </si>
  <si>
    <t>29.pdf</t>
  </si>
  <si>
    <t>30.pdf</t>
  </si>
  <si>
    <t>31.pdf</t>
  </si>
  <si>
    <t>32.pdf</t>
  </si>
  <si>
    <t>33.pdf</t>
  </si>
  <si>
    <t>34.pdf</t>
  </si>
  <si>
    <t>35.pdf</t>
  </si>
  <si>
    <t>36.pdf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</si>
  <si>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</si>
  <si>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</si>
  <si>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</si>
  <si>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</si>
  <si>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</si>
  <si>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</si>
  <si>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</si>
  <si>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</si>
  <si>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</si>
  <si>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</si>
  <si>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</si>
  <si>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</si>
  <si>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</si>
  <si>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</si>
  <si>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</si>
  <si>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</si>
  <si>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</si>
  <si>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</si>
  <si>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</si>
  <si>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</si>
  <si>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</si>
  <si>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</si>
  <si>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</si>
  <si>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</si>
  <si>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</si>
  <si>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</si>
  <si>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</si>
  <si>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</si>
  <si>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</si>
  <si>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</si>
  <si>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</si>
  <si>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</si>
  <si>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</si>
  <si>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</si>
  <si>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</si>
  <si>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</si>
  <si>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</si>
  <si>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</si>
  <si>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</si>
  <si>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</si>
  <si>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</si>
  <si>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</si>
  <si>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</si>
  <si>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</si>
  <si>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</si>
  <si>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</si>
  <si>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</si>
  <si>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</si>
  <si>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</si>
  <si>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</si>
  <si>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</si>
  <si>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</si>
  <si>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</si>
  <si>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</si>
  <si>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</si>
  <si>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</si>
  <si>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</si>
  <si>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</si>
  <si>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</si>
  <si>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</si>
  <si>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</si>
  <si>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</si>
  <si>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</si>
  <si>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</si>
  <si>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</si>
  <si>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</si>
  <si>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</si>
  <si>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</si>
  <si>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</si>
  <si>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</si>
  <si>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</si>
  <si>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</si>
  <si>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</si>
  <si>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</si>
  <si>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</si>
  <si>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</si>
  <si>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</si>
  <si>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</si>
  <si>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</si>
  <si>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</si>
  <si>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</si>
  <si>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</si>
  <si>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</si>
  <si>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</si>
  <si>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</si>
  <si>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</si>
  <si>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</si>
  <si>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</si>
  <si>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</si>
  <si>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</si>
  <si>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Note: the targets are not expressed in their legal form: up to 2025 they are 5 year budgets, whereas here they have been given for one year. For 2050 it is a percentage reduction on the base year</t>
  </si>
  <si>
    <t>Emissions against target</t>
  </si>
  <si>
    <t>Actual emissions in 1990</t>
  </si>
  <si>
    <t>Total in base year</t>
  </si>
  <si>
    <t>Ratio of modelled to actual</t>
  </si>
  <si>
    <t>Adjusted base year</t>
  </si>
  <si>
    <t>1. Fuel combustion</t>
  </si>
  <si>
    <t>2. Other emissions types for  graphs</t>
  </si>
  <si>
    <t>Modelled emissions in 2013</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</si>
  <si>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</si>
  <si>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</si>
  <si>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</si>
  <si>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</si>
  <si>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</si>
  <si>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</si>
  <si>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</si>
  <si>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</si>
  <si>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</si>
  <si>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</si>
  <si>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</si>
  <si>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</si>
  <si>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</si>
  <si>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</si>
  <si>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</si>
  <si>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</si>
  <si>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</si>
  <si>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</si>
  <si>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</si>
  <si>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</si>
  <si>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</si>
  <si>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</si>
  <si>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</si>
  <si>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</si>
  <si>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</si>
  <si>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</si>
  <si>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 xml:space="preserve">Hydroelectric power stations </t>
  </si>
  <si>
    <t>Capacity rises to 3.7 GW by 2050. 640 turbines  deliver ~15 TWh/yr</t>
  </si>
  <si>
    <t>Approximate sea area covered</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</si>
  <si>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</si>
  <si>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</si>
  <si>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</si>
  <si>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</si>
  <si>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</si>
  <si>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</si>
  <si>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</si>
  <si>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</si>
  <si>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</si>
  <si>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 xml:space="preserve"> 3m2 of photovoltaic panels per person in 2050, supplying ~3 TWh/yr</t>
  </si>
  <si>
    <t>16.pdf</t>
  </si>
  <si>
    <t>17.pdf</t>
  </si>
  <si>
    <t>Emissions (as % of base year)</t>
  </si>
  <si>
    <t xml:space="preserve">3TWh/yr from one 500 MW CCS power station </t>
  </si>
  <si>
    <t>65% of homes have B2 BER rating or higher</t>
  </si>
  <si>
    <t>80% of homes in Ireland have an A-B2 BER rating in 2050</t>
  </si>
  <si>
    <t>Table</t>
  </si>
  <si>
    <t>Corrib</t>
  </si>
  <si>
    <t>Forecast</t>
  </si>
  <si>
    <t>Maximum</t>
  </si>
  <si>
    <t>Daily</t>
  </si>
  <si>
    <t>(mscm/d)</t>
  </si>
  <si>
    <t>(GWh/d)</t>
  </si>
  <si>
    <t>(GWh/y)</t>
  </si>
  <si>
    <t>TWh/y</t>
  </si>
  <si>
    <t>T2: Bord Gáis Network’s objective is that by 2024, at least 5% of the commercial transport market and 10% of the bus market in Ireland will be operating on CNG or biogas. </t>
  </si>
  <si>
    <t xml:space="preserve">Source: http://www.engineersjournal.ie/2014/09/01/cng-future-irelands-freight-fleet-vehicles/ </t>
  </si>
  <si>
    <t>Population:</t>
  </si>
  <si>
    <t>Based on assumption of 2.75 pax per household in 2013, declining to 2.4 in 2050</t>
  </si>
  <si>
    <t>Pax per household</t>
  </si>
  <si>
    <t>SEAI 2014. Initial methodology for estimating savings below (row 842-854). Could be refined by changing the heat loss per house (row 804-819) according to BER ratings.</t>
  </si>
  <si>
    <t>Useful heat gains per household, estimated (based on UK data - update with Irish data)</t>
  </si>
  <si>
    <t>Seasonal external temperature (EPA - Climate Change in Ireland)</t>
  </si>
  <si>
    <t>Rate of heat loss per house (UK base year values appied)</t>
  </si>
  <si>
    <t>User Choice Estimated demand based on new BER distribution (TWh)</t>
  </si>
  <si>
    <t>Estimated change in Demand (depends on user choice)</t>
  </si>
  <si>
    <t>Estimated (total final) demand based on 2013 BER distribution (baseline, TWh)</t>
  </si>
  <si>
    <t>HOT WATER DEMAND AFTER SMART METER INSTALLATION</t>
  </si>
  <si>
    <t>(ia) Space and water heating savings from smart meter installation and behaviour change [1]</t>
  </si>
  <si>
    <t>(iv) Target technology penetrations, cooling (must be less than maximum penetration) [not used in Irish version]</t>
  </si>
  <si>
    <t>Useful heat gains per household, estimated (UK estimates at present)</t>
  </si>
  <si>
    <t>Technology efficiencies -- cooling [not used in Irish version]</t>
  </si>
  <si>
    <t>Insulation retrofit (for costs - not used in version 1)</t>
  </si>
  <si>
    <t>Based on CSO projections under median inward migration (M2) scenario and low fertility assumption.</t>
  </si>
  <si>
    <t>Average GDP growth:</t>
  </si>
  <si>
    <t>Average population growth:</t>
  </si>
  <si>
    <t>Average household growth:</t>
  </si>
  <si>
    <t>Source: 2013 figures derived from SEAI Energy Balance and SEAI Heat Model. Demand share for commercial space and water heating same as DECC. See trajectory description document for 2050 assumptions</t>
  </si>
  <si>
    <t>Fuel Efficiency Calculations</t>
  </si>
  <si>
    <t>L/100 km</t>
  </si>
  <si>
    <t>Wh/km</t>
  </si>
  <si>
    <t>Petrol</t>
  </si>
  <si>
    <t>Deisel</t>
  </si>
  <si>
    <t>TWh/bn vehicle-km</t>
  </si>
  <si>
    <t>Average for all cars 2021 target</t>
  </si>
  <si>
    <t>New cars registered in Ireland 2013</t>
  </si>
  <si>
    <t>MJ/km</t>
  </si>
  <si>
    <t>Target for new cars registered in EU 2015</t>
  </si>
  <si>
    <t>(SEAI Energy in Transport)</t>
  </si>
  <si>
    <t>Petro-electric</t>
  </si>
  <si>
    <t>http://www.iea.org/publications/fueleconomy_2012_final_web.pdf</t>
  </si>
  <si>
    <t>Cars and Vans</t>
  </si>
  <si>
    <t>50% of homes have a B2 BER rating or higher by 2050</t>
  </si>
  <si>
    <t>FC</t>
  </si>
  <si>
    <t>CNG</t>
  </si>
  <si>
    <t>2013 ave FE</t>
  </si>
  <si>
    <t>2050 ave FE</t>
  </si>
  <si>
    <t>Workshop</t>
  </si>
  <si>
    <t>Growth rates up to 2050 in the trajectories aligned with DECC analysis.</t>
  </si>
  <si>
    <t xml:space="preserve">Growth in efficiency based on IEA estimates. See: </t>
  </si>
  <si>
    <t>Energy demand for lights &amp; appliances increases by 29%. Energy for cooking is stable</t>
  </si>
  <si>
    <t>In 2050, individuals travel 9% further than today. Same modal split as today</t>
  </si>
  <si>
    <t>In 2050, individuals travel 7% further than today, cars and vans are 78% of 2050 passenger mileage</t>
  </si>
  <si>
    <t>In 2050, individuals travel 7% further than today; cars and vans 74% of 2050 passenger mileage. Shift towards rail.</t>
  </si>
  <si>
    <t>In 2050, individuals travel 1% more than they do today. Signficant shift to public transport.</t>
  </si>
  <si>
    <t>Petrol 2013</t>
  </si>
  <si>
    <t>Deisel 2013</t>
  </si>
  <si>
    <t>Petrol 2050</t>
  </si>
  <si>
    <t>Deisel 2050</t>
  </si>
  <si>
    <t>BEV 2013</t>
  </si>
  <si>
    <t>BEV 2050</t>
  </si>
  <si>
    <t>IEA - ETP</t>
  </si>
  <si>
    <t>Gaseous Hydrocarbons</t>
  </si>
  <si>
    <t>Gas-fuelled</t>
  </si>
  <si>
    <t>Typical distance travelled by mode [for scrappage/costs]</t>
  </si>
  <si>
    <t>GAS</t>
  </si>
  <si>
    <t>per dwelling</t>
  </si>
  <si>
    <t>Distance (HGVs), gas</t>
  </si>
  <si>
    <t>(iii) Rail freight</t>
  </si>
  <si>
    <t>(ii) Road freight, technology efficiencies</t>
  </si>
  <si>
    <t>(i) Road freight, activity</t>
  </si>
  <si>
    <t>bn tonne-km</t>
  </si>
  <si>
    <t>DIESEL HGV ROAD FREIGHT</t>
  </si>
  <si>
    <t>GAS HGV ROAD FREIGHT</t>
  </si>
  <si>
    <t>Compute energy content of road freight</t>
  </si>
  <si>
    <t>DIESEL LGV ROAD FREIGHT</t>
  </si>
  <si>
    <t>ELECTRIC LGV ROAD FREIGHT</t>
  </si>
  <si>
    <t>Road freight (HGVs), billion tonne kilometres, % gas</t>
  </si>
  <si>
    <t>Road freight (LGVs), billion vehicle kilometres, % electric</t>
  </si>
  <si>
    <t>Growth rate</t>
  </si>
  <si>
    <t>Total change</t>
  </si>
  <si>
    <t xml:space="preserve">OTHER COMMERCIAL AND SERVICE ROAD TRANSPORT </t>
  </si>
  <si>
    <t>Road freight (HGVs), billion tonne kilometres, diesel [1]</t>
  </si>
  <si>
    <t>2013 value from CSO road freight survey</t>
  </si>
  <si>
    <t>2013 value from CSO - kilometres travelled by goods vehicles &lt;2 tonnes</t>
  </si>
  <si>
    <t xml:space="preserve">Road freight (LGVs), billion vehicle kilometres, diesel [2] </t>
  </si>
  <si>
    <t>Road freight (other and unspecified), energy use [3]</t>
  </si>
  <si>
    <t>2013 value for other from Irish SEAI Energy Balance. Refers to service and construction vehicles</t>
  </si>
  <si>
    <t xml:space="preserve">[1] </t>
  </si>
  <si>
    <t>Road freight, efficiencies (HGV), diesel [1]</t>
  </si>
  <si>
    <t>Online at: https://www.iea.org/publications/freepublications/publication/technology-roadmap-fuel-economy-of-road-vehicles.html</t>
  </si>
  <si>
    <t>Road freight, efficiencies (LGV), diesel [2]</t>
  </si>
  <si>
    <t>2013 figures from UCC LGV working paper. Efficiency improvements in UCC paper fall between trajectory 2 and 3 (0.6 TWh/bn vehicle km). Maximum increase of 1.5% per year from IEA Technology Roadmap (see link above)</t>
  </si>
  <si>
    <t xml:space="preserve">2013 figures from SEAI Transport Statistics. Maximum increase of 1.5% per year in efficiency in heavy goods vehicles from IEA Technology Roadmap: Fuel Economy of Road Vehicles, p.14. </t>
  </si>
  <si>
    <t>Liquid and Gas Hydrocarbon emissions</t>
  </si>
  <si>
    <t>Compute energy content of rail freight</t>
  </si>
  <si>
    <t>Add national navigation energy use</t>
  </si>
  <si>
    <t>Vehicle units by mode</t>
  </si>
  <si>
    <t>Air Quality calculations - not used in version 1</t>
  </si>
  <si>
    <t>Breakdown, by mode and technology - revise</t>
  </si>
  <si>
    <t>VEHICLE UNITS BY MODE / TECHNOLOGY  (for costs - not used in version 1)</t>
  </si>
  <si>
    <t>5a</t>
  </si>
  <si>
    <t>[SAME AS DEISEL ICE]</t>
  </si>
  <si>
    <t>Technology efficiences -- Gaseous and Liquid hydrocarbons [1]</t>
  </si>
  <si>
    <t>Technology efficiences -- Hydrogen [1]</t>
  </si>
  <si>
    <t>PM10 emission factors [for air quality estimates - not used in version 1]</t>
  </si>
  <si>
    <t>Technology efficiences -- Gaseous Hydrocarbons</t>
  </si>
  <si>
    <t xml:space="preserve">Technology efficiences -- Hydrogen </t>
  </si>
  <si>
    <t>PHEV 2013</t>
  </si>
  <si>
    <t>PHEV 2050</t>
  </si>
  <si>
    <t>UCC (IEA TP)</t>
  </si>
  <si>
    <t>FC 2013</t>
  </si>
  <si>
    <t>FC 2050</t>
  </si>
  <si>
    <t>FC 2014</t>
  </si>
  <si>
    <t>FC 2015</t>
  </si>
  <si>
    <t>FC 2016</t>
  </si>
  <si>
    <t>FC 2017</t>
  </si>
  <si>
    <t>FC 2018</t>
  </si>
  <si>
    <t>FC 2019</t>
  </si>
  <si>
    <t>FC 2020</t>
  </si>
  <si>
    <t>FC 2021</t>
  </si>
  <si>
    <t>FC 2022</t>
  </si>
  <si>
    <t>FC 2023</t>
  </si>
  <si>
    <t>FC 2024</t>
  </si>
  <si>
    <t>FC 2025</t>
  </si>
  <si>
    <t>FC 2026</t>
  </si>
  <si>
    <t>FC 2027</t>
  </si>
  <si>
    <t>FC 2028</t>
  </si>
  <si>
    <t>FC 2029</t>
  </si>
  <si>
    <t>FC 2030</t>
  </si>
  <si>
    <t>FC 2031</t>
  </si>
  <si>
    <t>FC 2032</t>
  </si>
  <si>
    <t>FC 2033</t>
  </si>
  <si>
    <t>FC 2034</t>
  </si>
  <si>
    <t>FC 2035</t>
  </si>
  <si>
    <t>FC 2036</t>
  </si>
  <si>
    <t>FC 2037</t>
  </si>
  <si>
    <t>FC 2038</t>
  </si>
  <si>
    <t>FC 2039</t>
  </si>
  <si>
    <t>FC 2040</t>
  </si>
  <si>
    <t>FC 2041</t>
  </si>
  <si>
    <t>FC 2042</t>
  </si>
  <si>
    <t>FC 2043</t>
  </si>
  <si>
    <t>FC 2044</t>
  </si>
  <si>
    <t>FC 2045</t>
  </si>
  <si>
    <t>FC 2046</t>
  </si>
  <si>
    <t>FC 2047</t>
  </si>
  <si>
    <t>FC 2048</t>
  </si>
  <si>
    <t>FC 2049</t>
  </si>
  <si>
    <t>FC 2051</t>
  </si>
  <si>
    <t>FC 2052</t>
  </si>
  <si>
    <t>FC 2053</t>
  </si>
  <si>
    <t>FC 2054</t>
  </si>
  <si>
    <t>FC 2055</t>
  </si>
  <si>
    <t>FC 2056</t>
  </si>
  <si>
    <t>FC 2057</t>
  </si>
  <si>
    <t>FC 2058</t>
  </si>
  <si>
    <t>FC 2059</t>
  </si>
  <si>
    <t>FC 2060</t>
  </si>
  <si>
    <t>FC 2061</t>
  </si>
  <si>
    <t>FC 2062</t>
  </si>
  <si>
    <t>FC 2063</t>
  </si>
  <si>
    <t>FC 2064</t>
  </si>
  <si>
    <t>FC 2065</t>
  </si>
  <si>
    <t>FC 2066</t>
  </si>
  <si>
    <t>FC 2067</t>
  </si>
  <si>
    <t>FC 2068</t>
  </si>
  <si>
    <t>FC 2069</t>
  </si>
  <si>
    <t>FC 2070</t>
  </si>
  <si>
    <t>FC 2071</t>
  </si>
  <si>
    <t>FC 2072</t>
  </si>
  <si>
    <t>FC 2073</t>
  </si>
  <si>
    <t>FC 2074</t>
  </si>
  <si>
    <t>FC 2075</t>
  </si>
  <si>
    <t>INSERT TWh</t>
  </si>
  <si>
    <t>Road freight, efficiencies (LGV), electric [quarter of deisel at present - need to find source]</t>
  </si>
  <si>
    <t>Road freight, efficiencies (HGVs), gas [same as diesel at present - need to find source]</t>
  </si>
  <si>
    <t xml:space="preserve">Shift to zero emission transport </t>
  </si>
  <si>
    <t>(iv) Inland navigation (marine)</t>
  </si>
  <si>
    <t>Demand Proj</t>
  </si>
  <si>
    <t>Incl. eff.</t>
  </si>
  <si>
    <t>95% increase in vehicle-kilometres. 20% increase in engine efficiency.</t>
  </si>
  <si>
    <t>120% increase in total freight goods transported by road. 15% increase in road engine efficiency.</t>
  </si>
  <si>
    <t>60% increase in vehicle-kilometres. 40% increase in engine efficiency.</t>
  </si>
  <si>
    <t>Vehicle-kilometres travelled grows by 40%. 60% increase in engine efficiency. All rail freight is electric.</t>
  </si>
  <si>
    <t>No further electrification of processes, moderate improvements energy intensity</t>
  </si>
  <si>
    <t>Some processes electrified (39%); improvements in process emissions and energy intensity</t>
  </si>
  <si>
    <t>High electrification (66%); process emissions significantly reduced</t>
  </si>
  <si>
    <t>*Assumptions in pink applied</t>
  </si>
  <si>
    <t>IEA ETP 2012 Table 7.3*</t>
  </si>
  <si>
    <t>UCC Transport Model BaU_4 - targets met*</t>
  </si>
  <si>
    <t>Note: Source CNG efficiency (same as deisel at present)</t>
  </si>
  <si>
    <t>By 2050, 54% plug-in hybrid vehicles; 11%  zero emission vehicles, 45% buses hybrids; 15% CNG buses</t>
  </si>
  <si>
    <t>1 GW of wave farm capacity delivers 2.6 TWh/yr</t>
  </si>
  <si>
    <t>2.4 GW of wave farm capacity delivers 6.2 TWh/yr</t>
  </si>
  <si>
    <t>4 GW of wave farm capacity delivers 10.4 TWh/yr</t>
  </si>
  <si>
    <t xml:space="preserve">Supply increases to 0.2 TWh/yr by 2050 </t>
  </si>
  <si>
    <t>Installed in 3% of domestic properties; supplies 0.6 TWh/year in 2050</t>
  </si>
  <si>
    <t>Installed in 5% of domestic homes or 5% of farms in 2050;  1.3 TWh/year</t>
  </si>
  <si>
    <t>2,600 turbines in 2050, (6.6 GW) delivering 17 TWh/yr</t>
  </si>
  <si>
    <t>3,400 turbines in 2050, (8.6GW) delivering 22 TWh/yr (~current total demand)</t>
  </si>
  <si>
    <t>6 GW capacity delivers 23 TWh/yr (~total current demand), sea area around double the size of Lough Derg</t>
  </si>
  <si>
    <t>400 tidal stream turbines deliver 2.5 TWh/yr</t>
  </si>
  <si>
    <t>4m2 of photovoltaic panels per person – all south facing domestic roof space used</t>
  </si>
  <si>
    <t>Smart meter roll-out and behaviour change leads to 9% reduction in energy demand for electric heating</t>
  </si>
  <si>
    <t>Smart meter roll-out and behaviour change leads to 6% reduction in energy demand for heating</t>
  </si>
  <si>
    <t>No nuclear</t>
  </si>
  <si>
    <t>Micro turbines installed in 3% of domestic properties; supplies 0.6 TWh/year in 2050</t>
  </si>
  <si>
    <t>Micro turbines installed in 5% of domestic homes or 5% of farms in 2050;  1.3 TWh/year</t>
  </si>
  <si>
    <t>Supply of electricity from hydro power is maintained at current levels of around 750 GWh/yr</t>
  </si>
  <si>
    <t>Further development of Arklow Bank goes ahead (520 MW by 2030), 1.53 GW total offshore wind capacity by 2050</t>
  </si>
  <si>
    <t>Offshore wind capacity rises to 3.7 GW by 2050. 640 turbines  deliver ~15 TWh/yr</t>
  </si>
  <si>
    <t>6 GW offshore wind capacity delivers 23 TWh/yr (~total current demand), sea area around double the size of Lough Derg</t>
  </si>
  <si>
    <t>2,600 onshore wind turbines in 2050, (6.6 GW) delivering 17 TWh/yr</t>
  </si>
  <si>
    <t>3,400 onshore wind turbines in 2050, (8.6GW) delivering 22 TWh/yr (~current total demand)</t>
  </si>
  <si>
    <t>Onshore wind capacity stays the same (~2GW) up to 2020, decomissioned thereafter</t>
  </si>
  <si>
    <t>1,600 onshore wind turbines in 2050 (4 GW capacity), delivering 11 TWh/yr</t>
  </si>
  <si>
    <t>No wave power</t>
  </si>
  <si>
    <t>No tidal stream power</t>
  </si>
  <si>
    <t>Co-firing in Edenderry to 2030. All peat plants close post 2030</t>
  </si>
  <si>
    <t>Coversion of Moneypoint (855 MW) and all peat stations to biomass by 2050 (1.2 GW capacity)</t>
  </si>
  <si>
    <t xml:space="preserve">Total supply from micro wind turbines increases to 0.2 TWh/yr by 2050 </t>
  </si>
  <si>
    <t>No electricity imports, other than for balancing</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</si>
  <si>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</si>
  <si>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</si>
  <si>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</si>
  <si>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</si>
  <si>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 xml:space="preserve">Half of lower range of marine algae resource, delivering 3 TWh/yr </t>
  </si>
  <si>
    <t>Lower estimate of total marine algae resource used, delivering 7 TWh/yr</t>
  </si>
  <si>
    <t>Upper estimate of total marine algae resource used, delivering 16 TWh/yr</t>
  </si>
  <si>
    <t>By 2050, 20% plug in hybrid electric cars; 2.5% zero emission cars</t>
  </si>
  <si>
    <t>In 2050, individuals travel 7% further than today; cars and vans 74% of 2050 passenger mileage. Shift towards rail</t>
  </si>
  <si>
    <t>In 2050, individuals travel 1% more than they do today. Signficant shift to public transport</t>
  </si>
  <si>
    <t>By 2050, 110% more international aviation passengers; 30% more fuel use</t>
  </si>
  <si>
    <t>150% more international aviation passengers by 2050; 55% more fuel use</t>
  </si>
  <si>
    <t>By 2050, 95% more international aviation passengers; 20% more fuel use</t>
  </si>
  <si>
    <t>By 2050, 30% more international aviation passengers; 20% less fuel use</t>
  </si>
  <si>
    <t>Energy demand for lighting and appliances per household falls by 60%. Significant gains in efficiency of appliances and lighting. Total demand falls by 45%</t>
  </si>
  <si>
    <t>No further electrification of industrial processes, moderate improvements energy intensity</t>
  </si>
  <si>
    <t>Some industrial processes electrified (39%); improvements in process emissions and energy intensity</t>
  </si>
  <si>
    <t>High industrial electrification (66%); process emissions significantly reduced</t>
  </si>
  <si>
    <t>Commercial energy demand for lights &amp; appliances increases by 10%; decreases by 5% for cooking</t>
  </si>
  <si>
    <t>Commercial energy demand for lights &amp; appliances increases by 29%. Energy for cooking is stable</t>
  </si>
  <si>
    <t>Commercial energy demand for lights &amp; appliances decreases by 10%; decreases by 20% for cooking</t>
  </si>
  <si>
    <t>Commercial energy demand for lights &amp; appliances decreases by 25%; decreases by 25% for cooking</t>
  </si>
  <si>
    <t>No indigenous fossil-fuel production in Ireland in 2050</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</si>
  <si>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</si>
  <si>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</si>
  <si>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</si>
  <si>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</si>
  <si>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Energy demand for domestic lights and appliances per house falls by 15% with more efficienct goods. Total demand rises by 20%</t>
  </si>
  <si>
    <t xml:space="preserve">Demand for lighting and appliances per household falls by 30%. Total energy demand for domestic lights and appliances is relatively stable </t>
  </si>
  <si>
    <t>Energy demand for lighting and appliances per household falls by 50%. Total demand falls by 30%</t>
  </si>
  <si>
    <t>Trajectory 4 not for land management not used as for domestic purposes only</t>
  </si>
  <si>
    <t>Hydropower discontinued, Ardnacrusha closed down</t>
  </si>
  <si>
    <t>100% coal/biomass, 0% gas/biogas CCS</t>
  </si>
  <si>
    <t xml:space="preserve">66% coal/biomass, 33% gas/biogas CCS </t>
  </si>
  <si>
    <t>33% coal/biomass, 66% gas/biogas CCS</t>
  </si>
  <si>
    <t>0% coal/biomas, 100% gas/biogas CCS</t>
  </si>
  <si>
    <t>66% coal/biomass, 33% gas/biogas CCS</t>
  </si>
  <si>
    <t xml:space="preserve">100% coal/biomass, 0% gas/biogas CCS </t>
  </si>
  <si>
    <t>[Recurring error in excel]</t>
  </si>
  <si>
    <t>24.pdf</t>
  </si>
  <si>
    <t>39.pdf</t>
  </si>
  <si>
    <t>13.pdf</t>
  </si>
  <si>
    <t>18.pdf</t>
  </si>
  <si>
    <t>40.pdf</t>
  </si>
  <si>
    <t>41.pdf</t>
  </si>
  <si>
    <t>120% increase in total freight goods transported by road. 15% increase in road engine efficiency</t>
  </si>
  <si>
    <t>95% increase in freight transported by road. 20% increase in engine efficiency</t>
  </si>
  <si>
    <t>60% increase in freight transported by road. 40% increase in engine efficiency</t>
  </si>
  <si>
    <t>60% increase in freight transported by road. 60% increase in engine efficiency. All rail freight is electric</t>
  </si>
  <si>
    <t xml:space="preserve">By 2050 100%  zero emission vehicles; 85% passenger trains electrified; 50% bus electrified </t>
  </si>
  <si>
    <t>The proportion of non-domestic heat supplied using electricity is over 70% (primarily from heat pumps)</t>
  </si>
  <si>
    <t>The proportion of new domestic heating systems supplied using electricity is over 70% (mostly heat pumps)</t>
  </si>
  <si>
    <t>The proportion of non-domestic heat supplied using electricity is over 80% (primarily from heat pumps)</t>
  </si>
  <si>
    <t>100 tidal stream turbines deliver 0.3  TWh/yr</t>
  </si>
  <si>
    <t>250 tidal stream turbines deliver 0.9 TWh/yr</t>
  </si>
  <si>
    <t>100 tidal stream turbines deliver 0.6 TWh/yr</t>
  </si>
  <si>
    <t>250 tidal stream turbines deliver 1.6 TWh/yr</t>
  </si>
  <si>
    <t>17% of homes have a B2 BER rating or higher in 2050</t>
  </si>
  <si>
    <t>2013 Land Use data from FAO (2012) and SEAI's Bioenergy Supply Curves Report (2011): http://faostat.fao.org/site/377/default.aspx#ancor</t>
  </si>
  <si>
    <t>Ireland has a high share of abandoned farm land (12%) which could potentially be reclaimed for growing energy crops. See, IEEP, 2014, Space for energy crops - assessing the potential contribution to Europe's energy future. p.42, http://www.eeb.org/EEB/?LinkServID=F6E6DA60-5056-B741-DBD250D05D441B53</t>
  </si>
  <si>
    <t>Some abondoned farmland is captured in the 'Other' category. Arable, pasture, and other land is converted to settlements, forestry and 1st or 2nd generation energy crops to varying degrees in the trajectories.</t>
  </si>
  <si>
    <t>Increase in 1st gen energy crops (oil seed rape) for biofuel in scenario 3 and 4. Displaces arable land for food crops. 2013 value from SEAI Bioenergy Supply Curves Report 2011, p.17: http://www.seai.ie/Publications/Statistics_Publications/Energy_Modelling_Group_Publications/BioEnergy_Supply_Curves_for_Ireland_2010_-_2030.pdf</t>
  </si>
  <si>
    <t>Increase in 2nd gen energy crops (willow, SCW) for woody biomass for heat and power in scenario 2,3 and 4. Displaces Grassland for livestock and fallow and Other. 2013 value from SEAI Bioenergy Supply Curves Report 2011, p.19</t>
  </si>
  <si>
    <t>NB - Review growth rates with assistance of Matthew - early growth in trajectory 2 higher than high price scenario p.23 Bio SC</t>
  </si>
  <si>
    <t>Manure arising from dairy cows</t>
  </si>
  <si>
    <t>[capped at 10% due to herd size and access constraints]</t>
  </si>
  <si>
    <t>All other cattle</t>
  </si>
  <si>
    <t>Pigs</t>
  </si>
  <si>
    <t>Sheep</t>
  </si>
  <si>
    <t>Source: CSO, Farm Animals in December 2013 (Thousand) by Type of Animal and Year: http://www.cso.ie/multiquicktables/quickTables.aspx?id=aaa06</t>
  </si>
  <si>
    <t>Manure arising from other cattle and pigs</t>
  </si>
  <si>
    <t>Manure collection [capped at 10% for dairy cows due to herd size and accessibility constraints]</t>
  </si>
  <si>
    <r>
      <rPr>
        <b/>
        <sz val="10"/>
        <color theme="1"/>
        <rFont val="Calibri"/>
        <family val="2"/>
        <scheme val="minor"/>
      </rPr>
      <t>Note:</t>
    </r>
    <r>
      <rPr>
        <sz val="10"/>
        <color theme="1"/>
        <rFont val="Calibri"/>
        <family val="2"/>
        <scheme val="minor"/>
      </rPr>
      <t xml:space="preserve"> Shares up to 2030 estimated from potential energy supply from forestry thinnings in SEAI Bioenergy Supply Curves Report, p. 7: http://www.seai.ie/Publications/Statistics_Publications/Energy_Modelling_Group_Publications/BioEnergy_Supply_Curves_for_Ireland_2010_-_2030.pdf</t>
    </r>
  </si>
  <si>
    <t>Manure arising edited to align with methodology in SEAI Bioenergy Supply Chain Report, p.31: http://www.seai.ie/Publications/Statistics_Publications/Energy_Modelling_Group_Publications/BioEnergy_Supply_Curves_for_Ireland_2010_-_2030.pdf</t>
  </si>
  <si>
    <t>Livestock numbers increase by 15%</t>
  </si>
  <si>
    <t>Straw arising from arable land divided by 4 to approximately align with area of straw producing crops planted according to Bioenergy Supply Curves Report, p. 26: http://www.seai.ie/Publications/Statistics_Publications/Energy_Modelling_Group_Publications/BioEnergy_Supply_Curves_for_Ireland_2010_-_2030.pdf</t>
  </si>
  <si>
    <t>The household and GDP growth rates project the potential rate of change in consumption in the demand sectors</t>
  </si>
  <si>
    <t>Growth rates follow EPA/SEAI projections up to 2030 in Trajectory 1 and 2, adjusted to a follow a 2.5% GDP growth rate thereafter in Trajectory 1. See Bioenergy Supply Curves Report, p.13: http://www.seai.ie/Publications/Statistics_Publications/Energy_Modelling_Group_Publications/BioEnergy_Supply_Curves_for_Ireland_2010_-_2030.pdf</t>
  </si>
  <si>
    <t>Land Use 2013</t>
  </si>
  <si>
    <t>Land Use 2050</t>
  </si>
  <si>
    <t>Energy crops 2050</t>
  </si>
  <si>
    <r>
      <t xml:space="preserve">60,000 hectares of 1st generation energy crops if all cereal crops are rotated with OSR by 2050 (trajectory 4). </t>
    </r>
    <r>
      <rPr>
        <i/>
        <sz val="10"/>
        <color theme="1"/>
        <rFont val="Calibri"/>
        <family val="2"/>
        <scheme val="minor"/>
      </rPr>
      <t>Is this mutually exclusive?? Better to include share of arable land in 1st gen energy crops below?</t>
    </r>
  </si>
  <si>
    <t xml:space="preserve">Afforestation rates follow Teagasc's BAU under current policy projection in trajectory 2 and maximum sequestration projection in trajectory 4. Displaces Grassland and Other. See Carbon Neutrality…,p. 38 and 46: </t>
  </si>
  <si>
    <t>Supply of electricity from hydropower doubles by 2050</t>
  </si>
  <si>
    <t>Supply of electricity from hydropower increases by around 50% by 2050</t>
  </si>
  <si>
    <t>Supply of electricity from hydro power increases by 50% by 2050</t>
  </si>
  <si>
    <t>Supply of electricity from hydro power doubles by 2050</t>
  </si>
  <si>
    <t>Source: EPA (2015), GHG Emissions Inventory Report</t>
  </si>
  <si>
    <t>Ranking</t>
  </si>
  <si>
    <t>EPA Category</t>
  </si>
  <si>
    <t>2013 (kt CO2 eq. incl. LULUCF)</t>
  </si>
  <si>
    <t>Pathways model</t>
  </si>
  <si>
    <t>2013 emissions (Mt CO2 eq)</t>
  </si>
  <si>
    <t>1.A.3.b</t>
  </si>
  <si>
    <t>Road Transport - Liquid Fuels</t>
  </si>
  <si>
    <t>1.A.3</t>
  </si>
  <si>
    <t>3.A.1</t>
  </si>
  <si>
    <t>Enteric Fermentation - Non-Dairy Cattle</t>
  </si>
  <si>
    <t>4.A</t>
  </si>
  <si>
    <t>3.D.1</t>
  </si>
  <si>
    <t>Agricultural Soils - Direct Soil Emissions</t>
  </si>
  <si>
    <t>4.D</t>
  </si>
  <si>
    <t>4.C.1</t>
  </si>
  <si>
    <t>LULUCF - Grassland remaining Grassland</t>
  </si>
  <si>
    <t>5.C</t>
  </si>
  <si>
    <t>1.A.1</t>
  </si>
  <si>
    <t>Energy Industries - Gaseous Fuels</t>
  </si>
  <si>
    <t>Energy Industries - Solid Fuels</t>
  </si>
  <si>
    <t>4.A.2</t>
  </si>
  <si>
    <t>LULUCF - Land Converted to Forest Land</t>
  </si>
  <si>
    <t>5.A.2</t>
  </si>
  <si>
    <t>Enteric Fermentation - Dairy Cattle</t>
  </si>
  <si>
    <t>1.A.4.b</t>
  </si>
  <si>
    <t>Residential - Liquid Fuels</t>
  </si>
  <si>
    <t>1.A.4</t>
  </si>
  <si>
    <t>4.D.1</t>
  </si>
  <si>
    <t>LULUCF - Wetlands remaining Wetlands</t>
  </si>
  <si>
    <t>5.D.2</t>
  </si>
  <si>
    <t>Energy Industries - Peat Fuel</t>
  </si>
  <si>
    <t>1.A.2</t>
  </si>
  <si>
    <t>Manufacturing Industries &amp; Construction - Gaseous Fuels</t>
  </si>
  <si>
    <t>Manufacturing Industries &amp; Construction - Liquid Fuels</t>
  </si>
  <si>
    <t>Residential - Gaseous Fuels</t>
  </si>
  <si>
    <t>2.F.1</t>
  </si>
  <si>
    <t>Refrigeration and air-con (incl. MAC)</t>
  </si>
  <si>
    <t>HFC</t>
  </si>
  <si>
    <t>2.F</t>
  </si>
  <si>
    <t>2.A.1</t>
  </si>
  <si>
    <t>Cement Production</t>
  </si>
  <si>
    <t>2.A</t>
  </si>
  <si>
    <t>5.A</t>
  </si>
  <si>
    <t>Solid Waste Disposal</t>
  </si>
  <si>
    <t>Residential - Solid Fuels</t>
  </si>
  <si>
    <t>1.A.4.a</t>
  </si>
  <si>
    <t>Commercial/Institutional - Liquid Fuels</t>
  </si>
  <si>
    <t>Commercial/Institutional - Gaseous Fuels</t>
  </si>
  <si>
    <t>Residential - Peat Fuel</t>
  </si>
  <si>
    <t>3.A.2</t>
  </si>
  <si>
    <t>Enteric Fermentation - Sheep</t>
  </si>
  <si>
    <t>4.G</t>
  </si>
  <si>
    <t>LULUCF - Harvested wood products</t>
  </si>
  <si>
    <t>3.B.1.1</t>
  </si>
  <si>
    <t>Manure Management - Non-Dairy Cattle</t>
  </si>
  <si>
    <t>4.B</t>
  </si>
  <si>
    <t>1.A.4.c</t>
  </si>
  <si>
    <t>Agriculture/Fishing - Liquid Fuels</t>
  </si>
  <si>
    <t>3.G.1</t>
  </si>
  <si>
    <t>Liming - Limestone CaCO3</t>
  </si>
  <si>
    <t>3.D</t>
  </si>
  <si>
    <t>3.D.2</t>
  </si>
  <si>
    <t>Agricultural Soils - Indirect Soil Emissions</t>
  </si>
  <si>
    <t>Energy Industries - Liquid Fuels</t>
  </si>
  <si>
    <t>4.B.1</t>
  </si>
  <si>
    <t>LULUCF - Cropland remaining Cropland</t>
  </si>
  <si>
    <t>5.B</t>
  </si>
  <si>
    <t>Manufacturing Industries &amp; Construction - Solid Fuels</t>
  </si>
  <si>
    <t>Manure Management - Dairy Cattle</t>
  </si>
  <si>
    <t>3.B.2.5</t>
  </si>
  <si>
    <t>Manure Management - Indirect N2O emissions</t>
  </si>
  <si>
    <t>Total adjusted (100%)</t>
  </si>
  <si>
    <t>UPCCC Category</t>
  </si>
  <si>
    <t>Pathways Model Category</t>
  </si>
  <si>
    <t>Emission Source/Activity</t>
  </si>
  <si>
    <t>EPA NATIONAL INVENTORY REPORT 2015</t>
  </si>
  <si>
    <t>http://coe.epa.ie/ghg/data/inventories/2015/IE_2015_NIR2.pdf</t>
  </si>
  <si>
    <t>Table 1.9 Key Category Analysis Level Assessment 2013 (including LULUCF)</t>
  </si>
  <si>
    <t>2013 (Mt CO2 eq. incl. LULUCF)</t>
  </si>
  <si>
    <t>3.B.2.1</t>
  </si>
  <si>
    <t>2013 Actuals, EPA GHG Inventory</t>
  </si>
  <si>
    <t xml:space="preserve">2013 Actuals, EPA </t>
  </si>
  <si>
    <t>Actual (2013), GHG Inventory</t>
  </si>
  <si>
    <t>Total (95.25%)</t>
  </si>
  <si>
    <t>Absolute share (%)</t>
  </si>
  <si>
    <t>Absolute cumulative share (%)</t>
  </si>
  <si>
    <t>Absolute values (kt CO2 eq)</t>
  </si>
  <si>
    <t>(wetlands)</t>
  </si>
  <si>
    <t>Source: National GHG Inventory Report, EPA 2015. See last tab</t>
  </si>
  <si>
    <t>Actual emissions in 2013</t>
  </si>
  <si>
    <t xml:space="preserve">  </t>
  </si>
  <si>
    <t>Trajectory 4 follows maximum identified hydro potential in Ireland referred to in Choidi, 2014. Climate and energy scenarios for Ireland to 2050 using the Irish TIMES energy systems model, p.26</t>
  </si>
  <si>
    <t>2013 figures from EPA National GHG Inventory Report 2015. See: http://coe.epa.ie/ghg/data/inventories/2015/IE_2015_NIR2.pdf</t>
  </si>
  <si>
    <t>Rough estimate under current forest type. Trajectory 4 in line with Teagasc projections using CARBWARE model of 7.5 Mt per annum sequestration potential in 2050 if forestry cover increases to 14.5 million hectares. See, Teagasc, 2013, p. 46: http://www.teagasc.ie/publications/2013/3002/CarbonNeutrality.pdf</t>
  </si>
  <si>
    <t xml:space="preserve">Potenital for up to 550,000 hectares of pasture land to be converted to energy crops post 2020 if CAP agreements revised (630,000 in trajectory 4), SEAI, 2011, Bioenergy Supply Curves, p.17: </t>
  </si>
  <si>
    <t>11% of land used for energy crops. Double the amount of forest cover compared to today</t>
  </si>
  <si>
    <t>7% of land used for energy crops. 50% more forest cover</t>
  </si>
  <si>
    <t>4% of land used for energy crops. Forest cover increases from 11% to 15% of land use</t>
  </si>
  <si>
    <t>Recurring error excel</t>
  </si>
  <si>
    <t>42.pdf</t>
  </si>
  <si>
    <t>20% emissions target sample (maximum bioenergy and electrification)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</si>
</sst>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9">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 numFmtId="200" formatCode="0.000%;\ \(0.000%\);\ \-"/>
  </numFmts>
  <fonts count="169">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amily val="2"/>
    </font>
    <font>
      <sz val="10"/>
      <color rgb="FF333333"/>
      <name val="Arial"/>
      <family val="2"/>
    </font>
    <font>
      <i/>
      <sz val="8"/>
      <name val="Calibri"/>
      <family val="2"/>
      <scheme val="minor"/>
    </font>
    <font>
      <b/>
      <sz val="8"/>
      <name val="Calibri"/>
      <family val="2"/>
      <scheme val="minor"/>
    </font>
    <font>
      <sz val="11"/>
      <color rgb="FFFF0000"/>
      <name val="Calibri"/>
      <family val="2"/>
      <scheme val="minor"/>
    </font>
    <font>
      <b/>
      <sz val="12"/>
      <color rgb="FFFF0000"/>
      <name val="Cambria"/>
      <family val="2"/>
      <scheme val="major"/>
    </font>
    <font>
      <sz val="8"/>
      <color rgb="FF222222"/>
      <name val="Arial"/>
      <family val="2"/>
    </font>
    <font>
      <i/>
      <sz val="11"/>
      <color rgb="FFFF0000"/>
      <name val="Calibri"/>
      <family val="2"/>
      <scheme val="minor"/>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9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
      <left style="thin">
        <color indexed="64"/>
      </left>
      <right/>
      <top style="thin">
        <color theme="1" tint="4.9989318521683403E-2"/>
      </top>
      <bottom style="thin">
        <color theme="0" tint="-0.34998626667073579"/>
      </bottom>
      <diagonal/>
    </border>
    <border>
      <left/>
      <right style="medium">
        <color indexed="64"/>
      </right>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1"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8" fillId="0" borderId="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7" applyNumberFormat="0">
      <alignment horizontal="left" vertical="center"/>
    </xf>
    <xf numFmtId="0" fontId="27" fillId="57" borderId="74"/>
    <xf numFmtId="189" fontId="27" fillId="0" borderId="0"/>
    <xf numFmtId="0" fontId="123" fillId="58" borderId="0" applyNumberFormat="0" applyBorder="0" applyAlignment="0" applyProtection="0"/>
  </cellStyleXfs>
  <cellXfs count="4349">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6" fillId="28" borderId="56" xfId="0" applyFont="1" applyFill="1" applyBorder="1" applyAlignment="1">
      <alignment vertical="center"/>
    </xf>
    <xf numFmtId="0" fontId="57"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6"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1"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2"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2" fillId="0" borderId="4" xfId="0" applyFont="1" applyFill="1" applyBorder="1" applyAlignment="1">
      <alignment horizontal="center" vertical="center"/>
    </xf>
    <xf numFmtId="0" fontId="0" fillId="0" borderId="0" xfId="0" applyFont="1" applyAlignment="1">
      <alignment horizontal="left" vertical="center"/>
    </xf>
    <xf numFmtId="0" fontId="63"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4"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5" fillId="21" borderId="0" xfId="3" applyNumberFormat="1" applyFont="1" applyFill="1" applyBorder="1" applyAlignment="1">
      <alignment horizontal="right" vertical="center"/>
    </xf>
    <xf numFmtId="0" fontId="32" fillId="15" borderId="0" xfId="5" applyFont="1"/>
    <xf numFmtId="168" fontId="65" fillId="21" borderId="0" xfId="3" applyNumberFormat="1" applyFont="1" applyFill="1" applyBorder="1" applyAlignment="1">
      <alignment vertical="center"/>
    </xf>
    <xf numFmtId="182" fontId="65"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6"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0"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7" fillId="18" borderId="0" xfId="0" applyFont="1" applyFill="1" applyBorder="1" applyAlignment="1">
      <alignment vertical="center"/>
    </xf>
    <xf numFmtId="0" fontId="68"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69"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8" fillId="21" borderId="0" xfId="0"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0"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1"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2" fillId="0" borderId="20" xfId="1" applyNumberFormat="1" applyFont="1" applyBorder="1" applyAlignment="1">
      <alignment horizontal="right"/>
    </xf>
    <xf numFmtId="0" fontId="65"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3"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3" fillId="21" borderId="87" xfId="0" applyFont="1" applyFill="1" applyBorder="1" applyAlignment="1">
      <alignment vertical="center"/>
    </xf>
    <xf numFmtId="0" fontId="73" fillId="21" borderId="88" xfId="0" applyFont="1" applyFill="1" applyBorder="1" applyAlignment="1">
      <alignment vertical="center"/>
    </xf>
    <xf numFmtId="0" fontId="73" fillId="21" borderId="87" xfId="0" applyNumberFormat="1" applyFont="1" applyFill="1" applyBorder="1" applyAlignment="1">
      <alignment horizontal="right" vertical="center"/>
    </xf>
    <xf numFmtId="0" fontId="73"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5" fillId="21" borderId="15" xfId="3" applyNumberFormat="1" applyFont="1" applyFill="1" applyBorder="1" applyAlignment="1">
      <alignment vertical="center"/>
    </xf>
    <xf numFmtId="168" fontId="65" fillId="21" borderId="25" xfId="3" applyNumberFormat="1" applyFont="1" applyFill="1" applyBorder="1" applyAlignment="1">
      <alignment horizontal="right" vertical="center"/>
    </xf>
    <xf numFmtId="168" fontId="65"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4"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5" fillId="21" borderId="0" xfId="3" applyNumberFormat="1" applyFont="1" applyFill="1" applyBorder="1" applyAlignment="1">
      <alignment vertical="center"/>
    </xf>
    <xf numFmtId="168" fontId="0" fillId="0" borderId="0" xfId="3" applyNumberFormat="1" applyFont="1" applyFill="1" applyBorder="1"/>
    <xf numFmtId="168" fontId="75"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6"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5"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7"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8"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8"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8"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8"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0"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0" fillId="21" borderId="30" xfId="8" applyNumberFormat="1" applyFont="1" applyFill="1" applyBorder="1"/>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79" fillId="21" borderId="20" xfId="3" applyNumberFormat="1" applyFont="1" applyFill="1" applyBorder="1" applyAlignment="1">
      <alignment vertical="center"/>
    </xf>
    <xf numFmtId="165" fontId="78"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8"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5" fillId="21" borderId="0" xfId="1" applyNumberFormat="1" applyFont="1" applyFill="1" applyBorder="1" applyAlignment="1">
      <alignment vertical="center"/>
    </xf>
    <xf numFmtId="165" fontId="65" fillId="21" borderId="0" xfId="1" applyNumberFormat="1" applyFont="1" applyFill="1" applyBorder="1"/>
    <xf numFmtId="165" fontId="65"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5" fillId="21" borderId="13" xfId="1" applyNumberFormat="1" applyFont="1" applyFill="1" applyBorder="1" applyAlignment="1">
      <alignment horizontal="right" vertical="center"/>
    </xf>
    <xf numFmtId="165" fontId="65" fillId="21" borderId="13" xfId="1" applyNumberFormat="1" applyFont="1" applyFill="1" applyBorder="1"/>
    <xf numFmtId="166" fontId="11" fillId="21" borderId="20" xfId="1" applyNumberFormat="1" applyFont="1" applyFill="1" applyBorder="1" applyAlignment="1">
      <alignment vertical="center"/>
    </xf>
    <xf numFmtId="168" fontId="78" fillId="21" borderId="0" xfId="3" applyNumberFormat="1" applyFont="1" applyFill="1" applyBorder="1" applyAlignment="1">
      <alignment horizontal="right" vertical="center"/>
    </xf>
    <xf numFmtId="166" fontId="65" fillId="21" borderId="20" xfId="1" applyNumberFormat="1" applyFont="1" applyFill="1" applyBorder="1" applyAlignment="1">
      <alignment vertical="center"/>
    </xf>
    <xf numFmtId="166" fontId="65"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8" fillId="21" borderId="0" xfId="3" applyNumberFormat="1" applyFont="1" applyFill="1" applyBorder="1" applyAlignment="1">
      <alignment vertical="center"/>
    </xf>
    <xf numFmtId="166" fontId="11" fillId="21" borderId="13" xfId="1" applyNumberFormat="1" applyFont="1" applyFill="1" applyBorder="1" applyAlignment="1">
      <alignment vertical="center"/>
    </xf>
    <xf numFmtId="0" fontId="73" fillId="21" borderId="12" xfId="0" applyFont="1" applyFill="1" applyBorder="1" applyAlignment="1">
      <alignment vertical="center"/>
    </xf>
    <xf numFmtId="0" fontId="73" fillId="21" borderId="109" xfId="0" applyFont="1" applyFill="1" applyBorder="1" applyAlignment="1">
      <alignment vertical="center"/>
    </xf>
    <xf numFmtId="0" fontId="73"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0"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5" fillId="21" borderId="0" xfId="3" applyNumberFormat="1" applyFont="1" applyFill="1" applyBorder="1" applyAlignment="1">
      <alignment vertical="center"/>
    </xf>
    <xf numFmtId="170" fontId="65" fillId="21" borderId="0" xfId="3" applyNumberFormat="1" applyFont="1" applyFill="1" applyBorder="1"/>
    <xf numFmtId="170" fontId="11" fillId="21" borderId="0" xfId="3" applyNumberFormat="1" applyFont="1" applyFill="1" applyBorder="1"/>
    <xf numFmtId="170" fontId="65"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5"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5"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5" fillId="21" borderId="0" xfId="1" applyNumberFormat="1" applyFont="1" applyFill="1" applyBorder="1" applyAlignment="1">
      <alignment horizontal="right" vertical="center"/>
    </xf>
    <xf numFmtId="172" fontId="65" fillId="21" borderId="0" xfId="1" applyNumberFormat="1" applyFont="1" applyFill="1" applyBorder="1" applyAlignment="1">
      <alignment horizontal="right" vertical="center"/>
    </xf>
    <xf numFmtId="172" fontId="65" fillId="21" borderId="0" xfId="1" applyNumberFormat="1" applyFont="1" applyFill="1" applyBorder="1"/>
    <xf numFmtId="164" fontId="65"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2" fillId="0" borderId="20" xfId="1" applyNumberFormat="1" applyFont="1" applyBorder="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0" xfId="0" applyFont="1" applyFill="1" applyBorder="1"/>
    <xf numFmtId="0" fontId="11" fillId="48" borderId="111" xfId="0" applyFont="1" applyFill="1" applyBorder="1"/>
    <xf numFmtId="0" fontId="0" fillId="48" borderId="112" xfId="0" applyFill="1" applyBorder="1"/>
    <xf numFmtId="0" fontId="0" fillId="48" borderId="113" xfId="0" applyNumberFormat="1" applyFill="1" applyBorder="1"/>
    <xf numFmtId="0" fontId="0" fillId="48" borderId="113" xfId="0" applyFill="1" applyBorder="1"/>
    <xf numFmtId="164" fontId="11" fillId="48" borderId="113" xfId="0" applyNumberFormat="1" applyFont="1" applyFill="1" applyBorder="1"/>
    <xf numFmtId="0" fontId="0" fillId="48" borderId="114" xfId="0" applyFill="1" applyBorder="1"/>
    <xf numFmtId="0" fontId="0" fillId="48" borderId="115" xfId="0" applyNumberFormat="1" applyFill="1" applyBorder="1"/>
    <xf numFmtId="0" fontId="11" fillId="48" borderId="0" xfId="0" applyFont="1" applyFill="1"/>
    <xf numFmtId="0" fontId="25" fillId="48" borderId="0" xfId="0" applyFont="1" applyFill="1"/>
    <xf numFmtId="0" fontId="11" fillId="48" borderId="112" xfId="0" applyFont="1" applyFill="1" applyBorder="1"/>
    <xf numFmtId="0" fontId="11" fillId="48" borderId="113" xfId="0" applyNumberFormat="1" applyFont="1" applyFill="1" applyBorder="1"/>
    <xf numFmtId="0" fontId="11" fillId="48" borderId="114" xfId="0" applyFont="1" applyFill="1" applyBorder="1"/>
    <xf numFmtId="0" fontId="11" fillId="48" borderId="115" xfId="0" applyNumberFormat="1" applyFont="1" applyFill="1" applyBorder="1"/>
    <xf numFmtId="0" fontId="11" fillId="48" borderId="113" xfId="0" applyFont="1" applyFill="1" applyBorder="1"/>
    <xf numFmtId="0" fontId="81" fillId="0" borderId="0" xfId="0" applyFont="1"/>
    <xf numFmtId="0" fontId="0" fillId="21" borderId="0" xfId="0" applyNumberFormat="1" applyFill="1" applyBorder="1" applyAlignment="1">
      <alignment horizontal="right"/>
    </xf>
    <xf numFmtId="0" fontId="82"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2"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2" fillId="21" borderId="0" xfId="1" applyNumberFormat="1" applyFont="1" applyFill="1" applyBorder="1" applyAlignment="1">
      <alignment vertical="center"/>
    </xf>
    <xf numFmtId="192" fontId="82"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2" fillId="21" borderId="0" xfId="1" applyNumberFormat="1" applyFont="1" applyFill="1" applyBorder="1" applyAlignment="1">
      <alignment vertical="center"/>
    </xf>
    <xf numFmtId="164" fontId="82" fillId="21" borderId="0" xfId="1" applyNumberFormat="1" applyFont="1" applyFill="1" applyBorder="1" applyAlignment="1">
      <alignment horizontal="right" vertical="center"/>
    </xf>
    <xf numFmtId="164" fontId="82" fillId="21" borderId="9" xfId="1" applyNumberFormat="1" applyFont="1" applyFill="1" applyBorder="1" applyAlignment="1">
      <alignment horizontal="right" vertical="center"/>
    </xf>
    <xf numFmtId="166" fontId="82" fillId="21" borderId="0" xfId="1" applyNumberFormat="1" applyFont="1" applyFill="1" applyBorder="1" applyAlignment="1">
      <alignment vertical="center"/>
    </xf>
    <xf numFmtId="166" fontId="82" fillId="21" borderId="0"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0" fillId="21" borderId="20" xfId="1" applyNumberFormat="1" applyFont="1" applyFill="1" applyBorder="1" applyAlignment="1">
      <alignment vertical="center"/>
    </xf>
    <xf numFmtId="0" fontId="73"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3" fillId="0" borderId="0" xfId="1" applyNumberFormat="1" applyFont="1" applyAlignment="1">
      <alignment horizontal="right"/>
    </xf>
    <xf numFmtId="164" fontId="83" fillId="0" borderId="0" xfId="1" applyNumberFormat="1" applyFont="1" applyAlignment="1">
      <alignment horizontal="right"/>
    </xf>
    <xf numFmtId="0" fontId="20" fillId="0" borderId="0" xfId="0" applyFont="1" applyFill="1" applyBorder="1"/>
    <xf numFmtId="166" fontId="83"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6" xfId="0" applyFont="1" applyFill="1" applyBorder="1"/>
    <xf numFmtId="0" fontId="11" fillId="48" borderId="117"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8" xfId="0" applyFont="1" applyFill="1" applyBorder="1"/>
    <xf numFmtId="0" fontId="25" fillId="24" borderId="119" xfId="0" applyFont="1" applyFill="1" applyBorder="1"/>
    <xf numFmtId="0" fontId="25" fillId="24" borderId="120" xfId="0" applyFont="1" applyFill="1" applyBorder="1"/>
    <xf numFmtId="0" fontId="0" fillId="24" borderId="124" xfId="0" applyNumberFormat="1" applyFill="1" applyBorder="1"/>
    <xf numFmtId="0" fontId="0" fillId="24" borderId="124" xfId="0" applyFill="1" applyBorder="1"/>
    <xf numFmtId="0" fontId="0" fillId="49" borderId="0" xfId="0" applyFill="1" applyAlignment="1">
      <alignment wrapText="1"/>
    </xf>
    <xf numFmtId="0" fontId="0" fillId="49" borderId="0" xfId="0" applyFill="1" applyBorder="1"/>
    <xf numFmtId="0" fontId="0" fillId="46" borderId="0" xfId="0" applyFill="1"/>
    <xf numFmtId="0" fontId="73" fillId="18" borderId="0" xfId="0" applyFont="1" applyFill="1" applyBorder="1" applyAlignment="1">
      <alignment vertical="center"/>
    </xf>
    <xf numFmtId="38" fontId="86" fillId="0" borderId="0" xfId="11" applyNumberFormat="1" applyFont="1" applyAlignment="1">
      <alignment horizontal="left" wrapText="1"/>
    </xf>
    <xf numFmtId="38" fontId="87" fillId="0" borderId="125" xfId="11" applyNumberFormat="1" applyFont="1" applyBorder="1" applyAlignment="1">
      <alignment horizontal="center" wrapText="1"/>
    </xf>
    <xf numFmtId="38" fontId="87" fillId="50" borderId="126" xfId="11" applyNumberFormat="1" applyFont="1" applyFill="1" applyBorder="1" applyAlignment="1">
      <alignment horizontal="center" textRotation="90" wrapText="1"/>
    </xf>
    <xf numFmtId="38" fontId="87" fillId="50" borderId="127" xfId="11" applyNumberFormat="1" applyFont="1" applyFill="1" applyBorder="1" applyAlignment="1">
      <alignment horizontal="center" textRotation="90" wrapText="1"/>
    </xf>
    <xf numFmtId="38" fontId="87" fillId="50" borderId="128" xfId="11" applyNumberFormat="1" applyFont="1" applyFill="1" applyBorder="1" applyAlignment="1">
      <alignment horizontal="center" textRotation="90" wrapText="1"/>
    </xf>
    <xf numFmtId="38" fontId="87" fillId="50" borderId="129" xfId="11" applyNumberFormat="1" applyFont="1" applyFill="1" applyBorder="1" applyAlignment="1">
      <alignment horizontal="center" textRotation="90" wrapText="1"/>
    </xf>
    <xf numFmtId="38" fontId="87" fillId="50" borderId="130" xfId="11" applyNumberFormat="1" applyFont="1" applyFill="1" applyBorder="1" applyAlignment="1">
      <alignment horizontal="center" textRotation="90" wrapText="1"/>
    </xf>
    <xf numFmtId="38" fontId="87" fillId="0" borderId="61" xfId="11" applyNumberFormat="1" applyFont="1" applyFill="1" applyBorder="1" applyAlignment="1">
      <alignment horizontal="center" textRotation="90" wrapText="1"/>
    </xf>
    <xf numFmtId="38" fontId="87" fillId="23" borderId="131" xfId="11" applyNumberFormat="1" applyFont="1" applyFill="1" applyBorder="1" applyAlignment="1">
      <alignment horizontal="center" textRotation="90" wrapText="1"/>
    </xf>
    <xf numFmtId="38" fontId="87" fillId="23" borderId="128" xfId="11" applyNumberFormat="1" applyFont="1" applyFill="1" applyBorder="1" applyAlignment="1">
      <alignment horizontal="center" textRotation="90" wrapText="1"/>
    </xf>
    <xf numFmtId="38" fontId="87" fillId="23" borderId="129" xfId="11" applyNumberFormat="1" applyFont="1" applyFill="1" applyBorder="1" applyAlignment="1">
      <alignment horizontal="center" textRotation="90" wrapText="1"/>
    </xf>
    <xf numFmtId="38" fontId="87" fillId="23" borderId="130" xfId="11" applyNumberFormat="1" applyFont="1" applyFill="1" applyBorder="1" applyAlignment="1">
      <alignment horizontal="center" textRotation="90" wrapText="1"/>
    </xf>
    <xf numFmtId="38" fontId="87" fillId="20" borderId="130" xfId="11" applyNumberFormat="1" applyFont="1" applyFill="1" applyBorder="1" applyAlignment="1">
      <alignment horizontal="center" textRotation="90" wrapText="1"/>
    </xf>
    <xf numFmtId="38" fontId="87" fillId="0" borderId="132" xfId="11" applyNumberFormat="1" applyFont="1" applyFill="1" applyBorder="1" applyAlignment="1">
      <alignment horizontal="center" textRotation="90" wrapText="1"/>
    </xf>
    <xf numFmtId="38" fontId="88" fillId="0" borderId="133" xfId="11" applyNumberFormat="1" applyFont="1" applyFill="1" applyBorder="1" applyAlignment="1">
      <alignment horizontal="left"/>
    </xf>
    <xf numFmtId="38" fontId="87" fillId="0" borderId="134" xfId="11" applyNumberFormat="1" applyFont="1" applyFill="1" applyBorder="1" applyAlignment="1">
      <alignment horizontal="center"/>
    </xf>
    <xf numFmtId="38" fontId="87" fillId="0" borderId="135" xfId="11" applyNumberFormat="1" applyFont="1" applyFill="1" applyBorder="1" applyAlignment="1">
      <alignment horizontal="center"/>
    </xf>
    <xf numFmtId="38" fontId="87" fillId="0" borderId="136" xfId="11" applyNumberFormat="1" applyFont="1" applyFill="1" applyBorder="1" applyAlignment="1">
      <alignment horizontal="center"/>
    </xf>
    <xf numFmtId="38" fontId="87"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7" fillId="0" borderId="139"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40" xfId="11" applyNumberFormat="1" applyFont="1" applyFill="1" applyBorder="1" applyAlignment="1">
      <alignment horizontal="center"/>
    </xf>
    <xf numFmtId="38" fontId="87" fillId="0" borderId="133"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39" xfId="11" applyNumberFormat="1" applyFont="1" applyFill="1" applyBorder="1" applyAlignment="1">
      <alignment horizontal="center"/>
    </xf>
    <xf numFmtId="38" fontId="88" fillId="19" borderId="142" xfId="11" applyNumberFormat="1" applyFont="1" applyFill="1" applyBorder="1" applyAlignment="1">
      <alignment horizontal="center"/>
    </xf>
    <xf numFmtId="38" fontId="88" fillId="0" borderId="143" xfId="11" applyNumberFormat="1" applyFont="1" applyFill="1" applyBorder="1" applyAlignment="1">
      <alignment horizontal="left"/>
    </xf>
    <xf numFmtId="38" fontId="87" fillId="0" borderId="144" xfId="11" applyNumberFormat="1" applyFont="1" applyFill="1" applyBorder="1" applyAlignment="1">
      <alignment horizontal="center"/>
    </xf>
    <xf numFmtId="38" fontId="87" fillId="0" borderId="145" xfId="11" applyNumberFormat="1" applyFont="1" applyFill="1" applyBorder="1" applyAlignment="1">
      <alignment horizontal="center"/>
    </xf>
    <xf numFmtId="38" fontId="87" fillId="0" borderId="146" xfId="11" applyNumberFormat="1" applyFont="1" applyFill="1" applyBorder="1" applyAlignment="1">
      <alignment horizontal="center"/>
    </xf>
    <xf numFmtId="38" fontId="87" fillId="0" borderId="147" xfId="11" applyNumberFormat="1" applyFont="1" applyFill="1" applyBorder="1" applyAlignment="1">
      <alignment horizontal="center"/>
    </xf>
    <xf numFmtId="38" fontId="88" fillId="0" borderId="147" xfId="11" applyNumberFormat="1" applyFont="1" applyFill="1" applyBorder="1" applyAlignment="1">
      <alignment horizontal="center"/>
    </xf>
    <xf numFmtId="38" fontId="87" fillId="0" borderId="148"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9" xfId="11" applyNumberFormat="1" applyFont="1" applyFill="1" applyBorder="1" applyAlignment="1">
      <alignment horizontal="center"/>
    </xf>
    <xf numFmtId="38" fontId="87" fillId="0" borderId="143" xfId="11" applyNumberFormat="1" applyFont="1" applyFill="1" applyBorder="1" applyAlignment="1">
      <alignment horizontal="center"/>
    </xf>
    <xf numFmtId="38" fontId="88" fillId="0" borderId="150" xfId="11" applyNumberFormat="1" applyFont="1" applyFill="1" applyBorder="1" applyAlignment="1">
      <alignment horizontal="center"/>
    </xf>
    <xf numFmtId="38" fontId="88" fillId="0" borderId="148" xfId="11" applyNumberFormat="1" applyFont="1" applyFill="1" applyBorder="1" applyAlignment="1">
      <alignment horizontal="center"/>
    </xf>
    <xf numFmtId="38" fontId="88" fillId="33" borderId="148" xfId="11" applyNumberFormat="1" applyFont="1" applyFill="1" applyBorder="1" applyAlignment="1">
      <alignment horizontal="center"/>
    </xf>
    <xf numFmtId="38" fontId="88" fillId="19" borderId="151" xfId="11" applyNumberFormat="1" applyFont="1" applyFill="1" applyBorder="1" applyAlignment="1">
      <alignment horizontal="center"/>
    </xf>
    <xf numFmtId="38" fontId="87" fillId="0" borderId="149" xfId="11" applyNumberFormat="1" applyFont="1" applyFill="1" applyBorder="1" applyAlignment="1">
      <alignment horizontal="center"/>
    </xf>
    <xf numFmtId="38" fontId="88" fillId="0" borderId="152" xfId="11" applyNumberFormat="1" applyFont="1" applyFill="1" applyBorder="1" applyAlignment="1">
      <alignment horizontal="left"/>
    </xf>
    <xf numFmtId="38" fontId="87" fillId="0" borderId="153" xfId="11" applyNumberFormat="1" applyFont="1" applyFill="1" applyBorder="1" applyAlignment="1">
      <alignment horizontal="center"/>
    </xf>
    <xf numFmtId="38" fontId="87"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7" fillId="0" borderId="156" xfId="11" applyNumberFormat="1" applyFont="1" applyFill="1" applyBorder="1" applyAlignment="1">
      <alignment horizontal="center"/>
    </xf>
    <xf numFmtId="38" fontId="88" fillId="0" borderId="154" xfId="11" applyNumberFormat="1" applyFont="1" applyFill="1" applyBorder="1" applyAlignment="1">
      <alignment horizontal="center"/>
    </xf>
    <xf numFmtId="38" fontId="87" fillId="0" borderId="152" xfId="11" applyNumberFormat="1" applyFont="1" applyFill="1" applyBorder="1" applyAlignment="1">
      <alignment horizontal="center"/>
    </xf>
    <xf numFmtId="38" fontId="88" fillId="0" borderId="157" xfId="11" applyNumberFormat="1" applyFont="1" applyFill="1" applyBorder="1" applyAlignment="1">
      <alignment horizontal="center"/>
    </xf>
    <xf numFmtId="38" fontId="88" fillId="0" borderId="158" xfId="11" applyNumberFormat="1" applyFont="1" applyFill="1" applyBorder="1" applyAlignment="1">
      <alignment horizontal="center"/>
    </xf>
    <xf numFmtId="38" fontId="88" fillId="0" borderId="156" xfId="11" applyNumberFormat="1" applyFont="1" applyFill="1" applyBorder="1" applyAlignment="1">
      <alignment horizontal="center"/>
    </xf>
    <xf numFmtId="38" fontId="88" fillId="19" borderId="159" xfId="11" applyNumberFormat="1" applyFont="1" applyFill="1" applyBorder="1" applyAlignment="1">
      <alignment horizontal="center"/>
    </xf>
    <xf numFmtId="38" fontId="87" fillId="0" borderId="160" xfId="11" applyNumberFormat="1" applyFont="1" applyFill="1" applyBorder="1" applyAlignment="1">
      <alignment horizontal="left"/>
    </xf>
    <xf numFmtId="38" fontId="87" fillId="0" borderId="161" xfId="11" applyNumberFormat="1" applyFont="1" applyFill="1" applyBorder="1" applyAlignment="1">
      <alignment horizontal="center"/>
    </xf>
    <xf numFmtId="38" fontId="87" fillId="0" borderId="162" xfId="11" applyNumberFormat="1" applyFont="1" applyFill="1" applyBorder="1" applyAlignment="1">
      <alignment horizontal="center"/>
    </xf>
    <xf numFmtId="38" fontId="87" fillId="0" borderId="160" xfId="11" applyNumberFormat="1" applyFont="1" applyFill="1" applyBorder="1" applyAlignment="1">
      <alignment horizontal="center"/>
    </xf>
    <xf numFmtId="38" fontId="87" fillId="0" borderId="140" xfId="11" applyNumberFormat="1" applyFont="1" applyFill="1" applyBorder="1" applyAlignment="1">
      <alignment horizontal="center"/>
    </xf>
    <xf numFmtId="38" fontId="87" fillId="0" borderId="163" xfId="11" applyNumberFormat="1" applyFont="1" applyFill="1" applyBorder="1" applyAlignment="1">
      <alignment horizontal="center"/>
    </xf>
    <xf numFmtId="38" fontId="87" fillId="33" borderId="160" xfId="11" applyNumberFormat="1" applyFont="1" applyFill="1" applyBorder="1" applyAlignment="1">
      <alignment horizontal="center"/>
    </xf>
    <xf numFmtId="38" fontId="87" fillId="33" borderId="140" xfId="11" applyNumberFormat="1" applyFont="1" applyFill="1" applyBorder="1" applyAlignment="1">
      <alignment horizontal="center"/>
    </xf>
    <xf numFmtId="38" fontId="87" fillId="0" borderId="164" xfId="11" applyNumberFormat="1" applyFont="1" applyFill="1" applyBorder="1" applyAlignment="1">
      <alignment horizontal="center"/>
    </xf>
    <xf numFmtId="38" fontId="87" fillId="19" borderId="163" xfId="11" applyNumberFormat="1" applyFont="1" applyFill="1" applyBorder="1" applyAlignment="1">
      <alignment horizontal="center"/>
    </xf>
    <xf numFmtId="38" fontId="87" fillId="0" borderId="165" xfId="11" applyNumberFormat="1" applyFont="1" applyFill="1" applyBorder="1" applyAlignment="1">
      <alignment horizontal="center"/>
    </xf>
    <xf numFmtId="38" fontId="87" fillId="0" borderId="166" xfId="11" applyNumberFormat="1" applyFont="1" applyFill="1" applyBorder="1" applyAlignment="1">
      <alignment horizontal="center"/>
    </xf>
    <xf numFmtId="38" fontId="87" fillId="0" borderId="167" xfId="11" applyNumberFormat="1" applyFont="1" applyFill="1" applyBorder="1" applyAlignment="1">
      <alignment horizontal="left"/>
    </xf>
    <xf numFmtId="38" fontId="87" fillId="0" borderId="168" xfId="11" applyNumberFormat="1" applyFont="1" applyFill="1" applyBorder="1" applyAlignment="1">
      <alignment horizontal="center"/>
    </xf>
    <xf numFmtId="38" fontId="87" fillId="0" borderId="169" xfId="11" applyNumberFormat="1" applyFont="1" applyFill="1" applyBorder="1" applyAlignment="1">
      <alignment horizontal="center"/>
    </xf>
    <xf numFmtId="38" fontId="87" fillId="0" borderId="167" xfId="11" applyNumberFormat="1" applyFont="1" applyFill="1" applyBorder="1" applyAlignment="1">
      <alignment horizontal="center"/>
    </xf>
    <xf numFmtId="38" fontId="87" fillId="0" borderId="170" xfId="11" applyNumberFormat="1" applyFont="1" applyFill="1" applyBorder="1" applyAlignment="1">
      <alignment horizontal="center"/>
    </xf>
    <xf numFmtId="38" fontId="87" fillId="0" borderId="171" xfId="11" applyNumberFormat="1" applyFont="1" applyFill="1" applyBorder="1" applyAlignment="1">
      <alignment horizontal="center"/>
    </xf>
    <xf numFmtId="38" fontId="87" fillId="0" borderId="172" xfId="11" applyNumberFormat="1" applyFont="1" applyFill="1" applyBorder="1" applyAlignment="1">
      <alignment horizontal="center"/>
    </xf>
    <xf numFmtId="38" fontId="88" fillId="0" borderId="172" xfId="11" applyNumberFormat="1" applyFont="1" applyFill="1" applyBorder="1" applyAlignment="1">
      <alignment horizontal="center"/>
    </xf>
    <xf numFmtId="38" fontId="87" fillId="0" borderId="173" xfId="11" applyNumberFormat="1" applyFont="1" applyFill="1" applyBorder="1" applyAlignment="1">
      <alignment horizontal="center"/>
    </xf>
    <xf numFmtId="38" fontId="87" fillId="0" borderId="174" xfId="11" applyNumberFormat="1" applyFont="1" applyFill="1" applyBorder="1" applyAlignment="1">
      <alignment horizontal="center"/>
    </xf>
    <xf numFmtId="38" fontId="87" fillId="0" borderId="175" xfId="11" applyNumberFormat="1" applyFont="1" applyFill="1" applyBorder="1" applyAlignment="1">
      <alignment horizontal="center"/>
    </xf>
    <xf numFmtId="38" fontId="87" fillId="0" borderId="176" xfId="11" applyNumberFormat="1" applyFont="1" applyFill="1" applyBorder="1" applyAlignment="1">
      <alignment horizontal="center"/>
    </xf>
    <xf numFmtId="38" fontId="87" fillId="19" borderId="177" xfId="11" applyNumberFormat="1" applyFont="1" applyFill="1" applyBorder="1" applyAlignment="1">
      <alignment horizontal="center"/>
    </xf>
    <xf numFmtId="38" fontId="88" fillId="0" borderId="178" xfId="11" applyNumberFormat="1" applyFont="1" applyFill="1" applyBorder="1" applyAlignment="1">
      <alignment horizontal="left"/>
    </xf>
    <xf numFmtId="38" fontId="87" fillId="0" borderId="179" xfId="11" applyNumberFormat="1" applyFont="1" applyFill="1" applyBorder="1" applyAlignment="1">
      <alignment horizontal="center"/>
    </xf>
    <xf numFmtId="38" fontId="87" fillId="33" borderId="180" xfId="11" applyNumberFormat="1" applyFont="1" applyFill="1" applyBorder="1" applyAlignment="1">
      <alignment horizontal="center"/>
    </xf>
    <xf numFmtId="38" fontId="88" fillId="0" borderId="181" xfId="11" applyNumberFormat="1" applyFont="1" applyFill="1" applyBorder="1" applyAlignment="1">
      <alignment horizontal="center"/>
    </xf>
    <xf numFmtId="38" fontId="88" fillId="0" borderId="182" xfId="11" applyNumberFormat="1" applyFont="1" applyFill="1" applyBorder="1" applyAlignment="1">
      <alignment horizontal="center"/>
    </xf>
    <xf numFmtId="38" fontId="88" fillId="0" borderId="183" xfId="11" applyNumberFormat="1" applyFont="1" applyFill="1" applyBorder="1" applyAlignment="1">
      <alignment horizontal="center"/>
    </xf>
    <xf numFmtId="38" fontId="87" fillId="33" borderId="184" xfId="11" applyNumberFormat="1" applyFont="1" applyFill="1" applyBorder="1" applyAlignment="1">
      <alignment horizontal="center"/>
    </xf>
    <xf numFmtId="38" fontId="87" fillId="0" borderId="178" xfId="11" applyNumberFormat="1" applyFont="1" applyFill="1" applyBorder="1" applyAlignment="1">
      <alignment horizontal="center"/>
    </xf>
    <xf numFmtId="38" fontId="88" fillId="0" borderId="185" xfId="11" applyNumberFormat="1" applyFont="1" applyFill="1" applyBorder="1" applyAlignment="1">
      <alignment horizontal="center"/>
    </xf>
    <xf numFmtId="38" fontId="88" fillId="20" borderId="182" xfId="11" applyNumberFormat="1" applyFont="1" applyFill="1" applyBorder="1" applyAlignment="1">
      <alignment horizontal="center"/>
    </xf>
    <xf numFmtId="38" fontId="88" fillId="20" borderId="184" xfId="11" applyNumberFormat="1" applyFont="1" applyFill="1" applyBorder="1" applyAlignment="1">
      <alignment horizontal="center"/>
    </xf>
    <xf numFmtId="38" fontId="87" fillId="0" borderId="184" xfId="11" applyNumberFormat="1" applyFont="1" applyFill="1" applyBorder="1" applyAlignment="1">
      <alignment horizontal="center"/>
    </xf>
    <xf numFmtId="38" fontId="88" fillId="19" borderId="186" xfId="11" applyNumberFormat="1" applyFont="1" applyFill="1" applyBorder="1" applyAlignment="1">
      <alignment horizontal="center"/>
    </xf>
    <xf numFmtId="38" fontId="87" fillId="33" borderId="145" xfId="11" applyNumberFormat="1" applyFont="1" applyFill="1" applyBorder="1" applyAlignment="1">
      <alignment horizontal="center"/>
    </xf>
    <xf numFmtId="38" fontId="87" fillId="33" borderId="148" xfId="11" applyNumberFormat="1" applyFont="1" applyFill="1" applyBorder="1" applyAlignment="1">
      <alignment horizontal="center"/>
    </xf>
    <xf numFmtId="38" fontId="88" fillId="0" borderId="187" xfId="11" applyNumberFormat="1" applyFont="1" applyFill="1" applyBorder="1" applyAlignment="1">
      <alignment horizontal="center"/>
    </xf>
    <xf numFmtId="38" fontId="88" fillId="20" borderId="149" xfId="11" applyNumberFormat="1" applyFont="1" applyFill="1" applyBorder="1" applyAlignment="1">
      <alignment horizontal="center"/>
    </xf>
    <xf numFmtId="38" fontId="88" fillId="0" borderId="188" xfId="11" applyNumberFormat="1" applyFont="1" applyFill="1" applyBorder="1" applyAlignment="1">
      <alignment horizontal="left"/>
    </xf>
    <xf numFmtId="38" fontId="87" fillId="0" borderId="189" xfId="11" applyNumberFormat="1" applyFont="1" applyFill="1" applyBorder="1" applyAlignment="1">
      <alignment horizontal="center"/>
    </xf>
    <xf numFmtId="38" fontId="87"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7" fillId="0" borderId="194" xfId="11" applyNumberFormat="1" applyFont="1" applyFill="1" applyBorder="1" applyAlignment="1">
      <alignment horizontal="center"/>
    </xf>
    <xf numFmtId="38" fontId="87" fillId="0" borderId="188"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94" xfId="11" applyNumberFormat="1" applyFont="1" applyFill="1" applyBorder="1" applyAlignment="1">
      <alignment horizontal="center"/>
    </xf>
    <xf numFmtId="38" fontId="88" fillId="19" borderId="196" xfId="11" applyNumberFormat="1" applyFont="1" applyFill="1" applyBorder="1" applyAlignment="1">
      <alignment horizontal="center"/>
    </xf>
    <xf numFmtId="38" fontId="87" fillId="0" borderId="0" xfId="11" applyNumberFormat="1" applyFont="1" applyFill="1" applyBorder="1" applyAlignment="1">
      <alignment horizontal="left"/>
    </xf>
    <xf numFmtId="38" fontId="87" fillId="0" borderId="125" xfId="11" applyNumberFormat="1" applyFont="1" applyFill="1" applyBorder="1" applyAlignment="1">
      <alignment horizontal="center"/>
    </xf>
    <xf numFmtId="38" fontId="87" fillId="0" borderId="197" xfId="11" applyNumberFormat="1" applyFont="1" applyFill="1" applyBorder="1" applyAlignment="1">
      <alignment horizontal="center"/>
    </xf>
    <xf numFmtId="38" fontId="87" fillId="0" borderId="198" xfId="11" applyNumberFormat="1" applyFont="1" applyFill="1" applyBorder="1" applyAlignment="1">
      <alignment horizontal="center"/>
    </xf>
    <xf numFmtId="38" fontId="87" fillId="0" borderId="199" xfId="11" applyNumberFormat="1" applyFont="1" applyFill="1" applyBorder="1" applyAlignment="1">
      <alignment horizontal="center"/>
    </xf>
    <xf numFmtId="38" fontId="87" fillId="0" borderId="200" xfId="11" applyNumberFormat="1" applyFont="1" applyFill="1" applyBorder="1" applyAlignment="1">
      <alignment horizontal="center"/>
    </xf>
    <xf numFmtId="38" fontId="87" fillId="0" borderId="54" xfId="11" applyNumberFormat="1" applyFont="1" applyFill="1" applyBorder="1" applyAlignment="1">
      <alignment horizontal="center"/>
    </xf>
    <xf numFmtId="38" fontId="87" fillId="0" borderId="0" xfId="11" applyNumberFormat="1" applyFont="1" applyFill="1" applyBorder="1" applyAlignment="1">
      <alignment horizontal="center"/>
    </xf>
    <xf numFmtId="38" fontId="87" fillId="0" borderId="52" xfId="11" applyNumberFormat="1" applyFont="1" applyFill="1" applyBorder="1" applyAlignment="1">
      <alignment horizontal="center"/>
    </xf>
    <xf numFmtId="38" fontId="87" fillId="0" borderId="201" xfId="11" applyNumberFormat="1" applyFont="1" applyFill="1" applyBorder="1" applyAlignment="1">
      <alignment horizontal="center"/>
    </xf>
    <xf numFmtId="38" fontId="87" fillId="19" borderId="54" xfId="11" applyNumberFormat="1" applyFont="1" applyFill="1" applyBorder="1" applyAlignment="1">
      <alignment horizontal="center"/>
    </xf>
    <xf numFmtId="38" fontId="87" fillId="19" borderId="202" xfId="11" applyNumberFormat="1" applyFont="1" applyFill="1" applyBorder="1" applyAlignment="1">
      <alignment horizontal="center"/>
    </xf>
    <xf numFmtId="38" fontId="87" fillId="0" borderId="180" xfId="11" applyNumberFormat="1" applyFont="1" applyFill="1" applyBorder="1" applyAlignment="1">
      <alignment horizontal="center"/>
    </xf>
    <xf numFmtId="38" fontId="88" fillId="0" borderId="184" xfId="11" applyNumberFormat="1" applyFont="1" applyFill="1" applyBorder="1" applyAlignment="1">
      <alignment horizontal="center"/>
    </xf>
    <xf numFmtId="38" fontId="88" fillId="19" borderId="203" xfId="11" applyNumberFormat="1" applyFont="1" applyFill="1" applyBorder="1" applyAlignment="1">
      <alignment horizontal="center"/>
    </xf>
    <xf numFmtId="1" fontId="88" fillId="0" borderId="148" xfId="11" applyNumberFormat="1" applyFont="1" applyFill="1" applyBorder="1" applyAlignment="1">
      <alignment horizontal="center"/>
    </xf>
    <xf numFmtId="38" fontId="88" fillId="0" borderId="0" xfId="0" applyNumberFormat="1" applyFont="1" applyFill="1" applyBorder="1"/>
    <xf numFmtId="38" fontId="87" fillId="0" borderId="10" xfId="11" applyNumberFormat="1" applyFont="1" applyFill="1" applyBorder="1" applyAlignment="1">
      <alignment horizontal="left"/>
    </xf>
    <xf numFmtId="38" fontId="87" fillId="0" borderId="204" xfId="11" applyNumberFormat="1" applyFont="1" applyFill="1" applyBorder="1" applyAlignment="1">
      <alignment horizontal="center"/>
    </xf>
    <xf numFmtId="38" fontId="87"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7" fillId="0" borderId="209" xfId="11" applyNumberFormat="1" applyFont="1" applyFill="1" applyBorder="1" applyAlignment="1">
      <alignment horizontal="center"/>
    </xf>
    <xf numFmtId="38" fontId="87" fillId="0" borderId="10"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209" xfId="11" applyNumberFormat="1" applyFont="1" applyFill="1" applyBorder="1" applyAlignment="1">
      <alignment horizontal="center"/>
    </xf>
    <xf numFmtId="38" fontId="87" fillId="19" borderId="209"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7" fillId="0" borderId="211" xfId="11" applyNumberFormat="1" applyFont="1" applyFill="1" applyBorder="1" applyAlignment="1">
      <alignment horizontal="center"/>
    </xf>
    <xf numFmtId="38" fontId="87" fillId="0" borderId="212" xfId="11" applyNumberFormat="1" applyFont="1" applyFill="1" applyBorder="1" applyAlignment="1">
      <alignment horizontal="center"/>
    </xf>
    <xf numFmtId="38" fontId="87" fillId="0" borderId="182" xfId="11" applyNumberFormat="1" applyFont="1" applyFill="1" applyBorder="1" applyAlignment="1">
      <alignment horizontal="center"/>
    </xf>
    <xf numFmtId="38" fontId="88" fillId="0" borderId="178" xfId="11" applyNumberFormat="1" applyFont="1" applyFill="1" applyBorder="1" applyAlignment="1">
      <alignment horizontal="center"/>
    </xf>
    <xf numFmtId="38" fontId="88" fillId="0" borderId="0" xfId="11" applyNumberFormat="1" applyFont="1" applyFill="1" applyBorder="1" applyAlignment="1">
      <alignment horizontal="left"/>
    </xf>
    <xf numFmtId="38" fontId="87" fillId="0" borderId="53" xfId="11" applyNumberFormat="1" applyFont="1" applyFill="1" applyBorder="1" applyAlignment="1">
      <alignment horizontal="center"/>
    </xf>
    <xf numFmtId="38" fontId="87" fillId="0" borderId="213"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19" borderId="202" xfId="11" applyNumberFormat="1" applyFont="1" applyFill="1" applyBorder="1" applyAlignment="1">
      <alignment horizontal="center"/>
    </xf>
    <xf numFmtId="38" fontId="87" fillId="0" borderId="214" xfId="11" applyNumberFormat="1" applyFont="1" applyFill="1" applyBorder="1" applyAlignment="1">
      <alignment horizontal="center"/>
    </xf>
    <xf numFmtId="38" fontId="88" fillId="0" borderId="215" xfId="11" applyNumberFormat="1" applyFont="1" applyFill="1" applyBorder="1" applyAlignment="1">
      <alignment horizontal="center"/>
    </xf>
    <xf numFmtId="38" fontId="88" fillId="0" borderId="152" xfId="11" applyNumberFormat="1" applyFont="1" applyFill="1" applyBorder="1" applyAlignment="1">
      <alignment horizontal="center"/>
    </xf>
    <xf numFmtId="38" fontId="87" fillId="19" borderId="216" xfId="11" applyNumberFormat="1" applyFont="1" applyFill="1" applyBorder="1" applyAlignment="1">
      <alignment horizontal="left"/>
    </xf>
    <xf numFmtId="38" fontId="87" fillId="19" borderId="217" xfId="11" applyNumberFormat="1" applyFont="1" applyFill="1" applyBorder="1" applyAlignment="1">
      <alignment horizontal="center"/>
    </xf>
    <xf numFmtId="38" fontId="87" fillId="19" borderId="218" xfId="11" applyNumberFormat="1" applyFont="1" applyFill="1" applyBorder="1" applyAlignment="1">
      <alignment horizontal="center"/>
    </xf>
    <xf numFmtId="38" fontId="87" fillId="19" borderId="219" xfId="11" applyNumberFormat="1" applyFont="1" applyFill="1" applyBorder="1" applyAlignment="1">
      <alignment horizontal="center"/>
    </xf>
    <xf numFmtId="38" fontId="87" fillId="19" borderId="220" xfId="11" applyNumberFormat="1" applyFont="1" applyFill="1" applyBorder="1" applyAlignment="1">
      <alignment horizontal="center"/>
    </xf>
    <xf numFmtId="38" fontId="87" fillId="19" borderId="221" xfId="11" applyNumberFormat="1" applyFont="1" applyFill="1" applyBorder="1" applyAlignment="1">
      <alignment horizontal="center"/>
    </xf>
    <xf numFmtId="38" fontId="87" fillId="19" borderId="216" xfId="11" applyNumberFormat="1" applyFont="1" applyFill="1" applyBorder="1" applyAlignment="1">
      <alignment horizontal="center"/>
    </xf>
    <xf numFmtId="38" fontId="87" fillId="19" borderId="176" xfId="11" applyNumberFormat="1" applyFont="1" applyFill="1" applyBorder="1" applyAlignment="1">
      <alignment horizontal="center"/>
    </xf>
    <xf numFmtId="38" fontId="87" fillId="19" borderId="140" xfId="11" applyNumberFormat="1" applyFont="1" applyFill="1" applyBorder="1" applyAlignment="1">
      <alignment horizontal="center"/>
    </xf>
    <xf numFmtId="38" fontId="87" fillId="19" borderId="164" xfId="11" applyNumberFormat="1" applyFont="1" applyFill="1" applyBorder="1" applyAlignment="1">
      <alignment horizontal="center"/>
    </xf>
    <xf numFmtId="38" fontId="87" fillId="19" borderId="222" xfId="11" applyNumberFormat="1" applyFont="1" applyFill="1" applyBorder="1" applyAlignment="1">
      <alignment horizontal="center"/>
    </xf>
    <xf numFmtId="38" fontId="87" fillId="19" borderId="223" xfId="11" applyNumberFormat="1" applyFont="1" applyFill="1" applyBorder="1" applyAlignment="1">
      <alignment horizontal="center"/>
    </xf>
    <xf numFmtId="38" fontId="87" fillId="19" borderId="160" xfId="11" applyNumberFormat="1" applyFont="1" applyFill="1" applyBorder="1" applyAlignment="1">
      <alignment horizontal="left"/>
    </xf>
    <xf numFmtId="38" fontId="87" fillId="19" borderId="161" xfId="11" applyNumberFormat="1" applyFont="1" applyFill="1" applyBorder="1" applyAlignment="1">
      <alignment horizontal="center"/>
    </xf>
    <xf numFmtId="38" fontId="87" fillId="19" borderId="162" xfId="11" applyNumberFormat="1" applyFont="1" applyFill="1" applyBorder="1" applyAlignment="1">
      <alignment horizontal="center"/>
    </xf>
    <xf numFmtId="38" fontId="87" fillId="19" borderId="175" xfId="11" applyNumberFormat="1" applyFont="1" applyFill="1" applyBorder="1" applyAlignment="1">
      <alignment horizontal="center"/>
    </xf>
    <xf numFmtId="38" fontId="87" fillId="19" borderId="160" xfId="11" applyNumberFormat="1" applyFont="1" applyFill="1" applyBorder="1" applyAlignment="1">
      <alignment horizontal="center"/>
    </xf>
    <xf numFmtId="38" fontId="87" fillId="19" borderId="166" xfId="11" applyNumberFormat="1" applyFont="1" applyFill="1" applyBorder="1" applyAlignment="1">
      <alignment horizontal="center"/>
    </xf>
    <xf numFmtId="38" fontId="88" fillId="19" borderId="10" xfId="11" applyNumberFormat="1" applyFont="1" applyFill="1" applyBorder="1" applyAlignment="1">
      <alignment horizontal="left"/>
    </xf>
    <xf numFmtId="38" fontId="88" fillId="19" borderId="204" xfId="11" applyNumberFormat="1" applyFont="1" applyFill="1" applyBorder="1" applyAlignment="1">
      <alignment horizontal="center"/>
    </xf>
    <xf numFmtId="38" fontId="88" fillId="19" borderId="205" xfId="11" applyNumberFormat="1" applyFont="1" applyFill="1" applyBorder="1" applyAlignment="1">
      <alignment horizontal="center"/>
    </xf>
    <xf numFmtId="38" fontId="88" fillId="19" borderId="206" xfId="11" applyNumberFormat="1" applyFont="1" applyFill="1" applyBorder="1" applyAlignment="1">
      <alignment horizontal="center"/>
    </xf>
    <xf numFmtId="38" fontId="88" fillId="19" borderId="207" xfId="11" applyNumberFormat="1" applyFont="1" applyFill="1" applyBorder="1" applyAlignment="1">
      <alignment horizontal="center"/>
    </xf>
    <xf numFmtId="38" fontId="88" fillId="19" borderId="208" xfId="11" applyNumberFormat="1" applyFont="1" applyFill="1" applyBorder="1" applyAlignment="1">
      <alignment horizontal="center"/>
    </xf>
    <xf numFmtId="38" fontId="88" fillId="19" borderId="209" xfId="11" applyNumberFormat="1" applyFont="1" applyFill="1" applyBorder="1" applyAlignment="1">
      <alignment horizontal="center"/>
    </xf>
    <xf numFmtId="38" fontId="88" fillId="19" borderId="10" xfId="11" applyNumberFormat="1" applyFont="1" applyFill="1" applyBorder="1" applyAlignment="1">
      <alignment horizontal="center"/>
    </xf>
    <xf numFmtId="38" fontId="88" fillId="19" borderId="75" xfId="11" applyNumberFormat="1" applyFont="1" applyFill="1" applyBorder="1" applyAlignment="1">
      <alignment horizontal="center"/>
    </xf>
    <xf numFmtId="38" fontId="87" fillId="33" borderId="163" xfId="11" applyNumberFormat="1" applyFont="1" applyFill="1" applyBorder="1" applyAlignment="1">
      <alignment horizontal="center"/>
    </xf>
    <xf numFmtId="38" fontId="87" fillId="51" borderId="224" xfId="11" applyNumberFormat="1" applyFont="1" applyFill="1" applyBorder="1" applyAlignment="1">
      <alignment horizontal="left"/>
    </xf>
    <xf numFmtId="38" fontId="87" fillId="51" borderId="225" xfId="11" applyNumberFormat="1" applyFont="1" applyFill="1" applyBorder="1" applyAlignment="1">
      <alignment horizontal="center"/>
    </xf>
    <xf numFmtId="38" fontId="87" fillId="0" borderId="226" xfId="11" applyNumberFormat="1" applyFont="1" applyFill="1" applyBorder="1" applyAlignment="1">
      <alignment horizontal="center"/>
    </xf>
    <xf numFmtId="38" fontId="87" fillId="0" borderId="227" xfId="11" applyNumberFormat="1" applyFont="1" applyFill="1" applyBorder="1" applyAlignment="1">
      <alignment horizontal="center"/>
    </xf>
    <xf numFmtId="38" fontId="87" fillId="0" borderId="228" xfId="11" applyNumberFormat="1" applyFont="1" applyFill="1" applyBorder="1" applyAlignment="1">
      <alignment horizontal="center"/>
    </xf>
    <xf numFmtId="38" fontId="87" fillId="0" borderId="229" xfId="11" applyNumberFormat="1" applyFont="1" applyFill="1" applyBorder="1" applyAlignment="1">
      <alignment horizontal="center"/>
    </xf>
    <xf numFmtId="38" fontId="87" fillId="0" borderId="230" xfId="11" applyNumberFormat="1" applyFont="1" applyFill="1" applyBorder="1" applyAlignment="1">
      <alignment horizontal="center"/>
    </xf>
    <xf numFmtId="38" fontId="87" fillId="0" borderId="224" xfId="11" applyNumberFormat="1" applyFont="1" applyFill="1" applyBorder="1" applyAlignment="1">
      <alignment horizontal="center"/>
    </xf>
    <xf numFmtId="38" fontId="87" fillId="0" borderId="231" xfId="11" applyNumberFormat="1" applyFont="1" applyFill="1" applyBorder="1" applyAlignment="1">
      <alignment horizontal="center"/>
    </xf>
    <xf numFmtId="38" fontId="88" fillId="51" borderId="232" xfId="10" applyNumberFormat="1" applyFont="1" applyFill="1" applyBorder="1" applyAlignment="1">
      <alignment horizontal="left" vertical="top" wrapText="1"/>
    </xf>
    <xf numFmtId="38" fontId="88" fillId="51" borderId="233" xfId="10" applyNumberFormat="1" applyFont="1" applyFill="1" applyBorder="1" applyAlignment="1">
      <alignment vertical="top"/>
    </xf>
    <xf numFmtId="38" fontId="87" fillId="0" borderId="234" xfId="11" applyNumberFormat="1" applyFont="1" applyFill="1" applyBorder="1" applyAlignment="1">
      <alignment horizontal="center"/>
    </xf>
    <xf numFmtId="38" fontId="88" fillId="0" borderId="235" xfId="11" applyNumberFormat="1" applyFont="1" applyFill="1" applyBorder="1" applyAlignment="1">
      <alignment horizontal="center"/>
    </xf>
    <xf numFmtId="38" fontId="87"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7" fillId="52" borderId="236" xfId="11" applyNumberFormat="1" applyFont="1" applyFill="1" applyBorder="1" applyAlignment="1">
      <alignment horizontal="center"/>
    </xf>
    <xf numFmtId="38" fontId="88" fillId="52" borderId="184" xfId="11" applyNumberFormat="1" applyFont="1" applyFill="1" applyBorder="1" applyAlignment="1">
      <alignment horizontal="center"/>
    </xf>
    <xf numFmtId="38" fontId="87" fillId="0" borderId="232"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51" borderId="143" xfId="10" applyNumberFormat="1" applyFont="1" applyFill="1" applyBorder="1" applyAlignment="1">
      <alignment horizontal="left" vertical="top" wrapText="1"/>
    </xf>
    <xf numFmtId="38" fontId="88" fillId="51" borderId="144" xfId="10" applyNumberFormat="1" applyFont="1" applyFill="1" applyBorder="1" applyAlignment="1">
      <alignment horizontal="left" vertical="top"/>
    </xf>
    <xf numFmtId="38" fontId="87" fillId="52" borderId="148" xfId="11" applyNumberFormat="1" applyFont="1" applyFill="1" applyBorder="1" applyAlignment="1">
      <alignment horizontal="center"/>
    </xf>
    <xf numFmtId="38" fontId="88" fillId="52" borderId="148" xfId="11" applyNumberFormat="1" applyFont="1" applyFill="1" applyBorder="1" applyAlignment="1">
      <alignment horizontal="center"/>
    </xf>
    <xf numFmtId="38" fontId="88" fillId="0" borderId="143" xfId="11" applyNumberFormat="1" applyFont="1" applyFill="1" applyBorder="1" applyAlignment="1">
      <alignment horizontal="center"/>
    </xf>
    <xf numFmtId="38" fontId="88" fillId="51" borderId="144" xfId="10" applyNumberFormat="1" applyFont="1" applyFill="1" applyBorder="1" applyAlignment="1">
      <alignment vertical="top"/>
    </xf>
    <xf numFmtId="38" fontId="88" fillId="52" borderId="236" xfId="11" applyNumberFormat="1" applyFont="1" applyFill="1" applyBorder="1" applyAlignment="1">
      <alignment horizontal="center"/>
    </xf>
    <xf numFmtId="38" fontId="88" fillId="0" borderId="232" xfId="11" applyNumberFormat="1" applyFont="1" applyFill="1" applyBorder="1" applyAlignment="1">
      <alignment horizontal="center"/>
    </xf>
    <xf numFmtId="38" fontId="88" fillId="0" borderId="236" xfId="11" applyNumberFormat="1" applyFont="1" applyFill="1" applyBorder="1" applyAlignment="1">
      <alignment horizontal="center"/>
    </xf>
    <xf numFmtId="38" fontId="88" fillId="52" borderId="54" xfId="11" applyNumberFormat="1" applyFont="1" applyFill="1" applyBorder="1" applyAlignment="1">
      <alignment horizontal="center"/>
    </xf>
    <xf numFmtId="38" fontId="88" fillId="51" borderId="188" xfId="10" applyNumberFormat="1" applyFont="1" applyFill="1" applyBorder="1" applyAlignment="1">
      <alignment horizontal="left" vertical="top" wrapText="1"/>
    </xf>
    <xf numFmtId="38" fontId="88" fillId="51" borderId="189" xfId="10" applyNumberFormat="1" applyFont="1" applyFill="1" applyBorder="1" applyAlignment="1">
      <alignment vertical="top"/>
    </xf>
    <xf numFmtId="38" fontId="87" fillId="0" borderId="239" xfId="11" applyNumberFormat="1" applyFont="1" applyFill="1" applyBorder="1" applyAlignment="1">
      <alignment horizontal="center"/>
    </xf>
    <xf numFmtId="38" fontId="88" fillId="0" borderId="240" xfId="11" applyNumberFormat="1" applyFont="1" applyFill="1" applyBorder="1" applyAlignment="1">
      <alignment horizontal="center"/>
    </xf>
    <xf numFmtId="38" fontId="88" fillId="0" borderId="241" xfId="11" applyNumberFormat="1" applyFont="1" applyFill="1" applyBorder="1" applyAlignment="1">
      <alignment horizontal="center"/>
    </xf>
    <xf numFmtId="38" fontId="87"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7" fillId="52" borderId="242" xfId="11" applyNumberFormat="1" applyFont="1" applyFill="1" applyBorder="1" applyAlignment="1">
      <alignment horizontal="center"/>
    </xf>
    <xf numFmtId="38" fontId="88" fillId="52" borderId="194" xfId="11" applyNumberFormat="1" applyFont="1" applyFill="1" applyBorder="1" applyAlignment="1">
      <alignment horizontal="center"/>
    </xf>
    <xf numFmtId="38" fontId="87" fillId="0" borderId="244" xfId="11" applyNumberFormat="1" applyFont="1" applyFill="1" applyBorder="1" applyAlignment="1">
      <alignment horizontal="center"/>
    </xf>
    <xf numFmtId="38" fontId="88" fillId="0" borderId="245" xfId="11" applyNumberFormat="1" applyFont="1" applyFill="1" applyBorder="1" applyAlignment="1">
      <alignment horizontal="center"/>
    </xf>
    <xf numFmtId="38" fontId="88" fillId="0" borderId="188" xfId="11" applyNumberFormat="1" applyFont="1" applyFill="1" applyBorder="1" applyAlignment="1">
      <alignment horizontal="center"/>
    </xf>
    <xf numFmtId="38" fontId="88" fillId="19" borderId="246" xfId="11" applyNumberFormat="1" applyFont="1" applyFill="1" applyBorder="1" applyAlignment="1">
      <alignment horizontal="center"/>
    </xf>
    <xf numFmtId="38" fontId="87" fillId="53" borderId="0" xfId="11" applyNumberFormat="1" applyFont="1" applyFill="1" applyBorder="1" applyAlignment="1">
      <alignment horizontal="left"/>
    </xf>
    <xf numFmtId="38" fontId="87" fillId="53" borderId="125" xfId="11" applyNumberFormat="1" applyFont="1" applyFill="1" applyBorder="1" applyAlignment="1">
      <alignment horizontal="center"/>
    </xf>
    <xf numFmtId="38" fontId="87" fillId="0" borderId="247" xfId="11" applyNumberFormat="1" applyFont="1" applyFill="1" applyBorder="1" applyAlignment="1">
      <alignment horizontal="center"/>
    </xf>
    <xf numFmtId="38" fontId="87" fillId="0" borderId="248" xfId="11" applyNumberFormat="1" applyFont="1" applyFill="1" applyBorder="1" applyAlignment="1">
      <alignment horizontal="center"/>
    </xf>
    <xf numFmtId="38" fontId="87" fillId="0" borderId="74" xfId="11" applyNumberFormat="1" applyFont="1" applyFill="1" applyBorder="1" applyAlignment="1">
      <alignment horizontal="center"/>
    </xf>
    <xf numFmtId="38" fontId="87" fillId="0" borderId="249" xfId="11" applyNumberFormat="1" applyFont="1" applyFill="1" applyBorder="1" applyAlignment="1">
      <alignment horizontal="center"/>
    </xf>
    <xf numFmtId="38" fontId="87" fillId="0" borderId="11" xfId="11" applyNumberFormat="1" applyFont="1" applyFill="1" applyBorder="1" applyAlignment="1">
      <alignment horizontal="center"/>
    </xf>
    <xf numFmtId="38" fontId="87" fillId="0" borderId="250" xfId="11" applyNumberFormat="1" applyFont="1" applyFill="1" applyBorder="1" applyAlignment="1">
      <alignment horizontal="center"/>
    </xf>
    <xf numFmtId="38" fontId="87" fillId="19" borderId="251" xfId="11" applyNumberFormat="1" applyFont="1" applyFill="1" applyBorder="1" applyAlignment="1">
      <alignment horizontal="center"/>
    </xf>
    <xf numFmtId="38" fontId="88" fillId="53" borderId="178" xfId="10" applyNumberFormat="1" applyFont="1" applyFill="1" applyBorder="1" applyAlignment="1">
      <alignment horizontal="left" vertical="top" wrapText="1"/>
    </xf>
    <xf numFmtId="38" fontId="87" fillId="53" borderId="179" xfId="11" applyNumberFormat="1" applyFont="1" applyFill="1" applyBorder="1" applyAlignment="1">
      <alignment horizontal="center"/>
    </xf>
    <xf numFmtId="38" fontId="87" fillId="0" borderId="181" xfId="11" applyNumberFormat="1" applyFont="1" applyFill="1" applyBorder="1" applyAlignment="1">
      <alignment horizontal="center"/>
    </xf>
    <xf numFmtId="38" fontId="88" fillId="53" borderId="232" xfId="10" applyNumberFormat="1" applyFont="1" applyFill="1" applyBorder="1" applyAlignment="1">
      <alignment horizontal="left" vertical="top" wrapText="1"/>
    </xf>
    <xf numFmtId="38" fontId="87" fillId="53" borderId="233" xfId="11" applyNumberFormat="1" applyFont="1" applyFill="1" applyBorder="1" applyAlignment="1">
      <alignment horizontal="center"/>
    </xf>
    <xf numFmtId="38" fontId="87" fillId="0" borderId="237" xfId="11" applyNumberFormat="1" applyFont="1" applyFill="1" applyBorder="1" applyAlignment="1">
      <alignment horizontal="center"/>
    </xf>
    <xf numFmtId="38" fontId="87" fillId="0" borderId="187" xfId="11" applyNumberFormat="1" applyFont="1" applyFill="1" applyBorder="1" applyAlignment="1">
      <alignment horizontal="center"/>
    </xf>
    <xf numFmtId="38" fontId="88" fillId="53" borderId="143" xfId="10" applyNumberFormat="1" applyFont="1" applyFill="1" applyBorder="1" applyAlignment="1">
      <alignment horizontal="left" vertical="top" wrapText="1"/>
    </xf>
    <xf numFmtId="38" fontId="87" fillId="53" borderId="144" xfId="11" applyNumberFormat="1" applyFont="1" applyFill="1" applyBorder="1" applyAlignment="1">
      <alignment horizontal="center"/>
    </xf>
    <xf numFmtId="38" fontId="88" fillId="53" borderId="144" xfId="10" applyNumberFormat="1" applyFont="1" applyFill="1" applyBorder="1" applyAlignment="1">
      <alignment vertical="top"/>
    </xf>
    <xf numFmtId="38" fontId="88" fillId="53" borderId="143" xfId="11" applyNumberFormat="1" applyFont="1" applyFill="1" applyBorder="1" applyAlignment="1">
      <alignment horizontal="left"/>
    </xf>
    <xf numFmtId="38" fontId="88" fillId="53" borderId="188" xfId="11" applyNumberFormat="1" applyFont="1" applyFill="1" applyBorder="1" applyAlignment="1">
      <alignment horizontal="left"/>
    </xf>
    <xf numFmtId="38" fontId="87" fillId="53" borderId="189" xfId="11" applyNumberFormat="1" applyFont="1" applyFill="1" applyBorder="1" applyAlignment="1">
      <alignment horizontal="center"/>
    </xf>
    <xf numFmtId="38" fontId="87" fillId="0" borderId="191" xfId="11" applyNumberFormat="1" applyFont="1" applyFill="1" applyBorder="1" applyAlignment="1">
      <alignment horizontal="center"/>
    </xf>
    <xf numFmtId="38" fontId="87" fillId="0" borderId="192" xfId="11" applyNumberFormat="1" applyFont="1" applyFill="1" applyBorder="1" applyAlignment="1">
      <alignment horizontal="center"/>
    </xf>
    <xf numFmtId="38" fontId="87" fillId="54" borderId="11" xfId="11" applyNumberFormat="1" applyFont="1" applyFill="1" applyBorder="1" applyAlignment="1">
      <alignment horizontal="left"/>
    </xf>
    <xf numFmtId="38" fontId="87" fillId="54" borderId="252" xfId="11" applyNumberFormat="1" applyFont="1" applyFill="1" applyBorder="1" applyAlignment="1">
      <alignment horizontal="center"/>
    </xf>
    <xf numFmtId="38" fontId="87" fillId="51" borderId="11" xfId="11" applyNumberFormat="1" applyFont="1" applyFill="1" applyBorder="1" applyAlignment="1">
      <alignment horizontal="left"/>
    </xf>
    <xf numFmtId="38" fontId="87" fillId="51" borderId="252" xfId="11" applyNumberFormat="1" applyFont="1" applyFill="1" applyBorder="1" applyAlignment="1">
      <alignment horizontal="center"/>
    </xf>
    <xf numFmtId="38" fontId="88" fillId="51" borderId="178" xfId="10" applyNumberFormat="1" applyFont="1" applyFill="1" applyBorder="1" applyAlignment="1">
      <alignment horizontal="left" vertical="top" wrapText="1"/>
    </xf>
    <xf numFmtId="38" fontId="87" fillId="51" borderId="179" xfId="11" applyNumberFormat="1" applyFont="1" applyFill="1" applyBorder="1" applyAlignment="1">
      <alignment horizontal="center"/>
    </xf>
    <xf numFmtId="38" fontId="87" fillId="51" borderId="189" xfId="11" applyNumberFormat="1" applyFont="1" applyFill="1" applyBorder="1" applyAlignment="1">
      <alignment horizontal="center"/>
    </xf>
    <xf numFmtId="38" fontId="87" fillId="51" borderId="10" xfId="11" applyNumberFormat="1" applyFont="1" applyFill="1" applyBorder="1" applyAlignment="1">
      <alignment horizontal="left"/>
    </xf>
    <xf numFmtId="38" fontId="87" fillId="51" borderId="204" xfId="11" applyNumberFormat="1" applyFont="1" applyFill="1" applyBorder="1" applyAlignment="1">
      <alignment horizontal="center"/>
    </xf>
    <xf numFmtId="38" fontId="87" fillId="0" borderId="206" xfId="11" applyNumberFormat="1" applyFont="1" applyFill="1" applyBorder="1" applyAlignment="1">
      <alignment horizontal="center"/>
    </xf>
    <xf numFmtId="38" fontId="87" fillId="0" borderId="207" xfId="11" applyNumberFormat="1" applyFont="1" applyFill="1" applyBorder="1" applyAlignment="1">
      <alignment horizontal="center"/>
    </xf>
    <xf numFmtId="38" fontId="87" fillId="0" borderId="208" xfId="11" applyNumberFormat="1" applyFont="1" applyFill="1" applyBorder="1" applyAlignment="1">
      <alignment horizontal="center"/>
    </xf>
    <xf numFmtId="38" fontId="87" fillId="0" borderId="75" xfId="11" applyNumberFormat="1" applyFont="1" applyFill="1" applyBorder="1" applyAlignment="1">
      <alignment horizontal="center"/>
    </xf>
    <xf numFmtId="38" fontId="87" fillId="51" borderId="188" xfId="10" applyNumberFormat="1" applyFont="1" applyFill="1" applyBorder="1" applyAlignment="1">
      <alignment horizontal="left" vertical="top" wrapText="1"/>
    </xf>
    <xf numFmtId="38" fontId="87" fillId="19" borderId="196" xfId="11" applyNumberFormat="1" applyFont="1" applyFill="1" applyBorder="1" applyAlignment="1">
      <alignment horizontal="center"/>
    </xf>
    <xf numFmtId="38" fontId="87" fillId="0" borderId="216" xfId="11" applyNumberFormat="1" applyFont="1" applyFill="1" applyBorder="1" applyAlignment="1">
      <alignment horizontal="left"/>
    </xf>
    <xf numFmtId="38" fontId="87" fillId="0" borderId="217" xfId="11" applyNumberFormat="1" applyFont="1" applyFill="1" applyBorder="1" applyAlignment="1">
      <alignment horizontal="center"/>
    </xf>
    <xf numFmtId="38" fontId="87" fillId="0" borderId="218" xfId="11" applyNumberFormat="1" applyFont="1" applyFill="1" applyBorder="1" applyAlignment="1">
      <alignment horizontal="center"/>
    </xf>
    <xf numFmtId="38" fontId="87" fillId="0" borderId="219" xfId="11" applyNumberFormat="1" applyFont="1" applyFill="1" applyBorder="1" applyAlignment="1">
      <alignment horizontal="center"/>
    </xf>
    <xf numFmtId="38" fontId="87" fillId="0" borderId="220" xfId="11" applyNumberFormat="1" applyFont="1" applyFill="1" applyBorder="1" applyAlignment="1">
      <alignment horizontal="center"/>
    </xf>
    <xf numFmtId="38" fontId="87" fillId="0" borderId="222" xfId="11" applyNumberFormat="1" applyFont="1" applyFill="1" applyBorder="1" applyAlignment="1">
      <alignment horizontal="center"/>
    </xf>
    <xf numFmtId="38" fontId="87" fillId="0" borderId="221" xfId="11" applyNumberFormat="1" applyFont="1" applyFill="1" applyBorder="1" applyAlignment="1">
      <alignment horizontal="center"/>
    </xf>
    <xf numFmtId="38" fontId="87" fillId="0" borderId="216" xfId="11" applyNumberFormat="1" applyFont="1" applyFill="1" applyBorder="1" applyAlignment="1">
      <alignment horizontal="center"/>
    </xf>
    <xf numFmtId="38" fontId="87" fillId="0" borderId="253" xfId="11" applyNumberFormat="1" applyFont="1" applyFill="1" applyBorder="1" applyAlignment="1">
      <alignment horizontal="center"/>
    </xf>
    <xf numFmtId="0" fontId="89"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0" xfId="0" applyFont="1" applyBorder="1" applyAlignment="1">
      <alignment horizontal="left"/>
    </xf>
    <xf numFmtId="0" fontId="9" fillId="0" borderId="11" xfId="0" applyFont="1" applyBorder="1" applyAlignment="1">
      <alignment horizontal="right"/>
    </xf>
    <xf numFmtId="0" fontId="9" fillId="0" borderId="250" xfId="0" applyFont="1" applyBorder="1" applyAlignment="1">
      <alignment horizontal="right"/>
    </xf>
    <xf numFmtId="0" fontId="9" fillId="0" borderId="254" xfId="0" applyFont="1" applyBorder="1" applyAlignment="1">
      <alignment horizontal="right"/>
    </xf>
    <xf numFmtId="0" fontId="0" fillId="0" borderId="255"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6" xfId="0" applyFill="1" applyBorder="1"/>
    <xf numFmtId="0" fontId="24" fillId="0" borderId="0" xfId="17"/>
    <xf numFmtId="0" fontId="89" fillId="0" borderId="0" xfId="17" applyFont="1"/>
    <xf numFmtId="0" fontId="24" fillId="0" borderId="0" xfId="17" applyAlignment="1">
      <alignment vertical="center"/>
    </xf>
    <xf numFmtId="0" fontId="9" fillId="0" borderId="257" xfId="17" applyFont="1" applyBorder="1" applyAlignment="1">
      <alignment horizontal="left" vertical="center"/>
    </xf>
    <xf numFmtId="0" fontId="9" fillId="0" borderId="257" xfId="17" applyFont="1" applyBorder="1" applyAlignment="1">
      <alignment horizontal="center" vertical="center"/>
    </xf>
    <xf numFmtId="0" fontId="24" fillId="19" borderId="0" xfId="17" applyFill="1" applyAlignment="1"/>
    <xf numFmtId="0" fontId="91"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2"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3" fillId="0" borderId="0" xfId="17" applyFont="1" applyFill="1" applyBorder="1"/>
    <xf numFmtId="0" fontId="94" fillId="0" borderId="0" xfId="17" applyFont="1" applyFill="1" applyBorder="1" applyAlignment="1">
      <alignment horizontal="left"/>
    </xf>
    <xf numFmtId="0" fontId="95" fillId="0" borderId="0" xfId="17" applyFont="1" applyFill="1" applyBorder="1" applyAlignment="1">
      <alignment horizontal="left"/>
    </xf>
    <xf numFmtId="0" fontId="93" fillId="0" borderId="0" xfId="17" quotePrefix="1" applyFont="1" applyFill="1" applyBorder="1"/>
    <xf numFmtId="0" fontId="96" fillId="0" borderId="0" xfId="17" applyFont="1" applyFill="1" applyBorder="1" applyAlignment="1">
      <alignment horizontal="left"/>
    </xf>
    <xf numFmtId="0" fontId="96"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6" fillId="0" borderId="0" xfId="17" applyNumberFormat="1" applyFont="1" applyFill="1" applyBorder="1" applyAlignment="1">
      <alignment horizontal="right"/>
    </xf>
    <xf numFmtId="179" fontId="96"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2"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8" xfId="17" applyBorder="1"/>
    <xf numFmtId="0" fontId="92" fillId="0" borderId="258" xfId="17" applyFont="1" applyFill="1" applyBorder="1" applyAlignment="1">
      <alignment horizontal="left" vertical="center"/>
    </xf>
    <xf numFmtId="190" fontId="24" fillId="0" borderId="258" xfId="17" applyNumberFormat="1" applyBorder="1"/>
    <xf numFmtId="195" fontId="96" fillId="0" borderId="0" xfId="17" applyNumberFormat="1" applyFont="1" applyFill="1" applyBorder="1" applyAlignment="1">
      <alignment horizontal="left"/>
    </xf>
    <xf numFmtId="0" fontId="24" fillId="0" borderId="0" xfId="17" applyFill="1" applyBorder="1" applyAlignment="1"/>
    <xf numFmtId="0" fontId="97"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2" fillId="0" borderId="0" xfId="17" applyFont="1" applyFill="1" applyBorder="1" applyAlignment="1">
      <alignment horizontal="left" vertical="center"/>
    </xf>
    <xf numFmtId="165" fontId="0" fillId="0" borderId="0" xfId="19" applyNumberFormat="1" applyFont="1"/>
    <xf numFmtId="0" fontId="24" fillId="0" borderId="13" xfId="17" applyBorder="1"/>
    <xf numFmtId="0" fontId="92"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5"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6" xfId="19" applyNumberFormat="1" applyFont="1" applyBorder="1" applyAlignment="1">
      <alignment vertical="center"/>
    </xf>
    <xf numFmtId="0" fontId="9" fillId="0" borderId="75" xfId="17" applyFont="1" applyBorder="1"/>
    <xf numFmtId="0" fontId="24" fillId="0" borderId="10" xfId="17" applyBorder="1"/>
    <xf numFmtId="0" fontId="24" fillId="0" borderId="255"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6" xfId="17" applyFill="1" applyBorder="1"/>
    <xf numFmtId="0" fontId="24" fillId="0" borderId="0" xfId="17" applyAlignment="1">
      <alignment horizontal="right"/>
    </xf>
    <xf numFmtId="0" fontId="20" fillId="0" borderId="0" xfId="17" applyFont="1"/>
    <xf numFmtId="0" fontId="9" fillId="0" borderId="257"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2"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59" xfId="0" applyFont="1" applyFill="1" applyBorder="1"/>
    <xf numFmtId="0" fontId="25" fillId="24" borderId="260" xfId="0" applyFont="1" applyFill="1" applyBorder="1"/>
    <xf numFmtId="0" fontId="25" fillId="24" borderId="261" xfId="0" applyFont="1" applyFill="1" applyBorder="1"/>
    <xf numFmtId="164" fontId="46" fillId="18" borderId="0" xfId="19" applyFont="1" applyFill="1" applyBorder="1" applyAlignment="1">
      <alignment vertical="center"/>
    </xf>
    <xf numFmtId="0" fontId="103" fillId="0" borderId="0" xfId="6" applyFont="1" applyAlignment="1" applyProtection="1"/>
    <xf numFmtId="0" fontId="103" fillId="0" borderId="0" xfId="6" applyFont="1" applyAlignment="1" applyProtection="1">
      <alignment vertical="center"/>
    </xf>
    <xf numFmtId="0" fontId="104" fillId="0" borderId="0" xfId="0" applyFont="1"/>
    <xf numFmtId="0" fontId="105" fillId="17" borderId="3" xfId="0" applyFont="1" applyFill="1" applyBorder="1" applyAlignment="1">
      <alignment horizontal="left" vertical="center" indent="1"/>
    </xf>
    <xf numFmtId="0" fontId="54" fillId="18" borderId="6" xfId="0" applyFont="1" applyFill="1" applyBorder="1"/>
    <xf numFmtId="0" fontId="106"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4" fillId="0" borderId="0" xfId="0" applyFont="1" applyAlignment="1">
      <alignment vertical="center"/>
    </xf>
    <xf numFmtId="0" fontId="105" fillId="20" borderId="3" xfId="0" applyFont="1" applyFill="1" applyBorder="1" applyAlignment="1">
      <alignment horizontal="left" vertical="center" indent="1"/>
    </xf>
    <xf numFmtId="0" fontId="106" fillId="21" borderId="0" xfId="0" applyFont="1" applyFill="1" applyBorder="1"/>
    <xf numFmtId="0" fontId="107" fillId="0" borderId="0" xfId="0" applyFont="1" applyAlignment="1">
      <alignment horizontal="center" vertical="center"/>
    </xf>
    <xf numFmtId="0" fontId="107" fillId="0" borderId="0" xfId="0" applyFont="1" applyAlignment="1">
      <alignment vertical="center"/>
    </xf>
    <xf numFmtId="0" fontId="54" fillId="21" borderId="6" xfId="0" applyFont="1" applyFill="1" applyBorder="1"/>
    <xf numFmtId="0" fontId="106" fillId="21" borderId="8" xfId="0" applyFont="1" applyFill="1" applyBorder="1" applyAlignment="1">
      <alignment vertical="center"/>
    </xf>
    <xf numFmtId="0" fontId="106" fillId="21" borderId="8" xfId="0" applyNumberFormat="1" applyFont="1" applyFill="1" applyBorder="1" applyAlignment="1">
      <alignment horizontal="right" vertical="center"/>
    </xf>
    <xf numFmtId="182" fontId="107" fillId="0" borderId="0" xfId="3" applyNumberFormat="1" applyFont="1" applyAlignment="1">
      <alignment vertical="center"/>
    </xf>
    <xf numFmtId="0" fontId="106" fillId="21" borderId="0" xfId="0" applyNumberFormat="1" applyFont="1" applyFill="1" applyBorder="1" applyAlignment="1">
      <alignment vertical="center"/>
    </xf>
    <xf numFmtId="0" fontId="108" fillId="21" borderId="19" xfId="0" applyFont="1" applyFill="1" applyBorder="1" applyAlignment="1">
      <alignment horizontal="center" vertical="center" wrapText="1"/>
    </xf>
    <xf numFmtId="0" fontId="106" fillId="21" borderId="58" xfId="0" applyNumberFormat="1" applyFont="1" applyFill="1" applyBorder="1" applyAlignment="1">
      <alignment horizontal="right" vertical="center"/>
    </xf>
    <xf numFmtId="0" fontId="106" fillId="21" borderId="8" xfId="0" applyNumberFormat="1" applyFont="1" applyFill="1" applyBorder="1" applyAlignment="1">
      <alignment horizontal="center" vertical="center"/>
    </xf>
    <xf numFmtId="0" fontId="79" fillId="21" borderId="0" xfId="8" applyNumberFormat="1" applyFont="1" applyFill="1" applyBorder="1" applyAlignment="1">
      <alignment horizontal="left"/>
    </xf>
    <xf numFmtId="0" fontId="109" fillId="0" borderId="0" xfId="0" applyFont="1" applyFill="1"/>
    <xf numFmtId="0" fontId="110" fillId="21" borderId="0" xfId="8" applyNumberFormat="1" applyFont="1" applyFill="1" applyBorder="1"/>
    <xf numFmtId="0" fontId="110" fillId="21" borderId="29" xfId="8" applyNumberFormat="1" applyFont="1" applyFill="1" applyBorder="1"/>
    <xf numFmtId="0" fontId="110" fillId="0" borderId="0" xfId="8" applyNumberFormat="1" applyFont="1"/>
    <xf numFmtId="0" fontId="106"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1" fillId="21" borderId="87" xfId="0" applyFont="1" applyFill="1" applyBorder="1" applyAlignment="1">
      <alignment vertical="center"/>
    </xf>
    <xf numFmtId="0" fontId="111" fillId="21" borderId="88" xfId="0" applyFont="1" applyFill="1" applyBorder="1" applyAlignment="1">
      <alignment vertical="center"/>
    </xf>
    <xf numFmtId="0" fontId="79" fillId="21" borderId="89" xfId="0" applyNumberFormat="1" applyFont="1" applyFill="1" applyBorder="1" applyAlignment="1">
      <alignment vertical="center"/>
    </xf>
    <xf numFmtId="0" fontId="79" fillId="21" borderId="89" xfId="0" applyFont="1" applyFill="1" applyBorder="1" applyAlignment="1">
      <alignment vertical="center"/>
    </xf>
    <xf numFmtId="9" fontId="79" fillId="21" borderId="90" xfId="0" applyNumberFormat="1" applyFont="1" applyFill="1" applyBorder="1" applyAlignment="1">
      <alignment vertical="center"/>
    </xf>
    <xf numFmtId="0" fontId="79" fillId="21" borderId="0" xfId="0" applyNumberFormat="1" applyFont="1" applyFill="1" applyBorder="1" applyAlignment="1">
      <alignment vertical="center"/>
    </xf>
    <xf numFmtId="0" fontId="79" fillId="21" borderId="0" xfId="0" applyFont="1" applyFill="1" applyBorder="1" applyAlignment="1">
      <alignment vertical="center"/>
    </xf>
    <xf numFmtId="9" fontId="79" fillId="21" borderId="0" xfId="0" applyNumberFormat="1" applyFont="1" applyFill="1" applyBorder="1" applyAlignment="1">
      <alignment vertical="center"/>
    </xf>
    <xf numFmtId="172" fontId="79" fillId="21" borderId="0" xfId="1" applyNumberFormat="1" applyFont="1" applyFill="1" applyBorder="1" applyAlignment="1">
      <alignment vertical="center"/>
    </xf>
    <xf numFmtId="0" fontId="79" fillId="0" borderId="0" xfId="12" applyFont="1"/>
    <xf numFmtId="0" fontId="79" fillId="21" borderId="0" xfId="12" applyFont="1" applyFill="1"/>
    <xf numFmtId="0" fontId="106"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79" fillId="0" borderId="0" xfId="12" applyFont="1" applyFill="1" applyBorder="1"/>
    <xf numFmtId="0" fontId="105"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6"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6" fillId="21" borderId="10" xfId="0" applyNumberFormat="1" applyFont="1" applyFill="1" applyBorder="1" applyAlignment="1">
      <alignment horizontal="right" vertical="center"/>
    </xf>
    <xf numFmtId="1" fontId="106"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6" fillId="21" borderId="11" xfId="0" applyNumberFormat="1" applyFont="1" applyFill="1" applyBorder="1" applyAlignment="1">
      <alignment horizontal="right" vertical="center"/>
    </xf>
    <xf numFmtId="1" fontId="106"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2" fillId="21" borderId="15" xfId="3" applyNumberFormat="1" applyFont="1" applyFill="1" applyBorder="1" applyAlignment="1">
      <alignment vertical="center"/>
    </xf>
    <xf numFmtId="168" fontId="112"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2" fillId="21" borderId="25" xfId="3" applyNumberFormat="1" applyFont="1" applyFill="1" applyBorder="1" applyAlignment="1">
      <alignment horizontal="right" vertical="center"/>
    </xf>
    <xf numFmtId="168" fontId="112" fillId="21" borderId="13" xfId="3" applyNumberFormat="1" applyFont="1" applyFill="1" applyBorder="1" applyAlignment="1">
      <alignment horizontal="right" vertical="center"/>
    </xf>
    <xf numFmtId="0" fontId="110" fillId="0" borderId="0" xfId="8" applyNumberFormat="1" applyFont="1" applyFill="1" applyBorder="1"/>
    <xf numFmtId="168" fontId="112" fillId="21" borderId="0" xfId="3" applyNumberFormat="1" applyFont="1" applyFill="1" applyBorder="1" applyAlignment="1">
      <alignment horizontal="right" vertical="center"/>
    </xf>
    <xf numFmtId="1" fontId="106" fillId="21" borderId="8" xfId="1" applyNumberFormat="1" applyFont="1" applyFill="1" applyBorder="1" applyAlignment="1">
      <alignment horizontal="right" vertical="center"/>
    </xf>
    <xf numFmtId="1" fontId="106"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5" fillId="0" borderId="0" xfId="0" applyFont="1"/>
    <xf numFmtId="0" fontId="106" fillId="0" borderId="0" xfId="0" applyFont="1"/>
    <xf numFmtId="0" fontId="106" fillId="0" borderId="0" xfId="0" applyFont="1" applyAlignment="1">
      <alignment horizontal="center"/>
    </xf>
    <xf numFmtId="0" fontId="113" fillId="0" borderId="0" xfId="0" applyFont="1"/>
    <xf numFmtId="169" fontId="10" fillId="0" borderId="0" xfId="1" applyNumberFormat="1" applyFont="1" applyAlignment="1">
      <alignment horizontal="right"/>
    </xf>
    <xf numFmtId="0" fontId="107" fillId="0" borderId="0" xfId="0" applyFont="1" applyAlignment="1">
      <alignment horizontal="right"/>
    </xf>
    <xf numFmtId="0" fontId="107" fillId="0" borderId="0" xfId="0" applyFont="1"/>
    <xf numFmtId="11" fontId="107" fillId="0" borderId="0" xfId="0" applyNumberFormat="1" applyFont="1"/>
    <xf numFmtId="0" fontId="106" fillId="0" borderId="0" xfId="0" quotePrefix="1" applyFont="1" applyAlignment="1">
      <alignment horizontal="right"/>
    </xf>
    <xf numFmtId="166" fontId="106" fillId="0" borderId="0" xfId="1" applyNumberFormat="1" applyFont="1" applyAlignment="1">
      <alignment horizontal="right"/>
    </xf>
    <xf numFmtId="164" fontId="106"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6" fillId="18" borderId="0" xfId="0" applyFont="1" applyFill="1" applyBorder="1"/>
    <xf numFmtId="0" fontId="79" fillId="18" borderId="0" xfId="0" applyFont="1" applyFill="1" applyBorder="1" applyAlignment="1">
      <alignment vertical="center"/>
    </xf>
    <xf numFmtId="0" fontId="105" fillId="23" borderId="3" xfId="0" applyFont="1" applyFill="1" applyBorder="1" applyAlignment="1">
      <alignment horizontal="left" vertical="center" indent="1"/>
    </xf>
    <xf numFmtId="0" fontId="105" fillId="23" borderId="4" xfId="0" applyFont="1" applyFill="1" applyBorder="1" applyAlignment="1">
      <alignment vertical="center"/>
    </xf>
    <xf numFmtId="0" fontId="54" fillId="0" borderId="0" xfId="0" applyFont="1"/>
    <xf numFmtId="0" fontId="106" fillId="24" borderId="0" xfId="0" applyFont="1" applyFill="1" applyBorder="1"/>
    <xf numFmtId="0" fontId="106" fillId="24" borderId="0" xfId="0" applyFont="1" applyFill="1" applyBorder="1" applyAlignment="1">
      <alignment horizontal="right"/>
    </xf>
    <xf numFmtId="0" fontId="54" fillId="24" borderId="6" xfId="0" applyFont="1" applyFill="1" applyBorder="1"/>
    <xf numFmtId="0" fontId="106" fillId="24" borderId="12" xfId="0" applyFont="1" applyFill="1" applyBorder="1" applyAlignment="1">
      <alignment vertical="center"/>
    </xf>
    <xf numFmtId="0" fontId="54" fillId="24" borderId="0" xfId="0" applyFont="1" applyFill="1" applyBorder="1"/>
    <xf numFmtId="0" fontId="106" fillId="24" borderId="0" xfId="0" applyFont="1" applyFill="1" applyBorder="1" applyAlignment="1">
      <alignment vertical="center"/>
    </xf>
    <xf numFmtId="0" fontId="0" fillId="24" borderId="0" xfId="0" applyFont="1" applyFill="1" applyBorder="1" applyAlignment="1">
      <alignment horizontal="left" vertical="center"/>
    </xf>
    <xf numFmtId="164" fontId="106"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5" fillId="26" borderId="3" xfId="0" applyFont="1" applyFill="1" applyBorder="1" applyAlignment="1">
      <alignment horizontal="left" vertical="center" indent="1"/>
    </xf>
    <xf numFmtId="0" fontId="105" fillId="26" borderId="4" xfId="0" applyFont="1" applyFill="1" applyBorder="1" applyAlignment="1">
      <alignment vertical="center"/>
    </xf>
    <xf numFmtId="0" fontId="106" fillId="27" borderId="0" xfId="0" applyFont="1" applyFill="1" applyBorder="1"/>
    <xf numFmtId="0" fontId="54" fillId="27" borderId="6" xfId="0" applyFont="1" applyFill="1" applyBorder="1"/>
    <xf numFmtId="0" fontId="106" fillId="27" borderId="12" xfId="0" applyFont="1" applyFill="1" applyBorder="1" applyAlignment="1">
      <alignment vertical="center"/>
    </xf>
    <xf numFmtId="0" fontId="54" fillId="27" borderId="18" xfId="0" applyFont="1" applyFill="1" applyBorder="1"/>
    <xf numFmtId="0" fontId="106" fillId="27" borderId="0" xfId="0" applyFont="1" applyFill="1"/>
    <xf numFmtId="0" fontId="106" fillId="27" borderId="0" xfId="0" applyFont="1" applyFill="1" applyAlignment="1">
      <alignment horizontal="right"/>
    </xf>
    <xf numFmtId="0" fontId="106"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4" fillId="0" borderId="0" xfId="0" applyFont="1"/>
    <xf numFmtId="0" fontId="115" fillId="0" borderId="0" xfId="0" applyFont="1" applyAlignment="1">
      <alignment vertical="center"/>
    </xf>
    <xf numFmtId="0" fontId="3" fillId="18" borderId="17" xfId="0" applyFont="1" applyFill="1" applyBorder="1"/>
    <xf numFmtId="0" fontId="0" fillId="0" borderId="0" xfId="0"/>
    <xf numFmtId="166" fontId="72"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6"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7" fillId="0" borderId="0" xfId="17" applyFont="1" applyAlignment="1">
      <alignment vertical="center"/>
    </xf>
    <xf numFmtId="0" fontId="117" fillId="0" borderId="0" xfId="17" applyFont="1" applyAlignment="1">
      <alignment horizontal="left" vertical="center" wrapText="1"/>
    </xf>
    <xf numFmtId="0" fontId="118" fillId="55" borderId="263" xfId="17" applyFont="1" applyFill="1" applyBorder="1" applyAlignment="1">
      <alignment vertical="center"/>
    </xf>
    <xf numFmtId="0" fontId="118" fillId="55" borderId="264"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8" fillId="55" borderId="7" xfId="17" applyFont="1" applyFill="1" applyBorder="1" applyAlignment="1">
      <alignment vertical="center"/>
    </xf>
    <xf numFmtId="0" fontId="118"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19" fillId="0" borderId="0" xfId="17" applyFont="1" applyAlignment="1">
      <alignment vertical="center"/>
    </xf>
    <xf numFmtId="0" fontId="120" fillId="3" borderId="1" xfId="18" applyFont="1" applyAlignment="1">
      <alignment horizontal="left" vertical="center" indent="1"/>
    </xf>
    <xf numFmtId="190" fontId="24" fillId="0" borderId="0" xfId="17" applyNumberFormat="1" applyAlignment="1">
      <alignment vertical="center"/>
    </xf>
    <xf numFmtId="0" fontId="119"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2"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5" fillId="21" borderId="0" xfId="19" applyNumberFormat="1" applyFont="1" applyFill="1" applyBorder="1" applyAlignment="1">
      <alignment vertical="center"/>
    </xf>
    <xf numFmtId="172" fontId="78" fillId="21" borderId="20" xfId="19" applyNumberFormat="1" applyFont="1" applyFill="1" applyBorder="1" applyAlignment="1">
      <alignment horizontal="right" vertical="center"/>
    </xf>
    <xf numFmtId="166" fontId="78"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5"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8"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5"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6" xfId="19" applyNumberFormat="1" applyFont="1" applyFill="1" applyBorder="1" applyAlignment="1">
      <alignment vertical="center"/>
    </xf>
    <xf numFmtId="164" fontId="0" fillId="0" borderId="0" xfId="19" applyFont="1"/>
    <xf numFmtId="168" fontId="0" fillId="0" borderId="0" xfId="20" applyFont="1"/>
    <xf numFmtId="196" fontId="87" fillId="33" borderId="160" xfId="11" applyNumberFormat="1" applyFont="1" applyFill="1" applyBorder="1" applyAlignment="1">
      <alignment horizontal="center"/>
    </xf>
    <xf numFmtId="196" fontId="88" fillId="0" borderId="141"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1"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6"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6"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6"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6"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3" fillId="0" borderId="0" xfId="20" applyNumberFormat="1" applyFont="1" applyAlignment="1">
      <alignment horizontal="right"/>
    </xf>
    <xf numFmtId="168" fontId="83"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8"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7" xfId="0" applyFont="1" applyFill="1" applyBorder="1"/>
    <xf numFmtId="0" fontId="0" fillId="21" borderId="269"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0"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7" xfId="12" applyFont="1" applyFill="1" applyBorder="1"/>
    <xf numFmtId="0" fontId="24" fillId="21" borderId="269"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0"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0"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4"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2"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6" xfId="0" applyFill="1" applyBorder="1"/>
    <xf numFmtId="0" fontId="0" fillId="19" borderId="160" xfId="0" applyFill="1" applyBorder="1"/>
    <xf numFmtId="0" fontId="0" fillId="19" borderId="271" xfId="0" applyFill="1" applyBorder="1"/>
    <xf numFmtId="0" fontId="0" fillId="19" borderId="132" xfId="0" applyFill="1" applyBorder="1"/>
    <xf numFmtId="0" fontId="0" fillId="19" borderId="61" xfId="0" applyFill="1" applyBorder="1"/>
    <xf numFmtId="0" fontId="0" fillId="19" borderId="272"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3"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69"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4" fillId="49" borderId="24" xfId="171" applyNumberFormat="1" applyFont="1" applyFill="1" applyBorder="1" applyAlignment="1">
      <alignment horizontal="right" vertical="center"/>
    </xf>
    <xf numFmtId="168" fontId="124"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7"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3" fillId="0" borderId="0" xfId="0" applyFont="1"/>
    <xf numFmtId="174" fontId="11" fillId="0" borderId="0" xfId="0" applyNumberFormat="1" applyFont="1"/>
    <xf numFmtId="0" fontId="126"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5" xfId="0" applyFont="1" applyFill="1" applyBorder="1"/>
    <xf numFmtId="0" fontId="25" fillId="48" borderId="116" xfId="0" applyFont="1" applyFill="1" applyBorder="1"/>
    <xf numFmtId="0" fontId="25" fillId="48" borderId="117"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0"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7"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7"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7"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3" xfId="0" applyNumberFormat="1" applyFont="1" applyFill="1" applyBorder="1"/>
    <xf numFmtId="164" fontId="32" fillId="18" borderId="23" xfId="1" applyNumberFormat="1" applyFont="1" applyFill="1" applyBorder="1" applyAlignment="1">
      <alignment vertical="center"/>
    </xf>
    <xf numFmtId="0" fontId="13" fillId="21" borderId="274"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5" xfId="0" applyFont="1" applyFill="1" applyBorder="1"/>
    <xf numFmtId="1" fontId="32" fillId="21" borderId="10" xfId="1" applyNumberFormat="1" applyFont="1" applyFill="1" applyBorder="1" applyAlignment="1">
      <alignment horizontal="right" vertical="center"/>
    </xf>
    <xf numFmtId="1" fontId="0" fillId="21" borderId="267"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7" xfId="0" applyFont="1" applyFill="1" applyBorder="1"/>
    <xf numFmtId="0" fontId="51" fillId="0" borderId="0" xfId="0" applyFont="1"/>
    <xf numFmtId="0" fontId="127" fillId="0" borderId="0" xfId="0" applyFont="1"/>
    <xf numFmtId="164" fontId="0" fillId="48" borderId="276" xfId="0" applyNumberFormat="1" applyFill="1" applyBorder="1"/>
    <xf numFmtId="0" fontId="0" fillId="48" borderId="115"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5"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8"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29"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7"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0"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1"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1" fillId="18" borderId="0" xfId="0" applyFont="1" applyFill="1" applyBorder="1" applyAlignment="1">
      <alignment horizontal="right" vertical="center"/>
    </xf>
    <xf numFmtId="0" fontId="131"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2" fillId="18" borderId="0" xfId="8" applyNumberFormat="1" applyFont="1" applyFill="1" applyBorder="1"/>
    <xf numFmtId="164" fontId="17" fillId="18" borderId="7" xfId="8" applyNumberFormat="1" applyFill="1" applyBorder="1"/>
    <xf numFmtId="164" fontId="133" fillId="18" borderId="0" xfId="8" applyNumberFormat="1" applyFont="1" applyFill="1" applyBorder="1"/>
    <xf numFmtId="0" fontId="132" fillId="18" borderId="0" xfId="8" applyNumberFormat="1" applyFont="1" applyFill="1" applyBorder="1"/>
    <xf numFmtId="164" fontId="0" fillId="18" borderId="0" xfId="19" applyFont="1" applyFill="1" applyBorder="1"/>
    <xf numFmtId="164" fontId="131" fillId="18" borderId="0" xfId="19" applyFont="1" applyFill="1" applyBorder="1"/>
    <xf numFmtId="164" fontId="0" fillId="18" borderId="7" xfId="19" applyFont="1" applyFill="1" applyBorder="1"/>
    <xf numFmtId="0" fontId="14" fillId="18" borderId="0" xfId="0" applyFont="1" applyFill="1" applyBorder="1"/>
    <xf numFmtId="164" fontId="134"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4" fillId="18" borderId="0" xfId="19" applyFont="1" applyFill="1" applyBorder="1"/>
    <xf numFmtId="164" fontId="9" fillId="18" borderId="7" xfId="19" applyFont="1" applyFill="1" applyBorder="1"/>
    <xf numFmtId="0" fontId="20" fillId="18" borderId="6" xfId="0" applyFont="1" applyFill="1" applyBorder="1"/>
    <xf numFmtId="0" fontId="135" fillId="18" borderId="0" xfId="0" applyFont="1" applyFill="1" applyBorder="1"/>
    <xf numFmtId="0" fontId="20" fillId="18" borderId="0" xfId="0" applyFont="1" applyFill="1" applyBorder="1"/>
    <xf numFmtId="164" fontId="20" fillId="18" borderId="0" xfId="19" applyFont="1" applyFill="1" applyBorder="1"/>
    <xf numFmtId="164" fontId="136" fillId="18" borderId="0" xfId="19" applyFont="1" applyFill="1" applyBorder="1"/>
    <xf numFmtId="164" fontId="20" fillId="18" borderId="7" xfId="19" applyFont="1" applyFill="1" applyBorder="1"/>
    <xf numFmtId="0" fontId="17" fillId="18" borderId="0" xfId="8" applyNumberFormat="1" applyFont="1" applyFill="1" applyBorder="1"/>
    <xf numFmtId="0" fontId="136"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4"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4"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1"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1"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2"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4" fillId="28" borderId="0" xfId="19" applyFont="1" applyFill="1" applyBorder="1" applyAlignment="1">
      <alignment vertical="center"/>
    </xf>
    <xf numFmtId="164" fontId="0" fillId="28" borderId="7" xfId="19" applyFont="1" applyFill="1" applyBorder="1" applyAlignment="1">
      <alignment vertical="center"/>
    </xf>
    <xf numFmtId="0" fontId="131" fillId="28" borderId="0" xfId="0" applyFont="1" applyFill="1" applyBorder="1"/>
    <xf numFmtId="0" fontId="20" fillId="28" borderId="6" xfId="0" applyFont="1" applyFill="1" applyBorder="1"/>
    <xf numFmtId="0" fontId="136"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6"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1" fillId="0" borderId="0" xfId="0" applyFont="1" applyFill="1" applyBorder="1"/>
    <xf numFmtId="164" fontId="0" fillId="0" borderId="0" xfId="19" applyFont="1" applyFill="1" applyBorder="1"/>
    <xf numFmtId="164" fontId="131" fillId="0" borderId="0" xfId="19" applyFont="1" applyFill="1" applyBorder="1"/>
    <xf numFmtId="164" fontId="0" fillId="0" borderId="7" xfId="19" applyFont="1" applyFill="1" applyBorder="1"/>
    <xf numFmtId="164" fontId="17" fillId="0" borderId="0" xfId="8" applyNumberFormat="1" applyFill="1" applyBorder="1"/>
    <xf numFmtId="164" fontId="132"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4"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1"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1"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4" fillId="28" borderId="0" xfId="19" applyFont="1" applyFill="1" applyBorder="1"/>
    <xf numFmtId="0" fontId="9" fillId="28" borderId="0" xfId="0" applyFont="1" applyFill="1" applyBorder="1"/>
    <xf numFmtId="164" fontId="24" fillId="28" borderId="0" xfId="19" applyFont="1" applyFill="1" applyBorder="1"/>
    <xf numFmtId="0" fontId="131" fillId="28" borderId="56" xfId="0" applyFont="1" applyFill="1" applyBorder="1"/>
    <xf numFmtId="164" fontId="0" fillId="28" borderId="38" xfId="19" applyFont="1" applyFill="1" applyBorder="1" applyAlignment="1">
      <alignment vertical="center"/>
    </xf>
    <xf numFmtId="0" fontId="131" fillId="28" borderId="0" xfId="8" applyNumberFormat="1" applyFont="1" applyFill="1" applyBorder="1"/>
    <xf numFmtId="0" fontId="134" fillId="28" borderId="20" xfId="0" applyFont="1" applyFill="1" applyBorder="1"/>
    <xf numFmtId="179" fontId="134" fillId="28" borderId="20" xfId="0" applyNumberFormat="1" applyFont="1" applyFill="1" applyBorder="1"/>
    <xf numFmtId="0" fontId="131" fillId="0" borderId="0" xfId="0" applyFont="1"/>
    <xf numFmtId="0" fontId="31" fillId="32" borderId="3" xfId="0" applyFont="1" applyFill="1" applyBorder="1" applyAlignment="1">
      <alignment horizontal="left" vertical="center" indent="1"/>
    </xf>
    <xf numFmtId="0" fontId="0" fillId="32" borderId="4" xfId="0" applyFill="1" applyBorder="1"/>
    <xf numFmtId="0" fontId="131"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1"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2"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1"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4" fillId="37" borderId="0" xfId="20" applyNumberFormat="1" applyFont="1" applyFill="1" applyBorder="1"/>
    <xf numFmtId="168" fontId="131"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6"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5" fillId="37" borderId="0" xfId="0" applyFont="1" applyFill="1" applyAlignment="1">
      <alignment vertical="center"/>
    </xf>
    <xf numFmtId="0" fontId="131"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4"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1"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6" fillId="37" borderId="0" xfId="0" applyFont="1" applyFill="1" applyBorder="1"/>
    <xf numFmtId="1" fontId="20" fillId="37" borderId="0" xfId="0" applyNumberFormat="1" applyFont="1" applyFill="1" applyBorder="1"/>
    <xf numFmtId="1" fontId="0" fillId="37" borderId="0" xfId="0" applyNumberFormat="1" applyFill="1" applyBorder="1"/>
    <xf numFmtId="165" fontId="131" fillId="37" borderId="0" xfId="19" applyNumberFormat="1" applyFont="1" applyFill="1" applyBorder="1"/>
    <xf numFmtId="165" fontId="0" fillId="37" borderId="0" xfId="19" applyNumberFormat="1" applyFont="1" applyFill="1" applyBorder="1"/>
    <xf numFmtId="165" fontId="131" fillId="37" borderId="0" xfId="0" applyNumberFormat="1" applyFont="1" applyFill="1" applyBorder="1"/>
    <xf numFmtId="165" fontId="9" fillId="37" borderId="0" xfId="0" applyNumberFormat="1" applyFont="1" applyFill="1" applyBorder="1"/>
    <xf numFmtId="165" fontId="134" fillId="37" borderId="0" xfId="0" applyNumberFormat="1" applyFont="1" applyFill="1" applyBorder="1"/>
    <xf numFmtId="165" fontId="20" fillId="37" borderId="0" xfId="19" applyNumberFormat="1" applyFont="1" applyFill="1" applyBorder="1"/>
    <xf numFmtId="165" fontId="136" fillId="37" borderId="0" xfId="19" applyNumberFormat="1" applyFont="1" applyFill="1" applyBorder="1"/>
    <xf numFmtId="165" fontId="20" fillId="37" borderId="0" xfId="0" applyNumberFormat="1" applyFont="1" applyFill="1" applyBorder="1"/>
    <xf numFmtId="0" fontId="77"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1"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1" fillId="37" borderId="17" xfId="0" applyFont="1" applyFill="1" applyBorder="1"/>
    <xf numFmtId="0" fontId="0" fillId="37" borderId="29" xfId="0" applyFill="1" applyBorder="1"/>
    <xf numFmtId="0" fontId="137" fillId="37" borderId="0" xfId="12" applyFont="1" applyFill="1" applyBorder="1" applyAlignment="1">
      <alignment horizontal="center" vertical="center"/>
    </xf>
    <xf numFmtId="0" fontId="27" fillId="37" borderId="0" xfId="12" applyFont="1" applyFill="1"/>
    <xf numFmtId="0" fontId="0" fillId="37" borderId="0" xfId="0" applyFill="1"/>
    <xf numFmtId="0" fontId="131" fillId="37" borderId="0" xfId="0" applyFont="1" applyFill="1"/>
    <xf numFmtId="0" fontId="11" fillId="37" borderId="0" xfId="0" applyFont="1" applyFill="1" applyBorder="1"/>
    <xf numFmtId="165" fontId="27" fillId="37" borderId="0" xfId="19" applyNumberFormat="1" applyFont="1" applyFill="1"/>
    <xf numFmtId="0" fontId="61"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1" fillId="37" borderId="0" xfId="0" applyFont="1" applyFill="1" applyBorder="1" applyAlignment="1">
      <alignment horizontal="right" vertical="center"/>
    </xf>
    <xf numFmtId="168" fontId="61"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1" fillId="37" borderId="0" xfId="20" applyNumberFormat="1" applyFont="1" applyFill="1" applyBorder="1" applyAlignment="1">
      <alignment vertical="center"/>
    </xf>
    <xf numFmtId="0" fontId="61" fillId="37" borderId="0" xfId="0" applyFont="1" applyFill="1" applyBorder="1" applyAlignment="1">
      <alignment vertical="center"/>
    </xf>
    <xf numFmtId="1" fontId="61"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7"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8"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8"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7" fillId="22" borderId="0" xfId="0" applyFont="1" applyFill="1" applyBorder="1"/>
    <xf numFmtId="165" fontId="77"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7" fillId="22" borderId="0" xfId="12" applyFont="1" applyFill="1"/>
    <xf numFmtId="0" fontId="137"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8"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8"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8"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0" xfId="0" applyNumberFormat="1" applyFill="1" applyBorder="1"/>
    <xf numFmtId="164" fontId="0" fillId="24" borderId="281"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7" xfId="0" applyNumberFormat="1" applyFill="1" applyBorder="1"/>
    <xf numFmtId="0" fontId="0" fillId="24" borderId="278" xfId="0" applyNumberFormat="1" applyFill="1" applyBorder="1"/>
    <xf numFmtId="0" fontId="0" fillId="24" borderId="279"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3"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3"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3"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8" fillId="19" borderId="151"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8" fillId="33" borderId="182" xfId="11" applyNumberFormat="1" applyFont="1" applyFill="1" applyBorder="1" applyAlignment="1">
      <alignment horizontal="center"/>
    </xf>
    <xf numFmtId="38" fontId="88" fillId="33" borderId="149"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8" fillId="33" borderId="148"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7" fillId="33" borderId="140" xfId="11" applyNumberFormat="1" applyFont="1" applyFill="1" applyBorder="1" applyAlignment="1">
      <alignment horizontal="center"/>
    </xf>
    <xf numFmtId="40" fontId="87" fillId="0" borderId="164" xfId="11" applyNumberFormat="1" applyFont="1" applyFill="1" applyBorder="1" applyAlignment="1">
      <alignment horizontal="center"/>
    </xf>
    <xf numFmtId="0" fontId="0" fillId="0" borderId="0" xfId="0"/>
    <xf numFmtId="197" fontId="88" fillId="19" borderId="203" xfId="11" applyNumberFormat="1" applyFont="1" applyFill="1" applyBorder="1" applyAlignment="1">
      <alignment horizontal="center"/>
    </xf>
    <xf numFmtId="197" fontId="88" fillId="19" borderId="186" xfId="11" applyNumberFormat="1" applyFont="1" applyFill="1" applyBorder="1" applyAlignment="1">
      <alignment horizontal="center"/>
    </xf>
    <xf numFmtId="197" fontId="88" fillId="19" borderId="151"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5" fillId="21" borderId="0" xfId="19" applyFont="1" applyFill="1" applyBorder="1" applyAlignment="1">
      <alignment vertical="center"/>
    </xf>
    <xf numFmtId="164" fontId="65" fillId="21" borderId="0" xfId="19" applyFont="1" applyFill="1" applyBorder="1" applyAlignment="1">
      <alignment horizontal="right" vertical="center"/>
    </xf>
    <xf numFmtId="164" fontId="65"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39"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0" fillId="24" borderId="0" xfId="0" applyFont="1" applyFill="1" applyAlignment="1">
      <alignment vertical="center"/>
    </xf>
    <xf numFmtId="164" fontId="141" fillId="24" borderId="0" xfId="0" applyNumberFormat="1" applyFont="1" applyFill="1" applyAlignment="1">
      <alignment vertical="center"/>
    </xf>
    <xf numFmtId="0" fontId="140" fillId="24" borderId="0" xfId="0" applyNumberFormat="1" applyFont="1" applyFill="1" applyAlignment="1">
      <alignment vertical="center"/>
    </xf>
    <xf numFmtId="165" fontId="140"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5"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7" fillId="19" borderId="164" xfId="11" applyNumberFormat="1" applyFont="1" applyFill="1" applyBorder="1" applyAlignment="1">
      <alignment horizontal="center"/>
    </xf>
    <xf numFmtId="40" fontId="88" fillId="19" borderId="206" xfId="11" applyNumberFormat="1" applyFont="1" applyFill="1" applyBorder="1" applyAlignment="1">
      <alignment horizontal="center"/>
    </xf>
    <xf numFmtId="40" fontId="87" fillId="19" borderId="160" xfId="11" applyNumberFormat="1" applyFont="1" applyFill="1" applyBorder="1" applyAlignment="1">
      <alignment horizontal="center"/>
    </xf>
    <xf numFmtId="40" fontId="87" fillId="0" borderId="224" xfId="11" applyNumberFormat="1" applyFont="1" applyFill="1" applyBorder="1" applyAlignment="1">
      <alignment horizontal="center"/>
    </xf>
    <xf numFmtId="40" fontId="88" fillId="0" borderId="178" xfId="11" applyNumberFormat="1" applyFont="1" applyFill="1" applyBorder="1" applyAlignment="1">
      <alignment horizontal="center"/>
    </xf>
    <xf numFmtId="40" fontId="88" fillId="0" borderId="143" xfId="11" applyNumberFormat="1" applyFont="1" applyFill="1" applyBorder="1" applyAlignment="1">
      <alignment horizontal="center"/>
    </xf>
    <xf numFmtId="40" fontId="88" fillId="0" borderId="232" xfId="11" applyNumberFormat="1" applyFont="1" applyFill="1" applyBorder="1" applyAlignment="1">
      <alignment horizontal="center"/>
    </xf>
    <xf numFmtId="40" fontId="88" fillId="0" borderId="0" xfId="11" applyNumberFormat="1" applyFont="1" applyFill="1" applyBorder="1" applyAlignment="1">
      <alignment horizontal="center"/>
    </xf>
    <xf numFmtId="40" fontId="88" fillId="0" borderId="188" xfId="11" applyNumberFormat="1" applyFont="1" applyFill="1" applyBorder="1" applyAlignment="1">
      <alignment horizontal="center"/>
    </xf>
    <xf numFmtId="40" fontId="87" fillId="0" borderId="11" xfId="11" applyNumberFormat="1" applyFont="1" applyFill="1" applyBorder="1" applyAlignment="1">
      <alignment horizontal="center"/>
    </xf>
    <xf numFmtId="40" fontId="88" fillId="0" borderId="240" xfId="11" applyNumberFormat="1" applyFont="1" applyFill="1" applyBorder="1" applyAlignment="1">
      <alignment horizontal="center"/>
    </xf>
    <xf numFmtId="40" fontId="87" fillId="0" borderId="201" xfId="11" applyNumberFormat="1" applyFont="1" applyFill="1" applyBorder="1" applyAlignment="1">
      <alignment horizontal="center"/>
    </xf>
    <xf numFmtId="40" fontId="87" fillId="0" borderId="10" xfId="11" applyNumberFormat="1" applyFont="1" applyFill="1" applyBorder="1" applyAlignment="1">
      <alignment horizontal="center"/>
    </xf>
    <xf numFmtId="40" fontId="87" fillId="0" borderId="216"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1" xfId="0" applyFont="1" applyFill="1" applyBorder="1"/>
    <xf numFmtId="0" fontId="0" fillId="24" borderId="122" xfId="0" applyFont="1" applyFill="1" applyBorder="1"/>
    <xf numFmtId="0" fontId="0" fillId="24" borderId="123" xfId="0" applyFont="1" applyFill="1" applyBorder="1"/>
    <xf numFmtId="0" fontId="0" fillId="24" borderId="124" xfId="0" applyNumberFormat="1" applyFont="1" applyFill="1" applyBorder="1"/>
    <xf numFmtId="0" fontId="0" fillId="24" borderId="124"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1" fillId="24" borderId="102" xfId="0" applyFont="1" applyFill="1" applyBorder="1"/>
    <xf numFmtId="0" fontId="111" fillId="24" borderId="282" xfId="0" applyFont="1" applyFill="1" applyBorder="1"/>
    <xf numFmtId="0" fontId="130"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4"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1" fillId="37" borderId="0" xfId="3" applyFont="1" applyFill="1" applyBorder="1"/>
    <xf numFmtId="9" fontId="3" fillId="37" borderId="0" xfId="3" applyFont="1" applyFill="1" applyBorder="1"/>
    <xf numFmtId="2" fontId="0" fillId="37" borderId="0" xfId="0" applyNumberFormat="1" applyFill="1" applyBorder="1"/>
    <xf numFmtId="2" fontId="131" fillId="37" borderId="0" xfId="0" applyNumberFormat="1" applyFont="1" applyFill="1" applyBorder="1"/>
    <xf numFmtId="2" fontId="3" fillId="37" borderId="0" xfId="0" applyNumberFormat="1" applyFont="1" applyFill="1" applyBorder="1"/>
    <xf numFmtId="2" fontId="134"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3"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5" fillId="19" borderId="0" xfId="0" applyNumberFormat="1" applyFont="1" applyFill="1"/>
    <xf numFmtId="164" fontId="9" fillId="0" borderId="0" xfId="1" applyNumberFormat="1" applyFont="1" applyFill="1" applyAlignment="1">
      <alignment vertical="center"/>
    </xf>
    <xf numFmtId="0" fontId="108"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2" fillId="0" borderId="20" xfId="19" applyFont="1" applyBorder="1" applyAlignment="1">
      <alignment horizontal="right"/>
    </xf>
    <xf numFmtId="164" fontId="72" fillId="0" borderId="0" xfId="19" applyFont="1" applyBorder="1" applyAlignment="1">
      <alignment horizontal="right"/>
    </xf>
    <xf numFmtId="1" fontId="0" fillId="0" borderId="0" xfId="19" applyNumberFormat="1" applyFont="1" applyAlignment="1">
      <alignment vertical="center"/>
    </xf>
    <xf numFmtId="0" fontId="140" fillId="24" borderId="0" xfId="0" applyFont="1" applyFill="1" applyAlignment="1">
      <alignment horizontal="left" vertical="center"/>
    </xf>
    <xf numFmtId="164" fontId="140" fillId="24" borderId="0" xfId="0" applyNumberFormat="1" applyFont="1" applyFill="1" applyAlignment="1">
      <alignment vertical="center"/>
    </xf>
    <xf numFmtId="164" fontId="0" fillId="24" borderId="283" xfId="0" applyNumberFormat="1" applyFont="1" applyFill="1" applyBorder="1"/>
    <xf numFmtId="164" fontId="0" fillId="24" borderId="284" xfId="0" applyNumberFormat="1" applyFont="1" applyFill="1" applyBorder="1"/>
    <xf numFmtId="0" fontId="11" fillId="24" borderId="118" xfId="0" applyFont="1" applyFill="1" applyBorder="1"/>
    <xf numFmtId="0" fontId="11" fillId="24" borderId="119" xfId="0" applyFont="1" applyFill="1" applyBorder="1"/>
    <xf numFmtId="0" fontId="11" fillId="24" borderId="120" xfId="0" applyFont="1" applyFill="1" applyBorder="1"/>
    <xf numFmtId="164" fontId="0" fillId="24" borderId="124" xfId="0" applyNumberFormat="1" applyFont="1" applyFill="1" applyBorder="1"/>
    <xf numFmtId="164" fontId="0" fillId="24" borderId="285" xfId="0" applyNumberFormat="1" applyFont="1" applyFill="1" applyBorder="1"/>
    <xf numFmtId="0" fontId="0" fillId="24" borderId="121" xfId="0" applyNumberFormat="1" applyFill="1" applyBorder="1"/>
    <xf numFmtId="0" fontId="0" fillId="24" borderId="122" xfId="0" applyNumberFormat="1" applyFill="1" applyBorder="1"/>
    <xf numFmtId="0" fontId="0" fillId="24" borderId="123"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4"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0"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7"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6" xfId="0" applyFont="1" applyFill="1" applyBorder="1" applyAlignment="1">
      <alignment vertical="center"/>
    </xf>
    <xf numFmtId="164" fontId="0" fillId="27" borderId="10" xfId="19" applyNumberFormat="1" applyFont="1" applyFill="1" applyBorder="1" applyAlignment="1">
      <alignment vertical="center"/>
    </xf>
    <xf numFmtId="164" fontId="129" fillId="63" borderId="7" xfId="19" applyNumberFormat="1" applyFont="1" applyFill="1" applyBorder="1" applyAlignment="1">
      <alignment vertical="center"/>
    </xf>
    <xf numFmtId="164" fontId="129"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5" fillId="0" borderId="0" xfId="0" applyFont="1" applyBorder="1" applyAlignment="1">
      <alignment vertical="top" wrapText="1"/>
    </xf>
    <xf numFmtId="168" fontId="117" fillId="21" borderId="0" xfId="20" applyFont="1" applyFill="1" applyBorder="1" applyAlignment="1">
      <alignment vertical="top" wrapText="1"/>
    </xf>
    <xf numFmtId="0" fontId="146"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7"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7" fillId="0" borderId="144"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8"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7" fillId="0" borderId="0" xfId="0" applyFont="1" applyBorder="1"/>
    <xf numFmtId="10" fontId="108" fillId="0" borderId="0" xfId="0" applyNumberFormat="1" applyFont="1" applyFill="1" applyBorder="1"/>
    <xf numFmtId="0" fontId="67" fillId="0" borderId="0" xfId="0" applyFont="1"/>
    <xf numFmtId="166" fontId="24" fillId="0" borderId="0" xfId="1" applyNumberFormat="1" applyFont="1"/>
    <xf numFmtId="9" fontId="67" fillId="0" borderId="0" xfId="3" applyFont="1"/>
    <xf numFmtId="9" fontId="67"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7"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7"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8"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7"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7"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59" fillId="28" borderId="0" xfId="19" applyNumberFormat="1" applyFont="1" applyFill="1" applyAlignment="1">
      <alignment vertical="center"/>
    </xf>
    <xf numFmtId="168" fontId="60" fillId="28" borderId="0" xfId="20" applyFont="1" applyFill="1" applyAlignment="1">
      <alignment vertical="center"/>
    </xf>
    <xf numFmtId="168" fontId="57" fillId="28" borderId="20" xfId="20" applyNumberFormat="1" applyFont="1" applyFill="1" applyBorder="1" applyAlignment="1">
      <alignment vertical="center"/>
    </xf>
    <xf numFmtId="168" fontId="59"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8" fillId="0" borderId="148"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49" fillId="0" borderId="0" xfId="8" applyNumberFormat="1" applyFont="1"/>
    <xf numFmtId="0" fontId="0" fillId="0" borderId="0" xfId="0"/>
    <xf numFmtId="166" fontId="82" fillId="21" borderId="13" xfId="1" applyNumberFormat="1" applyFont="1" applyFill="1" applyBorder="1" applyAlignment="1">
      <alignment vertical="center"/>
    </xf>
    <xf numFmtId="0" fontId="0" fillId="0" borderId="0" xfId="0"/>
    <xf numFmtId="0" fontId="0" fillId="24" borderId="262" xfId="0" applyNumberFormat="1" applyFill="1" applyBorder="1"/>
    <xf numFmtId="0" fontId="144"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79" fillId="21" borderId="0" xfId="8" applyNumberFormat="1" applyFont="1" applyFill="1" applyBorder="1" applyAlignment="1">
      <alignment horizontal="right"/>
    </xf>
    <xf numFmtId="0" fontId="79"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6"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8" fillId="0" borderId="149" xfId="11" applyNumberFormat="1" applyFont="1" applyFill="1" applyBorder="1" applyAlignment="1">
      <alignment horizontal="center"/>
    </xf>
    <xf numFmtId="0" fontId="107" fillId="21" borderId="0" xfId="0" applyFont="1" applyFill="1" applyBorder="1"/>
    <xf numFmtId="0" fontId="10" fillId="21" borderId="0" xfId="0" applyFont="1" applyFill="1" applyBorder="1" applyAlignment="1"/>
    <xf numFmtId="0" fontId="150"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49"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0" fillId="21" borderId="0" xfId="0" applyNumberFormat="1" applyFont="1" applyFill="1" applyBorder="1" applyAlignment="1">
      <alignment horizontal="right" vertical="center"/>
    </xf>
    <xf numFmtId="0" fontId="140"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7"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8"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1"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1"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7" fillId="0" borderId="0" xfId="0" applyFont="1" applyFill="1" applyBorder="1"/>
    <xf numFmtId="0" fontId="152" fillId="0" borderId="0" xfId="12" applyFont="1" applyFill="1"/>
    <xf numFmtId="164" fontId="20" fillId="37" borderId="0" xfId="19" applyNumberFormat="1" applyFont="1" applyFill="1" applyBorder="1"/>
    <xf numFmtId="164" fontId="136"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0" borderId="0" xfId="0"/>
    <xf numFmtId="164" fontId="153"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4" fillId="35" borderId="0" xfId="0" applyFont="1" applyFill="1" applyBorder="1" applyAlignment="1">
      <alignment horizontal="left" textRotation="90"/>
    </xf>
    <xf numFmtId="0" fontId="0" fillId="0" borderId="0" xfId="0"/>
    <xf numFmtId="0" fontId="155" fillId="18" borderId="0" xfId="0" applyFont="1" applyFill="1" applyAlignment="1">
      <alignment vertical="center"/>
    </xf>
    <xf numFmtId="164" fontId="155"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7" fillId="0" borderId="0" xfId="0" applyFont="1" applyFill="1"/>
    <xf numFmtId="165" fontId="67" fillId="0" borderId="0" xfId="0" applyNumberFormat="1" applyFont="1"/>
    <xf numFmtId="9" fontId="0" fillId="21" borderId="57" xfId="20" applyNumberFormat="1" applyFont="1" applyFill="1" applyBorder="1" applyAlignment="1">
      <alignment vertical="center"/>
    </xf>
    <xf numFmtId="168" fontId="0" fillId="21" borderId="266" xfId="20" applyFont="1" applyFill="1" applyBorder="1" applyAlignment="1">
      <alignment vertical="center"/>
    </xf>
    <xf numFmtId="11" fontId="0" fillId="21" borderId="0" xfId="0" applyNumberFormat="1" applyFont="1" applyFill="1" applyBorder="1"/>
    <xf numFmtId="0" fontId="156" fillId="0" borderId="0" xfId="0" applyFont="1"/>
    <xf numFmtId="11" fontId="79"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6" fillId="0" borderId="0" xfId="17" applyFont="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6" fillId="37" borderId="0" xfId="0" applyFont="1" applyFill="1" applyBorder="1" applyAlignment="1">
      <alignment vertical="center"/>
    </xf>
    <xf numFmtId="0" fontId="106" fillId="37" borderId="0" xfId="0" applyFont="1" applyFill="1" applyBorder="1" applyAlignment="1">
      <alignment horizontal="right" vertical="center"/>
    </xf>
    <xf numFmtId="168" fontId="157"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79"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79"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7"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4" fillId="28" borderId="0" xfId="0" applyFont="1" applyFill="1" applyBorder="1"/>
    <xf numFmtId="9" fontId="20" fillId="22" borderId="0" xfId="3" applyFont="1" applyFill="1" applyBorder="1"/>
    <xf numFmtId="164" fontId="157" fillId="22" borderId="0" xfId="0" applyNumberFormat="1" applyFont="1" applyFill="1" applyBorder="1"/>
    <xf numFmtId="0" fontId="152" fillId="22" borderId="0" xfId="12" applyFont="1" applyFill="1"/>
    <xf numFmtId="165" fontId="152"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7" fillId="22" borderId="0" xfId="19" applyNumberFormat="1" applyFont="1" applyFill="1"/>
    <xf numFmtId="0" fontId="158" fillId="22" borderId="0" xfId="12" applyNumberFormat="1" applyFont="1" applyFill="1"/>
    <xf numFmtId="0" fontId="159" fillId="61" borderId="4" xfId="0" applyFont="1" applyFill="1" applyBorder="1"/>
    <xf numFmtId="0" fontId="27" fillId="22" borderId="0" xfId="12" applyFont="1" applyFill="1" applyAlignment="1">
      <alignment horizontal="right"/>
    </xf>
    <xf numFmtId="1" fontId="0" fillId="22" borderId="0" xfId="0" applyNumberFormat="1" applyFill="1"/>
    <xf numFmtId="165" fontId="137"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4"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8"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1" fillId="18" borderId="56" xfId="0" applyFont="1" applyFill="1" applyBorder="1" applyAlignment="1">
      <alignment horizontal="left" vertical="center"/>
    </xf>
    <xf numFmtId="0" fontId="71"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4" fillId="18" borderId="0" xfId="0" applyFont="1" applyFill="1" applyBorder="1"/>
    <xf numFmtId="0" fontId="160" fillId="18" borderId="0" xfId="0" applyFont="1" applyFill="1" applyBorder="1"/>
    <xf numFmtId="0" fontId="160" fillId="18" borderId="0" xfId="0" applyFont="1" applyFill="1" applyBorder="1" applyAlignment="1">
      <alignment horizontal="right" vertical="center"/>
    </xf>
    <xf numFmtId="0" fontId="160"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2"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7"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1"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8" fillId="18" borderId="6" xfId="0" applyFont="1" applyFill="1" applyBorder="1" applyAlignment="1">
      <alignment horizontal="left" vertical="center" indent="1"/>
    </xf>
    <xf numFmtId="0" fontId="137" fillId="18" borderId="0" xfId="12" applyFont="1" applyFill="1"/>
    <xf numFmtId="0" fontId="137" fillId="18" borderId="0" xfId="12" applyNumberFormat="1" applyFont="1" applyFill="1"/>
    <xf numFmtId="1" fontId="0" fillId="18" borderId="0" xfId="0" applyNumberFormat="1" applyFill="1"/>
    <xf numFmtId="0" fontId="77" fillId="18" borderId="6" xfId="0" applyFont="1" applyFill="1" applyBorder="1"/>
    <xf numFmtId="165" fontId="137"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2" fillId="18" borderId="0" xfId="12" applyFont="1" applyFill="1"/>
    <xf numFmtId="165" fontId="152"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1" fillId="0" borderId="0" xfId="19" applyNumberFormat="1" applyFont="1" applyFill="1" applyBorder="1"/>
    <xf numFmtId="165" fontId="17" fillId="0" borderId="0" xfId="8" applyNumberFormat="1" applyFill="1" applyBorder="1"/>
    <xf numFmtId="165" fontId="131"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7"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8"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123" fillId="50" borderId="0" xfId="0" applyFont="1" applyFill="1" applyAlignment="1">
      <alignment wrapText="1"/>
    </xf>
    <xf numFmtId="0" fontId="0" fillId="0" borderId="0" xfId="0"/>
    <xf numFmtId="0" fontId="161" fillId="22" borderId="0" xfId="12" applyFont="1" applyFill="1"/>
    <xf numFmtId="165" fontId="161" fillId="22" borderId="0" xfId="19" applyNumberFormat="1" applyFont="1" applyFill="1"/>
    <xf numFmtId="0" fontId="0" fillId="0" borderId="0" xfId="0"/>
    <xf numFmtId="164" fontId="11" fillId="19" borderId="38" xfId="1" applyNumberFormat="1" applyFont="1" applyFill="1" applyBorder="1" applyAlignment="1">
      <alignment vertical="center"/>
    </xf>
    <xf numFmtId="0" fontId="0" fillId="0" borderId="0" xfId="0" applyNumberFormat="1" applyAlignment="1">
      <alignment horizontal="left"/>
    </xf>
    <xf numFmtId="0" fontId="162" fillId="0" borderId="0" xfId="0" applyFont="1"/>
    <xf numFmtId="0" fontId="0" fillId="0" borderId="0" xfId="0"/>
    <xf numFmtId="0" fontId="0" fillId="0" borderId="0" xfId="0"/>
    <xf numFmtId="164" fontId="0" fillId="0" borderId="0" xfId="19" applyFont="1" applyFill="1"/>
    <xf numFmtId="11" fontId="0" fillId="0" borderId="0" xfId="0" applyNumberFormat="1" applyFont="1" applyFill="1"/>
    <xf numFmtId="169" fontId="9" fillId="0" borderId="0" xfId="0" applyNumberFormat="1" applyFont="1" applyFill="1"/>
    <xf numFmtId="0" fontId="3" fillId="0" borderId="0" xfId="3" applyNumberFormat="1" applyFont="1" applyAlignment="1">
      <alignment horizontal="right"/>
    </xf>
    <xf numFmtId="10" fontId="10" fillId="21" borderId="0" xfId="3" applyNumberFormat="1" applyFont="1" applyFill="1" applyBorder="1" applyAlignment="1">
      <alignment horizontal="right" vertical="center"/>
    </xf>
    <xf numFmtId="10" fontId="10" fillId="21" borderId="0" xfId="0" applyNumberFormat="1" applyFont="1" applyFill="1" applyBorder="1" applyAlignment="1">
      <alignment vertical="center"/>
    </xf>
    <xf numFmtId="169" fontId="10" fillId="21" borderId="15" xfId="1" applyNumberFormat="1" applyFont="1" applyFill="1" applyBorder="1" applyAlignment="1">
      <alignment vertical="center"/>
    </xf>
    <xf numFmtId="169" fontId="10" fillId="21" borderId="0" xfId="1" applyNumberFormat="1" applyFont="1" applyFill="1" applyBorder="1" applyAlignment="1">
      <alignment vertical="center"/>
    </xf>
    <xf numFmtId="9" fontId="10" fillId="21" borderId="0" xfId="0" applyNumberFormat="1" applyFont="1" applyFill="1" applyBorder="1" applyAlignment="1">
      <alignment vertical="center"/>
    </xf>
    <xf numFmtId="169" fontId="10" fillId="21" borderId="15" xfId="1" applyNumberFormat="1" applyFont="1" applyFill="1" applyBorder="1" applyAlignment="1">
      <alignment horizontal="right" vertical="center"/>
    </xf>
    <xf numFmtId="169" fontId="10" fillId="21" borderId="0" xfId="1" applyNumberFormat="1" applyFont="1" applyFill="1" applyBorder="1" applyAlignment="1">
      <alignment horizontal="right" vertical="center"/>
    </xf>
    <xf numFmtId="10" fontId="10" fillId="21" borderId="9" xfId="3" applyNumberFormat="1" applyFont="1" applyFill="1" applyBorder="1" applyAlignment="1">
      <alignment horizontal="right" vertical="center"/>
    </xf>
    <xf numFmtId="0" fontId="10" fillId="21" borderId="9" xfId="0" applyFont="1" applyFill="1" applyBorder="1" applyAlignment="1">
      <alignment vertical="center"/>
    </xf>
    <xf numFmtId="169" fontId="10" fillId="21" borderId="16" xfId="1" applyNumberFormat="1" applyFont="1" applyFill="1" applyBorder="1" applyAlignment="1">
      <alignment horizontal="right" vertical="center"/>
    </xf>
    <xf numFmtId="169" fontId="10" fillId="21" borderId="9" xfId="1" applyNumberFormat="1" applyFont="1" applyFill="1" applyBorder="1" applyAlignment="1">
      <alignment horizontal="right" vertical="center"/>
    </xf>
    <xf numFmtId="0" fontId="10" fillId="21" borderId="14" xfId="0" applyFont="1" applyFill="1" applyBorder="1" applyAlignment="1">
      <alignment vertical="center"/>
    </xf>
    <xf numFmtId="164" fontId="10" fillId="21" borderId="14" xfId="1" applyNumberFormat="1" applyFont="1" applyFill="1" applyBorder="1" applyAlignment="1">
      <alignment vertical="center"/>
    </xf>
    <xf numFmtId="164" fontId="46" fillId="0" borderId="0" xfId="1" applyNumberFormat="1" applyFont="1" applyFill="1"/>
    <xf numFmtId="0" fontId="0" fillId="0" borderId="0" xfId="0"/>
    <xf numFmtId="182" fontId="10" fillId="21" borderId="0" xfId="3" applyNumberFormat="1" applyFont="1" applyFill="1" applyBorder="1" applyAlignment="1">
      <alignment vertical="center"/>
    </xf>
    <xf numFmtId="0" fontId="106" fillId="21" borderId="288" xfId="0" applyNumberFormat="1" applyFont="1" applyFill="1" applyBorder="1" applyAlignment="1">
      <alignment horizontal="right" vertical="center"/>
    </xf>
    <xf numFmtId="9" fontId="10" fillId="21" borderId="52" xfId="3" applyFont="1" applyFill="1" applyBorder="1" applyAlignment="1">
      <alignment vertical="center"/>
    </xf>
    <xf numFmtId="9" fontId="10" fillId="21" borderId="76" xfId="3" applyFont="1" applyFill="1" applyBorder="1" applyAlignment="1">
      <alignment vertical="center"/>
    </xf>
    <xf numFmtId="165" fontId="0" fillId="0" borderId="0" xfId="0" applyNumberFormat="1" applyBorder="1" applyAlignment="1">
      <alignment vertical="center"/>
    </xf>
    <xf numFmtId="170" fontId="0" fillId="0" borderId="0" xfId="0" applyNumberFormat="1"/>
    <xf numFmtId="9" fontId="0" fillId="21" borderId="0" xfId="3" applyFont="1" applyFill="1" applyBorder="1" applyAlignment="1">
      <alignment vertical="center"/>
    </xf>
    <xf numFmtId="9" fontId="0" fillId="21" borderId="13" xfId="3" applyFont="1" applyFill="1" applyBorder="1" applyAlignment="1">
      <alignment vertical="center"/>
    </xf>
    <xf numFmtId="0" fontId="0" fillId="0" borderId="0" xfId="0"/>
    <xf numFmtId="174" fontId="17" fillId="0" borderId="0" xfId="8" applyNumberFormat="1"/>
    <xf numFmtId="2" fontId="17" fillId="0" borderId="0" xfId="8" applyNumberFormat="1"/>
    <xf numFmtId="179" fontId="17" fillId="0" borderId="0" xfId="8" applyNumberFormat="1"/>
    <xf numFmtId="1" fontId="17" fillId="0" borderId="0" xfId="8" applyNumberFormat="1"/>
    <xf numFmtId="0" fontId="108" fillId="0" borderId="0" xfId="0" applyFont="1"/>
    <xf numFmtId="0" fontId="0" fillId="0" borderId="0" xfId="0"/>
    <xf numFmtId="174" fontId="17" fillId="0" borderId="0" xfId="8" applyNumberFormat="1" applyFill="1"/>
    <xf numFmtId="2" fontId="17" fillId="0" borderId="0" xfId="8" applyNumberFormat="1" applyFill="1"/>
    <xf numFmtId="0" fontId="163" fillId="0" borderId="0" xfId="8" applyNumberFormat="1" applyFont="1"/>
    <xf numFmtId="166" fontId="17" fillId="0" borderId="0" xfId="8" applyNumberFormat="1"/>
    <xf numFmtId="0" fontId="0" fillId="0" borderId="0" xfId="0"/>
    <xf numFmtId="0" fontId="60" fillId="21" borderId="0" xfId="8" applyNumberFormat="1" applyFont="1" applyFill="1" applyBorder="1"/>
    <xf numFmtId="0" fontId="10" fillId="21" borderId="6" xfId="0" applyFont="1" applyFill="1" applyBorder="1"/>
    <xf numFmtId="0" fontId="10" fillId="21" borderId="23" xfId="1" applyNumberFormat="1" applyFont="1" applyFill="1" applyBorder="1" applyAlignment="1">
      <alignment vertical="center"/>
    </xf>
    <xf numFmtId="0" fontId="0" fillId="0" borderId="0" xfId="0"/>
    <xf numFmtId="0" fontId="0" fillId="0" borderId="0" xfId="0"/>
    <xf numFmtId="0" fontId="164" fillId="0" borderId="0" xfId="8" applyNumberFormat="1" applyFont="1"/>
    <xf numFmtId="0" fontId="17" fillId="0" borderId="0" xfId="8" applyNumberFormat="1" applyBorder="1"/>
    <xf numFmtId="172" fontId="79" fillId="21" borderId="0" xfId="19" applyNumberFormat="1" applyFont="1" applyFill="1" applyBorder="1" applyAlignment="1">
      <alignment vertical="center"/>
    </xf>
    <xf numFmtId="165" fontId="72" fillId="0" borderId="0" xfId="1" applyNumberFormat="1" applyFont="1" applyBorder="1" applyAlignment="1">
      <alignment horizontal="right"/>
    </xf>
    <xf numFmtId="9" fontId="67" fillId="21" borderId="0" xfId="0" applyNumberFormat="1" applyFont="1" applyFill="1" applyBorder="1" applyAlignment="1">
      <alignment vertical="center"/>
    </xf>
    <xf numFmtId="0" fontId="67" fillId="21" borderId="0" xfId="0" applyFont="1" applyFill="1" applyBorder="1"/>
    <xf numFmtId="0" fontId="0" fillId="0" borderId="0" xfId="0"/>
    <xf numFmtId="1" fontId="0" fillId="0" borderId="0" xfId="0" applyNumberFormat="1" applyFont="1"/>
    <xf numFmtId="183" fontId="0" fillId="21" borderId="0" xfId="3" applyNumberFormat="1" applyFont="1" applyFill="1" applyBorder="1"/>
    <xf numFmtId="164" fontId="46" fillId="18" borderId="0" xfId="1" applyNumberFormat="1" applyFont="1" applyFill="1" applyAlignment="1">
      <alignment vertical="center"/>
    </xf>
    <xf numFmtId="0" fontId="0" fillId="19" borderId="0" xfId="0" applyFill="1" applyAlignment="1">
      <alignment horizontal="left"/>
    </xf>
    <xf numFmtId="9" fontId="82" fillId="21" borderId="9" xfId="3" applyFont="1" applyFill="1" applyBorder="1" applyAlignment="1">
      <alignment horizontal="right" vertical="center"/>
    </xf>
    <xf numFmtId="9" fontId="82" fillId="21" borderId="0" xfId="3" applyFont="1" applyFill="1" applyBorder="1" applyAlignment="1">
      <alignment vertical="center"/>
    </xf>
    <xf numFmtId="9" fontId="82" fillId="21" borderId="0" xfId="3" applyFont="1" applyFill="1" applyBorder="1" applyAlignment="1">
      <alignment horizontal="right" vertical="center"/>
    </xf>
    <xf numFmtId="170" fontId="0" fillId="0" borderId="0" xfId="3" applyNumberFormat="1" applyFont="1"/>
    <xf numFmtId="0" fontId="3" fillId="0" borderId="0" xfId="0" quotePrefix="1" applyFont="1"/>
    <xf numFmtId="0" fontId="0" fillId="0" borderId="0" xfId="0"/>
    <xf numFmtId="0" fontId="0" fillId="0" borderId="0" xfId="0"/>
    <xf numFmtId="171" fontId="82" fillId="21" borderId="0" xfId="1" applyNumberFormat="1" applyFont="1" applyFill="1" applyBorder="1" applyAlignment="1">
      <alignment vertical="center"/>
    </xf>
    <xf numFmtId="171" fontId="82" fillId="21" borderId="13" xfId="1" applyNumberFormat="1" applyFont="1" applyFill="1" applyBorder="1" applyAlignment="1">
      <alignment vertical="center"/>
    </xf>
    <xf numFmtId="1" fontId="11" fillId="21" borderId="21" xfId="3" applyNumberFormat="1" applyFont="1" applyFill="1" applyBorder="1" applyAlignment="1">
      <alignment vertical="center"/>
    </xf>
    <xf numFmtId="1" fontId="11" fillId="21" borderId="23" xfId="3" applyNumberFormat="1" applyFont="1" applyFill="1" applyBorder="1" applyAlignment="1">
      <alignment vertical="center"/>
    </xf>
    <xf numFmtId="1" fontId="11" fillId="21" borderId="24" xfId="3" applyNumberFormat="1" applyFont="1" applyFill="1" applyBorder="1" applyAlignment="1">
      <alignment vertical="center"/>
    </xf>
    <xf numFmtId="180" fontId="0" fillId="0" borderId="0" xfId="0" applyNumberFormat="1" applyFont="1"/>
    <xf numFmtId="170" fontId="11" fillId="21" borderId="21" xfId="3" applyNumberFormat="1" applyFont="1" applyFill="1" applyBorder="1" applyAlignment="1">
      <alignment vertical="center"/>
    </xf>
    <xf numFmtId="170" fontId="11" fillId="21" borderId="23" xfId="3" applyNumberFormat="1" applyFont="1" applyFill="1" applyBorder="1" applyAlignment="1">
      <alignment vertical="center"/>
    </xf>
    <xf numFmtId="170" fontId="11" fillId="21" borderId="24" xfId="3" applyNumberFormat="1" applyFont="1" applyFill="1" applyBorder="1" applyAlignment="1">
      <alignment vertical="center"/>
    </xf>
    <xf numFmtId="2" fontId="0" fillId="21" borderId="0" xfId="0" applyNumberFormat="1" applyFill="1" applyBorder="1" applyAlignment="1">
      <alignment vertical="center"/>
    </xf>
    <xf numFmtId="0" fontId="17" fillId="0" borderId="166" xfId="8" applyNumberFormat="1" applyFill="1" applyBorder="1"/>
    <xf numFmtId="0" fontId="17" fillId="0" borderId="160" xfId="8" applyNumberFormat="1" applyFill="1" applyBorder="1"/>
    <xf numFmtId="0" fontId="17" fillId="0" borderId="271" xfId="8" applyNumberFormat="1" applyFill="1" applyBorder="1"/>
    <xf numFmtId="0" fontId="17" fillId="0" borderId="202" xfId="8" applyNumberFormat="1" applyFill="1" applyBorder="1"/>
    <xf numFmtId="179" fontId="17" fillId="0" borderId="0" xfId="8" applyNumberFormat="1" applyFill="1" applyBorder="1"/>
    <xf numFmtId="1" fontId="17" fillId="0" borderId="0" xfId="8" applyNumberFormat="1" applyFill="1" applyBorder="1"/>
    <xf numFmtId="174" fontId="17" fillId="0" borderId="0" xfId="8" applyNumberFormat="1" applyFill="1" applyBorder="1"/>
    <xf numFmtId="2" fontId="17" fillId="0" borderId="289" xfId="8" applyNumberFormat="1" applyFill="1" applyBorder="1"/>
    <xf numFmtId="0" fontId="17" fillId="21" borderId="202" xfId="8" applyNumberFormat="1" applyFill="1" applyBorder="1"/>
    <xf numFmtId="179" fontId="17" fillId="21" borderId="0" xfId="8" applyNumberFormat="1" applyFill="1" applyBorder="1"/>
    <xf numFmtId="1" fontId="17" fillId="21" borderId="0" xfId="8" applyNumberFormat="1" applyFill="1" applyBorder="1"/>
    <xf numFmtId="174" fontId="17" fillId="21" borderId="0" xfId="8" applyNumberFormat="1" applyFill="1" applyBorder="1"/>
    <xf numFmtId="2" fontId="17" fillId="21" borderId="289" xfId="8" applyNumberFormat="1" applyFill="1" applyBorder="1"/>
    <xf numFmtId="0" fontId="17" fillId="21" borderId="132" xfId="8" applyNumberFormat="1" applyFill="1" applyBorder="1"/>
    <xf numFmtId="0" fontId="110" fillId="21" borderId="61" xfId="8" applyNumberFormat="1" applyFont="1" applyFill="1" applyBorder="1"/>
    <xf numFmtId="1" fontId="17" fillId="21" borderId="61" xfId="8" applyNumberFormat="1" applyFill="1" applyBorder="1"/>
    <xf numFmtId="174" fontId="17" fillId="21" borderId="61" xfId="8" applyNumberFormat="1" applyFill="1" applyBorder="1"/>
    <xf numFmtId="2" fontId="17" fillId="21" borderId="272" xfId="8" applyNumberFormat="1" applyFill="1" applyBorder="1"/>
    <xf numFmtId="0" fontId="17" fillId="0" borderId="166" xfId="8" applyNumberFormat="1" applyBorder="1"/>
    <xf numFmtId="0" fontId="17" fillId="0" borderId="160" xfId="8" applyNumberFormat="1" applyBorder="1"/>
    <xf numFmtId="0" fontId="17" fillId="0" borderId="271" xfId="8" applyNumberFormat="1" applyBorder="1"/>
    <xf numFmtId="0" fontId="17" fillId="0" borderId="202" xfId="8" applyNumberFormat="1" applyBorder="1"/>
    <xf numFmtId="1" fontId="17" fillId="0" borderId="0" xfId="8" applyNumberFormat="1" applyBorder="1"/>
    <xf numFmtId="174" fontId="17" fillId="0" borderId="0" xfId="8" applyNumberFormat="1" applyBorder="1"/>
    <xf numFmtId="2" fontId="17" fillId="0" borderId="289" xfId="8" applyNumberFormat="1" applyBorder="1"/>
    <xf numFmtId="0" fontId="17" fillId="0" borderId="289" xfId="8" applyNumberFormat="1" applyBorder="1"/>
    <xf numFmtId="2" fontId="17" fillId="0" borderId="0" xfId="8" applyNumberFormat="1" applyFill="1" applyBorder="1"/>
    <xf numFmtId="2" fontId="11" fillId="21" borderId="0" xfId="1" applyNumberFormat="1" applyFont="1" applyFill="1" applyBorder="1" applyAlignment="1">
      <alignment vertical="center"/>
    </xf>
    <xf numFmtId="2" fontId="11" fillId="21" borderId="0" xfId="1" applyNumberFormat="1" applyFont="1" applyFill="1" applyBorder="1" applyAlignment="1">
      <alignment horizontal="right" vertical="center"/>
    </xf>
    <xf numFmtId="2" fontId="11" fillId="21" borderId="13" xfId="1" applyNumberFormat="1" applyFont="1" applyFill="1" applyBorder="1" applyAlignment="1">
      <alignment vertical="center"/>
    </xf>
    <xf numFmtId="2" fontId="11" fillId="21" borderId="9" xfId="1" applyNumberFormat="1" applyFont="1" applyFill="1" applyBorder="1" applyAlignment="1">
      <alignment horizontal="right" vertical="center"/>
    </xf>
    <xf numFmtId="166" fontId="82" fillId="21" borderId="20" xfId="1" applyNumberFormat="1" applyFont="1" applyFill="1" applyBorder="1" applyAlignment="1">
      <alignment vertical="center"/>
    </xf>
    <xf numFmtId="0" fontId="0" fillId="0" borderId="0" xfId="0"/>
    <xf numFmtId="179" fontId="82" fillId="21" borderId="0" xfId="1" applyNumberFormat="1" applyFont="1" applyFill="1" applyBorder="1" applyAlignment="1">
      <alignment vertical="center"/>
    </xf>
    <xf numFmtId="179" fontId="11" fillId="21" borderId="0" xfId="1" applyNumberFormat="1" applyFont="1" applyFill="1" applyBorder="1" applyAlignment="1">
      <alignment vertical="center"/>
    </xf>
    <xf numFmtId="179" fontId="82" fillId="21" borderId="0" xfId="1" applyNumberFormat="1" applyFont="1" applyFill="1" applyBorder="1" applyAlignment="1">
      <alignment horizontal="right" vertical="center"/>
    </xf>
    <xf numFmtId="179" fontId="11" fillId="21" borderId="0" xfId="1" applyNumberFormat="1" applyFont="1" applyFill="1" applyBorder="1" applyAlignment="1">
      <alignment horizontal="right" vertical="center"/>
    </xf>
    <xf numFmtId="179" fontId="82" fillId="21" borderId="9" xfId="1" applyNumberFormat="1" applyFont="1" applyFill="1" applyBorder="1" applyAlignment="1">
      <alignment horizontal="right" vertical="center"/>
    </xf>
    <xf numFmtId="179" fontId="11" fillId="21" borderId="9" xfId="1" applyNumberFormat="1" applyFont="1" applyFill="1" applyBorder="1" applyAlignment="1">
      <alignment horizontal="right" vertical="center"/>
    </xf>
    <xf numFmtId="179" fontId="82" fillId="21" borderId="13" xfId="1" applyNumberFormat="1" applyFont="1" applyFill="1" applyBorder="1" applyAlignment="1">
      <alignment vertical="center"/>
    </xf>
    <xf numFmtId="164" fontId="0" fillId="23" borderId="4" xfId="0" applyNumberFormat="1" applyFont="1" applyFill="1" applyBorder="1"/>
    <xf numFmtId="9" fontId="0" fillId="21" borderId="7" xfId="3" applyFont="1" applyFill="1" applyBorder="1"/>
    <xf numFmtId="0" fontId="17" fillId="21" borderId="61" xfId="8" applyNumberFormat="1" applyFill="1" applyBorder="1"/>
    <xf numFmtId="2" fontId="17" fillId="21" borderId="61" xfId="8" applyNumberFormat="1" applyFill="1" applyBorder="1"/>
    <xf numFmtId="0" fontId="10" fillId="0" borderId="0" xfId="0" applyFont="1"/>
    <xf numFmtId="9" fontId="0" fillId="19" borderId="0" xfId="0" applyNumberFormat="1" applyFill="1" applyBorder="1" applyAlignment="1">
      <alignment vertical="center"/>
    </xf>
    <xf numFmtId="0" fontId="0" fillId="0" borderId="0" xfId="0"/>
    <xf numFmtId="164" fontId="9" fillId="19" borderId="10" xfId="1" applyNumberFormat="1" applyFont="1" applyFill="1" applyBorder="1"/>
    <xf numFmtId="164" fontId="27" fillId="37" borderId="0" xfId="19" applyNumberFormat="1" applyFont="1" applyFill="1"/>
    <xf numFmtId="164" fontId="0" fillId="37" borderId="0" xfId="0" applyNumberFormat="1" applyFill="1" applyBorder="1"/>
    <xf numFmtId="0" fontId="0" fillId="0" borderId="0" xfId="0"/>
    <xf numFmtId="166" fontId="0" fillId="28" borderId="38" xfId="19" applyNumberFormat="1" applyFont="1" applyFill="1" applyBorder="1" applyAlignment="1">
      <alignment vertical="center"/>
    </xf>
    <xf numFmtId="164" fontId="11" fillId="37" borderId="0" xfId="0" applyNumberFormat="1" applyFont="1" applyFill="1" applyBorder="1"/>
    <xf numFmtId="164" fontId="151" fillId="49" borderId="0" xfId="19" applyNumberFormat="1" applyFont="1" applyFill="1" applyBorder="1"/>
    <xf numFmtId="166" fontId="27" fillId="22" borderId="0" xfId="19" applyNumberFormat="1" applyFont="1" applyFill="1"/>
    <xf numFmtId="0" fontId="0" fillId="0" borderId="0" xfId="0" applyBorder="1" applyAlignment="1">
      <alignment vertical="center" wrapText="1"/>
    </xf>
    <xf numFmtId="2" fontId="0" fillId="18" borderId="0" xfId="0" applyNumberFormat="1" applyFill="1" applyBorder="1"/>
    <xf numFmtId="2" fontId="3" fillId="18" borderId="0" xfId="0" applyNumberFormat="1" applyFont="1" applyFill="1" applyBorder="1"/>
    <xf numFmtId="0" fontId="0" fillId="0" borderId="0" xfId="0"/>
    <xf numFmtId="9" fontId="0" fillId="21" borderId="13" xfId="3" applyFont="1" applyFill="1" applyBorder="1"/>
    <xf numFmtId="10" fontId="0" fillId="19" borderId="20" xfId="7" applyNumberFormat="1" applyFont="1" applyFill="1" applyBorder="1" applyAlignment="1">
      <alignment horizontal="right" vertical="center"/>
    </xf>
    <xf numFmtId="10" fontId="0" fillId="19" borderId="0" xfId="7" applyNumberFormat="1" applyFont="1" applyFill="1" applyBorder="1" applyAlignment="1">
      <alignment horizontal="right" vertical="center"/>
    </xf>
    <xf numFmtId="10" fontId="0" fillId="19" borderId="13" xfId="7" applyNumberFormat="1" applyFont="1" applyFill="1" applyBorder="1" applyAlignment="1">
      <alignment horizontal="right" vertical="center"/>
    </xf>
    <xf numFmtId="0" fontId="0" fillId="19" borderId="0" xfId="7" applyFont="1" applyFill="1" applyBorder="1"/>
    <xf numFmtId="0" fontId="0" fillId="19" borderId="7" xfId="7" applyFont="1" applyFill="1" applyBorder="1"/>
    <xf numFmtId="0" fontId="165" fillId="18" borderId="50" xfId="0" applyNumberFormat="1" applyFont="1" applyFill="1" applyBorder="1" applyAlignment="1">
      <alignment horizontal="center" vertical="center"/>
    </xf>
    <xf numFmtId="0" fontId="166" fillId="29" borderId="52" xfId="0" applyNumberFormat="1" applyFont="1" applyFill="1" applyBorder="1" applyAlignment="1">
      <alignment vertical="center" wrapText="1"/>
    </xf>
    <xf numFmtId="0" fontId="0" fillId="0" borderId="0" xfId="0"/>
    <xf numFmtId="0" fontId="0" fillId="0" borderId="0" xfId="0"/>
    <xf numFmtId="0" fontId="0" fillId="0" borderId="0" xfId="0"/>
    <xf numFmtId="0" fontId="0" fillId="0" borderId="0" xfId="0"/>
    <xf numFmtId="165" fontId="0" fillId="21" borderId="0" xfId="0" applyNumberFormat="1" applyFill="1" applyBorder="1" applyAlignment="1">
      <alignment horizontal="right" vertical="center"/>
    </xf>
    <xf numFmtId="171" fontId="10" fillId="21" borderId="10" xfId="1" applyNumberFormat="1" applyFont="1" applyFill="1" applyBorder="1" applyAlignment="1">
      <alignment vertical="center"/>
    </xf>
    <xf numFmtId="171" fontId="0" fillId="21" borderId="0" xfId="1" applyNumberFormat="1" applyFont="1" applyFill="1" applyBorder="1" applyAlignment="1">
      <alignment horizontal="right" vertical="center"/>
    </xf>
    <xf numFmtId="0" fontId="0" fillId="0" borderId="0" xfId="0"/>
    <xf numFmtId="0" fontId="0" fillId="0" borderId="0" xfId="0"/>
    <xf numFmtId="168" fontId="83" fillId="0" borderId="0" xfId="20" applyFont="1" applyFill="1" applyAlignment="1">
      <alignment horizontal="right"/>
    </xf>
    <xf numFmtId="164" fontId="83" fillId="0" borderId="0" xfId="1" applyNumberFormat="1" applyFont="1" applyFill="1" applyAlignment="1">
      <alignment horizontal="right"/>
    </xf>
    <xf numFmtId="0" fontId="61" fillId="0" borderId="0" xfId="0" applyFont="1" applyFill="1"/>
    <xf numFmtId="0" fontId="0" fillId="0" borderId="0" xfId="0"/>
    <xf numFmtId="0" fontId="0" fillId="0" borderId="0" xfId="0"/>
    <xf numFmtId="0" fontId="0" fillId="0" borderId="0" xfId="0"/>
    <xf numFmtId="180" fontId="0" fillId="21" borderId="0" xfId="0" applyNumberFormat="1" applyFill="1" applyBorder="1"/>
    <xf numFmtId="9" fontId="67" fillId="21" borderId="0" xfId="3" applyFont="1" applyFill="1" applyBorder="1"/>
    <xf numFmtId="9" fontId="67" fillId="21" borderId="0" xfId="3" applyNumberFormat="1" applyFont="1" applyFill="1" applyBorder="1"/>
    <xf numFmtId="0" fontId="159" fillId="21" borderId="0" xfId="0" applyFont="1" applyFill="1" applyBorder="1" applyAlignment="1">
      <alignment horizontal="right"/>
    </xf>
    <xf numFmtId="0" fontId="107" fillId="21" borderId="0" xfId="0" applyFont="1" applyFill="1" applyBorder="1" applyAlignment="1">
      <alignment vertical="center"/>
    </xf>
    <xf numFmtId="166" fontId="46" fillId="37" borderId="0" xfId="8" applyNumberFormat="1" applyFont="1" applyFill="1" applyBorder="1"/>
    <xf numFmtId="0" fontId="0" fillId="0" borderId="0" xfId="0"/>
    <xf numFmtId="0" fontId="3" fillId="0" borderId="166" xfId="0" applyFont="1" applyBorder="1"/>
    <xf numFmtId="0" fontId="3" fillId="0" borderId="160" xfId="0" applyFont="1" applyBorder="1"/>
    <xf numFmtId="0" fontId="3" fillId="0" borderId="160" xfId="0" applyFont="1" applyBorder="1" applyAlignment="1">
      <alignment wrapText="1"/>
    </xf>
    <xf numFmtId="0" fontId="3" fillId="0" borderId="271" xfId="0" applyFont="1" applyBorder="1" applyAlignment="1">
      <alignment wrapText="1"/>
    </xf>
    <xf numFmtId="0" fontId="0" fillId="0" borderId="202" xfId="0" applyBorder="1"/>
    <xf numFmtId="4" fontId="0" fillId="0" borderId="0" xfId="0" applyNumberFormat="1" applyBorder="1"/>
    <xf numFmtId="0" fontId="0" fillId="0" borderId="289" xfId="0" applyBorder="1"/>
    <xf numFmtId="0" fontId="159" fillId="0" borderId="0" xfId="0" applyFont="1"/>
    <xf numFmtId="0" fontId="3" fillId="36" borderId="166" xfId="0" applyFont="1" applyFill="1" applyBorder="1" applyAlignment="1">
      <alignment wrapText="1"/>
    </xf>
    <xf numFmtId="0" fontId="3" fillId="36" borderId="160" xfId="0" applyFont="1" applyFill="1" applyBorder="1" applyAlignment="1">
      <alignment wrapText="1"/>
    </xf>
    <xf numFmtId="0" fontId="3" fillId="36" borderId="271" xfId="0" applyFont="1" applyFill="1" applyBorder="1" applyAlignment="1">
      <alignment wrapText="1"/>
    </xf>
    <xf numFmtId="0" fontId="0" fillId="36" borderId="202" xfId="0" applyFill="1" applyBorder="1"/>
    <xf numFmtId="0" fontId="0" fillId="36" borderId="0" xfId="0" applyFill="1" applyBorder="1"/>
    <xf numFmtId="2" fontId="0" fillId="36" borderId="289" xfId="0" applyNumberFormat="1" applyFill="1" applyBorder="1"/>
    <xf numFmtId="0" fontId="0" fillId="36" borderId="61" xfId="0" applyFill="1" applyBorder="1"/>
    <xf numFmtId="2" fontId="0" fillId="36" borderId="272" xfId="0" applyNumberFormat="1" applyFill="1" applyBorder="1"/>
    <xf numFmtId="4" fontId="0" fillId="0" borderId="0" xfId="0" applyNumberFormat="1" applyAlignment="1">
      <alignment horizontal="right"/>
    </xf>
    <xf numFmtId="0" fontId="0" fillId="0" borderId="0" xfId="0"/>
    <xf numFmtId="10" fontId="0" fillId="0" borderId="0" xfId="3" applyNumberFormat="1" applyFont="1" applyBorder="1"/>
    <xf numFmtId="10" fontId="0" fillId="0" borderId="0" xfId="0" applyNumberFormat="1" applyBorder="1"/>
    <xf numFmtId="0" fontId="167" fillId="0" borderId="0" xfId="0" applyFont="1"/>
    <xf numFmtId="0" fontId="0" fillId="0" borderId="132" xfId="0" applyBorder="1"/>
    <xf numFmtId="0" fontId="0" fillId="0" borderId="61" xfId="0" applyBorder="1"/>
    <xf numFmtId="4" fontId="0" fillId="0" borderId="61" xfId="0" applyNumberFormat="1" applyBorder="1"/>
    <xf numFmtId="10" fontId="0" fillId="0" borderId="61" xfId="3" applyNumberFormat="1" applyFont="1" applyBorder="1"/>
    <xf numFmtId="0" fontId="0" fillId="0" borderId="272" xfId="0" applyBorder="1"/>
    <xf numFmtId="0" fontId="3" fillId="0" borderId="166" xfId="0" applyFont="1" applyBorder="1" applyAlignment="1">
      <alignment wrapText="1"/>
    </xf>
    <xf numFmtId="0" fontId="0" fillId="0" borderId="202" xfId="0" applyBorder="1" applyAlignment="1">
      <alignment horizontal="right"/>
    </xf>
    <xf numFmtId="0" fontId="0" fillId="0" borderId="132" xfId="0" applyBorder="1" applyAlignment="1">
      <alignment horizontal="right"/>
    </xf>
    <xf numFmtId="0" fontId="0" fillId="36" borderId="202" xfId="0" applyFill="1" applyBorder="1" applyAlignment="1">
      <alignment horizontal="right"/>
    </xf>
    <xf numFmtId="0" fontId="0" fillId="36" borderId="132" xfId="0" applyFill="1" applyBorder="1" applyAlignment="1">
      <alignment horizontal="right"/>
    </xf>
    <xf numFmtId="0" fontId="0" fillId="0" borderId="289" xfId="0" applyBorder="1" applyAlignment="1">
      <alignment horizontal="right"/>
    </xf>
    <xf numFmtId="0" fontId="165" fillId="21" borderId="0" xfId="0" applyFont="1" applyFill="1" applyBorder="1"/>
    <xf numFmtId="0" fontId="168" fillId="21" borderId="0" xfId="0" applyFont="1" applyFill="1" applyBorder="1"/>
    <xf numFmtId="0" fontId="165" fillId="21" borderId="0" xfId="0" applyFont="1" applyFill="1" applyBorder="1" applyAlignment="1">
      <alignment vertical="center"/>
    </xf>
    <xf numFmtId="164" fontId="165" fillId="21" borderId="0" xfId="0" applyNumberFormat="1" applyFont="1" applyFill="1"/>
    <xf numFmtId="164" fontId="165" fillId="21" borderId="0" xfId="1" applyNumberFormat="1" applyFont="1" applyFill="1" applyBorder="1" applyAlignment="1">
      <alignment vertical="center"/>
    </xf>
    <xf numFmtId="164" fontId="165" fillId="21" borderId="9" xfId="1" applyNumberFormat="1" applyFont="1" applyFill="1" applyBorder="1" applyAlignment="1">
      <alignment horizontal="right" vertical="center"/>
    </xf>
    <xf numFmtId="172" fontId="32" fillId="0" borderId="0" xfId="1" applyNumberFormat="1" applyFont="1" applyAlignment="1">
      <alignment horizontal="right"/>
    </xf>
    <xf numFmtId="200" fontId="11" fillId="21" borderId="20" xfId="3" applyNumberFormat="1" applyFont="1" applyFill="1" applyBorder="1" applyAlignment="1">
      <alignment vertical="center"/>
    </xf>
    <xf numFmtId="172" fontId="24" fillId="0" borderId="0" xfId="1" applyNumberFormat="1" applyFont="1" applyFill="1"/>
    <xf numFmtId="172" fontId="24" fillId="0" borderId="0" xfId="1" applyNumberFormat="1" applyFont="1"/>
    <xf numFmtId="172" fontId="32" fillId="21" borderId="24" xfId="1" applyNumberFormat="1" applyFont="1" applyFill="1" applyBorder="1" applyAlignment="1">
      <alignment horizontal="right" vertical="center"/>
    </xf>
    <xf numFmtId="0" fontId="9" fillId="35" borderId="0" xfId="0" applyFont="1" applyFill="1" applyBorder="1" applyAlignment="1">
      <alignment horizontal="left" textRotation="90" wrapText="1"/>
    </xf>
    <xf numFmtId="169" fontId="0" fillId="19" borderId="0" xfId="1" applyNumberFormat="1" applyFont="1" applyFill="1" applyBorder="1" applyAlignment="1">
      <alignment horizontal="right" vertical="center"/>
    </xf>
    <xf numFmtId="9" fontId="0" fillId="19" borderId="20" xfId="0" applyNumberFormat="1" applyFill="1" applyBorder="1" applyAlignment="1">
      <alignment vertical="center"/>
    </xf>
    <xf numFmtId="9" fontId="0" fillId="19" borderId="13" xfId="0" applyNumberFormat="1" applyFill="1" applyBorder="1" applyAlignment="1">
      <alignment vertical="center"/>
    </xf>
    <xf numFmtId="10" fontId="16" fillId="19" borderId="22" xfId="4" applyNumberFormat="1" applyFont="1" applyFill="1" applyBorder="1" applyAlignment="1">
      <alignment horizontal="right" vertical="center"/>
    </xf>
    <xf numFmtId="10" fontId="16" fillId="19" borderId="15" xfId="4" applyNumberFormat="1" applyFont="1" applyFill="1" applyBorder="1" applyAlignment="1">
      <alignment horizontal="right" vertical="center"/>
    </xf>
    <xf numFmtId="10" fontId="16" fillId="19" borderId="25" xfId="4" applyNumberFormat="1" applyFont="1" applyFill="1" applyBorder="1" applyAlignment="1">
      <alignment horizontal="right"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0" fontId="49" fillId="38" borderId="0" xfId="0" applyFont="1" applyFill="1" applyAlignment="1">
      <alignment horizontal="center" vertical="center"/>
    </xf>
    <xf numFmtId="164" fontId="131"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5"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73">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relative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relativeIndent="0" justifyLastLine="0" shrinkToFit="0" readingOrder="0"/>
    </dxf>
    <dxf>
      <fill>
        <patternFill patternType="solid">
          <fgColor theme="5" tint="0.59999389629810485"/>
          <bgColor theme="3" tint="0.79998168889431442"/>
        </patternFill>
      </fill>
      <alignment horizontal="general" vertical="center" textRotation="0" wrapTex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relative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relativeIndent="0" justifyLastLine="0" shrinkToFit="0" readingOrder="0"/>
    </dxf>
    <dxf>
      <numFmt numFmtId="0" formatCode="General"/>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1" indent="0"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6" formatCode="#,##0.00_);\(#,##0.0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alignment horizontal="general" vertical="center" textRotation="0" wrapText="0" relativeIndent="0" justifyLastLine="0" shrinkToFit="0" readingOrder="0"/>
      <border diagonalUp="0" diagonalDown="0" outline="0">
        <left/>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relativeIndent="0" justifyLastLine="0" shrinkToFit="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72"/>
      <tableStyleElement type="headerRow" dxfId="3171"/>
      <tableStyleElement type="totalRow" dxfId="3170"/>
      <tableStyleElement type="secondRowStripe" dxfId="316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Demand</a:t>
            </a:r>
          </a:p>
        </c:rich>
      </c:tx>
      <c:layout>
        <c:manualLayout>
          <c:xMode val="edge"/>
          <c:yMode val="edge"/>
          <c:x val="0.29752610155508763"/>
          <c:y val="2.0382168331031968E-2"/>
        </c:manualLayout>
      </c:layout>
      <c:overlay val="0"/>
    </c:title>
    <c:autoTitleDeleted val="0"/>
    <c:plotArea>
      <c:layout>
        <c:manualLayout>
          <c:layoutTarget val="inner"/>
          <c:xMode val="edge"/>
          <c:yMode val="edge"/>
          <c:x val="0.12626947672973801"/>
          <c:y val="0.123391816889359"/>
          <c:w val="0.6025432238520475"/>
          <c:h val="0.7813586404359455"/>
        </c:manualLayout>
      </c:layout>
      <c:areaChart>
        <c:grouping val="stacked"/>
        <c:varyColors val="0"/>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38.938914480389414</c:v>
                </c:pt>
                <c:pt idx="1">
                  <c:v>40.051952761847303</c:v>
                </c:pt>
                <c:pt idx="2">
                  <c:v>42.438057670171453</c:v>
                </c:pt>
                <c:pt idx="3">
                  <c:v>43.402334272018976</c:v>
                </c:pt>
                <c:pt idx="4">
                  <c:v>44.291061534783324</c:v>
                </c:pt>
                <c:pt idx="5">
                  <c:v>45.330977507891568</c:v>
                </c:pt>
                <c:pt idx="6">
                  <c:v>46.359403076699564</c:v>
                </c:pt>
                <c:pt idx="7">
                  <c:v>47.557692394089628</c:v>
                </c:pt>
                <c:pt idx="8">
                  <c:v>48.119877929838552</c:v>
                </c:pt>
              </c:numCache>
            </c:numRef>
          </c:val>
          <c:extLst>
            <c:ext xmlns:c16="http://schemas.microsoft.com/office/drawing/2014/chart" uri="{C3380CC4-5D6E-409C-BE32-E72D297353CC}">
              <c16:uniqueId val="{00000000-88E9-4C0B-B1BC-CF06909AC4A3}"/>
            </c:ext>
          </c:extLst>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0.49153024479009</c:v>
                </c:pt>
                <c:pt idx="1">
                  <c:v>0.60466126198529713</c:v>
                </c:pt>
                <c:pt idx="2">
                  <c:v>0.59792767940406566</c:v>
                </c:pt>
                <c:pt idx="3">
                  <c:v>0.57994494620088843</c:v>
                </c:pt>
                <c:pt idx="4">
                  <c:v>0.56031657970381665</c:v>
                </c:pt>
                <c:pt idx="5">
                  <c:v>0.53893545054834324</c:v>
                </c:pt>
                <c:pt idx="6">
                  <c:v>0.5146138572299841</c:v>
                </c:pt>
                <c:pt idx="7">
                  <c:v>0.48874347912078209</c:v>
                </c:pt>
                <c:pt idx="8">
                  <c:v>0.42446014374891816</c:v>
                </c:pt>
              </c:numCache>
            </c:numRef>
          </c:val>
          <c:extLst>
            <c:ext xmlns:c16="http://schemas.microsoft.com/office/drawing/2014/chart" uri="{C3380CC4-5D6E-409C-BE32-E72D297353CC}">
              <c16:uniqueId val="{00000001-88E9-4C0B-B1BC-CF06909AC4A3}"/>
            </c:ext>
          </c:extLst>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2.8688317425508068E-2</c:v>
                </c:pt>
                <c:pt idx="2">
                  <c:v>2.8626918373697949E-2</c:v>
                </c:pt>
                <c:pt idx="3">
                  <c:v>2.8375533440997854E-2</c:v>
                </c:pt>
                <c:pt idx="4">
                  <c:v>2.8092836249242522E-2</c:v>
                </c:pt>
                <c:pt idx="5">
                  <c:v>2.7773770259370195E-2</c:v>
                </c:pt>
                <c:pt idx="6">
                  <c:v>2.7351212236636904E-2</c:v>
                </c:pt>
                <c:pt idx="7">
                  <c:v>2.6897963862265332E-2</c:v>
                </c:pt>
                <c:pt idx="8">
                  <c:v>2.5579695995584108E-2</c:v>
                </c:pt>
              </c:numCache>
            </c:numRef>
          </c:val>
          <c:extLst>
            <c:ext xmlns:c16="http://schemas.microsoft.com/office/drawing/2014/chart" uri="{C3380CC4-5D6E-409C-BE32-E72D297353CC}">
              <c16:uniqueId val="{00000002-88E9-4C0B-B1BC-CF06909AC4A3}"/>
            </c:ext>
          </c:extLst>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extLst>
            <c:ext xmlns:c16="http://schemas.microsoft.com/office/drawing/2014/chart" uri="{C3380CC4-5D6E-409C-BE32-E72D297353CC}">
              <c16:uniqueId val="{00000003-88E9-4C0B-B1BC-CF06909AC4A3}"/>
            </c:ext>
          </c:extLst>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6.8942086199999997</c:v>
                </c:pt>
                <c:pt idx="2">
                  <c:v>7.4554183878892841</c:v>
                </c:pt>
                <c:pt idx="3">
                  <c:v>8.0623123555082739</c:v>
                </c:pt>
                <c:pt idx="4">
                  <c:v>8.7186093571046239</c:v>
                </c:pt>
                <c:pt idx="5">
                  <c:v>9.4283309514618914</c:v>
                </c:pt>
                <c:pt idx="6">
                  <c:v>10.195826064607054</c:v>
                </c:pt>
                <c:pt idx="7">
                  <c:v>11.025797638510145</c:v>
                </c:pt>
                <c:pt idx="8">
                  <c:v>11.923331449069897</c:v>
                </c:pt>
              </c:numCache>
            </c:numRef>
          </c:val>
          <c:extLst>
            <c:ext xmlns:c16="http://schemas.microsoft.com/office/drawing/2014/chart" uri="{C3380CC4-5D6E-409C-BE32-E72D297353CC}">
              <c16:uniqueId val="{00000004-88E9-4C0B-B1BC-CF06909AC4A3}"/>
            </c:ext>
          </c:extLst>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29.571616266227064</c:v>
                </c:pt>
                <c:pt idx="2">
                  <c:v>33.849866348584726</c:v>
                </c:pt>
                <c:pt idx="3">
                  <c:v>34.516085234770344</c:v>
                </c:pt>
                <c:pt idx="4">
                  <c:v>36.391704965243136</c:v>
                </c:pt>
                <c:pt idx="5">
                  <c:v>39.204647409941131</c:v>
                </c:pt>
                <c:pt idx="6">
                  <c:v>42.29943877073584</c:v>
                </c:pt>
                <c:pt idx="7">
                  <c:v>45.705285254959719</c:v>
                </c:pt>
                <c:pt idx="8">
                  <c:v>49.454475610191139</c:v>
                </c:pt>
              </c:numCache>
            </c:numRef>
          </c:val>
          <c:extLst>
            <c:ext xmlns:c16="http://schemas.microsoft.com/office/drawing/2014/chart" uri="{C3380CC4-5D6E-409C-BE32-E72D297353CC}">
              <c16:uniqueId val="{00000005-88E9-4C0B-B1BC-CF06909AC4A3}"/>
            </c:ext>
          </c:extLst>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38.053120882448788</c:v>
                </c:pt>
                <c:pt idx="2">
                  <c:v>38.706446706551574</c:v>
                </c:pt>
                <c:pt idx="3">
                  <c:v>40.345847182119613</c:v>
                </c:pt>
                <c:pt idx="4">
                  <c:v>41.868828503935063</c:v>
                </c:pt>
                <c:pt idx="5">
                  <c:v>43.41920856398503</c:v>
                </c:pt>
                <c:pt idx="6">
                  <c:v>44.991607222661436</c:v>
                </c:pt>
                <c:pt idx="7">
                  <c:v>46.513567046398222</c:v>
                </c:pt>
                <c:pt idx="8">
                  <c:v>48.057882978926571</c:v>
                </c:pt>
              </c:numCache>
            </c:numRef>
          </c:val>
          <c:extLst>
            <c:ext xmlns:c16="http://schemas.microsoft.com/office/drawing/2014/chart" uri="{C3380CC4-5D6E-409C-BE32-E72D297353CC}">
              <c16:uniqueId val="{00000006-88E9-4C0B-B1BC-CF06909AC4A3}"/>
            </c:ext>
          </c:extLst>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10.171449921149492</c:v>
                </c:pt>
                <c:pt idx="2">
                  <c:v>10.471932632280287</c:v>
                </c:pt>
                <c:pt idx="3">
                  <c:v>10.763652138289398</c:v>
                </c:pt>
                <c:pt idx="4">
                  <c:v>11.030755299063758</c:v>
                </c:pt>
                <c:pt idx="5">
                  <c:v>11.303980489562141</c:v>
                </c:pt>
                <c:pt idx="6">
                  <c:v>11.582936791093138</c:v>
                </c:pt>
                <c:pt idx="7">
                  <c:v>11.851775794774838</c:v>
                </c:pt>
                <c:pt idx="8">
                  <c:v>12.155714431932322</c:v>
                </c:pt>
              </c:numCache>
            </c:numRef>
          </c:val>
          <c:extLst>
            <c:ext xmlns:c16="http://schemas.microsoft.com/office/drawing/2014/chart" uri="{C3380CC4-5D6E-409C-BE32-E72D297353CC}">
              <c16:uniqueId val="{00000007-88E9-4C0B-B1BC-CF06909AC4A3}"/>
            </c:ext>
          </c:extLst>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34.577578150524076</c:v>
                </c:pt>
                <c:pt idx="1">
                  <c:v>33.329620720654745</c:v>
                </c:pt>
                <c:pt idx="2">
                  <c:v>32.692715799589308</c:v>
                </c:pt>
                <c:pt idx="3">
                  <c:v>37.153954677342739</c:v>
                </c:pt>
                <c:pt idx="4">
                  <c:v>39.80575828118765</c:v>
                </c:pt>
                <c:pt idx="5">
                  <c:v>39.48963295554023</c:v>
                </c:pt>
                <c:pt idx="6">
                  <c:v>42.126586777901849</c:v>
                </c:pt>
                <c:pt idx="7">
                  <c:v>44.862890496661862</c:v>
                </c:pt>
                <c:pt idx="8">
                  <c:v>47.671420653853062</c:v>
                </c:pt>
              </c:numCache>
            </c:numRef>
          </c:val>
          <c:extLst>
            <c:ext xmlns:c16="http://schemas.microsoft.com/office/drawing/2014/chart" uri="{C3380CC4-5D6E-409C-BE32-E72D297353CC}">
              <c16:uniqueId val="{00000008-88E9-4C0B-B1BC-CF06909AC4A3}"/>
            </c:ext>
          </c:extLst>
        </c:ser>
        <c:dLbls>
          <c:showLegendKey val="0"/>
          <c:showVal val="0"/>
          <c:showCatName val="0"/>
          <c:showSerName val="0"/>
          <c:showPercent val="0"/>
          <c:showBubbleSize val="0"/>
        </c:dLbls>
        <c:axId val="95219712"/>
        <c:axId val="95221248"/>
      </c:areaChart>
      <c:catAx>
        <c:axId val="95219712"/>
        <c:scaling>
          <c:orientation val="minMax"/>
        </c:scaling>
        <c:delete val="0"/>
        <c:axPos val="b"/>
        <c:numFmt formatCode="General" sourceLinked="1"/>
        <c:majorTickMark val="out"/>
        <c:minorTickMark val="none"/>
        <c:tickLblPos val="nextTo"/>
        <c:txPr>
          <a:bodyPr/>
          <a:lstStyle/>
          <a:p>
            <a:pPr>
              <a:defRPr lang="en-US" sz="1200"/>
            </a:pPr>
            <a:endParaRPr lang="en-US"/>
          </a:p>
        </c:txPr>
        <c:crossAx val="95221248"/>
        <c:crosses val="autoZero"/>
        <c:auto val="1"/>
        <c:lblAlgn val="ctr"/>
        <c:lblOffset val="100"/>
        <c:noMultiLvlLbl val="0"/>
      </c:catAx>
      <c:valAx>
        <c:axId val="95221248"/>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219712"/>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Primary supply</a:t>
            </a:r>
          </a:p>
        </c:rich>
      </c:tx>
      <c:layout>
        <c:manualLayout>
          <c:xMode val="edge"/>
          <c:yMode val="edge"/>
          <c:x val="0.28384883677570238"/>
          <c:y val="4.0551399279578806E-2"/>
        </c:manualLayout>
      </c:layout>
      <c:overlay val="0"/>
    </c:title>
    <c:autoTitleDeleted val="0"/>
    <c:plotArea>
      <c:layout>
        <c:manualLayout>
          <c:layoutTarget val="inner"/>
          <c:xMode val="edge"/>
          <c:yMode val="edge"/>
          <c:x val="0.11514510324896422"/>
          <c:y val="0.14293864860339744"/>
          <c:w val="0.615028124877673"/>
          <c:h val="0.74672293785685762"/>
        </c:manualLayout>
      </c:layout>
      <c:areaChart>
        <c:grouping val="stacked"/>
        <c:varyColors val="0"/>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8.9220456958516472</c:v>
                </c:pt>
                <c:pt idx="2">
                  <c:v>8.938365278364472</c:v>
                </c:pt>
                <c:pt idx="3">
                  <c:v>5.6970470101542219</c:v>
                </c:pt>
                <c:pt idx="4">
                  <c:v>2.7272984075678126</c:v>
                </c:pt>
                <c:pt idx="5">
                  <c:v>0.45830669936088952</c:v>
                </c:pt>
                <c:pt idx="6">
                  <c:v>0.36180543144288668</c:v>
                </c:pt>
                <c:pt idx="7">
                  <c:v>0.28557654485991651</c:v>
                </c:pt>
                <c:pt idx="8">
                  <c:v>0.122610416458489</c:v>
                </c:pt>
              </c:numCache>
            </c:numRef>
          </c:val>
          <c:extLst>
            <c:ext xmlns:c16="http://schemas.microsoft.com/office/drawing/2014/chart" uri="{C3380CC4-5D6E-409C-BE32-E72D297353CC}">
              <c16:uniqueId val="{00000000-E9D4-4A3A-BAC7-858423F54521}"/>
            </c:ext>
          </c:extLst>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0.1434054871385817</c:v>
                </c:pt>
                <c:pt idx="2">
                  <c:v>0.23314146875358133</c:v>
                </c:pt>
                <c:pt idx="3">
                  <c:v>0.3313595195314073</c:v>
                </c:pt>
                <c:pt idx="4">
                  <c:v>0.43792102798625754</c:v>
                </c:pt>
                <c:pt idx="5">
                  <c:v>0.55304324430206342</c:v>
                </c:pt>
                <c:pt idx="6">
                  <c:v>0.67669216126185838</c:v>
                </c:pt>
                <c:pt idx="7">
                  <c:v>0.80883168050723919</c:v>
                </c:pt>
                <c:pt idx="8">
                  <c:v>0.9494999999999999</c:v>
                </c:pt>
              </c:numCache>
            </c:numRef>
          </c:val>
          <c:extLst>
            <c:ext xmlns:c16="http://schemas.microsoft.com/office/drawing/2014/chart" uri="{C3380CC4-5D6E-409C-BE32-E72D297353CC}">
              <c16:uniqueId val="{00000001-E9D4-4A3A-BAC7-858423F54521}"/>
            </c:ext>
          </c:extLst>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2-E9D4-4A3A-BAC7-858423F54521}"/>
            </c:ext>
          </c:extLst>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3-E9D4-4A3A-BAC7-858423F54521}"/>
            </c:ext>
          </c:extLst>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4-E9D4-4A3A-BAC7-858423F54521}"/>
            </c:ext>
          </c:extLst>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5-E9D4-4A3A-BAC7-858423F54521}"/>
            </c:ext>
          </c:extLst>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E9D4-4A3A-BAC7-858423F54521}"/>
            </c:ext>
          </c:extLst>
        </c:ser>
        <c:dLbls>
          <c:showLegendKey val="0"/>
          <c:showVal val="0"/>
          <c:showCatName val="0"/>
          <c:showSerName val="0"/>
          <c:showPercent val="0"/>
          <c:showBubbleSize val="0"/>
        </c:dLbls>
        <c:axId val="95881088"/>
        <c:axId val="95882624"/>
      </c:areaChart>
      <c:catAx>
        <c:axId val="95881088"/>
        <c:scaling>
          <c:orientation val="minMax"/>
        </c:scaling>
        <c:delete val="0"/>
        <c:axPos val="b"/>
        <c:numFmt formatCode="General" sourceLinked="1"/>
        <c:majorTickMark val="out"/>
        <c:minorTickMark val="none"/>
        <c:tickLblPos val="nextTo"/>
        <c:txPr>
          <a:bodyPr/>
          <a:lstStyle/>
          <a:p>
            <a:pPr>
              <a:defRPr lang="en-US" sz="1200"/>
            </a:pPr>
            <a:endParaRPr lang="en-US"/>
          </a:p>
        </c:txPr>
        <c:crossAx val="95882624"/>
        <c:crosses val="autoZero"/>
        <c:auto val="1"/>
        <c:lblAlgn val="ctr"/>
        <c:lblOffset val="100"/>
        <c:noMultiLvlLbl val="0"/>
      </c:catAx>
      <c:valAx>
        <c:axId val="95882624"/>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881088"/>
        <c:crosses val="autoZero"/>
        <c:crossBetween val="midCat"/>
      </c:valAx>
      <c:spPr>
        <a:noFill/>
      </c:spPr>
    </c:plotArea>
    <c:legend>
      <c:legendPos val="r"/>
      <c:legendEntry>
        <c:idx val="0"/>
        <c:delete val="1"/>
      </c:legendEntry>
      <c:layout>
        <c:manualLayout>
          <c:xMode val="edge"/>
          <c:yMode val="edge"/>
          <c:x val="0.7482012022771185"/>
          <c:y val="0.102083910593886"/>
          <c:w val="0.25179879772295238"/>
          <c:h val="0.7713678766049328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Electricity generation</a:t>
            </a:r>
          </a:p>
        </c:rich>
      </c:tx>
      <c:layout>
        <c:manualLayout>
          <c:xMode val="edge"/>
          <c:yMode val="edge"/>
          <c:x val="0.19056903184724341"/>
          <c:y val="2.37598231827112E-2"/>
        </c:manualLayout>
      </c:layout>
      <c:overlay val="0"/>
    </c:title>
    <c:autoTitleDeleted val="0"/>
    <c:plotArea>
      <c:layout>
        <c:manualLayout>
          <c:layoutTarget val="inner"/>
          <c:xMode val="edge"/>
          <c:yMode val="edge"/>
          <c:x val="0.11860834942565412"/>
          <c:y val="0.14293864860339744"/>
          <c:w val="0.63933857577989761"/>
          <c:h val="0.74672293785685762"/>
        </c:manualLayout>
      </c:layout>
      <c:areaChart>
        <c:grouping val="stacked"/>
        <c:varyColors val="0"/>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19.783214082973807</c:v>
                </c:pt>
                <c:pt idx="1">
                  <c:v>19.48990957229227</c:v>
                </c:pt>
                <c:pt idx="2">
                  <c:v>21.190560440738988</c:v>
                </c:pt>
                <c:pt idx="3">
                  <c:v>26.427914392485704</c:v>
                </c:pt>
                <c:pt idx="4">
                  <c:v>31.467683465113346</c:v>
                </c:pt>
                <c:pt idx="5">
                  <c:v>35.992545512642891</c:v>
                </c:pt>
                <c:pt idx="6">
                  <c:v>38.514360700900369</c:v>
                </c:pt>
                <c:pt idx="7">
                  <c:v>41.126281356346361</c:v>
                </c:pt>
                <c:pt idx="8">
                  <c:v>43.836146815041346</c:v>
                </c:pt>
              </c:numCache>
            </c:numRef>
          </c:val>
          <c:extLst>
            <c:ext xmlns:c16="http://schemas.microsoft.com/office/drawing/2014/chart" uri="{C3380CC4-5D6E-409C-BE32-E72D297353CC}">
              <c16:uniqueId val="{00000000-041D-4341-8B0A-8B956C834E8F}"/>
            </c:ext>
          </c:extLst>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041D-4341-8B0A-8B956C834E8F}"/>
            </c:ext>
          </c:extLst>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041D-4341-8B0A-8B956C834E8F}"/>
            </c:ext>
          </c:extLst>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6.3825684299999992</c:v>
                </c:pt>
                <c:pt idx="3">
                  <c:v>4.13838477</c:v>
                </c:pt>
                <c:pt idx="4">
                  <c:v>1.6571684699999998</c:v>
                </c:pt>
                <c:pt idx="5">
                  <c:v>0.38491505999999981</c:v>
                </c:pt>
                <c:pt idx="6">
                  <c:v>0.28498265999999978</c:v>
                </c:pt>
                <c:pt idx="7">
                  <c:v>0.20534354999999976</c:v>
                </c:pt>
                <c:pt idx="8">
                  <c:v>3.8789549999999742E-2</c:v>
                </c:pt>
              </c:numCache>
            </c:numRef>
          </c:val>
          <c:extLst>
            <c:ext xmlns:c16="http://schemas.microsoft.com/office/drawing/2014/chart" uri="{C3380CC4-5D6E-409C-BE32-E72D297353CC}">
              <c16:uniqueId val="{00000003-041D-4341-8B0A-8B956C834E8F}"/>
            </c:ext>
          </c:extLst>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c:ext xmlns:c16="http://schemas.microsoft.com/office/drawing/2014/chart" uri="{C3380CC4-5D6E-409C-BE32-E72D297353CC}">
              <c16:uniqueId val="{00000004-041D-4341-8B0A-8B956C834E8F}"/>
            </c:ext>
          </c:extLst>
        </c:ser>
        <c:dLbls>
          <c:showLegendKey val="0"/>
          <c:showVal val="0"/>
          <c:showCatName val="0"/>
          <c:showSerName val="0"/>
          <c:showPercent val="0"/>
          <c:showBubbleSize val="0"/>
        </c:dLbls>
        <c:axId val="95954048"/>
        <c:axId val="95955584"/>
      </c:areaChart>
      <c:lineChart>
        <c:grouping val="standard"/>
        <c:varyColors val="0"/>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27.528679060156033</c:v>
                </c:pt>
                <c:pt idx="1">
                  <c:v>28.35524906180326</c:v>
                </c:pt>
                <c:pt idx="2">
                  <c:v>30.069337727921212</c:v>
                </c:pt>
                <c:pt idx="3">
                  <c:v>32.062508019667931</c:v>
                </c:pt>
                <c:pt idx="4">
                  <c:v>34.121060792295573</c:v>
                </c:pt>
                <c:pt idx="5">
                  <c:v>36.373669429825114</c:v>
                </c:pt>
                <c:pt idx="6">
                  <c:v>38.795552218082598</c:v>
                </c:pt>
                <c:pt idx="7">
                  <c:v>41.327833763528588</c:v>
                </c:pt>
                <c:pt idx="8">
                  <c:v>43.871145222223568</c:v>
                </c:pt>
              </c:numCache>
            </c:numRef>
          </c:val>
          <c:smooth val="0"/>
          <c:extLst>
            <c:ext xmlns:c16="http://schemas.microsoft.com/office/drawing/2014/chart" uri="{C3380CC4-5D6E-409C-BE32-E72D297353CC}">
              <c16:uniqueId val="{00000005-041D-4341-8B0A-8B956C834E8F}"/>
            </c:ext>
          </c:extLst>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27.532470202973808</c:v>
                </c:pt>
                <c:pt idx="1">
                  <c:v>28.359040204621035</c:v>
                </c:pt>
                <c:pt idx="2">
                  <c:v>30.073128870738987</c:v>
                </c:pt>
                <c:pt idx="3">
                  <c:v>32.066299162485706</c:v>
                </c:pt>
                <c:pt idx="4">
                  <c:v>34.124851935113348</c:v>
                </c:pt>
                <c:pt idx="5">
                  <c:v>36.377460572642889</c:v>
                </c:pt>
                <c:pt idx="6">
                  <c:v>38.799343360900366</c:v>
                </c:pt>
                <c:pt idx="7">
                  <c:v>41.331624906346363</c:v>
                </c:pt>
                <c:pt idx="8">
                  <c:v>43.874936365041343</c:v>
                </c:pt>
              </c:numCache>
            </c:numRef>
          </c:val>
          <c:smooth val="0"/>
          <c:extLst>
            <c:ext xmlns:c16="http://schemas.microsoft.com/office/drawing/2014/chart" uri="{C3380CC4-5D6E-409C-BE32-E72D297353CC}">
              <c16:uniqueId val="{00000006-041D-4341-8B0A-8B956C834E8F}"/>
            </c:ext>
          </c:extLst>
        </c:ser>
        <c:dLbls>
          <c:showLegendKey val="0"/>
          <c:showVal val="0"/>
          <c:showCatName val="0"/>
          <c:showSerName val="0"/>
          <c:showPercent val="0"/>
          <c:showBubbleSize val="0"/>
        </c:dLbls>
        <c:marker val="1"/>
        <c:smooth val="0"/>
        <c:axId val="95971584"/>
        <c:axId val="95970048"/>
      </c:lineChart>
      <c:catAx>
        <c:axId val="95954048"/>
        <c:scaling>
          <c:orientation val="minMax"/>
        </c:scaling>
        <c:delete val="0"/>
        <c:axPos val="b"/>
        <c:numFmt formatCode="General" sourceLinked="1"/>
        <c:majorTickMark val="out"/>
        <c:minorTickMark val="none"/>
        <c:tickLblPos val="nextTo"/>
        <c:txPr>
          <a:bodyPr/>
          <a:lstStyle/>
          <a:p>
            <a:pPr>
              <a:defRPr lang="en-US" sz="1200"/>
            </a:pPr>
            <a:endParaRPr lang="en-US"/>
          </a:p>
        </c:txPr>
        <c:crossAx val="95955584"/>
        <c:crosses val="autoZero"/>
        <c:auto val="1"/>
        <c:lblAlgn val="ctr"/>
        <c:lblOffset val="100"/>
        <c:noMultiLvlLbl val="0"/>
      </c:catAx>
      <c:valAx>
        <c:axId val="95955584"/>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566"/>
            </c:manualLayout>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954048"/>
        <c:crosses val="autoZero"/>
        <c:crossBetween val="midCat"/>
      </c:valAx>
      <c:valAx>
        <c:axId val="95970048"/>
        <c:scaling>
          <c:orientation val="minMax"/>
        </c:scaling>
        <c:delete val="1"/>
        <c:axPos val="r"/>
        <c:numFmt formatCode="#,##0.0_);\(#,##0.0\);&quot;-&quot;_);@" sourceLinked="1"/>
        <c:majorTickMark val="out"/>
        <c:minorTickMark val="none"/>
        <c:tickLblPos val="none"/>
        <c:crossAx val="95971584"/>
        <c:crosses val="max"/>
        <c:crossBetween val="between"/>
      </c:valAx>
      <c:catAx>
        <c:axId val="95971584"/>
        <c:scaling>
          <c:orientation val="minMax"/>
        </c:scaling>
        <c:delete val="1"/>
        <c:axPos val="b"/>
        <c:numFmt formatCode="General" sourceLinked="1"/>
        <c:majorTickMark val="out"/>
        <c:minorTickMark val="none"/>
        <c:tickLblPos val="none"/>
        <c:crossAx val="95970048"/>
        <c:crosses val="autoZero"/>
        <c:auto val="1"/>
        <c:lblAlgn val="ctr"/>
        <c:lblOffset val="100"/>
        <c:noMultiLvlLbl val="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Emissions (% of base year)</a:t>
            </a:r>
          </a:p>
        </c:rich>
      </c:tx>
      <c:layout>
        <c:manualLayout>
          <c:xMode val="edge"/>
          <c:yMode val="edge"/>
          <c:x val="0.26909292368401438"/>
          <c:y val="3.7817639846480712E-2"/>
        </c:manualLayout>
      </c:layout>
      <c:overlay val="0"/>
    </c:title>
    <c:autoTitleDeleted val="0"/>
    <c:plotArea>
      <c:layout>
        <c:manualLayout>
          <c:layoutTarget val="inner"/>
          <c:xMode val="edge"/>
          <c:yMode val="edge"/>
          <c:x val="0.109388716961062"/>
          <c:y val="0.12339175210124784"/>
          <c:w val="0.6214333029614405"/>
          <c:h val="0.7813586404359455"/>
        </c:manualLayout>
      </c:layout>
      <c:areaChart>
        <c:grouping val="stacked"/>
        <c:varyColors val="0"/>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0.6307916867813399</c:v>
                </c:pt>
                <c:pt idx="1">
                  <c:v>0.63044001730402788</c:v>
                </c:pt>
                <c:pt idx="2">
                  <c:v>0.64910761037713005</c:v>
                </c:pt>
                <c:pt idx="3">
                  <c:v>0.68845221200818363</c:v>
                </c:pt>
                <c:pt idx="4">
                  <c:v>0.70769205702767857</c:v>
                </c:pt>
                <c:pt idx="5">
                  <c:v>0.69875677343665332</c:v>
                </c:pt>
                <c:pt idx="6">
                  <c:v>0.72791604789887576</c:v>
                </c:pt>
                <c:pt idx="7">
                  <c:v>0.75893134838600496</c:v>
                </c:pt>
                <c:pt idx="8">
                  <c:v>0.78896229786988514</c:v>
                </c:pt>
              </c:numCache>
            </c:numRef>
          </c:val>
          <c:extLst>
            <c:ext xmlns:c16="http://schemas.microsoft.com/office/drawing/2014/chart" uri="{C3380CC4-5D6E-409C-BE32-E72D297353CC}">
              <c16:uniqueId val="{00000000-BD4C-4FE8-8A0F-A14B211727EE}"/>
            </c:ext>
          </c:extLst>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3.940960924610775E-2</c:v>
                </c:pt>
                <c:pt idx="1">
                  <c:v>3.9961214708683745E-2</c:v>
                </c:pt>
                <c:pt idx="2">
                  <c:v>4.1420099924316542E-2</c:v>
                </c:pt>
                <c:pt idx="3">
                  <c:v>4.3000081615425581E-2</c:v>
                </c:pt>
                <c:pt idx="4">
                  <c:v>4.4710475834885743E-2</c:v>
                </c:pt>
                <c:pt idx="5">
                  <c:v>4.6561318836541375E-2</c:v>
                </c:pt>
                <c:pt idx="6">
                  <c:v>4.8563422734098367E-2</c:v>
                </c:pt>
                <c:pt idx="7">
                  <c:v>5.0728435461564025E-2</c:v>
                </c:pt>
                <c:pt idx="8">
                  <c:v>5.3068905367675431E-2</c:v>
                </c:pt>
              </c:numCache>
            </c:numRef>
          </c:val>
          <c:extLst>
            <c:ext xmlns:c16="http://schemas.microsoft.com/office/drawing/2014/chart" uri="{C3380CC4-5D6E-409C-BE32-E72D297353CC}">
              <c16:uniqueId val="{00000001-BD4C-4FE8-8A0F-A14B211727EE}"/>
            </c:ext>
          </c:extLst>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0.29996709372604041</c:v>
                </c:pt>
                <c:pt idx="1">
                  <c:v>0.29428857433167255</c:v>
                </c:pt>
                <c:pt idx="2">
                  <c:v>0.28988377444752156</c:v>
                </c:pt>
                <c:pt idx="3">
                  <c:v>0.28554393311253001</c:v>
                </c:pt>
                <c:pt idx="4">
                  <c:v>0.28633803060535734</c:v>
                </c:pt>
                <c:pt idx="5">
                  <c:v>0.28720785262368859</c:v>
                </c:pt>
                <c:pt idx="6">
                  <c:v>0.28815747098714101</c:v>
                </c:pt>
                <c:pt idx="7">
                  <c:v>0.28919119502351509</c:v>
                </c:pt>
                <c:pt idx="8">
                  <c:v>0.29031358608610019</c:v>
                </c:pt>
              </c:numCache>
            </c:numRef>
          </c:val>
          <c:extLst>
            <c:ext xmlns:c16="http://schemas.microsoft.com/office/drawing/2014/chart" uri="{C3380CC4-5D6E-409C-BE32-E72D297353CC}">
              <c16:uniqueId val="{00000002-BD4C-4FE8-8A0F-A14B211727EE}"/>
            </c:ext>
          </c:extLst>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6.5430516228065366E-2</c:v>
                </c:pt>
                <c:pt idx="1">
                  <c:v>6.4301799123843456E-2</c:v>
                </c:pt>
                <c:pt idx="2">
                  <c:v>6.1480006363288923E-2</c:v>
                </c:pt>
                <c:pt idx="3">
                  <c:v>5.8658213602734287E-2</c:v>
                </c:pt>
                <c:pt idx="4">
                  <c:v>5.5836420842179747E-2</c:v>
                </c:pt>
                <c:pt idx="5">
                  <c:v>5.3014628081625118E-2</c:v>
                </c:pt>
                <c:pt idx="6">
                  <c:v>5.0192835321070495E-2</c:v>
                </c:pt>
                <c:pt idx="7">
                  <c:v>4.7371042560515955E-2</c:v>
                </c:pt>
                <c:pt idx="8">
                  <c:v>4.4549249799960999E-2</c:v>
                </c:pt>
              </c:numCache>
            </c:numRef>
          </c:val>
          <c:extLst>
            <c:ext xmlns:c16="http://schemas.microsoft.com/office/drawing/2014/chart" uri="{C3380CC4-5D6E-409C-BE32-E72D297353CC}">
              <c16:uniqueId val="{00000003-BD4C-4FE8-8A0F-A14B211727EE}"/>
            </c:ext>
          </c:extLst>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2.1261934677477688E-2</c:v>
                </c:pt>
                <c:pt idx="1">
                  <c:v>1.7666122751915949E-2</c:v>
                </c:pt>
                <c:pt idx="2">
                  <c:v>1.3730931732858161E-2</c:v>
                </c:pt>
                <c:pt idx="3">
                  <c:v>1.2713802039182103E-2</c:v>
                </c:pt>
                <c:pt idx="4">
                  <c:v>1.2380482978113418E-2</c:v>
                </c:pt>
                <c:pt idx="5">
                  <c:v>1.194800977026836E-2</c:v>
                </c:pt>
                <c:pt idx="6">
                  <c:v>1.1416382415646929E-2</c:v>
                </c:pt>
                <c:pt idx="7">
                  <c:v>1.0785600914249131E-2</c:v>
                </c:pt>
                <c:pt idx="8">
                  <c:v>1.0055665266074964E-2</c:v>
                </c:pt>
              </c:numCache>
            </c:numRef>
          </c:val>
          <c:extLst>
            <c:ext xmlns:c16="http://schemas.microsoft.com/office/drawing/2014/chart" uri="{C3380CC4-5D6E-409C-BE32-E72D297353CC}">
              <c16:uniqueId val="{00000004-BD4C-4FE8-8A0F-A14B211727EE}"/>
            </c:ext>
          </c:extLst>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3.276153151082542E-2</c:v>
                </c:pt>
                <c:pt idx="1">
                  <c:v>3.217447762768294E-2</c:v>
                </c:pt>
                <c:pt idx="2">
                  <c:v>3.4793578980231062E-2</c:v>
                </c:pt>
                <c:pt idx="3">
                  <c:v>3.7625883231495939E-2</c:v>
                </c:pt>
                <c:pt idx="4">
                  <c:v>4.0688745752615461E-2</c:v>
                </c:pt>
                <c:pt idx="5">
                  <c:v>4.4000934695271991E-2</c:v>
                </c:pt>
                <c:pt idx="6">
                  <c:v>4.758274599637026E-2</c:v>
                </c:pt>
                <c:pt idx="7">
                  <c:v>5.1456127744449388E-2</c:v>
                </c:pt>
                <c:pt idx="8">
                  <c:v>5.5644814669903023E-2</c:v>
                </c:pt>
              </c:numCache>
            </c:numRef>
          </c:val>
          <c:extLst>
            <c:ext xmlns:c16="http://schemas.microsoft.com/office/drawing/2014/chart" uri="{C3380CC4-5D6E-409C-BE32-E72D297353CC}">
              <c16:uniqueId val="{00000005-BD4C-4FE8-8A0F-A14B211727EE}"/>
            </c:ext>
          </c:extLst>
        </c:ser>
        <c:dLbls>
          <c:showLegendKey val="0"/>
          <c:showVal val="0"/>
          <c:showCatName val="0"/>
          <c:showSerName val="0"/>
          <c:showPercent val="0"/>
          <c:showBubbleSize val="0"/>
        </c:dLbls>
        <c:axId val="96022912"/>
        <c:axId val="96024448"/>
      </c:areaChart>
      <c:areaChart>
        <c:grouping val="stacked"/>
        <c:varyColors val="0"/>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-1.2361910643182582E-2</c:v>
                </c:pt>
                <c:pt idx="1">
                  <c:v>-1.6125683735526836E-2</c:v>
                </c:pt>
                <c:pt idx="2">
                  <c:v>-1.872798402553363E-2</c:v>
                </c:pt>
                <c:pt idx="3">
                  <c:v>-2.1926906094728763E-2</c:v>
                </c:pt>
                <c:pt idx="4">
                  <c:v>-2.4970681654293447E-2</c:v>
                </c:pt>
                <c:pt idx="5">
                  <c:v>-2.5164747500389759E-2</c:v>
                </c:pt>
                <c:pt idx="6">
                  <c:v>-2.2442378983133643E-2</c:v>
                </c:pt>
                <c:pt idx="7">
                  <c:v>-1.9782183194663943E-2</c:v>
                </c:pt>
                <c:pt idx="8">
                  <c:v>-1.9656027866758873E-2</c:v>
                </c:pt>
              </c:numCache>
            </c:numRef>
          </c:val>
          <c:extLst>
            <c:ext xmlns:c16="http://schemas.microsoft.com/office/drawing/2014/chart" uri="{C3380CC4-5D6E-409C-BE32-E72D297353CC}">
              <c16:uniqueId val="{00000006-BD4C-4FE8-8A0F-A14B211727EE}"/>
            </c:ext>
          </c:extLst>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7-BD4C-4FE8-8A0F-A14B211727EE}"/>
            </c:ext>
          </c:extLst>
        </c:ser>
        <c:dLbls>
          <c:showLegendKey val="0"/>
          <c:showVal val="0"/>
          <c:showCatName val="0"/>
          <c:showSerName val="0"/>
          <c:showPercent val="0"/>
          <c:showBubbleSize val="0"/>
        </c:dLbls>
        <c:axId val="96032256"/>
        <c:axId val="96030720"/>
      </c:areaChart>
      <c:lineChart>
        <c:grouping val="standard"/>
        <c:varyColors val="0"/>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1.0772604615266739</c:v>
                </c:pt>
                <c:pt idx="1">
                  <c:v>1.0627065221122995</c:v>
                </c:pt>
                <c:pt idx="2">
                  <c:v>1.0716880177998127</c:v>
                </c:pt>
                <c:pt idx="3">
                  <c:v>1.1040672195148229</c:v>
                </c:pt>
                <c:pt idx="4">
                  <c:v>1.1226755313865369</c:v>
                </c:pt>
                <c:pt idx="5">
                  <c:v>1.1163247699436589</c:v>
                </c:pt>
                <c:pt idx="6">
                  <c:v>1.1513865263700693</c:v>
                </c:pt>
                <c:pt idx="7">
                  <c:v>1.1886815668956348</c:v>
                </c:pt>
                <c:pt idx="8">
                  <c:v>1.2229384911928409</c:v>
                </c:pt>
              </c:numCache>
            </c:numRef>
          </c:val>
          <c:smooth val="0"/>
          <c:extLst>
            <c:ext xmlns:c16="http://schemas.microsoft.com/office/drawing/2014/chart" uri="{C3380CC4-5D6E-409C-BE32-E72D297353CC}">
              <c16:uniqueId val="{00000008-BD4C-4FE8-8A0F-A14B211727EE}"/>
            </c:ext>
          </c:extLst>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mooth val="0"/>
          <c:extLst>
            <c:ext xmlns:c16="http://schemas.microsoft.com/office/drawing/2014/chart" uri="{C3380CC4-5D6E-409C-BE32-E72D297353CC}">
              <c16:uniqueId val="{00000009-BD4C-4FE8-8A0F-A14B211727EE}"/>
            </c:ext>
          </c:extLst>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A-BD4C-4FE8-8A0F-A14B211727EE}"/>
            </c:ext>
          </c:extLst>
        </c:ser>
        <c:dLbls>
          <c:showLegendKey val="0"/>
          <c:showVal val="0"/>
          <c:showCatName val="0"/>
          <c:showSerName val="0"/>
          <c:showPercent val="0"/>
          <c:showBubbleSize val="0"/>
        </c:dLbls>
        <c:marker val="1"/>
        <c:smooth val="0"/>
        <c:axId val="96032256"/>
        <c:axId val="96030720"/>
      </c:lineChart>
      <c:catAx>
        <c:axId val="96022912"/>
        <c:scaling>
          <c:orientation val="minMax"/>
        </c:scaling>
        <c:delete val="0"/>
        <c:axPos val="b"/>
        <c:numFmt formatCode="General" sourceLinked="1"/>
        <c:majorTickMark val="out"/>
        <c:minorTickMark val="none"/>
        <c:tickLblPos val="nextTo"/>
        <c:txPr>
          <a:bodyPr/>
          <a:lstStyle/>
          <a:p>
            <a:pPr>
              <a:defRPr lang="en-US" sz="1200"/>
            </a:pPr>
            <a:endParaRPr lang="en-US"/>
          </a:p>
        </c:txPr>
        <c:crossAx val="96024448"/>
        <c:crossesAt val="-0.60000000000000064"/>
        <c:auto val="1"/>
        <c:lblAlgn val="ctr"/>
        <c:lblOffset val="100"/>
        <c:noMultiLvlLbl val="0"/>
      </c:catAx>
      <c:valAx>
        <c:axId val="96024448"/>
        <c:scaling>
          <c:orientation val="minMax"/>
          <c:min val="-0.60000000000000064"/>
        </c:scaling>
        <c:delete val="0"/>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overlay val="0"/>
        </c:title>
        <c:numFmt formatCode="0%" sourceLinked="0"/>
        <c:majorTickMark val="out"/>
        <c:minorTickMark val="none"/>
        <c:tickLblPos val="nextTo"/>
        <c:spPr>
          <a:ln>
            <a:noFill/>
          </a:ln>
        </c:spPr>
        <c:txPr>
          <a:bodyPr/>
          <a:lstStyle/>
          <a:p>
            <a:pPr>
              <a:defRPr lang="en-US" sz="1200"/>
            </a:pPr>
            <a:endParaRPr lang="en-US"/>
          </a:p>
        </c:txPr>
        <c:crossAx val="96022912"/>
        <c:crosses val="autoZero"/>
        <c:crossBetween val="midCat"/>
      </c:valAx>
      <c:valAx>
        <c:axId val="96030720"/>
        <c:scaling>
          <c:orientation val="minMax"/>
          <c:min val="-0.60000000000000064"/>
        </c:scaling>
        <c:delete val="0"/>
        <c:axPos val="r"/>
        <c:numFmt formatCode="0%;\ \(0%\);\ \-" sourceLinked="1"/>
        <c:majorTickMark val="none"/>
        <c:minorTickMark val="none"/>
        <c:tickLblPos val="none"/>
        <c:spPr>
          <a:ln>
            <a:noFill/>
          </a:ln>
        </c:spPr>
        <c:txPr>
          <a:bodyPr/>
          <a:lstStyle/>
          <a:p>
            <a:pPr>
              <a:defRPr lang="en-US"/>
            </a:pPr>
            <a:endParaRPr lang="en-US"/>
          </a:p>
        </c:txPr>
        <c:crossAx val="96032256"/>
        <c:crosses val="max"/>
        <c:crossBetween val="between"/>
      </c:valAx>
      <c:catAx>
        <c:axId val="96032256"/>
        <c:scaling>
          <c:orientation val="minMax"/>
        </c:scaling>
        <c:delete val="1"/>
        <c:axPos val="b"/>
        <c:numFmt formatCode="General" sourceLinked="1"/>
        <c:majorTickMark val="out"/>
        <c:minorTickMark val="none"/>
        <c:tickLblPos val="none"/>
        <c:crossAx val="96030720"/>
        <c:crossesAt val="0"/>
        <c:auto val="1"/>
        <c:lblAlgn val="ctr"/>
        <c:lblOffset val="100"/>
        <c:noMultiLvlLbl val="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overlay val="0"/>
      <c:txPr>
        <a:bodyPr/>
        <a:lstStyle/>
        <a:p>
          <a:pPr>
            <a:defRPr lang="en-US" sz="1200"/>
          </a:pPr>
          <a:endParaRPr lang="en-US"/>
        </a:p>
      </c:txPr>
    </c:legend>
    <c:plotVisOnly val="1"/>
    <c:dispBlanksAs val="zero"/>
    <c:showDLblsOverMax val="0"/>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Final</a:t>
            </a:r>
            <a:r>
              <a:rPr lang="en-US" sz="1100" baseline="0"/>
              <a:t> </a:t>
            </a:r>
            <a:r>
              <a:rPr lang="en-US" sz="1100"/>
              <a:t>Demand</a:t>
            </a:r>
          </a:p>
        </c:rich>
      </c:tx>
      <c:overlay val="0"/>
    </c:title>
    <c:autoTitleDeleted val="0"/>
    <c:plotArea>
      <c:layout/>
      <c:areaChart>
        <c:grouping val="stacked"/>
        <c:varyColors val="0"/>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47.137624510367047</c:v>
                </c:pt>
                <c:pt idx="1">
                  <c:v>48.239510961258105</c:v>
                </c:pt>
                <c:pt idx="2">
                  <c:v>51.180030655838493</c:v>
                </c:pt>
                <c:pt idx="3">
                  <c:v>52.732967107169138</c:v>
                </c:pt>
                <c:pt idx="4">
                  <c:v>54.258080307841006</c:v>
                </c:pt>
                <c:pt idx="5">
                  <c:v>55.986017680161169</c:v>
                </c:pt>
                <c:pt idx="6">
                  <c:v>57.757194210773235</c:v>
                </c:pt>
                <c:pt idx="7">
                  <c:v>59.759131475582819</c:v>
                </c:pt>
                <c:pt idx="8">
                  <c:v>61.153249218652945</c:v>
                </c:pt>
              </c:numCache>
            </c:numRef>
          </c:val>
          <c:extLst>
            <c:ext xmlns:c16="http://schemas.microsoft.com/office/drawing/2014/chart" uri="{C3380CC4-5D6E-409C-BE32-E72D297353CC}">
              <c16:uniqueId val="{00000000-951B-4259-8B34-80659CFAAC7E}"/>
            </c:ext>
          </c:extLst>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29.571616266227064</c:v>
                </c:pt>
                <c:pt idx="2">
                  <c:v>33.849866348584726</c:v>
                </c:pt>
                <c:pt idx="3">
                  <c:v>34.516085234770344</c:v>
                </c:pt>
                <c:pt idx="4">
                  <c:v>36.391704965243136</c:v>
                </c:pt>
                <c:pt idx="5">
                  <c:v>39.204647409941131</c:v>
                </c:pt>
                <c:pt idx="6">
                  <c:v>42.29943877073584</c:v>
                </c:pt>
                <c:pt idx="7">
                  <c:v>45.705285254959719</c:v>
                </c:pt>
                <c:pt idx="8">
                  <c:v>49.454475610191139</c:v>
                </c:pt>
              </c:numCache>
            </c:numRef>
          </c:val>
          <c:extLst>
            <c:ext xmlns:c16="http://schemas.microsoft.com/office/drawing/2014/chart" uri="{C3380CC4-5D6E-409C-BE32-E72D297353CC}">
              <c16:uniqueId val="{00000001-951B-4259-8B34-80659CFAAC7E}"/>
            </c:ext>
          </c:extLst>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38.053120882448788</c:v>
                </c:pt>
                <c:pt idx="2">
                  <c:v>38.706446706551574</c:v>
                </c:pt>
                <c:pt idx="3">
                  <c:v>40.345847182119613</c:v>
                </c:pt>
                <c:pt idx="4">
                  <c:v>41.868828503935063</c:v>
                </c:pt>
                <c:pt idx="5">
                  <c:v>43.41920856398503</c:v>
                </c:pt>
                <c:pt idx="6">
                  <c:v>44.991607222661436</c:v>
                </c:pt>
                <c:pt idx="7">
                  <c:v>46.513567046398222</c:v>
                </c:pt>
                <c:pt idx="8">
                  <c:v>48.057882978926571</c:v>
                </c:pt>
              </c:numCache>
            </c:numRef>
          </c:val>
          <c:extLst>
            <c:ext xmlns:c16="http://schemas.microsoft.com/office/drawing/2014/chart" uri="{C3380CC4-5D6E-409C-BE32-E72D297353CC}">
              <c16:uniqueId val="{00000002-951B-4259-8B34-80659CFAAC7E}"/>
            </c:ext>
          </c:extLst>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10.171449921149492</c:v>
                </c:pt>
                <c:pt idx="2">
                  <c:v>10.471932632280287</c:v>
                </c:pt>
                <c:pt idx="3">
                  <c:v>10.763652138289398</c:v>
                </c:pt>
                <c:pt idx="4">
                  <c:v>11.030755299063758</c:v>
                </c:pt>
                <c:pt idx="5">
                  <c:v>11.303980489562141</c:v>
                </c:pt>
                <c:pt idx="6">
                  <c:v>11.582936791093138</c:v>
                </c:pt>
                <c:pt idx="7">
                  <c:v>11.851775794774838</c:v>
                </c:pt>
                <c:pt idx="8">
                  <c:v>12.155714431932322</c:v>
                </c:pt>
              </c:numCache>
            </c:numRef>
          </c:val>
          <c:extLst>
            <c:ext xmlns:c16="http://schemas.microsoft.com/office/drawing/2014/chart" uri="{C3380CC4-5D6E-409C-BE32-E72D297353CC}">
              <c16:uniqueId val="{00000003-951B-4259-8B34-80659CFAAC7E}"/>
            </c:ext>
          </c:extLst>
        </c:ser>
        <c:dLbls>
          <c:showLegendKey val="0"/>
          <c:showVal val="0"/>
          <c:showCatName val="0"/>
          <c:showSerName val="0"/>
          <c:showPercent val="0"/>
          <c:showBubbleSize val="0"/>
        </c:dLbls>
        <c:axId val="48765184"/>
        <c:axId val="48795648"/>
      </c:areaChart>
      <c:catAx>
        <c:axId val="48765184"/>
        <c:scaling>
          <c:orientation val="minMax"/>
        </c:scaling>
        <c:delete val="0"/>
        <c:axPos val="b"/>
        <c:numFmt formatCode="General" sourceLinked="1"/>
        <c:majorTickMark val="out"/>
        <c:minorTickMark val="none"/>
        <c:tickLblPos val="nextTo"/>
        <c:crossAx val="48795648"/>
        <c:crosses val="autoZero"/>
        <c:auto val="1"/>
        <c:lblAlgn val="ctr"/>
        <c:lblOffset val="100"/>
        <c:noMultiLvlLbl val="0"/>
      </c:catAx>
      <c:valAx>
        <c:axId val="4879564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765184"/>
        <c:crosses val="autoZero"/>
        <c:crossBetween val="midCat"/>
      </c:valAx>
      <c:spPr>
        <a:noFill/>
      </c:spPr>
    </c:plotArea>
    <c:legend>
      <c:legendPos val="r"/>
      <c:layout>
        <c:manualLayout>
          <c:xMode val="edge"/>
          <c:yMode val="edge"/>
          <c:x val="0.77420599457625994"/>
          <c:y val="0.3377822585098299"/>
          <c:w val="0.21341489466952951"/>
          <c:h val="0.33709493953047104"/>
        </c:manualLayout>
      </c:layout>
      <c:overlay val="0"/>
    </c:legend>
    <c:plotVisOnly val="1"/>
    <c:dispBlanksAs val="zero"/>
    <c:showDLblsOverMax val="0"/>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a:t>
            </a:r>
            <a:endParaRPr lang="en-IE" sz="1100"/>
          </a:p>
        </c:rich>
      </c:tx>
      <c:overlay val="0"/>
    </c:title>
    <c:autoTitleDeleted val="0"/>
    <c:plotArea>
      <c:layout>
        <c:manualLayout>
          <c:layoutTarget val="inner"/>
          <c:xMode val="edge"/>
          <c:yMode val="edge"/>
          <c:x val="0.10726446043463789"/>
          <c:y val="0.12728830241713754"/>
          <c:w val="0.62455933833753263"/>
          <c:h val="0.77761647413350465"/>
        </c:manualLayout>
      </c:layout>
      <c:areaChart>
        <c:grouping val="stacked"/>
        <c:varyColors val="0"/>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8.9220456958516472</c:v>
                </c:pt>
                <c:pt idx="2">
                  <c:v>8.938365278364472</c:v>
                </c:pt>
                <c:pt idx="3">
                  <c:v>5.6970470101542219</c:v>
                </c:pt>
                <c:pt idx="4">
                  <c:v>2.7272984075678126</c:v>
                </c:pt>
                <c:pt idx="5">
                  <c:v>0.45830669936088952</c:v>
                </c:pt>
                <c:pt idx="6">
                  <c:v>0.36180543144288668</c:v>
                </c:pt>
                <c:pt idx="7">
                  <c:v>0.28557654485991651</c:v>
                </c:pt>
                <c:pt idx="8">
                  <c:v>0.122610416458489</c:v>
                </c:pt>
              </c:numCache>
            </c:numRef>
          </c:val>
          <c:extLst>
            <c:ext xmlns:c16="http://schemas.microsoft.com/office/drawing/2014/chart" uri="{C3380CC4-5D6E-409C-BE32-E72D297353CC}">
              <c16:uniqueId val="{00000000-9B6D-424F-B2F8-1CF9DA317A98}"/>
            </c:ext>
          </c:extLst>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1-9B6D-424F-B2F8-1CF9DA317A98}"/>
            </c:ext>
          </c:extLst>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2-9B6D-424F-B2F8-1CF9DA317A98}"/>
            </c:ext>
          </c:extLst>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3-9B6D-424F-B2F8-1CF9DA317A98}"/>
            </c:ext>
          </c:extLst>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4-9B6D-424F-B2F8-1CF9DA317A98}"/>
            </c:ext>
          </c:extLst>
        </c:ser>
        <c:dLbls>
          <c:showLegendKey val="0"/>
          <c:showVal val="0"/>
          <c:showCatName val="0"/>
          <c:showSerName val="0"/>
          <c:showPercent val="0"/>
          <c:showBubbleSize val="0"/>
        </c:dLbls>
        <c:axId val="48698496"/>
        <c:axId val="48700032"/>
      </c:areaChart>
      <c:catAx>
        <c:axId val="48698496"/>
        <c:scaling>
          <c:orientation val="minMax"/>
        </c:scaling>
        <c:delete val="0"/>
        <c:axPos val="b"/>
        <c:numFmt formatCode="General" sourceLinked="1"/>
        <c:majorTickMark val="out"/>
        <c:minorTickMark val="none"/>
        <c:tickLblPos val="nextTo"/>
        <c:crossAx val="48700032"/>
        <c:crosses val="autoZero"/>
        <c:auto val="1"/>
        <c:lblAlgn val="ctr"/>
        <c:lblOffset val="100"/>
        <c:noMultiLvlLbl val="0"/>
      </c:catAx>
      <c:valAx>
        <c:axId val="4870003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698496"/>
        <c:crosses val="autoZero"/>
        <c:crossBetween val="midCat"/>
      </c:valAx>
      <c:spPr>
        <a:noFill/>
      </c:spPr>
    </c:plotArea>
    <c:legend>
      <c:legendPos val="r"/>
      <c:layout>
        <c:manualLayout>
          <c:xMode val="edge"/>
          <c:yMode val="edge"/>
          <c:x val="0.7917133274988416"/>
          <c:y val="0.13801875994057666"/>
          <c:w val="0.19595526644899541"/>
          <c:h val="0.76033679469910864"/>
        </c:manualLayout>
      </c:layout>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24.08816123287685</c:v>
                </c:pt>
                <c:pt idx="1">
                  <c:v>24.811521893199021</c:v>
                </c:pt>
                <c:pt idx="2">
                  <c:v>26.31138768996038</c:v>
                </c:pt>
                <c:pt idx="3">
                  <c:v>28.055451795581007</c:v>
                </c:pt>
                <c:pt idx="4">
                  <c:v>29.856802850034068</c:v>
                </c:pt>
                <c:pt idx="5">
                  <c:v>31.827880936203819</c:v>
                </c:pt>
                <c:pt idx="6">
                  <c:v>33.94707664991239</c:v>
                </c:pt>
                <c:pt idx="7">
                  <c:v>36.162871893616611</c:v>
                </c:pt>
                <c:pt idx="8">
                  <c:v>38.38831997780612</c:v>
                </c:pt>
              </c:numCache>
            </c:numRef>
          </c:val>
          <c:extLst>
            <c:ext xmlns:c16="http://schemas.microsoft.com/office/drawing/2014/chart" uri="{C3380CC4-5D6E-409C-BE32-E72D297353CC}">
              <c16:uniqueId val="{00000000-F4FA-4CC2-8B56-7F3F01EF3850}"/>
            </c:ext>
          </c:extLst>
        </c:ser>
        <c:dLbls>
          <c:showLegendKey val="0"/>
          <c:showVal val="0"/>
          <c:showCatName val="0"/>
          <c:showSerName val="0"/>
          <c:showPercent val="0"/>
          <c:showBubbleSize val="0"/>
        </c:dLbls>
        <c:axId val="48736896"/>
        <c:axId val="48742784"/>
      </c:areaChart>
      <c:catAx>
        <c:axId val="48736896"/>
        <c:scaling>
          <c:orientation val="minMax"/>
        </c:scaling>
        <c:delete val="0"/>
        <c:axPos val="b"/>
        <c:numFmt formatCode="General" sourceLinked="1"/>
        <c:majorTickMark val="out"/>
        <c:minorTickMark val="none"/>
        <c:tickLblPos val="nextTo"/>
        <c:crossAx val="48742784"/>
        <c:crosses val="autoZero"/>
        <c:auto val="1"/>
        <c:lblAlgn val="ctr"/>
        <c:lblOffset val="100"/>
        <c:noMultiLvlLbl val="0"/>
      </c:catAx>
      <c:valAx>
        <c:axId val="4874278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73689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Electricity</a:t>
            </a:r>
            <a:r>
              <a:rPr lang="en-US" sz="1100" baseline="0"/>
              <a:t> Generation (pre losses)</a:t>
            </a:r>
            <a:endParaRPr lang="en-US" sz="1100"/>
          </a:p>
        </c:rich>
      </c:tx>
      <c:overlay val="0"/>
    </c:title>
    <c:autoTitleDeleted val="0"/>
    <c:plotArea>
      <c:layout/>
      <c:areaChart>
        <c:grouping val="stacked"/>
        <c:varyColors val="0"/>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19.783214082973807</c:v>
                </c:pt>
                <c:pt idx="1">
                  <c:v>19.48990957229227</c:v>
                </c:pt>
                <c:pt idx="2">
                  <c:v>21.190560440738988</c:v>
                </c:pt>
                <c:pt idx="3">
                  <c:v>26.427914392485704</c:v>
                </c:pt>
                <c:pt idx="4">
                  <c:v>31.467683465113346</c:v>
                </c:pt>
                <c:pt idx="5">
                  <c:v>35.992545512642891</c:v>
                </c:pt>
                <c:pt idx="6">
                  <c:v>38.514360700900369</c:v>
                </c:pt>
                <c:pt idx="7">
                  <c:v>41.126281356346361</c:v>
                </c:pt>
                <c:pt idx="8">
                  <c:v>43.836146815041346</c:v>
                </c:pt>
              </c:numCache>
            </c:numRef>
          </c:val>
          <c:extLst>
            <c:ext xmlns:c16="http://schemas.microsoft.com/office/drawing/2014/chart" uri="{C3380CC4-5D6E-409C-BE32-E72D297353CC}">
              <c16:uniqueId val="{00000000-18C7-4A8F-BF4E-7DDB33C1346F}"/>
            </c:ext>
          </c:extLst>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18C7-4A8F-BF4E-7DDB33C1346F}"/>
            </c:ext>
          </c:extLst>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8C7-4A8F-BF4E-7DDB33C1346F}"/>
            </c:ext>
          </c:extLst>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5.5339757999999994</c:v>
                </c:pt>
                <c:pt idx="3">
                  <c:v>3.3359012999999997</c:v>
                </c:pt>
                <c:pt idx="4">
                  <c:v>1.1378267999999998</c:v>
                </c:pt>
                <c:pt idx="5">
                  <c:v>3.8789549999999742E-2</c:v>
                </c:pt>
                <c:pt idx="6">
                  <c:v>3.8789549999999742E-2</c:v>
                </c:pt>
                <c:pt idx="7">
                  <c:v>3.8789549999999742E-2</c:v>
                </c:pt>
                <c:pt idx="8">
                  <c:v>3.8789549999999742E-2</c:v>
                </c:pt>
              </c:numCache>
            </c:numRef>
          </c:val>
          <c:extLst>
            <c:ext xmlns:c16="http://schemas.microsoft.com/office/drawing/2014/chart" uri="{C3380CC4-5D6E-409C-BE32-E72D297353CC}">
              <c16:uniqueId val="{00000003-18C7-4A8F-BF4E-7DDB33C1346F}"/>
            </c:ext>
          </c:extLst>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0</c:v>
                </c:pt>
                <c:pt idx="4">
                  <c:v>0</c:v>
                </c:pt>
                <c:pt idx="5">
                  <c:v>0</c:v>
                </c:pt>
                <c:pt idx="6">
                  <c:v>0</c:v>
                </c:pt>
                <c:pt idx="7">
                  <c:v>0</c:v>
                </c:pt>
                <c:pt idx="8">
                  <c:v>0</c:v>
                </c:pt>
              </c:numCache>
            </c:numRef>
          </c:val>
          <c:extLst>
            <c:ext xmlns:c16="http://schemas.microsoft.com/office/drawing/2014/chart" uri="{C3380CC4-5D6E-409C-BE32-E72D297353CC}">
              <c16:uniqueId val="{00000004-18C7-4A8F-BF4E-7DDB33C1346F}"/>
            </c:ext>
          </c:extLst>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0.50632416000000002</c:v>
                </c:pt>
                <c:pt idx="5">
                  <c:v>0.33310800000000007</c:v>
                </c:pt>
                <c:pt idx="6">
                  <c:v>0.23317560000000004</c:v>
                </c:pt>
                <c:pt idx="7">
                  <c:v>0.16655400000000004</c:v>
                </c:pt>
                <c:pt idx="8">
                  <c:v>0</c:v>
                </c:pt>
              </c:numCache>
            </c:numRef>
          </c:val>
          <c:extLst>
            <c:ext xmlns:c16="http://schemas.microsoft.com/office/drawing/2014/chart" uri="{C3380CC4-5D6E-409C-BE32-E72D297353CC}">
              <c16:uniqueId val="{00000005-18C7-4A8F-BF4E-7DDB33C1346F}"/>
            </c:ext>
          </c:extLst>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c:ext xmlns:c16="http://schemas.microsoft.com/office/drawing/2014/chart" uri="{C3380CC4-5D6E-409C-BE32-E72D297353CC}">
              <c16:uniqueId val="{00000006-18C7-4A8F-BF4E-7DDB33C1346F}"/>
            </c:ext>
          </c:extLst>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7-18C7-4A8F-BF4E-7DDB33C1346F}"/>
            </c:ext>
          </c:extLst>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c:ext xmlns:c16="http://schemas.microsoft.com/office/drawing/2014/chart" uri="{C3380CC4-5D6E-409C-BE32-E72D297353CC}">
              <c16:uniqueId val="{00000008-18C7-4A8F-BF4E-7DDB33C1346F}"/>
            </c:ext>
          </c:extLst>
        </c:ser>
        <c:dLbls>
          <c:showLegendKey val="0"/>
          <c:showVal val="0"/>
          <c:showCatName val="0"/>
          <c:showSerName val="0"/>
          <c:showPercent val="0"/>
          <c:showBubbleSize val="0"/>
        </c:dLbls>
        <c:axId val="48825856"/>
        <c:axId val="48827392"/>
      </c:areaChart>
      <c:catAx>
        <c:axId val="48825856"/>
        <c:scaling>
          <c:orientation val="minMax"/>
        </c:scaling>
        <c:delete val="0"/>
        <c:axPos val="b"/>
        <c:numFmt formatCode="General" sourceLinked="1"/>
        <c:majorTickMark val="out"/>
        <c:minorTickMark val="none"/>
        <c:tickLblPos val="nextTo"/>
        <c:crossAx val="48827392"/>
        <c:crosses val="autoZero"/>
        <c:auto val="1"/>
        <c:lblAlgn val="ctr"/>
        <c:lblOffset val="100"/>
        <c:noMultiLvlLbl val="0"/>
      </c:catAx>
      <c:valAx>
        <c:axId val="4882739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825856"/>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Installed</a:t>
            </a:r>
            <a:r>
              <a:rPr lang="en-US" sz="1100" baseline="0"/>
              <a:t> Capacity</a:t>
            </a:r>
            <a:endParaRPr lang="en-US" sz="1100"/>
          </a:p>
        </c:rich>
      </c:tx>
      <c:overlay val="0"/>
    </c:title>
    <c:autoTitleDeleted val="0"/>
    <c:plotArea>
      <c:layout/>
      <c:areaChart>
        <c:grouping val="stacked"/>
        <c:varyColors val="0"/>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extLst>
            <c:ext xmlns:c16="http://schemas.microsoft.com/office/drawing/2014/chart" uri="{C3380CC4-5D6E-409C-BE32-E72D297353CC}">
              <c16:uniqueId val="{00000000-09EE-4727-BA75-C2668B33B7F5}"/>
            </c:ext>
          </c:extLst>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0.63100000000000012</c:v>
                </c:pt>
                <c:pt idx="5">
                  <c:v>0</c:v>
                </c:pt>
                <c:pt idx="6">
                  <c:v>0</c:v>
                </c:pt>
                <c:pt idx="7">
                  <c:v>0</c:v>
                </c:pt>
                <c:pt idx="8">
                  <c:v>0</c:v>
                </c:pt>
              </c:numCache>
            </c:numRef>
          </c:val>
          <c:extLst>
            <c:ext xmlns:c16="http://schemas.microsoft.com/office/drawing/2014/chart" uri="{C3380CC4-5D6E-409C-BE32-E72D297353CC}">
              <c16:uniqueId val="{00000001-09EE-4727-BA75-C2668B33B7F5}"/>
            </c:ext>
          </c:extLst>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3.7307314609372622</c:v>
                </c:pt>
                <c:pt idx="1">
                  <c:v>3.8052509775073333</c:v>
                </c:pt>
                <c:pt idx="2">
                  <c:v>4.2113950606716246</c:v>
                </c:pt>
                <c:pt idx="3">
                  <c:v>5.7050506480965373</c:v>
                </c:pt>
                <c:pt idx="4">
                  <c:v>7.7123564525192059</c:v>
                </c:pt>
                <c:pt idx="5">
                  <c:v>10.264814485695553</c:v>
                </c:pt>
                <c:pt idx="6">
                  <c:v>10.984017995921848</c:v>
                </c:pt>
                <c:pt idx="7">
                  <c:v>11.728918935759285</c:v>
                </c:pt>
                <c:pt idx="8">
                  <c:v>12.50175302733326</c:v>
                </c:pt>
              </c:numCache>
            </c:numRef>
          </c:val>
          <c:extLst>
            <c:ext xmlns:c16="http://schemas.microsoft.com/office/drawing/2014/chart" uri="{C3380CC4-5D6E-409C-BE32-E72D297353CC}">
              <c16:uniqueId val="{00000002-09EE-4727-BA75-C2668B33B7F5}"/>
            </c:ext>
          </c:extLst>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09EE-4727-BA75-C2668B33B7F5}"/>
            </c:ext>
          </c:extLst>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09EE-4727-BA75-C2668B33B7F5}"/>
            </c:ext>
          </c:extLst>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2.14</c:v>
                </c:pt>
                <c:pt idx="3">
                  <c:v>1.29</c:v>
                </c:pt>
                <c:pt idx="4">
                  <c:v>0.43999999999999995</c:v>
                </c:pt>
                <c:pt idx="5">
                  <c:v>1.4999999999999902E-2</c:v>
                </c:pt>
                <c:pt idx="6">
                  <c:v>1.4999999999999902E-2</c:v>
                </c:pt>
                <c:pt idx="7">
                  <c:v>1.4999999999999902E-2</c:v>
                </c:pt>
                <c:pt idx="8">
                  <c:v>1.4999999999999902E-2</c:v>
                </c:pt>
              </c:numCache>
            </c:numRef>
          </c:val>
          <c:extLst>
            <c:ext xmlns:c16="http://schemas.microsoft.com/office/drawing/2014/chart" uri="{C3380CC4-5D6E-409C-BE32-E72D297353CC}">
              <c16:uniqueId val="{00000005-09EE-4727-BA75-C2668B33B7F5}"/>
            </c:ext>
          </c:extLst>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formatCode="#,##0.00_);\(#,##0.00\);&quot;-&quot;_);@">
                  <c:v>2.5000000000000001E-2</c:v>
                </c:pt>
                <c:pt idx="1">
                  <c:v>2.5000000000000001E-2</c:v>
                </c:pt>
                <c:pt idx="2">
                  <c:v>2.5000000000000001E-2</c:v>
                </c:pt>
                <c:pt idx="3">
                  <c:v>0</c:v>
                </c:pt>
                <c:pt idx="4">
                  <c:v>0</c:v>
                </c:pt>
                <c:pt idx="5">
                  <c:v>0</c:v>
                </c:pt>
                <c:pt idx="6">
                  <c:v>0</c:v>
                </c:pt>
                <c:pt idx="7">
                  <c:v>0</c:v>
                </c:pt>
                <c:pt idx="8">
                  <c:v>0</c:v>
                </c:pt>
              </c:numCache>
            </c:numRef>
          </c:val>
          <c:extLst>
            <c:ext xmlns:c16="http://schemas.microsoft.com/office/drawing/2014/chart" uri="{C3380CC4-5D6E-409C-BE32-E72D297353CC}">
              <c16:uniqueId val="{00000006-09EE-4727-BA75-C2668B33B7F5}"/>
            </c:ext>
          </c:extLst>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0.152</c:v>
                </c:pt>
                <c:pt idx="5">
                  <c:v>0.1</c:v>
                </c:pt>
                <c:pt idx="6">
                  <c:v>7.0000000000000007E-2</c:v>
                </c:pt>
                <c:pt idx="7">
                  <c:v>0.05</c:v>
                </c:pt>
                <c:pt idx="8">
                  <c:v>0</c:v>
                </c:pt>
              </c:numCache>
            </c:numRef>
          </c:val>
          <c:extLst>
            <c:ext xmlns:c16="http://schemas.microsoft.com/office/drawing/2014/chart" uri="{C3380CC4-5D6E-409C-BE32-E72D297353CC}">
              <c16:uniqueId val="{00000007-09EE-4727-BA75-C2668B33B7F5}"/>
            </c:ext>
          </c:extLst>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5.0000000000000001E-3</c:v>
                </c:pt>
                <c:pt idx="4">
                  <c:v>5.0000000000000001E-3</c:v>
                </c:pt>
                <c:pt idx="5">
                  <c:v>5.0000000000000001E-3</c:v>
                </c:pt>
                <c:pt idx="6">
                  <c:v>5.0000000000000001E-3</c:v>
                </c:pt>
                <c:pt idx="7">
                  <c:v>0</c:v>
                </c:pt>
                <c:pt idx="8">
                  <c:v>0</c:v>
                </c:pt>
              </c:numCache>
            </c:numRef>
          </c:val>
          <c:extLst>
            <c:ext xmlns:c16="http://schemas.microsoft.com/office/drawing/2014/chart" uri="{C3380CC4-5D6E-409C-BE32-E72D297353CC}">
              <c16:uniqueId val="{00000008-09EE-4727-BA75-C2668B33B7F5}"/>
            </c:ext>
          </c:extLst>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09EE-4727-BA75-C2668B33B7F5}"/>
            </c:ext>
          </c:extLst>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09EE-4727-BA75-C2668B33B7F5}"/>
            </c:ext>
          </c:extLst>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B-09EE-4727-BA75-C2668B33B7F5}"/>
            </c:ext>
          </c:extLst>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0.28284987271456291</c:v>
                </c:pt>
                <c:pt idx="1">
                  <c:v>0.49101641110532723</c:v>
                </c:pt>
                <c:pt idx="2">
                  <c:v>1.19226702680187</c:v>
                </c:pt>
                <c:pt idx="3">
                  <c:v>0</c:v>
                </c:pt>
                <c:pt idx="4">
                  <c:v>0</c:v>
                </c:pt>
                <c:pt idx="5">
                  <c:v>0</c:v>
                </c:pt>
                <c:pt idx="6">
                  <c:v>0</c:v>
                </c:pt>
                <c:pt idx="7">
                  <c:v>0</c:v>
                </c:pt>
                <c:pt idx="8">
                  <c:v>0</c:v>
                </c:pt>
              </c:numCache>
            </c:numRef>
          </c:val>
          <c:extLst>
            <c:ext xmlns:c16="http://schemas.microsoft.com/office/drawing/2014/chart" uri="{C3380CC4-5D6E-409C-BE32-E72D297353CC}">
              <c16:uniqueId val="{0000000C-09EE-4727-BA75-C2668B33B7F5}"/>
            </c:ext>
          </c:extLst>
        </c:ser>
        <c:dLbls>
          <c:showLegendKey val="0"/>
          <c:showVal val="0"/>
          <c:showCatName val="0"/>
          <c:showSerName val="0"/>
          <c:showPercent val="0"/>
          <c:showBubbleSize val="0"/>
        </c:dLbls>
        <c:axId val="48998656"/>
        <c:axId val="49008640"/>
      </c:areaChart>
      <c:catAx>
        <c:axId val="48998656"/>
        <c:scaling>
          <c:orientation val="minMax"/>
        </c:scaling>
        <c:delete val="0"/>
        <c:axPos val="b"/>
        <c:numFmt formatCode="General" sourceLinked="1"/>
        <c:majorTickMark val="out"/>
        <c:minorTickMark val="none"/>
        <c:tickLblPos val="nextTo"/>
        <c:crossAx val="49008640"/>
        <c:crosses val="autoZero"/>
        <c:auto val="1"/>
        <c:lblAlgn val="ctr"/>
        <c:lblOffset val="100"/>
        <c:noMultiLvlLbl val="0"/>
      </c:catAx>
      <c:valAx>
        <c:axId val="49008640"/>
        <c:scaling>
          <c:orientation val="minMax"/>
        </c:scaling>
        <c:delete val="0"/>
        <c:axPos val="l"/>
        <c:title>
          <c:tx>
            <c:strRef>
              <c:f>'Intermediate output'!$D$116</c:f>
              <c:strCache>
                <c:ptCount val="1"/>
                <c:pt idx="0">
                  <c:v>GW installed capacity</c:v>
                </c:pt>
              </c:strCache>
            </c:strRef>
          </c:tx>
          <c:overlay val="0"/>
          <c:txPr>
            <a:bodyPr rot="-5400000" vert="horz"/>
            <a:lstStyle/>
            <a:p>
              <a:pPr>
                <a:defRPr/>
              </a:pPr>
              <a:endParaRPr lang="en-US"/>
            </a:p>
          </c:txPr>
        </c:title>
        <c:numFmt formatCode="#,##0" sourceLinked="0"/>
        <c:majorTickMark val="out"/>
        <c:minorTickMark val="none"/>
        <c:tickLblPos val="nextTo"/>
        <c:crossAx val="4899865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as % of</a:t>
            </a:r>
            <a:r>
              <a:rPr lang="en-US" sz="1100" baseline="0"/>
              <a:t> base year</a:t>
            </a:r>
            <a:endParaRPr lang="en-US" sz="1100"/>
          </a:p>
        </c:rich>
      </c:tx>
      <c:overlay val="0"/>
    </c:title>
    <c:autoTitleDeleted val="0"/>
    <c:plotArea>
      <c:layout>
        <c:manualLayout>
          <c:layoutTarget val="inner"/>
          <c:xMode val="edge"/>
          <c:yMode val="edge"/>
          <c:x val="7.9449639107612033E-2"/>
          <c:y val="6.9050227987699594E-2"/>
          <c:w val="0.6230190288713916"/>
          <c:h val="0.87936335963166556"/>
        </c:manualLayout>
      </c:layout>
      <c:barChart>
        <c:barDir val="col"/>
        <c:grouping val="stacked"/>
        <c:varyColors val="0"/>
        <c:ser>
          <c:idx val="0"/>
          <c:order val="0"/>
          <c:tx>
            <c:strRef>
              <c:f>'Intermediate output'!$D$141</c:f>
              <c:strCache>
                <c:ptCount val="1"/>
                <c:pt idx="0">
                  <c:v>Fuel Combustion</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0.6307916867813399</c:v>
                </c:pt>
                <c:pt idx="1">
                  <c:v>0.63044001730402788</c:v>
                </c:pt>
                <c:pt idx="2">
                  <c:v>0.64910761037713005</c:v>
                </c:pt>
                <c:pt idx="3">
                  <c:v>0.68845221200818363</c:v>
                </c:pt>
                <c:pt idx="4">
                  <c:v>0.70769205702767857</c:v>
                </c:pt>
                <c:pt idx="5">
                  <c:v>0.69875677343665332</c:v>
                </c:pt>
                <c:pt idx="6">
                  <c:v>0.72791604789887576</c:v>
                </c:pt>
                <c:pt idx="7">
                  <c:v>0.75893134838600496</c:v>
                </c:pt>
                <c:pt idx="8">
                  <c:v>0.78896229786988514</c:v>
                </c:pt>
              </c:numCache>
            </c:numRef>
          </c:val>
          <c:extLst>
            <c:ext xmlns:c16="http://schemas.microsoft.com/office/drawing/2014/chart" uri="{C3380CC4-5D6E-409C-BE32-E72D297353CC}">
              <c16:uniqueId val="{00000000-1CFF-4C58-85BF-1D74D5DFAAF0}"/>
            </c:ext>
          </c:extLst>
        </c:ser>
        <c:ser>
          <c:idx val="1"/>
          <c:order val="1"/>
          <c:tx>
            <c:strRef>
              <c:f>'Intermediate output'!$D$142</c:f>
              <c:strCache>
                <c:ptCount val="1"/>
                <c:pt idx="0">
                  <c:v>Industrial Processes</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3.940960924610775E-2</c:v>
                </c:pt>
                <c:pt idx="1">
                  <c:v>3.9961214708683745E-2</c:v>
                </c:pt>
                <c:pt idx="2">
                  <c:v>4.1420099924316542E-2</c:v>
                </c:pt>
                <c:pt idx="3">
                  <c:v>4.3000081615425581E-2</c:v>
                </c:pt>
                <c:pt idx="4">
                  <c:v>4.4710475834885743E-2</c:v>
                </c:pt>
                <c:pt idx="5">
                  <c:v>4.6561318836541375E-2</c:v>
                </c:pt>
                <c:pt idx="6">
                  <c:v>4.8563422734098367E-2</c:v>
                </c:pt>
                <c:pt idx="7">
                  <c:v>5.0728435461564025E-2</c:v>
                </c:pt>
                <c:pt idx="8">
                  <c:v>5.3068905367675431E-2</c:v>
                </c:pt>
              </c:numCache>
            </c:numRef>
          </c:val>
          <c:extLst>
            <c:ext xmlns:c16="http://schemas.microsoft.com/office/drawing/2014/chart" uri="{C3380CC4-5D6E-409C-BE32-E72D297353CC}">
              <c16:uniqueId val="{00000001-1CFF-4C58-85BF-1D74D5DFAAF0}"/>
            </c:ext>
          </c:extLst>
        </c:ser>
        <c:ser>
          <c:idx val="2"/>
          <c:order val="2"/>
          <c:tx>
            <c:strRef>
              <c:f>'Intermediate output'!$D$143</c:f>
              <c:strCache>
                <c:ptCount val="1"/>
                <c:pt idx="0">
                  <c:v>Solvent and Other Product Use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CFF-4C58-85BF-1D74D5DFAAF0}"/>
            </c:ext>
          </c:extLst>
        </c:ser>
        <c:ser>
          <c:idx val="3"/>
          <c:order val="3"/>
          <c:tx>
            <c:strRef>
              <c:f>'Intermediate output'!$D$144</c:f>
              <c:strCache>
                <c:ptCount val="1"/>
                <c:pt idx="0">
                  <c:v>Agriculture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0.29996709372604041</c:v>
                </c:pt>
                <c:pt idx="1">
                  <c:v>0.29428857433167255</c:v>
                </c:pt>
                <c:pt idx="2">
                  <c:v>0.28988377444752156</c:v>
                </c:pt>
                <c:pt idx="3">
                  <c:v>0.28554393311253001</c:v>
                </c:pt>
                <c:pt idx="4">
                  <c:v>0.28633803060535734</c:v>
                </c:pt>
                <c:pt idx="5">
                  <c:v>0.28720785262368859</c:v>
                </c:pt>
                <c:pt idx="6">
                  <c:v>0.28815747098714101</c:v>
                </c:pt>
                <c:pt idx="7">
                  <c:v>0.28919119502351509</c:v>
                </c:pt>
                <c:pt idx="8">
                  <c:v>0.29031358608610019</c:v>
                </c:pt>
              </c:numCache>
            </c:numRef>
          </c:val>
          <c:extLst>
            <c:ext xmlns:c16="http://schemas.microsoft.com/office/drawing/2014/chart" uri="{C3380CC4-5D6E-409C-BE32-E72D297353CC}">
              <c16:uniqueId val="{00000003-1CFF-4C58-85BF-1D74D5DFAAF0}"/>
            </c:ext>
          </c:extLst>
        </c:ser>
        <c:ser>
          <c:idx val="4"/>
          <c:order val="4"/>
          <c:tx>
            <c:strRef>
              <c:f>'Intermediate output'!$D$145</c:f>
              <c:strCache>
                <c:ptCount val="1"/>
                <c:pt idx="0">
                  <c:v>Land Use, Land-Use Change and Forestry</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6.5430516228065366E-2</c:v>
                </c:pt>
                <c:pt idx="1">
                  <c:v>6.4301799123843456E-2</c:v>
                </c:pt>
                <c:pt idx="2">
                  <c:v>6.1480006363288923E-2</c:v>
                </c:pt>
                <c:pt idx="3">
                  <c:v>5.8658213602734287E-2</c:v>
                </c:pt>
                <c:pt idx="4">
                  <c:v>5.5836420842179747E-2</c:v>
                </c:pt>
                <c:pt idx="5">
                  <c:v>5.3014628081625118E-2</c:v>
                </c:pt>
                <c:pt idx="6">
                  <c:v>5.0192835321070495E-2</c:v>
                </c:pt>
                <c:pt idx="7">
                  <c:v>4.7371042560515955E-2</c:v>
                </c:pt>
                <c:pt idx="8">
                  <c:v>4.4549249799960999E-2</c:v>
                </c:pt>
              </c:numCache>
            </c:numRef>
          </c:val>
          <c:extLst>
            <c:ext xmlns:c16="http://schemas.microsoft.com/office/drawing/2014/chart" uri="{C3380CC4-5D6E-409C-BE32-E72D297353CC}">
              <c16:uniqueId val="{00000004-1CFF-4C58-85BF-1D74D5DFAAF0}"/>
            </c:ext>
          </c:extLst>
        </c:ser>
        <c:ser>
          <c:idx val="5"/>
          <c:order val="5"/>
          <c:tx>
            <c:strRef>
              <c:f>'Intermediate output'!$D$146</c:f>
              <c:strCache>
                <c:ptCount val="1"/>
                <c:pt idx="0">
                  <c:v>Waste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2.1261934677477688E-2</c:v>
                </c:pt>
                <c:pt idx="1">
                  <c:v>1.7666122751915949E-2</c:v>
                </c:pt>
                <c:pt idx="2">
                  <c:v>1.3730931732858161E-2</c:v>
                </c:pt>
                <c:pt idx="3">
                  <c:v>1.2713802039182103E-2</c:v>
                </c:pt>
                <c:pt idx="4">
                  <c:v>1.2380482978113418E-2</c:v>
                </c:pt>
                <c:pt idx="5">
                  <c:v>1.194800977026836E-2</c:v>
                </c:pt>
                <c:pt idx="6">
                  <c:v>1.1416382415646929E-2</c:v>
                </c:pt>
                <c:pt idx="7">
                  <c:v>1.0785600914249131E-2</c:v>
                </c:pt>
                <c:pt idx="8">
                  <c:v>1.0055665266074964E-2</c:v>
                </c:pt>
              </c:numCache>
            </c:numRef>
          </c:val>
          <c:extLst>
            <c:ext xmlns:c16="http://schemas.microsoft.com/office/drawing/2014/chart" uri="{C3380CC4-5D6E-409C-BE32-E72D297353CC}">
              <c16:uniqueId val="{00000005-1CFF-4C58-85BF-1D74D5DFAAF0}"/>
            </c:ext>
          </c:extLst>
        </c:ser>
        <c:ser>
          <c:idx val="6"/>
          <c:order val="6"/>
          <c:tx>
            <c:strRef>
              <c:f>'Intermediate output'!$D$147</c:f>
              <c:strCache>
                <c:ptCount val="1"/>
                <c:pt idx="0">
                  <c:v>Other</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1CFF-4C58-85BF-1D74D5DFAAF0}"/>
            </c:ext>
          </c:extLst>
        </c:ser>
        <c:ser>
          <c:idx val="7"/>
          <c:order val="7"/>
          <c:tx>
            <c:strRef>
              <c:f>'Intermediate output'!$D$148</c:f>
              <c:strCache>
                <c:ptCount val="1"/>
                <c:pt idx="0">
                  <c:v>International Aviation and Shipping</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3.276153151082542E-2</c:v>
                </c:pt>
                <c:pt idx="1">
                  <c:v>3.217447762768294E-2</c:v>
                </c:pt>
                <c:pt idx="2">
                  <c:v>3.4793578980231062E-2</c:v>
                </c:pt>
                <c:pt idx="3">
                  <c:v>3.7625883231495939E-2</c:v>
                </c:pt>
                <c:pt idx="4">
                  <c:v>4.0688745752615461E-2</c:v>
                </c:pt>
                <c:pt idx="5">
                  <c:v>4.4000934695271991E-2</c:v>
                </c:pt>
                <c:pt idx="6">
                  <c:v>4.758274599637026E-2</c:v>
                </c:pt>
                <c:pt idx="7">
                  <c:v>5.1456127744449388E-2</c:v>
                </c:pt>
                <c:pt idx="8">
                  <c:v>5.5644814669903023E-2</c:v>
                </c:pt>
              </c:numCache>
            </c:numRef>
          </c:val>
          <c:extLst>
            <c:ext xmlns:c16="http://schemas.microsoft.com/office/drawing/2014/chart" uri="{C3380CC4-5D6E-409C-BE32-E72D297353CC}">
              <c16:uniqueId val="{00000007-1CFF-4C58-85BF-1D74D5DFAAF0}"/>
            </c:ext>
          </c:extLst>
        </c:ser>
        <c:ser>
          <c:idx val="8"/>
          <c:order val="8"/>
          <c:tx>
            <c:strRef>
              <c:f>'Intermediate output'!$D$149</c:f>
              <c:strCache>
                <c:ptCount val="1"/>
                <c:pt idx="0">
                  <c:v>Bioenergy credit</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-1.2361910643182582E-2</c:v>
                </c:pt>
                <c:pt idx="1">
                  <c:v>-1.6125683735526836E-2</c:v>
                </c:pt>
                <c:pt idx="2">
                  <c:v>-1.872798402553363E-2</c:v>
                </c:pt>
                <c:pt idx="3">
                  <c:v>-2.1926906094728763E-2</c:v>
                </c:pt>
                <c:pt idx="4">
                  <c:v>-2.4970681654293447E-2</c:v>
                </c:pt>
                <c:pt idx="5">
                  <c:v>-2.5164747500389759E-2</c:v>
                </c:pt>
                <c:pt idx="6">
                  <c:v>-2.2442378983133643E-2</c:v>
                </c:pt>
                <c:pt idx="7">
                  <c:v>-1.9782183194663943E-2</c:v>
                </c:pt>
                <c:pt idx="8">
                  <c:v>-1.9656027866758873E-2</c:v>
                </c:pt>
              </c:numCache>
            </c:numRef>
          </c:val>
          <c:extLst>
            <c:ext xmlns:c16="http://schemas.microsoft.com/office/drawing/2014/chart" uri="{C3380CC4-5D6E-409C-BE32-E72D297353CC}">
              <c16:uniqueId val="{00000008-1CFF-4C58-85BF-1D74D5DFAAF0}"/>
            </c:ext>
          </c:extLst>
        </c:ser>
        <c:ser>
          <c:idx val="9"/>
          <c:order val="9"/>
          <c:tx>
            <c:strRef>
              <c:f>'Intermediate output'!$D$150</c:f>
              <c:strCache>
                <c:ptCount val="1"/>
                <c:pt idx="0">
                  <c:v>Carbon capture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1CFF-4C58-85BF-1D74D5DFAAF0}"/>
            </c:ext>
          </c:extLst>
        </c:ser>
        <c:dLbls>
          <c:showLegendKey val="0"/>
          <c:showVal val="0"/>
          <c:showCatName val="0"/>
          <c:showSerName val="0"/>
          <c:showPercent val="0"/>
          <c:showBubbleSize val="0"/>
        </c:dLbls>
        <c:gapWidth val="59"/>
        <c:overlap val="100"/>
        <c:axId val="49079424"/>
        <c:axId val="49080960"/>
      </c:barChart>
      <c:lineChart>
        <c:grouping val="standard"/>
        <c:varyColors val="0"/>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1.0772604615266739</c:v>
                </c:pt>
                <c:pt idx="1">
                  <c:v>1.0627065221122995</c:v>
                </c:pt>
                <c:pt idx="2">
                  <c:v>1.0716880177998127</c:v>
                </c:pt>
                <c:pt idx="3">
                  <c:v>1.1040672195148229</c:v>
                </c:pt>
                <c:pt idx="4">
                  <c:v>1.1226755313865369</c:v>
                </c:pt>
                <c:pt idx="5">
                  <c:v>1.1163247699436589</c:v>
                </c:pt>
                <c:pt idx="6">
                  <c:v>1.1513865263700693</c:v>
                </c:pt>
                <c:pt idx="7">
                  <c:v>1.1886815668956348</c:v>
                </c:pt>
                <c:pt idx="8">
                  <c:v>1.2229384911928409</c:v>
                </c:pt>
              </c:numCache>
            </c:numRef>
          </c:val>
          <c:smooth val="0"/>
          <c:extLst>
            <c:ext xmlns:c16="http://schemas.microsoft.com/office/drawing/2014/chart" uri="{C3380CC4-5D6E-409C-BE32-E72D297353CC}">
              <c16:uniqueId val="{0000000A-1CFF-4C58-85BF-1D74D5DFAAF0}"/>
            </c:ext>
          </c:extLst>
        </c:ser>
        <c:dLbls>
          <c:showLegendKey val="0"/>
          <c:showVal val="0"/>
          <c:showCatName val="0"/>
          <c:showSerName val="0"/>
          <c:showPercent val="0"/>
          <c:showBubbleSize val="0"/>
        </c:dLbls>
        <c:marker val="1"/>
        <c:smooth val="0"/>
        <c:axId val="49162112"/>
        <c:axId val="49160576"/>
      </c:lineChart>
      <c:catAx>
        <c:axId val="49079424"/>
        <c:scaling>
          <c:orientation val="minMax"/>
        </c:scaling>
        <c:delete val="0"/>
        <c:axPos val="b"/>
        <c:numFmt formatCode="General" sourceLinked="1"/>
        <c:majorTickMark val="out"/>
        <c:minorTickMark val="none"/>
        <c:tickLblPos val="low"/>
        <c:crossAx val="49080960"/>
        <c:crosses val="autoZero"/>
        <c:auto val="1"/>
        <c:lblAlgn val="ctr"/>
        <c:lblOffset val="100"/>
        <c:noMultiLvlLbl val="0"/>
      </c:catAx>
      <c:valAx>
        <c:axId val="49080960"/>
        <c:scaling>
          <c:orientation val="minMax"/>
          <c:max val="1.4"/>
          <c:min val="-0.8"/>
        </c:scaling>
        <c:delete val="0"/>
        <c:axPos val="l"/>
        <c:numFmt formatCode="0%" sourceLinked="0"/>
        <c:majorTickMark val="out"/>
        <c:minorTickMark val="none"/>
        <c:tickLblPos val="nextTo"/>
        <c:crossAx val="49079424"/>
        <c:crosses val="autoZero"/>
        <c:crossBetween val="between"/>
        <c:minorUnit val="4.0000000000000022E-2"/>
      </c:valAx>
      <c:valAx>
        <c:axId val="49160576"/>
        <c:scaling>
          <c:orientation val="minMax"/>
          <c:max val="1.2"/>
          <c:min val="-0.8"/>
        </c:scaling>
        <c:delete val="1"/>
        <c:axPos val="r"/>
        <c:numFmt formatCode="0%" sourceLinked="0"/>
        <c:majorTickMark val="out"/>
        <c:minorTickMark val="none"/>
        <c:tickLblPos val="none"/>
        <c:crossAx val="49162112"/>
        <c:crosses val="max"/>
        <c:crossBetween val="between"/>
      </c:valAx>
      <c:catAx>
        <c:axId val="49162112"/>
        <c:scaling>
          <c:orientation val="minMax"/>
        </c:scaling>
        <c:delete val="1"/>
        <c:axPos val="b"/>
        <c:majorTickMark val="out"/>
        <c:minorTickMark val="none"/>
        <c:tickLblPos val="none"/>
        <c:crossAx val="49160576"/>
        <c:crosses val="autoZero"/>
        <c:auto val="1"/>
        <c:lblAlgn val="ctr"/>
        <c:lblOffset val="100"/>
        <c:noMultiLvlLbl val="0"/>
      </c:catAx>
      <c:spPr>
        <a:noFill/>
      </c:spPr>
    </c:plotArea>
    <c:legend>
      <c:legendPos val="r"/>
      <c:layout>
        <c:manualLayout>
          <c:xMode val="edge"/>
          <c:yMode val="edge"/>
          <c:x val="0.72746866797900267"/>
          <c:y val="0.1814474665168993"/>
          <c:w val="0.26003133202099105"/>
          <c:h val="0.68329280326774267"/>
        </c:manualLayout>
      </c:layout>
      <c:overlay val="0"/>
    </c:legend>
    <c:plotVisOnly val="1"/>
    <c:dispBlanksAs val="zero"/>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a:t>
            </a:r>
            <a:r>
              <a:rPr lang="en-US" sz="1100" baseline="0"/>
              <a:t> (Mt CO2e)</a:t>
            </a:r>
            <a:endParaRPr lang="en-US" sz="1100"/>
          </a:p>
        </c:rich>
      </c:tx>
      <c:overlay val="0"/>
    </c:title>
    <c:autoTitleDeleted val="0"/>
    <c:plotArea>
      <c:layout>
        <c:manualLayout>
          <c:layoutTarget val="inner"/>
          <c:xMode val="edge"/>
          <c:yMode val="edge"/>
          <c:x val="6.0366305774278213E-2"/>
          <c:y val="6.7871004880953323E-2"/>
          <c:w val="0.66963369422573615"/>
          <c:h val="0.88142356302255087"/>
        </c:manualLayout>
      </c:layout>
      <c:barChart>
        <c:barDir val="col"/>
        <c:grouping val="stacked"/>
        <c:varyColors val="0"/>
        <c:ser>
          <c:idx val="0"/>
          <c:order val="0"/>
          <c:tx>
            <c:strRef>
              <c:f>'Intermediate output'!$D$182</c:f>
              <c:strCache>
                <c:ptCount val="1"/>
                <c:pt idx="0">
                  <c:v>Fuel Combustion</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35.788059495427802</c:v>
                </c:pt>
                <c:pt idx="1">
                  <c:v>35.768107475703211</c:v>
                </c:pt>
                <c:pt idx="2">
                  <c:v>36.827216125256804</c:v>
                </c:pt>
                <c:pt idx="3">
                  <c:v>39.059437908617348</c:v>
                </c:pt>
                <c:pt idx="4">
                  <c:v>40.151013356851152</c:v>
                </c:pt>
                <c:pt idx="5">
                  <c:v>39.644068722885194</c:v>
                </c:pt>
                <c:pt idx="6">
                  <c:v>41.298424465305231</c:v>
                </c:pt>
                <c:pt idx="7">
                  <c:v>43.058082118318517</c:v>
                </c:pt>
                <c:pt idx="8">
                  <c:v>44.761892471808245</c:v>
                </c:pt>
              </c:numCache>
            </c:numRef>
          </c:val>
          <c:extLst>
            <c:ext xmlns:c16="http://schemas.microsoft.com/office/drawing/2014/chart" uri="{C3380CC4-5D6E-409C-BE32-E72D297353CC}">
              <c16:uniqueId val="{00000000-4166-49D1-99E6-E03C382A9364}"/>
            </c:ext>
          </c:extLst>
        </c:ser>
        <c:ser>
          <c:idx val="1"/>
          <c:order val="1"/>
          <c:tx>
            <c:strRef>
              <c:f>'Intermediate output'!$D$183</c:f>
              <c:strCache>
                <c:ptCount val="1"/>
                <c:pt idx="0">
                  <c:v>Industrial Processes</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#,##0.00_);\(#,##0.00\);"-"_);@</c:formatCode>
                <c:ptCount val="9"/>
                <c:pt idx="0">
                  <c:v>2.2359100000000001</c:v>
                </c:pt>
                <c:pt idx="1">
                  <c:v>2.2672054173720992</c:v>
                </c:pt>
                <c:pt idx="2" formatCode="#,##0_);\(#,##0\);&quot;-&quot;_);@">
                  <c:v>2.3499754855073904</c:v>
                </c:pt>
                <c:pt idx="3" formatCode="#,##0_);\(#,##0\);&quot;-&quot;_);@">
                  <c:v>2.4396159800605437</c:v>
                </c:pt>
                <c:pt idx="4" formatCode="#,##0_);\(#,##0\);&quot;-&quot;_);@">
                  <c:v>2.5366554486670707</c:v>
                </c:pt>
                <c:pt idx="5" formatCode="#,##0_);\(#,##0\);&quot;-&quot;_);@">
                  <c:v>2.6416632996708347</c:v>
                </c:pt>
                <c:pt idx="6" formatCode="#,##0_);\(#,##0\);&quot;-&quot;_);@">
                  <c:v>2.7552529599395106</c:v>
                </c:pt>
                <c:pt idx="7" formatCode="#,##0_);\(#,##0\);&quot;-&quot;_);@">
                  <c:v>2.8780852767289957</c:v>
                </c:pt>
                <c:pt idx="8" formatCode="#,##0_);\(#,##0\);&quot;-&quot;_);@">
                  <c:v>3.0108721824578417</c:v>
                </c:pt>
              </c:numCache>
            </c:numRef>
          </c:val>
          <c:extLst>
            <c:ext xmlns:c16="http://schemas.microsoft.com/office/drawing/2014/chart" uri="{C3380CC4-5D6E-409C-BE32-E72D297353CC}">
              <c16:uniqueId val="{00000001-4166-49D1-99E6-E03C382A9364}"/>
            </c:ext>
          </c:extLst>
        </c:ser>
        <c:ser>
          <c:idx val="2"/>
          <c:order val="2"/>
          <c:tx>
            <c:strRef>
              <c:f>'Intermediate output'!$D$184</c:f>
              <c:strCache>
                <c:ptCount val="1"/>
                <c:pt idx="0">
                  <c:v>Solvent and Other Product Use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166-49D1-99E6-E03C382A9364}"/>
            </c:ext>
          </c:extLst>
        </c:ser>
        <c:ser>
          <c:idx val="3"/>
          <c:order val="3"/>
          <c:tx>
            <c:strRef>
              <c:f>'Intermediate output'!$D$185</c:f>
              <c:strCache>
                <c:ptCount val="1"/>
                <c:pt idx="0">
                  <c:v>Agriculture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17.018677357203991</c:v>
                </c:pt>
                <c:pt idx="1">
                  <c:v>16.696505720845657</c:v>
                </c:pt>
                <c:pt idx="2">
                  <c:v>16.446598748983337</c:v>
                </c:pt>
                <c:pt idx="3">
                  <c:v>16.200377209999687</c:v>
                </c:pt>
                <c:pt idx="4">
                  <c:v>16.245430448515698</c:v>
                </c:pt>
                <c:pt idx="5">
                  <c:v>16.294779929168037</c:v>
                </c:pt>
                <c:pt idx="6">
                  <c:v>16.348656667243954</c:v>
                </c:pt>
                <c:pt idx="7">
                  <c:v>16.407305153092555</c:v>
                </c:pt>
                <c:pt idx="8">
                  <c:v>16.470984175766258</c:v>
                </c:pt>
              </c:numCache>
            </c:numRef>
          </c:val>
          <c:extLst>
            <c:ext xmlns:c16="http://schemas.microsoft.com/office/drawing/2014/chart" uri="{C3380CC4-5D6E-409C-BE32-E72D297353CC}">
              <c16:uniqueId val="{00000003-4166-49D1-99E6-E03C382A9364}"/>
            </c:ext>
          </c:extLst>
        </c:ser>
        <c:ser>
          <c:idx val="4"/>
          <c:order val="4"/>
          <c:tx>
            <c:v>Land Use and Forestry</c:v>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3.7122100000000002</c:v>
                </c:pt>
                <c:pt idx="1">
                  <c:v>3.6481720684198971</c:v>
                </c:pt>
                <c:pt idx="2">
                  <c:v>3.4880772394696558</c:v>
                </c:pt>
                <c:pt idx="3">
                  <c:v>3.3279824105194078</c:v>
                </c:pt>
                <c:pt idx="4">
                  <c:v>3.1678875815691661</c:v>
                </c:pt>
                <c:pt idx="5">
                  <c:v>3.007792752618919</c:v>
                </c:pt>
                <c:pt idx="6">
                  <c:v>2.8476979236686719</c:v>
                </c:pt>
                <c:pt idx="7">
                  <c:v>2.6876030947184297</c:v>
                </c:pt>
                <c:pt idx="8">
                  <c:v>2.527508265768164</c:v>
                </c:pt>
              </c:numCache>
            </c:numRef>
          </c:val>
          <c:extLst>
            <c:ext xmlns:c16="http://schemas.microsoft.com/office/drawing/2014/chart" uri="{C3380CC4-5D6E-409C-BE32-E72D297353CC}">
              <c16:uniqueId val="{00000004-4166-49D1-99E6-E03C382A9364}"/>
            </c:ext>
          </c:extLst>
        </c:ser>
        <c:ser>
          <c:idx val="5"/>
          <c:order val="5"/>
          <c:tx>
            <c:strRef>
              <c:f>'Intermediate output'!$D$187</c:f>
              <c:strCache>
                <c:ptCount val="1"/>
                <c:pt idx="0">
                  <c:v>Waste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1.2062990035714285</c:v>
                </c:pt>
                <c:pt idx="1">
                  <c:v>1.0022900829989212</c:v>
                </c:pt>
                <c:pt idx="2">
                  <c:v>0.7790264394424834</c:v>
                </c:pt>
                <c:pt idx="3">
                  <c:v>0.72131943607726112</c:v>
                </c:pt>
                <c:pt idx="4">
                  <c:v>0.70240852992795211</c:v>
                </c:pt>
                <c:pt idx="5">
                  <c:v>0.67787209861968312</c:v>
                </c:pt>
                <c:pt idx="6">
                  <c:v>0.64771014215245426</c:v>
                </c:pt>
                <c:pt idx="7">
                  <c:v>0.61192266052626565</c:v>
                </c:pt>
                <c:pt idx="8">
                  <c:v>0.57050965374111751</c:v>
                </c:pt>
              </c:numCache>
            </c:numRef>
          </c:val>
          <c:extLst>
            <c:ext xmlns:c16="http://schemas.microsoft.com/office/drawing/2014/chart" uri="{C3380CC4-5D6E-409C-BE32-E72D297353CC}">
              <c16:uniqueId val="{00000005-4166-49D1-99E6-E03C382A9364}"/>
            </c:ext>
          </c:extLst>
        </c:ser>
        <c:ser>
          <c:idx val="6"/>
          <c:order val="6"/>
          <c:tx>
            <c:strRef>
              <c:f>'Intermediate output'!$D$188</c:f>
              <c:strCache>
                <c:ptCount val="1"/>
                <c:pt idx="0">
                  <c:v>Other</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4166-49D1-99E6-E03C382A9364}"/>
            </c:ext>
          </c:extLst>
        </c:ser>
        <c:ser>
          <c:idx val="7"/>
          <c:order val="7"/>
          <c:tx>
            <c:strRef>
              <c:f>'Intermediate output'!$D$189</c:f>
              <c:strCache>
                <c:ptCount val="1"/>
                <c:pt idx="0">
                  <c:v>International Aviation </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1.8254237392525674</c:v>
                </c:pt>
                <c:pt idx="2">
                  <c:v>1.9740188412391277</c:v>
                </c:pt>
                <c:pt idx="3">
                  <c:v>2.1347100411670006</c:v>
                </c:pt>
                <c:pt idx="4">
                  <c:v>2.3084819985804761</c:v>
                </c:pt>
                <c:pt idx="5">
                  <c:v>2.4963995273366537</c:v>
                </c:pt>
                <c:pt idx="6">
                  <c:v>2.6996141204128228</c:v>
                </c:pt>
                <c:pt idx="7">
                  <c:v>2.9193710058532174</c:v>
                </c:pt>
                <c:pt idx="8">
                  <c:v>3.1570167770915103</c:v>
                </c:pt>
              </c:numCache>
            </c:numRef>
          </c:val>
          <c:extLst>
            <c:ext xmlns:c16="http://schemas.microsoft.com/office/drawing/2014/chart" uri="{C3380CC4-5D6E-409C-BE32-E72D297353CC}">
              <c16:uniqueId val="{00000007-4166-49D1-99E6-E03C382A9364}"/>
            </c:ext>
          </c:extLst>
        </c:ser>
        <c:ser>
          <c:idx val="8"/>
          <c:order val="8"/>
          <c:tx>
            <c:strRef>
              <c:f>'Intermediate output'!$D$190</c:f>
              <c:strCache>
                <c:ptCount val="1"/>
                <c:pt idx="0">
                  <c:v>Bioenergy credit</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-0.70135482576316632</c:v>
                </c:pt>
                <c:pt idx="1">
                  <c:v>-0.91489304793507442</c:v>
                </c:pt>
                <c:pt idx="2">
                  <c:v>-1.0625349391574228</c:v>
                </c:pt>
                <c:pt idx="3">
                  <c:v>-1.2440262551222085</c:v>
                </c:pt>
                <c:pt idx="4">
                  <c:v>-1.4167153109533932</c:v>
                </c:pt>
                <c:pt idx="5">
                  <c:v>-1.4277256653884112</c:v>
                </c:pt>
                <c:pt idx="6">
                  <c:v>-1.2732716855631914</c:v>
                </c:pt>
                <c:pt idx="7">
                  <c:v>-1.122345084686408</c:v>
                </c:pt>
                <c:pt idx="8">
                  <c:v>-1.1151876435289807</c:v>
                </c:pt>
              </c:numCache>
            </c:numRef>
          </c:val>
          <c:extLst>
            <c:ext xmlns:c16="http://schemas.microsoft.com/office/drawing/2014/chart" uri="{C3380CC4-5D6E-409C-BE32-E72D297353CC}">
              <c16:uniqueId val="{00000008-4166-49D1-99E6-E03C382A9364}"/>
            </c:ext>
          </c:extLst>
        </c:ser>
        <c:ser>
          <c:idx val="9"/>
          <c:order val="9"/>
          <c:tx>
            <c:strRef>
              <c:f>'Intermediate output'!$D$191</c:f>
              <c:strCache>
                <c:ptCount val="1"/>
                <c:pt idx="0">
                  <c:v>Carbon capture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4166-49D1-99E6-E03C382A9364}"/>
            </c:ext>
          </c:extLst>
        </c:ser>
        <c:dLbls>
          <c:showLegendKey val="0"/>
          <c:showVal val="0"/>
          <c:showCatName val="0"/>
          <c:showSerName val="0"/>
          <c:showPercent val="0"/>
          <c:showBubbleSize val="0"/>
        </c:dLbls>
        <c:gapWidth val="59"/>
        <c:overlap val="100"/>
        <c:axId val="49216896"/>
        <c:axId val="49239168"/>
      </c:barChart>
      <c:lineChart>
        <c:grouping val="standard"/>
        <c:varyColors val="0"/>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61.118531358440052</c:v>
                </c:pt>
                <c:pt idx="1">
                  <c:v>60.292811456657269</c:v>
                </c:pt>
                <c:pt idx="2">
                  <c:v>60.802377940741373</c:v>
                </c:pt>
                <c:pt idx="3">
                  <c:v>62.639416731319045</c:v>
                </c:pt>
                <c:pt idx="4">
                  <c:v>63.695162053158128</c:v>
                </c:pt>
                <c:pt idx="5">
                  <c:v>63.334850664910903</c:v>
                </c:pt>
                <c:pt idx="6">
                  <c:v>65.324084593159455</c:v>
                </c:pt>
                <c:pt idx="7">
                  <c:v>67.440024224551578</c:v>
                </c:pt>
                <c:pt idx="8">
                  <c:v>69.383595883104149</c:v>
                </c:pt>
              </c:numCache>
            </c:numRef>
          </c:val>
          <c:smooth val="0"/>
          <c:extLst>
            <c:ext xmlns:c16="http://schemas.microsoft.com/office/drawing/2014/chart" uri="{C3380CC4-5D6E-409C-BE32-E72D297353CC}">
              <c16:uniqueId val="{0000000A-4166-49D1-99E6-E03C382A9364}"/>
            </c:ext>
          </c:extLst>
        </c:ser>
        <c:dLbls>
          <c:showLegendKey val="0"/>
          <c:showVal val="0"/>
          <c:showCatName val="0"/>
          <c:showSerName val="0"/>
          <c:showPercent val="0"/>
          <c:showBubbleSize val="0"/>
        </c:dLbls>
        <c:marker val="1"/>
        <c:smooth val="0"/>
        <c:axId val="49242496"/>
        <c:axId val="49240704"/>
      </c:lineChart>
      <c:catAx>
        <c:axId val="49216896"/>
        <c:scaling>
          <c:orientation val="minMax"/>
        </c:scaling>
        <c:delete val="0"/>
        <c:axPos val="b"/>
        <c:numFmt formatCode="General" sourceLinked="1"/>
        <c:majorTickMark val="out"/>
        <c:minorTickMark val="none"/>
        <c:tickLblPos val="low"/>
        <c:crossAx val="49239168"/>
        <c:crosses val="autoZero"/>
        <c:auto val="1"/>
        <c:lblAlgn val="ctr"/>
        <c:lblOffset val="100"/>
        <c:noMultiLvlLbl val="0"/>
      </c:catAx>
      <c:valAx>
        <c:axId val="49239168"/>
        <c:scaling>
          <c:orientation val="minMax"/>
        </c:scaling>
        <c:delete val="0"/>
        <c:axPos val="l"/>
        <c:numFmt formatCode="#,##0" sourceLinked="0"/>
        <c:majorTickMark val="out"/>
        <c:minorTickMark val="none"/>
        <c:tickLblPos val="nextTo"/>
        <c:crossAx val="49216896"/>
        <c:crosses val="autoZero"/>
        <c:crossBetween val="between"/>
        <c:minorUnit val="4.0000000000000022E-2"/>
      </c:valAx>
      <c:valAx>
        <c:axId val="49240704"/>
        <c:scaling>
          <c:orientation val="minMax"/>
          <c:max val="80"/>
          <c:min val="-60"/>
        </c:scaling>
        <c:delete val="1"/>
        <c:axPos val="r"/>
        <c:numFmt formatCode="#,##0.00_);\(#,##0.00\);&quot;-&quot;_);@" sourceLinked="1"/>
        <c:majorTickMark val="out"/>
        <c:minorTickMark val="none"/>
        <c:tickLblPos val="none"/>
        <c:crossAx val="49242496"/>
        <c:crosses val="max"/>
        <c:crossBetween val="between"/>
      </c:valAx>
      <c:catAx>
        <c:axId val="49242496"/>
        <c:scaling>
          <c:orientation val="minMax"/>
        </c:scaling>
        <c:delete val="1"/>
        <c:axPos val="b"/>
        <c:majorTickMark val="out"/>
        <c:minorTickMark val="none"/>
        <c:tickLblPos val="none"/>
        <c:crossAx val="49240704"/>
        <c:crosses val="autoZero"/>
        <c:auto val="1"/>
        <c:lblAlgn val="ctr"/>
        <c:lblOffset val="100"/>
        <c:noMultiLvlLbl val="0"/>
      </c:catAx>
      <c:spPr>
        <a:noFill/>
      </c:spPr>
    </c:plotArea>
    <c:legend>
      <c:legendPos val="r"/>
      <c:layout>
        <c:manualLayout>
          <c:xMode val="edge"/>
          <c:yMode val="edge"/>
          <c:x val="0.75500000000001199"/>
          <c:y val="0.23031545945443338"/>
          <c:w val="0.23250000000000001"/>
          <c:h val="0.55643169900713896"/>
        </c:manualLayout>
      </c:layout>
      <c:overlay val="0"/>
    </c:legend>
    <c:plotVisOnly val="1"/>
    <c:dispBlanksAs val="zero"/>
    <c:showDLblsOverMax val="0"/>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Bioenergy</a:t>
            </a:r>
            <a:r>
              <a:rPr lang="en-US" sz="1100" baseline="0"/>
              <a:t> production (negative are exports)</a:t>
            </a:r>
          </a:p>
        </c:rich>
      </c:tx>
      <c:overlay val="0"/>
    </c:title>
    <c:autoTitleDeleted val="0"/>
    <c:plotArea>
      <c:layout/>
      <c:barChart>
        <c:barDir val="col"/>
        <c:grouping val="stacked"/>
        <c:varyColors val="0"/>
        <c:ser>
          <c:idx val="0"/>
          <c:order val="0"/>
          <c:tx>
            <c:v>Solid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formatCode="#,##0.0_);\(#,##0.0\);&quot;-&quot;_);@">
                  <c:v>0.99519481815300015</c:v>
                </c:pt>
                <c:pt idx="1">
                  <c:v>1.435815964378379</c:v>
                </c:pt>
                <c:pt idx="2">
                  <c:v>1.8210288047733452</c:v>
                </c:pt>
                <c:pt idx="3">
                  <c:v>2.30169899080897</c:v>
                </c:pt>
                <c:pt idx="4">
                  <c:v>2.3500640448612282</c:v>
                </c:pt>
                <c:pt idx="5">
                  <c:v>2.4111393239589378</c:v>
                </c:pt>
                <c:pt idx="6">
                  <c:v>2.4747473841575749</c:v>
                </c:pt>
                <c:pt idx="7">
                  <c:v>2.5408940930767048</c:v>
                </c:pt>
                <c:pt idx="8">
                  <c:v>2.6102867681557558</c:v>
                </c:pt>
              </c:numCache>
            </c:numRef>
          </c:val>
          <c:extLst>
            <c:ext xmlns:c16="http://schemas.microsoft.com/office/drawing/2014/chart" uri="{C3380CC4-5D6E-409C-BE32-E72D297353CC}">
              <c16:uniqueId val="{00000000-2798-4637-A269-C4DCDFE0F7DE}"/>
            </c:ext>
          </c:extLst>
        </c:ser>
        <c:ser>
          <c:idx val="1"/>
          <c:order val="1"/>
          <c:tx>
            <c:v>Liquid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formatCode="#,##0.0_);\(#,##0.0\);&quot;-&quot;_);@">
                  <c:v>0.10723083333333333</c:v>
                </c:pt>
                <c:pt idx="1">
                  <c:v>0.10886739853662886</c:v>
                </c:pt>
                <c:pt idx="2">
                  <c:v>0.11314027102603014</c:v>
                </c:pt>
                <c:pt idx="3">
                  <c:v>0.13269333413613754</c:v>
                </c:pt>
                <c:pt idx="4">
                  <c:v>0.13778890093038501</c:v>
                </c:pt>
                <c:pt idx="5">
                  <c:v>0.14320900218883223</c:v>
                </c:pt>
                <c:pt idx="6">
                  <c:v>0.14897751054695804</c:v>
                </c:pt>
                <c:pt idx="7">
                  <c:v>0.15512010271129639</c:v>
                </c:pt>
                <c:pt idx="8">
                  <c:v>0.16166439641729724</c:v>
                </c:pt>
              </c:numCache>
            </c:numRef>
          </c:val>
          <c:extLst>
            <c:ext xmlns:c16="http://schemas.microsoft.com/office/drawing/2014/chart" uri="{C3380CC4-5D6E-409C-BE32-E72D297353CC}">
              <c16:uniqueId val="{00000001-2798-4637-A269-C4DCDFE0F7DE}"/>
            </c:ext>
          </c:extLst>
        </c:ser>
        <c:ser>
          <c:idx val="2"/>
          <c:order val="2"/>
          <c:tx>
            <c:v>Gaseous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formatCode="#,##0.0_);\(#,##0.0\);&quot;-&quot;_);@">
                  <c:v>0.17080321378922586</c:v>
                </c:pt>
                <c:pt idx="1">
                  <c:v>0.19925972961025004</c:v>
                </c:pt>
                <c:pt idx="2">
                  <c:v>0.27965141325063358</c:v>
                </c:pt>
                <c:pt idx="3">
                  <c:v>0.43072395411839237</c:v>
                </c:pt>
                <c:pt idx="4">
                  <c:v>0.44436488647061306</c:v>
                </c:pt>
                <c:pt idx="5">
                  <c:v>0.58378237623376583</c:v>
                </c:pt>
                <c:pt idx="6">
                  <c:v>0.73492217145589944</c:v>
                </c:pt>
                <c:pt idx="7">
                  <c:v>0.89862325021820177</c:v>
                </c:pt>
                <c:pt idx="8">
                  <c:v>0.93413070678266041</c:v>
                </c:pt>
              </c:numCache>
            </c:numRef>
          </c:val>
          <c:extLst>
            <c:ext xmlns:c16="http://schemas.microsoft.com/office/drawing/2014/chart" uri="{C3380CC4-5D6E-409C-BE32-E72D297353CC}">
              <c16:uniqueId val="{00000002-2798-4637-A269-C4DCDFE0F7DE}"/>
            </c:ext>
          </c:extLst>
        </c:ser>
        <c:ser>
          <c:idx val="3"/>
          <c:order val="3"/>
          <c:tx>
            <c:v>Solid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formatCode="#,##0.0_);\(#,##0.0\);&quot;-&quot;_);@">
                  <c:v>0.17666666666666667</c:v>
                </c:pt>
                <c:pt idx="1">
                  <c:v>0.25</c:v>
                </c:pt>
                <c:pt idx="2">
                  <c:v>0.25</c:v>
                </c:pt>
                <c:pt idx="3">
                  <c:v>0.2</c:v>
                </c:pt>
                <c:pt idx="4">
                  <c:v>1</c:v>
                </c:pt>
                <c:pt idx="5">
                  <c:v>1</c:v>
                </c:pt>
                <c:pt idx="6">
                  <c:v>0.5</c:v>
                </c:pt>
                <c:pt idx="7">
                  <c:v>0</c:v>
                </c:pt>
                <c:pt idx="8">
                  <c:v>0</c:v>
                </c:pt>
              </c:numCache>
            </c:numRef>
          </c:val>
          <c:extLst>
            <c:ext xmlns:c16="http://schemas.microsoft.com/office/drawing/2014/chart" uri="{C3380CC4-5D6E-409C-BE32-E72D297353CC}">
              <c16:uniqueId val="{00000003-2798-4637-A269-C4DCDFE0F7DE}"/>
            </c:ext>
          </c:extLst>
        </c:ser>
        <c:ser>
          <c:idx val="4"/>
          <c:order val="4"/>
          <c:tx>
            <c:v>Liquid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formatCode="#,##0.0_);\(#,##0.0\);&quot;-&quot;_);@">
                  <c:v>0.91876999999999998</c:v>
                </c:pt>
                <c:pt idx="1">
                  <c:v>1.0467</c:v>
                </c:pt>
                <c:pt idx="2">
                  <c:v>1.0467</c:v>
                </c:pt>
                <c:pt idx="3">
                  <c:v>1.0467</c:v>
                </c:pt>
                <c:pt idx="4">
                  <c:v>0.6</c:v>
                </c:pt>
                <c:pt idx="5">
                  <c:v>0.44999999999999996</c:v>
                </c:pt>
                <c:pt idx="6">
                  <c:v>0.29999999999999993</c:v>
                </c:pt>
                <c:pt idx="7">
                  <c:v>0.14999999999999991</c:v>
                </c:pt>
                <c:pt idx="8">
                  <c:v>0</c:v>
                </c:pt>
              </c:numCache>
            </c:numRef>
          </c:val>
          <c:extLst>
            <c:ext xmlns:c16="http://schemas.microsoft.com/office/drawing/2014/chart" uri="{C3380CC4-5D6E-409C-BE32-E72D297353CC}">
              <c16:uniqueId val="{00000004-2798-4637-A269-C4DCDFE0F7DE}"/>
            </c:ext>
          </c:extLst>
        </c:ser>
        <c:ser>
          <c:idx val="5"/>
          <c:order val="5"/>
          <c:tx>
            <c:v>Gaseous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formatCode="#,##0.0_);\(#,##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5-2798-4637-A269-C4DCDFE0F7DE}"/>
            </c:ext>
          </c:extLst>
        </c:ser>
        <c:dLbls>
          <c:showLegendKey val="0"/>
          <c:showVal val="0"/>
          <c:showCatName val="0"/>
          <c:showSerName val="0"/>
          <c:showPercent val="0"/>
          <c:showBubbleSize val="0"/>
        </c:dLbls>
        <c:gapWidth val="150"/>
        <c:overlap val="100"/>
        <c:axId val="49372160"/>
        <c:axId val="49378048"/>
      </c:barChart>
      <c:catAx>
        <c:axId val="49372160"/>
        <c:scaling>
          <c:orientation val="minMax"/>
        </c:scaling>
        <c:delete val="0"/>
        <c:axPos val="b"/>
        <c:numFmt formatCode="General" sourceLinked="1"/>
        <c:majorTickMark val="out"/>
        <c:minorTickMark val="none"/>
        <c:tickLblPos val="low"/>
        <c:crossAx val="49378048"/>
        <c:crosses val="autoZero"/>
        <c:auto val="1"/>
        <c:lblAlgn val="ctr"/>
        <c:lblOffset val="100"/>
        <c:noMultiLvlLbl val="0"/>
      </c:catAx>
      <c:valAx>
        <c:axId val="4937804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372160"/>
        <c:crosses val="autoZero"/>
        <c:crossBetween val="between"/>
      </c:valAx>
      <c:spPr>
        <a:noFill/>
      </c:spPr>
    </c:plotArea>
    <c:legend>
      <c:legendPos val="r"/>
      <c:overlay val="0"/>
    </c:legend>
    <c:plotVisOnly val="1"/>
    <c:dispBlanksAs val="gap"/>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Solid Hydrocarbon Consumption</a:t>
            </a:r>
            <a:endParaRPr lang="en-US" sz="1100" baseline="0"/>
          </a:p>
        </c:rich>
      </c:tx>
      <c:overlay val="0"/>
    </c:title>
    <c:autoTitleDeleted val="0"/>
    <c:plotArea>
      <c:layout>
        <c:manualLayout>
          <c:layoutTarget val="inner"/>
          <c:xMode val="edge"/>
          <c:yMode val="edge"/>
          <c:x val="9.8168471128610268E-2"/>
          <c:y val="0.19071498038178991"/>
          <c:w val="0.50988188976377968"/>
          <c:h val="0.58615808863013386"/>
        </c:manualLayout>
      </c:layout>
      <c:barChart>
        <c:barDir val="col"/>
        <c:grouping val="stacked"/>
        <c:varyColors val="0"/>
        <c:ser>
          <c:idx val="0"/>
          <c:order val="0"/>
          <c:tx>
            <c:strRef>
              <c:f>'Intermediate output'!$D$233</c:f>
              <c:strCache>
                <c:ptCount val="1"/>
                <c:pt idx="0">
                  <c:v>Carbon Capture Storage (CCS)</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E61B-4352-9E40-0D33C3206C6F}"/>
            </c:ext>
          </c:extLst>
        </c:ser>
        <c:ser>
          <c:idx val="1"/>
          <c:order val="1"/>
          <c:tx>
            <c:strRef>
              <c:f>'Intermediate output'!$D$234</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20.691997156645641</c:v>
                </c:pt>
                <c:pt idx="1">
                  <c:v>21.10530957034457</c:v>
                </c:pt>
                <c:pt idx="2">
                  <c:v>18.904104411428573</c:v>
                </c:pt>
                <c:pt idx="3">
                  <c:v>18.904104411428573</c:v>
                </c:pt>
                <c:pt idx="4">
                  <c:v>13.022368868571434</c:v>
                </c:pt>
                <c:pt idx="5">
                  <c:v>0</c:v>
                </c:pt>
                <c:pt idx="6">
                  <c:v>0</c:v>
                </c:pt>
                <c:pt idx="7">
                  <c:v>0</c:v>
                </c:pt>
                <c:pt idx="8">
                  <c:v>0</c:v>
                </c:pt>
              </c:numCache>
            </c:numRef>
          </c:val>
          <c:extLst>
            <c:ext xmlns:c16="http://schemas.microsoft.com/office/drawing/2014/chart" uri="{C3380CC4-5D6E-409C-BE32-E72D297353CC}">
              <c16:uniqueId val="{00000001-E61B-4352-9E40-0D33C3206C6F}"/>
            </c:ext>
          </c:extLst>
        </c:ser>
        <c:ser>
          <c:idx val="2"/>
          <c:order val="2"/>
          <c:tx>
            <c:strRef>
              <c:f>'Intermediate output'!$D$235</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3.2009129574592907</c:v>
                </c:pt>
                <c:pt idx="2">
                  <c:v>3.4441023967612487</c:v>
                </c:pt>
                <c:pt idx="3">
                  <c:v>3.7118972035637521</c:v>
                </c:pt>
                <c:pt idx="4">
                  <c:v>4.0068592429233831</c:v>
                </c:pt>
                <c:pt idx="5">
                  <c:v>4.3318213414220113</c:v>
                </c:pt>
                <c:pt idx="6">
                  <c:v>4.6899161948198707</c:v>
                </c:pt>
                <c:pt idx="7">
                  <c:v>5.0846083752001414</c:v>
                </c:pt>
                <c:pt idx="8">
                  <c:v>5.5197297709738296</c:v>
                </c:pt>
              </c:numCache>
            </c:numRef>
          </c:val>
          <c:extLst>
            <c:ext xmlns:c16="http://schemas.microsoft.com/office/drawing/2014/chart" uri="{C3380CC4-5D6E-409C-BE32-E72D297353CC}">
              <c16:uniqueId val="{00000002-E61B-4352-9E40-0D33C3206C6F}"/>
            </c:ext>
          </c:extLst>
        </c:ser>
        <c:ser>
          <c:idx val="3"/>
          <c:order val="3"/>
          <c:tx>
            <c:strRef>
              <c:f>'Intermediate output'!$D$236</c:f>
              <c:strCache>
                <c:ptCount val="1"/>
                <c:pt idx="0">
                  <c:v>Heating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0.71034782468660551</c:v>
                </c:pt>
                <c:pt idx="2">
                  <c:v>0.62445373949829786</c:v>
                </c:pt>
                <c:pt idx="3">
                  <c:v>0.54162256940867293</c:v>
                </c:pt>
                <c:pt idx="4">
                  <c:v>0.44924719009714997</c:v>
                </c:pt>
                <c:pt idx="5">
                  <c:v>0.34914306215202917</c:v>
                </c:pt>
                <c:pt idx="6">
                  <c:v>0.24100554429312099</c:v>
                </c:pt>
                <c:pt idx="7">
                  <c:v>0.12452245676688246</c:v>
                </c:pt>
                <c:pt idx="8">
                  <c:v>0</c:v>
                </c:pt>
              </c:numCache>
            </c:numRef>
          </c:val>
          <c:extLst>
            <c:ext xmlns:c16="http://schemas.microsoft.com/office/drawing/2014/chart" uri="{C3380CC4-5D6E-409C-BE32-E72D297353CC}">
              <c16:uniqueId val="{00000003-E61B-4352-9E40-0D33C3206C6F}"/>
            </c:ext>
          </c:extLst>
        </c:ser>
        <c:dLbls>
          <c:showLegendKey val="0"/>
          <c:showVal val="0"/>
          <c:showCatName val="0"/>
          <c:showSerName val="0"/>
          <c:showPercent val="0"/>
          <c:showBubbleSize val="0"/>
        </c:dLbls>
        <c:gapWidth val="150"/>
        <c:overlap val="100"/>
        <c:axId val="49298432"/>
        <c:axId val="49304320"/>
      </c:barChart>
      <c:lineChart>
        <c:grouping val="standard"/>
        <c:varyColors val="0"/>
        <c:ser>
          <c:idx val="4"/>
          <c:order val="4"/>
          <c:tx>
            <c:v>Solid biomass share</c:v>
          </c:tx>
          <c:marker>
            <c:symbol val="none"/>
          </c:marker>
          <c:val>
            <c:numRef>
              <c:f>'Intermediate output'!$AY$232:$BG$232</c:f>
              <c:numCache>
                <c:formatCode>0%;\ \(0%\);\ \-</c:formatCode>
                <c:ptCount val="9"/>
                <c:pt idx="0">
                  <c:v>4.7739736812162391E-2</c:v>
                </c:pt>
                <c:pt idx="1">
                  <c:v>6.7381198988460941E-2</c:v>
                </c:pt>
                <c:pt idx="2">
                  <c:v>9.0149071917814058E-2</c:v>
                </c:pt>
                <c:pt idx="3">
                  <c:v>0.10802582115396805</c:v>
                </c:pt>
                <c:pt idx="4">
                  <c:v>0.19166797944647376</c:v>
                </c:pt>
                <c:pt idx="5">
                  <c:v>0.7287257560331889</c:v>
                </c:pt>
                <c:pt idx="6">
                  <c:v>0.60328424208425846</c:v>
                </c:pt>
                <c:pt idx="7">
                  <c:v>0.48777697758787825</c:v>
                </c:pt>
                <c:pt idx="8">
                  <c:v>0.47290118836655126</c:v>
                </c:pt>
              </c:numCache>
            </c:numRef>
          </c:val>
          <c:smooth val="0"/>
          <c:extLst>
            <c:ext xmlns:c16="http://schemas.microsoft.com/office/drawing/2014/chart" uri="{C3380CC4-5D6E-409C-BE32-E72D297353CC}">
              <c16:uniqueId val="{00000004-E61B-4352-9E40-0D33C3206C6F}"/>
            </c:ext>
          </c:extLst>
        </c:ser>
        <c:dLbls>
          <c:showLegendKey val="0"/>
          <c:showVal val="0"/>
          <c:showCatName val="0"/>
          <c:showSerName val="0"/>
          <c:showPercent val="0"/>
          <c:showBubbleSize val="0"/>
        </c:dLbls>
        <c:marker val="1"/>
        <c:smooth val="0"/>
        <c:axId val="49316224"/>
        <c:axId val="49306240"/>
      </c:lineChart>
      <c:catAx>
        <c:axId val="49298432"/>
        <c:scaling>
          <c:orientation val="minMax"/>
        </c:scaling>
        <c:delete val="0"/>
        <c:axPos val="b"/>
        <c:numFmt formatCode="General" sourceLinked="1"/>
        <c:majorTickMark val="out"/>
        <c:minorTickMark val="none"/>
        <c:tickLblPos val="low"/>
        <c:crossAx val="49304320"/>
        <c:crosses val="autoZero"/>
        <c:auto val="1"/>
        <c:lblAlgn val="ctr"/>
        <c:lblOffset val="100"/>
        <c:noMultiLvlLbl val="0"/>
      </c:catAx>
      <c:valAx>
        <c:axId val="4930432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298432"/>
        <c:crosses val="autoZero"/>
        <c:crossBetween val="between"/>
      </c:valAx>
      <c:valAx>
        <c:axId val="49306240"/>
        <c:scaling>
          <c:orientation val="minMax"/>
          <c:max val="1"/>
        </c:scaling>
        <c:delete val="0"/>
        <c:axPos val="r"/>
        <c:numFmt formatCode="0%;\ \(0%\);\ \-" sourceLinked="1"/>
        <c:majorTickMark val="out"/>
        <c:minorTickMark val="none"/>
        <c:tickLblPos val="nextTo"/>
        <c:crossAx val="49316224"/>
        <c:crosses val="max"/>
        <c:crossBetween val="between"/>
      </c:valAx>
      <c:catAx>
        <c:axId val="49316224"/>
        <c:scaling>
          <c:orientation val="minMax"/>
        </c:scaling>
        <c:delete val="1"/>
        <c:axPos val="b"/>
        <c:majorTickMark val="out"/>
        <c:minorTickMark val="none"/>
        <c:tickLblPos val="none"/>
        <c:crossAx val="49306240"/>
        <c:crosses val="autoZero"/>
        <c:auto val="1"/>
        <c:lblAlgn val="ctr"/>
        <c:lblOffset val="100"/>
        <c:noMultiLvlLbl val="0"/>
      </c:catAx>
      <c:spPr>
        <a:noFill/>
      </c:spPr>
    </c:plotArea>
    <c:legend>
      <c:legendPos val="r"/>
      <c:overlay val="0"/>
    </c:legend>
    <c:plotVisOnly val="1"/>
    <c:dispBlanksAs val="gap"/>
    <c:showDLblsOverMax val="0"/>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Liquid Hydrocarbon Consumption</a:t>
            </a:r>
            <a:endParaRPr lang="en-US" sz="1100" baseline="0"/>
          </a:p>
        </c:rich>
      </c:tx>
      <c:overlay val="0"/>
    </c:title>
    <c:autoTitleDeleted val="0"/>
    <c:plotArea>
      <c:layout>
        <c:manualLayout>
          <c:layoutTarget val="inner"/>
          <c:xMode val="edge"/>
          <c:yMode val="edge"/>
          <c:x val="9.8168471128610268E-2"/>
          <c:y val="0.19019747971827233"/>
          <c:w val="0.4932152230971128"/>
          <c:h val="0.58615808863013386"/>
        </c:manualLayout>
      </c:layout>
      <c:barChart>
        <c:barDir val="col"/>
        <c:grouping val="stacked"/>
        <c:varyColors val="0"/>
        <c:ser>
          <c:idx val="0"/>
          <c:order val="0"/>
          <c:tx>
            <c:strRef>
              <c:f>'Intermediate output'!$D$240</c:f>
              <c:strCache>
                <c:ptCount val="1"/>
                <c:pt idx="0">
                  <c:v>Transport</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47.065141213037336</c:v>
                </c:pt>
                <c:pt idx="1">
                  <c:v>48.150568539620423</c:v>
                </c:pt>
                <c:pt idx="2">
                  <c:v>51.065953584659304</c:v>
                </c:pt>
                <c:pt idx="3">
                  <c:v>52.335741964295458</c:v>
                </c:pt>
                <c:pt idx="4">
                  <c:v>53.553588648440751</c:v>
                </c:pt>
                <c:pt idx="5">
                  <c:v>54.911415841670902</c:v>
                </c:pt>
                <c:pt idx="6">
                  <c:v>56.258627763888541</c:v>
                </c:pt>
                <c:pt idx="7">
                  <c:v>57.824482497251779</c:v>
                </c:pt>
                <c:pt idx="8">
                  <c:v>58.916406830657778</c:v>
                </c:pt>
              </c:numCache>
            </c:numRef>
          </c:val>
          <c:extLst>
            <c:ext xmlns:c16="http://schemas.microsoft.com/office/drawing/2014/chart" uri="{C3380CC4-5D6E-409C-BE32-E72D297353CC}">
              <c16:uniqueId val="{00000000-328B-43AC-8B12-A2DAC092A1B0}"/>
            </c:ext>
          </c:extLst>
        </c:ser>
        <c:ser>
          <c:idx val="1"/>
          <c:order val="1"/>
          <c:tx>
            <c:strRef>
              <c:f>'Intermediate output'!$D$241</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6.5356261350053035</c:v>
                </c:pt>
                <c:pt idx="2">
                  <c:v>7.0321704885639642</c:v>
                </c:pt>
                <c:pt idx="3">
                  <c:v>7.5789540973086256</c:v>
                </c:pt>
                <c:pt idx="4">
                  <c:v>8.1812077789593189</c:v>
                </c:pt>
                <c:pt idx="5">
                  <c:v>8.844715600652659</c:v>
                </c:pt>
                <c:pt idx="6">
                  <c:v>9.5758739026064887</c:v>
                </c:pt>
                <c:pt idx="7">
                  <c:v>10.381756650328262</c:v>
                </c:pt>
                <c:pt idx="8">
                  <c:v>11.270187796039812</c:v>
                </c:pt>
              </c:numCache>
            </c:numRef>
          </c:val>
          <c:extLst>
            <c:ext xmlns:c16="http://schemas.microsoft.com/office/drawing/2014/chart" uri="{C3380CC4-5D6E-409C-BE32-E72D297353CC}">
              <c16:uniqueId val="{00000001-328B-43AC-8B12-A2DAC092A1B0}"/>
            </c:ext>
          </c:extLst>
        </c:ser>
        <c:ser>
          <c:idx val="2"/>
          <c:order val="2"/>
          <c:tx>
            <c:strRef>
              <c:f>'Intermediate output'!$D$242</c:f>
              <c:strCache>
                <c:ptCount val="1"/>
                <c:pt idx="0">
                  <c:v>Petroleum refineries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extLst>
            <c:ext xmlns:c16="http://schemas.microsoft.com/office/drawing/2014/chart" uri="{C3380CC4-5D6E-409C-BE32-E72D297353CC}">
              <c16:uniqueId val="{00000002-328B-43AC-8B12-A2DAC092A1B0}"/>
            </c:ext>
          </c:extLst>
        </c:ser>
        <c:dLbls>
          <c:showLegendKey val="0"/>
          <c:showVal val="0"/>
          <c:showCatName val="0"/>
          <c:showSerName val="0"/>
          <c:showPercent val="0"/>
          <c:showBubbleSize val="0"/>
        </c:dLbls>
        <c:gapWidth val="150"/>
        <c:overlap val="100"/>
        <c:axId val="49492736"/>
        <c:axId val="49494272"/>
      </c:barChart>
      <c:lineChart>
        <c:grouping val="standard"/>
        <c:varyColors val="0"/>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1.3229700820545271E-2</c:v>
                </c:pt>
                <c:pt idx="1">
                  <c:v>1.5357428968472116E-2</c:v>
                </c:pt>
                <c:pt idx="2">
                  <c:v>1.5206084168848596E-2</c:v>
                </c:pt>
                <c:pt idx="3">
                  <c:v>1.547437317131223E-2</c:v>
                </c:pt>
                <c:pt idx="4">
                  <c:v>9.713029326607869E-3</c:v>
                </c:pt>
                <c:pt idx="5">
                  <c:v>7.8292644117209792E-3</c:v>
                </c:pt>
                <c:pt idx="6">
                  <c:v>5.9475829261515746E-3</c:v>
                </c:pt>
                <c:pt idx="7">
                  <c:v>4.0495657566064847E-3</c:v>
                </c:pt>
                <c:pt idx="8">
                  <c:v>2.1651421772406264E-3</c:v>
                </c:pt>
              </c:numCache>
            </c:numRef>
          </c:val>
          <c:smooth val="0"/>
          <c:extLst>
            <c:ext xmlns:c16="http://schemas.microsoft.com/office/drawing/2014/chart" uri="{C3380CC4-5D6E-409C-BE32-E72D297353CC}">
              <c16:uniqueId val="{00000003-328B-43AC-8B12-A2DAC092A1B0}"/>
            </c:ext>
          </c:extLst>
        </c:ser>
        <c:dLbls>
          <c:showLegendKey val="0"/>
          <c:showVal val="0"/>
          <c:showCatName val="0"/>
          <c:showSerName val="0"/>
          <c:showPercent val="0"/>
          <c:showBubbleSize val="0"/>
        </c:dLbls>
        <c:marker val="1"/>
        <c:smooth val="0"/>
        <c:axId val="49506176"/>
        <c:axId val="49504640"/>
      </c:lineChart>
      <c:catAx>
        <c:axId val="49492736"/>
        <c:scaling>
          <c:orientation val="minMax"/>
        </c:scaling>
        <c:delete val="0"/>
        <c:axPos val="b"/>
        <c:numFmt formatCode="General" sourceLinked="1"/>
        <c:majorTickMark val="out"/>
        <c:minorTickMark val="none"/>
        <c:tickLblPos val="low"/>
        <c:crossAx val="49494272"/>
        <c:crosses val="autoZero"/>
        <c:auto val="1"/>
        <c:lblAlgn val="ctr"/>
        <c:lblOffset val="100"/>
        <c:noMultiLvlLbl val="0"/>
      </c:catAx>
      <c:valAx>
        <c:axId val="4949427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492736"/>
        <c:crosses val="autoZero"/>
        <c:crossBetween val="between"/>
      </c:valAx>
      <c:valAx>
        <c:axId val="49504640"/>
        <c:scaling>
          <c:orientation val="minMax"/>
          <c:max val="1"/>
        </c:scaling>
        <c:delete val="0"/>
        <c:axPos val="r"/>
        <c:numFmt formatCode="0%;\ \(0%\);\ \-" sourceLinked="1"/>
        <c:majorTickMark val="out"/>
        <c:minorTickMark val="none"/>
        <c:tickLblPos val="nextTo"/>
        <c:crossAx val="49506176"/>
        <c:crosses val="max"/>
        <c:crossBetween val="between"/>
      </c:valAx>
      <c:catAx>
        <c:axId val="49506176"/>
        <c:scaling>
          <c:orientation val="minMax"/>
        </c:scaling>
        <c:delete val="1"/>
        <c:axPos val="b"/>
        <c:numFmt formatCode="General" sourceLinked="1"/>
        <c:majorTickMark val="out"/>
        <c:minorTickMark val="none"/>
        <c:tickLblPos val="none"/>
        <c:crossAx val="49504640"/>
        <c:crosses val="autoZero"/>
        <c:auto val="1"/>
        <c:lblAlgn val="ctr"/>
        <c:lblOffset val="100"/>
        <c:noMultiLvlLbl val="0"/>
      </c:catAx>
      <c:spPr>
        <a:noFill/>
      </c:spPr>
    </c:plotArea>
    <c:legend>
      <c:legendPos val="r"/>
      <c:layout>
        <c:manualLayout>
          <c:xMode val="edge"/>
          <c:yMode val="edge"/>
          <c:x val="0.67270839320268994"/>
          <c:y val="0.19828080289769531"/>
          <c:w val="0.3147916666666668"/>
          <c:h val="0.53037278147454958"/>
        </c:manualLayout>
      </c:layout>
      <c:overlay val="0"/>
    </c:legend>
    <c:plotVisOnly val="1"/>
    <c:dispBlanksAs val="gap"/>
    <c:showDLblsOverMax val="0"/>
  </c:chart>
  <c:spPr>
    <a:noFill/>
    <a:ln>
      <a:noFill/>
    </a:ln>
  </c:spPr>
  <c:printSettings>
    <c:headerFooter/>
    <c:pageMargins b="0.75000000000001255" l="0.70000000000000062" r="0.70000000000000062" t="0.7500000000000125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Gaseous Hydrocarbon Consumption</a:t>
            </a:r>
            <a:endParaRPr lang="en-US" sz="1100" baseline="0"/>
          </a:p>
        </c:rich>
      </c:tx>
      <c:overlay val="0"/>
    </c:title>
    <c:autoTitleDeleted val="0"/>
    <c:plotArea>
      <c:layout>
        <c:manualLayout>
          <c:layoutTarget val="inner"/>
          <c:xMode val="edge"/>
          <c:yMode val="edge"/>
          <c:x val="9.0108933463609028E-2"/>
          <c:y val="0.24069058263872189"/>
          <c:w val="0.49946522309711588"/>
          <c:h val="0.58615808863013386"/>
        </c:manualLayout>
      </c:layout>
      <c:barChart>
        <c:barDir val="col"/>
        <c:grouping val="stacked"/>
        <c:varyColors val="0"/>
        <c:ser>
          <c:idx val="1"/>
          <c:order val="0"/>
          <c:tx>
            <c:v>Domestic heating</c:v>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10.199540735750485</c:v>
                </c:pt>
                <c:pt idx="2">
                  <c:v>11.897301948776613</c:v>
                </c:pt>
                <c:pt idx="3">
                  <c:v>14.23206774476146</c:v>
                </c:pt>
                <c:pt idx="4">
                  <c:v>16.615606470158163</c:v>
                </c:pt>
                <c:pt idx="5">
                  <c:v>19.131212438602503</c:v>
                </c:pt>
                <c:pt idx="6">
                  <c:v>21.776894734744477</c:v>
                </c:pt>
                <c:pt idx="7">
                  <c:v>24.497783683989923</c:v>
                </c:pt>
                <c:pt idx="8">
                  <c:v>27.349254133477515</c:v>
                </c:pt>
              </c:numCache>
            </c:numRef>
          </c:val>
          <c:extLst>
            <c:ext xmlns:c16="http://schemas.microsoft.com/office/drawing/2014/chart" uri="{C3380CC4-5D6E-409C-BE32-E72D297353CC}">
              <c16:uniqueId val="{00000000-EFD7-4922-98D3-2E800F2DC741}"/>
            </c:ext>
          </c:extLst>
        </c:ser>
        <c:ser>
          <c:idx val="2"/>
          <c:order val="1"/>
          <c:tx>
            <c:strRef>
              <c:f>'Intermediate output'!$D$247</c:f>
              <c:strCache>
                <c:ptCount val="1"/>
                <c:pt idx="0">
                  <c:v>Commercial heating and cooling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5.2696981539086805</c:v>
                </c:pt>
                <c:pt idx="2">
                  <c:v>6.2042971253497576</c:v>
                </c:pt>
                <c:pt idx="3">
                  <c:v>7.0586798336798342</c:v>
                </c:pt>
                <c:pt idx="4">
                  <c:v>7.9647226173541954</c:v>
                </c:pt>
                <c:pt idx="5">
                  <c:v>8.9224254763728439</c:v>
                </c:pt>
                <c:pt idx="6">
                  <c:v>9.931788410735777</c:v>
                </c:pt>
                <c:pt idx="7">
                  <c:v>10.992811420442997</c:v>
                </c:pt>
                <c:pt idx="8">
                  <c:v>12.105494505494505</c:v>
                </c:pt>
              </c:numCache>
            </c:numRef>
          </c:val>
          <c:extLst>
            <c:ext xmlns:c16="http://schemas.microsoft.com/office/drawing/2014/chart" uri="{C3380CC4-5D6E-409C-BE32-E72D297353CC}">
              <c16:uniqueId val="{00000001-EFD7-4922-98D3-2E800F2DC741}"/>
            </c:ext>
          </c:extLst>
        </c:ser>
        <c:ser>
          <c:idx val="3"/>
          <c:order val="2"/>
          <c:tx>
            <c:strRef>
              <c:f>'Intermediate output'!$D$248</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7.4516430263682514</c:v>
                </c:pt>
                <c:pt idx="2">
                  <c:v>8.0177817853863154</c:v>
                </c:pt>
                <c:pt idx="3">
                  <c:v>8.64120120701015</c:v>
                </c:pt>
                <c:pt idx="4">
                  <c:v>9.3278652471914132</c:v>
                </c:pt>
                <c:pt idx="5">
                  <c:v>10.08436865334256</c:v>
                </c:pt>
                <c:pt idx="6">
                  <c:v>10.918004260609603</c:v>
                </c:pt>
                <c:pt idx="7">
                  <c:v>11.836837503681357</c:v>
                </c:pt>
                <c:pt idx="8">
                  <c:v>12.849788920209173</c:v>
                </c:pt>
              </c:numCache>
            </c:numRef>
          </c:val>
          <c:extLst>
            <c:ext xmlns:c16="http://schemas.microsoft.com/office/drawing/2014/chart" uri="{C3380CC4-5D6E-409C-BE32-E72D297353CC}">
              <c16:uniqueId val="{00000002-EFD7-4922-98D3-2E800F2DC741}"/>
            </c:ext>
          </c:extLst>
        </c:ser>
        <c:ser>
          <c:idx val="4"/>
          <c:order val="3"/>
          <c:tx>
            <c:strRef>
              <c:f>'Intermediate output'!$D$249</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24.254439331469616</c:v>
                </c:pt>
                <c:pt idx="1">
                  <c:v>24.744703032876998</c:v>
                </c:pt>
                <c:pt idx="2">
                  <c:v>27.385767915552304</c:v>
                </c:pt>
                <c:pt idx="3">
                  <c:v>37.098678880609839</c:v>
                </c:pt>
                <c:pt idx="4">
                  <c:v>50.151743269846563</c:v>
                </c:pt>
                <c:pt idx="5">
                  <c:v>66.74981167799227</c:v>
                </c:pt>
                <c:pt idx="6">
                  <c:v>71.426632572578853</c:v>
                </c:pt>
                <c:pt idx="7">
                  <c:v>76.270558151769606</c:v>
                </c:pt>
                <c:pt idx="8">
                  <c:v>81.296126820622135</c:v>
                </c:pt>
              </c:numCache>
            </c:numRef>
          </c:val>
          <c:extLst>
            <c:ext xmlns:c16="http://schemas.microsoft.com/office/drawing/2014/chart" uri="{C3380CC4-5D6E-409C-BE32-E72D297353CC}">
              <c16:uniqueId val="{00000003-EFD7-4922-98D3-2E800F2DC741}"/>
            </c:ext>
          </c:extLst>
        </c:ser>
        <c:ser>
          <c:idx val="5"/>
          <c:order val="4"/>
          <c:tx>
            <c:strRef>
              <c:f>'Intermediate output'!$D$250</c:f>
              <c:strCache>
                <c:ptCount val="1"/>
                <c:pt idx="0">
                  <c:v>Carbon Capture Storage (CCS)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EFD7-4922-98D3-2E800F2DC741}"/>
            </c:ext>
          </c:extLst>
        </c:ser>
        <c:dLbls>
          <c:showLegendKey val="0"/>
          <c:showVal val="0"/>
          <c:showCatName val="0"/>
          <c:showSerName val="0"/>
          <c:showPercent val="0"/>
          <c:showBubbleSize val="0"/>
        </c:dLbls>
        <c:gapWidth val="150"/>
        <c:overlap val="100"/>
        <c:axId val="49571328"/>
        <c:axId val="49572864"/>
      </c:barChart>
      <c:lineChart>
        <c:grouping val="standard"/>
        <c:varyColors val="0"/>
        <c:ser>
          <c:idx val="0"/>
          <c:order val="5"/>
          <c:tx>
            <c:v>Biogas share</c:v>
          </c:tx>
          <c:marker>
            <c:symbol val="none"/>
          </c:marker>
          <c:val>
            <c:numRef>
              <c:f>'Intermediate output'!$AY$245:$BG$245</c:f>
              <c:numCache>
                <c:formatCode>0%;\ \(0%\);\ \-</c:formatCode>
                <c:ptCount val="9"/>
                <c:pt idx="0">
                  <c:v>3.6451248334754514E-3</c:v>
                </c:pt>
                <c:pt idx="1">
                  <c:v>4.0853165986934146E-3</c:v>
                </c:pt>
                <c:pt idx="2">
                  <c:v>4.9225417273142825E-3</c:v>
                </c:pt>
                <c:pt idx="3">
                  <c:v>6.2694263665208985E-3</c:v>
                </c:pt>
                <c:pt idx="4">
                  <c:v>5.2227747519797705E-3</c:v>
                </c:pt>
                <c:pt idx="5">
                  <c:v>5.5114939430898693E-3</c:v>
                </c:pt>
                <c:pt idx="6">
                  <c:v>6.3851917813501592E-3</c:v>
                </c:pt>
                <c:pt idx="7">
                  <c:v>7.2089663413965003E-3</c:v>
                </c:pt>
                <c:pt idx="8">
                  <c:v>6.9364485886984455E-3</c:v>
                </c:pt>
              </c:numCache>
            </c:numRef>
          </c:val>
          <c:smooth val="0"/>
          <c:extLst>
            <c:ext xmlns:c16="http://schemas.microsoft.com/office/drawing/2014/chart" uri="{C3380CC4-5D6E-409C-BE32-E72D297353CC}">
              <c16:uniqueId val="{00000005-EFD7-4922-98D3-2E800F2DC741}"/>
            </c:ext>
          </c:extLst>
        </c:ser>
        <c:dLbls>
          <c:showLegendKey val="0"/>
          <c:showVal val="0"/>
          <c:showCatName val="0"/>
          <c:showSerName val="0"/>
          <c:showPercent val="0"/>
          <c:showBubbleSize val="0"/>
        </c:dLbls>
        <c:marker val="1"/>
        <c:smooth val="0"/>
        <c:axId val="49580672"/>
        <c:axId val="49579136"/>
      </c:lineChart>
      <c:catAx>
        <c:axId val="49571328"/>
        <c:scaling>
          <c:orientation val="minMax"/>
        </c:scaling>
        <c:delete val="0"/>
        <c:axPos val="b"/>
        <c:numFmt formatCode="General" sourceLinked="1"/>
        <c:majorTickMark val="out"/>
        <c:minorTickMark val="none"/>
        <c:tickLblPos val="low"/>
        <c:crossAx val="49572864"/>
        <c:crosses val="autoZero"/>
        <c:auto val="1"/>
        <c:lblAlgn val="ctr"/>
        <c:lblOffset val="100"/>
        <c:noMultiLvlLbl val="0"/>
      </c:catAx>
      <c:valAx>
        <c:axId val="4957286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571328"/>
        <c:crosses val="autoZero"/>
        <c:crossBetween val="between"/>
      </c:valAx>
      <c:valAx>
        <c:axId val="49579136"/>
        <c:scaling>
          <c:orientation val="minMax"/>
          <c:max val="1"/>
        </c:scaling>
        <c:delete val="0"/>
        <c:axPos val="r"/>
        <c:numFmt formatCode="0%;\ \(0%\);\ \-" sourceLinked="1"/>
        <c:majorTickMark val="out"/>
        <c:minorTickMark val="none"/>
        <c:tickLblPos val="nextTo"/>
        <c:crossAx val="49580672"/>
        <c:crosses val="max"/>
        <c:crossBetween val="between"/>
      </c:valAx>
      <c:catAx>
        <c:axId val="49580672"/>
        <c:scaling>
          <c:orientation val="minMax"/>
        </c:scaling>
        <c:delete val="1"/>
        <c:axPos val="b"/>
        <c:majorTickMark val="out"/>
        <c:minorTickMark val="none"/>
        <c:tickLblPos val="none"/>
        <c:crossAx val="49579136"/>
        <c:crosses val="autoZero"/>
        <c:auto val="1"/>
        <c:lblAlgn val="ctr"/>
        <c:lblOffset val="100"/>
        <c:noMultiLvlLbl val="0"/>
      </c:catAx>
      <c:spPr>
        <a:noFill/>
      </c:spPr>
    </c:plotArea>
    <c:legend>
      <c:legendPos val="r"/>
      <c:layout>
        <c:manualLayout>
          <c:xMode val="edge"/>
          <c:yMode val="edge"/>
          <c:x val="0.65124187213827112"/>
          <c:y val="0.16474666974131241"/>
          <c:w val="0.33707929574497969"/>
          <c:h val="0.82469947658136411"/>
        </c:manualLayout>
      </c:layout>
      <c:overlay val="0"/>
    </c:legend>
    <c:plotVisOnly val="1"/>
    <c:dispBlanksAs val="gap"/>
    <c:showDLblsOverMax val="0"/>
  </c:chart>
  <c:spPr>
    <a:noFill/>
    <a:ln>
      <a:noFill/>
    </a:ln>
  </c:spPr>
  <c:printSettings>
    <c:headerFooter/>
    <c:pageMargins b="0.75000000000001277" l="0.70000000000000062" r="0.70000000000000062" t="0.750000000000012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 and % imported</a:t>
            </a:r>
            <a:endParaRPr lang="en-IE" sz="1100"/>
          </a:p>
        </c:rich>
      </c:tx>
      <c:overlay val="0"/>
    </c:title>
    <c:autoTitleDeleted val="0"/>
    <c:plotArea>
      <c:layout>
        <c:manualLayout>
          <c:layoutTarget val="inner"/>
          <c:xMode val="edge"/>
          <c:yMode val="edge"/>
          <c:x val="0.10726446043463794"/>
          <c:y val="0.12728830241713762"/>
          <c:w val="0.55461399243942566"/>
          <c:h val="0.77761647413350499"/>
        </c:manualLayout>
      </c:layout>
      <c:areaChart>
        <c:grouping val="stacked"/>
        <c:varyColors val="0"/>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4236-4564-910C-9160323318B0}"/>
            </c:ext>
          </c:extLst>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5.2915063522883464E-2</c:v>
                </c:pt>
                <c:pt idx="2">
                  <c:v>5.5796848364472185E-2</c:v>
                </c:pt>
                <c:pt idx="3">
                  <c:v>5.8662240154226032E-2</c:v>
                </c:pt>
                <c:pt idx="4">
                  <c:v>7.0129937567812564E-2</c:v>
                </c:pt>
                <c:pt idx="5">
                  <c:v>7.3391639360886121E-2</c:v>
                </c:pt>
                <c:pt idx="6">
                  <c:v>7.68227714428798E-2</c:v>
                </c:pt>
                <c:pt idx="7">
                  <c:v>8.0232994859916751E-2</c:v>
                </c:pt>
                <c:pt idx="8">
                  <c:v>8.3820866458489254E-2</c:v>
                </c:pt>
              </c:numCache>
            </c:numRef>
          </c:val>
          <c:extLst>
            <c:ext xmlns:c16="http://schemas.microsoft.com/office/drawing/2014/chart" uri="{C3380CC4-5D6E-409C-BE32-E72D297353CC}">
              <c16:uniqueId val="{00000001-4236-4564-910C-9160323318B0}"/>
            </c:ext>
          </c:extLst>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5.6216357999999991</c:v>
                </c:pt>
                <c:pt idx="3">
                  <c:v>3.3359012999999997</c:v>
                </c:pt>
                <c:pt idx="4">
                  <c:v>1.1378267999999998</c:v>
                </c:pt>
                <c:pt idx="5">
                  <c:v>3.8789549999999742E-2</c:v>
                </c:pt>
                <c:pt idx="6">
                  <c:v>3.8789549999999742E-2</c:v>
                </c:pt>
                <c:pt idx="7">
                  <c:v>3.8789549999999742E-2</c:v>
                </c:pt>
                <c:pt idx="8">
                  <c:v>3.8789549999999742E-2</c:v>
                </c:pt>
              </c:numCache>
            </c:numRef>
          </c:val>
          <c:extLst>
            <c:ext xmlns:c16="http://schemas.microsoft.com/office/drawing/2014/chart" uri="{C3380CC4-5D6E-409C-BE32-E72D297353CC}">
              <c16:uniqueId val="{00000002-4236-4564-910C-9160323318B0}"/>
            </c:ext>
          </c:extLst>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4236-4564-910C-9160323318B0}"/>
            </c:ext>
          </c:extLst>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c:ext xmlns:c16="http://schemas.microsoft.com/office/drawing/2014/chart" uri="{C3380CC4-5D6E-409C-BE32-E72D297353CC}">
              <c16:uniqueId val="{00000004-4236-4564-910C-9160323318B0}"/>
            </c:ext>
          </c:extLst>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0.50632416000000002</c:v>
                </c:pt>
                <c:pt idx="5">
                  <c:v>0.33310800000000007</c:v>
                </c:pt>
                <c:pt idx="6">
                  <c:v>0.23317560000000004</c:v>
                </c:pt>
                <c:pt idx="7">
                  <c:v>0.16655400000000004</c:v>
                </c:pt>
                <c:pt idx="8">
                  <c:v>0</c:v>
                </c:pt>
              </c:numCache>
            </c:numRef>
          </c:val>
          <c:extLst>
            <c:ext xmlns:c16="http://schemas.microsoft.com/office/drawing/2014/chart" uri="{C3380CC4-5D6E-409C-BE32-E72D297353CC}">
              <c16:uniqueId val="{00000005-4236-4564-910C-9160323318B0}"/>
            </c:ext>
          </c:extLst>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2.4999999999999964</c:v>
                </c:pt>
                <c:pt idx="2">
                  <c:v>2.5</c:v>
                </c:pt>
                <c:pt idx="3">
                  <c:v>1.4999999999999964</c:v>
                </c:pt>
                <c:pt idx="4">
                  <c:v>1</c:v>
                </c:pt>
                <c:pt idx="5">
                  <c:v>3.5527136788005009E-15</c:v>
                </c:pt>
                <c:pt idx="6">
                  <c:v>7.1054273576010019E-15</c:v>
                </c:pt>
                <c:pt idx="7">
                  <c:v>0</c:v>
                </c:pt>
                <c:pt idx="8">
                  <c:v>0</c:v>
                </c:pt>
              </c:numCache>
            </c:numRef>
          </c:val>
          <c:extLst>
            <c:ext xmlns:c16="http://schemas.microsoft.com/office/drawing/2014/chart" uri="{C3380CC4-5D6E-409C-BE32-E72D297353CC}">
              <c16:uniqueId val="{00000006-4236-4564-910C-9160323318B0}"/>
            </c:ext>
          </c:extLst>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0.1434054871385817</c:v>
                </c:pt>
                <c:pt idx="2">
                  <c:v>0.23314146875358133</c:v>
                </c:pt>
                <c:pt idx="3">
                  <c:v>0.3313595195314073</c:v>
                </c:pt>
                <c:pt idx="4">
                  <c:v>0.43792102798625754</c:v>
                </c:pt>
                <c:pt idx="5">
                  <c:v>0.55304324430206342</c:v>
                </c:pt>
                <c:pt idx="6">
                  <c:v>0.67669216126185838</c:v>
                </c:pt>
                <c:pt idx="7">
                  <c:v>0.80883168050723919</c:v>
                </c:pt>
                <c:pt idx="8">
                  <c:v>0.9494999999999999</c:v>
                </c:pt>
              </c:numCache>
            </c:numRef>
          </c:val>
          <c:extLst>
            <c:ext xmlns:c16="http://schemas.microsoft.com/office/drawing/2014/chart" uri="{C3380CC4-5D6E-409C-BE32-E72D297353CC}">
              <c16:uniqueId val="{00000007-4236-4564-910C-9160323318B0}"/>
            </c:ext>
          </c:extLst>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8-4236-4564-910C-9160323318B0}"/>
            </c:ext>
          </c:extLst>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9-4236-4564-910C-9160323318B0}"/>
            </c:ext>
          </c:extLst>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A-4236-4564-910C-9160323318B0}"/>
            </c:ext>
          </c:extLst>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B-4236-4564-910C-9160323318B0}"/>
            </c:ext>
          </c:extLst>
        </c:ser>
        <c:dLbls>
          <c:showLegendKey val="0"/>
          <c:showVal val="0"/>
          <c:showCatName val="0"/>
          <c:showSerName val="0"/>
          <c:showPercent val="0"/>
          <c:showBubbleSize val="0"/>
        </c:dLbls>
        <c:axId val="49740032"/>
        <c:axId val="49627136"/>
      </c:areaChart>
      <c:lineChart>
        <c:grouping val="standard"/>
        <c:varyColors val="0"/>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0.90212301535020689</c:v>
                </c:pt>
                <c:pt idx="1">
                  <c:v>0.89010288186738273</c:v>
                </c:pt>
                <c:pt idx="2">
                  <c:v>0.72081047254231556</c:v>
                </c:pt>
                <c:pt idx="3">
                  <c:v>0.885904284680889</c:v>
                </c:pt>
                <c:pt idx="4">
                  <c:v>0.96867394187614342</c:v>
                </c:pt>
                <c:pt idx="5">
                  <c:v>0.97446363360169019</c:v>
                </c:pt>
                <c:pt idx="6">
                  <c:v>0.97419948350300456</c:v>
                </c:pt>
                <c:pt idx="7">
                  <c:v>0.97380686120006255</c:v>
                </c:pt>
                <c:pt idx="8">
                  <c:v>0.97446057603989711</c:v>
                </c:pt>
              </c:numCache>
            </c:numRef>
          </c:val>
          <c:smooth val="0"/>
          <c:extLst>
            <c:ext xmlns:c16="http://schemas.microsoft.com/office/drawing/2014/chart" uri="{C3380CC4-5D6E-409C-BE32-E72D297353CC}">
              <c16:uniqueId val="{0000000C-4236-4564-910C-9160323318B0}"/>
            </c:ext>
          </c:extLst>
        </c:ser>
        <c:dLbls>
          <c:showLegendKey val="0"/>
          <c:showVal val="0"/>
          <c:showCatName val="0"/>
          <c:showSerName val="0"/>
          <c:showPercent val="0"/>
          <c:showBubbleSize val="0"/>
        </c:dLbls>
        <c:marker val="1"/>
        <c:smooth val="0"/>
        <c:axId val="49630592"/>
        <c:axId val="49629056"/>
      </c:lineChart>
      <c:catAx>
        <c:axId val="49740032"/>
        <c:scaling>
          <c:orientation val="minMax"/>
        </c:scaling>
        <c:delete val="0"/>
        <c:axPos val="b"/>
        <c:numFmt formatCode="General" sourceLinked="1"/>
        <c:majorTickMark val="out"/>
        <c:minorTickMark val="none"/>
        <c:tickLblPos val="nextTo"/>
        <c:crossAx val="49627136"/>
        <c:crosses val="autoZero"/>
        <c:auto val="1"/>
        <c:lblAlgn val="ctr"/>
        <c:lblOffset val="100"/>
        <c:noMultiLvlLbl val="0"/>
      </c:catAx>
      <c:valAx>
        <c:axId val="49627136"/>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740032"/>
        <c:crosses val="autoZero"/>
        <c:crossBetween val="between"/>
      </c:valAx>
      <c:valAx>
        <c:axId val="49629056"/>
        <c:scaling>
          <c:orientation val="minMax"/>
        </c:scaling>
        <c:delete val="0"/>
        <c:axPos val="r"/>
        <c:numFmt formatCode="0%" sourceLinked="1"/>
        <c:majorTickMark val="out"/>
        <c:minorTickMark val="none"/>
        <c:tickLblPos val="nextTo"/>
        <c:crossAx val="49630592"/>
        <c:crosses val="max"/>
        <c:crossBetween val="between"/>
      </c:valAx>
      <c:catAx>
        <c:axId val="49630592"/>
        <c:scaling>
          <c:orientation val="minMax"/>
        </c:scaling>
        <c:delete val="1"/>
        <c:axPos val="b"/>
        <c:majorTickMark val="out"/>
        <c:minorTickMark val="none"/>
        <c:tickLblPos val="none"/>
        <c:crossAx val="49629056"/>
        <c:crosses val="autoZero"/>
        <c:auto val="1"/>
        <c:lblAlgn val="ctr"/>
        <c:lblOffset val="100"/>
        <c:noMultiLvlLbl val="0"/>
      </c:catAx>
      <c:spPr>
        <a:noFill/>
      </c:spPr>
    </c:plotArea>
    <c:legend>
      <c:legendPos val="r"/>
      <c:layout>
        <c:manualLayout>
          <c:xMode val="edge"/>
          <c:yMode val="edge"/>
          <c:x val="0.72953967930997365"/>
          <c:y val="2.0950743008025092E-2"/>
          <c:w val="0.27046032069002984"/>
          <c:h val="0.97145732512328653"/>
        </c:manualLayout>
      </c:layout>
      <c:overlay val="0"/>
    </c:legend>
    <c:plotVisOnly val="1"/>
    <c:dispBlanksAs val="zero"/>
    <c:showDLblsOverMax val="0"/>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from electicity generation</a:t>
            </a:r>
            <a:r>
              <a:rPr lang="en-US" sz="1100" baseline="0"/>
              <a:t> (Mt CO2e)</a:t>
            </a:r>
            <a:endParaRPr lang="en-US" sz="1100"/>
          </a:p>
        </c:rich>
      </c:tx>
      <c:overlay val="0"/>
    </c:title>
    <c:autoTitleDeleted val="0"/>
    <c:plotArea>
      <c:layout>
        <c:manualLayout>
          <c:layoutTarget val="inner"/>
          <c:xMode val="edge"/>
          <c:yMode val="edge"/>
          <c:x val="6.0366305774278213E-2"/>
          <c:y val="9.0417595829273847E-2"/>
          <c:w val="0.69561477553564377"/>
          <c:h val="0.83945639788004756"/>
        </c:manualLayout>
      </c:layout>
      <c:barChart>
        <c:barDir val="col"/>
        <c:grouping val="stacked"/>
        <c:varyColors val="0"/>
        <c:ser>
          <c:idx val="0"/>
          <c:order val="0"/>
          <c:tx>
            <c:strRef>
              <c:f>'Intermediate output'!$C$261</c:f>
              <c:strCache>
                <c:ptCount val="1"/>
                <c:pt idx="0">
                  <c:v>Power Generation</c:v>
                </c:pt>
              </c:strCache>
            </c:strRef>
          </c:tx>
          <c:spPr>
            <a:ln w="25400">
              <a:noFill/>
            </a:ln>
          </c:spPr>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13.10989694268479</c:v>
                </c:pt>
                <c:pt idx="1">
                  <c:v>12.643809309650932</c:v>
                </c:pt>
                <c:pt idx="2">
                  <c:v>12.411424275242368</c:v>
                </c:pt>
                <c:pt idx="3">
                  <c:v>14.432032224618373</c:v>
                </c:pt>
                <c:pt idx="4">
                  <c:v>15.058454428799742</c:v>
                </c:pt>
                <c:pt idx="5">
                  <c:v>13.886176922770101</c:v>
                </c:pt>
                <c:pt idx="6">
                  <c:v>14.85911093929781</c:v>
                </c:pt>
                <c:pt idx="7">
                  <c:v>15.866808278098716</c:v>
                </c:pt>
                <c:pt idx="8">
                  <c:v>16.912293410099849</c:v>
                </c:pt>
              </c:numCache>
            </c:numRef>
          </c:val>
          <c:extLst>
            <c:ext xmlns:c16="http://schemas.microsoft.com/office/drawing/2014/chart" uri="{C3380CC4-5D6E-409C-BE32-E72D297353CC}">
              <c16:uniqueId val="{00000000-48CA-4F80-8084-5BC3A8069E4C}"/>
            </c:ext>
          </c:extLst>
        </c:ser>
        <c:ser>
          <c:idx val="1"/>
          <c:order val="1"/>
          <c:tx>
            <c:strRef>
              <c:f>'Intermediate output'!$C$262</c:f>
              <c:strCache>
                <c:ptCount val="1"/>
                <c:pt idx="0">
                  <c:v>CCS in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48CA-4F80-8084-5BC3A8069E4C}"/>
            </c:ext>
          </c:extLst>
        </c:ser>
        <c:ser>
          <c:idx val="2"/>
          <c:order val="2"/>
          <c:tx>
            <c:strRef>
              <c:f>'Intermediate output'!$C$263</c:f>
              <c:strCache>
                <c:ptCount val="1"/>
                <c:pt idx="0">
                  <c:v>Bioenergy in Gas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-1.8392310726109123E-2</c:v>
                </c:pt>
                <c:pt idx="1">
                  <c:v>-2.1030064960438143E-2</c:v>
                </c:pt>
                <c:pt idx="2">
                  <c:v>-2.8044453353992908E-2</c:v>
                </c:pt>
                <c:pt idx="3">
                  <c:v>-4.8385908494594801E-2</c:v>
                </c:pt>
                <c:pt idx="4">
                  <c:v>-5.4490397889428194E-2</c:v>
                </c:pt>
                <c:pt idx="5">
                  <c:v>-7.6533580002521737E-2</c:v>
                </c:pt>
                <c:pt idx="6">
                  <c:v>-9.4878273047774631E-2</c:v>
                </c:pt>
                <c:pt idx="7">
                  <c:v>-0.11438328682220501</c:v>
                </c:pt>
                <c:pt idx="8">
                  <c:v>-0.11731125375614111</c:v>
                </c:pt>
              </c:numCache>
            </c:numRef>
          </c:val>
          <c:extLst>
            <c:ext xmlns:c16="http://schemas.microsoft.com/office/drawing/2014/chart" uri="{C3380CC4-5D6E-409C-BE32-E72D297353CC}">
              <c16:uniqueId val="{00000002-48CA-4F80-8084-5BC3A8069E4C}"/>
            </c:ext>
          </c:extLst>
        </c:ser>
        <c:ser>
          <c:idx val="3"/>
          <c:order val="3"/>
          <c:tx>
            <c:strRef>
              <c:f>'Intermediate output'!$C$264</c:f>
              <c:strCache>
                <c:ptCount val="1"/>
                <c:pt idx="0">
                  <c:v>Bioenergy in Solid BM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-0.33411718906306231</c:v>
                </c:pt>
                <c:pt idx="1">
                  <c:v>-0.48100196420911312</c:v>
                </c:pt>
                <c:pt idx="2">
                  <c:v>-0.57641298524723994</c:v>
                </c:pt>
                <c:pt idx="3">
                  <c:v>-0.69071688405079079</c:v>
                </c:pt>
                <c:pt idx="4">
                  <c:v>-0.84422060146599909</c:v>
                </c:pt>
                <c:pt idx="5">
                  <c:v>0</c:v>
                </c:pt>
                <c:pt idx="6">
                  <c:v>0</c:v>
                </c:pt>
                <c:pt idx="7">
                  <c:v>0</c:v>
                </c:pt>
                <c:pt idx="8">
                  <c:v>0</c:v>
                </c:pt>
              </c:numCache>
            </c:numRef>
          </c:val>
          <c:extLst>
            <c:ext xmlns:c16="http://schemas.microsoft.com/office/drawing/2014/chart" uri="{C3380CC4-5D6E-409C-BE32-E72D297353CC}">
              <c16:uniqueId val="{00000003-48CA-4F80-8084-5BC3A8069E4C}"/>
            </c:ext>
          </c:extLst>
        </c:ser>
        <c:ser>
          <c:idx val="4"/>
          <c:order val="4"/>
          <c:tx>
            <c:strRef>
              <c:f>'Intermediate output'!$C$265</c:f>
              <c:strCache>
                <c:ptCount val="1"/>
                <c:pt idx="0">
                  <c:v>Bioenergy in Solid HC CCS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48CA-4F80-8084-5BC3A8069E4C}"/>
            </c:ext>
          </c:extLst>
        </c:ser>
        <c:ser>
          <c:idx val="5"/>
          <c:order val="5"/>
          <c:tx>
            <c:strRef>
              <c:f>'Intermediate output'!$C$266</c:f>
              <c:strCache>
                <c:ptCount val="1"/>
                <c:pt idx="0">
                  <c:v>Bioenergy in Gas CCS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5-48CA-4F80-8084-5BC3A8069E4C}"/>
            </c:ext>
          </c:extLst>
        </c:ser>
        <c:dLbls>
          <c:showLegendKey val="0"/>
          <c:showVal val="0"/>
          <c:showCatName val="0"/>
          <c:showSerName val="0"/>
          <c:showPercent val="0"/>
          <c:showBubbleSize val="0"/>
        </c:dLbls>
        <c:gapWidth val="59"/>
        <c:overlap val="100"/>
        <c:axId val="49664768"/>
        <c:axId val="49666304"/>
      </c:barChart>
      <c:catAx>
        <c:axId val="49664768"/>
        <c:scaling>
          <c:orientation val="minMax"/>
        </c:scaling>
        <c:delete val="0"/>
        <c:axPos val="b"/>
        <c:numFmt formatCode="General" sourceLinked="1"/>
        <c:majorTickMark val="out"/>
        <c:minorTickMark val="none"/>
        <c:tickLblPos val="low"/>
        <c:crossAx val="49666304"/>
        <c:crosses val="autoZero"/>
        <c:auto val="1"/>
        <c:lblAlgn val="ctr"/>
        <c:lblOffset val="100"/>
        <c:noMultiLvlLbl val="0"/>
      </c:catAx>
      <c:valAx>
        <c:axId val="49666304"/>
        <c:scaling>
          <c:orientation val="minMax"/>
        </c:scaling>
        <c:delete val="0"/>
        <c:axPos val="l"/>
        <c:numFmt formatCode="#,##0" sourceLinked="0"/>
        <c:majorTickMark val="out"/>
        <c:minorTickMark val="none"/>
        <c:tickLblPos val="nextTo"/>
        <c:crossAx val="49664768"/>
        <c:crosses val="autoZero"/>
        <c:crossBetween val="between"/>
        <c:minorUnit val="4.0000000000000022E-2"/>
      </c:valAx>
      <c:spPr>
        <a:noFill/>
      </c:spPr>
    </c:plotArea>
    <c:legend>
      <c:legendPos val="r"/>
      <c:layout>
        <c:manualLayout>
          <c:xMode val="edge"/>
          <c:yMode val="edge"/>
          <c:x val="0.76813256979639299"/>
          <c:y val="0.14288377559545809"/>
          <c:w val="0.2009794018196859"/>
          <c:h val="0.71867976205361472"/>
        </c:manualLayout>
      </c:layout>
      <c:overlay val="0"/>
    </c:legend>
    <c:plotVisOnly val="1"/>
    <c:dispBlanksAs val="zero"/>
    <c:showDLblsOverMax val="0"/>
  </c:chart>
  <c:spPr>
    <a:noFill/>
    <a:ln>
      <a:noFill/>
    </a:ln>
  </c:spPr>
  <c:printSettings>
    <c:headerFooter/>
    <c:pageMargins b="0.75000000000001255" l="0.70000000000000062" r="0.70000000000000062" t="0.750000000000012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Electricity Use</a:t>
            </a:r>
            <a:endParaRPr lang="en-IE" sz="1100"/>
          </a:p>
        </c:rich>
      </c:tx>
      <c:overlay val="0"/>
    </c:title>
    <c:autoTitleDeleted val="0"/>
    <c:plotArea>
      <c:layout>
        <c:manualLayout>
          <c:layoutTarget val="inner"/>
          <c:xMode val="edge"/>
          <c:yMode val="edge"/>
          <c:x val="0.107264460434638"/>
          <c:y val="0.12728830241713773"/>
          <c:w val="0.55461399243942588"/>
          <c:h val="0.77761647413350543"/>
        </c:manualLayout>
      </c:layout>
      <c:areaChart>
        <c:grouping val="stacked"/>
        <c:varyColors val="0"/>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F64-45DA-B87C-723DBE0CF647}"/>
            </c:ext>
          </c:extLst>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0.55489580999999999</c:v>
                </c:pt>
                <c:pt idx="2">
                  <c:v>0.57248896254738002</c:v>
                </c:pt>
                <c:pt idx="3">
                  <c:v>0.59097954268761899</c:v>
                </c:pt>
                <c:pt idx="4">
                  <c:v>0.61041332824718952</c:v>
                </c:pt>
                <c:pt idx="5">
                  <c:v>0.63083843218178637</c:v>
                </c:pt>
                <c:pt idx="6">
                  <c:v>0.65230542169138483</c:v>
                </c:pt>
                <c:pt idx="7">
                  <c:v>0.67486744341136407</c:v>
                </c:pt>
                <c:pt idx="8">
                  <c:v>0.69858035498963655</c:v>
                </c:pt>
              </c:numCache>
            </c:numRef>
          </c:val>
          <c:extLst>
            <c:ext xmlns:c16="http://schemas.microsoft.com/office/drawing/2014/chart" uri="{C3380CC4-5D6E-409C-BE32-E72D297353CC}">
              <c16:uniqueId val="{00000001-0F64-45DA-B87C-723DBE0CF647}"/>
            </c:ext>
          </c:extLst>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3.779647394491676E-3</c:v>
                </c:pt>
                <c:pt idx="2">
                  <c:v>3.9854891688908701E-3</c:v>
                </c:pt>
                <c:pt idx="3">
                  <c:v>4.1901600110161447E-3</c:v>
                </c:pt>
                <c:pt idx="4">
                  <c:v>5.0092812548437546E-3</c:v>
                </c:pt>
                <c:pt idx="5">
                  <c:v>5.2422599543490087E-3</c:v>
                </c:pt>
                <c:pt idx="6">
                  <c:v>5.4873408173485572E-3</c:v>
                </c:pt>
                <c:pt idx="7">
                  <c:v>5.7309282042797673E-3</c:v>
                </c:pt>
                <c:pt idx="8">
                  <c:v>5.9872047470349464E-3</c:v>
                </c:pt>
              </c:numCache>
            </c:numRef>
          </c:val>
          <c:extLst>
            <c:ext xmlns:c16="http://schemas.microsoft.com/office/drawing/2014/chart" uri="{C3380CC4-5D6E-409C-BE32-E72D297353CC}">
              <c16:uniqueId val="{00000002-0F64-45DA-B87C-723DBE0CF647}"/>
            </c:ext>
          </c:extLst>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0.962793920118858</c:v>
                </c:pt>
                <c:pt idx="2">
                  <c:v>1.1454171196981839</c:v>
                </c:pt>
                <c:pt idx="3">
                  <c:v>1.3895260738128647</c:v>
                </c:pt>
                <c:pt idx="4">
                  <c:v>1.639370956886139</c:v>
                </c:pt>
                <c:pt idx="5">
                  <c:v>1.9030564366680982</c:v>
                </c:pt>
                <c:pt idx="6">
                  <c:v>2.1804320076135117</c:v>
                </c:pt>
                <c:pt idx="7">
                  <c:v>2.4660030407149582</c:v>
                </c:pt>
                <c:pt idx="8">
                  <c:v>2.76531347349606</c:v>
                </c:pt>
              </c:numCache>
            </c:numRef>
          </c:val>
          <c:extLst>
            <c:ext xmlns:c16="http://schemas.microsoft.com/office/drawing/2014/chart" uri="{C3380CC4-5D6E-409C-BE32-E72D297353CC}">
              <c16:uniqueId val="{00000003-0F64-45DA-B87C-723DBE0CF647}"/>
            </c:ext>
          </c:extLst>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3.90225</c:v>
                </c:pt>
                <c:pt idx="1">
                  <c:v>4.0955180180180175</c:v>
                </c:pt>
                <c:pt idx="2">
                  <c:v>4.3753471283783796</c:v>
                </c:pt>
                <c:pt idx="3">
                  <c:v>4.5082162162162165</c:v>
                </c:pt>
                <c:pt idx="4">
                  <c:v>4.6165478603603614</c:v>
                </c:pt>
                <c:pt idx="5">
                  <c:v>4.7003420608108115</c:v>
                </c:pt>
                <c:pt idx="6">
                  <c:v>4.7595988175675679</c:v>
                </c:pt>
                <c:pt idx="7">
                  <c:v>4.7943181306306304</c:v>
                </c:pt>
                <c:pt idx="8">
                  <c:v>4.8045</c:v>
                </c:pt>
              </c:numCache>
            </c:numRef>
          </c:val>
          <c:extLst>
            <c:ext xmlns:c16="http://schemas.microsoft.com/office/drawing/2014/chart" uri="{C3380CC4-5D6E-409C-BE32-E72D297353CC}">
              <c16:uniqueId val="{00000004-0F64-45DA-B87C-723DBE0CF647}"/>
            </c:ext>
          </c:extLst>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5.0494625667764526</c:v>
                </c:pt>
                <c:pt idx="1">
                  <c:v>5.1606913335354161</c:v>
                </c:pt>
                <c:pt idx="2">
                  <c:v>5.3166079380983984</c:v>
                </c:pt>
                <c:pt idx="3">
                  <c:v>5.4637212796504775</c:v>
                </c:pt>
                <c:pt idx="4">
                  <c:v>5.5872861382671468</c:v>
                </c:pt>
                <c:pt idx="5">
                  <c:v>5.7168645758329122</c:v>
                </c:pt>
                <c:pt idx="6">
                  <c:v>5.8515274564846518</c:v>
                </c:pt>
                <c:pt idx="7">
                  <c:v>5.9765991111064452</c:v>
                </c:pt>
                <c:pt idx="8">
                  <c:v>6.1340795367240126</c:v>
                </c:pt>
              </c:numCache>
            </c:numRef>
          </c:val>
          <c:extLst>
            <c:ext xmlns:c16="http://schemas.microsoft.com/office/drawing/2014/chart" uri="{C3380CC4-5D6E-409C-BE32-E72D297353CC}">
              <c16:uniqueId val="{00000005-0F64-45DA-B87C-723DBE0CF647}"/>
            </c:ext>
          </c:extLst>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4.048</c:v>
                </c:pt>
                <c:pt idx="1">
                  <c:v>4.1010179951924579</c:v>
                </c:pt>
                <c:pt idx="2">
                  <c:v>4.2335629831736199</c:v>
                </c:pt>
                <c:pt idx="3">
                  <c:v>4.3661079711547659</c:v>
                </c:pt>
                <c:pt idx="4">
                  <c:v>4.4986529591359217</c:v>
                </c:pt>
                <c:pt idx="5">
                  <c:v>4.6311979471170677</c:v>
                </c:pt>
                <c:pt idx="6">
                  <c:v>4.7637429350982234</c:v>
                </c:pt>
                <c:pt idx="7">
                  <c:v>4.8962879230793801</c:v>
                </c:pt>
                <c:pt idx="8">
                  <c:v>5.0288329110605261</c:v>
                </c:pt>
              </c:numCache>
            </c:numRef>
          </c:val>
          <c:extLst>
            <c:ext xmlns:c16="http://schemas.microsoft.com/office/drawing/2014/chart" uri="{C3380CC4-5D6E-409C-BE32-E72D297353CC}">
              <c16:uniqueId val="{00000006-0F64-45DA-B87C-723DBE0CF647}"/>
            </c:ext>
          </c:extLst>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9.5615695738896491</c:v>
                </c:pt>
                <c:pt idx="2">
                  <c:v>10.288010053347909</c:v>
                </c:pt>
                <c:pt idx="3">
                  <c:v>11.087950167558603</c:v>
                </c:pt>
                <c:pt idx="4">
                  <c:v>11.969042561658595</c:v>
                </c:pt>
                <c:pt idx="5">
                  <c:v>12.939749280324914</c:v>
                </c:pt>
                <c:pt idx="6">
                  <c:v>14.009428118931382</c:v>
                </c:pt>
                <c:pt idx="7">
                  <c:v>15.188428233314889</c:v>
                </c:pt>
                <c:pt idx="8">
                  <c:v>16.488196003970057</c:v>
                </c:pt>
              </c:numCache>
            </c:numRef>
          </c:val>
          <c:extLst>
            <c:ext xmlns:c16="http://schemas.microsoft.com/office/drawing/2014/chart" uri="{C3380CC4-5D6E-409C-BE32-E72D297353CC}">
              <c16:uniqueId val="{00000007-0F64-45DA-B87C-723DBE0CF647}"/>
            </c:ext>
          </c:extLst>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7.2483297329708235E-2</c:v>
                </c:pt>
                <c:pt idx="1">
                  <c:v>8.8942421637678293E-2</c:v>
                </c:pt>
                <c:pt idx="2">
                  <c:v>0.11407707117919191</c:v>
                </c:pt>
                <c:pt idx="3">
                  <c:v>0.33538018024090949</c:v>
                </c:pt>
                <c:pt idx="4" formatCode="#,##0.0_);\(#,##0.0\);&quot;-&quot;_);@">
                  <c:v>0.56988402892402579</c:v>
                </c:pt>
                <c:pt idx="5" formatCode="#,##0.0_);\(#,##0.0\);&quot;-&quot;_);@">
                  <c:v>0.85486832975631022</c:v>
                </c:pt>
                <c:pt idx="6" formatCode="#,##0.0_);\(#,##0.0\);&quot;-&quot;_);@">
                  <c:v>1.179728224252236</c:v>
                </c:pt>
                <c:pt idx="7" formatCode="#,##0.0_);\(#,##0.0\);&quot;-&quot;_);@">
                  <c:v>1.500922690987198</c:v>
                </c:pt>
                <c:pt idx="8" formatCode="#,##0.0_);\(#,##0.0\);&quot;-&quot;_);@">
                  <c:v>1.6704305219751758</c:v>
                </c:pt>
              </c:numCache>
            </c:numRef>
          </c:val>
          <c:extLst>
            <c:ext xmlns:c16="http://schemas.microsoft.com/office/drawing/2014/chart" uri="{C3380CC4-5D6E-409C-BE32-E72D297353CC}">
              <c16:uniqueId val="{00000008-0F64-45DA-B87C-723DBE0CF647}"/>
            </c:ext>
          </c:extLst>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-2.3659767727210967E-17</c:v>
                </c:pt>
                <c:pt idx="3">
                  <c:v>6.1844962632768369E-2</c:v>
                </c:pt>
                <c:pt idx="4">
                  <c:v>0.13460763047622651</c:v>
                </c:pt>
                <c:pt idx="5">
                  <c:v>0.21973350873395048</c:v>
                </c:pt>
                <c:pt idx="6">
                  <c:v>0.31883822263246137</c:v>
                </c:pt>
                <c:pt idx="7">
                  <c:v>0.43372628734384555</c:v>
                </c:pt>
                <c:pt idx="8">
                  <c:v>0.56641186602000015</c:v>
                </c:pt>
              </c:numCache>
            </c:numRef>
          </c:val>
          <c:extLst>
            <c:ext xmlns:c16="http://schemas.microsoft.com/office/drawing/2014/chart" uri="{C3380CC4-5D6E-409C-BE32-E72D297353CC}">
              <c16:uniqueId val="{00000009-0F64-45DA-B87C-723DBE0CF647}"/>
            </c:ext>
          </c:extLst>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0F64-45DA-B87C-723DBE0CF647}"/>
            </c:ext>
          </c:extLst>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extLst>
            <c:ext xmlns:c16="http://schemas.microsoft.com/office/drawing/2014/chart" uri="{C3380CC4-5D6E-409C-BE32-E72D297353CC}">
              <c16:uniqueId val="{0000000B-0F64-45DA-B87C-723DBE0CF647}"/>
            </c:ext>
          </c:extLst>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6.6380393902542884E-2</c:v>
                </c:pt>
                <c:pt idx="1">
                  <c:v>5.632506858883312E-2</c:v>
                </c:pt>
                <c:pt idx="2">
                  <c:v>3.5902839544807497E-2</c:v>
                </c:pt>
                <c:pt idx="3">
                  <c:v>2.154713679214617E-2</c:v>
                </c:pt>
                <c:pt idx="4">
                  <c:v>0</c:v>
                </c:pt>
                <c:pt idx="5">
                  <c:v>0</c:v>
                </c:pt>
                <c:pt idx="6">
                  <c:v>0</c:v>
                </c:pt>
                <c:pt idx="7">
                  <c:v>0</c:v>
                </c:pt>
                <c:pt idx="8">
                  <c:v>0</c:v>
                </c:pt>
              </c:numCache>
            </c:numRef>
          </c:val>
          <c:extLst>
            <c:ext xmlns:c16="http://schemas.microsoft.com/office/drawing/2014/chart" uri="{C3380CC4-5D6E-409C-BE32-E72D297353CC}">
              <c16:uniqueId val="{0000000C-0F64-45DA-B87C-723DBE0CF647}"/>
            </c:ext>
          </c:extLst>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3.7911428177742012E-3</c:v>
                </c:pt>
                <c:pt idx="2">
                  <c:v>3.7911428177742012E-3</c:v>
                </c:pt>
                <c:pt idx="3">
                  <c:v>3.7911428177742012E-3</c:v>
                </c:pt>
                <c:pt idx="4">
                  <c:v>3.7911428177742012E-3</c:v>
                </c:pt>
                <c:pt idx="5">
                  <c:v>3.7911428177742012E-3</c:v>
                </c:pt>
                <c:pt idx="6">
                  <c:v>3.7911428177742012E-3</c:v>
                </c:pt>
                <c:pt idx="7">
                  <c:v>3.7911428177742012E-3</c:v>
                </c:pt>
                <c:pt idx="8">
                  <c:v>3.7911428177742012E-3</c:v>
                </c:pt>
              </c:numCache>
            </c:numRef>
          </c:val>
          <c:extLst>
            <c:ext xmlns:c16="http://schemas.microsoft.com/office/drawing/2014/chart" uri="{C3380CC4-5D6E-409C-BE32-E72D297353CC}">
              <c16:uniqueId val="{0000000D-0F64-45DA-B87C-723DBE0CF647}"/>
            </c:ext>
          </c:extLst>
        </c:ser>
        <c:dLbls>
          <c:showLegendKey val="0"/>
          <c:showVal val="0"/>
          <c:showCatName val="0"/>
          <c:showSerName val="0"/>
          <c:showPercent val="0"/>
          <c:showBubbleSize val="0"/>
        </c:dLbls>
        <c:axId val="49843200"/>
        <c:axId val="49857280"/>
      </c:areaChart>
      <c:catAx>
        <c:axId val="49843200"/>
        <c:scaling>
          <c:orientation val="minMax"/>
        </c:scaling>
        <c:delete val="0"/>
        <c:axPos val="b"/>
        <c:numFmt formatCode="General" sourceLinked="1"/>
        <c:majorTickMark val="out"/>
        <c:minorTickMark val="none"/>
        <c:tickLblPos val="nextTo"/>
        <c:crossAx val="49857280"/>
        <c:crosses val="autoZero"/>
        <c:auto val="1"/>
        <c:lblAlgn val="ctr"/>
        <c:lblOffset val="100"/>
        <c:noMultiLvlLbl val="0"/>
      </c:catAx>
      <c:valAx>
        <c:axId val="4985728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843200"/>
        <c:crosses val="autoZero"/>
        <c:crossBetween val="between"/>
      </c:valAx>
      <c:spPr>
        <a:noFill/>
      </c:spPr>
    </c:plotArea>
    <c:legend>
      <c:legendPos val="r"/>
      <c:layout>
        <c:manualLayout>
          <c:xMode val="edge"/>
          <c:yMode val="edge"/>
          <c:x val="0.69262406812178379"/>
          <c:y val="4.7522504548434034E-2"/>
          <c:w val="0.28400634587465873"/>
          <c:h val="0.93441796334769756"/>
        </c:manualLayout>
      </c:layout>
      <c:overlay val="0"/>
    </c:legend>
    <c:plotVisOnly val="1"/>
    <c:dispBlanksAs val="zero"/>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Demand (TWh)</a:t>
            </a:r>
            <a:endParaRPr lang="en-IE" sz="1400"/>
          </a:p>
        </c:rich>
      </c:tx>
      <c:overlay val="0"/>
    </c:title>
    <c:autoTitleDeleted val="0"/>
    <c:plotArea>
      <c:layout/>
      <c:barChart>
        <c:barDir val="col"/>
        <c:grouping val="stacked"/>
        <c:varyColors val="0"/>
        <c:ser>
          <c:idx val="0"/>
          <c:order val="0"/>
          <c:tx>
            <c:strRef>
              <c:f>'Intermediate output'!$D$7</c:f>
              <c:strCache>
                <c:ptCount val="1"/>
                <c:pt idx="0">
                  <c:v>Road transport</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38.938914480389414</c:v>
                </c:pt>
              </c:numCache>
            </c:numRef>
          </c:val>
          <c:extLst>
            <c:ext xmlns:c16="http://schemas.microsoft.com/office/drawing/2014/chart" uri="{C3380CC4-5D6E-409C-BE32-E72D297353CC}">
              <c16:uniqueId val="{00000000-64C2-4174-812E-93DBA70AAB5D}"/>
            </c:ext>
          </c:extLst>
        </c:ser>
        <c:ser>
          <c:idx val="1"/>
          <c:order val="1"/>
          <c:tx>
            <c:strRef>
              <c:f>'Intermediate output'!$D$8</c:f>
              <c:strCache>
                <c:ptCount val="1"/>
                <c:pt idx="0">
                  <c:v>Rail transport</c:v>
                </c:pt>
              </c:strCache>
            </c:strRef>
          </c:tx>
          <c:invertIfNegative val="0"/>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0.49153024479009</c:v>
                </c:pt>
              </c:numCache>
            </c:numRef>
          </c:val>
          <c:extLst>
            <c:ext xmlns:c16="http://schemas.microsoft.com/office/drawing/2014/chart" uri="{C3380CC4-5D6E-409C-BE32-E72D297353CC}">
              <c16:uniqueId val="{00000001-64C2-4174-812E-93DBA70AAB5D}"/>
            </c:ext>
          </c:extLst>
        </c:ser>
        <c:ser>
          <c:idx val="2"/>
          <c:order val="2"/>
          <c:tx>
            <c:strRef>
              <c:f>'Intermediate output'!$D$9</c:f>
              <c:strCache>
                <c:ptCount val="1"/>
                <c:pt idx="0">
                  <c:v>Domestic aviation</c:v>
                </c:pt>
              </c:strCache>
            </c:strRef>
          </c:tx>
          <c:invertIfNegative val="0"/>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extLst>
            <c:ext xmlns:c16="http://schemas.microsoft.com/office/drawing/2014/chart" uri="{C3380CC4-5D6E-409C-BE32-E72D297353CC}">
              <c16:uniqueId val="{00000002-64C2-4174-812E-93DBA70AAB5D}"/>
            </c:ext>
          </c:extLst>
        </c:ser>
        <c:ser>
          <c:idx val="3"/>
          <c:order val="3"/>
          <c:tx>
            <c:strRef>
              <c:f>'Intermediate output'!$D$10</c:f>
              <c:strCache>
                <c:ptCount val="1"/>
                <c:pt idx="0">
                  <c:v>National navigation</c:v>
                </c:pt>
              </c:strCache>
            </c:strRef>
          </c:tx>
          <c:invertIfNegative val="0"/>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extLst>
            <c:ext xmlns:c16="http://schemas.microsoft.com/office/drawing/2014/chart" uri="{C3380CC4-5D6E-409C-BE32-E72D297353CC}">
              <c16:uniqueId val="{00000003-64C2-4174-812E-93DBA70AAB5D}"/>
            </c:ext>
          </c:extLst>
        </c:ser>
        <c:ser>
          <c:idx val="4"/>
          <c:order val="4"/>
          <c:tx>
            <c:strRef>
              <c:f>'Intermediate output'!$D$14</c:f>
              <c:strCache>
                <c:ptCount val="1"/>
                <c:pt idx="0">
                  <c:v>Industry</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28.675543224779016</c:v>
                </c:pt>
              </c:numCache>
            </c:numRef>
          </c:val>
          <c:extLst>
            <c:ext xmlns:c16="http://schemas.microsoft.com/office/drawing/2014/chart" uri="{C3380CC4-5D6E-409C-BE32-E72D297353CC}">
              <c16:uniqueId val="{00000004-64C2-4174-812E-93DBA70AAB5D}"/>
            </c:ext>
          </c:extLst>
        </c:ser>
        <c:ser>
          <c:idx val="5"/>
          <c:order val="5"/>
          <c:tx>
            <c:v>Heating, lighting and appliances</c:v>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extLst>
            <c:ext xmlns:c16="http://schemas.microsoft.com/office/drawing/2014/chart" uri="{C3380CC4-5D6E-409C-BE32-E72D297353CC}">
              <c16:uniqueId val="{00000005-64C2-4174-812E-93DBA70AAB5D}"/>
            </c:ext>
          </c:extLst>
        </c:ser>
        <c:dLbls>
          <c:showLegendKey val="0"/>
          <c:showVal val="0"/>
          <c:showCatName val="0"/>
          <c:showSerName val="0"/>
          <c:showPercent val="0"/>
          <c:showBubbleSize val="0"/>
        </c:dLbls>
        <c:gapWidth val="150"/>
        <c:overlap val="100"/>
        <c:axId val="49897472"/>
        <c:axId val="49899008"/>
      </c:barChart>
      <c:catAx>
        <c:axId val="49897472"/>
        <c:scaling>
          <c:orientation val="minMax"/>
        </c:scaling>
        <c:delete val="0"/>
        <c:axPos val="b"/>
        <c:numFmt formatCode="General" sourceLinked="0"/>
        <c:majorTickMark val="out"/>
        <c:minorTickMark val="none"/>
        <c:tickLblPos val="nextTo"/>
        <c:crossAx val="49899008"/>
        <c:crosses val="autoZero"/>
        <c:auto val="1"/>
        <c:lblAlgn val="ctr"/>
        <c:lblOffset val="100"/>
        <c:noMultiLvlLbl val="0"/>
      </c:catAx>
      <c:valAx>
        <c:axId val="49899008"/>
        <c:scaling>
          <c:orientation val="minMax"/>
        </c:scaling>
        <c:delete val="0"/>
        <c:axPos val="l"/>
        <c:numFmt formatCode="#,##0" sourceLinked="0"/>
        <c:majorTickMark val="out"/>
        <c:minorTickMark val="none"/>
        <c:tickLblPos val="nextTo"/>
        <c:crossAx val="49897472"/>
        <c:crosses val="autoZero"/>
        <c:crossBetween val="between"/>
      </c:valAx>
    </c:plotArea>
    <c:legend>
      <c:legendPos val="r"/>
      <c:overlay val="0"/>
    </c:legend>
    <c:plotVisOnly val="1"/>
    <c:dispBlanksAs val="gap"/>
    <c:showDLblsOverMax val="0"/>
  </c:chart>
  <c:printSettings>
    <c:headerFooter/>
    <c:pageMargins b="0.75000000000000899" l="0.70000000000000062" r="0.70000000000000062" t="0.75000000000000899"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Supply (TWh)</a:t>
            </a:r>
            <a:endParaRPr lang="en-IE" sz="1400"/>
          </a:p>
        </c:rich>
      </c:tx>
      <c:overlay val="0"/>
    </c:title>
    <c:autoTitleDeleted val="0"/>
    <c:plotArea>
      <c:layout/>
      <c:barChart>
        <c:barDir val="col"/>
        <c:grouping val="stacked"/>
        <c:varyColors val="0"/>
        <c:ser>
          <c:idx val="0"/>
          <c:order val="0"/>
          <c:tx>
            <c:strRef>
              <c:f>'Intermediate output'!$D$24</c:f>
              <c:strCache>
                <c:ptCount val="1"/>
                <c:pt idx="0">
                  <c:v>Solar</c:v>
                </c:pt>
              </c:strCache>
            </c:strRef>
          </c:tx>
          <c:invertIfNegative val="0"/>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extLst>
            <c:ext xmlns:c16="http://schemas.microsoft.com/office/drawing/2014/chart" uri="{C3380CC4-5D6E-409C-BE32-E72D297353CC}">
              <c16:uniqueId val="{00000000-B953-476E-9E13-916D18F3EA37}"/>
            </c:ext>
          </c:extLst>
        </c:ser>
        <c:ser>
          <c:idx val="1"/>
          <c:order val="1"/>
          <c:tx>
            <c:strRef>
              <c:f>'Intermediate output'!$D$25</c:f>
              <c:strCache>
                <c:ptCount val="1"/>
                <c:pt idx="0">
                  <c:v>Wind</c:v>
                </c:pt>
              </c:strCache>
            </c:strRef>
          </c:tx>
          <c:invertIfNegative val="0"/>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extLst>
            <c:ext xmlns:c16="http://schemas.microsoft.com/office/drawing/2014/chart" uri="{C3380CC4-5D6E-409C-BE32-E72D297353CC}">
              <c16:uniqueId val="{00000001-B953-476E-9E13-916D18F3EA37}"/>
            </c:ext>
          </c:extLst>
        </c:ser>
        <c:ser>
          <c:idx val="2"/>
          <c:order val="2"/>
          <c:tx>
            <c:strRef>
              <c:f>'Intermediate output'!$D$29</c:f>
              <c:strCache>
                <c:ptCount val="1"/>
                <c:pt idx="0">
                  <c:v>Hydro</c:v>
                </c:pt>
              </c:strCache>
            </c:strRef>
          </c:tx>
          <c:invertIfNegative val="0"/>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extLst>
            <c:ext xmlns:c16="http://schemas.microsoft.com/office/drawing/2014/chart" uri="{C3380CC4-5D6E-409C-BE32-E72D297353CC}">
              <c16:uniqueId val="{00000002-B953-476E-9E13-916D18F3EA37}"/>
            </c:ext>
          </c:extLst>
        </c:ser>
        <c:ser>
          <c:idx val="3"/>
          <c:order val="3"/>
          <c:tx>
            <c:v>Electricity imports</c:v>
          </c:tx>
          <c:invertIfNegative val="0"/>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extLst>
            <c:ext xmlns:c16="http://schemas.microsoft.com/office/drawing/2014/chart" uri="{C3380CC4-5D6E-409C-BE32-E72D297353CC}">
              <c16:uniqueId val="{00000003-B953-476E-9E13-916D18F3EA37}"/>
            </c:ext>
          </c:extLst>
        </c:ser>
        <c:ser>
          <c:idx val="4"/>
          <c:order val="4"/>
          <c:tx>
            <c:strRef>
              <c:f>'Intermediate output'!$D$33</c:f>
              <c:strCache>
                <c:ptCount val="1"/>
                <c:pt idx="0">
                  <c:v>Waste (all forms of biomass)</c:v>
                </c:pt>
              </c:strCache>
            </c:strRef>
          </c:tx>
          <c:invertIfNegative val="0"/>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1.3469022662175592</c:v>
                </c:pt>
              </c:numCache>
            </c:numRef>
          </c:val>
          <c:extLst>
            <c:ext xmlns:c16="http://schemas.microsoft.com/office/drawing/2014/chart" uri="{C3380CC4-5D6E-409C-BE32-E72D297353CC}">
              <c16:uniqueId val="{00000004-B953-476E-9E13-916D18F3EA37}"/>
            </c:ext>
          </c:extLst>
        </c:ser>
        <c:ser>
          <c:idx val="5"/>
          <c:order val="5"/>
          <c:tx>
            <c:strRef>
              <c:f>'Intermediate output'!$D$32</c:f>
              <c:strCache>
                <c:ptCount val="1"/>
                <c:pt idx="0">
                  <c:v>Environmental heat</c:v>
                </c:pt>
              </c:strCache>
            </c:strRef>
          </c:tx>
          <c:invertIfNegative val="0"/>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extLst>
            <c:ext xmlns:c16="http://schemas.microsoft.com/office/drawing/2014/chart" uri="{C3380CC4-5D6E-409C-BE32-E72D297353CC}">
              <c16:uniqueId val="{00000005-B953-476E-9E13-916D18F3EA37}"/>
            </c:ext>
          </c:extLst>
        </c:ser>
        <c:ser>
          <c:idx val="6"/>
          <c:order val="6"/>
          <c:tx>
            <c:strRef>
              <c:f>'Intermediate output'!$D$34</c:f>
              <c:strCache>
                <c:ptCount val="1"/>
                <c:pt idx="0">
                  <c:v>Agriculture</c:v>
                </c:pt>
              </c:strCache>
            </c:strRef>
          </c:tx>
          <c:invertIfNegative val="0"/>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extLst>
            <c:ext xmlns:c16="http://schemas.microsoft.com/office/drawing/2014/chart" uri="{C3380CC4-5D6E-409C-BE32-E72D297353CC}">
              <c16:uniqueId val="{00000006-B953-476E-9E13-916D18F3EA37}"/>
            </c:ext>
          </c:extLst>
        </c:ser>
        <c:ser>
          <c:idx val="7"/>
          <c:order val="7"/>
          <c:tx>
            <c:v>Biomass imports</c:v>
          </c:tx>
          <c:invertIfNegative val="0"/>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extLst>
            <c:ext xmlns:c16="http://schemas.microsoft.com/office/drawing/2014/chart" uri="{C3380CC4-5D6E-409C-BE32-E72D297353CC}">
              <c16:uniqueId val="{00000007-B953-476E-9E13-916D18F3EA37}"/>
            </c:ext>
          </c:extLst>
        </c:ser>
        <c:ser>
          <c:idx val="8"/>
          <c:order val="8"/>
          <c:tx>
            <c:v>Coal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14.911266915263244</c:v>
                </c:pt>
              </c:numCache>
            </c:numRef>
          </c:val>
          <c:extLst>
            <c:ext xmlns:c16="http://schemas.microsoft.com/office/drawing/2014/chart" uri="{C3380CC4-5D6E-409C-BE32-E72D297353CC}">
              <c16:uniqueId val="{00000008-B953-476E-9E13-916D18F3EA37}"/>
            </c:ext>
          </c:extLst>
        </c:ser>
        <c:ser>
          <c:idx val="9"/>
          <c:order val="9"/>
          <c:tx>
            <c:strRef>
              <c:f>'Intermediate output'!$D$38</c:f>
              <c:strCache>
                <c:ptCount val="1"/>
                <c:pt idx="0">
                  <c:v>Peat reserves</c:v>
                </c:pt>
              </c:strCache>
            </c:strRef>
          </c:tx>
          <c:invertIfNegative val="0"/>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extLst>
            <c:ext xmlns:c16="http://schemas.microsoft.com/office/drawing/2014/chart" uri="{C3380CC4-5D6E-409C-BE32-E72D297353CC}">
              <c16:uniqueId val="{00000009-B953-476E-9E13-916D18F3EA37}"/>
            </c:ext>
          </c:extLst>
        </c:ser>
        <c:ser>
          <c:idx val="10"/>
          <c:order val="10"/>
          <c:tx>
            <c:v>Oil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76.526836320775942</c:v>
                </c:pt>
              </c:numCache>
            </c:numRef>
          </c:val>
          <c:extLst>
            <c:ext xmlns:c16="http://schemas.microsoft.com/office/drawing/2014/chart" uri="{C3380CC4-5D6E-409C-BE32-E72D297353CC}">
              <c16:uniqueId val="{0000000A-B953-476E-9E13-916D18F3EA37}"/>
            </c:ext>
          </c:extLst>
        </c:ser>
        <c:ser>
          <c:idx val="11"/>
          <c:order val="11"/>
          <c:tx>
            <c:v>Gas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47.473619810652579</c:v>
                </c:pt>
              </c:numCache>
            </c:numRef>
          </c:val>
          <c:extLst>
            <c:ext xmlns:c16="http://schemas.microsoft.com/office/drawing/2014/chart" uri="{C3380CC4-5D6E-409C-BE32-E72D297353CC}">
              <c16:uniqueId val="{0000000B-B953-476E-9E13-916D18F3EA37}"/>
            </c:ext>
          </c:extLst>
        </c:ser>
        <c:ser>
          <c:idx val="12"/>
          <c:order val="12"/>
          <c:tx>
            <c:v>Gas reserves</c:v>
          </c:tx>
          <c:invertIfNegative val="0"/>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0</c:v>
                </c:pt>
              </c:numCache>
            </c:numRef>
          </c:val>
          <c:extLst>
            <c:ext xmlns:c16="http://schemas.microsoft.com/office/drawing/2014/chart" uri="{C3380CC4-5D6E-409C-BE32-E72D297353CC}">
              <c16:uniqueId val="{0000000C-B953-476E-9E13-916D18F3EA37}"/>
            </c:ext>
          </c:extLst>
        </c:ser>
        <c:dLbls>
          <c:showLegendKey val="0"/>
          <c:showVal val="0"/>
          <c:showCatName val="0"/>
          <c:showSerName val="0"/>
          <c:showPercent val="0"/>
          <c:showBubbleSize val="0"/>
        </c:dLbls>
        <c:gapWidth val="150"/>
        <c:overlap val="100"/>
        <c:axId val="49997312"/>
        <c:axId val="49998848"/>
      </c:barChart>
      <c:catAx>
        <c:axId val="49997312"/>
        <c:scaling>
          <c:orientation val="minMax"/>
        </c:scaling>
        <c:delete val="0"/>
        <c:axPos val="b"/>
        <c:numFmt formatCode="General" sourceLinked="0"/>
        <c:majorTickMark val="out"/>
        <c:minorTickMark val="none"/>
        <c:tickLblPos val="nextTo"/>
        <c:crossAx val="49998848"/>
        <c:crosses val="autoZero"/>
        <c:auto val="1"/>
        <c:lblAlgn val="ctr"/>
        <c:lblOffset val="100"/>
        <c:noMultiLvlLbl val="0"/>
      </c:catAx>
      <c:valAx>
        <c:axId val="49998848"/>
        <c:scaling>
          <c:orientation val="minMax"/>
        </c:scaling>
        <c:delete val="0"/>
        <c:axPos val="l"/>
        <c:numFmt formatCode="#,##0.0_);\(#,##0.0\);&quot;-&quot;_);@" sourceLinked="1"/>
        <c:majorTickMark val="out"/>
        <c:minorTickMark val="none"/>
        <c:tickLblPos val="nextTo"/>
        <c:crossAx val="49997312"/>
        <c:crosses val="autoZero"/>
        <c:crossBetween val="between"/>
      </c:valAx>
    </c:plotArea>
    <c:legend>
      <c:legendPos val="r"/>
      <c:overlay val="0"/>
    </c:legend>
    <c:plotVisOnly val="1"/>
    <c:dispBlanksAs val="gap"/>
    <c:showDLblsOverMax val="0"/>
  </c:chart>
  <c:printSettings>
    <c:headerFooter/>
    <c:pageMargins b="0.75000000000000921" l="0.70000000000000062" r="0.70000000000000062" t="0.7500000000000092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Emissions</a:t>
            </a:r>
            <a:r>
              <a:rPr lang="en-IE" sz="1400" baseline="0"/>
              <a:t> (Mt CO2e)</a:t>
            </a:r>
            <a:endParaRPr lang="en-IE" sz="1400"/>
          </a:p>
        </c:rich>
      </c:tx>
      <c:overlay val="0"/>
    </c:title>
    <c:autoTitleDeleted val="0"/>
    <c:plotArea>
      <c:layout/>
      <c:barChart>
        <c:barDir val="col"/>
        <c:grouping val="stacked"/>
        <c:varyColors val="0"/>
        <c:ser>
          <c:idx val="0"/>
          <c:order val="0"/>
          <c:tx>
            <c:strRef>
              <c:f>'Intermediate output'!$D$180</c:f>
              <c:strCache>
                <c:ptCount val="1"/>
                <c:pt idx="0">
                  <c:v>Fuel Combustion</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34.446370000000002</c:v>
                </c:pt>
                <c:pt idx="1">
                  <c:v>35.768059495427799</c:v>
                </c:pt>
              </c:numCache>
            </c:numRef>
          </c:val>
          <c:extLst>
            <c:ext xmlns:c16="http://schemas.microsoft.com/office/drawing/2014/chart" uri="{C3380CC4-5D6E-409C-BE32-E72D297353CC}">
              <c16:uniqueId val="{00000000-A2E4-4F09-9F9B-D2B24B776D9C}"/>
            </c:ext>
          </c:extLst>
        </c:ser>
        <c:ser>
          <c:idx val="1"/>
          <c:order val="1"/>
          <c:tx>
            <c:strRef>
              <c:f>'Intermediate output'!$D$181</c:f>
              <c:strCache>
                <c:ptCount val="1"/>
                <c:pt idx="0">
                  <c:v>Fugitive Emissions from Fuels</c:v>
                </c:pt>
              </c:strCache>
            </c:strRef>
          </c:tx>
          <c:invertIfNegative val="0"/>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extLst>
            <c:ext xmlns:c16="http://schemas.microsoft.com/office/drawing/2014/chart" uri="{C3380CC4-5D6E-409C-BE32-E72D297353CC}">
              <c16:uniqueId val="{00000001-A2E4-4F09-9F9B-D2B24B776D9C}"/>
            </c:ext>
          </c:extLst>
        </c:ser>
        <c:ser>
          <c:idx val="2"/>
          <c:order val="2"/>
          <c:tx>
            <c:strRef>
              <c:f>'Intermediate output'!$D$183</c:f>
              <c:strCache>
                <c:ptCount val="1"/>
                <c:pt idx="0">
                  <c:v>Industrial Processes</c:v>
                </c:pt>
              </c:strCache>
            </c:strRef>
          </c:tx>
          <c:invertIfNegative val="0"/>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2.2359100000000001</c:v>
                </c:pt>
                <c:pt idx="1">
                  <c:v>2.2359100000000001</c:v>
                </c:pt>
              </c:numCache>
            </c:numRef>
          </c:val>
          <c:extLst>
            <c:ext xmlns:c16="http://schemas.microsoft.com/office/drawing/2014/chart" uri="{C3380CC4-5D6E-409C-BE32-E72D297353CC}">
              <c16:uniqueId val="{00000002-A2E4-4F09-9F9B-D2B24B776D9C}"/>
            </c:ext>
          </c:extLst>
        </c:ser>
        <c:ser>
          <c:idx val="3"/>
          <c:order val="3"/>
          <c:tx>
            <c:strRef>
              <c:f>'Intermediate output'!$D$184</c:f>
              <c:strCache>
                <c:ptCount val="1"/>
                <c:pt idx="0">
                  <c:v>Solvent and Other Product Use</c:v>
                </c:pt>
              </c:strCache>
            </c:strRef>
          </c:tx>
          <c:invertIfNegative val="0"/>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0.51569000000000009</c:v>
                </c:pt>
                <c:pt idx="1">
                  <c:v>0</c:v>
                </c:pt>
              </c:numCache>
            </c:numRef>
          </c:val>
          <c:extLst>
            <c:ext xmlns:c16="http://schemas.microsoft.com/office/drawing/2014/chart" uri="{C3380CC4-5D6E-409C-BE32-E72D297353CC}">
              <c16:uniqueId val="{00000003-A2E4-4F09-9F9B-D2B24B776D9C}"/>
            </c:ext>
          </c:extLst>
        </c:ser>
        <c:ser>
          <c:idx val="4"/>
          <c:order val="4"/>
          <c:tx>
            <c:strRef>
              <c:f>'Intermediate output'!$D$185</c:f>
              <c:strCache>
                <c:ptCount val="1"/>
                <c:pt idx="0">
                  <c:v>Agriculture</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17.928919999999994</c:v>
                </c:pt>
                <c:pt idx="1">
                  <c:v>17.018677357203991</c:v>
                </c:pt>
              </c:numCache>
            </c:numRef>
          </c:val>
          <c:extLst>
            <c:ext xmlns:c16="http://schemas.microsoft.com/office/drawing/2014/chart" uri="{C3380CC4-5D6E-409C-BE32-E72D297353CC}">
              <c16:uniqueId val="{00000004-A2E4-4F09-9F9B-D2B24B776D9C}"/>
            </c:ext>
          </c:extLst>
        </c:ser>
        <c:ser>
          <c:idx val="5"/>
          <c:order val="5"/>
          <c:tx>
            <c:strRef>
              <c:f>'Intermediate output'!$D$186</c:f>
              <c:strCache>
                <c:ptCount val="1"/>
                <c:pt idx="0">
                  <c:v>Land Use, Land-Use Change and Forestry</c:v>
                </c:pt>
              </c:strCache>
            </c:strRef>
          </c:tx>
          <c:invertIfNegative val="0"/>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3.7112299999999996</c:v>
                </c:pt>
                <c:pt idx="1">
                  <c:v>3.7122100000000002</c:v>
                </c:pt>
              </c:numCache>
            </c:numRef>
          </c:val>
          <c:extLst>
            <c:ext xmlns:c16="http://schemas.microsoft.com/office/drawing/2014/chart" uri="{C3380CC4-5D6E-409C-BE32-E72D297353CC}">
              <c16:uniqueId val="{00000005-A2E4-4F09-9F9B-D2B24B776D9C}"/>
            </c:ext>
          </c:extLst>
        </c:ser>
        <c:ser>
          <c:idx val="6"/>
          <c:order val="6"/>
          <c:tx>
            <c:strRef>
              <c:f>'Intermediate output'!$D$187</c:f>
              <c:strCache>
                <c:ptCount val="1"/>
                <c:pt idx="0">
                  <c:v>Waste</c:v>
                </c:pt>
              </c:strCache>
            </c:strRef>
          </c:tx>
          <c:invertIfNegative val="0"/>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1.1060300000000001</c:v>
                </c:pt>
                <c:pt idx="1">
                  <c:v>1.2062990035714285</c:v>
                </c:pt>
              </c:numCache>
            </c:numRef>
          </c:val>
          <c:extLst>
            <c:ext xmlns:c16="http://schemas.microsoft.com/office/drawing/2014/chart" uri="{C3380CC4-5D6E-409C-BE32-E72D297353CC}">
              <c16:uniqueId val="{00000006-A2E4-4F09-9F9B-D2B24B776D9C}"/>
            </c:ext>
          </c:extLst>
        </c:ser>
        <c:ser>
          <c:idx val="7"/>
          <c:order val="7"/>
          <c:tx>
            <c:strRef>
              <c:f>'Intermediate output'!$D$189</c:f>
              <c:strCache>
                <c:ptCount val="1"/>
                <c:pt idx="0">
                  <c:v>International Aviation </c:v>
                </c:pt>
              </c:strCache>
            </c:strRef>
          </c:tx>
          <c:invertIfNegative val="0"/>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1.86</c:v>
                </c:pt>
                <c:pt idx="1">
                  <c:v>1.8587303279999996</c:v>
                </c:pt>
              </c:numCache>
            </c:numRef>
          </c:val>
          <c:extLst>
            <c:ext xmlns:c16="http://schemas.microsoft.com/office/drawing/2014/chart" uri="{C3380CC4-5D6E-409C-BE32-E72D297353CC}">
              <c16:uniqueId val="{00000007-A2E4-4F09-9F9B-D2B24B776D9C}"/>
            </c:ext>
          </c:extLst>
        </c:ser>
        <c:ser>
          <c:idx val="8"/>
          <c:order val="8"/>
          <c:tx>
            <c:strRef>
              <c:f>'Intermediate output'!$D$190</c:f>
              <c:strCache>
                <c:ptCount val="1"/>
                <c:pt idx="0">
                  <c:v>Bioenergy credit</c:v>
                </c:pt>
              </c:strCache>
            </c:strRef>
          </c:tx>
          <c:invertIfNegative val="0"/>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-0.69195000000000007</c:v>
                </c:pt>
                <c:pt idx="1">
                  <c:v>-0.70135482576316632</c:v>
                </c:pt>
              </c:numCache>
            </c:numRef>
          </c:val>
          <c:extLst>
            <c:ext xmlns:c16="http://schemas.microsoft.com/office/drawing/2014/chart" uri="{C3380CC4-5D6E-409C-BE32-E72D297353CC}">
              <c16:uniqueId val="{00000008-A2E4-4F09-9F9B-D2B24B776D9C}"/>
            </c:ext>
          </c:extLst>
        </c:ser>
        <c:dLbls>
          <c:showLegendKey val="0"/>
          <c:showVal val="0"/>
          <c:showCatName val="0"/>
          <c:showSerName val="0"/>
          <c:showPercent val="0"/>
          <c:showBubbleSize val="0"/>
        </c:dLbls>
        <c:gapWidth val="150"/>
        <c:overlap val="100"/>
        <c:axId val="50091904"/>
        <c:axId val="50093440"/>
      </c:barChart>
      <c:catAx>
        <c:axId val="50091904"/>
        <c:scaling>
          <c:orientation val="minMax"/>
        </c:scaling>
        <c:delete val="0"/>
        <c:axPos val="b"/>
        <c:numFmt formatCode="General" sourceLinked="0"/>
        <c:majorTickMark val="out"/>
        <c:minorTickMark val="none"/>
        <c:tickLblPos val="low"/>
        <c:crossAx val="50093440"/>
        <c:crosses val="autoZero"/>
        <c:auto val="1"/>
        <c:lblAlgn val="ctr"/>
        <c:lblOffset val="100"/>
        <c:noMultiLvlLbl val="0"/>
      </c:catAx>
      <c:valAx>
        <c:axId val="50093440"/>
        <c:scaling>
          <c:orientation val="minMax"/>
        </c:scaling>
        <c:delete val="0"/>
        <c:axPos val="l"/>
        <c:numFmt formatCode="#,##0" sourceLinked="0"/>
        <c:majorTickMark val="out"/>
        <c:minorTickMark val="none"/>
        <c:tickLblPos val="nextTo"/>
        <c:crossAx val="50091904"/>
        <c:crosses val="autoZero"/>
        <c:crossBetween val="between"/>
      </c:valAx>
    </c:plotArea>
    <c:legend>
      <c:legendPos val="r"/>
      <c:layout>
        <c:manualLayout>
          <c:xMode val="edge"/>
          <c:yMode val="edge"/>
          <c:x val="0.6375758387116317"/>
          <c:y val="0.14351775506420594"/>
          <c:w val="0.34303021942641776"/>
          <c:h val="0.843338150777457"/>
        </c:manualLayout>
      </c:layout>
      <c:overlay val="0"/>
    </c:legend>
    <c:plotVisOnly val="1"/>
    <c:dispBlanksAs val="gap"/>
    <c:showDLblsOverMax val="0"/>
  </c:chart>
  <c:printSettings>
    <c:headerFooter/>
    <c:pageMargins b="0.75000000000000944" l="0.70000000000000062" r="0.70000000000000062" t="0.75000000000000944"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Installed Capacity (Republic of Ireland only) (GW)</a:t>
            </a:r>
            <a:endParaRPr lang="en-IE" sz="1400"/>
          </a:p>
        </c:rich>
      </c:tx>
      <c:overlay val="0"/>
    </c:title>
    <c:autoTitleDeleted val="0"/>
    <c:plotArea>
      <c:layout/>
      <c:barChart>
        <c:barDir val="col"/>
        <c:grouping val="stacked"/>
        <c:varyColors val="0"/>
        <c:ser>
          <c:idx val="0"/>
          <c:order val="0"/>
          <c:tx>
            <c:strRef>
              <c:f>'Intermediate output'!$D$118</c:f>
              <c:strCache>
                <c:ptCount val="1"/>
                <c:pt idx="0">
                  <c:v>Oil / Biofuel</c:v>
                </c:pt>
              </c:strCache>
            </c:strRef>
          </c:tx>
          <c:invertIfNegative val="0"/>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extLst>
            <c:ext xmlns:c16="http://schemas.microsoft.com/office/drawing/2014/chart" uri="{C3380CC4-5D6E-409C-BE32-E72D297353CC}">
              <c16:uniqueId val="{00000000-63D9-4CAD-9F9A-A913B72D44BF}"/>
            </c:ext>
          </c:extLst>
        </c:ser>
        <c:ser>
          <c:idx val="1"/>
          <c:order val="1"/>
          <c:tx>
            <c:strRef>
              <c:f>'Intermediate output'!$D$119</c:f>
              <c:strCache>
                <c:ptCount val="1"/>
                <c:pt idx="0">
                  <c:v>Coal / Peat / Biomass</c:v>
                </c:pt>
              </c:strCache>
            </c:strRef>
          </c:tx>
          <c:invertIfNegative val="0"/>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extLst>
            <c:ext xmlns:c16="http://schemas.microsoft.com/office/drawing/2014/chart" uri="{C3380CC4-5D6E-409C-BE32-E72D297353CC}">
              <c16:uniqueId val="{00000001-63D9-4CAD-9F9A-A913B72D44BF}"/>
            </c:ext>
          </c:extLst>
        </c:ser>
        <c:ser>
          <c:idx val="2"/>
          <c:order val="2"/>
          <c:tx>
            <c:strRef>
              <c:f>'Intermediate output'!$D$120</c:f>
              <c:strCache>
                <c:ptCount val="1"/>
                <c:pt idx="0">
                  <c:v>Gas / Biogas</c:v>
                </c:pt>
              </c:strCache>
            </c:strRef>
          </c:tx>
          <c:invertIfNegative val="0"/>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3.7307314609372622</c:v>
                </c:pt>
              </c:numCache>
            </c:numRef>
          </c:val>
          <c:extLst>
            <c:ext xmlns:c16="http://schemas.microsoft.com/office/drawing/2014/chart" uri="{C3380CC4-5D6E-409C-BE32-E72D297353CC}">
              <c16:uniqueId val="{00000002-63D9-4CAD-9F9A-A913B72D44BF}"/>
            </c:ext>
          </c:extLst>
        </c:ser>
        <c:ser>
          <c:idx val="3"/>
          <c:order val="3"/>
          <c:tx>
            <c:strRef>
              <c:f>'Intermediate output'!$D$123</c:f>
              <c:strCache>
                <c:ptCount val="1"/>
                <c:pt idx="0">
                  <c:v>Onshore wind</c:v>
                </c:pt>
              </c:strCache>
            </c:strRef>
          </c:tx>
          <c:invertIfNegative val="0"/>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extLst>
            <c:ext xmlns:c16="http://schemas.microsoft.com/office/drawing/2014/chart" uri="{C3380CC4-5D6E-409C-BE32-E72D297353CC}">
              <c16:uniqueId val="{00000003-63D9-4CAD-9F9A-A913B72D44BF}"/>
            </c:ext>
          </c:extLst>
        </c:ser>
        <c:ser>
          <c:idx val="4"/>
          <c:order val="4"/>
          <c:tx>
            <c:strRef>
              <c:f>'Intermediate output'!$D$124</c:f>
              <c:strCache>
                <c:ptCount val="1"/>
                <c:pt idx="0">
                  <c:v>Offshore wind</c:v>
                </c:pt>
              </c:strCache>
            </c:strRef>
          </c:tx>
          <c:invertIfNegative val="0"/>
          <c:cat>
            <c:strRef>
              <c:f>'Intermediate output'!$CE$124:$CE$125</c:f>
              <c:strCache>
                <c:ptCount val="2"/>
                <c:pt idx="0">
                  <c:v>2013 actuals (Eirgrid)</c:v>
                </c:pt>
                <c:pt idx="1">
                  <c:v>2013 model predicted</c:v>
                </c:pt>
              </c:strCache>
            </c:strRef>
          </c:cat>
          <c:val>
            <c:numRef>
              <c:f>('Intermediate output'!$F$124,'Intermediate output'!$AY$124)</c:f>
              <c:numCache>
                <c:formatCode>#,##0.00_);\(#,##0.00\);"-"_);@</c:formatCode>
                <c:ptCount val="2"/>
                <c:pt idx="0" formatCode="#,##0.0_);\(#,##0.0\);&quot;-&quot;_);@">
                  <c:v>2.5000000000000001E-2</c:v>
                </c:pt>
                <c:pt idx="1">
                  <c:v>2.5000000000000001E-2</c:v>
                </c:pt>
              </c:numCache>
            </c:numRef>
          </c:val>
          <c:extLst>
            <c:ext xmlns:c16="http://schemas.microsoft.com/office/drawing/2014/chart" uri="{C3380CC4-5D6E-409C-BE32-E72D297353CC}">
              <c16:uniqueId val="{00000004-63D9-4CAD-9F9A-A913B72D44BF}"/>
            </c:ext>
          </c:extLst>
        </c:ser>
        <c:ser>
          <c:idx val="5"/>
          <c:order val="5"/>
          <c:tx>
            <c:strRef>
              <c:f>'Intermediate output'!$D$125</c:f>
              <c:strCache>
                <c:ptCount val="1"/>
                <c:pt idx="0">
                  <c:v>Hydroelectric power stations</c:v>
                </c:pt>
              </c:strCache>
            </c:strRef>
          </c:tx>
          <c:invertIfNegative val="0"/>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extLst>
            <c:ext xmlns:c16="http://schemas.microsoft.com/office/drawing/2014/chart" uri="{C3380CC4-5D6E-409C-BE32-E72D297353CC}">
              <c16:uniqueId val="{00000005-63D9-4CAD-9F9A-A913B72D44BF}"/>
            </c:ext>
          </c:extLst>
        </c:ser>
        <c:ser>
          <c:idx val="6"/>
          <c:order val="6"/>
          <c:tx>
            <c:strRef>
              <c:f>'Intermediate output'!$D$131</c:f>
              <c:strCache>
                <c:ptCount val="1"/>
                <c:pt idx="0">
                  <c:v>Standby / peaking gas</c:v>
                </c:pt>
              </c:strCache>
            </c:strRef>
          </c:tx>
          <c:invertIfNegative val="0"/>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0.28284987271456291</c:v>
                </c:pt>
              </c:numCache>
            </c:numRef>
          </c:val>
          <c:extLst>
            <c:ext xmlns:c16="http://schemas.microsoft.com/office/drawing/2014/chart" uri="{C3380CC4-5D6E-409C-BE32-E72D297353CC}">
              <c16:uniqueId val="{00000006-63D9-4CAD-9F9A-A913B72D44BF}"/>
            </c:ext>
          </c:extLst>
        </c:ser>
        <c:dLbls>
          <c:showLegendKey val="0"/>
          <c:showVal val="0"/>
          <c:showCatName val="0"/>
          <c:showSerName val="0"/>
          <c:showPercent val="0"/>
          <c:showBubbleSize val="0"/>
        </c:dLbls>
        <c:gapWidth val="150"/>
        <c:overlap val="100"/>
        <c:axId val="50145920"/>
        <c:axId val="50155904"/>
      </c:barChart>
      <c:catAx>
        <c:axId val="50145920"/>
        <c:scaling>
          <c:orientation val="minMax"/>
        </c:scaling>
        <c:delete val="0"/>
        <c:axPos val="b"/>
        <c:numFmt formatCode="General" sourceLinked="0"/>
        <c:majorTickMark val="out"/>
        <c:minorTickMark val="none"/>
        <c:tickLblPos val="nextTo"/>
        <c:crossAx val="50155904"/>
        <c:crosses val="autoZero"/>
        <c:auto val="1"/>
        <c:lblAlgn val="ctr"/>
        <c:lblOffset val="100"/>
        <c:noMultiLvlLbl val="0"/>
      </c:catAx>
      <c:valAx>
        <c:axId val="50155904"/>
        <c:scaling>
          <c:orientation val="minMax"/>
        </c:scaling>
        <c:delete val="0"/>
        <c:axPos val="l"/>
        <c:numFmt formatCode="#,##0" sourceLinked="0"/>
        <c:majorTickMark val="out"/>
        <c:minorTickMark val="none"/>
        <c:tickLblPos val="nextTo"/>
        <c:crossAx val="50145920"/>
        <c:crosses val="autoZero"/>
        <c:crossBetween val="between"/>
      </c:valAx>
    </c:plotArea>
    <c:legend>
      <c:legendPos val="r"/>
      <c:overlay val="0"/>
    </c:legend>
    <c:plotVisOnly val="1"/>
    <c:dispBlanksAs val="gap"/>
    <c:showDLblsOverMax val="0"/>
  </c:chart>
  <c:printSettings>
    <c:headerFooter/>
    <c:pageMargins b="0.75000000000000944" l="0.70000000000000062" r="0.70000000000000062" t="0.75000000000000944"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Electricity Generation - pre losses (Republic of Ireland only) (TWh)</a:t>
            </a:r>
            <a:endParaRPr lang="en-IE" sz="1400"/>
          </a:p>
        </c:rich>
      </c:tx>
      <c:overlay val="0"/>
    </c:title>
    <c:autoTitleDeleted val="0"/>
    <c:plotArea>
      <c:layout/>
      <c:barChart>
        <c:barDir val="col"/>
        <c:grouping val="stacked"/>
        <c:varyColors val="0"/>
        <c:ser>
          <c:idx val="0"/>
          <c:order val="0"/>
          <c:tx>
            <c:strRef>
              <c:f>'Intermediate output'!$D$96</c:f>
              <c:strCache>
                <c:ptCount val="1"/>
                <c:pt idx="0">
                  <c:v>Biomass/Peat/Coal/Gas power stations</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19.783214082973807</c:v>
                </c:pt>
              </c:numCache>
            </c:numRef>
          </c:val>
          <c:extLst>
            <c:ext xmlns:c16="http://schemas.microsoft.com/office/drawing/2014/chart" uri="{C3380CC4-5D6E-409C-BE32-E72D297353CC}">
              <c16:uniqueId val="{00000000-2121-4232-A286-06ED6B88E37E}"/>
            </c:ext>
          </c:extLst>
        </c:ser>
        <c:ser>
          <c:idx val="1"/>
          <c:order val="1"/>
          <c:tx>
            <c:strRef>
              <c:f>'Intermediate output'!$D$109</c:f>
              <c:strCache>
                <c:ptCount val="1"/>
                <c:pt idx="0">
                  <c:v>Non-thermal renewable generation</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extLst>
            <c:ext xmlns:c16="http://schemas.microsoft.com/office/drawing/2014/chart" uri="{C3380CC4-5D6E-409C-BE32-E72D297353CC}">
              <c16:uniqueId val="{00000001-2121-4232-A286-06ED6B88E37E}"/>
            </c:ext>
          </c:extLst>
        </c:ser>
        <c:ser>
          <c:idx val="2"/>
          <c:order val="2"/>
          <c:tx>
            <c:strRef>
              <c:f>'Intermediate output'!$D$110</c:f>
              <c:strCache>
                <c:ptCount val="1"/>
                <c:pt idx="0">
                  <c:v>Electricity imports</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extLst>
            <c:ext xmlns:c16="http://schemas.microsoft.com/office/drawing/2014/chart" uri="{C3380CC4-5D6E-409C-BE32-E72D297353CC}">
              <c16:uniqueId val="{00000002-2121-4232-A286-06ED6B88E37E}"/>
            </c:ext>
          </c:extLst>
        </c:ser>
        <c:dLbls>
          <c:showLegendKey val="0"/>
          <c:showVal val="0"/>
          <c:showCatName val="0"/>
          <c:showSerName val="0"/>
          <c:showPercent val="0"/>
          <c:showBubbleSize val="0"/>
        </c:dLbls>
        <c:gapWidth val="150"/>
        <c:overlap val="100"/>
        <c:axId val="50196480"/>
        <c:axId val="50198016"/>
      </c:barChart>
      <c:catAx>
        <c:axId val="50196480"/>
        <c:scaling>
          <c:orientation val="minMax"/>
        </c:scaling>
        <c:delete val="0"/>
        <c:axPos val="b"/>
        <c:numFmt formatCode="General" sourceLinked="0"/>
        <c:majorTickMark val="out"/>
        <c:minorTickMark val="none"/>
        <c:tickLblPos val="nextTo"/>
        <c:crossAx val="50198016"/>
        <c:crosses val="autoZero"/>
        <c:auto val="1"/>
        <c:lblAlgn val="ctr"/>
        <c:lblOffset val="100"/>
        <c:noMultiLvlLbl val="0"/>
      </c:catAx>
      <c:valAx>
        <c:axId val="50198016"/>
        <c:scaling>
          <c:orientation val="minMax"/>
        </c:scaling>
        <c:delete val="0"/>
        <c:axPos val="l"/>
        <c:numFmt formatCode="#,##0" sourceLinked="0"/>
        <c:majorTickMark val="out"/>
        <c:minorTickMark val="none"/>
        <c:tickLblPos val="nextTo"/>
        <c:crossAx val="50196480"/>
        <c:crosses val="autoZero"/>
        <c:crossBetween val="between"/>
      </c:valAx>
    </c:plotArea>
    <c:legend>
      <c:legendPos val="r"/>
      <c:overlay val="0"/>
    </c:legend>
    <c:plotVisOnly val="1"/>
    <c:dispBlanksAs val="gap"/>
    <c:showDLblsOverMax val="0"/>
  </c:chart>
  <c:printSettings>
    <c:headerFooter/>
    <c:pageMargins b="0.75000000000000966" l="0.70000000000000062" r="0.70000000000000062" t="0.75000000000000966"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Land</a:t>
            </a:r>
            <a:r>
              <a:rPr lang="en-IE" sz="1100" baseline="0"/>
              <a:t> Area</a:t>
            </a:r>
            <a:endParaRPr lang="en-IE" sz="1100"/>
          </a:p>
        </c:rich>
      </c:tx>
      <c:overlay val="0"/>
    </c:title>
    <c:autoTitleDeleted val="0"/>
    <c:plotArea>
      <c:layout/>
      <c:areaChart>
        <c:grouping val="stacked"/>
        <c:varyColors val="0"/>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70.144444444444431</c:v>
                </c:pt>
                <c:pt idx="3">
                  <c:v>42.283333333333324</c:v>
                </c:pt>
                <c:pt idx="4">
                  <c:v>14.422222222222219</c:v>
                </c:pt>
                <c:pt idx="5">
                  <c:v>0.49166666666666337</c:v>
                </c:pt>
                <c:pt idx="6">
                  <c:v>0.49166666666666337</c:v>
                </c:pt>
                <c:pt idx="7">
                  <c:v>0.49166666666666337</c:v>
                </c:pt>
                <c:pt idx="8">
                  <c:v>0.49166666666666337</c:v>
                </c:pt>
              </c:numCache>
            </c:numRef>
          </c:val>
          <c:extLst>
            <c:ext xmlns:c16="http://schemas.microsoft.com/office/drawing/2014/chart" uri="{C3380CC4-5D6E-409C-BE32-E72D297353CC}">
              <c16:uniqueId val="{00000000-13CE-4228-AD14-73C741C622B5}"/>
            </c:ext>
          </c:extLst>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4.8363636363636351</c:v>
                </c:pt>
                <c:pt idx="5">
                  <c:v>3.1818181818181812</c:v>
                </c:pt>
                <c:pt idx="6">
                  <c:v>2.2272727272727266</c:v>
                </c:pt>
                <c:pt idx="7">
                  <c:v>1.5909090909090906</c:v>
                </c:pt>
                <c:pt idx="8">
                  <c:v>0</c:v>
                </c:pt>
              </c:numCache>
            </c:numRef>
          </c:val>
          <c:extLst>
            <c:ext xmlns:c16="http://schemas.microsoft.com/office/drawing/2014/chart" uri="{C3380CC4-5D6E-409C-BE32-E72D297353CC}">
              <c16:uniqueId val="{00000001-13CE-4228-AD14-73C741C622B5}"/>
            </c:ext>
          </c:extLst>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3CE-4228-AD14-73C741C622B5}"/>
            </c:ext>
          </c:extLst>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0.17246850990151383</c:v>
                </c:pt>
                <c:pt idx="2">
                  <c:v>0.18186124430257217</c:v>
                </c:pt>
                <c:pt idx="3">
                  <c:v>0.19120054807283343</c:v>
                </c:pt>
                <c:pt idx="4">
                  <c:v>0.20000552580370909</c:v>
                </c:pt>
                <c:pt idx="5">
                  <c:v>0.20930766415949723</c:v>
                </c:pt>
                <c:pt idx="6">
                  <c:v>0.2190930054839145</c:v>
                </c:pt>
                <c:pt idx="7">
                  <c:v>0.22881871680332172</c:v>
                </c:pt>
                <c:pt idx="8">
                  <c:v>0.23905106792861408</c:v>
                </c:pt>
              </c:numCache>
            </c:numRef>
          </c:val>
          <c:extLst>
            <c:ext xmlns:c16="http://schemas.microsoft.com/office/drawing/2014/chart" uri="{C3380CC4-5D6E-409C-BE32-E72D297353CC}">
              <c16:uniqueId val="{00000003-13CE-4228-AD14-73C741C622B5}"/>
            </c:ext>
          </c:extLst>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13CE-4228-AD14-73C741C622B5}"/>
            </c:ext>
          </c:extLst>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156</c:v>
                </c:pt>
                <c:pt idx="2">
                  <c:v>156</c:v>
                </c:pt>
                <c:pt idx="3">
                  <c:v>156</c:v>
                </c:pt>
                <c:pt idx="4">
                  <c:v>156</c:v>
                </c:pt>
                <c:pt idx="5">
                  <c:v>156</c:v>
                </c:pt>
                <c:pt idx="6">
                  <c:v>156</c:v>
                </c:pt>
                <c:pt idx="7">
                  <c:v>156</c:v>
                </c:pt>
                <c:pt idx="8">
                  <c:v>156</c:v>
                </c:pt>
              </c:numCache>
            </c:numRef>
          </c:val>
          <c:extLst>
            <c:ext xmlns:c16="http://schemas.microsoft.com/office/drawing/2014/chart" uri="{C3380CC4-5D6E-409C-BE32-E72D297353CC}">
              <c16:uniqueId val="{00000005-13CE-4228-AD14-73C741C622B5}"/>
            </c:ext>
          </c:extLst>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7652.4864864864903</c:v>
                </c:pt>
                <c:pt idx="2">
                  <c:v>7868.7027027026998</c:v>
                </c:pt>
                <c:pt idx="3">
                  <c:v>8084.9189189189201</c:v>
                </c:pt>
                <c:pt idx="4">
                  <c:v>8301.1351351351295</c:v>
                </c:pt>
                <c:pt idx="5">
                  <c:v>8517.3513513513499</c:v>
                </c:pt>
                <c:pt idx="6">
                  <c:v>8733.5675675675702</c:v>
                </c:pt>
                <c:pt idx="7">
                  <c:v>8949.7837837837797</c:v>
                </c:pt>
                <c:pt idx="8">
                  <c:v>9166</c:v>
                </c:pt>
              </c:numCache>
            </c:numRef>
          </c:val>
          <c:extLst>
            <c:ext xmlns:c16="http://schemas.microsoft.com/office/drawing/2014/chart" uri="{C3380CC4-5D6E-409C-BE32-E72D297353CC}">
              <c16:uniqueId val="{00000006-13CE-4228-AD14-73C741C622B5}"/>
            </c:ext>
          </c:extLst>
        </c:ser>
        <c:dLbls>
          <c:showLegendKey val="0"/>
          <c:showVal val="0"/>
          <c:showCatName val="0"/>
          <c:showSerName val="0"/>
          <c:showPercent val="0"/>
          <c:showBubbleSize val="0"/>
        </c:dLbls>
        <c:axId val="50431872"/>
        <c:axId val="50433408"/>
      </c:areaChart>
      <c:catAx>
        <c:axId val="50431872"/>
        <c:scaling>
          <c:orientation val="minMax"/>
        </c:scaling>
        <c:delete val="0"/>
        <c:axPos val="b"/>
        <c:numFmt formatCode="General" sourceLinked="1"/>
        <c:majorTickMark val="out"/>
        <c:minorTickMark val="none"/>
        <c:tickLblPos val="nextTo"/>
        <c:crossAx val="50433408"/>
        <c:crosses val="autoZero"/>
        <c:auto val="1"/>
        <c:lblAlgn val="ctr"/>
        <c:lblOffset val="100"/>
        <c:noMultiLvlLbl val="0"/>
      </c:catAx>
      <c:valAx>
        <c:axId val="50433408"/>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50431872"/>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21" l="0.70000000000000062" r="0.70000000000000062" t="0.7500000000000112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Sea</a:t>
            </a:r>
            <a:r>
              <a:rPr lang="en-IE" sz="1100" baseline="0"/>
              <a:t> Area</a:t>
            </a:r>
            <a:endParaRPr lang="en-IE" sz="1100"/>
          </a:p>
        </c:rich>
      </c:tx>
      <c:overlay val="0"/>
    </c:title>
    <c:autoTitleDeleted val="0"/>
    <c:plotArea>
      <c:layout/>
      <c:areaChart>
        <c:grouping val="stacked"/>
        <c:varyColors val="0"/>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0</c:v>
                </c:pt>
                <c:pt idx="4">
                  <c:v>0</c:v>
                </c:pt>
                <c:pt idx="5">
                  <c:v>0</c:v>
                </c:pt>
                <c:pt idx="6">
                  <c:v>0</c:v>
                </c:pt>
                <c:pt idx="7">
                  <c:v>0</c:v>
                </c:pt>
                <c:pt idx="8">
                  <c:v>0</c:v>
                </c:pt>
              </c:numCache>
            </c:numRef>
          </c:val>
          <c:extLst>
            <c:ext xmlns:c16="http://schemas.microsoft.com/office/drawing/2014/chart" uri="{C3380CC4-5D6E-409C-BE32-E72D297353CC}">
              <c16:uniqueId val="{00000000-85C2-40B5-9DE6-79EAEB5C56F4}"/>
            </c:ext>
          </c:extLst>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85C2-40B5-9DE6-79EAEB5C56F4}"/>
            </c:ext>
          </c:extLst>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85C2-40B5-9DE6-79EAEB5C56F4}"/>
            </c:ext>
          </c:extLst>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85C2-40B5-9DE6-79EAEB5C56F4}"/>
            </c:ext>
          </c:extLst>
        </c:ser>
        <c:dLbls>
          <c:showLegendKey val="0"/>
          <c:showVal val="0"/>
          <c:showCatName val="0"/>
          <c:showSerName val="0"/>
          <c:showPercent val="0"/>
          <c:showBubbleSize val="0"/>
        </c:dLbls>
        <c:axId val="50277760"/>
        <c:axId val="50287744"/>
      </c:areaChart>
      <c:catAx>
        <c:axId val="50277760"/>
        <c:scaling>
          <c:orientation val="minMax"/>
        </c:scaling>
        <c:delete val="0"/>
        <c:axPos val="b"/>
        <c:numFmt formatCode="General" sourceLinked="1"/>
        <c:majorTickMark val="out"/>
        <c:minorTickMark val="none"/>
        <c:tickLblPos val="nextTo"/>
        <c:crossAx val="50287744"/>
        <c:crosses val="autoZero"/>
        <c:auto val="1"/>
        <c:lblAlgn val="ctr"/>
        <c:lblOffset val="100"/>
        <c:noMultiLvlLbl val="0"/>
      </c:catAx>
      <c:valAx>
        <c:axId val="50287744"/>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50277760"/>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Number</a:t>
            </a:r>
            <a:r>
              <a:rPr lang="en-IE" sz="1100" baseline="0"/>
              <a:t> of units</a:t>
            </a:r>
            <a:endParaRPr lang="en-IE" sz="1100"/>
          </a:p>
        </c:rich>
      </c:tx>
      <c:overlay val="0"/>
    </c:title>
    <c:autoTitleDeleted val="0"/>
    <c:plotArea>
      <c:layout>
        <c:manualLayout>
          <c:layoutTarget val="inner"/>
          <c:xMode val="edge"/>
          <c:yMode val="edge"/>
          <c:x val="6.6491626599772383E-2"/>
          <c:y val="0.13810045597539874"/>
          <c:w val="0.60792715954753462"/>
          <c:h val="0.75872671926334345"/>
        </c:manualLayout>
      </c:layout>
      <c:lineChart>
        <c:grouping val="standard"/>
        <c:varyColors val="0"/>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12.093462921874524</c:v>
                </c:pt>
                <c:pt idx="1">
                  <c:v>11.844501955014668</c:v>
                </c:pt>
                <c:pt idx="2">
                  <c:v>10.90279012134325</c:v>
                </c:pt>
                <c:pt idx="3">
                  <c:v>13.890101296193075</c:v>
                </c:pt>
                <c:pt idx="4">
                  <c:v>17.334712905038412</c:v>
                </c:pt>
                <c:pt idx="5">
                  <c:v>20.529628971391105</c:v>
                </c:pt>
                <c:pt idx="6">
                  <c:v>21.968035991843696</c:v>
                </c:pt>
                <c:pt idx="7">
                  <c:v>23.457837871518571</c:v>
                </c:pt>
                <c:pt idx="8">
                  <c:v>25.00350605466652</c:v>
                </c:pt>
              </c:numCache>
            </c:numRef>
          </c:val>
          <c:smooth val="0"/>
          <c:extLst>
            <c:ext xmlns:c16="http://schemas.microsoft.com/office/drawing/2014/chart" uri="{C3380CC4-5D6E-409C-BE32-E72D297353CC}">
              <c16:uniqueId val="{00000000-E197-4806-9B0B-FBB55B1D78D6}"/>
            </c:ext>
          </c:extLst>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1-E197-4806-9B0B-FBB55B1D78D6}"/>
            </c:ext>
          </c:extLst>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2-E197-4806-9B0B-FBB55B1D78D6}"/>
            </c:ext>
          </c:extLst>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0.56569974542912582</c:v>
                </c:pt>
                <c:pt idx="1">
                  <c:v>0.98203282221065447</c:v>
                </c:pt>
                <c:pt idx="2">
                  <c:v>2.38453405360374</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3-E197-4806-9B0B-FBB55B1D78D6}"/>
            </c:ext>
          </c:extLst>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0.74444735000000006</c:v>
                </c:pt>
                <c:pt idx="2">
                  <c:v>2.8722638173063184</c:v>
                </c:pt>
                <c:pt idx="3">
                  <c:v>2.8837378734162455</c:v>
                </c:pt>
                <c:pt idx="4">
                  <c:v>2.8966980242694973</c:v>
                </c:pt>
                <c:pt idx="5">
                  <c:v>2.9376844985923918</c:v>
                </c:pt>
                <c:pt idx="6">
                  <c:v>2.9853050574340472</c:v>
                </c:pt>
                <c:pt idx="7">
                  <c:v>3.0404254619208886</c:v>
                </c:pt>
                <c:pt idx="8">
                  <c:v>3.1040139029092226</c:v>
                </c:pt>
              </c:numCache>
            </c:numRef>
          </c:val>
          <c:smooth val="0"/>
          <c:extLst>
            <c:ext xmlns:c16="http://schemas.microsoft.com/office/drawing/2014/chart" uri="{C3380CC4-5D6E-409C-BE32-E72D297353CC}">
              <c16:uniqueId val="{00000004-E197-4806-9B0B-FBB55B1D78D6}"/>
            </c:ext>
          </c:extLst>
        </c:ser>
        <c:dLbls>
          <c:showLegendKey val="0"/>
          <c:showVal val="0"/>
          <c:showCatName val="0"/>
          <c:showSerName val="0"/>
          <c:showPercent val="0"/>
          <c:showBubbleSize val="0"/>
        </c:dLbls>
        <c:marker val="1"/>
        <c:smooth val="0"/>
        <c:axId val="50324608"/>
        <c:axId val="50326144"/>
      </c:lineChart>
      <c:catAx>
        <c:axId val="50324608"/>
        <c:scaling>
          <c:orientation val="minMax"/>
        </c:scaling>
        <c:delete val="0"/>
        <c:axPos val="b"/>
        <c:numFmt formatCode="General" sourceLinked="1"/>
        <c:majorTickMark val="out"/>
        <c:minorTickMark val="none"/>
        <c:tickLblPos val="nextTo"/>
        <c:crossAx val="50326144"/>
        <c:crosses val="autoZero"/>
        <c:auto val="1"/>
        <c:lblAlgn val="ctr"/>
        <c:lblOffset val="100"/>
        <c:noMultiLvlLbl val="0"/>
      </c:catAx>
      <c:valAx>
        <c:axId val="50326144"/>
        <c:scaling>
          <c:orientation val="minMax"/>
        </c:scaling>
        <c:delete val="0"/>
        <c:axPos val="l"/>
        <c:numFmt formatCode="#,##0_);\(#,##0\);&quot;-&quot;_);@" sourceLinked="1"/>
        <c:majorTickMark val="out"/>
        <c:minorTickMark val="none"/>
        <c:tickLblPos val="nextTo"/>
        <c:crossAx val="50324608"/>
        <c:crosses val="autoZero"/>
        <c:crossBetween val="between"/>
      </c:valAx>
      <c:spPr>
        <a:noFill/>
      </c:spPr>
    </c:plotArea>
    <c:legend>
      <c:legendPos val="r"/>
      <c:layout>
        <c:manualLayout>
          <c:xMode val="edge"/>
          <c:yMode val="edge"/>
          <c:x val="0.69093796018860476"/>
          <c:y val="0.15323218490400844"/>
          <c:w val="0.29490274777600323"/>
          <c:h val="0.79002983086333045"/>
        </c:manualLayout>
      </c:layout>
      <c:overlay val="0"/>
    </c:legend>
    <c:plotVisOnly val="1"/>
    <c:dispBlanksAs val="gap"/>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id="138" name="Bioshare" displayName="Bioshare" ref="D252:BG255" totalsRowShown="0" headerRowDxfId="3067" dataDxfId="3066" headerRowCellStyle="Percent 2" dataCellStyle="Percent 2">
  <autoFilter ref="D252:BG255"/>
  <tableColumns count="56">
    <tableColumn id="1" name="Bio type" dataDxfId="3065"/>
    <tableColumn id="2" name="Column1" dataDxfId="3064"/>
    <tableColumn id="3" name="Column2" dataDxfId="3063"/>
    <tableColumn id="4" name="Column22" dataDxfId="3062"/>
    <tableColumn id="5" name="Column23" dataDxfId="3061"/>
    <tableColumn id="6" name="Column24" dataDxfId="3060"/>
    <tableColumn id="7" name="Column25" dataDxfId="3059"/>
    <tableColumn id="8" name="Column26" dataDxfId="3058"/>
    <tableColumn id="9" name="Column27" dataDxfId="3057"/>
    <tableColumn id="10" name="Column28" dataDxfId="3056"/>
    <tableColumn id="11" name="Column29" dataDxfId="3055"/>
    <tableColumn id="12" name="Column30" dataDxfId="3054"/>
    <tableColumn id="13" name="Column31" dataDxfId="3053"/>
    <tableColumn id="14" name="Column32" dataDxfId="3052"/>
    <tableColumn id="15" name="Column33" dataDxfId="3051"/>
    <tableColumn id="16" name="Column34" dataDxfId="3050"/>
    <tableColumn id="17" name="Column35" dataDxfId="3049"/>
    <tableColumn id="18" name="Column36" dataDxfId="3048"/>
    <tableColumn id="19" name="Column37" dataDxfId="3047"/>
    <tableColumn id="20" name="Column38" dataDxfId="3046"/>
    <tableColumn id="21" name="Column39" dataDxfId="3045"/>
    <tableColumn id="22" name="Column40" dataDxfId="3044"/>
    <tableColumn id="23" name="Column41" dataDxfId="3043"/>
    <tableColumn id="24" name="Column42" dataDxfId="3042"/>
    <tableColumn id="25" name="Column43" dataDxfId="3041"/>
    <tableColumn id="26" name="Column44" dataDxfId="3040"/>
    <tableColumn id="27" name="Column45" dataDxfId="3039"/>
    <tableColumn id="28" name="Column46" dataDxfId="3038"/>
    <tableColumn id="29" name="Column47" dataDxfId="3037"/>
    <tableColumn id="30" name="Column48" dataDxfId="3036"/>
    <tableColumn id="31" name="Column49" dataDxfId="3035"/>
    <tableColumn id="32" name="Column50" dataDxfId="3034"/>
    <tableColumn id="33" name="Column51" dataDxfId="3033"/>
    <tableColumn id="34" name="Column52" dataDxfId="3032"/>
    <tableColumn id="35" name="Column53" dataDxfId="3031"/>
    <tableColumn id="36" name="Column54" dataDxfId="3030"/>
    <tableColumn id="37" name="Column55" dataDxfId="3029"/>
    <tableColumn id="38" name="Column56" dataDxfId="3028"/>
    <tableColumn id="39" name="Column57" dataDxfId="3027"/>
    <tableColumn id="40" name="Column58" dataDxfId="3026"/>
    <tableColumn id="41" name="Column59" dataDxfId="3025"/>
    <tableColumn id="42" name="Column60" dataDxfId="3024"/>
    <tableColumn id="43" name="Column61" dataDxfId="3023"/>
    <tableColumn id="44" name="Column612" dataDxfId="3022"/>
    <tableColumn id="45" name="Column62" dataDxfId="3021"/>
    <tableColumn id="46" name="Column63" dataDxfId="3020"/>
    <tableColumn id="47" name="Column3" dataDxfId="3019"/>
    <tableColumn id="48" name="2013" dataDxfId="3018" dataCellStyle="Percent 2"/>
    <tableColumn id="49" name="2015" dataDxfId="3017" dataCellStyle="Percent 2"/>
    <tableColumn id="50" name="2020" dataDxfId="3016" dataCellStyle="Percent 2"/>
    <tableColumn id="51" name="2025" dataDxfId="3015" dataCellStyle="Percent 2"/>
    <tableColumn id="52" name="2030" dataDxfId="3014" dataCellStyle="Percent 2"/>
    <tableColumn id="53" name="2035" dataDxfId="3013" dataCellStyle="Percent 2"/>
    <tableColumn id="54" name="2040" dataDxfId="3012" dataCellStyle="Percent 2"/>
    <tableColumn id="55" name="2045" dataDxfId="3011" dataCellStyle="Percent 2"/>
    <tableColumn id="56" name="2050" dataDxfId="3010"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6" dataDxfId="3005" dataCellStyle="Comma 3">
  <autoFilter ref="C5:M94"/>
  <tableColumns count="11">
    <tableColumn id="1" name="From" dataDxfId="3004" dataCellStyle="Normal 2"/>
    <tableColumn id="2" name="To" dataDxfId="3003" dataCellStyle="Comma 3"/>
    <tableColumn id="3" name="2013" dataDxfId="3002" dataCellStyle="Comma 3"/>
    <tableColumn id="4" name="2015" dataDxfId="3001" dataCellStyle="Comma 3"/>
    <tableColumn id="5" name="2020" dataDxfId="3000" dataCellStyle="Comma 3"/>
    <tableColumn id="6" name="2025" dataDxfId="2999" dataCellStyle="Comma 3"/>
    <tableColumn id="7" name="2030" dataDxfId="2998" dataCellStyle="Comma 3"/>
    <tableColumn id="8" name="2035" dataDxfId="2997" dataCellStyle="Comma 3"/>
    <tableColumn id="9" name="2040" dataDxfId="2996" dataCellStyle="Comma 3"/>
    <tableColumn id="10" name="2045" dataDxfId="2995" dataCellStyle="Comma 3"/>
    <tableColumn id="11" name="2050" dataDxfId="2994"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3" dataDxfId="2992" dataCellStyle="Comma 3">
  <autoFilter ref="C130:M133"/>
  <tableColumns count="11">
    <tableColumn id="1" name="Vector" dataDxfId="2991"/>
    <tableColumn id="2" name="Credit from growing bioenergy" dataDxfId="2990"/>
    <tableColumn id="3" name="2013" dataDxfId="2989" dataCellStyle="Comma 3">
      <calculatedColumnFormula>INDEX(EF[CO2e], MATCH($C131, EF[Vector], 0))*(E125)</calculatedColumnFormula>
    </tableColumn>
    <tableColumn id="4" name="2015" dataDxfId="2988" dataCellStyle="Comma 3">
      <calculatedColumnFormula>INDEX(EF[CO2e], MATCH($C131, EF[Vector], 0))*(F125)</calculatedColumnFormula>
    </tableColumn>
    <tableColumn id="5" name="2020" dataDxfId="2987" dataCellStyle="Comma 3">
      <calculatedColumnFormula>INDEX(EF[CO2e], MATCH($C131, EF[Vector], 0))*(G125)</calculatedColumnFormula>
    </tableColumn>
    <tableColumn id="6" name="2025" dataDxfId="2986" dataCellStyle="Comma 3">
      <calculatedColumnFormula>INDEX(EF[CO2e], MATCH($C131, EF[Vector], 0))*(H125)</calculatedColumnFormula>
    </tableColumn>
    <tableColumn id="7" name="2030" dataDxfId="2985" dataCellStyle="Comma 3">
      <calculatedColumnFormula>INDEX(EF[CO2e], MATCH($C131, EF[Vector], 0))*(I125)</calculatedColumnFormula>
    </tableColumn>
    <tableColumn id="8" name="2035" dataDxfId="2984" dataCellStyle="Comma 3">
      <calculatedColumnFormula>INDEX(EF[CO2e], MATCH($C131, EF[Vector], 0))*(J125)</calculatedColumnFormula>
    </tableColumn>
    <tableColumn id="9" name="2040" dataDxfId="2983" dataCellStyle="Comma 3">
      <calculatedColumnFormula>INDEX(EF[CO2e], MATCH($C131, EF[Vector], 0))*(K125)</calculatedColumnFormula>
    </tableColumn>
    <tableColumn id="10" name="2045" dataDxfId="2982" dataCellStyle="Comma 3">
      <calculatedColumnFormula>INDEX(EF[CO2e], MATCH($C131, EF[Vector], 0))*(L125)</calculatedColumnFormula>
    </tableColumn>
    <tableColumn id="11" name="2050" dataDxfId="2981"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E15" totalsRowCount="1" headerRowDxfId="2980" dataDxfId="2979">
  <autoFilter ref="B5:E14"/>
  <tableColumns count="4">
    <tableColumn id="1" name="Year" dataDxfId="2978" totalsRowDxfId="2977"/>
    <tableColumn id="2" name="Population" totalsRowFunction="average" dataDxfId="2976" totalsRowDxfId="2975" dataCellStyle="Comma"/>
    <tableColumn id="3" name="Households" dataDxfId="2974" totalsRowDxfId="2973" dataCellStyle="Comma">
      <calculatedColumnFormula>Global.Assumptions[[#This Row],[Population]]/Global.Assumptions[[#This Row],[Pax per household]]</calculatedColumnFormula>
    </tableColumn>
    <tableColumn id="4" name="Pax per household" dataDxfId="2972"/>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1" dataDxfId="2970">
  <autoFilter ref="B45:H92"/>
  <tableColumns count="7">
    <tableColumn id="1" name="Vector" dataDxfId="2969"/>
    <tableColumn id="6" name="Description" dataDxfId="2968"/>
    <tableColumn id="2" name="CO2" dataDxfId="2967" dataCellStyle="Comma"/>
    <tableColumn id="3" name="CH4" dataDxfId="2966" dataCellStyle="Comma"/>
    <tableColumn id="4" name="N2O" dataDxfId="2965" dataCellStyle="Comma"/>
    <tableColumn id="7" name="CO2e" dataDxfId="2964" dataCellStyle="Comma">
      <calculatedColumnFormula>SUM(EF[[#This Row],[CO2]:[N2O]])</calculatedColumnFormula>
    </tableColumn>
    <tableColumn id="5" name="Comments" dataDxfId="2963"/>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2"/>
    <tableColumn id="3" name="NOX" dataDxfId="2961"/>
    <tableColumn id="4" name="SO2" dataDxfId="2960"/>
    <tableColumn id="5" name="NMVOC" dataDxfId="2959"/>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8" dataDxfId="2957">
  <autoFilter ref="B6:C24"/>
  <tableColumns count="2">
    <tableColumn id="1" name="Code" dataDxfId="2956"/>
    <tableColumn id="2" name="Workstream" dataDxfId="2955"/>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4" dataDxfId="2953">
  <autoFilter ref="F6:J49"/>
  <sortState ref="F7:M22">
    <sortCondition ref="F3:F19"/>
  </sortState>
  <tableColumns count="5">
    <tableColumn id="1" name="Code" dataDxfId="2952"/>
    <tableColumn id="2" name="Module" dataDxfId="2951"/>
    <tableColumn id="7" name="WS Code" dataDxfId="2950">
      <calculatedColumnFormula>LEFT(Modules[Code], FIND(".", Modules[Code])-1)</calculatedColumnFormula>
    </tableColumn>
    <tableColumn id="6" name="Workstream" dataDxfId="2949"/>
    <tableColumn id="3" name="Comments" dataDxfId="2948"/>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7" dataDxfId="2946">
  <autoFilter ref="M6:Q68"/>
  <tableColumns count="5">
    <tableColumn id="1" name="Category" dataDxfId="2945"/>
    <tableColumn id="2" name="Subcategory" dataDxfId="2944"/>
    <tableColumn id="3" name="Code" dataDxfId="2943"/>
    <tableColumn id="4" name="Description" dataDxfId="2942"/>
    <tableColumn id="5" name="Comment" dataDxfId="2941"/>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0" dataDxfId="2939">
  <autoFilter ref="T6:V17"/>
  <tableColumns count="3">
    <tableColumn id="1" name="Sector_code" dataDxfId="2938"/>
    <tableColumn id="2" name="Sector_description" dataDxfId="2937"/>
    <tableColumn id="3" name="Comment" dataDxfId="2936"/>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5" dataDxfId="2934">
  <autoFilter ref="T22:V26"/>
  <tableColumns count="3">
    <tableColumn id="1" name="GHG_code" dataDxfId="2933"/>
    <tableColumn id="2" name="GHG_description" dataDxfId="2932"/>
    <tableColumn id="3" name="Comment" dataDxfId="2931"/>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0" tableBorderDxfId="2929">
  <autoFilter ref="X6:Z17"/>
  <sortState ref="X7:Z12">
    <sortCondition ref="X4:X10"/>
  </sortState>
  <tableColumns count="3">
    <tableColumn id="1" name="Code" dataDxfId="2928"/>
    <tableColumn id="2" name="Description" dataDxfId="2927"/>
    <tableColumn id="3" name="Comment" dataDxfId="2926"/>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5" dataDxfId="2924">
  <autoFilter ref="X21:Z25"/>
  <tableColumns count="3">
    <tableColumn id="1" name="Code" dataDxfId="2923"/>
    <tableColumn id="2" name="Description" dataDxfId="2922"/>
    <tableColumn id="3" name="Comments" dataDxfId="2921"/>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0" dataDxfId="2919" tableBorderDxfId="2918" dataCellStyle="Comma 3">
  <autoFilter ref="C335:N341"/>
  <tableColumns count="12">
    <tableColumn id="1" name="Vector" dataDxfId="2917"/>
    <tableColumn id="2" name="Name" dataDxfId="2916">
      <calculatedColumnFormula>INDEX(Vectors[Description], MATCH(I.a.Outputs[Vector], Vectors[Code], 0))</calculatedColumnFormula>
    </tableColumn>
    <tableColumn id="3" name="Notes" dataDxfId="2915"/>
    <tableColumn id="4" name="2013" dataDxfId="2914" dataCellStyle="Comma 3"/>
    <tableColumn id="5" name="2015" dataDxfId="2913" dataCellStyle="Comma 3"/>
    <tableColumn id="6" name="2020" dataDxfId="2912" dataCellStyle="Comma 3"/>
    <tableColumn id="7" name="2025" dataDxfId="2911" dataCellStyle="Comma 3"/>
    <tableColumn id="8" name="2030" dataDxfId="2910" dataCellStyle="Comma 3"/>
    <tableColumn id="9" name="2035" dataDxfId="2909" dataCellStyle="Comma 3"/>
    <tableColumn id="10" name="2040" dataDxfId="2908" dataCellStyle="Comma 3"/>
    <tableColumn id="11" name="2045" dataDxfId="2907" dataCellStyle="Comma 3"/>
    <tableColumn id="12" name="2050" dataDxfId="2906"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5" dataDxfId="2904" dataCellStyle="Comma">
  <autoFilter ref="C14:N16"/>
  <tableColumns count="12">
    <tableColumn id="1" name="Vector"/>
    <tableColumn id="2" name="Name"/>
    <tableColumn id="3" name="Notes"/>
    <tableColumn id="4" name="2013" dataDxfId="2903" dataCellStyle="Comma"/>
    <tableColumn id="5" name="2015" dataDxfId="2902" dataCellStyle="Comma"/>
    <tableColumn id="6" name="2020" dataDxfId="2901" dataCellStyle="Comma"/>
    <tableColumn id="7" name="2025" dataDxfId="2900" dataCellStyle="Comma"/>
    <tableColumn id="8" name="2030" dataDxfId="2899" dataCellStyle="Comma"/>
    <tableColumn id="9" name="2035" dataDxfId="2898" dataCellStyle="Comma"/>
    <tableColumn id="10" name="2040" dataDxfId="2897" dataCellStyle="Comma"/>
    <tableColumn id="11" name="2045" dataDxfId="2896" dataCellStyle="Comma"/>
    <tableColumn id="12" name="2050" dataDxfId="2895"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4" dataDxfId="2892" headerRowBorderDxfId="2893" dataCellStyle="Comma">
  <autoFilter ref="C349:N352"/>
  <tableColumns count="12">
    <tableColumn id="1" name="GHG" dataDxfId="2891"/>
    <tableColumn id="2" name="IPCC Sector" dataDxfId="2890"/>
    <tableColumn id="3" name="Notes" dataDxfId="2889"/>
    <tableColumn id="4" name="2013" dataDxfId="2888" dataCellStyle="Comma 3"/>
    <tableColumn id="5" name="2015" dataDxfId="2887" dataCellStyle="Comma 3"/>
    <tableColumn id="6" name="2020" dataDxfId="2886" dataCellStyle="Comma 3"/>
    <tableColumn id="7" name="2025" dataDxfId="2885" dataCellStyle="Comma 3"/>
    <tableColumn id="8" name="2030" dataDxfId="2884" dataCellStyle="Comma 3"/>
    <tableColumn id="9" name="2035" dataDxfId="2883" dataCellStyle="Comma 3"/>
    <tableColumn id="10" name="2040" dataDxfId="2882" dataCellStyle="Comma 3"/>
    <tableColumn id="11" name="2045" dataDxfId="2881" dataCellStyle="Comma 3"/>
    <tableColumn id="12" name="2050" dataDxfId="2880"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79" dataDxfId="2877" headerRowBorderDxfId="2878" tableBorderDxfId="2876" dataCellStyle="Comma 3">
  <autoFilter ref="C357:N361"/>
  <tableColumns count="12">
    <tableColumn id="1" name="Vector" dataDxfId="2875">
      <calculatedColumnFormula>INDEX(AirQualityVectors[Code],MATCH(D358,AirQualityVectors[Description],0))</calculatedColumnFormula>
    </tableColumn>
    <tableColumn id="2" name="Name" dataDxfId="2874"/>
    <tableColumn id="3" name="IPCC Sector" dataDxfId="2873"/>
    <tableColumn id="4" name="2013" dataDxfId="2872" dataCellStyle="Comma 3">
      <calculatedColumnFormula>F283</calculatedColumnFormula>
    </tableColumn>
    <tableColumn id="5" name="2015" dataDxfId="2871" dataCellStyle="Comma 3">
      <calculatedColumnFormula>G283</calculatedColumnFormula>
    </tableColumn>
    <tableColumn id="6" name="2020" dataDxfId="2870" dataCellStyle="Comma 3">
      <calculatedColumnFormula>H283</calculatedColumnFormula>
    </tableColumn>
    <tableColumn id="7" name="2025" dataDxfId="2869" dataCellStyle="Comma 3">
      <calculatedColumnFormula>I283</calculatedColumnFormula>
    </tableColumn>
    <tableColumn id="8" name="2030" dataDxfId="2868" dataCellStyle="Comma 3">
      <calculatedColumnFormula>J283</calculatedColumnFormula>
    </tableColumn>
    <tableColumn id="9" name="2035" dataDxfId="2867" dataCellStyle="Comma 3">
      <calculatedColumnFormula>K283</calculatedColumnFormula>
    </tableColumn>
    <tableColumn id="10" name="2040" dataDxfId="2866" dataCellStyle="Comma 3">
      <calculatedColumnFormula>L283</calculatedColumnFormula>
    </tableColumn>
    <tableColumn id="11" name="2045" dataDxfId="2865" dataCellStyle="Comma 3">
      <calculatedColumnFormula>M283</calculatedColumnFormula>
    </tableColumn>
    <tableColumn id="12" name="2050" dataDxfId="2864"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3" headerRowBorderDxfId="2862">
  <autoFilter ref="C368:N371"/>
  <tableColumns count="12">
    <tableColumn id="1" name="Vector" dataDxfId="2861"/>
    <tableColumn id="2" name="Information type" dataDxfId="2860">
      <calculatedColumnFormula>INDEX(Vectors[Description], MATCH(I.a.Liquid.Info[Vector],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59" headerRowBorderDxfId="2858">
  <autoFilter ref="C375:N378"/>
  <tableColumns count="12">
    <tableColumn id="1" name="Vector" dataDxfId="2857"/>
    <tableColumn id="2" name="Information type" dataDxfId="2856">
      <calculatedColumnFormula>INDEX(Vectors[Description], MATCH(I.a.Solid.Info[Vector],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5" headerRowBorderDxfId="2854">
  <autoFilter ref="C382:N385"/>
  <tableColumns count="12">
    <tableColumn id="1" name="Vector" dataDxfId="2853"/>
    <tableColumn id="2" name="Information type" dataDxfId="2852">
      <calculatedColumnFormula>INDEX(Vectors[Description], MATCH(I.a.Gas.Info[Vector],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1" headerRowBorderDxfId="2850">
  <autoFilter ref="C389:N391"/>
  <tableColumns count="12">
    <tableColumn id="1" name="Vector" dataDxfId="2849"/>
    <tableColumn id="2" name="Information type" dataDxfId="2848">
      <calculatedColumnFormula>INDEX(Vectors[Description], MATCH(I.a.Info[Vector],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7" dataDxfId="2846" tableBorderDxfId="2845" dataCellStyle="Comma">
  <autoFilter ref="C301:N306"/>
  <tableColumns count="12">
    <tableColumn id="1" name="Vector" totalsRowLabel="Total" dataDxfId="2844" totalsRowDxfId="2843"/>
    <tableColumn id="2" name="Name" dataDxfId="2842" totalsRowDxfId="2841">
      <calculatedColumnFormula>INDEX(Vectors[Description], MATCH(I.b.Outputs[Vector], Vectors[Code], 0))</calculatedColumnFormula>
    </tableColumn>
    <tableColumn id="3" name="Notes" dataDxfId="2840" totalsRowDxfId="2839"/>
    <tableColumn id="4" name="2013" totalsRowFunction="sum" dataDxfId="2838" totalsRowDxfId="2837" dataCellStyle="Comma"/>
    <tableColumn id="5" name="2015" totalsRowFunction="sum" dataDxfId="2836" totalsRowDxfId="2835" dataCellStyle="Comma"/>
    <tableColumn id="6" name="2020" totalsRowFunction="sum" dataDxfId="2834" totalsRowDxfId="2833" dataCellStyle="Comma"/>
    <tableColumn id="7" name="2025" totalsRowFunction="sum" dataDxfId="2832" totalsRowDxfId="2831" dataCellStyle="Comma"/>
    <tableColumn id="8" name="2030" totalsRowFunction="sum" dataDxfId="2830" totalsRowDxfId="2829" dataCellStyle="Comma"/>
    <tableColumn id="9" name="2035" totalsRowFunction="sum" dataDxfId="2828" totalsRowDxfId="2827" dataCellStyle="Comma"/>
    <tableColumn id="10" name="2040" totalsRowFunction="sum" dataDxfId="2826" totalsRowDxfId="2825" dataCellStyle="Comma"/>
    <tableColumn id="11" name="2045" totalsRowFunction="sum" dataDxfId="2824" totalsRowDxfId="2823" dataCellStyle="Comma"/>
    <tableColumn id="12" name="2050" totalsRowFunction="sum" dataDxfId="2822" totalsRowDxfId="2821"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0" dataDxfId="2819" dataCellStyle="Comma">
  <autoFilter ref="C314:N318"/>
  <tableColumns count="12">
    <tableColumn id="1" name="GHG" totalsRowLabel="Total" dataDxfId="2818" totalsRowDxfId="2817"/>
    <tableColumn id="2" name="IPCC Sector" dataDxfId="2816" totalsRowDxfId="2815"/>
    <tableColumn id="3" name="Notes" dataDxfId="2814" totalsRowDxfId="2813">
      <calculatedColumnFormula>INDEX(IPCC[Sector_description], MATCH(I.b.Emissions[IPCC Sector], IPCC[Sector_code], 0))</calculatedColumnFormula>
    </tableColumn>
    <tableColumn id="4" name="2013" totalsRowFunction="sum" dataDxfId="2812" totalsRowDxfId="2811" dataCellStyle="Comma 3"/>
    <tableColumn id="5" name="2015" totalsRowFunction="sum" dataDxfId="2810" totalsRowDxfId="2809" dataCellStyle="Comma 3"/>
    <tableColumn id="6" name="2020" totalsRowFunction="sum" dataDxfId="2808" totalsRowDxfId="2807" dataCellStyle="Comma 3"/>
    <tableColumn id="7" name="2025" totalsRowFunction="sum" dataDxfId="2806" totalsRowDxfId="2805" dataCellStyle="Comma 3"/>
    <tableColumn id="8" name="2030" totalsRowFunction="sum" dataDxfId="2804" totalsRowDxfId="2803" dataCellStyle="Comma 3"/>
    <tableColumn id="9" name="2035" totalsRowFunction="sum" dataDxfId="2802" totalsRowDxfId="2801" dataCellStyle="Comma 3"/>
    <tableColumn id="10" name="2040" totalsRowFunction="sum" dataDxfId="2800" totalsRowDxfId="2799" dataCellStyle="Comma 3"/>
    <tableColumn id="11" name="2045" totalsRowFunction="sum" dataDxfId="2798" totalsRowDxfId="2797" dataCellStyle="Comma 3"/>
    <tableColumn id="12" name="2050" totalsRowFunction="sum" dataDxfId="2796" totalsRowDxfId="2795"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4" dataDxfId="2792" headerRowBorderDxfId="2793" tableBorderDxfId="2791" dataCellStyle="Comma 3">
  <autoFilter ref="C323:N327"/>
  <tableColumns count="12">
    <tableColumn id="1" name="Vector" dataDxfId="2790">
      <calculatedColumnFormula>INDEX(AirQualityVectors[Code],MATCH(D324,AirQualityVectors[Description],0))</calculatedColumnFormula>
    </tableColumn>
    <tableColumn id="2" name="Name" dataDxfId="2789"/>
    <tableColumn id="3" name="IPCC Sector" dataDxfId="2788"/>
    <tableColumn id="4" name="2013" dataDxfId="2787" dataCellStyle="Comma 3">
      <calculatedColumnFormula>F292</calculatedColumnFormula>
    </tableColumn>
    <tableColumn id="5" name="2015" dataDxfId="2786" dataCellStyle="Comma 3">
      <calculatedColumnFormula>G292</calculatedColumnFormula>
    </tableColumn>
    <tableColumn id="6" name="2020" dataDxfId="2785" dataCellStyle="Comma 3">
      <calculatedColumnFormula>H292</calculatedColumnFormula>
    </tableColumn>
    <tableColumn id="7" name="2025" dataDxfId="2784" dataCellStyle="Comma 3">
      <calculatedColumnFormula>I292</calculatedColumnFormula>
    </tableColumn>
    <tableColumn id="8" name="2030" dataDxfId="2783" dataCellStyle="Comma 3">
      <calculatedColumnFormula>J292</calculatedColumnFormula>
    </tableColumn>
    <tableColumn id="9" name="2035" dataDxfId="2782" dataCellStyle="Comma 3">
      <calculatedColumnFormula>K292</calculatedColumnFormula>
    </tableColumn>
    <tableColumn id="10" name="2040" dataDxfId="2781" dataCellStyle="Comma 3">
      <calculatedColumnFormula>L292</calculatedColumnFormula>
    </tableColumn>
    <tableColumn id="11" name="2045" dataDxfId="2780" dataCellStyle="Comma 3">
      <calculatedColumnFormula>M292</calculatedColumnFormula>
    </tableColumn>
    <tableColumn id="12" name="2050" dataDxfId="2779"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8" headerRowBorderDxfId="2777">
  <autoFilter ref="C334:N337"/>
  <tableColumns count="12">
    <tableColumn id="1" name="Vector" dataDxfId="2776"/>
    <tableColumn id="2" name="Information type" dataDxfId="2775"/>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4" dataDxfId="2773" tableBorderDxfId="2772" dataCellStyle="Comma">
  <autoFilter ref="C163:N168"/>
  <tableColumns count="12">
    <tableColumn id="1" name="Vector" totalsRowLabel="Total" dataDxfId="2771" totalsRowDxfId="2770"/>
    <tableColumn id="2" name="Name" dataDxfId="2769" totalsRowDxfId="2768">
      <calculatedColumnFormula>INDEX(Vectors[Description], MATCH(II.a.Outputs[Vector], Vectors[Code], 0))</calculatedColumnFormula>
    </tableColumn>
    <tableColumn id="3" name="Notes" dataDxfId="2767" totalsRowDxfId="2766"/>
    <tableColumn id="4" name="2013" totalsRowFunction="sum" dataDxfId="2765" totalsRowDxfId="2764" dataCellStyle="Comma"/>
    <tableColumn id="5" name="2015" totalsRowFunction="sum" dataDxfId="2763" totalsRowDxfId="2762" dataCellStyle="Comma"/>
    <tableColumn id="6" name="2020" totalsRowFunction="sum" dataDxfId="2761" totalsRowDxfId="2760" dataCellStyle="Comma"/>
    <tableColumn id="7" name="2025" totalsRowFunction="sum" dataDxfId="2759" totalsRowDxfId="2758" dataCellStyle="Comma"/>
    <tableColumn id="8" name="2030" totalsRowFunction="sum" dataDxfId="2757" totalsRowDxfId="2756" dataCellStyle="Comma"/>
    <tableColumn id="9" name="2035" totalsRowFunction="sum" dataDxfId="2755" totalsRowDxfId="2754" dataCellStyle="Comma"/>
    <tableColumn id="10" name="2040" totalsRowFunction="sum" dataDxfId="2753" totalsRowDxfId="2752" dataCellStyle="Comma"/>
    <tableColumn id="11" name="2045" totalsRowFunction="sum" dataDxfId="2751" totalsRowDxfId="2750" dataCellStyle="Comma"/>
    <tableColumn id="12" name="2050" totalsRowFunction="sum" dataDxfId="2749" totalsRowDxfId="2748"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7" dataDxfId="2746" tableBorderDxfId="2745">
  <autoFilter ref="C14:N16"/>
  <tableColumns count="12">
    <tableColumn id="1" name="Vector" dataDxfId="2744"/>
    <tableColumn id="2" name="Name" dataDxfId="2743"/>
    <tableColumn id="3" name="Notes" dataDxfId="2742"/>
    <tableColumn id="4" name="2013" dataDxfId="2741">
      <calculatedColumnFormula>INDEX(INDIRECT("'"&amp;II.a.Inputs[#Headers]&amp;"'!Year.Matrix"), MATCH("Subtotal."&amp;$A$2, INDIRECT("'"&amp;II.a.Inputs[#Headers]&amp;"'!Year.Modules"), 0), MATCH(II.a.Inputs[Vector], INDIRECT("'"&amp;II.a.Inputs[#Headers]&amp;"'!Year.Vectors"), 0))</calculatedColumnFormula>
    </tableColumn>
    <tableColumn id="5" name="2015" dataDxfId="2740">
      <calculatedColumnFormula>INDEX(INDIRECT("'"&amp;II.a.Inputs[#Headers]&amp;"'!Year.Matrix"), MATCH("Subtotal."&amp;$A$2, INDIRECT("'"&amp;II.a.Inputs[#Headers]&amp;"'!Year.Modules"), 0), MATCH(II.a.Inputs[Vector], INDIRECT("'"&amp;II.a.Inputs[#Headers]&amp;"'!Year.Vectors"), 0))</calculatedColumnFormula>
    </tableColumn>
    <tableColumn id="6" name="2020" dataDxfId="2739">
      <calculatedColumnFormula>INDEX(INDIRECT("'"&amp;II.a.Inputs[#Headers]&amp;"'!Year.Matrix"), MATCH("Subtotal."&amp;$A$2, INDIRECT("'"&amp;II.a.Inputs[#Headers]&amp;"'!Year.Modules"), 0), MATCH(II.a.Inputs[Vector], INDIRECT("'"&amp;II.a.Inputs[#Headers]&amp;"'!Year.Vectors"), 0))</calculatedColumnFormula>
    </tableColumn>
    <tableColumn id="7" name="2025" dataDxfId="2738">
      <calculatedColumnFormula>INDEX(INDIRECT("'"&amp;II.a.Inputs[#Headers]&amp;"'!Year.Matrix"), MATCH("Subtotal."&amp;$A$2, INDIRECT("'"&amp;II.a.Inputs[#Headers]&amp;"'!Year.Modules"), 0), MATCH(II.a.Inputs[Vector], INDIRECT("'"&amp;II.a.Inputs[#Headers]&amp;"'!Year.Vectors"), 0))</calculatedColumnFormula>
    </tableColumn>
    <tableColumn id="8" name="2030" dataDxfId="2737">
      <calculatedColumnFormula>INDEX(INDIRECT("'"&amp;II.a.Inputs[#Headers]&amp;"'!Year.Matrix"), MATCH("Subtotal."&amp;$A$2, INDIRECT("'"&amp;II.a.Inputs[#Headers]&amp;"'!Year.Modules"), 0), MATCH(II.a.Inputs[Vector], INDIRECT("'"&amp;II.a.Inputs[#Headers]&amp;"'!Year.Vectors"), 0))</calculatedColumnFormula>
    </tableColumn>
    <tableColumn id="9" name="2035" dataDxfId="2736">
      <calculatedColumnFormula>INDEX(INDIRECT("'"&amp;II.a.Inputs[#Headers]&amp;"'!Year.Matrix"), MATCH("Subtotal."&amp;$A$2, INDIRECT("'"&amp;II.a.Inputs[#Headers]&amp;"'!Year.Modules"), 0), MATCH(II.a.Inputs[Vector], INDIRECT("'"&amp;II.a.Inputs[#Headers]&amp;"'!Year.Vectors"), 0))</calculatedColumnFormula>
    </tableColumn>
    <tableColumn id="10" name="2040" dataDxfId="2735">
      <calculatedColumnFormula>INDEX(INDIRECT("'"&amp;II.a.Inputs[#Headers]&amp;"'!Year.Matrix"), MATCH("Subtotal."&amp;$A$2, INDIRECT("'"&amp;II.a.Inputs[#Headers]&amp;"'!Year.Modules"), 0), MATCH(II.a.Inputs[Vector], INDIRECT("'"&amp;II.a.Inputs[#Headers]&amp;"'!Year.Vectors"), 0))</calculatedColumnFormula>
    </tableColumn>
    <tableColumn id="11" name="2045" dataDxfId="2734">
      <calculatedColumnFormula>INDEX(INDIRECT("'"&amp;II.a.Inputs[#Headers]&amp;"'!Year.Matrix"), MATCH("Subtotal."&amp;$A$2, INDIRECT("'"&amp;II.a.Inputs[#Headers]&amp;"'!Year.Modules"), 0), MATCH(II.a.Inputs[Vector], INDIRECT("'"&amp;II.a.Inputs[#Headers]&amp;"'!Year.Vectors"), 0))</calculatedColumnFormula>
    </tableColumn>
    <tableColumn id="12" name="2050" dataDxfId="2733">
      <calculatedColumnFormula>INDEX(INDIRECT("'"&amp;II.a.Inputs[#Headers]&amp;"'!Year.Matrix"), MATCH("Subtotal."&amp;$A$2, INDIRECT("'"&amp;II.a.Inputs[#Headers]&amp;"'!Year.Modules"), 0), MATCH(II.a.Inputs[Vector],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2" headerRowBorderDxfId="2731">
  <autoFilter ref="C176:N179"/>
  <tableColumns count="12">
    <tableColumn id="1" name="Vector" dataDxfId="2730"/>
    <tableColumn id="2" name="Information type" dataDxfId="272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8" dataDxfId="2727" tableBorderDxfId="2726" dataCellStyle="Comma">
  <autoFilter ref="C123:N125"/>
  <tableColumns count="12">
    <tableColumn id="1" name="Vector" totalsRowLabel="Total" dataDxfId="2725" totalsRowDxfId="2724"/>
    <tableColumn id="2" name="Name" dataDxfId="2723" totalsRowDxfId="2722">
      <calculatedColumnFormula>INDEX(Vectors[Description], MATCH(III.a.1.Outputs[Vector], Vectors[Code], 0))</calculatedColumnFormula>
    </tableColumn>
    <tableColumn id="3" name="Notes" dataDxfId="2721" totalsRowDxfId="2720"/>
    <tableColumn id="4" name="2013" totalsRowFunction="sum" dataDxfId="2719" totalsRowDxfId="2718" dataCellStyle="Comma">
      <calculatedColumnFormula>-F$97</calculatedColumnFormula>
    </tableColumn>
    <tableColumn id="5" name="2015" totalsRowFunction="sum" dataDxfId="2717" totalsRowDxfId="2716" dataCellStyle="Comma">
      <calculatedColumnFormula>-G$97</calculatedColumnFormula>
    </tableColumn>
    <tableColumn id="6" name="2020" totalsRowFunction="sum" dataDxfId="2715" totalsRowDxfId="2714" dataCellStyle="Comma">
      <calculatedColumnFormula>-H$97</calculatedColumnFormula>
    </tableColumn>
    <tableColumn id="7" name="2025" totalsRowFunction="sum" dataDxfId="2713" totalsRowDxfId="2712" dataCellStyle="Comma">
      <calculatedColumnFormula>-I$97</calculatedColumnFormula>
    </tableColumn>
    <tableColumn id="8" name="2030" totalsRowFunction="sum" dataDxfId="2711" totalsRowDxfId="2710" dataCellStyle="Comma">
      <calculatedColumnFormula>-J$97</calculatedColumnFormula>
    </tableColumn>
    <tableColumn id="9" name="2035" totalsRowFunction="sum" dataDxfId="2709" totalsRowDxfId="2708" dataCellStyle="Comma">
      <calculatedColumnFormula>-K$97</calculatedColumnFormula>
    </tableColumn>
    <tableColumn id="10" name="2040" totalsRowFunction="sum" dataDxfId="2707" totalsRowDxfId="2706" dataCellStyle="Comma">
      <calculatedColumnFormula>-L$97</calculatedColumnFormula>
    </tableColumn>
    <tableColumn id="11" name="2045" totalsRowFunction="sum" dataDxfId="2705" totalsRowDxfId="2704" dataCellStyle="Comma">
      <calculatedColumnFormula>-M$97</calculatedColumnFormula>
    </tableColumn>
    <tableColumn id="12" name="2050" totalsRowFunction="sum" dataDxfId="2703" totalsRowDxfId="2702"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1" headerRowBorderDxfId="2700">
  <autoFilter ref="C133:N136"/>
  <tableColumns count="12">
    <tableColumn id="1" name="Vector" dataDxfId="2699"/>
    <tableColumn id="2" name="Information type" dataDxfId="2698"/>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7" dataDxfId="2696" tableBorderDxfId="2695" dataCellStyle="Comma">
  <autoFilter ref="C143:N145"/>
  <tableColumns count="12">
    <tableColumn id="1" name="Vector" totalsRowLabel="Total" dataDxfId="2694" totalsRowDxfId="2693"/>
    <tableColumn id="2" name="Name" dataDxfId="2692" totalsRowDxfId="2691">
      <calculatedColumnFormula>INDEX(Vectors[Description], MATCH(III.a.2.Outputs[Vector], Vectors[Code], 0))</calculatedColumnFormula>
    </tableColumn>
    <tableColumn id="3" name="Notes" dataDxfId="2690" totalsRowDxfId="2689"/>
    <tableColumn id="4" name="2013" totalsRowFunction="sum" dataDxfId="2688" totalsRowDxfId="2687" dataCellStyle="Comma">
      <calculatedColumnFormula>-F$117</calculatedColumnFormula>
    </tableColumn>
    <tableColumn id="5" name="2015" totalsRowFunction="sum" dataDxfId="2686" totalsRowDxfId="2685" dataCellStyle="Comma">
      <calculatedColumnFormula>-G$117</calculatedColumnFormula>
    </tableColumn>
    <tableColumn id="6" name="2020" totalsRowFunction="sum" dataDxfId="2684" totalsRowDxfId="2683" dataCellStyle="Comma">
      <calculatedColumnFormula>-H$117</calculatedColumnFormula>
    </tableColumn>
    <tableColumn id="7" name="2025" totalsRowFunction="sum" dataDxfId="2682" totalsRowDxfId="2681" dataCellStyle="Comma">
      <calculatedColumnFormula>-I$117</calculatedColumnFormula>
    </tableColumn>
    <tableColumn id="8" name="2030" totalsRowFunction="sum" dataDxfId="2680" totalsRowDxfId="2679" dataCellStyle="Comma">
      <calculatedColumnFormula>-J$117</calculatedColumnFormula>
    </tableColumn>
    <tableColumn id="9" name="2035" totalsRowFunction="sum" dataDxfId="2678" totalsRowDxfId="2677" dataCellStyle="Comma">
      <calculatedColumnFormula>-K$117</calculatedColumnFormula>
    </tableColumn>
    <tableColumn id="10" name="2040" totalsRowFunction="sum" dataDxfId="2676" totalsRowDxfId="2675" dataCellStyle="Comma">
      <calculatedColumnFormula>-L$117</calculatedColumnFormula>
    </tableColumn>
    <tableColumn id="11" name="2045" totalsRowFunction="sum" dataDxfId="2674" totalsRowDxfId="2673" dataCellStyle="Comma">
      <calculatedColumnFormula>-M$117</calculatedColumnFormula>
    </tableColumn>
    <tableColumn id="12" name="2050" totalsRowFunction="sum" dataDxfId="2672" totalsRowDxfId="2671"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0" headerRowBorderDxfId="2669">
  <autoFilter ref="C153:N156"/>
  <tableColumns count="12">
    <tableColumn id="1" name="Vector" dataDxfId="2668"/>
    <tableColumn id="2" name="Information type"/>
    <tableColumn id="3" name="Notes"/>
    <tableColumn id="4" name="2013" dataDxfId="266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6" dataDxfId="2665" dataCellStyle="Comma">
  <autoFilter ref="C110:N112"/>
  <tableColumns count="12">
    <tableColumn id="1" name="Vector" totalsRowLabel="Total" dataDxfId="2664" totalsRowDxfId="2663"/>
    <tableColumn id="2" name="Name" dataDxfId="2662" totalsRowDxfId="2661"/>
    <tableColumn id="3" name="Notes" dataDxfId="2660" totalsRowDxfId="2659"/>
    <tableColumn id="4" name="2013" totalsRowFunction="sum" dataDxfId="2658" totalsRowDxfId="2657" dataCellStyle="Comma 3"/>
    <tableColumn id="5" name="2015" totalsRowFunction="sum" dataDxfId="2656" totalsRowDxfId="2655" dataCellStyle="Comma 3"/>
    <tableColumn id="6" name="2020" totalsRowFunction="sum" dataDxfId="2654" totalsRowDxfId="2653" dataCellStyle="Comma 3"/>
    <tableColumn id="7" name="2025" totalsRowFunction="sum" dataDxfId="2652" totalsRowDxfId="2651" dataCellStyle="Comma 3"/>
    <tableColumn id="8" name="2030" totalsRowFunction="sum" dataDxfId="2650" totalsRowDxfId="2649" dataCellStyle="Comma 3"/>
    <tableColumn id="9" name="2035" totalsRowFunction="sum" dataDxfId="2648" totalsRowDxfId="2647" dataCellStyle="Comma 3"/>
    <tableColumn id="10" name="2040" totalsRowFunction="sum" dataDxfId="2646" totalsRowDxfId="2645" dataCellStyle="Comma 3"/>
    <tableColumn id="11" name="2045" totalsRowFunction="sum" dataDxfId="2644" totalsRowDxfId="2643" dataCellStyle="Comma 3"/>
    <tableColumn id="12" name="2050" totalsRowFunction="sum" dataDxfId="2642" totalsRowDxfId="2641"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0" dataDxfId="2638" headerRowBorderDxfId="2639" dataCellStyle="Comma">
  <autoFilter ref="C120:N124"/>
  <tableColumns count="12">
    <tableColumn id="1" name="Vector" dataDxfId="2637"/>
    <tableColumn id="2" name="Information type" dataDxfId="2636"/>
    <tableColumn id="3" name="Notes" dataDxfId="2635"/>
    <tableColumn id="4" name="2013" dataDxfId="2634" dataCellStyle="Comma 3"/>
    <tableColumn id="5" name="2015" dataDxfId="2633" dataCellStyle="Comma 3"/>
    <tableColumn id="6" name="2020" dataDxfId="2632" dataCellStyle="Comma 3"/>
    <tableColumn id="7" name="2025" dataDxfId="2631" dataCellStyle="Comma 3"/>
    <tableColumn id="8" name="2030" dataDxfId="2630" dataCellStyle="Comma 3"/>
    <tableColumn id="9" name="2035" dataDxfId="2629" dataCellStyle="Comma 3"/>
    <tableColumn id="10" name="2040" dataDxfId="2628" dataCellStyle="Comma 3"/>
    <tableColumn id="11" name="2045" dataDxfId="2627" dataCellStyle="Comma 3"/>
    <tableColumn id="12" name="2050" dataDxfId="2626"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5" dataDxfId="2624" tableBorderDxfId="2623" dataCellStyle="Comma">
  <autoFilter ref="C213:N216"/>
  <tableColumns count="12">
    <tableColumn id="1" name="Vector" totalsRowLabel="Total" dataDxfId="2622" totalsRowDxfId="2621"/>
    <tableColumn id="2" name="Name" dataDxfId="2620" totalsRowDxfId="2619"/>
    <tableColumn id="3" name="Notes" dataDxfId="2618" totalsRowDxfId="2617"/>
    <tableColumn id="4" name="2013" totalsRowFunction="sum" dataDxfId="2616" totalsRowDxfId="2615" dataCellStyle="Comma"/>
    <tableColumn id="5" name="2015" totalsRowFunction="sum" dataDxfId="2614" totalsRowDxfId="2613" dataCellStyle="Comma"/>
    <tableColumn id="6" name="2020" totalsRowFunction="sum" dataDxfId="2612" totalsRowDxfId="2611" dataCellStyle="Comma"/>
    <tableColumn id="7" name="2025" totalsRowFunction="sum" dataDxfId="2610" totalsRowDxfId="2609" dataCellStyle="Comma"/>
    <tableColumn id="8" name="2030" totalsRowFunction="sum" dataDxfId="2608" totalsRowDxfId="2607" dataCellStyle="Comma"/>
    <tableColumn id="9" name="2035" totalsRowFunction="sum" dataDxfId="2606" totalsRowDxfId="2605" dataCellStyle="Comma"/>
    <tableColumn id="10" name="2040" totalsRowFunction="sum" dataDxfId="2604" totalsRowDxfId="2603" dataCellStyle="Comma"/>
    <tableColumn id="11" name="2045" totalsRowFunction="sum" dataDxfId="2602" totalsRowDxfId="2601" dataCellStyle="Comma"/>
    <tableColumn id="12" name="2050" totalsRowFunction="sum" dataDxfId="2600" totalsRowDxfId="2599"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8" dataDxfId="2597" dataCellStyle="Comma">
  <autoFilter ref="C221:N224"/>
  <tableColumns count="12">
    <tableColumn id="1" name="Vector" totalsRowLabel="Total" dataDxfId="2596" totalsRowDxfId="2595"/>
    <tableColumn id="2" name="Name" dataDxfId="2594" totalsRowDxfId="2593">
      <calculatedColumnFormula>INDEX(Vectors[Description], MATCH($C222, Vectors[Code], 0))</calculatedColumnFormula>
    </tableColumn>
    <tableColumn id="3" name="Notes" dataDxfId="2592" totalsRowDxfId="2591"/>
    <tableColumn id="4" name="2013" totalsRowFunction="sum" dataDxfId="2590" totalsRowDxfId="2589" dataCellStyle="Comma"/>
    <tableColumn id="5" name="2015" totalsRowFunction="sum" dataDxfId="2588" totalsRowDxfId="2587" dataCellStyle="Comma"/>
    <tableColumn id="6" name="2020" totalsRowFunction="sum" dataDxfId="2586" totalsRowDxfId="2585" dataCellStyle="Comma"/>
    <tableColumn id="7" name="2025" totalsRowFunction="sum" dataDxfId="2584" totalsRowDxfId="2583" dataCellStyle="Comma"/>
    <tableColumn id="8" name="2030" totalsRowFunction="sum" dataDxfId="2582" totalsRowDxfId="2581" dataCellStyle="Comma"/>
    <tableColumn id="9" name="2035" totalsRowFunction="sum" dataDxfId="2580" totalsRowDxfId="2579" dataCellStyle="Comma"/>
    <tableColumn id="10" name="2040" totalsRowFunction="sum" dataDxfId="2578" totalsRowDxfId="2577" dataCellStyle="Comma"/>
    <tableColumn id="11" name="2045" totalsRowFunction="sum" dataDxfId="2576" totalsRowDxfId="2575" dataCellStyle="Comma"/>
    <tableColumn id="12" name="2050" totalsRowFunction="sum" dataDxfId="2574" totalsRowDxfId="2573"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2" dataDxfId="2571" dataCellStyle="Comma">
  <autoFilter ref="C229:N232"/>
  <tableColumns count="12">
    <tableColumn id="1" name="Vector" totalsRowLabel="Total" dataDxfId="2570" totalsRowDxfId="2569"/>
    <tableColumn id="2" name="Name" dataDxfId="2568" totalsRowDxfId="2567">
      <calculatedColumnFormula>INDEX(Vectors[Description], MATCH($C230, Vectors[Code], 0))</calculatedColumnFormula>
    </tableColumn>
    <tableColumn id="3" name="Notes" dataDxfId="2566" totalsRowDxfId="2565"/>
    <tableColumn id="4" name="2013" totalsRowFunction="sum" dataDxfId="2564" totalsRowDxfId="2563" dataCellStyle="Comma"/>
    <tableColumn id="5" name="2015" totalsRowFunction="sum" dataDxfId="2562" totalsRowDxfId="2561" dataCellStyle="Comma"/>
    <tableColumn id="6" name="2020" totalsRowFunction="sum" dataDxfId="2560" totalsRowDxfId="2559" dataCellStyle="Comma"/>
    <tableColumn id="7" name="2025" totalsRowFunction="sum" dataDxfId="2558" totalsRowDxfId="2557" dataCellStyle="Comma"/>
    <tableColumn id="8" name="2030" totalsRowFunction="sum" dataDxfId="2556" totalsRowDxfId="2555" dataCellStyle="Comma"/>
    <tableColumn id="9" name="2035" totalsRowFunction="sum" dataDxfId="2554" totalsRowDxfId="2553" dataCellStyle="Comma"/>
    <tableColumn id="10" name="2040" totalsRowFunction="sum" dataDxfId="2552" totalsRowDxfId="2551" dataCellStyle="Comma"/>
    <tableColumn id="11" name="2045" totalsRowFunction="sum" dataDxfId="2550" totalsRowDxfId="2549" dataCellStyle="Comma"/>
    <tableColumn id="12" name="2050" totalsRowFunction="sum" dataDxfId="2548" totalsRowDxfId="2547"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6" dataDxfId="2545" dataCellStyle="Comma">
  <autoFilter ref="C237:N240"/>
  <tableColumns count="12">
    <tableColumn id="1" name="Vector" totalsRowLabel="Total" dataDxfId="2544" totalsRowDxfId="2543"/>
    <tableColumn id="2" name="Name" dataDxfId="2542" totalsRowDxfId="2541">
      <calculatedColumnFormula>INDEX(Vectors[Description], MATCH($C238, Vectors[Code], 0))</calculatedColumnFormula>
    </tableColumn>
    <tableColumn id="3" name="Notes" dataDxfId="2540" totalsRowDxfId="2539"/>
    <tableColumn id="4" name="2013" totalsRowFunction="sum" dataDxfId="2538" totalsRowDxfId="2537" dataCellStyle="Comma"/>
    <tableColumn id="5" name="2015" totalsRowFunction="sum" dataDxfId="2536" totalsRowDxfId="2535" dataCellStyle="Comma"/>
    <tableColumn id="6" name="2020" totalsRowFunction="sum" dataDxfId="2534" totalsRowDxfId="2533" dataCellStyle="Comma"/>
    <tableColumn id="7" name="2025" totalsRowFunction="sum" dataDxfId="2532" totalsRowDxfId="2531" dataCellStyle="Comma"/>
    <tableColumn id="8" name="2030" totalsRowFunction="sum" dataDxfId="2530" totalsRowDxfId="2529" dataCellStyle="Comma"/>
    <tableColumn id="9" name="2035" totalsRowFunction="sum" dataDxfId="2528" totalsRowDxfId="2527" dataCellStyle="Comma"/>
    <tableColumn id="10" name="2040" totalsRowFunction="sum" dataDxfId="2526" totalsRowDxfId="2525" dataCellStyle="Comma"/>
    <tableColumn id="11" name="2045" totalsRowFunction="sum" dataDxfId="2524" totalsRowDxfId="2523" dataCellStyle="Comma"/>
    <tableColumn id="12" name="2050" totalsRowFunction="sum" dataDxfId="2522" totalsRowDxfId="2521"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0" headerRowBorderDxfId="2519">
  <autoFilter ref="C248:N251"/>
  <tableColumns count="12">
    <tableColumn id="1" name="Vector" dataDxfId="2518"/>
    <tableColumn id="2" name="Information type"/>
    <tableColumn id="3" name="Notes"/>
    <tableColumn id="4" name="2013" dataDxfId="251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6" dataDxfId="2514" headerRowBorderDxfId="2515" dataCellStyle="Comma">
  <autoFilter ref="C255:N258"/>
  <tableColumns count="12">
    <tableColumn id="1" name="Vector" dataDxfId="2513"/>
    <tableColumn id="2" name="Information type"/>
    <tableColumn id="3" name="Notes"/>
    <tableColumn id="4" name="2013" dataDxfId="2512" dataCellStyle="Comma"/>
    <tableColumn id="5" name="2015" dataDxfId="2511" dataCellStyle="Comma"/>
    <tableColumn id="6" name="2020" dataDxfId="2510" dataCellStyle="Comma"/>
    <tableColumn id="7" name="2025" dataDxfId="2509" dataCellStyle="Comma"/>
    <tableColumn id="8" name="2030" dataDxfId="2508" dataCellStyle="Comma"/>
    <tableColumn id="9" name="2035" dataDxfId="2507" dataCellStyle="Comma"/>
    <tableColumn id="10" name="2040" dataDxfId="2506" dataCellStyle="Comma"/>
    <tableColumn id="11" name="2045" dataDxfId="2505" dataCellStyle="Comma"/>
    <tableColumn id="12" name="2050" dataDxfId="2504"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3" dataDxfId="2501" headerRowBorderDxfId="2502" dataCellStyle="Comma">
  <autoFilter ref="C262:N265"/>
  <tableColumns count="12">
    <tableColumn id="1" name="Vector" dataDxfId="2500"/>
    <tableColumn id="2" name="Information type"/>
    <tableColumn id="3" name="Notes"/>
    <tableColumn id="4" name="2013" dataDxfId="2499" dataCellStyle="Comma"/>
    <tableColumn id="5" name="2015" dataDxfId="2498" dataCellStyle="Comma"/>
    <tableColumn id="6" name="2020" dataDxfId="2497" dataCellStyle="Comma"/>
    <tableColumn id="7" name="2025" dataDxfId="2496" dataCellStyle="Comma"/>
    <tableColumn id="8" name="2030" dataDxfId="2495" dataCellStyle="Comma"/>
    <tableColumn id="9" name="2035" dataDxfId="2494" dataCellStyle="Comma"/>
    <tableColumn id="10" name="2040" dataDxfId="2493" dataCellStyle="Comma"/>
    <tableColumn id="11" name="2045" dataDxfId="2492" dataCellStyle="Comma"/>
    <tableColumn id="12" name="2050" dataDxfId="2491"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0" dataDxfId="2489" dataCellStyle="Comma">
  <autoFilter ref="C108:N110"/>
  <tableColumns count="12">
    <tableColumn id="1" name="Vector" totalsRowLabel="Total" dataDxfId="2488" totalsRowDxfId="2487"/>
    <tableColumn id="2" name="Name" dataDxfId="2486" totalsRowDxfId="2485"/>
    <tableColumn id="3" name="Notes" dataDxfId="2484" totalsRowDxfId="2483"/>
    <tableColumn id="4" name="2013" totalsRowFunction="min" dataDxfId="2482" totalsRowDxfId="2481" dataCellStyle="Comma 3"/>
    <tableColumn id="5" name="2015" totalsRowFunction="min" dataDxfId="2480" totalsRowDxfId="2479" dataCellStyle="Comma 3"/>
    <tableColumn id="6" name="2020" totalsRowFunction="min" dataDxfId="2478" totalsRowDxfId="2477" dataCellStyle="Comma 3"/>
    <tableColumn id="7" name="2025" totalsRowFunction="min" dataDxfId="2476" totalsRowDxfId="2475" dataCellStyle="Comma 3"/>
    <tableColumn id="8" name="2030" totalsRowFunction="min" dataDxfId="2474" totalsRowDxfId="2473" dataCellStyle="Comma 3"/>
    <tableColumn id="9" name="2035" totalsRowFunction="min" dataDxfId="2472" totalsRowDxfId="2471" dataCellStyle="Comma 3"/>
    <tableColumn id="10" name="2040" totalsRowFunction="min" dataDxfId="2470" totalsRowDxfId="2469" dataCellStyle="Comma 3"/>
    <tableColumn id="11" name="2045" totalsRowFunction="min" dataDxfId="2468" totalsRowDxfId="2467" dataCellStyle="Comma 3"/>
    <tableColumn id="12" name="2050" totalsRowFunction="min" dataDxfId="2466" totalsRowDxfId="2465"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4" dataDxfId="2462" headerRowBorderDxfId="2463" dataCellStyle="Comma">
  <autoFilter ref="C118:N120"/>
  <tableColumns count="12">
    <tableColumn id="1" name="Vector" dataDxfId="2461"/>
    <tableColumn id="2" name="Information type"/>
    <tableColumn id="3" name="Notes" dataDxfId="2460"/>
    <tableColumn id="4" name="2013" dataDxfId="2459" dataCellStyle="Comma 3"/>
    <tableColumn id="5" name="2015" dataDxfId="2458" dataCellStyle="Comma 3"/>
    <tableColumn id="6" name="2020" dataDxfId="2457" dataCellStyle="Comma 3"/>
    <tableColumn id="7" name="2025" dataDxfId="2456" dataCellStyle="Comma 3"/>
    <tableColumn id="8" name="2030" dataDxfId="2455" dataCellStyle="Comma 3"/>
    <tableColumn id="9" name="2035" dataDxfId="2454" dataCellStyle="Comma 3"/>
    <tableColumn id="10" name="2040" dataDxfId="2453" dataCellStyle="Comma 3"/>
    <tableColumn id="11" name="2045" dataDxfId="2452" dataCellStyle="Comma 3"/>
    <tableColumn id="12" name="2050" dataDxfId="2451"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0" dataDxfId="2449" dataCellStyle="Comma 3">
  <autoFilter ref="C100:N104"/>
  <tableColumns count="12">
    <tableColumn id="1" name="Vector" totalsRowLabel="Total" dataDxfId="2448" totalsRowDxfId="2447"/>
    <tableColumn id="2" name="Name" dataDxfId="2446" totalsRowDxfId="2445">
      <calculatedColumnFormula>INDEX(Vectors[Description], MATCH(IV.b.Outputs[Vector], Vectors[Code], 0))</calculatedColumnFormula>
    </tableColumn>
    <tableColumn id="3" name="Notes" dataDxfId="2444" totalsRowDxfId="2443"/>
    <tableColumn id="4" name="2013" totalsRowFunction="min" dataDxfId="2442" totalsRowDxfId="2441" dataCellStyle="Comma 3"/>
    <tableColumn id="5" name="2015" totalsRowFunction="min" dataDxfId="2440" totalsRowDxfId="2439" dataCellStyle="Comma 3"/>
    <tableColumn id="6" name="2020" totalsRowFunction="min" dataDxfId="2438" totalsRowDxfId="2437" dataCellStyle="Comma 3"/>
    <tableColumn id="7" name="2025" totalsRowFunction="min" dataDxfId="2436" totalsRowDxfId="2435" dataCellStyle="Comma 3"/>
    <tableColumn id="8" name="2030" totalsRowFunction="min" dataDxfId="2434" totalsRowDxfId="2433" dataCellStyle="Comma 3"/>
    <tableColumn id="9" name="2035" totalsRowFunction="min" dataDxfId="2432" totalsRowDxfId="2431" dataCellStyle="Comma 3"/>
    <tableColumn id="10" name="2040" totalsRowFunction="min" dataDxfId="2430" totalsRowDxfId="2429" dataCellStyle="Comma 3"/>
    <tableColumn id="11" name="2045" totalsRowFunction="min" dataDxfId="2428" totalsRowDxfId="2427" dataCellStyle="Comma 3"/>
    <tableColumn id="12" name="2050" totalsRowFunction="min" dataDxfId="2426" totalsRowDxfId="2425"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4" dataDxfId="2422" headerRowBorderDxfId="2423" dataCellStyle="Comma 3">
  <autoFilter ref="C112:N114"/>
  <tableColumns count="12">
    <tableColumn id="1" name="Vector" dataDxfId="2421"/>
    <tableColumn id="2" name="Information type"/>
    <tableColumn id="3" name="Notes" dataDxfId="2420"/>
    <tableColumn id="4" name="2013" dataDxfId="2419" dataCellStyle="Comma 3"/>
    <tableColumn id="5" name="2015" dataDxfId="2418" dataCellStyle="Comma 3"/>
    <tableColumn id="6" name="2020" dataDxfId="2417" dataCellStyle="Comma 3"/>
    <tableColumn id="7" name="2025" dataDxfId="2416" dataCellStyle="Comma 3"/>
    <tableColumn id="8" name="2030" dataDxfId="2415" dataCellStyle="Comma 3"/>
    <tableColumn id="9" name="2035" dataDxfId="2414" dataCellStyle="Comma 3"/>
    <tableColumn id="10" name="2040" dataDxfId="2413" dataCellStyle="Comma 3"/>
    <tableColumn id="11" name="2045" dataDxfId="2412" dataCellStyle="Comma 3"/>
    <tableColumn id="12" name="2050" dataDxfId="2411"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0" dataDxfId="2409" dataCellStyle="Comma">
  <autoFilter ref="C102:N104"/>
  <tableColumns count="12">
    <tableColumn id="1" name="Vector" totalsRowLabel="Total" dataDxfId="2408" totalsRowDxfId="2407"/>
    <tableColumn id="2" name="Name" dataDxfId="2406" totalsRowDxfId="2405">
      <calculatedColumnFormula>INDEX(Vectors[Description], MATCH($C103, Vectors[Code], 0))</calculatedColumnFormula>
    </tableColumn>
    <tableColumn id="3" name="Notes" dataDxfId="2404" totalsRowDxfId="2403"/>
    <tableColumn id="4" name="2013" totalsRowFunction="sum" dataDxfId="2402" totalsRowDxfId="2401" dataCellStyle="Comma">
      <calculatedColumnFormula>-F72</calculatedColumnFormula>
    </tableColumn>
    <tableColumn id="5" name="2015" totalsRowFunction="sum" dataDxfId="2400" totalsRowDxfId="2399" dataCellStyle="Comma">
      <calculatedColumnFormula>-G72</calculatedColumnFormula>
    </tableColumn>
    <tableColumn id="6" name="2020" totalsRowFunction="sum" dataDxfId="2398" totalsRowDxfId="2397" dataCellStyle="Comma">
      <calculatedColumnFormula>-H72</calculatedColumnFormula>
    </tableColumn>
    <tableColumn id="7" name="2025" totalsRowFunction="sum" dataDxfId="2396" totalsRowDxfId="2395" dataCellStyle="Comma">
      <calculatedColumnFormula>-I72</calculatedColumnFormula>
    </tableColumn>
    <tableColumn id="8" name="2030" totalsRowFunction="sum" dataDxfId="2394" totalsRowDxfId="2393" dataCellStyle="Comma">
      <calculatedColumnFormula>-J72</calculatedColumnFormula>
    </tableColumn>
    <tableColumn id="9" name="2035" totalsRowFunction="sum" dataDxfId="2392" totalsRowDxfId="2391" dataCellStyle="Comma">
      <calculatedColumnFormula>-K72</calculatedColumnFormula>
    </tableColumn>
    <tableColumn id="10" name="2040" totalsRowFunction="sum" dataDxfId="2390" totalsRowDxfId="2389" dataCellStyle="Comma">
      <calculatedColumnFormula>-L72</calculatedColumnFormula>
    </tableColumn>
    <tableColumn id="11" name="2045" totalsRowFunction="sum" dataDxfId="2388" totalsRowDxfId="2387" dataCellStyle="Comma">
      <calculatedColumnFormula>-M72</calculatedColumnFormula>
    </tableColumn>
    <tableColumn id="12" name="2050" totalsRowFunction="sum" dataDxfId="2386" totalsRowDxfId="2385"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4" headerRowBorderDxfId="2383">
  <autoFilter ref="C112:N115"/>
  <tableColumns count="12">
    <tableColumn id="1" name="Vector" dataDxfId="2382"/>
    <tableColumn id="2" name="Information type"/>
    <tableColumn id="3" name="Notes"/>
    <tableColumn id="4" name="2013" dataDxfId="2381"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0" dataDxfId="2379" dataCellStyle="Comma">
  <autoFilter ref="C14:N19"/>
  <tableColumns count="12">
    <tableColumn id="1" name="Vector" dataDxfId="2378"/>
    <tableColumn id="2" name="Name" dataDxfId="2377"/>
    <tableColumn id="3" name="Notes" dataDxfId="2376"/>
    <tableColumn id="4" name="2013" dataDxfId="2375" dataCellStyle="Comma 3">
      <calculatedColumnFormula>INDEX(INDIRECT("'"&amp;V.a.Inputs[#Headers]&amp;"'!Year.Matrix"), MATCH("Subtotal."&amp;$A$2, INDIRECT("'"&amp;V.a.Inputs[#Headers]&amp;"'!Year.Modules"), 0), MATCH(V.a.Inputs[Vector], INDIRECT("'"&amp;V.a.Inputs[#Headers]&amp;"'!Year.Vectors"), 0))</calculatedColumnFormula>
    </tableColumn>
    <tableColumn id="5" name="2015" dataDxfId="2374" dataCellStyle="Comma 3">
      <calculatedColumnFormula>INDEX(INDIRECT("'"&amp;V.a.Inputs[#Headers]&amp;"'!Year.Matrix"), MATCH("Subtotal."&amp;$A$2, INDIRECT("'"&amp;V.a.Inputs[#Headers]&amp;"'!Year.Modules"), 0), MATCH(V.a.Inputs[Vector], INDIRECT("'"&amp;V.a.Inputs[#Headers]&amp;"'!Year.Vectors"), 0))</calculatedColumnFormula>
    </tableColumn>
    <tableColumn id="6" name="2020" dataDxfId="2373" dataCellStyle="Comma 3">
      <calculatedColumnFormula>INDEX(INDIRECT("'"&amp;V.a.Inputs[#Headers]&amp;"'!Year.Matrix"), MATCH("Subtotal."&amp;$A$2, INDIRECT("'"&amp;V.a.Inputs[#Headers]&amp;"'!Year.Modules"), 0), MATCH(V.a.Inputs[Vector], INDIRECT("'"&amp;V.a.Inputs[#Headers]&amp;"'!Year.Vectors"), 0))</calculatedColumnFormula>
    </tableColumn>
    <tableColumn id="7" name="2025" dataDxfId="2372" dataCellStyle="Comma 3">
      <calculatedColumnFormula>INDEX(INDIRECT("'"&amp;V.a.Inputs[#Headers]&amp;"'!Year.Matrix"), MATCH("Subtotal."&amp;$A$2, INDIRECT("'"&amp;V.a.Inputs[#Headers]&amp;"'!Year.Modules"), 0), MATCH(V.a.Inputs[Vector], INDIRECT("'"&amp;V.a.Inputs[#Headers]&amp;"'!Year.Vectors"), 0))</calculatedColumnFormula>
    </tableColumn>
    <tableColumn id="8" name="2030" dataDxfId="2371" dataCellStyle="Comma 3">
      <calculatedColumnFormula>INDEX(INDIRECT("'"&amp;V.a.Inputs[#Headers]&amp;"'!Year.Matrix"), MATCH("Subtotal."&amp;$A$2, INDIRECT("'"&amp;V.a.Inputs[#Headers]&amp;"'!Year.Modules"), 0), MATCH(V.a.Inputs[Vector], INDIRECT("'"&amp;V.a.Inputs[#Headers]&amp;"'!Year.Vectors"), 0))</calculatedColumnFormula>
    </tableColumn>
    <tableColumn id="9" name="2035" dataDxfId="2370" dataCellStyle="Comma 3">
      <calculatedColumnFormula>INDEX(INDIRECT("'"&amp;V.a.Inputs[#Headers]&amp;"'!Year.Matrix"), MATCH("Subtotal."&amp;$A$2, INDIRECT("'"&amp;V.a.Inputs[#Headers]&amp;"'!Year.Modules"), 0), MATCH(V.a.Inputs[Vector], INDIRECT("'"&amp;V.a.Inputs[#Headers]&amp;"'!Year.Vectors"), 0))</calculatedColumnFormula>
    </tableColumn>
    <tableColumn id="10" name="2040" dataDxfId="2369" dataCellStyle="Comma 3">
      <calculatedColumnFormula>INDEX(INDIRECT("'"&amp;V.a.Inputs[#Headers]&amp;"'!Year.Matrix"), MATCH("Subtotal."&amp;$A$2, INDIRECT("'"&amp;V.a.Inputs[#Headers]&amp;"'!Year.Modules"), 0), MATCH(V.a.Inputs[Vector], INDIRECT("'"&amp;V.a.Inputs[#Headers]&amp;"'!Year.Vectors"), 0))</calculatedColumnFormula>
    </tableColumn>
    <tableColumn id="11" name="2045" dataDxfId="2368" dataCellStyle="Comma 3">
      <calculatedColumnFormula>INDEX(INDIRECT("'"&amp;V.a.Inputs[#Headers]&amp;"'!Year.Matrix"), MATCH("Subtotal."&amp;$A$2, INDIRECT("'"&amp;V.a.Inputs[#Headers]&amp;"'!Year.Modules"), 0), MATCH(V.a.Inputs[Vector], INDIRECT("'"&amp;V.a.Inputs[#Headers]&amp;"'!Year.Vectors"), 0))</calculatedColumnFormula>
    </tableColumn>
    <tableColumn id="12" name="2050" dataDxfId="2367" dataCellStyle="Comma 3">
      <calculatedColumnFormula>INDEX(INDIRECT("'"&amp;V.a.Inputs[#Headers]&amp;"'!Year.Matrix"), MATCH("Subtotal."&amp;$A$2, INDIRECT("'"&amp;V.a.Inputs[#Headers]&amp;"'!Year.Modules"), 0), MATCH(V.a.Inputs[Vector],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6" dataDxfId="2365" dataCellStyle="Comma">
  <autoFilter ref="C23:N26"/>
  <tableColumns count="12">
    <tableColumn id="1" name="Vector"/>
    <tableColumn id="2" name="Name"/>
    <tableColumn id="3" name="Notes"/>
    <tableColumn id="4" name="2013" dataDxfId="2364" dataCellStyle="Comma"/>
    <tableColumn id="5" name="2015" dataDxfId="2363"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6" name="2020" dataDxfId="2362"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7" name="2025" dataDxfId="2361"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8" name="2030" dataDxfId="2360"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9" name="2035" dataDxfId="2359"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0" name="2040" dataDxfId="2358"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1" name="2045" dataDxfId="2357"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2" name="2050" dataDxfId="2356"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5" dataDxfId="2354" dataCellStyle="Comma">
  <autoFilter ref="C382:N391"/>
  <tableColumns count="12">
    <tableColumn id="1" name="Vector" totalsRowLabel="Total" dataDxfId="2353" totalsRowDxfId="2352"/>
    <tableColumn id="2" name="Name" dataDxfId="2351" totalsRowDxfId="2350">
      <calculatedColumnFormula>INDEX(Vectors[Description], MATCH(V.a.Outputs[Vector], Vectors[Code], 0))</calculatedColumnFormula>
    </tableColumn>
    <tableColumn id="3" name="Notes" dataDxfId="2349" totalsRowDxfId="2348"/>
    <tableColumn id="4" name="2013" totalsRowFunction="sum" dataDxfId="2347" totalsRowDxfId="2346" dataCellStyle="Comma"/>
    <tableColumn id="5" name="2015" totalsRowFunction="sum" dataDxfId="2345" totalsRowDxfId="2344" dataCellStyle="Comma"/>
    <tableColumn id="6" name="2020" totalsRowFunction="sum" dataDxfId="2343" totalsRowDxfId="2342" dataCellStyle="Comma"/>
    <tableColumn id="7" name="2025" totalsRowFunction="sum" dataDxfId="2341" totalsRowDxfId="2340" dataCellStyle="Comma"/>
    <tableColumn id="8" name="2030" totalsRowFunction="sum" dataDxfId="2339" totalsRowDxfId="2338" dataCellStyle="Comma"/>
    <tableColumn id="9" name="2035" totalsRowFunction="sum" dataDxfId="2337" totalsRowDxfId="2336" dataCellStyle="Comma"/>
    <tableColumn id="10" name="2040" totalsRowFunction="sum" dataDxfId="2335" totalsRowDxfId="2334" dataCellStyle="Comma"/>
    <tableColumn id="11" name="2045" totalsRowFunction="sum" dataDxfId="2333" totalsRowDxfId="2332" dataCellStyle="Comma"/>
    <tableColumn id="12" name="2050" totalsRowFunction="sum" dataDxfId="2331" totalsRowDxfId="2330"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29" dataDxfId="2328" dataCellStyle="Comma">
  <autoFilter ref="B315:N318"/>
  <tableColumns count="13">
    <tableColumn id="1" name="Vector" dataDxfId="2327"/>
    <tableColumn id="2" name="Exports of biomass (supply - available)" dataDxfId="2326"/>
    <tableColumn id="3" name="Note" dataDxfId="2325"/>
    <tableColumn id="4" name="Units" dataDxfId="2324">
      <calculatedColumnFormula>Preferences.EnergyUnits</calculatedColumnFormula>
    </tableColumn>
    <tableColumn id="5" name="2013" dataDxfId="2323" dataCellStyle="Comma">
      <calculatedColumnFormula>F306-F311</calculatedColumnFormula>
    </tableColumn>
    <tableColumn id="6" name="2015" dataDxfId="2322" dataCellStyle="Comma">
      <calculatedColumnFormula>G306-G311</calculatedColumnFormula>
    </tableColumn>
    <tableColumn id="7" name="2020" dataDxfId="2321" dataCellStyle="Comma">
      <calculatedColumnFormula>H306-H311</calculatedColumnFormula>
    </tableColumn>
    <tableColumn id="8" name="2025" dataDxfId="2320" dataCellStyle="Comma">
      <calculatedColumnFormula>I306-I311</calculatedColumnFormula>
    </tableColumn>
    <tableColumn id="9" name="2030" dataDxfId="2319" dataCellStyle="Comma">
      <calculatedColumnFormula>J306-J311</calculatedColumnFormula>
    </tableColumn>
    <tableColumn id="10" name="2035" dataDxfId="2318" dataCellStyle="Comma">
      <calculatedColumnFormula>K306-K311</calculatedColumnFormula>
    </tableColumn>
    <tableColumn id="11" name="2040" dataDxfId="2317" dataCellStyle="Comma">
      <calculatedColumnFormula>L306-L311</calculatedColumnFormula>
    </tableColumn>
    <tableColumn id="12" name="2045" dataDxfId="2316" dataCellStyle="Comma">
      <calculatedColumnFormula>M306-M311</calculatedColumnFormula>
    </tableColumn>
    <tableColumn id="13" name="2050" dataDxfId="2315"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4" dataDxfId="2312" headerRowBorderDxfId="2313" dataCellStyle="Comma">
  <autoFilter ref="C400:N401"/>
  <tableColumns count="12">
    <tableColumn id="1" name="GHG" totalsRowLabel="Total" dataDxfId="2311" totalsRowDxfId="2310"/>
    <tableColumn id="2" name="IPCC Sector" dataDxfId="2309" totalsRowDxfId="2308"/>
    <tableColumn id="3" name="Notes" dataDxfId="2307" totalsRowDxfId="2306" dataCellStyle="Comma"/>
    <tableColumn id="4" name="2013" totalsRowFunction="sum" dataDxfId="2305" totalsRowDxfId="2304" dataCellStyle="Comma">
      <calculatedColumnFormula>-F322</calculatedColumnFormula>
    </tableColumn>
    <tableColumn id="5" name="2015" totalsRowFunction="sum" dataDxfId="2303" totalsRowDxfId="2302" dataCellStyle="Comma">
      <calculatedColumnFormula>-G322</calculatedColumnFormula>
    </tableColumn>
    <tableColumn id="6" name="2020" totalsRowFunction="sum" dataDxfId="2301" totalsRowDxfId="2300" dataCellStyle="Comma">
      <calculatedColumnFormula>-H322</calculatedColumnFormula>
    </tableColumn>
    <tableColumn id="7" name="2025" totalsRowFunction="sum" dataDxfId="2299" totalsRowDxfId="2298" dataCellStyle="Comma">
      <calculatedColumnFormula>-I322</calculatedColumnFormula>
    </tableColumn>
    <tableColumn id="8" name="2030" totalsRowFunction="sum" dataDxfId="2297" totalsRowDxfId="2296" dataCellStyle="Comma">
      <calculatedColumnFormula>-J322</calculatedColumnFormula>
    </tableColumn>
    <tableColumn id="9" name="2035" totalsRowFunction="sum" dataDxfId="2295" totalsRowDxfId="2294" dataCellStyle="Comma">
      <calculatedColumnFormula>-K322</calculatedColumnFormula>
    </tableColumn>
    <tableColumn id="10" name="2040" totalsRowFunction="sum" dataDxfId="2293" totalsRowDxfId="2292" dataCellStyle="Comma">
      <calculatedColumnFormula>-L322</calculatedColumnFormula>
    </tableColumn>
    <tableColumn id="11" name="2045" totalsRowFunction="sum" dataDxfId="2291" totalsRowDxfId="2290" dataCellStyle="Comma">
      <calculatedColumnFormula>-M322</calculatedColumnFormula>
    </tableColumn>
    <tableColumn id="12" name="2050" totalsRowFunction="sum" dataDxfId="2289" totalsRowDxfId="2288"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7">
  <autoFilter ref="C14:N17"/>
  <tableColumns count="12">
    <tableColumn id="1" name="Vector" dataDxfId="2286"/>
    <tableColumn id="2" name="Name" dataDxfId="2285"/>
    <tableColumn id="3" name="Notes" dataDxfId="2284"/>
    <tableColumn id="4" name="2013" dataDxfId="2283">
      <calculatedColumnFormula>INDEX(INDIRECT("'"&amp;V.b.Inputs[#Headers]&amp;"'!Year.Matrix"), MATCH("Subtotal."&amp;$A$2, INDIRECT("'"&amp;V.b.Inputs[#Headers]&amp;"'!Year.Modules"), 0), MATCH(V.b.Inputs[Vector], INDIRECT("'"&amp;V.b.Inputs[#Headers]&amp;"'!Year.Vectors"), 0))</calculatedColumnFormula>
    </tableColumn>
    <tableColumn id="5" name="2015">
      <calculatedColumnFormula>INDEX(INDIRECT("'"&amp;V.b.Inputs[#Headers]&amp;"'!Year.Matrix"), MATCH("Subtotal."&amp;$A$2, INDIRECT("'"&amp;V.b.Inputs[#Headers]&amp;"'!Year.Modules"), 0), MATCH(V.b.Inputs[Vector], INDIRECT("'"&amp;V.b.Inputs[#Headers]&amp;"'!Year.Vectors"), 0))</calculatedColumnFormula>
    </tableColumn>
    <tableColumn id="6" name="2020">
      <calculatedColumnFormula>INDEX(INDIRECT("'"&amp;V.b.Inputs[#Headers]&amp;"'!Year.Matrix"), MATCH("Subtotal."&amp;$A$2, INDIRECT("'"&amp;V.b.Inputs[#Headers]&amp;"'!Year.Modules"), 0), MATCH(V.b.Inputs[Vector], INDIRECT("'"&amp;V.b.Inputs[#Headers]&amp;"'!Year.Vectors"), 0))</calculatedColumnFormula>
    </tableColumn>
    <tableColumn id="7" name="2025">
      <calculatedColumnFormula>INDEX(INDIRECT("'"&amp;V.b.Inputs[#Headers]&amp;"'!Year.Matrix"), MATCH("Subtotal."&amp;$A$2, INDIRECT("'"&amp;V.b.Inputs[#Headers]&amp;"'!Year.Modules"), 0), MATCH(V.b.Inputs[Vector], INDIRECT("'"&amp;V.b.Inputs[#Headers]&amp;"'!Year.Vectors"), 0))</calculatedColumnFormula>
    </tableColumn>
    <tableColumn id="8" name="2030">
      <calculatedColumnFormula>INDEX(INDIRECT("'"&amp;V.b.Inputs[#Headers]&amp;"'!Year.Matrix"), MATCH("Subtotal."&amp;$A$2, INDIRECT("'"&amp;V.b.Inputs[#Headers]&amp;"'!Year.Modules"), 0), MATCH(V.b.Inputs[Vector], INDIRECT("'"&amp;V.b.Inputs[#Headers]&amp;"'!Year.Vectors"), 0))</calculatedColumnFormula>
    </tableColumn>
    <tableColumn id="9" name="2035">
      <calculatedColumnFormula>INDEX(INDIRECT("'"&amp;V.b.Inputs[#Headers]&amp;"'!Year.Matrix"), MATCH("Subtotal."&amp;$A$2, INDIRECT("'"&amp;V.b.Inputs[#Headers]&amp;"'!Year.Modules"), 0), MATCH(V.b.Inputs[Vector], INDIRECT("'"&amp;V.b.Inputs[#Headers]&amp;"'!Year.Vectors"), 0))</calculatedColumnFormula>
    </tableColumn>
    <tableColumn id="10" name="2040">
      <calculatedColumnFormula>INDEX(INDIRECT("'"&amp;V.b.Inputs[#Headers]&amp;"'!Year.Matrix"), MATCH("Subtotal."&amp;$A$2, INDIRECT("'"&amp;V.b.Inputs[#Headers]&amp;"'!Year.Modules"), 0), MATCH(V.b.Inputs[Vector], INDIRECT("'"&amp;V.b.Inputs[#Headers]&amp;"'!Year.Vectors"), 0))</calculatedColumnFormula>
    </tableColumn>
    <tableColumn id="11" name="2045">
      <calculatedColumnFormula>INDEX(INDIRECT("'"&amp;V.b.Inputs[#Headers]&amp;"'!Year.Matrix"), MATCH("Subtotal."&amp;$A$2, INDIRECT("'"&amp;V.b.Inputs[#Headers]&amp;"'!Year.Modules"), 0), MATCH(V.b.Inputs[Vector], INDIRECT("'"&amp;V.b.Inputs[#Headers]&amp;"'!Year.Vectors"), 0))</calculatedColumnFormula>
    </tableColumn>
    <tableColumn id="12" name="2050">
      <calculatedColumnFormula>INDEX(INDIRECT("'"&amp;V.b.Inputs[#Headers]&amp;"'!Year.Matrix"), MATCH("Subtotal."&amp;$A$2, INDIRECT("'"&amp;V.b.Inputs[#Headers]&amp;"'!Year.Modules"), 0), MATCH(V.b.Inputs[Vector],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2" dataDxfId="2281" dataCellStyle="Comma 3">
  <autoFilter ref="C106:N110"/>
  <tableColumns count="12">
    <tableColumn id="1" name="Vector" totalsRowLabel="Total" dataDxfId="2280" totalsRowDxfId="2279"/>
    <tableColumn id="2" name="Name" dataDxfId="2278" totalsRowDxfId="2277"/>
    <tableColumn id="3" name="Notes" dataDxfId="2276" totalsRowDxfId="2275"/>
    <tableColumn id="4" name="2013" totalsRowFunction="sum" dataDxfId="2274" totalsRowDxfId="2273" dataCellStyle="Comma 3"/>
    <tableColumn id="5" name="2015" totalsRowFunction="sum" dataDxfId="2272" totalsRowDxfId="2271" dataCellStyle="Comma 3"/>
    <tableColumn id="6" name="2020" totalsRowFunction="sum" dataDxfId="2270" totalsRowDxfId="2269" dataCellStyle="Comma 3"/>
    <tableColumn id="7" name="2025" totalsRowFunction="sum" dataDxfId="2268" totalsRowDxfId="2267" dataCellStyle="Comma 3"/>
    <tableColumn id="8" name="2030" totalsRowFunction="sum" dataDxfId="2266" totalsRowDxfId="2265" dataCellStyle="Comma 3"/>
    <tableColumn id="9" name="2035" totalsRowFunction="sum" dataDxfId="2264" totalsRowDxfId="2263" dataCellStyle="Comma 3"/>
    <tableColumn id="10" name="2040" totalsRowFunction="sum" dataDxfId="2262" totalsRowDxfId="2261" dataCellStyle="Comma 3"/>
    <tableColumn id="11" name="2045" totalsRowFunction="sum" dataDxfId="2260" totalsRowDxfId="2259" dataCellStyle="Comma 3"/>
    <tableColumn id="12" name="2050" totalsRowFunction="sum" dataDxfId="2258" totalsRowDxfId="2257"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6" dataDxfId="2254" headerRowBorderDxfId="2255">
  <autoFilter ref="C118:N119"/>
  <tableColumns count="12">
    <tableColumn id="1" name="GHG" totalsRowLabel="Total" dataDxfId="2253" totalsRowDxfId="2252"/>
    <tableColumn id="2" name="IPCC Sector" dataDxfId="2251" totalsRowDxfId="2250"/>
    <tableColumn id="3" name="Notes" dataDxfId="2249" totalsRowDxfId="2248"/>
    <tableColumn id="4" name="2013" totalsRowFunction="sum" dataDxfId="2247" totalsRowDxfId="2246">
      <calculatedColumnFormula>-F87</calculatedColumnFormula>
    </tableColumn>
    <tableColumn id="5" name="2015" totalsRowFunction="sum" dataDxfId="2245" totalsRowDxfId="2244">
      <calculatedColumnFormula>-G87</calculatedColumnFormula>
    </tableColumn>
    <tableColumn id="6" name="2020" totalsRowFunction="sum" dataDxfId="2243" totalsRowDxfId="2242">
      <calculatedColumnFormula>-H87</calculatedColumnFormula>
    </tableColumn>
    <tableColumn id="7" name="2025" totalsRowFunction="sum" dataDxfId="2241" totalsRowDxfId="2240">
      <calculatedColumnFormula>-I87</calculatedColumnFormula>
    </tableColumn>
    <tableColumn id="8" name="2030" totalsRowFunction="sum" dataDxfId="2239" totalsRowDxfId="2238">
      <calculatedColumnFormula>-J87</calculatedColumnFormula>
    </tableColumn>
    <tableColumn id="9" name="2035" totalsRowFunction="sum" dataDxfId="2237" totalsRowDxfId="2236">
      <calculatedColumnFormula>-K87</calculatedColumnFormula>
    </tableColumn>
    <tableColumn id="10" name="2040" totalsRowFunction="sum" dataDxfId="2235" totalsRowDxfId="2234">
      <calculatedColumnFormula>-L87</calculatedColumnFormula>
    </tableColumn>
    <tableColumn id="11" name="2045" totalsRowFunction="sum" dataDxfId="2233" totalsRowDxfId="2232">
      <calculatedColumnFormula>-M87</calculatedColumnFormula>
    </tableColumn>
    <tableColumn id="12" name="2050" totalsRowFunction="sum" dataDxfId="2231" totalsRowDxfId="2230">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29" dataDxfId="2227" headerRowBorderDxfId="2228" dataCellStyle="Comma 3">
  <autoFilter ref="C127:N128"/>
  <tableColumns count="12">
    <tableColumn id="1" name="Vector" dataDxfId="2226"/>
    <tableColumn id="2" name="Information type" dataDxfId="2225"/>
    <tableColumn id="3" name="Notes" dataDxfId="2224">
      <calculatedColumnFormula>Preferences.AreaUnits</calculatedColumnFormula>
    </tableColumn>
    <tableColumn id="4" name="2013" dataDxfId="2223" dataCellStyle="Comma 3">
      <calculatedColumnFormula>F89</calculatedColumnFormula>
    </tableColumn>
    <tableColumn id="5" name="2015" dataDxfId="2222" dataCellStyle="Comma 3">
      <calculatedColumnFormula>G89</calculatedColumnFormula>
    </tableColumn>
    <tableColumn id="6" name="2020" dataDxfId="2221" dataCellStyle="Comma 3">
      <calculatedColumnFormula>H89</calculatedColumnFormula>
    </tableColumn>
    <tableColumn id="7" name="2025" dataDxfId="2220" dataCellStyle="Comma 3">
      <calculatedColumnFormula>I89</calculatedColumnFormula>
    </tableColumn>
    <tableColumn id="8" name="2030" dataDxfId="2219" dataCellStyle="Comma 3">
      <calculatedColumnFormula>J89</calculatedColumnFormula>
    </tableColumn>
    <tableColumn id="9" name="2035" dataDxfId="2218" dataCellStyle="Comma 3">
      <calculatedColumnFormula>K89</calculatedColumnFormula>
    </tableColumn>
    <tableColumn id="10" name="2040" dataDxfId="2217" dataCellStyle="Comma 3">
      <calculatedColumnFormula>L89</calculatedColumnFormula>
    </tableColumn>
    <tableColumn id="11" name="2045" dataDxfId="2216" dataCellStyle="Comma 3">
      <calculatedColumnFormula>M89</calculatedColumnFormula>
    </tableColumn>
    <tableColumn id="12" name="2050" dataDxfId="2215"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58:N570" totalsRowCount="1" headerRowDxfId="2214" dataDxfId="2213" dataCellStyle="Comma">
  <autoFilter ref="C558:N569"/>
  <tableColumns count="12">
    <tableColumn id="1" name="Vector" totalsRowLabel="Total" dataDxfId="2212" totalsRowDxfId="2211"/>
    <tableColumn id="2" name="Name" dataDxfId="2210" totalsRowDxfId="2209">
      <calculatedColumnFormula>INDEX(Vectors[Description], MATCH(VI.a.Outputs[Vector], Vectors[Code], 0))</calculatedColumnFormula>
    </tableColumn>
    <tableColumn id="3" name="Notes" dataDxfId="2208" totalsRowDxfId="2207"/>
    <tableColumn id="4" name="2013" totalsRowFunction="sum" dataDxfId="2206" totalsRowDxfId="2205" dataCellStyle="Comma"/>
    <tableColumn id="5" name="2015" totalsRowFunction="sum" dataDxfId="2204" totalsRowDxfId="2203" dataCellStyle="Comma"/>
    <tableColumn id="6" name="2020" totalsRowFunction="sum" dataDxfId="2202" totalsRowDxfId="2201" dataCellStyle="Comma"/>
    <tableColumn id="7" name="2025" totalsRowFunction="sum" dataDxfId="2200" totalsRowDxfId="2199" dataCellStyle="Comma"/>
    <tableColumn id="8" name="2030" totalsRowFunction="sum" dataDxfId="2198" totalsRowDxfId="2197" dataCellStyle="Comma"/>
    <tableColumn id="9" name="2035" totalsRowFunction="sum" dataDxfId="2196" totalsRowDxfId="2195" dataCellStyle="Comma"/>
    <tableColumn id="10" name="2040" totalsRowFunction="sum" dataDxfId="2194" totalsRowDxfId="2193" dataCellStyle="Comma"/>
    <tableColumn id="11" name="2045" totalsRowFunction="sum" dataDxfId="2192" totalsRowDxfId="2191" dataCellStyle="Comma"/>
    <tableColumn id="12" name="2050" totalsRowFunction="sum" dataDxfId="2190" totalsRowDxfId="2189"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77:N584" totalsRowCount="1" headerRowDxfId="2188" dataDxfId="2186" headerRowBorderDxfId="2187" dataCellStyle="Comma">
  <autoFilter ref="C577:N583"/>
  <tableColumns count="12">
    <tableColumn id="1" name="GHG" totalsRowLabel="Total" dataDxfId="2185" totalsRowDxfId="2184"/>
    <tableColumn id="2" name="IPCC Sector"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88:N592" totalsRowShown="0" headerRowDxfId="2161" dataDxfId="2159" headerRowBorderDxfId="2160" tableBorderDxfId="2158">
  <autoFilter ref="C588:N592"/>
  <tableColumns count="12">
    <tableColumn id="1" name="Vector" dataDxfId="2157">
      <calculatedColumnFormula>INDEX(AirQualityVectors[Code],MATCH(D589,AirQualityVectors[Description],0))</calculatedColumnFormula>
    </tableColumn>
    <tableColumn id="2" name="Name" dataDxfId="2156"/>
    <tableColumn id="3" name="Notes" dataDxfId="2155"/>
    <tableColumn id="4" name="2013" dataDxfId="2154">
      <calculatedColumnFormula>F498</calculatedColumnFormula>
    </tableColumn>
    <tableColumn id="5" name="2015" dataDxfId="2153">
      <calculatedColumnFormula>G498</calculatedColumnFormula>
    </tableColumn>
    <tableColumn id="6" name="2020" dataDxfId="2152">
      <calculatedColumnFormula>H498</calculatedColumnFormula>
    </tableColumn>
    <tableColumn id="7" name="2025" dataDxfId="2151">
      <calculatedColumnFormula>I498</calculatedColumnFormula>
    </tableColumn>
    <tableColumn id="8" name="2030" dataDxfId="2150">
      <calculatedColumnFormula>J498</calculatedColumnFormula>
    </tableColumn>
    <tableColumn id="9" name="2035" dataDxfId="2149">
      <calculatedColumnFormula>K498</calculatedColumnFormula>
    </tableColumn>
    <tableColumn id="10" name="2040" dataDxfId="2148">
      <calculatedColumnFormula>L498</calculatedColumnFormula>
    </tableColumn>
    <tableColumn id="11" name="2045" dataDxfId="2147">
      <calculatedColumnFormula>M498</calculatedColumnFormula>
    </tableColumn>
    <tableColumn id="12" name="2050" dataDxfId="2146">
      <calculatedColumnFormula>N498</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99:N600" totalsRowShown="0" headerRowDxfId="2145" dataDxfId="2143" headerRowBorderDxfId="2144" dataCellStyle="Comma">
  <autoFilter ref="C599:N600"/>
  <tableColumns count="12">
    <tableColumn id="1" name="Vector" dataDxfId="2142"/>
    <tableColumn id="2" name="Information type" dataDxfId="2141"/>
    <tableColumn id="3" name="Notes" dataDxfId="2140">
      <calculatedColumnFormula>Preferences.AreaUnits</calculatedColumnFormula>
    </tableColumn>
    <tableColumn id="4" name="2013" dataDxfId="2139" dataCellStyle="Comma">
      <calculatedColumnFormula>F312+F313+F314</calculatedColumnFormula>
    </tableColumn>
    <tableColumn id="5" name="2015" dataDxfId="2138" dataCellStyle="Comma">
      <calculatedColumnFormula>G312+G313+G314</calculatedColumnFormula>
    </tableColumn>
    <tableColumn id="6" name="2020" dataDxfId="2137" dataCellStyle="Comma">
      <calculatedColumnFormula>H312+H313+H314</calculatedColumnFormula>
    </tableColumn>
    <tableColumn id="7" name="2025" dataDxfId="2136" dataCellStyle="Comma">
      <calculatedColumnFormula>I312+I313+I314</calculatedColumnFormula>
    </tableColumn>
    <tableColumn id="8" name="2030" dataDxfId="2135" dataCellStyle="Comma">
      <calculatedColumnFormula>J312+J313+J314</calculatedColumnFormula>
    </tableColumn>
    <tableColumn id="9" name="2035" dataDxfId="2134" dataCellStyle="Comma">
      <calculatedColumnFormula>K312+K313+K314</calculatedColumnFormula>
    </tableColumn>
    <tableColumn id="10" name="2040" dataDxfId="2133" dataCellStyle="Comma">
      <calculatedColumnFormula>L312+L313+L314</calculatedColumnFormula>
    </tableColumn>
    <tableColumn id="11" name="2045" dataDxfId="2132" dataCellStyle="Comma">
      <calculatedColumnFormula>M312+M313+M314</calculatedColumnFormula>
    </tableColumn>
    <tableColumn id="12" name="2050" dataDxfId="2131" dataCellStyle="Comma">
      <calculatedColumnFormula>N312+N313+N314</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604:N605" totalsRowShown="0" headerRowDxfId="2130" dataDxfId="2128" headerRowBorderDxfId="2129" dataCellStyle="Comma">
  <autoFilter ref="C604:N605"/>
  <tableColumns count="12">
    <tableColumn id="1" name="Vector" dataDxfId="2127"/>
    <tableColumn id="2" name="Information type" dataDxfId="2126"/>
    <tableColumn id="3" name="Notes" dataDxfId="2125">
      <calculatedColumnFormula>Preferences.AreaUnits</calculatedColumnFormula>
    </tableColumn>
    <tableColumn id="4" name="2013" dataDxfId="2124" dataCellStyle="Comma">
      <calculatedColumnFormula>F317</calculatedColumnFormula>
    </tableColumn>
    <tableColumn id="5" name="2015" dataDxfId="2123" dataCellStyle="Comma">
      <calculatedColumnFormula>G317</calculatedColumnFormula>
    </tableColumn>
    <tableColumn id="6" name="2020" dataDxfId="2122" dataCellStyle="Comma">
      <calculatedColumnFormula>H317</calculatedColumnFormula>
    </tableColumn>
    <tableColumn id="7" name="2025" dataDxfId="2121" dataCellStyle="Comma">
      <calculatedColumnFormula>I317</calculatedColumnFormula>
    </tableColumn>
    <tableColumn id="8" name="2030" dataDxfId="2120" dataCellStyle="Comma">
      <calculatedColumnFormula>J317</calculatedColumnFormula>
    </tableColumn>
    <tableColumn id="9" name="2035" dataDxfId="2119" dataCellStyle="Comma">
      <calculatedColumnFormula>K317</calculatedColumnFormula>
    </tableColumn>
    <tableColumn id="10" name="2040" dataDxfId="2118" dataCellStyle="Comma">
      <calculatedColumnFormula>L317</calculatedColumnFormula>
    </tableColumn>
    <tableColumn id="11" name="2045" dataDxfId="2117" dataCellStyle="Comma">
      <calculatedColumnFormula>M317</calculatedColumnFormula>
    </tableColumn>
    <tableColumn id="12" name="2050" dataDxfId="2116" dataCellStyle="Comma">
      <calculatedColumnFormula>N317</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4:N550" totalsRowCount="1" headerRowDxfId="2115" dataDxfId="2114" dataCellStyle="Comma">
  <autoFilter ref="C544:N549"/>
  <tableColumns count="12">
    <tableColumn id="1" name="Vector" totalsRowLabel="Total" dataDxfId="2113" totalsRowDxfId="2112"/>
    <tableColumn id="2" name="Name" dataDxfId="2111" totalsRowDxfId="2110"/>
    <tableColumn id="3" name="Notes" dataDxfId="2109" totalsRowDxfId="2108"/>
    <tableColumn id="4" name="2013" totalsRowFunction="sum" dataDxfId="2107" totalsRowDxfId="2106" dataCellStyle="Comma"/>
    <tableColumn id="5" name="2015" totalsRowFunction="sum" dataDxfId="2105" totalsRowDxfId="2104" dataCellStyle="Comma"/>
    <tableColumn id="6" name="2020" totalsRowFunction="sum" dataDxfId="2103" totalsRowDxfId="2102" dataCellStyle="Comma"/>
    <tableColumn id="7" name="2025" totalsRowFunction="sum" dataDxfId="2101" totalsRowDxfId="2100" dataCellStyle="Comma"/>
    <tableColumn id="8" name="2030" totalsRowFunction="sum" dataDxfId="2099" totalsRowDxfId="2098" dataCellStyle="Comma"/>
    <tableColumn id="9" name="2035" totalsRowFunction="sum" dataDxfId="2097" totalsRowDxfId="2096" dataCellStyle="Comma"/>
    <tableColumn id="10" name="2040" totalsRowFunction="sum" dataDxfId="2095" totalsRowDxfId="2094" dataCellStyle="Comma"/>
    <tableColumn id="11" name="2045" totalsRowFunction="sum" dataDxfId="2093" totalsRowDxfId="2092" dataCellStyle="Comma"/>
    <tableColumn id="12" name="2050" totalsRowFunction="sum" dataDxfId="2091" totalsRowDxfId="2090"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7:N561" totalsRowCount="1" headerRowDxfId="2089" dataDxfId="2087" headerRowBorderDxfId="2088" dataCellStyle="Comma">
  <autoFilter ref="C557:N560"/>
  <tableColumns count="12">
    <tableColumn id="1" name="GHG" totalsRowLabel="Total" dataDxfId="2086" totalsRowDxfId="2085"/>
    <tableColumn id="2" name="IPCC Sector" dataDxfId="2084" totalsRowDxfId="2083"/>
    <tableColumn id="3" name="Notes" dataDxfId="2082" totalsRowDxfId="2081">
      <calculatedColumnFormula>INDEX(IPCC[Sector_description], MATCH(VI.b.Emissions[IPCC Sector], IPCC[Sector_code], 0))</calculatedColumnFormula>
    </tableColumn>
    <tableColumn id="4" name="2013" totalsRowFunction="sum" dataDxfId="2080" totalsRowDxfId="2079" dataCellStyle="Comma"/>
    <tableColumn id="5" name="2015" totalsRowFunction="sum" dataDxfId="2078" totalsRowDxfId="2077" dataCellStyle="Comma"/>
    <tableColumn id="6" name="2020" totalsRowFunction="sum" dataDxfId="2076" totalsRowDxfId="2075" dataCellStyle="Comma"/>
    <tableColumn id="7" name="2025" totalsRowFunction="sum" dataDxfId="2074" totalsRowDxfId="2073" dataCellStyle="Comma"/>
    <tableColumn id="8" name="2030" totalsRowFunction="sum" dataDxfId="2072" totalsRowDxfId="2071" dataCellStyle="Comma"/>
    <tableColumn id="9" name="2035" totalsRowFunction="sum" dataDxfId="2070" totalsRowDxfId="2069" dataCellStyle="Comma"/>
    <tableColumn id="10" name="2040" totalsRowFunction="sum" dataDxfId="2068" totalsRowDxfId="2067" dataCellStyle="Comma"/>
    <tableColumn id="11" name="2045" totalsRowFunction="sum" dataDxfId="2066" totalsRowDxfId="2065" dataCellStyle="Comma"/>
    <tableColumn id="12" name="2050" totalsRowFunction="sum" dataDxfId="2064" totalsRowDxfId="2063"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5:N569" totalsRowShown="0" headerRowDxfId="2062" dataDxfId="2060" headerRowBorderDxfId="2061" tableBorderDxfId="2059">
  <autoFilter ref="C565:N569"/>
  <tableColumns count="12">
    <tableColumn id="1" name="Vector" dataDxfId="2058"/>
    <tableColumn id="2" name="Name" dataDxfId="2057"/>
    <tableColumn id="3" name="Notes" dataDxfId="2056"/>
    <tableColumn id="4" name="2013" dataDxfId="2055"/>
    <tableColumn id="5" name="2015" dataDxfId="2054"/>
    <tableColumn id="6" name="2020" dataDxfId="2053"/>
    <tableColumn id="7" name="2025" dataDxfId="2052"/>
    <tableColumn id="8" name="2030" dataDxfId="2051"/>
    <tableColumn id="9" name="2035" dataDxfId="2050"/>
    <tableColumn id="10" name="2040" dataDxfId="2049"/>
    <tableColumn id="11" name="2045" dataDxfId="2048"/>
    <tableColumn id="12" name="2050" dataDxfId="2047"/>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6:N577" totalsRowShown="0" headerRowDxfId="2046" dataDxfId="2044" headerRowBorderDxfId="2045" dataCellStyle="Comma">
  <autoFilter ref="C576:N577"/>
  <tableColumns count="12">
    <tableColumn id="1" name="Vector" dataDxfId="2043"/>
    <tableColumn id="2" name="Information type" dataDxfId="2042"/>
    <tableColumn id="3" name="Notes" dataDxfId="2041"/>
    <tableColumn id="4" name="2013" dataDxfId="2040" dataCellStyle="Comma">
      <calculatedColumnFormula>F459</calculatedColumnFormula>
    </tableColumn>
    <tableColumn id="5" name="2015" dataDxfId="2039" dataCellStyle="Comma">
      <calculatedColumnFormula>G459</calculatedColumnFormula>
    </tableColumn>
    <tableColumn id="6" name="2020" dataDxfId="2038" dataCellStyle="Comma">
      <calculatedColumnFormula>H459</calculatedColumnFormula>
    </tableColumn>
    <tableColumn id="7" name="2025" dataDxfId="2037" dataCellStyle="Comma">
      <calculatedColumnFormula>I459</calculatedColumnFormula>
    </tableColumn>
    <tableColumn id="8" name="2030" dataDxfId="2036" dataCellStyle="Comma">
      <calculatedColumnFormula>J459</calculatedColumnFormula>
    </tableColumn>
    <tableColumn id="9" name="2035" dataDxfId="2035" dataCellStyle="Comma">
      <calculatedColumnFormula>K459</calculatedColumnFormula>
    </tableColumn>
    <tableColumn id="10" name="2040" dataDxfId="2034" dataCellStyle="Comma">
      <calculatedColumnFormula>L459</calculatedColumnFormula>
    </tableColumn>
    <tableColumn id="11" name="2045" dataDxfId="2033" dataCellStyle="Comma">
      <calculatedColumnFormula>M459</calculatedColumnFormula>
    </tableColumn>
    <tableColumn id="12" name="2050" dataDxfId="2032" dataCellStyle="Comma">
      <calculatedColumnFormula>N459</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1" dataDxfId="2030" dataCellStyle="Comma 3">
  <autoFilter ref="C75:N77"/>
  <tableColumns count="12">
    <tableColumn id="1" name="Vector" totalsRowLabel="Total" dataDxfId="2029" totalsRowDxfId="2028"/>
    <tableColumn id="2" name="Name" dataDxfId="2027" totalsRowDxfId="2026">
      <calculatedColumnFormula>INDEX(Vectors[Description], MATCH(VI.c.Outputs[Vector], Vectors[Code], 0))</calculatedColumnFormula>
    </tableColumn>
    <tableColumn id="3" name="Notes" dataDxfId="2025" totalsRowDxfId="2024"/>
    <tableColumn id="4" name="2013" totalsRowFunction="sum" dataDxfId="2023" totalsRowDxfId="2022" dataCellStyle="Comma 3"/>
    <tableColumn id="5" name="2015" totalsRowFunction="sum" dataDxfId="2021" totalsRowDxfId="2020" dataCellStyle="Comma 3"/>
    <tableColumn id="6" name="2020" totalsRowFunction="sum" dataDxfId="2019" totalsRowDxfId="2018" dataCellStyle="Comma 3"/>
    <tableColumn id="7" name="2025" totalsRowFunction="sum" dataDxfId="2017" totalsRowDxfId="2016" dataCellStyle="Comma 3"/>
    <tableColumn id="8" name="2030" totalsRowFunction="sum" dataDxfId="2015" totalsRowDxfId="2014" dataCellStyle="Comma 3"/>
    <tableColumn id="9" name="2035" totalsRowFunction="sum" dataDxfId="2013" totalsRowDxfId="2012" dataCellStyle="Comma 3"/>
    <tableColumn id="10" name="2040" totalsRowFunction="sum" dataDxfId="2011" totalsRowDxfId="2010" dataCellStyle="Comma 3"/>
    <tableColumn id="11" name="2045" totalsRowFunction="sum" dataDxfId="2009" totalsRowDxfId="2008" dataCellStyle="Comma 3"/>
    <tableColumn id="12" name="2050" totalsRowFunction="sum" dataDxfId="2007" totalsRowDxfId="2006"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5" dataDxfId="2003" headerRowBorderDxfId="2004" dataCellStyle="Comma 3">
  <autoFilter ref="C85:N86"/>
  <tableColumns count="12">
    <tableColumn id="1" name="Vector" dataDxfId="2002"/>
    <tableColumn id="2" name="Information type" dataDxfId="2001"/>
    <tableColumn id="3" name="Notes" dataDxfId="2000">
      <calculatedColumnFormula>Preferences.AreaUnits</calculatedColumnFormula>
    </tableColumn>
    <tableColumn id="4" name="2013" dataDxfId="1999" dataCellStyle="Comma 3">
      <calculatedColumnFormula>F59</calculatedColumnFormula>
    </tableColumn>
    <tableColumn id="5" name="2015" dataDxfId="1998" dataCellStyle="Comma 3">
      <calculatedColumnFormula>G59</calculatedColumnFormula>
    </tableColumn>
    <tableColumn id="6" name="2020" dataDxfId="1997" dataCellStyle="Comma 3">
      <calculatedColumnFormula>H59</calculatedColumnFormula>
    </tableColumn>
    <tableColumn id="7" name="2025" dataDxfId="1996" dataCellStyle="Comma 3">
      <calculatedColumnFormula>I59</calculatedColumnFormula>
    </tableColumn>
    <tableColumn id="8" name="2030" dataDxfId="1995" dataCellStyle="Comma 3">
      <calculatedColumnFormula>J59</calculatedColumnFormula>
    </tableColumn>
    <tableColumn id="9" name="2035" dataDxfId="1994" dataCellStyle="Comma 3">
      <calculatedColumnFormula>K59</calculatedColumnFormula>
    </tableColumn>
    <tableColumn id="10" name="2040" dataDxfId="1993" dataCellStyle="Comma 3">
      <calculatedColumnFormula>L59</calculatedColumnFormula>
    </tableColumn>
    <tableColumn id="11" name="2045" dataDxfId="1992" dataCellStyle="Comma 3">
      <calculatedColumnFormula>M59</calculatedColumnFormula>
    </tableColumn>
    <tableColumn id="12" name="2050" dataDxfId="1991"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0" dataDxfId="1989" dataCellStyle="Comma 3">
  <autoFilter ref="C172:N174"/>
  <tableColumns count="12">
    <tableColumn id="1" name="Vector" totalsRowLabel="Total" dataDxfId="1988" totalsRowDxfId="1987"/>
    <tableColumn id="2" name="Name" dataDxfId="1986" totalsRowDxfId="1985">
      <calculatedColumnFormula>INDEX(Vectors[Description], MATCH(VII.a.Outputs[Vector], Vectors[Code], 0))</calculatedColumnFormula>
    </tableColumn>
    <tableColumn id="3" name="Notes" dataDxfId="1984" totalsRowDxfId="1983"/>
    <tableColumn id="4" name="2013" totalsRowFunction="sum" dataDxfId="1982" totalsRowDxfId="1981" dataCellStyle="Comma 3"/>
    <tableColumn id="5" name="2015" totalsRowFunction="sum" dataDxfId="1980" totalsRowDxfId="1979" dataCellStyle="Comma 3"/>
    <tableColumn id="6" name="2020" totalsRowFunction="sum" dataDxfId="1978" totalsRowDxfId="1977" dataCellStyle="Comma 3"/>
    <tableColumn id="7" name="2025" totalsRowFunction="sum" dataDxfId="1976" totalsRowDxfId="1975" dataCellStyle="Comma 3"/>
    <tableColumn id="8" name="2030" totalsRowFunction="sum" dataDxfId="1974" totalsRowDxfId="1973" dataCellStyle="Comma 3"/>
    <tableColumn id="9" name="2035" totalsRowFunction="sum" dataDxfId="1972" totalsRowDxfId="1971" dataCellStyle="Comma 3"/>
    <tableColumn id="10" name="2040" totalsRowFunction="sum" dataDxfId="1970" totalsRowDxfId="1969" dataCellStyle="Comma 3"/>
    <tableColumn id="11" name="2045" totalsRowFunction="sum" dataDxfId="1968" totalsRowDxfId="1967" dataCellStyle="Comma 3"/>
    <tableColumn id="12" name="2050" totalsRowFunction="sum" dataDxfId="1966" totalsRowDxfId="1965"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4" dataDxfId="1962" headerRowBorderDxfId="1963" dataCellStyle="Comma 3">
  <autoFilter ref="C182:N184"/>
  <tableColumns count="12">
    <tableColumn id="1" name="Vector" dataDxfId="1961"/>
    <tableColumn id="2" name="Information type"/>
    <tableColumn id="3" name="Notes" dataDxfId="1960">
      <calculatedColumnFormula>Preferences.PowerUnits</calculatedColumnFormula>
    </tableColumn>
    <tableColumn id="4" name="2013" dataDxfId="1959" dataCellStyle="Comma 3"/>
    <tableColumn id="5" name="2015" dataDxfId="1958" dataCellStyle="Comma 3"/>
    <tableColumn id="6" name="2020" dataDxfId="1957" dataCellStyle="Comma 3"/>
    <tableColumn id="7" name="2025" dataDxfId="1956" dataCellStyle="Comma 3"/>
    <tableColumn id="8" name="2030" dataDxfId="1955" dataCellStyle="Comma 3"/>
    <tableColumn id="9" name="2035" dataDxfId="1954" dataCellStyle="Comma 3"/>
    <tableColumn id="10" name="2040" dataDxfId="1953" dataCellStyle="Comma 3"/>
    <tableColumn id="11" name="2045" dataDxfId="1952" dataCellStyle="Comma 3"/>
    <tableColumn id="12" name="2050" dataDxfId="1951"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0" dataDxfId="1949" dataCellStyle="Comma 3">
  <autoFilter ref="C8:N9"/>
  <tableColumns count="12">
    <tableColumn id="1" name="Vector" dataDxfId="1948"/>
    <tableColumn id="2" name="Name" dataDxfId="1947">
      <calculatedColumnFormula>INDEX(Vectors[Description], MATCH($C9, Vectors[Code], 0))</calculatedColumnFormula>
    </tableColumn>
    <tableColumn id="3" name="Notes" dataDxfId="1946"/>
    <tableColumn id="4" name="2013" dataDxfId="1945" dataCellStyle="Comma 3">
      <calculatedColumnFormula>INDEX(INDIRECT("'"&amp;VII.b.Inputs[#Headers]&amp;"'!Year.Matrix"), MATCH("Subtotal."&amp;$A$2, INDIRECT("'"&amp;VII.b.Inputs[#Headers]&amp;"'!Year.Modules"), 0), MATCH(VII.b.Inputs[Vector], INDIRECT("'"&amp;VII.b.Inputs[#Headers]&amp;"'!Year.Vectors"), 0))</calculatedColumnFormula>
    </tableColumn>
    <tableColumn id="5" name="2015" dataDxfId="1944" dataCellStyle="Comma 3">
      <calculatedColumnFormula>INDEX(INDIRECT("'"&amp;VII.b.Inputs[#Headers]&amp;"'!Year.Matrix"), MATCH("Subtotal."&amp;$A$2, INDIRECT("'"&amp;VII.b.Inputs[#Headers]&amp;"'!Year.Modules"), 0), MATCH(VII.b.Inputs[Vector], INDIRECT("'"&amp;VII.b.Inputs[#Headers]&amp;"'!Year.Vectors"), 0))</calculatedColumnFormula>
    </tableColumn>
    <tableColumn id="6" name="2020" dataDxfId="1943" dataCellStyle="Comma 3">
      <calculatedColumnFormula>INDEX(INDIRECT("'"&amp;VII.b.Inputs[#Headers]&amp;"'!Year.Matrix"), MATCH("Subtotal."&amp;$A$2, INDIRECT("'"&amp;VII.b.Inputs[#Headers]&amp;"'!Year.Modules"), 0), MATCH(VII.b.Inputs[Vector], INDIRECT("'"&amp;VII.b.Inputs[#Headers]&amp;"'!Year.Vectors"), 0))</calculatedColumnFormula>
    </tableColumn>
    <tableColumn id="7" name="2025" dataDxfId="1942" dataCellStyle="Comma 3">
      <calculatedColumnFormula>INDEX(INDIRECT("'"&amp;VII.b.Inputs[#Headers]&amp;"'!Year.Matrix"), MATCH("Subtotal."&amp;$A$2, INDIRECT("'"&amp;VII.b.Inputs[#Headers]&amp;"'!Year.Modules"), 0), MATCH(VII.b.Inputs[Vector], INDIRECT("'"&amp;VII.b.Inputs[#Headers]&amp;"'!Year.Vectors"), 0))</calculatedColumnFormula>
    </tableColumn>
    <tableColumn id="8" name="2030" dataDxfId="1941" dataCellStyle="Comma 3">
      <calculatedColumnFormula>INDEX(INDIRECT("'"&amp;VII.b.Inputs[#Headers]&amp;"'!Year.Matrix"), MATCH("Subtotal."&amp;$A$2, INDIRECT("'"&amp;VII.b.Inputs[#Headers]&amp;"'!Year.Modules"), 0), MATCH(VII.b.Inputs[Vector], INDIRECT("'"&amp;VII.b.Inputs[#Headers]&amp;"'!Year.Vectors"), 0))</calculatedColumnFormula>
    </tableColumn>
    <tableColumn id="9" name="2035" dataDxfId="1940" dataCellStyle="Comma 3">
      <calculatedColumnFormula>INDEX(INDIRECT("'"&amp;VII.b.Inputs[#Headers]&amp;"'!Year.Matrix"), MATCH("Subtotal."&amp;$A$2, INDIRECT("'"&amp;VII.b.Inputs[#Headers]&amp;"'!Year.Modules"), 0), MATCH(VII.b.Inputs[Vector], INDIRECT("'"&amp;VII.b.Inputs[#Headers]&amp;"'!Year.Vectors"), 0))</calculatedColumnFormula>
    </tableColumn>
    <tableColumn id="10" name="2040" dataDxfId="1939" dataCellStyle="Comma 3">
      <calculatedColumnFormula>INDEX(INDIRECT("'"&amp;VII.b.Inputs[#Headers]&amp;"'!Year.Matrix"), MATCH("Subtotal."&amp;$A$2, INDIRECT("'"&amp;VII.b.Inputs[#Headers]&amp;"'!Year.Modules"), 0), MATCH(VII.b.Inputs[Vector], INDIRECT("'"&amp;VII.b.Inputs[#Headers]&amp;"'!Year.Vectors"), 0))</calculatedColumnFormula>
    </tableColumn>
    <tableColumn id="11" name="2045" dataDxfId="1938" dataCellStyle="Comma 3">
      <calculatedColumnFormula>INDEX(INDIRECT("'"&amp;VII.b.Inputs[#Headers]&amp;"'!Year.Matrix"), MATCH("Subtotal."&amp;$A$2, INDIRECT("'"&amp;VII.b.Inputs[#Headers]&amp;"'!Year.Modules"), 0), MATCH(VII.b.Inputs[Vector], INDIRECT("'"&amp;VII.b.Inputs[#Headers]&amp;"'!Year.Vectors"), 0))</calculatedColumnFormula>
    </tableColumn>
    <tableColumn id="12" name="2050" dataDxfId="1937" dataCellStyle="Comma 3">
      <calculatedColumnFormula>INDEX(INDIRECT("'"&amp;VII.b.Inputs[#Headers]&amp;"'!Year.Matrix"), MATCH("Subtotal."&amp;$A$2, INDIRECT("'"&amp;VII.b.Inputs[#Headers]&amp;"'!Year.Modules"), 0), MATCH(VII.b.Inputs[Vector],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6" dataDxfId="1935" dataCellStyle="Comma 3">
  <autoFilter ref="C114:N117"/>
  <tableColumns count="12">
    <tableColumn id="1" name="Vector" totalsRowLabel="Total" dataDxfId="1934" totalsRowDxfId="1933"/>
    <tableColumn id="2" name="Name" dataDxfId="1932" totalsRowDxfId="1931">
      <calculatedColumnFormula>INDEX(Vectors[Description], MATCH(VII.b.Outputs[Vector], Vectors[Code], 0))</calculatedColumnFormula>
    </tableColumn>
    <tableColumn id="3" name="Notes" dataDxfId="1930" totalsRowDxfId="1929"/>
    <tableColumn id="4" name="2013" totalsRowFunction="sum" dataDxfId="1928" totalsRowDxfId="1927" dataCellStyle="Comma 3"/>
    <tableColumn id="5" name="2015" totalsRowFunction="sum" dataDxfId="1926" totalsRowDxfId="1925" dataCellStyle="Comma 3"/>
    <tableColumn id="6" name="2020" totalsRowFunction="sum" dataDxfId="1924" totalsRowDxfId="1923" dataCellStyle="Comma 3"/>
    <tableColumn id="7" name="2025" totalsRowFunction="sum" dataDxfId="1922" totalsRowDxfId="1921" dataCellStyle="Comma 3"/>
    <tableColumn id="8" name="2030" totalsRowFunction="sum" dataDxfId="1920" totalsRowDxfId="1919" dataCellStyle="Comma 3"/>
    <tableColumn id="9" name="2035" totalsRowFunction="sum" dataDxfId="1918" totalsRowDxfId="1917" dataCellStyle="Comma 3"/>
    <tableColumn id="10" name="2040" totalsRowFunction="sum" dataDxfId="1916" totalsRowDxfId="1915" dataCellStyle="Comma 3"/>
    <tableColumn id="11" name="2045" totalsRowFunction="sum" dataDxfId="1914" totalsRowDxfId="1913" dataCellStyle="Comma 3"/>
    <tableColumn id="12" name="2050" totalsRowFunction="sum" dataDxfId="1912" totalsRowDxfId="1911"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0" dataDxfId="1909" dataCellStyle="Comma 3">
  <autoFilter ref="C433:N436"/>
  <tableColumns count="12">
    <tableColumn id="1" name="Vector" totalsRowLabel="Total" totalsRowDxfId="1908"/>
    <tableColumn id="2" name="Name" dataDxfId="1907" totalsRowDxfId="1906">
      <calculatedColumnFormula>INDEX(Vectors[Description], MATCH(VII.c.Outputs[Vector], Vectors[Code], 0))</calculatedColumnFormula>
    </tableColumn>
    <tableColumn id="3" name="Notes" dataDxfId="1905" totalsRowDxfId="1904"/>
    <tableColumn id="4" name="2013" totalsRowFunction="sum" dataDxfId="1903" totalsRowDxfId="1902" dataCellStyle="Comma 3"/>
    <tableColumn id="5" name="2015" totalsRowFunction="sum" dataDxfId="1901" totalsRowDxfId="1900" dataCellStyle="Comma 3"/>
    <tableColumn id="6" name="2020" totalsRowFunction="sum" dataDxfId="1899" totalsRowDxfId="1898" dataCellStyle="Comma 3"/>
    <tableColumn id="7" name="2025" totalsRowFunction="sum" dataDxfId="1897" totalsRowDxfId="1896" dataCellStyle="Comma 3"/>
    <tableColumn id="8" name="2030" totalsRowFunction="sum" dataDxfId="1895" totalsRowDxfId="1894" dataCellStyle="Comma 3"/>
    <tableColumn id="9" name="2035" totalsRowFunction="sum" dataDxfId="1893" totalsRowDxfId="1892" dataCellStyle="Comma 3"/>
    <tableColumn id="10" name="2040" totalsRowFunction="sum" dataDxfId="1891" totalsRowDxfId="1890" dataCellStyle="Comma 3"/>
    <tableColumn id="11" name="2045" totalsRowFunction="sum" dataDxfId="1889" totalsRowDxfId="1888" dataCellStyle="Comma 3"/>
    <tableColumn id="12" name="2050" totalsRowFunction="sum" dataDxfId="1887" totalsRowDxfId="1886"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5" headerRowBorderDxfId="1884">
  <autoFilter ref="C444:N449"/>
  <tableColumns count="12">
    <tableColumn id="1" name="Vector" dataDxfId="1883"/>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2" dataDxfId="1880" headerRowBorderDxfId="1881" dataCellStyle="Comma">
  <autoFilter ref="C456:N459"/>
  <tableColumns count="12">
    <tableColumn id="1" name="GHG" totalsRowLabel="Total" dataDxfId="1879" totalsRowDxfId="1878"/>
    <tableColumn id="2" name="IPCC Sector" dataDxfId="1877" totalsRowDxfId="1876"/>
    <tableColumn id="3" name="Notes" dataDxfId="1875" totalsRowDxfId="1874"/>
    <tableColumn id="4" name="2013" totalsRowFunction="sum" dataDxfId="1873" totalsRowDxfId="1872" dataCellStyle="Comma 3">
      <calculatedColumnFormula>INDIRECT("EF."&amp;$F$155&amp;"."&amp;$C457)*-F$398*$F$132</calculatedColumnFormula>
    </tableColumn>
    <tableColumn id="5" name="2015" totalsRowFunction="sum" dataDxfId="1871" totalsRowDxfId="1870" dataCellStyle="Comma 3">
      <calculatedColumnFormula>INDIRECT("EF."&amp;$F$155&amp;"."&amp;$C457)*-G$398*$F$132</calculatedColumnFormula>
    </tableColumn>
    <tableColumn id="6" name="2020" totalsRowFunction="sum" dataDxfId="1869" totalsRowDxfId="1868" dataCellStyle="Comma 3">
      <calculatedColumnFormula>INDIRECT("EF."&amp;$F$155&amp;"."&amp;$C457)*-H$398*$F$132</calculatedColumnFormula>
    </tableColumn>
    <tableColumn id="7" name="2025" totalsRowFunction="sum" dataDxfId="1867" totalsRowDxfId="1866" dataCellStyle="Comma 3">
      <calculatedColumnFormula>INDIRECT("EF."&amp;$F$155&amp;"."&amp;$C457)*-I$398*$F$132</calculatedColumnFormula>
    </tableColumn>
    <tableColumn id="8" name="2030" totalsRowFunction="sum" dataDxfId="1865" totalsRowDxfId="1864" dataCellStyle="Comma 3">
      <calculatedColumnFormula>INDIRECT("EF."&amp;$F$155&amp;"."&amp;$C457)*-J$398*$F$132</calculatedColumnFormula>
    </tableColumn>
    <tableColumn id="9" name="2035" totalsRowFunction="sum" dataDxfId="1863" totalsRowDxfId="1862" dataCellStyle="Comma 3">
      <calculatedColumnFormula>INDIRECT("EF."&amp;$F$155&amp;"."&amp;$C457)*-K$398*$F$132</calculatedColumnFormula>
    </tableColumn>
    <tableColumn id="10" name="2040" totalsRowFunction="sum" dataDxfId="1861" totalsRowDxfId="1860" dataCellStyle="Comma 3">
      <calculatedColumnFormula>INDIRECT("EF."&amp;$F$155&amp;"."&amp;$C457)*-L$398*$F$132</calculatedColumnFormula>
    </tableColumn>
    <tableColumn id="11" name="2045" totalsRowFunction="sum" dataDxfId="1859" totalsRowDxfId="1858" dataCellStyle="Comma 3">
      <calculatedColumnFormula>INDIRECT("EF."&amp;$F$155&amp;"."&amp;$C457)*-M$398*$F$132</calculatedColumnFormula>
    </tableColumn>
    <tableColumn id="12" name="2050" totalsRowFunction="sum" dataDxfId="1857" totalsRowDxfId="1856"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5" dataDxfId="1854" dataCellStyle="Comma 3">
  <autoFilter ref="C8:N9"/>
  <tableColumns count="12">
    <tableColumn id="1" name="Vector" dataDxfId="1853"/>
    <tableColumn id="2" name="Name" dataDxfId="1852"/>
    <tableColumn id="3" name="Notes" dataDxfId="1851"/>
    <tableColumn id="4" name="2013" dataDxfId="1850" dataCellStyle="Comma 3">
      <calculatedColumnFormula>INDEX(INDIRECT("'"&amp;VIII.a.Inputs[#Headers]&amp;"'!Year.Matrix"), MATCH("Subtotal."&amp;$A$2, INDIRECT("'"&amp;VIII.a.Inputs[#Headers]&amp;"'!Year.Modules"), 0), MATCH(VIII.a.Inputs[Vector], INDIRECT("'"&amp;VIII.a.Inputs[#Headers]&amp;"'!Year.Vectors"), 0))</calculatedColumnFormula>
    </tableColumn>
    <tableColumn id="5" name="2015" dataDxfId="1849" dataCellStyle="Comma 3">
      <calculatedColumnFormula>INDEX(INDIRECT("'"&amp;VIII.a.Inputs[#Headers]&amp;"'!Year.Matrix"), MATCH("Subtotal."&amp;$A$2, INDIRECT("'"&amp;VIII.a.Inputs[#Headers]&amp;"'!Year.Modules"), 0), MATCH(VIII.a.Inputs[Vector], INDIRECT("'"&amp;VIII.a.Inputs[#Headers]&amp;"'!Year.Vectors"), 0))</calculatedColumnFormula>
    </tableColumn>
    <tableColumn id="6" name="2020" dataDxfId="1848" dataCellStyle="Comma 3">
      <calculatedColumnFormula>INDEX(INDIRECT("'"&amp;VIII.a.Inputs[#Headers]&amp;"'!Year.Matrix"), MATCH("Subtotal."&amp;$A$2, INDIRECT("'"&amp;VIII.a.Inputs[#Headers]&amp;"'!Year.Modules"), 0), MATCH(VIII.a.Inputs[Vector], INDIRECT("'"&amp;VIII.a.Inputs[#Headers]&amp;"'!Year.Vectors"), 0))</calculatedColumnFormula>
    </tableColumn>
    <tableColumn id="7" name="2025" dataDxfId="1847" dataCellStyle="Comma 3">
      <calculatedColumnFormula>INDEX(INDIRECT("'"&amp;VIII.a.Inputs[#Headers]&amp;"'!Year.Matrix"), MATCH("Subtotal."&amp;$A$2, INDIRECT("'"&amp;VIII.a.Inputs[#Headers]&amp;"'!Year.Modules"), 0), MATCH(VIII.a.Inputs[Vector], INDIRECT("'"&amp;VIII.a.Inputs[#Headers]&amp;"'!Year.Vectors"), 0))</calculatedColumnFormula>
    </tableColumn>
    <tableColumn id="8" name="2030" dataDxfId="1846" dataCellStyle="Comma 3">
      <calculatedColumnFormula>INDEX(INDIRECT("'"&amp;VIII.a.Inputs[#Headers]&amp;"'!Year.Matrix"), MATCH("Subtotal."&amp;$A$2, INDIRECT("'"&amp;VIII.a.Inputs[#Headers]&amp;"'!Year.Modules"), 0), MATCH(VIII.a.Inputs[Vector], INDIRECT("'"&amp;VIII.a.Inputs[#Headers]&amp;"'!Year.Vectors"), 0))</calculatedColumnFormula>
    </tableColumn>
    <tableColumn id="9" name="2035" dataDxfId="1845" dataCellStyle="Comma 3">
      <calculatedColumnFormula>INDEX(INDIRECT("'"&amp;VIII.a.Inputs[#Headers]&amp;"'!Year.Matrix"), MATCH("Subtotal."&amp;$A$2, INDIRECT("'"&amp;VIII.a.Inputs[#Headers]&amp;"'!Year.Modules"), 0), MATCH(VIII.a.Inputs[Vector], INDIRECT("'"&amp;VIII.a.Inputs[#Headers]&amp;"'!Year.Vectors"), 0))</calculatedColumnFormula>
    </tableColumn>
    <tableColumn id="10" name="2040" dataDxfId="1844" dataCellStyle="Comma 3">
      <calculatedColumnFormula>INDEX(INDIRECT("'"&amp;VIII.a.Inputs[#Headers]&amp;"'!Year.Matrix"), MATCH("Subtotal."&amp;$A$2, INDIRECT("'"&amp;VIII.a.Inputs[#Headers]&amp;"'!Year.Modules"), 0), MATCH(VIII.a.Inputs[Vector], INDIRECT("'"&amp;VIII.a.Inputs[#Headers]&amp;"'!Year.Vectors"), 0))</calculatedColumnFormula>
    </tableColumn>
    <tableColumn id="11" name="2045" dataDxfId="1843" dataCellStyle="Comma 3">
      <calculatedColumnFormula>INDEX(INDIRECT("'"&amp;VIII.a.Inputs[#Headers]&amp;"'!Year.Matrix"), MATCH("Subtotal."&amp;$A$2, INDIRECT("'"&amp;VIII.a.Inputs[#Headers]&amp;"'!Year.Modules"), 0), MATCH(VIII.a.Inputs[Vector], INDIRECT("'"&amp;VIII.a.Inputs[#Headers]&amp;"'!Year.Vectors"), 0))</calculatedColumnFormula>
    </tableColumn>
    <tableColumn id="12" name="2050" dataDxfId="1842" dataCellStyle="Comma 3">
      <calculatedColumnFormula>INDEX(INDIRECT("'"&amp;VIII.a.Inputs[#Headers]&amp;"'!Year.Matrix"), MATCH("Subtotal."&amp;$A$2, INDIRECT("'"&amp;VIII.a.Inputs[#Headers]&amp;"'!Year.Modules"), 0), MATCH(VIII.a.Inputs[Vector],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1" dataDxfId="1840" dataCellStyle="Comma 3">
  <autoFilter ref="C209:N213"/>
  <tableColumns count="12">
    <tableColumn id="1" name="Vector" totalsRowLabel="Total" dataDxfId="1839" totalsRowDxfId="1838"/>
    <tableColumn id="2" name="Name" dataDxfId="1837" totalsRowDxfId="1836">
      <calculatedColumnFormula>INDEX(Vectors[Description], MATCH(VIII.a.Outputs[Vector], Vectors[Code], 0))</calculatedColumnFormula>
    </tableColumn>
    <tableColumn id="3" name="Notes" dataDxfId="1835" totalsRowDxfId="1834"/>
    <tableColumn id="4" name="2013" totalsRowFunction="sum" dataDxfId="1833" totalsRowDxfId="1832" dataCellStyle="Comma 3"/>
    <tableColumn id="5" name="2015" totalsRowFunction="sum" dataDxfId="1831" totalsRowDxfId="1830" dataCellStyle="Comma 3"/>
    <tableColumn id="6" name="2020" totalsRowFunction="sum" dataDxfId="1829" totalsRowDxfId="1828" dataCellStyle="Comma 3"/>
    <tableColumn id="7" name="2025" totalsRowFunction="sum" dataDxfId="1827" totalsRowDxfId="1826" dataCellStyle="Comma 3"/>
    <tableColumn id="8" name="2030" totalsRowFunction="sum" dataDxfId="1825" totalsRowDxfId="1824" dataCellStyle="Comma 3"/>
    <tableColumn id="9" name="2035" totalsRowFunction="sum" dataDxfId="1823" totalsRowDxfId="1822" dataCellStyle="Comma 3"/>
    <tableColumn id="10" name="2040" totalsRowFunction="sum" dataDxfId="1821" totalsRowDxfId="1820" dataCellStyle="Comma 3"/>
    <tableColumn id="11" name="2045" totalsRowFunction="sum" dataDxfId="1819" totalsRowDxfId="1818" dataCellStyle="Comma 3"/>
    <tableColumn id="12" name="2050" totalsRowFunction="sum" dataDxfId="1817" totalsRowDxfId="1816"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5" dataDxfId="1813" headerRowBorderDxfId="1814" dataCellStyle="Comma 3">
  <autoFilter ref="C221:N224"/>
  <tableColumns count="12">
    <tableColumn id="1" name="GHG" totalsRowLabel="Total" dataDxfId="1812" totalsRowDxfId="1811"/>
    <tableColumn id="2" name="IPCC Sector" dataDxfId="1810" totalsRowDxfId="1809"/>
    <tableColumn id="3" name="Notes" dataDxfId="1808" totalsRowDxfId="1807">
      <calculatedColumnFormula>INDEX(IPCC[Sector_description], MATCH(VIII.a.Emissions[IPCC Sector], IPCC[Sector_code], 0))</calculatedColumnFormula>
    </tableColumn>
    <tableColumn id="4" name="2013" dataDxfId="1806" totalsRowDxfId="1805" dataCellStyle="Comma 3"/>
    <tableColumn id="5" name="2015" dataDxfId="1804" totalsRowDxfId="1803" dataCellStyle="Comma 3">
      <calculatedColumnFormula>G131</calculatedColumnFormula>
    </tableColumn>
    <tableColumn id="6" name="2020" dataDxfId="1802" totalsRowDxfId="1801" dataCellStyle="Comma 3">
      <calculatedColumnFormula>H131</calculatedColumnFormula>
    </tableColumn>
    <tableColumn id="7" name="2025" dataDxfId="1800" totalsRowDxfId="1799" dataCellStyle="Comma 3">
      <calculatedColumnFormula>I131</calculatedColumnFormula>
    </tableColumn>
    <tableColumn id="8" name="2030" dataDxfId="1798" totalsRowDxfId="1797" dataCellStyle="Comma 3">
      <calculatedColumnFormula>J131</calculatedColumnFormula>
    </tableColumn>
    <tableColumn id="9" name="2035" dataDxfId="1796" totalsRowDxfId="1795" dataCellStyle="Comma 3">
      <calculatedColumnFormula>K131</calculatedColumnFormula>
    </tableColumn>
    <tableColumn id="10" name="2040" dataDxfId="1794" totalsRowDxfId="1793" dataCellStyle="Comma 3">
      <calculatedColumnFormula>L131</calculatedColumnFormula>
    </tableColumn>
    <tableColumn id="11" name="2045" dataDxfId="1792" totalsRowDxfId="1791" dataCellStyle="Comma 3">
      <calculatedColumnFormula>M131</calculatedColumnFormula>
    </tableColumn>
    <tableColumn id="12" name="2050" totalsRowFunction="sum" dataDxfId="1790" totalsRowDxfId="1789"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8" dataDxfId="1786" headerRowBorderDxfId="1787" tableBorderDxfId="1785">
  <autoFilter ref="C229:N233"/>
  <tableColumns count="12">
    <tableColumn id="1" name="Vector" dataDxfId="1784">
      <calculatedColumnFormula>INDEX(AirQualityVectors[Code],MATCH(D230,AirQualityVectors[Description],0))</calculatedColumnFormula>
    </tableColumn>
    <tableColumn id="2" name="Name" dataDxfId="1783"/>
    <tableColumn id="3" name="IPCC Sector" dataDxfId="1782"/>
    <tableColumn id="4" name="2013" dataDxfId="1781"/>
    <tableColumn id="5" name="2015" dataDxfId="1780"/>
    <tableColumn id="6" name="2020" dataDxfId="1779"/>
    <tableColumn id="7" name="2025" dataDxfId="1778"/>
    <tableColumn id="8" name="2030" dataDxfId="1777"/>
    <tableColumn id="9" name="2035" dataDxfId="1776"/>
    <tableColumn id="10" name="2040" dataDxfId="1775"/>
    <tableColumn id="11" name="2045" dataDxfId="1774"/>
    <tableColumn id="12" name="2050" dataDxfId="1773"/>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2" dataDxfId="1770" headerRowBorderDxfId="1771" dataCellStyle="Comma 3">
  <autoFilter ref="C240:N241"/>
  <tableColumns count="12">
    <tableColumn id="1" name="Vector" dataDxfId="1769"/>
    <tableColumn id="2" name="Information type" dataDxfId="1768"/>
    <tableColumn id="3" name="Notes" dataDxfId="1767"/>
    <tableColumn id="4" name="2013" dataDxfId="1766" dataCellStyle="Comma 3">
      <calculatedColumnFormula>SUM(F137:F139)</calculatedColumnFormula>
    </tableColumn>
    <tableColumn id="5" name="2015" dataDxfId="1765" dataCellStyle="Comma 3">
      <calculatedColumnFormula>SUM(G137:G139)</calculatedColumnFormula>
    </tableColumn>
    <tableColumn id="6" name="2020" dataDxfId="1764" dataCellStyle="Comma 3">
      <calculatedColumnFormula>SUM(H137:H139)</calculatedColumnFormula>
    </tableColumn>
    <tableColumn id="7" name="2025" dataDxfId="1763" dataCellStyle="Comma 3">
      <calculatedColumnFormula>SUM(I137:I139)</calculatedColumnFormula>
    </tableColumn>
    <tableColumn id="8" name="2030" dataDxfId="1762" dataCellStyle="Comma 3">
      <calculatedColumnFormula>SUM(J137:J139)</calculatedColumnFormula>
    </tableColumn>
    <tableColumn id="9" name="2035" dataDxfId="1761" dataCellStyle="Comma 3">
      <calculatedColumnFormula>SUM(K137:K139)</calculatedColumnFormula>
    </tableColumn>
    <tableColumn id="10" name="2040" dataDxfId="1760" dataCellStyle="Comma 3">
      <calculatedColumnFormula>SUM(L137:L139)</calculatedColumnFormula>
    </tableColumn>
    <tableColumn id="11" name="2045" dataDxfId="1759" dataCellStyle="Comma 3">
      <calculatedColumnFormula>SUM(M137:M139)</calculatedColumnFormula>
    </tableColumn>
    <tableColumn id="12" name="2050" dataDxfId="1758"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216:N1226" totalsRowCount="1" headerRowDxfId="1757" dataDxfId="1756" tableBorderDxfId="1755" dataCellStyle="Comma">
  <autoFilter ref="C1216:N1225"/>
  <tableColumns count="12">
    <tableColumn id="1" name="Vector" totalsRowLabel="Total" dataDxfId="1754" totalsRowDxfId="1753"/>
    <tableColumn id="2" name="Name" dataDxfId="1752" totalsRowDxfId="1751">
      <calculatedColumnFormula>INDEX(Vectors[Description], MATCH(IX.a.NoCHP.Outputs[Vector], Vectors[Code], 0))</calculatedColumnFormula>
    </tableColumn>
    <tableColumn id="3" name="Notes" dataDxfId="1750" totalsRowDxfId="1749"/>
    <tableColumn id="4" name="2013" totalsRowFunction="sum" dataDxfId="1748" totalsRowDxfId="1747" dataCellStyle="Comma">
      <calculatedColumnFormula>F1246-F1231-F1232</calculatedColumnFormula>
    </tableColumn>
    <tableColumn id="5" name="2015" totalsRowFunction="sum" dataDxfId="1746" totalsRowDxfId="1745" dataCellStyle="Comma"/>
    <tableColumn id="6" name="2020" totalsRowFunction="sum" dataDxfId="1744" totalsRowDxfId="1743" dataCellStyle="Comma"/>
    <tableColumn id="7" name="2025" totalsRowFunction="sum" dataDxfId="1742" totalsRowDxfId="1741" dataCellStyle="Comma"/>
    <tableColumn id="8" name="2030" totalsRowFunction="sum" dataDxfId="1740" totalsRowDxfId="1739" dataCellStyle="Comma"/>
    <tableColumn id="9" name="2035" totalsRowFunction="sum" dataDxfId="1738" totalsRowDxfId="1737" dataCellStyle="Comma"/>
    <tableColumn id="10" name="2040" totalsRowFunction="sum" dataDxfId="1736" totalsRowDxfId="1735" dataCellStyle="Comma"/>
    <tableColumn id="11" name="2045" totalsRowFunction="sum" dataDxfId="1734" totalsRowDxfId="1733" dataCellStyle="Comma"/>
    <tableColumn id="12" name="2050" totalsRowFunction="sum" dataDxfId="1732" totalsRowDxfId="1731"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45:N1255" totalsRowCount="1" headerRowDxfId="1730" dataDxfId="1729" tableBorderDxfId="1728" dataCellStyle="Comma">
  <autoFilter ref="C1245:N1254"/>
  <tableColumns count="12">
    <tableColumn id="1" name="Vector" totalsRowLabel="Total" dataDxfId="1727" totalsRowDxfId="1726"/>
    <tableColumn id="2" name="Name" dataDxfId="1725" totalsRowDxfId="1724">
      <calculatedColumnFormula>INDEX(Vectors[Description], MATCH(IX.a.Outputs[Vector], Vectors[Code], 0))</calculatedColumnFormula>
    </tableColumn>
    <tableColumn id="3" name="Notes" dataDxfId="1723" totalsRowDxfId="1722"/>
    <tableColumn id="4" name="2013" totalsRowFunction="sum" dataDxfId="1721" totalsRowDxfId="1720" dataCellStyle="Comma">
      <calculatedColumnFormula>INDEX(F$957:F$965, MATCH(IX.a.Outputs[Vector], $B$957:$B$965, 0))</calculatedColumnFormula>
    </tableColumn>
    <tableColumn id="5" name="2015" totalsRowFunction="sum" dataDxfId="1719" totalsRowDxfId="1718" dataCellStyle="Comma"/>
    <tableColumn id="6" name="2020" totalsRowFunction="sum" dataDxfId="1717" totalsRowDxfId="1716" dataCellStyle="Comma"/>
    <tableColumn id="7" name="2025" totalsRowFunction="sum" dataDxfId="1715" totalsRowDxfId="1714" dataCellStyle="Comma"/>
    <tableColumn id="8" name="2030" totalsRowFunction="sum" dataDxfId="1713" totalsRowDxfId="1712" dataCellStyle="Comma"/>
    <tableColumn id="9" name="2035" totalsRowFunction="sum" dataDxfId="1711" totalsRowDxfId="1710" dataCellStyle="Comma"/>
    <tableColumn id="10" name="2040" totalsRowFunction="sum" dataDxfId="1709" totalsRowDxfId="1708" dataCellStyle="Comma"/>
    <tableColumn id="11" name="2045" totalsRowFunction="sum" dataDxfId="1707" totalsRowDxfId="1706" dataCellStyle="Comma"/>
    <tableColumn id="12" name="2050" totalsRowFunction="sum" dataDxfId="1705" totalsRowDxfId="1704"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30:N1241" totalsRowCount="1" headerRowDxfId="1703" dataDxfId="1702" tableBorderDxfId="1701" dataCellStyle="Comma">
  <autoFilter ref="C1230:N1240"/>
  <tableColumns count="12">
    <tableColumn id="1" name="Vector" totalsRowLabel="Total" dataDxfId="1700" totalsRowDxfId="1699"/>
    <tableColumn id="2" name="Name" dataDxfId="1698" totalsRowDxfId="1697">
      <calculatedColumnFormula>INDEX(Vectors[Description], MATCH(IX.a.CHP.Outputs[Vector], Vectors[Code], 0))</calculatedColumnFormula>
    </tableColumn>
    <tableColumn id="3" name="Notes" dataDxfId="1696" totalsRowDxfId="1695"/>
    <tableColumn id="4" name="2013" totalsRowFunction="sum" dataDxfId="1694" totalsRowDxfId="1693" dataCellStyle="Comma">
      <calculatedColumnFormula>INDEX(F$1021:F$1029, MATCH(IX.a.CHP.Outputs[Vector], $B$1021:$B$1029, 0))</calculatedColumnFormula>
    </tableColumn>
    <tableColumn id="5" name="2015" totalsRowFunction="sum" dataDxfId="1692" totalsRowDxfId="1691" dataCellStyle="Comma">
      <calculatedColumnFormula>INDEX(G$1021:G$1029, MATCH(IX.a.CHP.Outputs[Vector], $B$1021:$B$1029, 0))</calculatedColumnFormula>
    </tableColumn>
    <tableColumn id="6" name="2020" totalsRowFunction="sum" dataDxfId="1690" totalsRowDxfId="1689" dataCellStyle="Comma">
      <calculatedColumnFormula>INDEX(H$1021:H$1029, MATCH(IX.a.CHP.Outputs[Vector], $B$1021:$B$1029, 0))</calculatedColumnFormula>
    </tableColumn>
    <tableColumn id="7" name="2025" totalsRowFunction="sum" dataDxfId="1688" totalsRowDxfId="1687" dataCellStyle="Comma">
      <calculatedColumnFormula>INDEX(I$1021:I$1029, MATCH(IX.a.CHP.Outputs[Vector], $B$1021:$B$1029, 0))</calculatedColumnFormula>
    </tableColumn>
    <tableColumn id="8" name="2030" totalsRowFunction="sum" dataDxfId="1686" totalsRowDxfId="1685" dataCellStyle="Comma">
      <calculatedColumnFormula>INDEX(J$1021:J$1029, MATCH(IX.a.CHP.Outputs[Vector], $B$1021:$B$1029, 0))</calculatedColumnFormula>
    </tableColumn>
    <tableColumn id="9" name="2035" totalsRowFunction="sum" dataDxfId="1684" totalsRowDxfId="1683" dataCellStyle="Comma">
      <calculatedColumnFormula>INDEX(K$1021:K$1029, MATCH(IX.a.CHP.Outputs[Vector], $B$1021:$B$1029, 0))</calculatedColumnFormula>
    </tableColumn>
    <tableColumn id="10" name="2040" totalsRowFunction="sum" dataDxfId="1682" totalsRowDxfId="1681" dataCellStyle="Comma">
      <calculatedColumnFormula>INDEX(L$1021:L$1029, MATCH(IX.a.CHP.Outputs[Vector], $B$1021:$B$1029, 0))</calculatedColumnFormula>
    </tableColumn>
    <tableColumn id="11" name="2045" totalsRowFunction="sum" dataDxfId="1680" totalsRowDxfId="1679" dataCellStyle="Comma">
      <calculatedColumnFormula>INDEX(M$1021:M$1029, MATCH(IX.a.CHP.Outputs[Vector], $B$1021:$B$1029, 0))</calculatedColumnFormula>
    </tableColumn>
    <tableColumn id="12" name="2050" totalsRowFunction="sum" dataDxfId="1678" totalsRowDxfId="1677" dataCellStyle="Comma">
      <calculatedColumnFormula>INDEX(N$1021:N$1029, MATCH(IX.a.CHP.Outputs[Vector], $B$1021:$B$1029,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62:N1266" totalsRowCount="1" headerRowDxfId="1676" dataDxfId="1674" headerRowBorderDxfId="1675" dataCellStyle="Comma">
  <autoFilter ref="C1262:N1265"/>
  <tableColumns count="12">
    <tableColumn id="1" name="GHG" totalsRowLabel="Total" dataDxfId="1673" totalsRowDxfId="1672"/>
    <tableColumn id="2" name="IPCC Sector" dataDxfId="1671" totalsRowDxfId="1670"/>
    <tableColumn id="3" name="Notes" dataDxfId="1669" totalsRowDxfId="1668">
      <calculatedColumnFormula>INDEX(IPCC[Sector_description], MATCH(IX.a.NoCHP.Emissions[IPCC Sector], IPCC[Sector_code], 0))</calculatedColumnFormula>
    </tableColumn>
    <tableColumn id="4" name="2013" totalsRowFunction="sum" dataDxfId="1667" totalsRowDxfId="1666" dataCellStyle="Comma">
      <calculatedColumnFormula>F1279-F1271</calculatedColumnFormula>
    </tableColumn>
    <tableColumn id="5" name="2015" totalsRowFunction="sum" dataDxfId="1665" totalsRowDxfId="1664" dataCellStyle="Comma">
      <calculatedColumnFormula>G1279-G1271</calculatedColumnFormula>
    </tableColumn>
    <tableColumn id="6" name="2020" totalsRowFunction="sum" dataDxfId="1663" totalsRowDxfId="1662" dataCellStyle="Comma">
      <calculatedColumnFormula>H1279-H1271</calculatedColumnFormula>
    </tableColumn>
    <tableColumn id="7" name="2025" totalsRowFunction="sum" dataDxfId="1661" totalsRowDxfId="1660" dataCellStyle="Comma">
      <calculatedColumnFormula>I1279-I1271</calculatedColumnFormula>
    </tableColumn>
    <tableColumn id="8" name="2030" totalsRowFunction="sum" dataDxfId="1659" totalsRowDxfId="1658" dataCellStyle="Comma">
      <calculatedColumnFormula>J1279-J1271</calculatedColumnFormula>
    </tableColumn>
    <tableColumn id="9" name="2035" totalsRowFunction="sum" dataDxfId="1657" totalsRowDxfId="1656" dataCellStyle="Comma">
      <calculatedColumnFormula>K1279-K1271</calculatedColumnFormula>
    </tableColumn>
    <tableColumn id="10" name="2040" totalsRowFunction="sum" dataDxfId="1655" totalsRowDxfId="1654" dataCellStyle="Comma">
      <calculatedColumnFormula>L1279-L1271</calculatedColumnFormula>
    </tableColumn>
    <tableColumn id="11" name="2045" totalsRowFunction="sum" dataDxfId="1653" totalsRowDxfId="1652" dataCellStyle="Comma">
      <calculatedColumnFormula>M1279-M1271</calculatedColumnFormula>
    </tableColumn>
    <tableColumn id="12" name="2050" totalsRowFunction="sum" dataDxfId="1651" totalsRowDxfId="1650" dataCellStyle="Comma">
      <calculatedColumnFormula>N1279-N1271</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70:N1274" totalsRowCount="1" headerRowDxfId="1649" dataDxfId="1647" headerRowBorderDxfId="1648" dataCellStyle="Comma">
  <autoFilter ref="C1270:N1273"/>
  <tableColumns count="12">
    <tableColumn id="1" name="GHG" totalsRowLabel="Total" dataDxfId="1646" totalsRowDxfId="1645"/>
    <tableColumn id="2" name="IPCC Sector" dataDxfId="1644" totalsRowDxfId="1643"/>
    <tableColumn id="3" name="Notes" dataDxfId="1642" totalsRowDxfId="1641">
      <calculatedColumnFormula>INDEX(IPCC[Sector_description], MATCH(IX.a.CHP.Emissions[IPCC Sector], IPCC[Sector_code], 0))</calculatedColumnFormula>
    </tableColumn>
    <tableColumn id="4" name="2013" totalsRowFunction="sum" dataDxfId="1640" totalsRowDxfId="1639" dataCellStyle="Comma"/>
    <tableColumn id="5" name="2015" totalsRowFunction="sum" dataDxfId="1638" totalsRowDxfId="1637" dataCellStyle="Comma"/>
    <tableColumn id="6" name="2020" totalsRowFunction="sum" dataDxfId="1636" totalsRowDxfId="1635" dataCellStyle="Comma"/>
    <tableColumn id="7" name="2025" totalsRowFunction="sum" dataDxfId="1634" totalsRowDxfId="1633" dataCellStyle="Comma"/>
    <tableColumn id="8" name="2030" totalsRowFunction="sum" dataDxfId="1632" totalsRowDxfId="1631" dataCellStyle="Comma"/>
    <tableColumn id="9" name="2035" totalsRowFunction="sum" dataDxfId="1630" totalsRowDxfId="1629" dataCellStyle="Comma"/>
    <tableColumn id="10" name="2040" totalsRowFunction="sum" dataDxfId="1628" totalsRowDxfId="1627" dataCellStyle="Comma"/>
    <tableColumn id="11" name="2045" totalsRowFunction="sum" dataDxfId="1626" totalsRowDxfId="1625" dataCellStyle="Comma"/>
    <tableColumn id="12" name="2050" totalsRowFunction="sum" dataDxfId="1624" totalsRowDxfId="1623"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78:N1282" totalsRowCount="1" headerRowDxfId="1622" dataDxfId="1620" headerRowBorderDxfId="1621" dataCellStyle="Comma">
  <autoFilter ref="C1278:N1281"/>
  <tableColumns count="12">
    <tableColumn id="1" name="GHG" totalsRowLabel="Total" dataDxfId="1619" totalsRowDxfId="1618"/>
    <tableColumn id="2" name="IPCC Sector" dataDxfId="1617" totalsRowDxfId="1616"/>
    <tableColumn id="3" name="Notes" dataDxfId="1615" totalsRowDxfId="1614">
      <calculatedColumnFormula>INDEX(IPCC[Sector_description], MATCH(IX.a.Emissions[IPCC Sector], IPCC[Sector_code], 0))</calculatedColumnFormula>
    </tableColumn>
    <tableColumn id="4" name="2013" totalsRowFunction="sum" dataDxfId="1613" totalsRowDxfId="1612" dataCellStyle="Comma"/>
    <tableColumn id="5" name="2015" totalsRowFunction="sum" dataDxfId="1611" totalsRowDxfId="1610" dataCellStyle="Comma"/>
    <tableColumn id="6" name="2020" totalsRowFunction="sum" dataDxfId="1609" totalsRowDxfId="1608" dataCellStyle="Comma"/>
    <tableColumn id="7" name="2025" totalsRowFunction="sum" dataDxfId="1607" totalsRowDxfId="1606" dataCellStyle="Comma"/>
    <tableColumn id="8" name="2030" totalsRowFunction="sum" dataDxfId="1605" totalsRowDxfId="1604" dataCellStyle="Comma"/>
    <tableColumn id="9" name="2035" totalsRowFunction="sum" dataDxfId="1603" totalsRowDxfId="1602" dataCellStyle="Comma"/>
    <tableColumn id="10" name="2040" totalsRowFunction="sum" dataDxfId="1601" totalsRowDxfId="1600" dataCellStyle="Comma"/>
    <tableColumn id="11" name="2045" totalsRowFunction="sum" dataDxfId="1599" totalsRowDxfId="1598" dataCellStyle="Comma"/>
    <tableColumn id="12" name="2050" totalsRowFunction="sum" dataDxfId="1597" totalsRowDxfId="1596"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86:N1290" totalsRowShown="0" headerRowDxfId="1595" dataDxfId="1594" tableBorderDxfId="1593">
  <autoFilter ref="C1286:N1290"/>
  <tableColumns count="12">
    <tableColumn id="1" name="Vector" dataDxfId="1592">
      <calculatedColumnFormula>INDEX(AirQualityVectors[Code],MATCH(D1287,AirQualityVectors[Description],0))</calculatedColumnFormula>
    </tableColumn>
    <tableColumn id="2" name="Name" dataDxfId="1591"/>
    <tableColumn id="3" name="Notes" dataDxfId="1590"/>
    <tableColumn id="4" name="2013" dataDxfId="1589">
      <calculatedColumnFormula>F994</calculatedColumnFormula>
    </tableColumn>
    <tableColumn id="5" name="2015" dataDxfId="1588">
      <calculatedColumnFormula>G994</calculatedColumnFormula>
    </tableColumn>
    <tableColumn id="6" name="2020" dataDxfId="1587">
      <calculatedColumnFormula>H994</calculatedColumnFormula>
    </tableColumn>
    <tableColumn id="7" name="2025" dataDxfId="1586">
      <calculatedColumnFormula>I994</calculatedColumnFormula>
    </tableColumn>
    <tableColumn id="8" name="2030" dataDxfId="1585">
      <calculatedColumnFormula>J994</calculatedColumnFormula>
    </tableColumn>
    <tableColumn id="9" name="2035" dataDxfId="1584">
      <calculatedColumnFormula>K994</calculatedColumnFormula>
    </tableColumn>
    <tableColumn id="10" name="2040" dataDxfId="1583">
      <calculatedColumnFormula>L994</calculatedColumnFormula>
    </tableColumn>
    <tableColumn id="11" name="2045" dataDxfId="1582">
      <calculatedColumnFormula>M994</calculatedColumnFormula>
    </tableColumn>
    <tableColumn id="12" name="2050" dataDxfId="1581">
      <calculatedColumnFormula>N994</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97:N1300" totalsRowShown="0" headerRowDxfId="1580" dataDxfId="1578" headerRowBorderDxfId="1579" dataCellStyle="Comma">
  <autoFilter ref="C1297:N1300"/>
  <tableColumns count="12">
    <tableColumn id="1" name="Vector" dataDxfId="1577"/>
    <tableColumn id="2" name="Information type" dataDxfId="1576">
      <calculatedColumnFormula>INDEX(Vectors[Description], MATCH(IX.a.info[Vector], Vectors[Code], 0))</calculatedColumnFormula>
    </tableColumn>
    <tableColumn id="3" name="Notes" dataDxfId="1575"/>
    <tableColumn id="4" name="2013" dataDxfId="1574" dataCellStyle="Comma"/>
    <tableColumn id="5" name="2015" dataDxfId="1573" dataCellStyle="Comma"/>
    <tableColumn id="6" name="2020" dataDxfId="1572" dataCellStyle="Comma"/>
    <tableColumn id="7" name="2025" dataDxfId="1571" dataCellStyle="Comma"/>
    <tableColumn id="8" name="2030" dataDxfId="1570" dataCellStyle="Comma"/>
    <tableColumn id="9" name="2035" dataDxfId="1569" dataCellStyle="Comma"/>
    <tableColumn id="10" name="2040" dataDxfId="1568" dataCellStyle="Comma"/>
    <tableColumn id="11" name="2045" dataDxfId="1567" dataCellStyle="Comma"/>
    <tableColumn id="12" name="2050" dataDxfId="1566"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5" dataDxfId="1564" tableBorderDxfId="1563" dataCellStyle="Comma">
  <autoFilter ref="C704:N712"/>
  <tableColumns count="12">
    <tableColumn id="1" name="Vector" totalsRowLabel="Total" dataDxfId="1562" totalsRowDxfId="1561"/>
    <tableColumn id="2" name="Name" dataDxfId="1560" totalsRowDxfId="1559">
      <calculatedColumnFormula>INDEX(Vectors[Description], MATCH(IX.c.NoCHP.Outputs[Vector], Vectors[Code], 0))</calculatedColumnFormula>
    </tableColumn>
    <tableColumn id="3" name="Notes" dataDxfId="1558" totalsRowDxfId="1557"/>
    <tableColumn id="4" name="2013" totalsRowFunction="sum" dataDxfId="1556" totalsRowDxfId="1555" dataCellStyle="Comma"/>
    <tableColumn id="5" name="2015" totalsRowFunction="sum" dataDxfId="1554" totalsRowDxfId="1553" dataCellStyle="Comma"/>
    <tableColumn id="6" name="2020" totalsRowFunction="sum" dataDxfId="1552" totalsRowDxfId="1551" dataCellStyle="Comma"/>
    <tableColumn id="7" name="2025" totalsRowFunction="sum" dataDxfId="1550" totalsRowDxfId="1549" dataCellStyle="Comma"/>
    <tableColumn id="8" name="2030" totalsRowFunction="sum" dataDxfId="1548" totalsRowDxfId="1547" dataCellStyle="Comma"/>
    <tableColumn id="9" name="2035" totalsRowFunction="sum" dataDxfId="1546" totalsRowDxfId="1545" dataCellStyle="Comma"/>
    <tableColumn id="10" name="2040" totalsRowFunction="sum" dataDxfId="1544" totalsRowDxfId="1543" dataCellStyle="Comma"/>
    <tableColumn id="11" name="2045" totalsRowFunction="sum" dataDxfId="1542" totalsRowDxfId="1541" dataCellStyle="Comma"/>
    <tableColumn id="12" name="2050" totalsRowFunction="sum" dataDxfId="1540" totalsRowDxfId="1539"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8" dataDxfId="1537" tableBorderDxfId="1536" dataCellStyle="Comma">
  <autoFilter ref="C718:N727"/>
  <tableColumns count="12">
    <tableColumn id="1" name="Vector" totalsRowLabel="Total" dataDxfId="1535" totalsRowDxfId="1534"/>
    <tableColumn id="2" name="Name" dataDxfId="1533" totalsRowDxfId="1532">
      <calculatedColumnFormula>INDEX(Vectors[Description], MATCH(IX.c.CHP.Outputs[Vector], Vectors[Code], 0))</calculatedColumnFormula>
    </tableColumn>
    <tableColumn id="3" name="Notes" dataDxfId="1531" totalsRowDxfId="1530"/>
    <tableColumn id="4" name="2013" totalsRowFunction="sum" dataDxfId="1529" totalsRowDxfId="1528" dataCellStyle="Comma 3">
      <calculatedColumnFormula>F515</calculatedColumnFormula>
    </tableColumn>
    <tableColumn id="5" name="2015" totalsRowFunction="sum" dataDxfId="1527" totalsRowDxfId="1526" dataCellStyle="Comma 3">
      <calculatedColumnFormula>G515</calculatedColumnFormula>
    </tableColumn>
    <tableColumn id="6" name="2020" totalsRowFunction="sum" dataDxfId="1525" totalsRowDxfId="1524" dataCellStyle="Comma 3">
      <calculatedColumnFormula>H515</calculatedColumnFormula>
    </tableColumn>
    <tableColumn id="7" name="2025" totalsRowFunction="sum" dataDxfId="1523" totalsRowDxfId="1522" dataCellStyle="Comma 3">
      <calculatedColumnFormula>I515</calculatedColumnFormula>
    </tableColumn>
    <tableColumn id="8" name="2030" totalsRowFunction="sum" dataDxfId="1521" totalsRowDxfId="1520" dataCellStyle="Comma 3">
      <calculatedColumnFormula>J515</calculatedColumnFormula>
    </tableColumn>
    <tableColumn id="9" name="2035" totalsRowFunction="sum" dataDxfId="1519" totalsRowDxfId="1518" dataCellStyle="Comma 3">
      <calculatedColumnFormula>K515</calculatedColumnFormula>
    </tableColumn>
    <tableColumn id="10" name="2040" totalsRowFunction="sum" dataDxfId="1517" totalsRowDxfId="1516" dataCellStyle="Comma 3">
      <calculatedColumnFormula>L515</calculatedColumnFormula>
    </tableColumn>
    <tableColumn id="11" name="2045" totalsRowFunction="sum" dataDxfId="1515" totalsRowDxfId="1514" dataCellStyle="Comma 3">
      <calculatedColumnFormula>M515</calculatedColumnFormula>
    </tableColumn>
    <tableColumn id="12" name="2050" totalsRowFunction="sum" dataDxfId="1513" totalsRowDxfId="1512"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1" dataDxfId="1510" tableBorderDxfId="1509" dataCellStyle="Comma">
  <autoFilter ref="C732:N740"/>
  <tableColumns count="12">
    <tableColumn id="1" name="Vector" totalsRowLabel="Total" dataDxfId="1508" totalsRowDxfId="1507"/>
    <tableColumn id="2" name="Name" dataDxfId="1506" totalsRowDxfId="1505">
      <calculatedColumnFormula>INDEX(Vectors[Description], MATCH(IX.c.Outputs[Vector], Vectors[Code], 0))</calculatedColumnFormula>
    </tableColumn>
    <tableColumn id="3" name="Notes" dataDxfId="1504" totalsRowDxfId="1503"/>
    <tableColumn id="4" name="2013" totalsRowFunction="sum" dataDxfId="1502" totalsRowDxfId="1501" dataCellStyle="Comma"/>
    <tableColumn id="5" name="2015" totalsRowFunction="sum" dataDxfId="1500" totalsRowDxfId="1499" dataCellStyle="Comma"/>
    <tableColumn id="6" name="2020" totalsRowFunction="sum" dataDxfId="1498" totalsRowDxfId="1497" dataCellStyle="Comma"/>
    <tableColumn id="7" name="2025" totalsRowFunction="sum" dataDxfId="1496" totalsRowDxfId="1495" dataCellStyle="Comma"/>
    <tableColumn id="8" name="2030" totalsRowFunction="sum" dataDxfId="1494" totalsRowDxfId="1493" dataCellStyle="Comma"/>
    <tableColumn id="9" name="2035" totalsRowFunction="sum" dataDxfId="1492" totalsRowDxfId="1491" dataCellStyle="Comma"/>
    <tableColumn id="10" name="2040" totalsRowFunction="sum" dataDxfId="1490" totalsRowDxfId="1489" dataCellStyle="Comma"/>
    <tableColumn id="11" name="2045" totalsRowFunction="sum" dataDxfId="1488" totalsRowDxfId="1487" dataCellStyle="Comma"/>
    <tableColumn id="12" name="2050" totalsRowFunction="sum" dataDxfId="1486" totalsRowDxfId="1485"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4" dataDxfId="1482" headerRowBorderDxfId="1483" dataCellStyle="Comma">
  <autoFilter ref="C748:N751"/>
  <tableColumns count="12">
    <tableColumn id="1" name="GHG" totalsRowLabel="Total" dataDxfId="1481" totalsRowDxfId="1480"/>
    <tableColumn id="2" name="IPCC Sector" dataDxfId="1479" totalsRowDxfId="1478"/>
    <tableColumn id="3" name="Notes" dataDxfId="1477" totalsRowDxfId="1476">
      <calculatedColumnFormula>INDEX(IPCC[Sector_description], MATCH(IX.c.NoCHP.Emissions[IPCC Sector], IPCC[Sector_code], 0))</calculatedColumnFormula>
    </tableColumn>
    <tableColumn id="4" name="2013" totalsRowFunction="sum" dataDxfId="1475" totalsRowDxfId="1474" dataCellStyle="Comma 3">
      <calculatedColumnFormula>F765-F757</calculatedColumnFormula>
    </tableColumn>
    <tableColumn id="5" name="2015" totalsRowFunction="sum" dataDxfId="1473" totalsRowDxfId="1472" dataCellStyle="Comma 3">
      <calculatedColumnFormula>G765-G757</calculatedColumnFormula>
    </tableColumn>
    <tableColumn id="6" name="2020" totalsRowFunction="sum" dataDxfId="1471" totalsRowDxfId="1470" dataCellStyle="Comma 3">
      <calculatedColumnFormula>H765-H757</calculatedColumnFormula>
    </tableColumn>
    <tableColumn id="7" name="2025" totalsRowFunction="sum" dataDxfId="1469" totalsRowDxfId="1468" dataCellStyle="Comma 3">
      <calculatedColumnFormula>I765-I757</calculatedColumnFormula>
    </tableColumn>
    <tableColumn id="8" name="2030" totalsRowFunction="sum" dataDxfId="1467" totalsRowDxfId="1466" dataCellStyle="Comma 3">
      <calculatedColumnFormula>J765-J757</calculatedColumnFormula>
    </tableColumn>
    <tableColumn id="9" name="2035" totalsRowFunction="sum" dataDxfId="1465" totalsRowDxfId="1464" dataCellStyle="Comma 3">
      <calculatedColumnFormula>K765-K757</calculatedColumnFormula>
    </tableColumn>
    <tableColumn id="10" name="2040" totalsRowFunction="sum" dataDxfId="1463" totalsRowDxfId="1462" dataCellStyle="Comma 3">
      <calculatedColumnFormula>L765-L757</calculatedColumnFormula>
    </tableColumn>
    <tableColumn id="11" name="2045" totalsRowFunction="sum" dataDxfId="1461" totalsRowDxfId="1460" dataCellStyle="Comma 3">
      <calculatedColumnFormula>M765-M757</calculatedColumnFormula>
    </tableColumn>
    <tableColumn id="12" name="2050" totalsRowFunction="sum" dataDxfId="1459" totalsRowDxfId="1458"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7" dataDxfId="1455" headerRowBorderDxfId="1456" dataCellStyle="Comma">
  <autoFilter ref="C756:N759"/>
  <tableColumns count="12">
    <tableColumn id="1" name="GHG" totalsRowLabel="Total" dataDxfId="1454" totalsRowDxfId="1453"/>
    <tableColumn id="2" name="IPCC Sector" dataDxfId="1452" totalsRowDxfId="1451"/>
    <tableColumn id="3" name="Notes" dataDxfId="1450" totalsRowDxfId="1449">
      <calculatedColumnFormula>INDEX(IPCC[Sector_description], MATCH(IX.c.CHP.Emissions[IPCC Sector], IPCC[Sector_code], 0))</calculatedColumnFormula>
    </tableColumn>
    <tableColumn id="4" name="2013" totalsRowFunction="sum" dataDxfId="1448" totalsRowDxfId="1447" dataCellStyle="Comma 3">
      <calculatedColumnFormula>F527</calculatedColumnFormula>
    </tableColumn>
    <tableColumn id="5" name="2015" totalsRowFunction="sum" dataDxfId="1446" totalsRowDxfId="1445" dataCellStyle="Comma 3">
      <calculatedColumnFormula>G527</calculatedColumnFormula>
    </tableColumn>
    <tableColumn id="6" name="2020" totalsRowFunction="sum" dataDxfId="1444" totalsRowDxfId="1443" dataCellStyle="Comma 3">
      <calculatedColumnFormula>H527</calculatedColumnFormula>
    </tableColumn>
    <tableColumn id="7" name="2025" totalsRowFunction="sum" dataDxfId="1442" totalsRowDxfId="1441" dataCellStyle="Comma 3">
      <calculatedColumnFormula>I527</calculatedColumnFormula>
    </tableColumn>
    <tableColumn id="8" name="2030" totalsRowFunction="sum" dataDxfId="1440" totalsRowDxfId="1439" dataCellStyle="Comma 3">
      <calculatedColumnFormula>J527</calculatedColumnFormula>
    </tableColumn>
    <tableColumn id="9" name="2035" totalsRowFunction="sum" dataDxfId="1438" totalsRowDxfId="1437" dataCellStyle="Comma 3">
      <calculatedColumnFormula>K527</calculatedColumnFormula>
    </tableColumn>
    <tableColumn id="10" name="2040" totalsRowFunction="sum" dataDxfId="1436" totalsRowDxfId="1435" dataCellStyle="Comma 3">
      <calculatedColumnFormula>L527</calculatedColumnFormula>
    </tableColumn>
    <tableColumn id="11" name="2045" totalsRowFunction="sum" dataDxfId="1434" totalsRowDxfId="1433" dataCellStyle="Comma 3">
      <calculatedColumnFormula>M527</calculatedColumnFormula>
    </tableColumn>
    <tableColumn id="12" name="2050" totalsRowFunction="sum" dataDxfId="1432" totalsRowDxfId="1431"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0" dataDxfId="1428" headerRowBorderDxfId="1429" dataCellStyle="Comma 3">
  <autoFilter ref="C764:N767"/>
  <tableColumns count="12">
    <tableColumn id="1" name="GHG" totalsRowLabel="Total" dataDxfId="1427" totalsRowDxfId="1426"/>
    <tableColumn id="2" name="IPCC Sector" dataDxfId="1425" totalsRowDxfId="1424"/>
    <tableColumn id="3" name="Notes" dataDxfId="1423" totalsRowDxfId="1422">
      <calculatedColumnFormula>INDEX(IPCC[Sector_description], MATCH(IX.c.Emissions[IPCC Sector], IPCC[Sector_code], 0))</calculatedColumnFormula>
    </tableColumn>
    <tableColumn id="4" name="2013" totalsRowFunction="sum" dataDxfId="1421" totalsRowDxfId="1420" dataCellStyle="Comma 3"/>
    <tableColumn id="5" name="2015" totalsRowFunction="sum" dataDxfId="1419" totalsRowDxfId="1418" dataCellStyle="Comma 3"/>
    <tableColumn id="6" name="2020" totalsRowFunction="sum" dataDxfId="1417" totalsRowDxfId="1416" dataCellStyle="Comma 3"/>
    <tableColumn id="7" name="2025" totalsRowFunction="sum" dataDxfId="1415" totalsRowDxfId="1414" dataCellStyle="Comma 3"/>
    <tableColumn id="8" name="2030" totalsRowFunction="sum" dataDxfId="1413" totalsRowDxfId="1412" dataCellStyle="Comma 3"/>
    <tableColumn id="9" name="2035" totalsRowFunction="sum" dataDxfId="1411" totalsRowDxfId="1410" dataCellStyle="Comma 3"/>
    <tableColumn id="10" name="2040" totalsRowFunction="sum" dataDxfId="1409" totalsRowDxfId="1408" dataCellStyle="Comma 3"/>
    <tableColumn id="11" name="2045" totalsRowFunction="sum" dataDxfId="1407" totalsRowDxfId="1406" dataCellStyle="Comma 3"/>
    <tableColumn id="12" name="2050" totalsRowFunction="sum" dataDxfId="1405" totalsRowDxfId="1404"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3" dataDxfId="1401" headerRowBorderDxfId="1402">
  <autoFilter ref="C772:N776"/>
  <tableColumns count="12">
    <tableColumn id="1" name="Vector" dataDxfId="1400">
      <calculatedColumnFormula>INDEX(AirQualityVectors[Code],MATCH(D773,AirQualityVectors[Description],0))</calculatedColumnFormula>
    </tableColumn>
    <tableColumn id="2" name="Name" dataDxfId="1399"/>
    <tableColumn id="3" name="Notes" dataDxfId="1398"/>
    <tableColumn id="4" name="2013" dataDxfId="1397">
      <calculatedColumnFormula>F488</calculatedColumnFormula>
    </tableColumn>
    <tableColumn id="5" name="2015" dataDxfId="1396">
      <calculatedColumnFormula>G488</calculatedColumnFormula>
    </tableColumn>
    <tableColumn id="6" name="2020" dataDxfId="1395">
      <calculatedColumnFormula>H488</calculatedColumnFormula>
    </tableColumn>
    <tableColumn id="7" name="2025" dataDxfId="1394">
      <calculatedColumnFormula>I488</calculatedColumnFormula>
    </tableColumn>
    <tableColumn id="8" name="2030" dataDxfId="1393">
      <calculatedColumnFormula>J488</calculatedColumnFormula>
    </tableColumn>
    <tableColumn id="9" name="2035" dataDxfId="1392">
      <calculatedColumnFormula>K488</calculatedColumnFormula>
    </tableColumn>
    <tableColumn id="10" name="2040" dataDxfId="1391">
      <calculatedColumnFormula>L488</calculatedColumnFormula>
    </tableColumn>
    <tableColumn id="11" name="2045" dataDxfId="1390">
      <calculatedColumnFormula>M488</calculatedColumnFormula>
    </tableColumn>
    <tableColumn id="12" name="2050" dataDxfId="1389">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8" dataDxfId="1386" headerRowBorderDxfId="1387" dataCellStyle="Comma">
  <autoFilter ref="C783:N785"/>
  <tableColumns count="12">
    <tableColumn id="1" name="Vector" dataDxfId="1385"/>
    <tableColumn id="2" name="Information type" dataDxfId="1384">
      <calculatedColumnFormula>INDEX(Vectors[Description], MATCH(IX.c.info[Vector], Vectors[Code], 0))</calculatedColumnFormula>
    </tableColumn>
    <tableColumn id="3" name="Notes" dataDxfId="1383">
      <calculatedColumnFormula>Preferences.PowerUnits</calculatedColumnFormula>
    </tableColumn>
    <tableColumn id="4" name="2013" dataDxfId="1382" dataCellStyle="Comma 3"/>
    <tableColumn id="5" name="2015" dataDxfId="1381" dataCellStyle="Comma 3"/>
    <tableColumn id="6" name="2020" dataDxfId="1380" dataCellStyle="Comma 3"/>
    <tableColumn id="7" name="2025" dataDxfId="1379" dataCellStyle="Comma 3"/>
    <tableColumn id="8" name="2030" dataDxfId="1378" dataCellStyle="Comma 3"/>
    <tableColumn id="9" name="2035" dataDxfId="1377" dataCellStyle="Comma 3"/>
    <tableColumn id="10" name="2040" dataDxfId="1376" dataCellStyle="Comma 3"/>
    <tableColumn id="11" name="2045" dataDxfId="1375" dataCellStyle="Comma 3"/>
    <tableColumn id="12" name="2050" dataDxfId="1374"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3" dataDxfId="1372" tableBorderDxfId="1371" dataCellStyle="Comma">
  <autoFilter ref="C181:N184"/>
  <tableColumns count="12">
    <tableColumn id="1" name="Vector" totalsRowLabel="Total" dataDxfId="1370" totalsRowDxfId="1369"/>
    <tableColumn id="2" name="Name" dataDxfId="1368" totalsRowDxfId="1367">
      <calculatedColumnFormula>INDEX(Vectors[Description], MATCH(X.a.Outputs[Vector], Vectors[Code], 0))</calculatedColumnFormula>
    </tableColumn>
    <tableColumn id="3" name="Notes" dataDxfId="1366" totalsRowDxfId="1365"/>
    <tableColumn id="4" name="2013" totalsRowFunction="sum" totalsRowDxfId="1364">
      <calculatedColumnFormula>-F130</calculatedColumnFormula>
    </tableColumn>
    <tableColumn id="5" name="2015" totalsRowFunction="sum" dataDxfId="1363" totalsRowDxfId="1362" dataCellStyle="Comma">
      <calculatedColumnFormula>-G130</calculatedColumnFormula>
    </tableColumn>
    <tableColumn id="6" name="2020" totalsRowFunction="sum" dataDxfId="1361" totalsRowDxfId="1360" dataCellStyle="Comma">
      <calculatedColumnFormula>-H130</calculatedColumnFormula>
    </tableColumn>
    <tableColumn id="7" name="2025" totalsRowFunction="sum" dataDxfId="1359" totalsRowDxfId="1358" dataCellStyle="Comma">
      <calculatedColumnFormula>-I130</calculatedColumnFormula>
    </tableColumn>
    <tableColumn id="8" name="2030" totalsRowFunction="sum" dataDxfId="1357" totalsRowDxfId="1356" dataCellStyle="Comma">
      <calculatedColumnFormula>-J130</calculatedColumnFormula>
    </tableColumn>
    <tableColumn id="9" name="2035" totalsRowFunction="sum" dataDxfId="1355" totalsRowDxfId="1354" dataCellStyle="Comma">
      <calculatedColumnFormula>-K130</calculatedColumnFormula>
    </tableColumn>
    <tableColumn id="10" name="2040" totalsRowFunction="sum" dataDxfId="1353" totalsRowDxfId="1352" dataCellStyle="Comma">
      <calculatedColumnFormula>-L130</calculatedColumnFormula>
    </tableColumn>
    <tableColumn id="11" name="2045" totalsRowFunction="sum" dataDxfId="1351" totalsRowDxfId="1350" dataCellStyle="Comma">
      <calculatedColumnFormula>-M130</calculatedColumnFormula>
    </tableColumn>
    <tableColumn id="12" name="2050" totalsRowFunction="sum" dataDxfId="1349" totalsRowDxfId="1348"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7" headerRowBorderDxfId="1346">
  <autoFilter ref="C192:N195"/>
  <tableColumns count="12">
    <tableColumn id="1" name="GHG" totalsRowLabel="Total" dataDxfId="1345" totalsRowDxfId="1344"/>
    <tableColumn id="2" name="IPCC Sector" dataDxfId="1343" totalsRowDxfId="1342"/>
    <tableColumn id="3" name="Notes" dataDxfId="1341" totalsRowDxfId="1340"/>
    <tableColumn id="4" name="2013" totalsRowFunction="sum" totalsRowDxfId="1339">
      <calculatedColumnFormula>F156</calculatedColumnFormula>
    </tableColumn>
    <tableColumn id="5" name="2015" totalsRowFunction="sum" totalsRowDxfId="1338">
      <calculatedColumnFormula>G156</calculatedColumnFormula>
    </tableColumn>
    <tableColumn id="6" name="2020" totalsRowFunction="sum" totalsRowDxfId="1337">
      <calculatedColumnFormula>H156</calculatedColumnFormula>
    </tableColumn>
    <tableColumn id="7" name="2025" totalsRowFunction="sum" totalsRowDxfId="1336">
      <calculatedColumnFormula>I156</calculatedColumnFormula>
    </tableColumn>
    <tableColumn id="8" name="2030" totalsRowFunction="sum" totalsRowDxfId="1335">
      <calculatedColumnFormula>J156</calculatedColumnFormula>
    </tableColumn>
    <tableColumn id="9" name="2035" totalsRowFunction="sum" totalsRowDxfId="1334">
      <calculatedColumnFormula>K156</calculatedColumnFormula>
    </tableColumn>
    <tableColumn id="10" name="2040" totalsRowFunction="sum" totalsRowDxfId="1333">
      <calculatedColumnFormula>L156</calculatedColumnFormula>
    </tableColumn>
    <tableColumn id="11" name="2045" totalsRowFunction="sum" totalsRowDxfId="1332">
      <calculatedColumnFormula>M156</calculatedColumnFormula>
    </tableColumn>
    <tableColumn id="12" name="2050" totalsRowFunction="sum" totalsRowDxfId="1331">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0" dataDxfId="1328" headerRowBorderDxfId="1329" tableBorderDxfId="1327">
  <autoFilter ref="C200:N204"/>
  <tableColumns count="12">
    <tableColumn id="1" name="Vector" dataDxfId="1326"/>
    <tableColumn id="2" name="Name" dataDxfId="1325"/>
    <tableColumn id="3" name="IPCC Sector" dataDxfId="1324"/>
    <tableColumn id="4" name="2013" dataDxfId="1323"/>
    <tableColumn id="5" name="2015" dataDxfId="1322"/>
    <tableColumn id="6" name="2020" dataDxfId="1321"/>
    <tableColumn id="7" name="2025" dataDxfId="1320"/>
    <tableColumn id="8" name="2030" dataDxfId="1319"/>
    <tableColumn id="9" name="2035" dataDxfId="1318"/>
    <tableColumn id="10" name="2040" dataDxfId="1317"/>
    <tableColumn id="11" name="2045" dataDxfId="1316"/>
    <tableColumn id="12" name="2050" dataDxfId="1315"/>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4" dataDxfId="1313" tableBorderDxfId="1312" dataCellStyle="Comma">
  <autoFilter ref="C152:N155"/>
  <tableColumns count="12">
    <tableColumn id="1" name="Vector" totalsRowLabel="Total" dataDxfId="1311" totalsRowDxfId="1310"/>
    <tableColumn id="2" name="Name" dataDxfId="1309" totalsRowDxfId="1308">
      <calculatedColumnFormula>INDEX(Vectors[Description], MATCH(X.b.Outputs[Vector], Vectors[Code], 0))</calculatedColumnFormula>
    </tableColumn>
    <tableColumn id="3" name="Notes" dataDxfId="1307" totalsRowDxfId="1306"/>
    <tableColumn id="4" name="2013" totalsRowFunction="sum" dataDxfId="1305" totalsRowDxfId="1304" dataCellStyle="Comma">
      <calculatedColumnFormula>-F114</calculatedColumnFormula>
    </tableColumn>
    <tableColumn id="5" name="2015" totalsRowFunction="sum" dataDxfId="1303" totalsRowDxfId="1302" dataCellStyle="Comma">
      <calculatedColumnFormula>-G114</calculatedColumnFormula>
    </tableColumn>
    <tableColumn id="6" name="2020" totalsRowFunction="sum" dataDxfId="1301" totalsRowDxfId="1300" dataCellStyle="Comma">
      <calculatedColumnFormula>-H114</calculatedColumnFormula>
    </tableColumn>
    <tableColumn id="7" name="2025" totalsRowFunction="sum" dataDxfId="1299" totalsRowDxfId="1298" dataCellStyle="Comma">
      <calculatedColumnFormula>-I114</calculatedColumnFormula>
    </tableColumn>
    <tableColumn id="8" name="2030" totalsRowFunction="sum" dataDxfId="1297" totalsRowDxfId="1296" dataCellStyle="Comma">
      <calculatedColumnFormula>-J114</calculatedColumnFormula>
    </tableColumn>
    <tableColumn id="9" name="2035" totalsRowFunction="sum" dataDxfId="1295" totalsRowDxfId="1294" dataCellStyle="Comma">
      <calculatedColumnFormula>-K114</calculatedColumnFormula>
    </tableColumn>
    <tableColumn id="10" name="2040" totalsRowFunction="sum" dataDxfId="1293" totalsRowDxfId="1292" dataCellStyle="Comma">
      <calculatedColumnFormula>-L114</calculatedColumnFormula>
    </tableColumn>
    <tableColumn id="11" name="2045" totalsRowFunction="sum" dataDxfId="1291" totalsRowDxfId="1290" dataCellStyle="Comma">
      <calculatedColumnFormula>-M114</calculatedColumnFormula>
    </tableColumn>
    <tableColumn id="12" name="2050" totalsRowFunction="sum" dataDxfId="1289" totalsRowDxfId="1288"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7" dataDxfId="1285" headerRowBorderDxfId="1286" dataCellStyle="Comma">
  <autoFilter ref="C163:N166"/>
  <tableColumns count="12">
    <tableColumn id="1" name="GHG" totalsRowLabel="Total" dataDxfId="1284" totalsRowDxfId="1283"/>
    <tableColumn id="2" name="IPCC Sector" dataDxfId="1282" totalsRowDxfId="1281"/>
    <tableColumn id="3" name="Notes" dataDxfId="1280" totalsRowDxfId="1279"/>
    <tableColumn id="4" name="2013" dataDxfId="1278" totalsRowDxfId="1277" dataCellStyle="Comma">
      <calculatedColumnFormula>F120</calculatedColumnFormula>
    </tableColumn>
    <tableColumn id="5" name="2015" dataDxfId="1276" totalsRowDxfId="1275" dataCellStyle="Comma">
      <calculatedColumnFormula>G120</calculatedColumnFormula>
    </tableColumn>
    <tableColumn id="6" name="2020" dataDxfId="1274" totalsRowDxfId="1273" dataCellStyle="Comma">
      <calculatedColumnFormula>H120</calculatedColumnFormula>
    </tableColumn>
    <tableColumn id="7" name="2025" dataDxfId="1272" totalsRowDxfId="1271" dataCellStyle="Comma">
      <calculatedColumnFormula>I120</calculatedColumnFormula>
    </tableColumn>
    <tableColumn id="8" name="2030" dataDxfId="1270" totalsRowDxfId="1269" dataCellStyle="Comma">
      <calculatedColumnFormula>J120</calculatedColumnFormula>
    </tableColumn>
    <tableColumn id="9" name="2035" dataDxfId="1268" totalsRowDxfId="1267" dataCellStyle="Comma">
      <calculatedColumnFormula>K120</calculatedColumnFormula>
    </tableColumn>
    <tableColumn id="10" name="2040" dataDxfId="1266" totalsRowDxfId="1265" dataCellStyle="Comma">
      <calculatedColumnFormula>L120</calculatedColumnFormula>
    </tableColumn>
    <tableColumn id="11" name="2045" dataDxfId="1264" totalsRowDxfId="1263" dataCellStyle="Comma">
      <calculatedColumnFormula>M120</calculatedColumnFormula>
    </tableColumn>
    <tableColumn id="12" name="2050" totalsRowFunction="sum" dataDxfId="1262" totalsRowDxfId="1261"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0" dataDxfId="1258" headerRowBorderDxfId="1259" tableBorderDxfId="1257">
  <autoFilter ref="C171:N175"/>
  <tableColumns count="12">
    <tableColumn id="1" name="Vector" dataDxfId="1256">
      <calculatedColumnFormula>INDEX(AirQualityVectors[Code],MATCH(D172,AirQualityVectors[Description],0))</calculatedColumnFormula>
    </tableColumn>
    <tableColumn id="2" name="Name" dataDxfId="1255"/>
    <tableColumn id="3" name="IPCC Sector" dataDxfId="1254"/>
    <tableColumn id="4" name="2013" dataDxfId="1253"/>
    <tableColumn id="5" name="2015" dataDxfId="1252"/>
    <tableColumn id="6" name="2020" dataDxfId="1251"/>
    <tableColumn id="7" name="2025" dataDxfId="1250"/>
    <tableColumn id="8" name="2030" dataDxfId="1249"/>
    <tableColumn id="9" name="2035" dataDxfId="1248"/>
    <tableColumn id="10" name="2040" dataDxfId="1247"/>
    <tableColumn id="11" name="2045" dataDxfId="1246"/>
    <tableColumn id="12" name="2050" dataDxfId="1245"/>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4" dataDxfId="1243" tableBorderDxfId="1242" dataCellStyle="Comma">
  <autoFilter ref="C436:N442"/>
  <tableColumns count="12">
    <tableColumn id="1" name="Vector" totalsRowLabel="Total" dataDxfId="1241" totalsRowDxfId="1240"/>
    <tableColumn id="2" name="Name" dataDxfId="1239" totalsRowDxfId="1238">
      <calculatedColumnFormula>INDEX(Vectors[Description], MATCH(XI.a.Outputs[Vector], Vectors[Code], 0))</calculatedColumnFormula>
    </tableColumn>
    <tableColumn id="3" name="Notes" dataDxfId="1237" totalsRowDxfId="1236"/>
    <tableColumn id="4" name="2013" totalsRowFunction="sum" dataDxfId="1235" totalsRowDxfId="1234" dataCellStyle="Comma">
      <calculatedColumnFormula>-F239</calculatedColumnFormula>
    </tableColumn>
    <tableColumn id="5" name="2015" totalsRowFunction="sum" dataDxfId="1233" totalsRowDxfId="1232" dataCellStyle="Comma">
      <calculatedColumnFormula>-G239</calculatedColumnFormula>
    </tableColumn>
    <tableColumn id="6" name="2020" totalsRowFunction="sum" dataDxfId="1231" totalsRowDxfId="1230" dataCellStyle="Comma">
      <calculatedColumnFormula>-H239</calculatedColumnFormula>
    </tableColumn>
    <tableColumn id="7" name="2025" totalsRowFunction="sum" dataDxfId="1229" totalsRowDxfId="1228" dataCellStyle="Comma">
      <calculatedColumnFormula>-I239</calculatedColumnFormula>
    </tableColumn>
    <tableColumn id="8" name="2030" totalsRowFunction="sum" dataDxfId="1227" totalsRowDxfId="1226" dataCellStyle="Comma">
      <calculatedColumnFormula>-J239</calculatedColumnFormula>
    </tableColumn>
    <tableColumn id="9" name="2035" totalsRowFunction="sum" dataDxfId="1225" totalsRowDxfId="1224" dataCellStyle="Comma">
      <calculatedColumnFormula>-K239</calculatedColumnFormula>
    </tableColumn>
    <tableColumn id="10" name="2040" totalsRowFunction="sum" dataDxfId="1223" totalsRowDxfId="1222" dataCellStyle="Comma">
      <calculatedColumnFormula>-L239</calculatedColumnFormula>
    </tableColumn>
    <tableColumn id="11" name="2045" totalsRowFunction="sum" dataDxfId="1221" totalsRowDxfId="1220" dataCellStyle="Comma">
      <calculatedColumnFormula>-M239</calculatedColumnFormula>
    </tableColumn>
    <tableColumn id="12" name="2050" totalsRowFunction="sum" dataDxfId="1219" totalsRowDxfId="1218"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7" dataDxfId="1215" headerRowBorderDxfId="1216">
  <autoFilter ref="C450:N458"/>
  <tableColumns count="12">
    <tableColumn id="1" name="GHG" totalsRowLabel="Total" dataDxfId="1214" totalsRowDxfId="1213"/>
    <tableColumn id="2" name="IPCC Sector" dataDxfId="1212" totalsRowDxfId="1211"/>
    <tableColumn id="3" name="Notes" dataDxfId="1210" totalsRowDxfId="1209">
      <calculatedColumnFormula>INDEX(IPCC[Sector_description], MATCH(XI.a.Emissions[IPCC Sector], IPCC[Sector_code], 0))</calculatedColumnFormula>
    </tableColumn>
    <tableColumn id="4" name="2013" totalsRowFunction="sum" dataDxfId="1208" totalsRowDxfId="1207"/>
    <tableColumn id="5" name="2015" totalsRowFunction="sum" dataDxfId="1206" totalsRowDxfId="1205"/>
    <tableColumn id="6" name="2020" totalsRowFunction="sum" dataDxfId="1204" totalsRowDxfId="1203"/>
    <tableColumn id="7" name="2025" totalsRowFunction="sum" dataDxfId="1202" totalsRowDxfId="1201"/>
    <tableColumn id="8" name="2030" totalsRowFunction="sum" dataDxfId="1200" totalsRowDxfId="1199"/>
    <tableColumn id="9" name="2035" totalsRowFunction="sum" dataDxfId="1198" totalsRowDxfId="1197"/>
    <tableColumn id="10" name="2040" totalsRowFunction="sum" dataDxfId="1196" totalsRowDxfId="1195"/>
    <tableColumn id="11" name="2045" totalsRowFunction="sum" dataDxfId="1194" totalsRowDxfId="1193"/>
    <tableColumn id="12" name="2050" totalsRowFunction="sum" dataDxfId="1192" totalsRowDxfId="1191"/>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0" dataDxfId="1188" headerRowBorderDxfId="1189" tableBorderDxfId="1187">
  <autoFilter ref="C463:N467"/>
  <tableColumns count="12">
    <tableColumn id="1" name="Vector" dataDxfId="1186">
      <calculatedColumnFormula>INDEX(AirQualityVectors[Code],MATCH(D464,AirQualityVectors[Description],0))</calculatedColumnFormula>
    </tableColumn>
    <tableColumn id="2" name="Name" dataDxfId="1185"/>
    <tableColumn id="3" name="IPCC Sector" dataDxfId="1184"/>
    <tableColumn id="4" name="2013" dataDxfId="1183">
      <calculatedColumnFormula>F355</calculatedColumnFormula>
    </tableColumn>
    <tableColumn id="5" name="2015" dataDxfId="1182">
      <calculatedColumnFormula>G355</calculatedColumnFormula>
    </tableColumn>
    <tableColumn id="6" name="2020" dataDxfId="1181">
      <calculatedColumnFormula>H355</calculatedColumnFormula>
    </tableColumn>
    <tableColumn id="7" name="2025" dataDxfId="1180">
      <calculatedColumnFormula>I355</calculatedColumnFormula>
    </tableColumn>
    <tableColumn id="8" name="2030" dataDxfId="1179">
      <calculatedColumnFormula>J355</calculatedColumnFormula>
    </tableColumn>
    <tableColumn id="9" name="2035" dataDxfId="1178">
      <calculatedColumnFormula>K355</calculatedColumnFormula>
    </tableColumn>
    <tableColumn id="10" name="2040" dataDxfId="1177">
      <calculatedColumnFormula>L355</calculatedColumnFormula>
    </tableColumn>
    <tableColumn id="11" name="2045" dataDxfId="1176">
      <calculatedColumnFormula>M355</calculatedColumnFormula>
    </tableColumn>
    <tableColumn id="12" name="2050" dataDxfId="1175">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4" dataDxfId="1172" headerRowBorderDxfId="1173" tableBorderDxfId="1171">
  <autoFilter ref="C471:N475"/>
  <tableColumns count="12">
    <tableColumn id="1" name="Vector" dataDxfId="1170">
      <calculatedColumnFormula>INDEX(AirQualityVectors[Code],MATCH(D472,AirQualityVectors[Description],0))</calculatedColumnFormula>
    </tableColumn>
    <tableColumn id="2" name="Name" dataDxfId="1169"/>
    <tableColumn id="3" name="IPCC Sector" dataDxfId="1168"/>
    <tableColumn id="4" name="2013" dataDxfId="1167"/>
    <tableColumn id="5" name="2015" dataDxfId="1166"/>
    <tableColumn id="6" name="2020" dataDxfId="1165"/>
    <tableColumn id="7" name="2025" dataDxfId="1164"/>
    <tableColumn id="8" name="2030" dataDxfId="1163"/>
    <tableColumn id="9" name="2035" dataDxfId="1162"/>
    <tableColumn id="10" name="2040" dataDxfId="1161"/>
    <tableColumn id="11" name="2045" dataDxfId="1160"/>
    <tableColumn id="12" name="2050" dataDxfId="1159"/>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71:N779" totalsRowCount="1" headerRowDxfId="1157" dataDxfId="1156" tableBorderDxfId="1155" dataCellStyle="Comma">
  <autoFilter ref="C771:N778"/>
  <tableColumns count="12">
    <tableColumn id="1" name="Vector" totalsRowLabel="Total" dataDxfId="1154" totalsRowDxfId="1153"/>
    <tableColumn id="2" name="Name" dataDxfId="1152" totalsRowDxfId="1151">
      <calculatedColumnFormula>INDEX(Vectors[Description], MATCH(XII.a.Outputs[Vector], Vectors[Code], 0))</calculatedColumnFormula>
    </tableColumn>
    <tableColumn id="3" name="Notes" dataDxfId="1150" totalsRowDxfId="1149"/>
    <tableColumn id="4" name="2013" totalsRowFunction="sum" dataDxfId="1148" totalsRowDxfId="1147" dataCellStyle="Comma"/>
    <tableColumn id="5" name="2015" totalsRowFunction="sum" dataDxfId="1146" totalsRowDxfId="1145" dataCellStyle="Comma"/>
    <tableColumn id="6" name="2020" totalsRowFunction="sum" dataDxfId="1144" totalsRowDxfId="1143" dataCellStyle="Comma"/>
    <tableColumn id="7" name="2025" totalsRowFunction="sum" dataDxfId="1142" totalsRowDxfId="1141" dataCellStyle="Comma"/>
    <tableColumn id="8" name="2030" totalsRowFunction="sum" dataDxfId="1140" totalsRowDxfId="1139" dataCellStyle="Comma"/>
    <tableColumn id="9" name="2035" totalsRowFunction="sum" dataDxfId="1138" totalsRowDxfId="1137" dataCellStyle="Comma"/>
    <tableColumn id="10" name="2040" totalsRowFunction="sum" dataDxfId="1136" totalsRowDxfId="1135" dataCellStyle="Comma"/>
    <tableColumn id="11" name="2045" totalsRowFunction="sum" dataDxfId="1134" totalsRowDxfId="1133" dataCellStyle="Comma"/>
    <tableColumn id="12" name="2050" totalsRowFunction="sum" dataDxfId="1132" totalsRowDxfId="1131"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74:N186" totalsRowShown="0" headerRowDxfId="1130" dataDxfId="1128" headerRowBorderDxfId="1129" dataCellStyle="Comma">
  <autoFilter ref="C174:N186"/>
  <tableColumns count="12">
    <tableColumn id="1" name="Code" dataDxfId="1127"/>
    <tableColumn id="2" name="Mode" dataDxfId="1126"/>
    <tableColumn id="3" name="Technology" dataDxfId="1125"/>
    <tableColumn id="4" name="2013" dataDxfId="1124" dataCellStyle="Comma 3"/>
    <tableColumn id="5" name="2015" dataDxfId="1123" dataCellStyle="Comma 3"/>
    <tableColumn id="6" name="2020" dataDxfId="1122" dataCellStyle="Comma 3"/>
    <tableColumn id="7" name="2025" dataDxfId="1121" dataCellStyle="Comma 3"/>
    <tableColumn id="8" name="2030" dataDxfId="1120" dataCellStyle="Comma 3"/>
    <tableColumn id="9" name="2035" dataDxfId="1119" dataCellStyle="Comma 3"/>
    <tableColumn id="10" name="2040" dataDxfId="1118" dataCellStyle="Comma 3"/>
    <tableColumn id="11" name="2045" dataDxfId="1117" dataCellStyle="Comma 3"/>
    <tableColumn id="12" name="2050" dataDxfId="1116"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90:N202" totalsRowShown="0" headerRowDxfId="1115" dataDxfId="1113" headerRowBorderDxfId="1114" dataCellStyle="Comma">
  <autoFilter ref="C190:N202"/>
  <tableColumns count="12">
    <tableColumn id="1" name="Code" dataDxfId="1112"/>
    <tableColumn id="2" name="Mode" dataDxfId="1111"/>
    <tableColumn id="3" name="Technology" dataDxfId="1110"/>
    <tableColumn id="4" name="2013" dataDxfId="1109" dataCellStyle="Comma 3"/>
    <tableColumn id="5" name="2015" dataDxfId="1108" dataCellStyle="Comma 3"/>
    <tableColumn id="6" name="2020" dataDxfId="1107" dataCellStyle="Comma 3"/>
    <tableColumn id="7" name="2025" dataDxfId="1106" dataCellStyle="Comma 3"/>
    <tableColumn id="8" name="2030" dataDxfId="1105" dataCellStyle="Comma 3"/>
    <tableColumn id="9" name="2035" dataDxfId="1104" dataCellStyle="Comma 3"/>
    <tableColumn id="10" name="2040" dataDxfId="1103" dataCellStyle="Comma 3"/>
    <tableColumn id="11" name="2045" dataDxfId="1102" dataCellStyle="Comma 3"/>
    <tableColumn id="12" name="2050" dataDxfId="1101"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206:N218" totalsRowShown="0" headerRowDxfId="1100" dataDxfId="1098" headerRowBorderDxfId="1099" dataCellStyle="Comma">
  <autoFilter ref="C206:N218"/>
  <tableColumns count="12">
    <tableColumn id="1" name="Code" dataDxfId="1097"/>
    <tableColumn id="2" name="Mode" dataDxfId="1096"/>
    <tableColumn id="3" name="Technology" dataDxfId="1095"/>
    <tableColumn id="4" name="2013" dataDxfId="1094" dataCellStyle="Comma 3"/>
    <tableColumn id="5" name="2015" dataDxfId="1093" dataCellStyle="Comma 3"/>
    <tableColumn id="6" name="2020" dataDxfId="1092" dataCellStyle="Comma 3"/>
    <tableColumn id="7" name="2025" dataDxfId="1091" dataCellStyle="Comma 3"/>
    <tableColumn id="8" name="2030" dataDxfId="1090" dataCellStyle="Comma 3"/>
    <tableColumn id="9" name="2035" dataDxfId="1089" dataCellStyle="Comma 3"/>
    <tableColumn id="10" name="2040" dataDxfId="1088" dataCellStyle="Comma 3"/>
    <tableColumn id="11" name="2045" dataDxfId="1087" dataCellStyle="Comma 3"/>
    <tableColumn id="12" name="2050" dataDxfId="1086"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22:N234" totalsRowShown="0" headerRowDxfId="1085" dataDxfId="1083" headerRowBorderDxfId="1084" dataCellStyle="Comma">
  <autoFilter ref="C222:N234"/>
  <tableColumns count="12">
    <tableColumn id="1" name="Code" dataDxfId="1082"/>
    <tableColumn id="2" name="Mode" dataDxfId="1081"/>
    <tableColumn id="3" name="Technology" dataDxfId="1080"/>
    <tableColumn id="4" name="2013" dataDxfId="1079" dataCellStyle="Comma 3"/>
    <tableColumn id="5" name="2015" dataDxfId="1078" dataCellStyle="Comma 3"/>
    <tableColumn id="6" name="2020" dataDxfId="1077" dataCellStyle="Comma 3"/>
    <tableColumn id="7" name="2025" dataDxfId="1076" dataCellStyle="Comma 3"/>
    <tableColumn id="8" name="2030" dataDxfId="1075" dataCellStyle="Comma 3"/>
    <tableColumn id="9" name="2035" dataDxfId="1074" dataCellStyle="Comma 3"/>
    <tableColumn id="10" name="2040" dataDxfId="1073" dataCellStyle="Comma 3"/>
    <tableColumn id="11" name="2045" dataDxfId="1072" dataCellStyle="Comma 3"/>
    <tableColumn id="12" name="2050" dataDxfId="1071"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83:N789" totalsRowCount="1" headerRowDxfId="1070" dataDxfId="1069" dataCellStyle="Comma">
  <autoFilter ref="C783:N788"/>
  <tableColumns count="12">
    <tableColumn id="1" name="Vector" totalsRowLabel="Total" dataDxfId="1068" totalsRowDxfId="1067"/>
    <tableColumn id="2" name="Name" dataDxfId="1066" totalsRowDxfId="1065">
      <calculatedColumnFormula>INDEX(Vectors[Description], MATCH(XII.a.Road.Outputs[Vector], Vectors[Code], 0))</calculatedColumnFormula>
    </tableColumn>
    <tableColumn id="3" name="Notes" dataDxfId="1064" totalsRowDxfId="1063"/>
    <tableColumn id="4" name="2013" totalsRowFunction="sum" dataDxfId="1062" totalsRowDxfId="1061" dataCellStyle="Comma"/>
    <tableColumn id="5" name="2015" totalsRowFunction="sum" dataDxfId="1060" totalsRowDxfId="1059" dataCellStyle="Comma"/>
    <tableColumn id="6" name="2020" totalsRowFunction="sum" dataDxfId="1058" totalsRowDxfId="1057" dataCellStyle="Comma"/>
    <tableColumn id="7" name="2025" totalsRowFunction="sum" dataDxfId="1056" totalsRowDxfId="1055" dataCellStyle="Comma"/>
    <tableColumn id="8" name="2030" totalsRowFunction="sum" dataDxfId="1054" totalsRowDxfId="1053" dataCellStyle="Comma"/>
    <tableColumn id="9" name="2035" totalsRowFunction="sum" dataDxfId="1052" totalsRowDxfId="1051" dataCellStyle="Comma"/>
    <tableColumn id="10" name="2040" totalsRowFunction="sum" dataDxfId="1050" totalsRowDxfId="1049" dataCellStyle="Comma"/>
    <tableColumn id="11" name="2045" totalsRowFunction="sum" dataDxfId="1048" totalsRowDxfId="1047" dataCellStyle="Comma"/>
    <tableColumn id="12" name="2050" totalsRowFunction="sum" dataDxfId="1046" totalsRowDxfId="1045"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93:N798" totalsRowCount="1" headerRowDxfId="1044" dataDxfId="1043" dataCellStyle="Comma">
  <autoFilter ref="C793:N797"/>
  <tableColumns count="12">
    <tableColumn id="1" name="Vector" totalsRowLabel="Total" dataDxfId="1042" totalsRowDxfId="1041"/>
    <tableColumn id="2" name="Name" dataDxfId="1040" totalsRowDxfId="1039">
      <calculatedColumnFormula>INDEX(Vectors[Description], MATCH(XII.a.Rail.Outputs[Vector], Vectors[Code], 0))</calculatedColumnFormula>
    </tableColumn>
    <tableColumn id="3" name="Notes" dataDxfId="1038" totalsRowDxfId="1037"/>
    <tableColumn id="4" name="2013" totalsRowFunction="sum" dataDxfId="1036" totalsRowDxfId="1035" dataCellStyle="Comma"/>
    <tableColumn id="5" name="2015" totalsRowFunction="sum" dataDxfId="1034" totalsRowDxfId="1033" dataCellStyle="Comma"/>
    <tableColumn id="6" name="2020" totalsRowFunction="sum" dataDxfId="1032" totalsRowDxfId="1031" dataCellStyle="Comma"/>
    <tableColumn id="7" name="2025" totalsRowFunction="sum" dataDxfId="1030" totalsRowDxfId="1029" dataCellStyle="Comma"/>
    <tableColumn id="8" name="2030" totalsRowFunction="sum" dataDxfId="1028" totalsRowDxfId="1027" dataCellStyle="Comma"/>
    <tableColumn id="9" name="2035" totalsRowFunction="sum" dataDxfId="1026" totalsRowDxfId="1025" dataCellStyle="Comma"/>
    <tableColumn id="10" name="2040" totalsRowFunction="sum" dataDxfId="1024" totalsRowDxfId="1023" dataCellStyle="Comma"/>
    <tableColumn id="11" name="2045" totalsRowFunction="sum" dataDxfId="1022" totalsRowDxfId="1021" dataCellStyle="Comma"/>
    <tableColumn id="12" name="2050" totalsRowFunction="sum" dataDxfId="1020" totalsRowDxfId="1019"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802:N807" totalsRowCount="1" headerRowDxfId="1018" dataDxfId="1017" dataCellStyle="Comma">
  <autoFilter ref="C802:N806"/>
  <tableColumns count="12">
    <tableColumn id="1" name="Vector" totalsRowLabel="Total" dataDxfId="1016" totalsRowDxfId="1015"/>
    <tableColumn id="2" name="Name" dataDxfId="1014" totalsRowDxfId="1013">
      <calculatedColumnFormula>INDEX(Vectors[Description], MATCH(XII.a.Aviation.Outputs[Vector], Vectors[Code], 0))</calculatedColumnFormula>
    </tableColumn>
    <tableColumn id="3" name="Notes" dataDxfId="1012" totalsRowDxfId="1011"/>
    <tableColumn id="4" name="2013" totalsRowFunction="sum" dataDxfId="1010" totalsRowDxfId="1009" dataCellStyle="Comma"/>
    <tableColumn id="5" name="2015" totalsRowFunction="sum" dataDxfId="1008" totalsRowDxfId="1007" dataCellStyle="Comma"/>
    <tableColumn id="6" name="2020" totalsRowFunction="sum" dataDxfId="1006" totalsRowDxfId="1005" dataCellStyle="Comma"/>
    <tableColumn id="7" name="2025" totalsRowFunction="sum" dataDxfId="1004" totalsRowDxfId="1003" dataCellStyle="Comma"/>
    <tableColumn id="8" name="2030" totalsRowFunction="sum" dataDxfId="1002" totalsRowDxfId="1001" dataCellStyle="Comma"/>
    <tableColumn id="9" name="2035" totalsRowFunction="sum" dataDxfId="1000" totalsRowDxfId="999" dataCellStyle="Comma"/>
    <tableColumn id="10" name="2040" totalsRowFunction="sum" dataDxfId="998" totalsRowDxfId="997" dataCellStyle="Comma"/>
    <tableColumn id="11" name="2045" totalsRowFunction="sum" dataDxfId="996" totalsRowDxfId="995" dataCellStyle="Comma"/>
    <tableColumn id="12" name="2050" totalsRowFunction="sum" dataDxfId="994" totalsRowDxfId="993"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814:N818" totalsRowCount="1" headerRowDxfId="992" dataDxfId="990" headerRowBorderDxfId="991" dataCellStyle="Comma">
  <autoFilter ref="C814:N817"/>
  <tableColumns count="12">
    <tableColumn id="1" name="GHG" totalsRowLabel="Total" dataDxfId="989" totalsRowDxfId="988"/>
    <tableColumn id="2" name="IPCC Sector" dataDxfId="987" totalsRowDxfId="986"/>
    <tableColumn id="3" name="Notes" dataDxfId="985" totalsRowDxfId="984"/>
    <tableColumn id="4" name="2013" totalsRowFunction="sum" dataDxfId="983" totalsRowDxfId="982" dataCellStyle="Comma">
      <calculatedColumnFormula>F763</calculatedColumnFormula>
    </tableColumn>
    <tableColumn id="5" name="2015" totalsRowFunction="sum" dataDxfId="981" totalsRowDxfId="980" dataCellStyle="Comma"/>
    <tableColumn id="6" name="2020" totalsRowFunction="sum" dataDxfId="979" totalsRowDxfId="978" dataCellStyle="Comma"/>
    <tableColumn id="7" name="2025" totalsRowFunction="sum" dataDxfId="977" totalsRowDxfId="976" dataCellStyle="Comma"/>
    <tableColumn id="8" name="2030" totalsRowFunction="sum" dataDxfId="975" totalsRowDxfId="974" dataCellStyle="Comma"/>
    <tableColumn id="9" name="2035" totalsRowFunction="sum" dataDxfId="973" totalsRowDxfId="972" dataCellStyle="Comma"/>
    <tableColumn id="10" name="2040" totalsRowFunction="sum" dataDxfId="971" totalsRowDxfId="970" dataCellStyle="Comma"/>
    <tableColumn id="11" name="2045" totalsRowFunction="sum" dataDxfId="969" totalsRowDxfId="968" dataCellStyle="Comma"/>
    <tableColumn id="12" name="2050" totalsRowFunction="sum" dataDxfId="967" totalsRowDxfId="966"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822:N826" totalsRowCount="1" headerRowDxfId="965" dataDxfId="963" headerRowBorderDxfId="964" dataCellStyle="Comma">
  <autoFilter ref="C822:N825"/>
  <tableColumns count="12">
    <tableColumn id="1" name="GHG" totalsRowLabel="Total" dataDxfId="962" totalsRowDxfId="961"/>
    <tableColumn id="2" name="IPCC Sector" dataDxfId="960" totalsRowDxfId="959"/>
    <tableColumn id="3" name="Notes" dataDxfId="958" totalsRowDxfId="957"/>
    <tableColumn id="4" name="2013" totalsRowFunction="sum" dataDxfId="956" totalsRowDxfId="955" dataCellStyle="Comma">
      <calculatedColumnFormula>(F815*(F$785/F$775))+(-F787)</calculatedColumnFormula>
    </tableColumn>
    <tableColumn id="5" name="2015" totalsRowFunction="sum" dataDxfId="954" totalsRowDxfId="953" dataCellStyle="Comma">
      <calculatedColumnFormula>G815*(G$785/G$775)</calculatedColumnFormula>
    </tableColumn>
    <tableColumn id="6" name="2020" totalsRowFunction="sum" dataDxfId="952" totalsRowDxfId="951" dataCellStyle="Comma">
      <calculatedColumnFormula>H815*(H$785/H$775)</calculatedColumnFormula>
    </tableColumn>
    <tableColumn id="7" name="2025" totalsRowFunction="sum" dataDxfId="950" totalsRowDxfId="949" dataCellStyle="Comma">
      <calculatedColumnFormula>I815*(I$785/I$775)</calculatedColumnFormula>
    </tableColumn>
    <tableColumn id="8" name="2030" totalsRowFunction="sum" dataDxfId="948" totalsRowDxfId="947" dataCellStyle="Comma">
      <calculatedColumnFormula>J815*(J$785/J$775)</calculatedColumnFormula>
    </tableColumn>
    <tableColumn id="9" name="2035" totalsRowFunction="sum" dataDxfId="946" totalsRowDxfId="945" dataCellStyle="Comma">
      <calculatedColumnFormula>K815*(K$785/K$775)</calculatedColumnFormula>
    </tableColumn>
    <tableColumn id="10" name="2040" totalsRowFunction="sum" dataDxfId="944" totalsRowDxfId="943" dataCellStyle="Comma">
      <calculatedColumnFormula>L815*(L$785/L$775)</calculatedColumnFormula>
    </tableColumn>
    <tableColumn id="11" name="2045" totalsRowFunction="sum" dataDxfId="942" totalsRowDxfId="941" dataCellStyle="Comma">
      <calculatedColumnFormula>M815*(M$785/M$775)</calculatedColumnFormula>
    </tableColumn>
    <tableColumn id="12" name="2050" totalsRowFunction="sum" dataDxfId="940" totalsRowDxfId="939" dataCellStyle="Comma">
      <calculatedColumnFormula>N815*(N$785/N$775)</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830:N834" totalsRowCount="1" headerRowDxfId="938" dataDxfId="936" headerRowBorderDxfId="937" dataCellStyle="Comma">
  <autoFilter ref="C830:N833"/>
  <tableColumns count="12">
    <tableColumn id="1" name="GHG" totalsRowLabel="Total" dataDxfId="935" totalsRowDxfId="934"/>
    <tableColumn id="2" name="IPCC Sector" dataDxfId="933" totalsRowDxfId="932"/>
    <tableColumn id="3" name="Notes" dataDxfId="931" totalsRowDxfId="930"/>
    <tableColumn id="4" name="2013" totalsRowFunction="sum" dataDxfId="929" totalsRowDxfId="928" dataCellStyle="Comma">
      <calculatedColumnFormula>F815*(F$795/F$775)</calculatedColumnFormula>
    </tableColumn>
    <tableColumn id="5" name="2015" totalsRowFunction="sum" dataDxfId="927" totalsRowDxfId="926" dataCellStyle="Comma">
      <calculatedColumnFormula>G815*(G$795/G$775)</calculatedColumnFormula>
    </tableColumn>
    <tableColumn id="6" name="2020" totalsRowFunction="sum" dataDxfId="925" totalsRowDxfId="924" dataCellStyle="Comma">
      <calculatedColumnFormula>H815*(H$795/H$775)</calculatedColumnFormula>
    </tableColumn>
    <tableColumn id="7" name="2025" totalsRowFunction="sum" dataDxfId="923" totalsRowDxfId="922" dataCellStyle="Comma">
      <calculatedColumnFormula>I815*(I$795/I$775)</calculatedColumnFormula>
    </tableColumn>
    <tableColumn id="8" name="2030" totalsRowFunction="sum" dataDxfId="921" totalsRowDxfId="920" dataCellStyle="Comma">
      <calculatedColumnFormula>J815*(J$795/J$775)</calculatedColumnFormula>
    </tableColumn>
    <tableColumn id="9" name="2035" totalsRowFunction="sum" dataDxfId="919" totalsRowDxfId="918" dataCellStyle="Comma">
      <calculatedColumnFormula>K815*(K$795/K$775)</calculatedColumnFormula>
    </tableColumn>
    <tableColumn id="10" name="2040" totalsRowFunction="sum" dataDxfId="917" totalsRowDxfId="916" dataCellStyle="Comma">
      <calculatedColumnFormula>L815*(L$795/L$775)</calculatedColumnFormula>
    </tableColumn>
    <tableColumn id="11" name="2045" totalsRowFunction="sum" dataDxfId="915" totalsRowDxfId="914" dataCellStyle="Comma">
      <calculatedColumnFormula>M815*(M$795/M$775)</calculatedColumnFormula>
    </tableColumn>
    <tableColumn id="12" name="2050" totalsRowFunction="sum" dataDxfId="913" totalsRowDxfId="912" dataCellStyle="Comma">
      <calculatedColumnFormula>N815*(N$795/N$775)</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838:N842" totalsRowCount="1" headerRowDxfId="911" dataDxfId="909" headerRowBorderDxfId="910" dataCellStyle="Comma">
  <autoFilter ref="C838:N841"/>
  <tableColumns count="12">
    <tableColumn id="1" name="GHG" totalsRowLabel="Total" dataDxfId="908" totalsRowDxfId="907"/>
    <tableColumn id="2" name="IPCC Sector" dataDxfId="906" totalsRowDxfId="905"/>
    <tableColumn id="3" name="Notes" dataDxfId="904" totalsRowDxfId="903"/>
    <tableColumn id="4" name="2013" totalsRowFunction="sum" dataDxfId="902" totalsRowDxfId="901" dataCellStyle="Comma">
      <calculatedColumnFormula>F815*(F$804/F$775)</calculatedColumnFormula>
    </tableColumn>
    <tableColumn id="5" name="2015" totalsRowFunction="sum" dataDxfId="900" totalsRowDxfId="899" dataCellStyle="Comma">
      <calculatedColumnFormula>G815*(G$804/G$775)</calculatedColumnFormula>
    </tableColumn>
    <tableColumn id="6" name="2020" totalsRowFunction="sum" dataDxfId="898" totalsRowDxfId="897" dataCellStyle="Comma">
      <calculatedColumnFormula>H815*(H$804/H$775)</calculatedColumnFormula>
    </tableColumn>
    <tableColumn id="7" name="2025" totalsRowFunction="sum" dataDxfId="896" totalsRowDxfId="895" dataCellStyle="Comma">
      <calculatedColumnFormula>I815*(I$804/I$775)</calculatedColumnFormula>
    </tableColumn>
    <tableColumn id="8" name="2030" totalsRowFunction="sum" dataDxfId="894" totalsRowDxfId="893" dataCellStyle="Comma">
      <calculatedColumnFormula>J815*(J$804/J$775)</calculatedColumnFormula>
    </tableColumn>
    <tableColumn id="9" name="2035" totalsRowFunction="sum" dataDxfId="892" totalsRowDxfId="891" dataCellStyle="Comma">
      <calculatedColumnFormula>K815*(K$804/K$775)</calculatedColumnFormula>
    </tableColumn>
    <tableColumn id="10" name="2040" totalsRowFunction="sum" dataDxfId="890" totalsRowDxfId="889" dataCellStyle="Comma">
      <calculatedColumnFormula>L815*(L$804/L$775)</calculatedColumnFormula>
    </tableColumn>
    <tableColumn id="11" name="2045" totalsRowFunction="sum" dataDxfId="888" totalsRowDxfId="887" dataCellStyle="Comma">
      <calculatedColumnFormula>M815*(M$804/M$775)</calculatedColumnFormula>
    </tableColumn>
    <tableColumn id="12" name="2050" totalsRowFunction="sum" dataDxfId="886" totalsRowDxfId="885" dataCellStyle="Comma">
      <calculatedColumnFormula>N815*(N$804/N$775)</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50:N851" totalsRowShown="0" headerRowDxfId="884" dataDxfId="882" headerRowBorderDxfId="883" dataCellStyle="Comma">
  <autoFilter ref="C850:N851"/>
  <tableColumns count="12">
    <tableColumn id="1" name="Vector" dataDxfId="881"/>
    <tableColumn id="2" name="Information type" dataDxfId="880"/>
    <tableColumn id="3" name="Notes" dataDxfId="879">
      <calculatedColumnFormula>Preferences.PowerUnits</calculatedColumnFormula>
    </tableColumn>
    <tableColumn id="4" name="2013" dataDxfId="878" dataCellStyle="Comma 3">
      <calculatedColumnFormula>F726*Conversion.to.average.power</calculatedColumnFormula>
    </tableColumn>
    <tableColumn id="5" name="2015" dataDxfId="877" dataCellStyle="Comma 3">
      <calculatedColumnFormula>G726*Conversion.to.average.power</calculatedColumnFormula>
    </tableColumn>
    <tableColumn id="6" name="2020" dataDxfId="876" dataCellStyle="Comma 3">
      <calculatedColumnFormula>H726*Conversion.to.average.power</calculatedColumnFormula>
    </tableColumn>
    <tableColumn id="7" name="2025" dataDxfId="875" dataCellStyle="Comma 3">
      <calculatedColumnFormula>I726*Conversion.to.average.power</calculatedColumnFormula>
    </tableColumn>
    <tableColumn id="8" name="2030" dataDxfId="874" dataCellStyle="Comma 3">
      <calculatedColumnFormula>J726*Conversion.to.average.power</calculatedColumnFormula>
    </tableColumn>
    <tableColumn id="9" name="2035" dataDxfId="873" dataCellStyle="Comma 3">
      <calculatedColumnFormula>K726*Conversion.to.average.power</calculatedColumnFormula>
    </tableColumn>
    <tableColumn id="10" name="2040" dataDxfId="872" dataCellStyle="Comma 3">
      <calculatedColumnFormula>L726*Conversion.to.average.power</calculatedColumnFormula>
    </tableColumn>
    <tableColumn id="11" name="2045" dataDxfId="871" dataCellStyle="Comma 3">
      <calculatedColumnFormula>M726*Conversion.to.average.power</calculatedColumnFormula>
    </tableColumn>
    <tableColumn id="12" name="2050" dataDxfId="870" dataCellStyle="Comma 3">
      <calculatedColumnFormula>N726*Conversion.to.average.power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55:N856" totalsRowShown="0" headerRowDxfId="869" dataDxfId="867" headerRowBorderDxfId="868" dataCellStyle="Comma">
  <autoFilter ref="C855:N856"/>
  <tableColumns count="12">
    <tableColumn id="1" name="Vector" dataDxfId="866"/>
    <tableColumn id="2" name="Information type" dataDxfId="865"/>
    <tableColumn id="3" name="Notes" dataDxfId="864">
      <calculatedColumnFormula>Preferences.PowerUnits</calculatedColumnFormula>
    </tableColumn>
    <tableColumn id="4" name="2013" dataDxfId="863" dataCellStyle="Comma 3">
      <calculatedColumnFormula>F727*Conversion.to.average.power</calculatedColumnFormula>
    </tableColumn>
    <tableColumn id="5" name="2015" dataDxfId="862" dataCellStyle="Comma 3">
      <calculatedColumnFormula>G727*Conversion.to.average.power</calculatedColumnFormula>
    </tableColumn>
    <tableColumn id="6" name="2020" dataDxfId="861" dataCellStyle="Comma 3">
      <calculatedColumnFormula>H727*Conversion.to.average.power</calculatedColumnFormula>
    </tableColumn>
    <tableColumn id="7" name="2025" dataDxfId="860" dataCellStyle="Comma 3">
      <calculatedColumnFormula>I727*Conversion.to.average.power</calculatedColumnFormula>
    </tableColumn>
    <tableColumn id="8" name="2030" dataDxfId="859" dataCellStyle="Comma 3">
      <calculatedColumnFormula>J727*Conversion.to.average.power</calculatedColumnFormula>
    </tableColumn>
    <tableColumn id="9" name="2035" dataDxfId="858" dataCellStyle="Comma 3">
      <calculatedColumnFormula>K727*Conversion.to.average.power</calculatedColumnFormula>
    </tableColumn>
    <tableColumn id="10" name="2040" dataDxfId="857" dataCellStyle="Comma 3">
      <calculatedColumnFormula>L727*Conversion.to.average.power</calculatedColumnFormula>
    </tableColumn>
    <tableColumn id="11" name="2045" dataDxfId="856" dataCellStyle="Comma 3">
      <calculatedColumnFormula>M727*Conversion.to.average.power</calculatedColumnFormula>
    </tableColumn>
    <tableColumn id="12" name="2050" dataDxfId="855" dataCellStyle="Comma 3">
      <calculatedColumnFormula>N727*Conversion.to.average.power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60:N862" totalsRowShown="0" headerRowDxfId="854" dataDxfId="852" headerRowBorderDxfId="853" dataCellStyle="Comma">
  <autoFilter ref="C860:N862"/>
  <tableColumns count="12">
    <tableColumn id="1" name="Vector" dataDxfId="851"/>
    <tableColumn id="2" name="Information type"/>
    <tableColumn id="3" name="Notes" dataDxfId="850"/>
    <tableColumn id="4" name="2013" dataDxfId="849" dataCellStyle="Comma"/>
    <tableColumn id="5" name="2015" dataDxfId="848" dataCellStyle="Comma"/>
    <tableColumn id="6" name="2020" dataDxfId="847" dataCellStyle="Comma"/>
    <tableColumn id="7" name="2025" dataDxfId="846" dataCellStyle="Comma"/>
    <tableColumn id="8" name="2030" dataDxfId="845" dataCellStyle="Comma"/>
    <tableColumn id="9" name="2035" dataDxfId="844" dataCellStyle="Comma"/>
    <tableColumn id="10" name="2040" dataDxfId="843" dataCellStyle="Comma"/>
    <tableColumn id="11" name="2045" dataDxfId="842" dataCellStyle="Comma"/>
    <tableColumn id="12" name="2050" dataDxfId="841"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43:N947" totalsRowShown="0" headerRowDxfId="840" dataDxfId="838" headerRowBorderDxfId="839" tableBorderDxfId="837" totalsRowBorderDxfId="836">
  <autoFilter ref="C943:N947"/>
  <tableColumns count="12">
    <tableColumn id="1" name="Vector" dataDxfId="835"/>
    <tableColumn id="2" name="Name" dataDxfId="834"/>
    <tableColumn id="3" name="IPCC Sector" dataDxfId="833"/>
    <tableColumn id="4" name="2013" dataDxfId="832"/>
    <tableColumn id="5" name="2015" dataDxfId="831"/>
    <tableColumn id="6" name="2020" dataDxfId="830"/>
    <tableColumn id="7" name="2025" dataDxfId="829"/>
    <tableColumn id="8" name="2030" dataDxfId="828"/>
    <tableColumn id="9" name="2035" dataDxfId="827"/>
    <tableColumn id="10" name="2040" dataDxfId="826"/>
    <tableColumn id="11" name="2045" dataDxfId="825"/>
    <tableColumn id="12" name="2050" dataDxfId="824"/>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52:N956" totalsRowShown="0" headerRowDxfId="823" dataDxfId="821" headerRowBorderDxfId="822" tableBorderDxfId="820" totalsRowBorderDxfId="819">
  <autoFilter ref="C952:N956"/>
  <tableColumns count="12">
    <tableColumn id="1" name="Vector" dataDxfId="818"/>
    <tableColumn id="2" name="Name" dataDxfId="817"/>
    <tableColumn id="3" name="IPCC Sector" dataDxfId="816"/>
    <tableColumn id="4" name="2013" dataDxfId="815"/>
    <tableColumn id="5" name="2015" dataDxfId="814"/>
    <tableColumn id="6" name="2020" dataDxfId="813"/>
    <tableColumn id="7" name="2025" dataDxfId="812"/>
    <tableColumn id="8" name="2030" dataDxfId="811"/>
    <tableColumn id="9" name="2035" dataDxfId="810"/>
    <tableColumn id="10" name="2040" dataDxfId="809"/>
    <tableColumn id="11" name="2045" dataDxfId="808"/>
    <tableColumn id="12" name="2050" dataDxfId="807"/>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61:N965" totalsRowShown="0" headerRowDxfId="806" dataDxfId="804" headerRowBorderDxfId="805" tableBorderDxfId="803" totalsRowBorderDxfId="802">
  <autoFilter ref="C961:N965"/>
  <tableColumns count="12">
    <tableColumn id="1" name="Vector" dataDxfId="801"/>
    <tableColumn id="2" name="Name" dataDxfId="800"/>
    <tableColumn id="3" name="IPCC Sector" dataDxfId="799"/>
    <tableColumn id="4" name="2013" dataDxfId="798"/>
    <tableColumn id="5" name="2015" dataDxfId="797"/>
    <tableColumn id="6" name="2020" dataDxfId="796"/>
    <tableColumn id="7" name="2025" dataDxfId="795"/>
    <tableColumn id="8" name="2030" dataDxfId="794"/>
    <tableColumn id="9" name="2035" dataDxfId="793"/>
    <tableColumn id="10" name="2040" dataDxfId="792"/>
    <tableColumn id="11" name="2045" dataDxfId="791"/>
    <tableColumn id="12" name="2050" dataDxfId="790"/>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70:N974" totalsRowShown="0" headerRowDxfId="789" dataDxfId="787" headerRowBorderDxfId="788" tableBorderDxfId="786" totalsRowBorderDxfId="785">
  <autoFilter ref="C970:N974"/>
  <tableColumns count="12">
    <tableColumn id="1" name="Vector" dataDxfId="784"/>
    <tableColumn id="2" name="Name" dataDxfId="783"/>
    <tableColumn id="3" name="IPCC Sector" dataDxfId="782"/>
    <tableColumn id="4" name="2013" dataDxfId="781"/>
    <tableColumn id="5" name="2015" dataDxfId="780"/>
    <tableColumn id="6" name="2020" dataDxfId="779"/>
    <tableColumn id="7" name="2025" dataDxfId="778"/>
    <tableColumn id="8" name="2030" dataDxfId="777"/>
    <tableColumn id="9" name="2035" dataDxfId="776"/>
    <tableColumn id="10" name="2040" dataDxfId="775"/>
    <tableColumn id="11" name="2045" dataDxfId="774"/>
    <tableColumn id="12" name="2050" dataDxfId="773"/>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409:N416" totalsRowCount="1" headerRowDxfId="772" dataDxfId="771" tableBorderDxfId="770" dataCellStyle="Comma">
  <autoFilter ref="C409:N415"/>
  <tableColumns count="12">
    <tableColumn id="1" name="Vector" totalsRowLabel="Total" dataDxfId="769" totalsRowDxfId="768"/>
    <tableColumn id="2" name="Name" dataDxfId="767" totalsRowDxfId="766">
      <calculatedColumnFormula>INDEX(Vectors[Description], MATCH(XII.b.Outputs[Vector], Vectors[Code], 0))</calculatedColumnFormula>
    </tableColumn>
    <tableColumn id="3" name="Notes" dataDxfId="765" totalsRowDxfId="764"/>
    <tableColumn id="4" name="2013" totalsRowFunction="sum" dataDxfId="763" totalsRowDxfId="762" dataCellStyle="Comma"/>
    <tableColumn id="5" name="2015" totalsRowFunction="sum" dataDxfId="761" totalsRowDxfId="760" dataCellStyle="Comma"/>
    <tableColumn id="6" name="2020" totalsRowFunction="sum" dataDxfId="759" totalsRowDxfId="758" dataCellStyle="Comma"/>
    <tableColumn id="7" name="2025" totalsRowFunction="sum" dataDxfId="757" totalsRowDxfId="756" dataCellStyle="Comma"/>
    <tableColumn id="8" name="2030" totalsRowFunction="sum" dataDxfId="755" totalsRowDxfId="754" dataCellStyle="Comma"/>
    <tableColumn id="9" name="2035" totalsRowFunction="sum" dataDxfId="753" totalsRowDxfId="752" dataCellStyle="Comma"/>
    <tableColumn id="10" name="2040" totalsRowFunction="sum" dataDxfId="751" totalsRowDxfId="750" dataCellStyle="Comma"/>
    <tableColumn id="11" name="2045" totalsRowFunction="sum" dataDxfId="749" totalsRowDxfId="748" dataCellStyle="Comma"/>
    <tableColumn id="12" name="2050" totalsRowFunction="sum" dataDxfId="747" totalsRowDxfId="746"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420:N425" totalsRowCount="1" headerRowDxfId="745" dataDxfId="744" tableBorderDxfId="743" dataCellStyle="Comma">
  <autoFilter ref="C420:N424"/>
  <tableColumns count="12">
    <tableColumn id="1" name="Vector" totalsRowLabel="Total" dataDxfId="742" totalsRowDxfId="741"/>
    <tableColumn id="2" name="Name" dataDxfId="740" totalsRowDxfId="739">
      <calculatedColumnFormula>INDEX(Vectors[Description], MATCH(XII.b.road.Outputs[Vector], Vectors[Code], 0))</calculatedColumnFormula>
    </tableColumn>
    <tableColumn id="3" name="Notes" dataDxfId="738" totalsRowDxfId="737"/>
    <tableColumn id="4" name="2013" totalsRowFunction="sum" dataDxfId="736" totalsRowDxfId="735" dataCellStyle="Comma"/>
    <tableColumn id="5" name="2015" totalsRowFunction="sum" dataDxfId="734" totalsRowDxfId="733" dataCellStyle="Comma"/>
    <tableColumn id="6" name="2020" totalsRowFunction="sum" dataDxfId="732" totalsRowDxfId="731" dataCellStyle="Comma"/>
    <tableColumn id="7" name="2025" totalsRowFunction="sum" dataDxfId="730" totalsRowDxfId="729" dataCellStyle="Comma"/>
    <tableColumn id="8" name="2030" totalsRowFunction="sum" dataDxfId="728" totalsRowDxfId="727" dataCellStyle="Comma"/>
    <tableColumn id="9" name="2035" totalsRowFunction="sum" dataDxfId="726" totalsRowDxfId="725" dataCellStyle="Comma"/>
    <tableColumn id="10" name="2040" totalsRowFunction="sum" dataDxfId="724" totalsRowDxfId="723" dataCellStyle="Comma"/>
    <tableColumn id="11" name="2045" totalsRowFunction="sum" dataDxfId="722" totalsRowDxfId="721" dataCellStyle="Comma"/>
    <tableColumn id="12" name="2050" totalsRowFunction="sum" dataDxfId="720" totalsRowDxfId="719"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429:N433" totalsRowCount="1" headerRowDxfId="718" dataDxfId="717" tableBorderDxfId="716" dataCellStyle="Comma">
  <autoFilter ref="C429:N432"/>
  <tableColumns count="12">
    <tableColumn id="1" name="Vector" totalsRowLabel="Total" dataDxfId="715" totalsRowDxfId="714"/>
    <tableColumn id="2" name="Name" dataDxfId="713" totalsRowDxfId="712">
      <calculatedColumnFormula>INDEX(Vectors[Description], MATCH(XII.b.Rail.Outputs[Vector], Vectors[Code], 0))</calculatedColumnFormula>
    </tableColumn>
    <tableColumn id="3" name="Notes" dataDxfId="711" totalsRowDxfId="710"/>
    <tableColumn id="4" name="2013" totalsRowFunction="sum" dataDxfId="709" totalsRowDxfId="708" dataCellStyle="Comma"/>
    <tableColumn id="5" name="2015" totalsRowFunction="sum" dataDxfId="707" totalsRowDxfId="706" dataCellStyle="Comma"/>
    <tableColumn id="6" name="2020" totalsRowFunction="sum" dataDxfId="705" totalsRowDxfId="704" dataCellStyle="Comma"/>
    <tableColumn id="7" name="2025" totalsRowFunction="sum" dataDxfId="703" totalsRowDxfId="702" dataCellStyle="Comma"/>
    <tableColumn id="8" name="2030" totalsRowFunction="sum" dataDxfId="701" totalsRowDxfId="700" dataCellStyle="Comma"/>
    <tableColumn id="9" name="2035" totalsRowFunction="sum" dataDxfId="699" totalsRowDxfId="698" dataCellStyle="Comma"/>
    <tableColumn id="10" name="2040" totalsRowFunction="sum" dataDxfId="697" totalsRowDxfId="696" dataCellStyle="Comma"/>
    <tableColumn id="11" name="2045" totalsRowFunction="sum" dataDxfId="695" totalsRowDxfId="694" dataCellStyle="Comma"/>
    <tableColumn id="12" name="2050" totalsRowFunction="sum" dataDxfId="693" totalsRowDxfId="692"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437:N440" totalsRowCount="1" headerRowDxfId="691" dataDxfId="690" tableBorderDxfId="689" dataCellStyle="Comma">
  <autoFilter ref="C437:N439"/>
  <tableColumns count="12">
    <tableColumn id="1" name="Vector" totalsRowLabel="Total" dataDxfId="688" totalsRowDxfId="687"/>
    <tableColumn id="2" name="Name" dataDxfId="686" totalsRowDxfId="685">
      <calculatedColumnFormula>INDEX(Vectors[Description], MATCH(XII.b.nationalnavigation.Outputs[Vector], Vectors[Code], 0))</calculatedColumnFormula>
    </tableColumn>
    <tableColumn id="3" name="Notes" dataDxfId="684" totalsRowDxfId="683"/>
    <tableColumn id="4" name="2013" totalsRowFunction="sum" dataDxfId="682" totalsRowDxfId="681" dataCellStyle="Comma">
      <calculatedColumnFormula>-F277</calculatedColumnFormula>
    </tableColumn>
    <tableColumn id="5" name="2015" totalsRowFunction="sum" dataDxfId="680" totalsRowDxfId="679" dataCellStyle="Comma">
      <calculatedColumnFormula>-G277</calculatedColumnFormula>
    </tableColumn>
    <tableColumn id="6" name="2020" totalsRowFunction="sum" dataDxfId="678" totalsRowDxfId="677" dataCellStyle="Comma">
      <calculatedColumnFormula>-H277</calculatedColumnFormula>
    </tableColumn>
    <tableColumn id="7" name="2025" totalsRowFunction="sum" dataDxfId="676" totalsRowDxfId="675" dataCellStyle="Comma">
      <calculatedColumnFormula>-I277</calculatedColumnFormula>
    </tableColumn>
    <tableColumn id="8" name="2030" totalsRowFunction="sum" dataDxfId="674" totalsRowDxfId="673" dataCellStyle="Comma">
      <calculatedColumnFormula>-J277</calculatedColumnFormula>
    </tableColumn>
    <tableColumn id="9" name="2035" totalsRowFunction="sum" dataDxfId="672" totalsRowDxfId="671" dataCellStyle="Comma">
      <calculatedColumnFormula>-K277</calculatedColumnFormula>
    </tableColumn>
    <tableColumn id="10" name="2040" totalsRowFunction="sum" dataDxfId="670" totalsRowDxfId="669" dataCellStyle="Comma">
      <calculatedColumnFormula>-L277</calculatedColumnFormula>
    </tableColumn>
    <tableColumn id="11" name="2045" totalsRowFunction="sum" dataDxfId="668" totalsRowDxfId="667" dataCellStyle="Comma">
      <calculatedColumnFormula>-M277</calculatedColumnFormula>
    </tableColumn>
    <tableColumn id="12" name="2050" totalsRowFunction="sum" dataDxfId="666" totalsRowDxfId="665" dataCellStyle="Comma">
      <calculatedColumnFormula>-N277</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57:N163" totalsRowShown="0" headerRowDxfId="664" dataDxfId="662" headerRowBorderDxfId="663" tableBorderDxfId="661" dataCellStyle="Comma 3">
  <autoFilter ref="C157:N163"/>
  <tableColumns count="12">
    <tableColumn id="1" name="Code" dataDxfId="660"/>
    <tableColumn id="2" name="Mode" dataDxfId="659"/>
    <tableColumn id="3" name="Technology" dataDxfId="658"/>
    <tableColumn id="4" name="2013" dataDxfId="657" dataCellStyle="Comma 3"/>
    <tableColumn id="5" name="2015" dataDxfId="656" dataCellStyle="Comma 3"/>
    <tableColumn id="6" name="2020" dataDxfId="655" dataCellStyle="Comma 3"/>
    <tableColumn id="7" name="2025" dataDxfId="654" dataCellStyle="Comma 3"/>
    <tableColumn id="8" name="2030" dataDxfId="653" dataCellStyle="Comma 3"/>
    <tableColumn id="9" name="2035" dataDxfId="652" dataCellStyle="Comma 3"/>
    <tableColumn id="10" name="2040" dataDxfId="651" dataCellStyle="Comma 3"/>
    <tableColumn id="11" name="2045" dataDxfId="650" dataCellStyle="Comma 3"/>
    <tableColumn id="12" name="2050" dataDxfId="649"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67:N173" totalsRowShown="0" headerRowDxfId="648" dataDxfId="646" headerRowBorderDxfId="647" tableBorderDxfId="645" dataCellStyle="Comma">
  <autoFilter ref="C167:N173"/>
  <tableColumns count="12">
    <tableColumn id="1" name="Code" dataDxfId="644"/>
    <tableColumn id="2" name="Mode" dataDxfId="643"/>
    <tableColumn id="3" name="Technology" dataDxfId="642"/>
    <tableColumn id="4" name="2013" dataDxfId="641" dataCellStyle="Comma 3"/>
    <tableColumn id="5" name="2015" dataDxfId="640" dataCellStyle="Comma 3"/>
    <tableColumn id="6" name="2020" dataDxfId="639" dataCellStyle="Comma 3"/>
    <tableColumn id="7" name="2025" dataDxfId="638" dataCellStyle="Comma 3"/>
    <tableColumn id="8" name="2030" dataDxfId="637" dataCellStyle="Comma 3"/>
    <tableColumn id="9" name="2035" dataDxfId="636" dataCellStyle="Comma 3"/>
    <tableColumn id="10" name="2040" dataDxfId="635" dataCellStyle="Comma 3"/>
    <tableColumn id="11" name="2045" dataDxfId="634" dataCellStyle="Comma 3"/>
    <tableColumn id="12" name="2050" dataDxfId="633"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77:N183" totalsRowShown="0" headerRowDxfId="632" dataDxfId="630" headerRowBorderDxfId="631" tableBorderDxfId="629" dataCellStyle="Comma 3">
  <autoFilter ref="C177:N183"/>
  <tableColumns count="12">
    <tableColumn id="1" name="Code" dataDxfId="628"/>
    <tableColumn id="2" name="Mode" dataDxfId="627"/>
    <tableColumn id="3" name="Technology" dataDxfId="626"/>
    <tableColumn id="4" name="2013" dataDxfId="625" dataCellStyle="Comma 3"/>
    <tableColumn id="5" name="2015" dataDxfId="624" dataCellStyle="Comma 3"/>
    <tableColumn id="6" name="2020" dataDxfId="623" dataCellStyle="Comma 3"/>
    <tableColumn id="7" name="2025" dataDxfId="622" dataCellStyle="Comma 3"/>
    <tableColumn id="8" name="2030" dataDxfId="621" dataCellStyle="Comma 3"/>
    <tableColumn id="9" name="2035" dataDxfId="620" dataCellStyle="Comma 3"/>
    <tableColumn id="10" name="2040" dataDxfId="619" dataCellStyle="Comma 3"/>
    <tableColumn id="11" name="2045" dataDxfId="618" dataCellStyle="Comma 3"/>
    <tableColumn id="12" name="2050" dataDxfId="617"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87:N193" totalsRowShown="0" headerRowDxfId="616" dataDxfId="614" headerRowBorderDxfId="615" tableBorderDxfId="613" dataCellStyle="Comma">
  <autoFilter ref="C187:N193"/>
  <tableColumns count="12">
    <tableColumn id="1" name="Code" dataDxfId="612"/>
    <tableColumn id="2" name="Mode" dataDxfId="611"/>
    <tableColumn id="3" name="Technology" dataDxfId="610"/>
    <tableColumn id="4" name="2013" dataDxfId="609" dataCellStyle="Comma 3"/>
    <tableColumn id="5" name="2015" dataDxfId="608" dataCellStyle="Comma 3"/>
    <tableColumn id="6" name="2020" dataDxfId="607" dataCellStyle="Comma 3"/>
    <tableColumn id="7" name="2025" dataDxfId="606" dataCellStyle="Comma 3"/>
    <tableColumn id="8" name="2030" dataDxfId="605" dataCellStyle="Comma 3"/>
    <tableColumn id="9" name="2035" dataDxfId="604" dataCellStyle="Comma 3"/>
    <tableColumn id="10" name="2040" dataDxfId="603" dataCellStyle="Comma 3"/>
    <tableColumn id="11" name="2045" dataDxfId="602" dataCellStyle="Comma 3"/>
    <tableColumn id="12" name="2050" dataDxfId="601"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448:N452" totalsRowCount="1" headerRowDxfId="600" dataDxfId="598" headerRowBorderDxfId="599" dataCellStyle="Comma">
  <autoFilter ref="C448:N451"/>
  <tableColumns count="12">
    <tableColumn id="1" name="GHG" totalsRowLabel="Total" dataDxfId="597" totalsRowDxfId="596"/>
    <tableColumn id="2" name="IPCC Sector" dataDxfId="595" totalsRowDxfId="594"/>
    <tableColumn id="3" name="Notes" dataDxfId="593" totalsRowDxfId="592"/>
    <tableColumn id="4" name="2013" totalsRowFunction="sum" dataDxfId="591" totalsRowDxfId="590" dataCellStyle="Comma">
      <calculatedColumnFormula>F298</calculatedColumnFormula>
    </tableColumn>
    <tableColumn id="5" name="2015" totalsRowFunction="sum" dataDxfId="589" totalsRowDxfId="588" dataCellStyle="Comma">
      <calculatedColumnFormula>G298</calculatedColumnFormula>
    </tableColumn>
    <tableColumn id="6" name="2020" totalsRowFunction="sum" dataDxfId="587" totalsRowDxfId="586" dataCellStyle="Comma">
      <calculatedColumnFormula>H298</calculatedColumnFormula>
    </tableColumn>
    <tableColumn id="7" name="2025" totalsRowFunction="sum" dataDxfId="585" totalsRowDxfId="584" dataCellStyle="Comma">
      <calculatedColumnFormula>I298</calculatedColumnFormula>
    </tableColumn>
    <tableColumn id="8" name="2030" totalsRowFunction="sum" dataDxfId="583" totalsRowDxfId="582" dataCellStyle="Comma">
      <calculatedColumnFormula>J298</calculatedColumnFormula>
    </tableColumn>
    <tableColumn id="9" name="2035" totalsRowFunction="sum" dataDxfId="581" totalsRowDxfId="580" dataCellStyle="Comma">
      <calculatedColumnFormula>K298</calculatedColumnFormula>
    </tableColumn>
    <tableColumn id="10" name="2040" totalsRowFunction="sum" dataDxfId="579" totalsRowDxfId="578" dataCellStyle="Comma">
      <calculatedColumnFormula>L298</calculatedColumnFormula>
    </tableColumn>
    <tableColumn id="11" name="2045" totalsRowFunction="sum" dataDxfId="577" totalsRowDxfId="576" dataCellStyle="Comma">
      <calculatedColumnFormula>M298</calculatedColumnFormula>
    </tableColumn>
    <tableColumn id="12" name="2050" totalsRowFunction="sum" dataDxfId="575" totalsRowDxfId="574" dataCellStyle="Comma">
      <calculatedColumnFormula>N298</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456:N460" totalsRowCount="1" headerRowDxfId="573" dataDxfId="571" headerRowBorderDxfId="572" dataCellStyle="Comma">
  <autoFilter ref="C456:N459"/>
  <tableColumns count="12">
    <tableColumn id="1" name="GHG" totalsRowLabel="Total" dataDxfId="570" totalsRowDxfId="569"/>
    <tableColumn id="2" name="IPCC Sector" dataDxfId="568" totalsRowDxfId="567"/>
    <tableColumn id="3" name="Notes" dataDxfId="566" totalsRowDxfId="565"/>
    <tableColumn id="4" name="2013" totalsRowFunction="sum" dataDxfId="564" totalsRowDxfId="563" dataCellStyle="Comma">
      <calculatedColumnFormula>(F298*(F$266/(F$288+F$266+F$293)))</calculatedColumnFormula>
    </tableColumn>
    <tableColumn id="5" name="2015" totalsRowFunction="sum" dataDxfId="562" totalsRowDxfId="561" dataCellStyle="Comma">
      <calculatedColumnFormula>(G298*(G$266/(G$288+G$266+G$293)))</calculatedColumnFormula>
    </tableColumn>
    <tableColumn id="6" name="2020" totalsRowFunction="sum" dataDxfId="560" totalsRowDxfId="559" dataCellStyle="Comma">
      <calculatedColumnFormula>(H298*(H$266/(H$288+H$266+H$293)))</calculatedColumnFormula>
    </tableColumn>
    <tableColumn id="7" name="2025" totalsRowFunction="sum" dataDxfId="558" totalsRowDxfId="557" dataCellStyle="Comma">
      <calculatedColumnFormula>(I298*(I$266/(I$288+I$266+I$293)))</calculatedColumnFormula>
    </tableColumn>
    <tableColumn id="8" name="2030" totalsRowFunction="sum" dataDxfId="556" totalsRowDxfId="555" dataCellStyle="Comma">
      <calculatedColumnFormula>(J298*(J$266/(J$288+J$266+J$293)))</calculatedColumnFormula>
    </tableColumn>
    <tableColumn id="9" name="2035" totalsRowFunction="sum" dataDxfId="554" totalsRowDxfId="553" dataCellStyle="Comma">
      <calculatedColumnFormula>(K298*(K$266/(K$288+K$266+K$293)))</calculatedColumnFormula>
    </tableColumn>
    <tableColumn id="10" name="2040" totalsRowFunction="sum" dataDxfId="552" totalsRowDxfId="551" dataCellStyle="Comma">
      <calculatedColumnFormula>(L298*(L$266/(L$288+L$266+L$293)))</calculatedColumnFormula>
    </tableColumn>
    <tableColumn id="11" name="2045" totalsRowFunction="sum" dataDxfId="550" totalsRowDxfId="549" dataCellStyle="Comma">
      <calculatedColumnFormula>(M298*(M$266/(M$288+M$266+M$293)))</calculatedColumnFormula>
    </tableColumn>
    <tableColumn id="12" name="2050" totalsRowFunction="sum" dataDxfId="548" totalsRowDxfId="547" dataCellStyle="Comma">
      <calculatedColumnFormula>(N298*(N$266/(N$288+N$266+N$293)))</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64:N468" totalsRowCount="1" headerRowDxfId="546" dataDxfId="544" headerRowBorderDxfId="545" dataCellStyle="Comma">
  <autoFilter ref="C464:N467"/>
  <tableColumns count="12">
    <tableColumn id="1" name="GHG" totalsRowLabel="Total" dataDxfId="543" totalsRowDxfId="542"/>
    <tableColumn id="2" name="IPCC Sector" dataDxfId="541" totalsRowDxfId="540"/>
    <tableColumn id="3" name="Notes" dataDxfId="539" totalsRowDxfId="538"/>
    <tableColumn id="4" name="2013" totalsRowFunction="sum" dataDxfId="537" totalsRowDxfId="536" dataCellStyle="Comma">
      <calculatedColumnFormula>(F298*(F$288/(F$288+F$266+F$293)))</calculatedColumnFormula>
    </tableColumn>
    <tableColumn id="5" name="2015" totalsRowFunction="sum" dataDxfId="535" totalsRowDxfId="534" dataCellStyle="Comma">
      <calculatedColumnFormula>(G298*(G$288/(G$288+G$266+G$293)))</calculatedColumnFormula>
    </tableColumn>
    <tableColumn id="6" name="2020" totalsRowFunction="sum" dataDxfId="533" totalsRowDxfId="532" dataCellStyle="Comma">
      <calculatedColumnFormula>(H298*(H$288/(H$288+H$266+H$293)))</calculatedColumnFormula>
    </tableColumn>
    <tableColumn id="7" name="2025" totalsRowFunction="sum" dataDxfId="531" totalsRowDxfId="530" dataCellStyle="Comma">
      <calculatedColumnFormula>(I298*(I$288/(I$288+I$266+I$293)))</calculatedColumnFormula>
    </tableColumn>
    <tableColumn id="8" name="2030" totalsRowFunction="sum" dataDxfId="529" totalsRowDxfId="528" dataCellStyle="Comma">
      <calculatedColumnFormula>(J298*(J$288/(J$288+J$266+J$293)))</calculatedColumnFormula>
    </tableColumn>
    <tableColumn id="9" name="2035" totalsRowFunction="sum" dataDxfId="527" totalsRowDxfId="526" dataCellStyle="Comma">
      <calculatedColumnFormula>(K298*(K$288/(K$288+K$266+K$293)))</calculatedColumnFormula>
    </tableColumn>
    <tableColumn id="10" name="2040" totalsRowFunction="sum" dataDxfId="525" totalsRowDxfId="524" dataCellStyle="Comma">
      <calculatedColumnFormula>(L298*(L$288/(L$288+L$266+L$293)))</calculatedColumnFormula>
    </tableColumn>
    <tableColumn id="11" name="2045" totalsRowFunction="sum" dataDxfId="523" totalsRowDxfId="522" dataCellStyle="Comma">
      <calculatedColumnFormula>(M298*(M$288/(M$288+M$266+M$293)))</calculatedColumnFormula>
    </tableColumn>
    <tableColumn id="12" name="2050" totalsRowFunction="sum" dataDxfId="521" totalsRowDxfId="520" dataCellStyle="Comma">
      <calculatedColumnFormula>(N298*(N$288/(N$288+N$266+N$293)))</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72:N476" totalsRowCount="1" headerRowDxfId="519" dataDxfId="517" headerRowBorderDxfId="518" dataCellStyle="Comma">
  <autoFilter ref="C472:N475"/>
  <tableColumns count="12">
    <tableColumn id="1" name="GHG" totalsRowLabel="Total" dataDxfId="516" totalsRowDxfId="515"/>
    <tableColumn id="2" name="IPCC Sector" dataDxfId="514" totalsRowDxfId="513"/>
    <tableColumn id="3" name="Notes" dataDxfId="512" totalsRowDxfId="511"/>
    <tableColumn id="4" name="2013" totalsRowFunction="sum" dataDxfId="510" totalsRowDxfId="509" dataCellStyle="Comma">
      <calculatedColumnFormula>(F298*(F$293/(F$288+F$266+F$293)))</calculatedColumnFormula>
    </tableColumn>
    <tableColumn id="5" name="2015" totalsRowFunction="sum" dataDxfId="508" totalsRowDxfId="507" dataCellStyle="Comma">
      <calculatedColumnFormula>(G298*(G$293/(G$288+G$266+G$293)))</calculatedColumnFormula>
    </tableColumn>
    <tableColumn id="6" name="2020" totalsRowFunction="sum" dataDxfId="506" totalsRowDxfId="505" dataCellStyle="Comma">
      <calculatedColumnFormula>(H298*(H$293/(H$288+H$266+H$293)))</calculatedColumnFormula>
    </tableColumn>
    <tableColumn id="7" name="2025" totalsRowFunction="sum" dataDxfId="504" totalsRowDxfId="503" dataCellStyle="Comma">
      <calculatedColumnFormula>(I298*(I$293/(I$288+I$266+I$293)))</calculatedColumnFormula>
    </tableColumn>
    <tableColumn id="8" name="2030" totalsRowFunction="sum" dataDxfId="502" totalsRowDxfId="501" dataCellStyle="Comma">
      <calculatedColumnFormula>(J298*(J$293/(J$288+J$266+J$293)))</calculatedColumnFormula>
    </tableColumn>
    <tableColumn id="9" name="2035" totalsRowFunction="sum" dataDxfId="500" totalsRowDxfId="499" dataCellStyle="Comma">
      <calculatedColumnFormula>(K298*(K$293/(K$288+K$266+K$293)))</calculatedColumnFormula>
    </tableColumn>
    <tableColumn id="10" name="2040" totalsRowFunction="sum" dataDxfId="498" totalsRowDxfId="497" dataCellStyle="Comma">
      <calculatedColumnFormula>(L298*(L$293/(L$288+L$266+L$293)))</calculatedColumnFormula>
    </tableColumn>
    <tableColumn id="11" name="2045" totalsRowFunction="sum" dataDxfId="496" totalsRowDxfId="495" dataCellStyle="Comma">
      <calculatedColumnFormula>(M298*(M$293/(M$288+M$266+M$293)))</calculatedColumnFormula>
    </tableColumn>
    <tableColumn id="12" name="2050" totalsRowFunction="sum" dataDxfId="494" totalsRowDxfId="493" dataCellStyle="Comma">
      <calculatedColumnFormula>(N298*(N$293/(N$288+N$266+N$293)))</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2" dataDxfId="491" tableBorderDxfId="490" dataCellStyle="Comma">
  <autoFilter ref="C125:N127"/>
  <tableColumns count="12">
    <tableColumn id="1" name="Vector" totalsRowLabel="Total" dataDxfId="489" totalsRowDxfId="488"/>
    <tableColumn id="2" name="Name" dataDxfId="487" totalsRowDxfId="486">
      <calculatedColumnFormula>INDEX(Vectors[Description], MATCH(XII.c.Outputs[Vector], Vectors[Code], 0))</calculatedColumnFormula>
    </tableColumn>
    <tableColumn id="3" name="Notes" dataDxfId="485" totalsRowDxfId="484"/>
    <tableColumn id="4" name="2013" totalsRowFunction="sum" dataDxfId="483" totalsRowDxfId="482">
      <calculatedColumnFormula>-F$101</calculatedColumnFormula>
    </tableColumn>
    <tableColumn id="5" name="2015" totalsRowFunction="sum" dataDxfId="481" totalsRowDxfId="480" dataCellStyle="Comma">
      <calculatedColumnFormula>-G$101</calculatedColumnFormula>
    </tableColumn>
    <tableColumn id="6" name="2020" totalsRowFunction="sum" dataDxfId="479" totalsRowDxfId="478" dataCellStyle="Comma">
      <calculatedColumnFormula>-H$101</calculatedColumnFormula>
    </tableColumn>
    <tableColumn id="7" name="2025" totalsRowFunction="sum" dataDxfId="477" totalsRowDxfId="476" dataCellStyle="Comma">
      <calculatedColumnFormula>-I$101</calculatedColumnFormula>
    </tableColumn>
    <tableColumn id="8" name="2030" totalsRowFunction="sum" dataDxfId="475" totalsRowDxfId="474" dataCellStyle="Comma">
      <calculatedColumnFormula>-J$101</calculatedColumnFormula>
    </tableColumn>
    <tableColumn id="9" name="2035" totalsRowFunction="sum" dataDxfId="473" totalsRowDxfId="472" dataCellStyle="Comma">
      <calculatedColumnFormula>-K$101</calculatedColumnFormula>
    </tableColumn>
    <tableColumn id="10" name="2040" totalsRowFunction="sum" dataDxfId="471" totalsRowDxfId="470" dataCellStyle="Comma">
      <calculatedColumnFormula>-L$101</calculatedColumnFormula>
    </tableColumn>
    <tableColumn id="11" name="2045" totalsRowFunction="sum" dataDxfId="469" totalsRowDxfId="468" dataCellStyle="Comma">
      <calculatedColumnFormula>-M$101</calculatedColumnFormula>
    </tableColumn>
    <tableColumn id="12" name="2050" totalsRowFunction="sum" dataDxfId="467" totalsRowDxfId="466"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5" dataDxfId="463" headerRowBorderDxfId="464" dataCellStyle="Comma">
  <autoFilter ref="C147:N149"/>
  <tableColumns count="12">
    <tableColumn id="1" name="Vector" dataDxfId="462"/>
    <tableColumn id="2" name="Information type" dataDxfId="461"/>
    <tableColumn id="3" name="Notes" dataDxfId="460"/>
    <tableColumn id="4" name="2013" dataDxfId="459" dataCellStyle="Comma"/>
    <tableColumn id="5" name="2015" dataDxfId="458" dataCellStyle="Comma"/>
    <tableColumn id="6" name="2020" dataDxfId="457" dataCellStyle="Comma"/>
    <tableColumn id="7" name="2025" dataDxfId="456" dataCellStyle="Comma"/>
    <tableColumn id="8" name="2030" dataDxfId="455" dataCellStyle="Comma"/>
    <tableColumn id="9" name="2035" dataDxfId="454" dataCellStyle="Comma"/>
    <tableColumn id="10" name="2040" dataDxfId="453" dataCellStyle="Comma"/>
    <tableColumn id="11" name="2045" dataDxfId="452" dataCellStyle="Comma"/>
    <tableColumn id="12" name="2050" dataDxfId="451"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0" dataDxfId="448" headerRowBorderDxfId="449" dataCellStyle="Comma 3">
  <autoFilter ref="C135:N138"/>
  <tableColumns count="12">
    <tableColumn id="1" name="GHG" totalsRowLabel="Total" dataDxfId="447" totalsRowDxfId="446"/>
    <tableColumn id="2" name="IPCC Sector" dataDxfId="445" totalsRowDxfId="444"/>
    <tableColumn id="3" name="Notes" dataDxfId="443" totalsRowDxfId="442"/>
    <tableColumn id="4" name="2013" totalsRowFunction="sum" dataDxfId="441" totalsRowDxfId="440" dataCellStyle="Comma 3"/>
    <tableColumn id="5" name="2015" totalsRowFunction="sum" dataDxfId="439" totalsRowDxfId="438" dataCellStyle="Comma 3"/>
    <tableColumn id="6" name="2020" totalsRowFunction="sum" dataDxfId="437" totalsRowDxfId="436" dataCellStyle="Comma 3"/>
    <tableColumn id="7" name="2025" totalsRowFunction="sum" dataDxfId="435" totalsRowDxfId="434" dataCellStyle="Comma 3"/>
    <tableColumn id="8" name="2030" totalsRowFunction="sum" dataDxfId="433" totalsRowDxfId="432" dataCellStyle="Comma 3"/>
    <tableColumn id="9" name="2035" totalsRowFunction="sum" dataDxfId="431" totalsRowDxfId="430" dataCellStyle="Comma 3"/>
    <tableColumn id="10" name="2040" totalsRowFunction="sum" dataDxfId="429" totalsRowDxfId="428" dataCellStyle="Comma 3"/>
    <tableColumn id="11" name="2045" totalsRowFunction="sum" dataDxfId="427" totalsRowDxfId="426" dataCellStyle="Comma 3"/>
    <tableColumn id="12" name="2050" totalsRowFunction="sum" dataDxfId="425" totalsRowDxfId="424"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3" dataDxfId="422" dataCellStyle="Comma">
  <autoFilter ref="C167:N171"/>
  <tableColumns count="12">
    <tableColumn id="1" name="Vector" totalsRowLabel="Total" dataDxfId="421" totalsRowDxfId="420"/>
    <tableColumn id="2" name="Name" dataDxfId="419" totalsRowDxfId="418"/>
    <tableColumn id="3" name="IPCC" dataDxfId="417" totalsRowDxfId="416"/>
    <tableColumn id="4" name="2013" totalsRowFunction="sum" dataDxfId="415" totalsRowDxfId="414" dataCellStyle="Comma"/>
    <tableColumn id="5" name="2015" totalsRowFunction="sum" dataDxfId="413" totalsRowDxfId="412" dataCellStyle="Comma"/>
    <tableColumn id="6" name="2020" totalsRowFunction="sum" dataDxfId="411" totalsRowDxfId="410" dataCellStyle="Comma"/>
    <tableColumn id="7" name="2025" totalsRowFunction="sum" dataDxfId="409" totalsRowDxfId="408" dataCellStyle="Comma"/>
    <tableColumn id="8" name="2030" totalsRowFunction="sum" dataDxfId="407" totalsRowDxfId="406" dataCellStyle="Comma"/>
    <tableColumn id="9" name="2035" totalsRowFunction="sum" dataDxfId="405" totalsRowDxfId="404" dataCellStyle="Comma"/>
    <tableColumn id="10" name="2040" totalsRowFunction="sum" dataDxfId="403" totalsRowDxfId="402" dataCellStyle="Comma"/>
    <tableColumn id="11" name="2045" totalsRowFunction="sum" dataDxfId="401" totalsRowDxfId="400" dataCellStyle="Comma"/>
    <tableColumn id="12" name="2050" totalsRowFunction="sum" dataDxfId="399" totalsRowDxfId="398"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7" dataDxfId="396">
  <autoFilter ref="C167:N169"/>
  <tableColumns count="12">
    <tableColumn id="1" name="Vector" totalsRowLabel="Total" dataDxfId="395" totalsRowDxfId="394"/>
    <tableColumn id="2" name="Name" dataDxfId="393" totalsRowDxfId="392">
      <calculatedColumnFormula>INDEX(Vectors[Description], MATCH(XIV.a.Outputs[Vector], Vectors[Code], 0))</calculatedColumnFormula>
    </tableColumn>
    <tableColumn id="3" name="Notes" dataDxfId="391" totalsRowDxfId="390"/>
    <tableColumn id="4" name="2013" totalsRowFunction="sum" dataDxfId="389" totalsRowDxfId="388">
      <calculatedColumnFormula>F108</calculatedColumnFormula>
    </tableColumn>
    <tableColumn id="5" name="2015" totalsRowFunction="sum" dataDxfId="387" totalsRowDxfId="386">
      <calculatedColumnFormula>G108</calculatedColumnFormula>
    </tableColumn>
    <tableColumn id="6" name="2020" totalsRowFunction="sum" dataDxfId="385" totalsRowDxfId="384">
      <calculatedColumnFormula>H108</calculatedColumnFormula>
    </tableColumn>
    <tableColumn id="7" name="2025" totalsRowFunction="sum" dataDxfId="383" totalsRowDxfId="382">
      <calculatedColumnFormula>I108</calculatedColumnFormula>
    </tableColumn>
    <tableColumn id="8" name="2030" totalsRowFunction="sum" dataDxfId="381" totalsRowDxfId="380">
      <calculatedColumnFormula>J108</calculatedColumnFormula>
    </tableColumn>
    <tableColumn id="9" name="2035" totalsRowFunction="sum" dataDxfId="379" totalsRowDxfId="378">
      <calculatedColumnFormula>K108</calculatedColumnFormula>
    </tableColumn>
    <tableColumn id="10" name="2040" totalsRowFunction="sum" dataDxfId="377" totalsRowDxfId="376">
      <calculatedColumnFormula>L108</calculatedColumnFormula>
    </tableColumn>
    <tableColumn id="11" name="2045" totalsRowFunction="sum" dataDxfId="375" totalsRowDxfId="374">
      <calculatedColumnFormula>M108</calculatedColumnFormula>
    </tableColumn>
    <tableColumn id="12" name="2050" totalsRowFunction="sum" dataDxfId="373" totalsRowDxfId="372">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1" dataDxfId="369" headerRowBorderDxfId="370" dataCellStyle="Comma 3">
  <autoFilter ref="C177:N178"/>
  <tableColumns count="12">
    <tableColumn id="1" name="GHG" totalsRowLabel="Total" dataDxfId="368" totalsRowDxfId="367"/>
    <tableColumn id="2" name="IPCC Sector" dataDxfId="366" totalsRowDxfId="365"/>
    <tableColumn id="3" name="Notes" dataDxfId="364" totalsRowDxfId="363">
      <calculatedColumnFormula>INDEX(IPCC[Sector_description], MATCH(XIV.a.Emissions[IPCC Sector], IPCC[Sector_code], 0))</calculatedColumnFormula>
    </tableColumn>
    <tableColumn id="4" name="2013" totalsRowFunction="sum" dataDxfId="362" totalsRowDxfId="361" dataCellStyle="Comma 3">
      <calculatedColumnFormula>-F107</calculatedColumnFormula>
    </tableColumn>
    <tableColumn id="5" name="2015" totalsRowFunction="sum" dataDxfId="360" totalsRowDxfId="359" dataCellStyle="Comma 3">
      <calculatedColumnFormula>-G107</calculatedColumnFormula>
    </tableColumn>
    <tableColumn id="6" name="2020" totalsRowFunction="sum" dataDxfId="358" totalsRowDxfId="357" dataCellStyle="Comma 3">
      <calculatedColumnFormula>-H107</calculatedColumnFormula>
    </tableColumn>
    <tableColumn id="7" name="2025" totalsRowFunction="sum" dataDxfId="356" totalsRowDxfId="355" dataCellStyle="Comma 3">
      <calculatedColumnFormula>-I107</calculatedColumnFormula>
    </tableColumn>
    <tableColumn id="8" name="2030" totalsRowFunction="sum" dataDxfId="354" totalsRowDxfId="353" dataCellStyle="Comma 3">
      <calculatedColumnFormula>-J107</calculatedColumnFormula>
    </tableColumn>
    <tableColumn id="9" name="2035" totalsRowFunction="sum" dataDxfId="352" totalsRowDxfId="351" dataCellStyle="Comma 3">
      <calculatedColumnFormula>-K107</calculatedColumnFormula>
    </tableColumn>
    <tableColumn id="10" name="2040" totalsRowFunction="sum" dataDxfId="350" totalsRowDxfId="349" dataCellStyle="Comma 3">
      <calculatedColumnFormula>-L107</calculatedColumnFormula>
    </tableColumn>
    <tableColumn id="11" name="2045" totalsRowFunction="sum" dataDxfId="348" totalsRowDxfId="347" dataCellStyle="Comma 3">
      <calculatedColumnFormula>-M107</calculatedColumnFormula>
    </tableColumn>
    <tableColumn id="12" name="2050" totalsRowFunction="sum" dataDxfId="346" totalsRowDxfId="345"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4" dataDxfId="343" dataCellStyle="Comma 3">
  <autoFilter ref="C8:N9"/>
  <tableColumns count="12">
    <tableColumn id="1" name="Vector" dataDxfId="342"/>
    <tableColumn id="2" name="Name" dataDxfId="341">
      <calculatedColumnFormula>INDEX(Vectors[Description], MATCH(XV.a.Inputs[Vector], Vectors[Code], 0))</calculatedColumnFormula>
    </tableColumn>
    <tableColumn id="3" name="Notes" dataDxfId="340"/>
    <tableColumn id="4" name="2013" dataDxfId="339" dataCellStyle="Comma 3">
      <calculatedColumnFormula>INDEX(INDIRECT("'"&amp;XV.a.Inputs[#Headers]&amp;"'!Year.NetBalance"), MATCH(XV.a.Inputs[Vector], INDIRECT("'"&amp;XV.a.Inputs[#Headers]&amp;"'!Year.Vectors"), 0))</calculatedColumnFormula>
    </tableColumn>
    <tableColumn id="5" name="2015" dataDxfId="338" dataCellStyle="Comma 3">
      <calculatedColumnFormula>INDEX(INDIRECT("'"&amp;XV.a.Inputs[#Headers]&amp;"'!Year.NetBalance"), MATCH(XV.a.Inputs[Vector], INDIRECT("'"&amp;XV.a.Inputs[#Headers]&amp;"'!Year.Vectors"), 0))</calculatedColumnFormula>
    </tableColumn>
    <tableColumn id="6" name="2020" dataDxfId="337" dataCellStyle="Comma 3">
      <calculatedColumnFormula>INDEX(INDIRECT("'"&amp;XV.a.Inputs[#Headers]&amp;"'!Year.NetBalance"), MATCH(XV.a.Inputs[Vector], INDIRECT("'"&amp;XV.a.Inputs[#Headers]&amp;"'!Year.Vectors"), 0))</calculatedColumnFormula>
    </tableColumn>
    <tableColumn id="7" name="2025" dataDxfId="336" dataCellStyle="Comma 3">
      <calculatedColumnFormula>INDEX(INDIRECT("'"&amp;XV.a.Inputs[#Headers]&amp;"'!Year.NetBalance"), MATCH(XV.a.Inputs[Vector], INDIRECT("'"&amp;XV.a.Inputs[#Headers]&amp;"'!Year.Vectors"), 0))</calculatedColumnFormula>
    </tableColumn>
    <tableColumn id="8" name="2030" dataDxfId="335" dataCellStyle="Comma 3">
      <calculatedColumnFormula>INDEX(INDIRECT("'"&amp;XV.a.Inputs[#Headers]&amp;"'!Year.NetBalance"), MATCH(XV.a.Inputs[Vector], INDIRECT("'"&amp;XV.a.Inputs[#Headers]&amp;"'!Year.Vectors"), 0))</calculatedColumnFormula>
    </tableColumn>
    <tableColumn id="9" name="2035" dataDxfId="334" dataCellStyle="Comma 3">
      <calculatedColumnFormula>INDEX(INDIRECT("'"&amp;XV.a.Inputs[#Headers]&amp;"'!Year.NetBalance"), MATCH(XV.a.Inputs[Vector], INDIRECT("'"&amp;XV.a.Inputs[#Headers]&amp;"'!Year.Vectors"), 0))</calculatedColumnFormula>
    </tableColumn>
    <tableColumn id="10" name="2040" dataDxfId="333" dataCellStyle="Comma 3">
      <calculatedColumnFormula>INDEX(INDIRECT("'"&amp;XV.a.Inputs[#Headers]&amp;"'!Year.NetBalance"), MATCH(XV.a.Inputs[Vector], INDIRECT("'"&amp;XV.a.Inputs[#Headers]&amp;"'!Year.Vectors"), 0))</calculatedColumnFormula>
    </tableColumn>
    <tableColumn id="11" name="2045" dataDxfId="332" dataCellStyle="Comma 3">
      <calculatedColumnFormula>INDEX(INDIRECT("'"&amp;XV.a.Inputs[#Headers]&amp;"'!Year.NetBalance"), MATCH(XV.a.Inputs[Vector], INDIRECT("'"&amp;XV.a.Inputs[#Headers]&amp;"'!Year.Vectors"), 0))</calculatedColumnFormula>
    </tableColumn>
    <tableColumn id="12" name="2050" dataDxfId="331" dataCellStyle="Comma 3">
      <calculatedColumnFormula>INDEX(INDIRECT("'"&amp;XV.a.Inputs[#Headers]&amp;"'!Year.NetBalance"), MATCH(XV.a.Inputs[Vector],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0" dataDxfId="329" dataCellStyle="Comma 3">
  <autoFilter ref="C171:N178"/>
  <tableColumns count="12">
    <tableColumn id="1" name="Vector" totalsRowLabel="Total" dataDxfId="328" totalsRowDxfId="327"/>
    <tableColumn id="2" name="Name" dataDxfId="326" totalsRowDxfId="325">
      <calculatedColumnFormula>INDEX(Vectors[Description], MATCH(XV.a.Outputs[Vector], Vectors[Code], 0))</calculatedColumnFormula>
    </tableColumn>
    <tableColumn id="3" name="Notes" dataDxfId="324" totalsRowDxfId="323"/>
    <tableColumn id="4" name="2013" totalsRowFunction="sum" dataDxfId="322" totalsRowDxfId="321" dataCellStyle="Comma 3"/>
    <tableColumn id="5" name="2015" totalsRowFunction="sum" dataDxfId="320" totalsRowDxfId="319" dataCellStyle="Comma 3"/>
    <tableColumn id="6" name="2020" totalsRowFunction="sum" dataDxfId="318" totalsRowDxfId="317" dataCellStyle="Comma 3"/>
    <tableColumn id="7" name="2025" totalsRowFunction="sum" dataDxfId="316" totalsRowDxfId="315" dataCellStyle="Comma 3"/>
    <tableColumn id="8" name="2030" totalsRowFunction="sum" dataDxfId="314" totalsRowDxfId="313" dataCellStyle="Comma 3"/>
    <tableColumn id="9" name="2035" totalsRowFunction="sum" dataDxfId="312" totalsRowDxfId="311" dataCellStyle="Comma 3"/>
    <tableColumn id="10" name="2040" totalsRowFunction="sum" dataDxfId="310" totalsRowDxfId="309" dataCellStyle="Comma 3"/>
    <tableColumn id="11" name="2045" totalsRowFunction="sum" dataDxfId="308" totalsRowDxfId="307" dataCellStyle="Comma 3"/>
    <tableColumn id="12" name="2050" totalsRowFunction="sum" dataDxfId="306" totalsRowDxfId="305"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4" dataDxfId="302" headerRowBorderDxfId="303" dataCellStyle="Comma 3">
  <autoFilter ref="C186:N189"/>
  <tableColumns count="12">
    <tableColumn id="1" name="GHG" totalsRowLabel="Total" dataDxfId="301" totalsRowDxfId="300"/>
    <tableColumn id="2" name="IPCC Sector" dataDxfId="299" totalsRowDxfId="298"/>
    <tableColumn id="3" name="Notes" dataDxfId="297" totalsRowDxfId="296"/>
    <tableColumn id="4" name="2013" totalsRowFunction="sum" dataDxfId="295" totalsRowDxfId="294" dataCellStyle="Comma 3"/>
    <tableColumn id="5" name="2015" totalsRowFunction="sum" dataDxfId="293" totalsRowDxfId="292" dataCellStyle="Comma 3"/>
    <tableColumn id="6" name="2020" totalsRowFunction="sum" dataDxfId="291" totalsRowDxfId="290" dataCellStyle="Comma 3"/>
    <tableColumn id="7" name="2025" totalsRowFunction="sum" dataDxfId="289" totalsRowDxfId="288" dataCellStyle="Comma 3"/>
    <tableColumn id="8" name="2030" totalsRowFunction="sum" dataDxfId="287" totalsRowDxfId="286" dataCellStyle="Comma 3"/>
    <tableColumn id="9" name="2035" totalsRowFunction="sum" dataDxfId="285" totalsRowDxfId="284" dataCellStyle="Comma 3"/>
    <tableColumn id="10" name="2040" totalsRowFunction="sum" dataDxfId="283" totalsRowDxfId="282" dataCellStyle="Comma 3"/>
    <tableColumn id="11" name="2045" totalsRowFunction="sum" dataDxfId="281" totalsRowDxfId="280" dataCellStyle="Comma 3"/>
    <tableColumn id="12" name="2050" totalsRowFunction="sum" dataDxfId="279" totalsRowDxfId="278"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7" dataDxfId="275" headerRowBorderDxfId="276" totalsRowBorderDxfId="274">
  <autoFilter ref="C226:N230"/>
  <tableColumns count="12">
    <tableColumn id="1" name="Vector" dataDxfId="273"/>
    <tableColumn id="2" name="Name" dataDxfId="272"/>
    <tableColumn id="3" name="IPCC Sector" dataDxfId="271"/>
    <tableColumn id="4" name="2013" dataDxfId="270">
      <calculatedColumnFormula>F219</calculatedColumnFormula>
    </tableColumn>
    <tableColumn id="5" name="2015" dataDxfId="269">
      <calculatedColumnFormula>G219</calculatedColumnFormula>
    </tableColumn>
    <tableColumn id="6" name="2020" dataDxfId="268">
      <calculatedColumnFormula>H219</calculatedColumnFormula>
    </tableColumn>
    <tableColumn id="7" name="2025" dataDxfId="267">
      <calculatedColumnFormula>I219</calculatedColumnFormula>
    </tableColumn>
    <tableColumn id="8" name="2030" dataDxfId="266">
      <calculatedColumnFormula>J219</calculatedColumnFormula>
    </tableColumn>
    <tableColumn id="9" name="2035" dataDxfId="265">
      <calculatedColumnFormula>K219</calculatedColumnFormula>
    </tableColumn>
    <tableColumn id="10" name="2040" dataDxfId="264">
      <calculatedColumnFormula>L219</calculatedColumnFormula>
    </tableColumn>
    <tableColumn id="11" name="2045" dataDxfId="263">
      <calculatedColumnFormula>M219</calculatedColumnFormula>
    </tableColumn>
    <tableColumn id="12" name="2050" dataDxfId="262">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1" dataDxfId="260" dataCellStyle="Comma 3">
  <autoFilter ref="C206:N215"/>
  <tableColumns count="12">
    <tableColumn id="1" name="Vector" totalsRowLabel="Total" dataDxfId="259" totalsRowDxfId="258"/>
    <tableColumn id="2" name="Name" dataDxfId="257" totalsRowDxfId="256">
      <calculatedColumnFormula>INDEX(Vectors[Description], MATCH(XV.b.Outputs[Vector], Vectors[Code], 0))</calculatedColumnFormula>
    </tableColumn>
    <tableColumn id="3" name="Notes" dataDxfId="255" totalsRowDxfId="254"/>
    <tableColumn id="4" name="2013" totalsRowFunction="sum" dataDxfId="253" totalsRowDxfId="252" dataCellStyle="Comma 3"/>
    <tableColumn id="5" name="2015" totalsRowFunction="sum" dataDxfId="251" totalsRowDxfId="250" dataCellStyle="Comma 3"/>
    <tableColumn id="6" name="2020" totalsRowFunction="sum" dataDxfId="249" totalsRowDxfId="248" dataCellStyle="Comma 3"/>
    <tableColumn id="7" name="2025" totalsRowFunction="sum" dataDxfId="247" totalsRowDxfId="246" dataCellStyle="Comma 3"/>
    <tableColumn id="8" name="2030" totalsRowFunction="sum" dataDxfId="245" totalsRowDxfId="244" dataCellStyle="Comma 3"/>
    <tableColumn id="9" name="2035" totalsRowFunction="sum" dataDxfId="243" totalsRowDxfId="242" dataCellStyle="Comma 3"/>
    <tableColumn id="10" name="2040" totalsRowFunction="sum" dataDxfId="241" totalsRowDxfId="240" dataCellStyle="Comma 3"/>
    <tableColumn id="11" name="2045" totalsRowFunction="sum" dataDxfId="239" totalsRowDxfId="238" dataCellStyle="Comma 3"/>
    <tableColumn id="12" name="2050" totalsRowFunction="sum" dataDxfId="237" totalsRowDxfId="236"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5" dataDxfId="233" headerRowBorderDxfId="234" dataCellStyle="Comma 3">
  <autoFilter ref="C223:N228"/>
  <tableColumns count="12">
    <tableColumn id="1" name="GHG" totalsRowLabel="Total" dataDxfId="232" totalsRowDxfId="231"/>
    <tableColumn id="2" name="IPCC Sector" dataDxfId="230" totalsRowDxfId="229"/>
    <tableColumn id="3" name="Notes" dataDxfId="228" totalsRowDxfId="227"/>
    <tableColumn id="4" name="2013" totalsRowFunction="sum" dataDxfId="226" totalsRowDxfId="225" dataCellStyle="Comma 3"/>
    <tableColumn id="5" name="2015" totalsRowFunction="sum" dataDxfId="224" totalsRowDxfId="223" dataCellStyle="Comma 3"/>
    <tableColumn id="6" name="2020" totalsRowFunction="sum" dataDxfId="222" totalsRowDxfId="221" dataCellStyle="Comma 3"/>
    <tableColumn id="7" name="2025" totalsRowFunction="sum" dataDxfId="220" totalsRowDxfId="219" dataCellStyle="Comma 3"/>
    <tableColumn id="8" name="2030" totalsRowFunction="sum" dataDxfId="218" totalsRowDxfId="217" dataCellStyle="Comma 3"/>
    <tableColumn id="9" name="2035" totalsRowFunction="sum" dataDxfId="216" totalsRowDxfId="215" dataCellStyle="Comma 3"/>
    <tableColumn id="10" name="2040" totalsRowFunction="sum" dataDxfId="214" totalsRowDxfId="213" dataCellStyle="Comma 3"/>
    <tableColumn id="11" name="2045" totalsRowFunction="sum" dataDxfId="212" totalsRowDxfId="211" dataCellStyle="Comma 3"/>
    <tableColumn id="12" name="2050" totalsRowFunction="sum" dataDxfId="210" totalsRowDxfId="209"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8" dataDxfId="206" headerRowBorderDxfId="207" totalsRowBorderDxfId="205">
  <autoFilter ref="C268:N272"/>
  <tableColumns count="12">
    <tableColumn id="1" name="Vector" dataDxfId="204"/>
    <tableColumn id="2" name="Name" dataDxfId="203">
      <calculatedColumnFormula>INDEX(AirQualityVectors[Description],MATCH(C269,AirQualityVectors[Code],0))</calculatedColumnFormula>
    </tableColumn>
    <tableColumn id="3" name="IPCC Sector" dataDxfId="202"/>
    <tableColumn id="4" name="2013" dataDxfId="201">
      <calculatedColumnFormula>F167+F175</calculatedColumnFormula>
    </tableColumn>
    <tableColumn id="5" name="2015" dataDxfId="200">
      <calculatedColumnFormula>G167+G175</calculatedColumnFormula>
    </tableColumn>
    <tableColumn id="6" name="2020" dataDxfId="199">
      <calculatedColumnFormula>H167+H175</calculatedColumnFormula>
    </tableColumn>
    <tableColumn id="7" name="2025" dataDxfId="198">
      <calculatedColumnFormula>I167+I175</calculatedColumnFormula>
    </tableColumn>
    <tableColumn id="8" name="2030" dataDxfId="197">
      <calculatedColumnFormula>J167+J175</calculatedColumnFormula>
    </tableColumn>
    <tableColumn id="9" name="2035" dataDxfId="196">
      <calculatedColumnFormula>K167+K175</calculatedColumnFormula>
    </tableColumn>
    <tableColumn id="10" name="2040" dataDxfId="195">
      <calculatedColumnFormula>L167+L175</calculatedColumnFormula>
    </tableColumn>
    <tableColumn id="11" name="2045" dataDxfId="194">
      <calculatedColumnFormula>M167+M175</calculatedColumnFormula>
    </tableColumn>
    <tableColumn id="12" name="2050" dataDxfId="193">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2" dataDxfId="191" dataCellStyle="Comma">
  <autoFilter ref="C8:N11"/>
  <tableColumns count="12">
    <tableColumn id="1" name="Vector"/>
    <tableColumn id="2" name="Name" dataDxfId="190">
      <calculatedColumnFormula>INDEX(Vectors[Description], MATCH(XVI.a.Inputs[Vector], Vectors[Code], 0))</calculatedColumnFormula>
    </tableColumn>
    <tableColumn id="3" name="Notes"/>
    <tableColumn id="4" name="2013" dataDxfId="189" dataCellStyle="Comma">
      <calculatedColumnFormula>INDEX(INDIRECT("'"&amp;XVI.a.Inputs[#Headers]&amp;"'!Year.Matrix"), MATCH("Subtotal."&amp;$A$2, INDIRECT("'"&amp;XVI.a.Inputs[#Headers]&amp;"'!Year.Modules"), 0), MATCH(XVI.a.Inputs[Vector], INDIRECT("'"&amp;XVI.a.Inputs[#Headers]&amp;"'!Year.Vectors"), 0))</calculatedColumnFormula>
    </tableColumn>
    <tableColumn id="5" name="2015" dataDxfId="188" dataCellStyle="Comma">
      <calculatedColumnFormula>INDEX(INDIRECT("'"&amp;XVI.a.Inputs[#Headers]&amp;"'!Year.Matrix"), MATCH("Subtotal."&amp;$A$2, INDIRECT("'"&amp;XVI.a.Inputs[#Headers]&amp;"'!Year.Modules"), 0), MATCH(XVI.a.Inputs[Vector], INDIRECT("'"&amp;XVI.a.Inputs[#Headers]&amp;"'!Year.Vectors"), 0))</calculatedColumnFormula>
    </tableColumn>
    <tableColumn id="6" name="2020" dataDxfId="187" dataCellStyle="Comma">
      <calculatedColumnFormula>INDEX(INDIRECT("'"&amp;XVI.a.Inputs[#Headers]&amp;"'!Year.Matrix"), MATCH("Subtotal."&amp;$A$2, INDIRECT("'"&amp;XVI.a.Inputs[#Headers]&amp;"'!Year.Modules"), 0), MATCH(XVI.a.Inputs[Vector], INDIRECT("'"&amp;XVI.a.Inputs[#Headers]&amp;"'!Year.Vectors"), 0))</calculatedColumnFormula>
    </tableColumn>
    <tableColumn id="7" name="2025" dataDxfId="186" dataCellStyle="Comma">
      <calculatedColumnFormula>INDEX(INDIRECT("'"&amp;XVI.a.Inputs[#Headers]&amp;"'!Year.Matrix"), MATCH("Subtotal."&amp;$A$2, INDIRECT("'"&amp;XVI.a.Inputs[#Headers]&amp;"'!Year.Modules"), 0), MATCH(XVI.a.Inputs[Vector], INDIRECT("'"&amp;XVI.a.Inputs[#Headers]&amp;"'!Year.Vectors"), 0))</calculatedColumnFormula>
    </tableColumn>
    <tableColumn id="8" name="2030" dataDxfId="185" dataCellStyle="Comma">
      <calculatedColumnFormula>INDEX(INDIRECT("'"&amp;XVI.a.Inputs[#Headers]&amp;"'!Year.Matrix"), MATCH("Subtotal."&amp;$A$2, INDIRECT("'"&amp;XVI.a.Inputs[#Headers]&amp;"'!Year.Modules"), 0), MATCH(XVI.a.Inputs[Vector], INDIRECT("'"&amp;XVI.a.Inputs[#Headers]&amp;"'!Year.Vectors"), 0))</calculatedColumnFormula>
    </tableColumn>
    <tableColumn id="9" name="2035" dataDxfId="184" dataCellStyle="Comma">
      <calculatedColumnFormula>INDEX(INDIRECT("'"&amp;XVI.a.Inputs[#Headers]&amp;"'!Year.Matrix"), MATCH("Subtotal."&amp;$A$2, INDIRECT("'"&amp;XVI.a.Inputs[#Headers]&amp;"'!Year.Modules"), 0), MATCH(XVI.a.Inputs[Vector], INDIRECT("'"&amp;XVI.a.Inputs[#Headers]&amp;"'!Year.Vectors"), 0))</calculatedColumnFormula>
    </tableColumn>
    <tableColumn id="10" name="2040" dataDxfId="183" dataCellStyle="Comma">
      <calculatedColumnFormula>INDEX(INDIRECT("'"&amp;XVI.a.Inputs[#Headers]&amp;"'!Year.Matrix"), MATCH("Subtotal."&amp;$A$2, INDIRECT("'"&amp;XVI.a.Inputs[#Headers]&amp;"'!Year.Modules"), 0), MATCH(XVI.a.Inputs[Vector], INDIRECT("'"&amp;XVI.a.Inputs[#Headers]&amp;"'!Year.Vectors"), 0))</calculatedColumnFormula>
    </tableColumn>
    <tableColumn id="11" name="2045" dataDxfId="182" dataCellStyle="Comma">
      <calculatedColumnFormula>INDEX(INDIRECT("'"&amp;XVI.a.Inputs[#Headers]&amp;"'!Year.Matrix"), MATCH("Subtotal."&amp;$A$2, INDIRECT("'"&amp;XVI.a.Inputs[#Headers]&amp;"'!Year.Modules"), 0), MATCH(XVI.a.Inputs[Vector], INDIRECT("'"&amp;XVI.a.Inputs[#Headers]&amp;"'!Year.Vectors"), 0))</calculatedColumnFormula>
    </tableColumn>
    <tableColumn id="12" name="2050" dataDxfId="181" dataCellStyle="Comma">
      <calculatedColumnFormula>INDEX(INDIRECT("'"&amp;XVI.a.Inputs[#Headers]&amp;"'!Year.Matrix"), MATCH("Subtotal."&amp;$A$2, INDIRECT("'"&amp;XVI.a.Inputs[#Headers]&amp;"'!Year.Modules"), 0), MATCH(XVI.a.Inputs[Vector],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0" dataDxfId="179" dataCellStyle="Comma 3">
  <autoFilter ref="C107:N114"/>
  <tableColumns count="12">
    <tableColumn id="1" name="Vector" totalsRowLabel="Total" dataDxfId="178" totalsRowDxfId="177"/>
    <tableColumn id="2" name="Name" dataDxfId="176" totalsRowDxfId="175">
      <calculatedColumnFormula>INDEX(Vectors[Description], MATCH(XVI.a.Outputs[Vector], Vectors[Code], 0))</calculatedColumnFormula>
    </tableColumn>
    <tableColumn id="3" name="Notes" dataDxfId="174" totalsRowDxfId="173"/>
    <tableColumn id="4" name="2013" totalsRowFunction="sum" dataDxfId="172" totalsRowDxfId="171" dataCellStyle="Comma 3"/>
    <tableColumn id="5" name="2015" totalsRowFunction="sum" dataDxfId="170" totalsRowDxfId="169" dataCellStyle="Comma 3"/>
    <tableColumn id="6" name="2020" totalsRowFunction="sum" dataDxfId="168" totalsRowDxfId="167" dataCellStyle="Comma 3"/>
    <tableColumn id="7" name="2025" totalsRowFunction="sum" dataDxfId="166" totalsRowDxfId="165" dataCellStyle="Comma 3"/>
    <tableColumn id="8" name="2030" totalsRowFunction="sum" dataDxfId="164" totalsRowDxfId="163" dataCellStyle="Comma 3"/>
    <tableColumn id="9" name="2035" totalsRowFunction="sum" dataDxfId="162" totalsRowDxfId="161" dataCellStyle="Comma 3"/>
    <tableColumn id="10" name="2040" totalsRowFunction="sum" dataDxfId="160" totalsRowDxfId="159" dataCellStyle="Comma 3"/>
    <tableColumn id="11" name="2045" totalsRowFunction="sum" dataDxfId="158" totalsRowDxfId="157" dataCellStyle="Comma 3"/>
    <tableColumn id="12" name="2050" totalsRowFunction="sum" dataDxfId="156" totalsRowDxfId="155"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4" dataDxfId="152" headerRowBorderDxfId="153" dataCellStyle="Comma">
  <autoFilter ref="C122:N123"/>
  <tableColumns count="12">
    <tableColumn id="1" name="GHG" totalsRowLabel="Total" dataDxfId="151" totalsRowDxfId="150"/>
    <tableColumn id="2" name="IPCC Sector" dataDxfId="149" totalsRowDxfId="148"/>
    <tableColumn id="3" name="Notes" dataDxfId="147" totalsRowDxfId="146"/>
    <tableColumn id="4" name="2013" totalsRowFunction="sum" dataDxfId="145" totalsRowDxfId="144" dataCellStyle="Comma">
      <calculatedColumnFormula>F73</calculatedColumnFormula>
    </tableColumn>
    <tableColumn id="5" name="2015" totalsRowFunction="sum" dataDxfId="143" totalsRowDxfId="142" dataCellStyle="Comma">
      <calculatedColumnFormula>G73</calculatedColumnFormula>
    </tableColumn>
    <tableColumn id="6" name="2020" totalsRowFunction="sum" dataDxfId="141" totalsRowDxfId="140" dataCellStyle="Comma">
      <calculatedColumnFormula>H73</calculatedColumnFormula>
    </tableColumn>
    <tableColumn id="7" name="2025" totalsRowFunction="sum" dataDxfId="139" totalsRowDxfId="138" dataCellStyle="Comma">
      <calculatedColumnFormula>I73</calculatedColumnFormula>
    </tableColumn>
    <tableColumn id="8" name="2030" totalsRowFunction="sum" dataDxfId="137" totalsRowDxfId="136" dataCellStyle="Comma">
      <calculatedColumnFormula>J73</calculatedColumnFormula>
    </tableColumn>
    <tableColumn id="9" name="2035" totalsRowFunction="sum" dataDxfId="135" totalsRowDxfId="134" dataCellStyle="Comma">
      <calculatedColumnFormula>K73</calculatedColumnFormula>
    </tableColumn>
    <tableColumn id="10" name="2040" totalsRowFunction="sum" dataDxfId="133" totalsRowDxfId="132" dataCellStyle="Comma">
      <calculatedColumnFormula>L73</calculatedColumnFormula>
    </tableColumn>
    <tableColumn id="11" name="2045" totalsRowFunction="sum" dataDxfId="131" totalsRowDxfId="130" dataCellStyle="Comma">
      <calculatedColumnFormula>M73</calculatedColumnFormula>
    </tableColumn>
    <tableColumn id="12" name="2050" totalsRowFunction="sum" dataDxfId="129" totalsRowDxfId="128"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7" dataDxfId="125" headerRowBorderDxfId="126" tableBorderDxfId="124" totalsRowBorderDxfId="123">
  <autoFilter ref="C151:N152"/>
  <tableColumns count="12">
    <tableColumn id="1" name="Vector" dataDxfId="122"/>
    <tableColumn id="2" name="Name" dataDxfId="121"/>
    <tableColumn id="3" name="IPCC Sector" dataDxfId="120"/>
    <tableColumn id="4" name="2013" dataDxfId="119">
      <calculatedColumnFormula>$G152*(F$64/$G$64)</calculatedColumnFormula>
    </tableColumn>
    <tableColumn id="5" name="2015" dataDxfId="118">
      <calculatedColumnFormula>G$29</calculatedColumnFormula>
    </tableColumn>
    <tableColumn id="6" name="2020" dataDxfId="117">
      <calculatedColumnFormula>H$29</calculatedColumnFormula>
    </tableColumn>
    <tableColumn id="7" name="2025" dataDxfId="116">
      <calculatedColumnFormula>I$29</calculatedColumnFormula>
    </tableColumn>
    <tableColumn id="8" name="2030" dataDxfId="115">
      <calculatedColumnFormula>J$29</calculatedColumnFormula>
    </tableColumn>
    <tableColumn id="9" name="2035" dataDxfId="114">
      <calculatedColumnFormula>K$29</calculatedColumnFormula>
    </tableColumn>
    <tableColumn id="10" name="2040" dataDxfId="113">
      <calculatedColumnFormula>$K152*(L$64/$K$64)</calculatedColumnFormula>
    </tableColumn>
    <tableColumn id="11" name="2045" dataDxfId="112">
      <calculatedColumnFormula>$K152*(M$64/$K$64)</calculatedColumnFormula>
    </tableColumn>
    <tableColumn id="12" name="2050" dataDxfId="111">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0" dataDxfId="109" dataCellStyle="ofwhich">
  <autoFilter ref="C8:N11"/>
  <tableColumns count="12">
    <tableColumn id="1" name="Vector"/>
    <tableColumn id="2" name="Name" dataDxfId="108">
      <calculatedColumnFormula>INDEX(Vectors[Description], MATCH(XVI.b.Inputs[Vector], Vectors[Code], 0))</calculatedColumnFormula>
    </tableColumn>
    <tableColumn id="3" name="Notes"/>
    <tableColumn id="4" name="2013" dataDxfId="107" dataCellStyle="ofwhich">
      <calculatedColumnFormula>INDEX(INDIRECT("'"&amp;F$8&amp;"'!Year.NetBalance"), MATCH($C9, INDIRECT("'"&amp;F$8&amp;"'!Year.Vectors"), 0))</calculatedColumnFormula>
    </tableColumn>
    <tableColumn id="5" name="2015" dataDxfId="106" dataCellStyle="ofwhich">
      <calculatedColumnFormula>INDEX(INDIRECT("'"&amp;G$8&amp;"'!Year.NetBalance"), MATCH($C9, INDIRECT("'"&amp;G$8&amp;"'!Year.Vectors"), 0))</calculatedColumnFormula>
    </tableColumn>
    <tableColumn id="6" name="2020" dataDxfId="105" dataCellStyle="ofwhich">
      <calculatedColumnFormula>INDEX(INDIRECT("'"&amp;H$8&amp;"'!Year.NetBalance"), MATCH($C9, INDIRECT("'"&amp;H$8&amp;"'!Year.Vectors"), 0))</calculatedColumnFormula>
    </tableColumn>
    <tableColumn id="7" name="2025" dataDxfId="104" dataCellStyle="ofwhich">
      <calculatedColumnFormula>INDEX(INDIRECT("'"&amp;I$8&amp;"'!Year.NetBalance"), MATCH($C9, INDIRECT("'"&amp;I$8&amp;"'!Year.Vectors"), 0))</calculatedColumnFormula>
    </tableColumn>
    <tableColumn id="8" name="2030" dataDxfId="103" dataCellStyle="ofwhich">
      <calculatedColumnFormula>INDEX(INDIRECT("'"&amp;J$8&amp;"'!Year.NetBalance"), MATCH($C9, INDIRECT("'"&amp;J$8&amp;"'!Year.Vectors"), 0))</calculatedColumnFormula>
    </tableColumn>
    <tableColumn id="9" name="2035" dataDxfId="102" dataCellStyle="ofwhich">
      <calculatedColumnFormula>INDEX(INDIRECT("'"&amp;K$8&amp;"'!Year.NetBalance"), MATCH($C9, INDIRECT("'"&amp;K$8&amp;"'!Year.Vectors"), 0))</calculatedColumnFormula>
    </tableColumn>
    <tableColumn id="10" name="2040" dataDxfId="101" dataCellStyle="ofwhich">
      <calculatedColumnFormula>INDEX(INDIRECT("'"&amp;L$8&amp;"'!Year.NetBalance"), MATCH($C9, INDIRECT("'"&amp;L$8&amp;"'!Year.Vectors"), 0))</calculatedColumnFormula>
    </tableColumn>
    <tableColumn id="11" name="2045" dataDxfId="100" dataCellStyle="ofwhich">
      <calculatedColumnFormula>INDEX(INDIRECT("'"&amp;M$8&amp;"'!Year.NetBalance"), MATCH($C9, INDIRECT("'"&amp;M$8&amp;"'!Year.Vectors"), 0))</calculatedColumnFormula>
    </tableColumn>
    <tableColumn id="12" name="2050" dataDxfId="99"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8" dataDxfId="96" headerRowBorderDxfId="97" dataCellStyle="ofwhich">
  <autoFilter ref="C14:N15"/>
  <tableColumns count="12">
    <tableColumn id="1" name="Vector" dataDxfId="95"/>
    <tableColumn id="2" name="Name" dataDxfId="94"/>
    <tableColumn id="3" name="Notes" dataDxfId="93"/>
    <tableColumn id="4" name="2013" dataDxfId="92" dataCellStyle="ofwhich">
      <calculatedColumnFormula>INDEX(INDIRECT("'"&amp;F$8&amp;"'!Year.NetBalance"), MATCH($C15, INDIRECT("'"&amp;F$8&amp;"'!Year.Vectors"), 0))</calculatedColumnFormula>
    </tableColumn>
    <tableColumn id="5" name="2015" dataDxfId="91" dataCellStyle="ofwhich">
      <calculatedColumnFormula>INDEX(INDIRECT("'"&amp;G$8&amp;"'!Year.NetBalance"), MATCH($C15, INDIRECT("'"&amp;G$8&amp;"'!Year.Vectors"), 0))</calculatedColumnFormula>
    </tableColumn>
    <tableColumn id="6" name="2020" dataDxfId="90" dataCellStyle="ofwhich">
      <calculatedColumnFormula>INDEX(INDIRECT("'"&amp;H$8&amp;"'!Year.NetBalance"), MATCH($C15, INDIRECT("'"&amp;H$8&amp;"'!Year.Vectors"), 0))</calculatedColumnFormula>
    </tableColumn>
    <tableColumn id="7" name="2025" dataDxfId="89" dataCellStyle="ofwhich">
      <calculatedColumnFormula>INDEX(INDIRECT("'"&amp;I$8&amp;"'!Year.NetBalance"), MATCH($C15, INDIRECT("'"&amp;I$8&amp;"'!Year.Vectors"), 0))</calculatedColumnFormula>
    </tableColumn>
    <tableColumn id="8" name="2030" dataDxfId="88" dataCellStyle="ofwhich">
      <calculatedColumnFormula>INDEX(INDIRECT("'"&amp;J$8&amp;"'!Year.NetBalance"), MATCH($C15, INDIRECT("'"&amp;J$8&amp;"'!Year.Vectors"), 0))</calculatedColumnFormula>
    </tableColumn>
    <tableColumn id="9" name="2035" dataDxfId="87" dataCellStyle="ofwhich">
      <calculatedColumnFormula>INDEX(INDIRECT("'"&amp;K$8&amp;"'!Year.NetBalance"), MATCH($C15, INDIRECT("'"&amp;K$8&amp;"'!Year.Vectors"), 0))</calculatedColumnFormula>
    </tableColumn>
    <tableColumn id="10" name="2040" dataDxfId="86" dataCellStyle="ofwhich">
      <calculatedColumnFormula>INDEX(INDIRECT("'"&amp;L$8&amp;"'!Year.NetBalance"), MATCH($C15, INDIRECT("'"&amp;L$8&amp;"'!Year.Vectors"), 0))</calculatedColumnFormula>
    </tableColumn>
    <tableColumn id="11" name="2045" dataDxfId="85" dataCellStyle="ofwhich">
      <calculatedColumnFormula>INDEX(INDIRECT("'"&amp;M$8&amp;"'!Year.NetBalance"), MATCH($C15, INDIRECT("'"&amp;M$8&amp;"'!Year.Vectors"), 0))</calculatedColumnFormula>
    </tableColumn>
    <tableColumn id="12" name="2050" dataDxfId="84"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3" totalsRowDxfId="82">
  <autoFilter ref="C79:N80"/>
  <tableColumns count="12">
    <tableColumn id="1" name="Vector" totalsRowLabel="Total" totalsRowDxfId="81"/>
    <tableColumn id="2" name="Name" dataDxfId="80" totalsRowDxfId="79"/>
    <tableColumn id="3" name="Notes" totalsRowDxfId="78"/>
    <tableColumn id="4" name="2013" totalsRowDxfId="77"/>
    <tableColumn id="5" name="2015" totalsRowDxfId="76"/>
    <tableColumn id="6" name="2020" totalsRowDxfId="75"/>
    <tableColumn id="7" name="2025" totalsRowDxfId="74"/>
    <tableColumn id="8" name="2030" totalsRowDxfId="73"/>
    <tableColumn id="9" name="2035" totalsRowDxfId="72"/>
    <tableColumn id="10" name="2040" totalsRowDxfId="71"/>
    <tableColumn id="11" name="2045" totalsRowDxfId="70"/>
    <tableColumn id="12" name="2050" totalsRowFunction="count" totalsRowDxfId="69"/>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8" dataDxfId="67" dataCellStyle="Comma 3">
  <autoFilter ref="C8:N9"/>
  <tableColumns count="12">
    <tableColumn id="1" name="Vector" dataDxfId="66"/>
    <tableColumn id="2" name="Name" dataDxfId="65"/>
    <tableColumn id="3" name="Notes" dataDxfId="64"/>
    <tableColumn id="4" name="2013" dataDxfId="63" dataCellStyle="Comma 3">
      <calculatedColumnFormula>INDEX(INDIRECT("'"&amp;XVII.a.Inputs[#Headers]&amp;"'!Year.Matrix"), MATCH("Subtotal."&amp;$A$2, INDIRECT("'"&amp;XVII.a.Inputs[#Headers]&amp;"'!Year.Modules"), 0), MATCH(XVII.a.Inputs[Vector], INDIRECT("'"&amp;XVII.a.Inputs[#Headers]&amp;"'!Year.Vectors"), 0))</calculatedColumnFormula>
    </tableColumn>
    <tableColumn id="5" name="2015" dataDxfId="62" dataCellStyle="Comma 3">
      <calculatedColumnFormula>INDEX(INDIRECT("'"&amp;XVII.a.Inputs[#Headers]&amp;"'!Year.Matrix"), MATCH("Subtotal."&amp;$A$2, INDIRECT("'"&amp;XVII.a.Inputs[#Headers]&amp;"'!Year.Modules"), 0), MATCH(XVII.a.Inputs[Vector], INDIRECT("'"&amp;XVII.a.Inputs[#Headers]&amp;"'!Year.Vectors"), 0))</calculatedColumnFormula>
    </tableColumn>
    <tableColumn id="6" name="2020" dataDxfId="61" dataCellStyle="Comma 3">
      <calculatedColumnFormula>INDEX(INDIRECT("'"&amp;XVII.a.Inputs[#Headers]&amp;"'!Year.Matrix"), MATCH("Subtotal."&amp;$A$2, INDIRECT("'"&amp;XVII.a.Inputs[#Headers]&amp;"'!Year.Modules"), 0), MATCH(XVII.a.Inputs[Vector], INDIRECT("'"&amp;XVII.a.Inputs[#Headers]&amp;"'!Year.Vectors"), 0))</calculatedColumnFormula>
    </tableColumn>
    <tableColumn id="7" name="2025" dataDxfId="60" dataCellStyle="Comma 3">
      <calculatedColumnFormula>INDEX(INDIRECT("'"&amp;XVII.a.Inputs[#Headers]&amp;"'!Year.Matrix"), MATCH("Subtotal."&amp;$A$2, INDIRECT("'"&amp;XVII.a.Inputs[#Headers]&amp;"'!Year.Modules"), 0), MATCH(XVII.a.Inputs[Vector], INDIRECT("'"&amp;XVII.a.Inputs[#Headers]&amp;"'!Year.Vectors"), 0))</calculatedColumnFormula>
    </tableColumn>
    <tableColumn id="8" name="2030" dataDxfId="59" dataCellStyle="Comma 3">
      <calculatedColumnFormula>INDEX(INDIRECT("'"&amp;XVII.a.Inputs[#Headers]&amp;"'!Year.Matrix"), MATCH("Subtotal."&amp;$A$2, INDIRECT("'"&amp;XVII.a.Inputs[#Headers]&amp;"'!Year.Modules"), 0), MATCH(XVII.a.Inputs[Vector], INDIRECT("'"&amp;XVII.a.Inputs[#Headers]&amp;"'!Year.Vectors"), 0))</calculatedColumnFormula>
    </tableColumn>
    <tableColumn id="9" name="2035" dataDxfId="58" dataCellStyle="Comma 3">
      <calculatedColumnFormula>INDEX(INDIRECT("'"&amp;XVII.a.Inputs[#Headers]&amp;"'!Year.Matrix"), MATCH("Subtotal."&amp;$A$2, INDIRECT("'"&amp;XVII.a.Inputs[#Headers]&amp;"'!Year.Modules"), 0), MATCH(XVII.a.Inputs[Vector], INDIRECT("'"&amp;XVII.a.Inputs[#Headers]&amp;"'!Year.Vectors"), 0))</calculatedColumnFormula>
    </tableColumn>
    <tableColumn id="10" name="2040" dataDxfId="57" dataCellStyle="Comma 3">
      <calculatedColumnFormula>INDEX(INDIRECT("'"&amp;XVII.a.Inputs[#Headers]&amp;"'!Year.Matrix"), MATCH("Subtotal."&amp;$A$2, INDIRECT("'"&amp;XVII.a.Inputs[#Headers]&amp;"'!Year.Modules"), 0), MATCH(XVII.a.Inputs[Vector], INDIRECT("'"&amp;XVII.a.Inputs[#Headers]&amp;"'!Year.Vectors"), 0))</calculatedColumnFormula>
    </tableColumn>
    <tableColumn id="11" name="2045" dataDxfId="56" dataCellStyle="Comma 3">
      <calculatedColumnFormula>INDEX(INDIRECT("'"&amp;XVII.a.Inputs[#Headers]&amp;"'!Year.Matrix"), MATCH("Subtotal."&amp;$A$2, INDIRECT("'"&amp;XVII.a.Inputs[#Headers]&amp;"'!Year.Modules"), 0), MATCH(XVII.a.Inputs[Vector], INDIRECT("'"&amp;XVII.a.Inputs[#Headers]&amp;"'!Year.Vectors"), 0))</calculatedColumnFormula>
    </tableColumn>
    <tableColumn id="12" name="2050" dataDxfId="55" dataCellStyle="Comma 3">
      <calculatedColumnFormula>INDEX(INDIRECT("'"&amp;XVII.a.Inputs[#Headers]&amp;"'!Year.Matrix"), MATCH("Subtotal."&amp;$A$2, INDIRECT("'"&amp;XVII.a.Inputs[#Headers]&amp;"'!Year.Modules"), 0), MATCH(XVII.a.Inputs[Vector],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4" dataDxfId="53" dataCellStyle="Comma 3">
  <autoFilter ref="C76:N79"/>
  <tableColumns count="12">
    <tableColumn id="1" name="Vector" totalsRowLabel="Total" dataDxfId="52" totalsRowDxfId="51"/>
    <tableColumn id="2" name="Name" dataDxfId="50" totalsRowDxfId="49">
      <calculatedColumnFormula>INDEX(Vectors[Description], MATCH(XVII.a.Outputs[Vector], Vectors[Code], 0))</calculatedColumnFormula>
    </tableColumn>
    <tableColumn id="3" name="Notes" dataDxfId="48" totalsRowDxfId="47"/>
    <tableColumn id="4" name="2013" totalsRowFunction="sum" dataDxfId="46" totalsRowDxfId="45" dataCellStyle="Comma 3"/>
    <tableColumn id="5" name="2015" totalsRowFunction="sum" dataDxfId="44" totalsRowDxfId="43" dataCellStyle="Comma 3"/>
    <tableColumn id="6" name="2020" totalsRowFunction="sum" dataDxfId="42" totalsRowDxfId="41" dataCellStyle="Comma 3"/>
    <tableColumn id="7" name="2025" totalsRowFunction="sum" dataDxfId="40" totalsRowDxfId="39" dataCellStyle="Comma 3"/>
    <tableColumn id="8" name="2030" totalsRowFunction="sum" dataDxfId="38" totalsRowDxfId="37" dataCellStyle="Comma 3"/>
    <tableColumn id="9" name="2035" totalsRowFunction="sum" dataDxfId="36" totalsRowDxfId="35" dataCellStyle="Comma 3"/>
    <tableColumn id="10" name="2040" totalsRowFunction="sum" dataDxfId="34" totalsRowDxfId="33" dataCellStyle="Comma 3"/>
    <tableColumn id="11" name="2045" totalsRowFunction="sum" dataDxfId="32" totalsRowDxfId="31" dataCellStyle="Comma 3"/>
    <tableColumn id="12" name="2050" totalsRowFunction="sum" dataDxfId="30" totalsRowDxfId="29"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8" dataDxfId="27" dataCellStyle="ofwhich">
  <autoFilter ref="C8:N9"/>
  <tableColumns count="12">
    <tableColumn id="1" name="Vector" dataDxfId="26"/>
    <tableColumn id="2" name="Name" dataDxfId="25"/>
    <tableColumn id="3" name="Notes" dataDxfId="24"/>
    <tableColumn id="4" name="2013" dataDxfId="23" dataCellStyle="ofwhich">
      <calculatedColumnFormula>SUMIFS(INDIRECT("'"&amp;F$8&amp;"'!Year.Emissions"), INDIRECT("'"&amp;F$8&amp;"'!Year.IPCC"), $C9)</calculatedColumnFormula>
    </tableColumn>
    <tableColumn id="5" name="2015" dataDxfId="22" dataCellStyle="ofwhich">
      <calculatedColumnFormula>SUMIFS(INDIRECT("'"&amp;G$8&amp;"'!Year.Emissions"), INDIRECT("'"&amp;G$8&amp;"'!Year.IPCC"), $C9)</calculatedColumnFormula>
    </tableColumn>
    <tableColumn id="6" name="2020" dataDxfId="21" dataCellStyle="ofwhich">
      <calculatedColumnFormula>SUMIFS(INDIRECT("'"&amp;H$8&amp;"'!Year.Emissions"), INDIRECT("'"&amp;H$8&amp;"'!Year.IPCC"), $C9)</calculatedColumnFormula>
    </tableColumn>
    <tableColumn id="7" name="2025" dataDxfId="20" dataCellStyle="ofwhich">
      <calculatedColumnFormula>SUMIFS(INDIRECT("'"&amp;I$8&amp;"'!Year.Emissions"), INDIRECT("'"&amp;I$8&amp;"'!Year.IPCC"), $C9)</calculatedColumnFormula>
    </tableColumn>
    <tableColumn id="8" name="2030" dataDxfId="19" dataCellStyle="ofwhich">
      <calculatedColumnFormula>SUMIFS(INDIRECT("'"&amp;J$8&amp;"'!Year.Emissions"), INDIRECT("'"&amp;J$8&amp;"'!Year.IPCC"), $C9)</calculatedColumnFormula>
    </tableColumn>
    <tableColumn id="9" name="2035" dataDxfId="18" dataCellStyle="ofwhich">
      <calculatedColumnFormula>SUMIFS(INDIRECT("'"&amp;K$8&amp;"'!Year.Emissions"), INDIRECT("'"&amp;K$8&amp;"'!Year.IPCC"), $C9)</calculatedColumnFormula>
    </tableColumn>
    <tableColumn id="10" name="2040" dataDxfId="17" dataCellStyle="ofwhich">
      <calculatedColumnFormula>SUMIFS(INDIRECT("'"&amp;L$8&amp;"'!Year.Emissions"), INDIRECT("'"&amp;L$8&amp;"'!Year.IPCC"), $C9)</calculatedColumnFormula>
    </tableColumn>
    <tableColumn id="11" name="2045" dataDxfId="16" dataCellStyle="ofwhich">
      <calculatedColumnFormula>SUMIFS(INDIRECT("'"&amp;M$8&amp;"'!Year.Emissions"), INDIRECT("'"&amp;M$8&amp;"'!Year.IPCC"), $C9)</calculatedColumnFormula>
    </tableColumn>
    <tableColumn id="12" name="2050" dataDxfId="15"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4" dataDxfId="12" headerRowBorderDxfId="13" dataCellStyle="Comma 3">
  <autoFilter ref="C72:N77"/>
  <tableColumns count="12">
    <tableColumn id="1" name="Vector" dataDxfId="11"/>
    <tableColumn id="2" name="Information type" dataDxfId="10"/>
    <tableColumn id="3" name="Notes" dataDxfId="9"/>
    <tableColumn id="4" name="2013" dataDxfId="8" dataCellStyle="Comma 3"/>
    <tableColumn id="5" name="2015" dataDxfId="7" dataCellStyle="Comma 3"/>
    <tableColumn id="6" name="2020" dataDxfId="6" dataCellStyle="Comma 3"/>
    <tableColumn id="7" name="2025" dataDxfId="5" dataCellStyle="Comma 3"/>
    <tableColumn id="8" name="2030" dataDxfId="4" dataCellStyle="Comma 3"/>
    <tableColumn id="9" name="2035" dataDxfId="3" dataCellStyle="Comma 3"/>
    <tableColumn id="10" name="2040" dataDxfId="2" dataCellStyle="Comma 3"/>
    <tableColumn id="11" name="2045" dataDxfId="1" dataCellStyle="Comma 3"/>
    <tableColumn id="12" name="2050" dataDxfId="0"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5"/>
  </sheetPr>
  <dimension ref="A1:BW74"/>
  <sheetViews>
    <sheetView tabSelected="1" topLeftCell="K1" zoomScale="70" zoomScaleNormal="70" workbookViewId="0">
      <selection activeCell="S4" sqref="S4"/>
    </sheetView>
  </sheetViews>
  <sheetFormatPr defaultColWidth="8.81640625" defaultRowHeight="14.5"/>
  <cols>
    <col min="1" max="1" width="20.1796875" style="411" customWidth="1"/>
    <col min="2" max="2" width="26.26953125" style="411" customWidth="1"/>
    <col min="3" max="3" width="9.54296875" customWidth="1"/>
    <col min="4" max="4" width="45.26953125" customWidth="1"/>
    <col min="5" max="5" width="5.1796875" style="847" customWidth="1"/>
    <col min="6" max="6" width="4" style="720" customWidth="1"/>
    <col min="7" max="7" width="8.26953125" style="3970" customWidth="1"/>
    <col min="8" max="8" width="1.1796875" customWidth="1"/>
    <col min="9" max="12" width="43.81640625" customWidth="1"/>
    <col min="13" max="13" width="1.1796875" customWidth="1"/>
    <col min="14" max="17" width="4.453125" customWidth="1"/>
    <col min="18" max="18" width="5.453125" customWidth="1"/>
    <col min="19" max="20" width="4.81640625" customWidth="1"/>
    <col min="21" max="21" width="6.54296875" customWidth="1"/>
    <col min="22" max="22" width="4.7265625" customWidth="1"/>
    <col min="23" max="23" width="4.26953125" customWidth="1"/>
    <col min="24" max="24" width="4.81640625" customWidth="1"/>
    <col min="25" max="26" width="5.1796875" customWidth="1"/>
    <col min="27" max="27" width="4.453125" customWidth="1"/>
    <col min="28" max="28" width="4.7265625" customWidth="1"/>
    <col min="29" max="29" width="4.54296875" customWidth="1"/>
    <col min="30" max="30" width="4.453125" customWidth="1"/>
    <col min="31" max="31" width="1" customWidth="1"/>
    <col min="32" max="32" width="1.81640625" customWidth="1"/>
    <col min="33" max="42" width="9.453125" customWidth="1"/>
    <col min="43" max="43" width="0.81640625" customWidth="1"/>
    <col min="44" max="44" width="6.81640625" customWidth="1"/>
    <col min="45" max="54" width="9.453125" customWidth="1"/>
    <col min="55" max="55" width="0.81640625" style="723" customWidth="1"/>
    <col min="56" max="56" width="2.1796875" style="723" customWidth="1"/>
    <col min="57" max="57" width="7.81640625" customWidth="1"/>
    <col min="58" max="61" width="9.453125" customWidth="1"/>
    <col min="62" max="62" width="9.7265625" bestFit="1" customWidth="1"/>
    <col min="63" max="65" width="9.7265625" customWidth="1"/>
    <col min="66" max="67" width="2.7265625" customWidth="1"/>
    <col min="68" max="68" width="21" customWidth="1"/>
    <col min="69" max="69" width="56" customWidth="1"/>
    <col min="70" max="70" width="47.7265625" customWidth="1"/>
    <col min="71" max="71" width="49.54296875" customWidth="1"/>
    <col min="72" max="72" width="48.26953125" customWidth="1"/>
  </cols>
  <sheetData>
    <row r="1" spans="1:72" ht="31.5" customHeight="1">
      <c r="A1" s="718" t="s">
        <v>589</v>
      </c>
      <c r="C1" s="719"/>
      <c r="D1" s="3692" t="s">
        <v>5</v>
      </c>
      <c r="E1" s="5" t="s">
        <v>2850</v>
      </c>
      <c r="J1" s="4096" t="s">
        <v>5</v>
      </c>
      <c r="K1" s="718" t="s">
        <v>5</v>
      </c>
      <c r="L1" s="4106" t="s">
        <v>5</v>
      </c>
      <c r="N1" s="718" t="s">
        <v>590</v>
      </c>
      <c r="AF1" s="721"/>
      <c r="AG1" s="3726"/>
      <c r="AH1" s="722"/>
      <c r="AI1" s="3726"/>
      <c r="AJ1" s="3726"/>
      <c r="AK1" s="3726"/>
      <c r="AL1" s="3726"/>
      <c r="AM1" s="3726"/>
      <c r="AN1" s="3726"/>
      <c r="AO1" s="3726"/>
      <c r="AP1" s="3726"/>
      <c r="AQ1" s="3726"/>
      <c r="AR1" s="3726"/>
      <c r="AS1" s="3726"/>
      <c r="AT1" s="3726"/>
      <c r="AU1" s="3726"/>
      <c r="AV1" s="3726"/>
      <c r="AX1" s="3726"/>
      <c r="AY1" s="3726"/>
      <c r="AZ1" s="3726"/>
      <c r="BA1" s="3726"/>
      <c r="BB1" s="3726"/>
    </row>
    <row r="2" spans="1:72" ht="32.25" customHeight="1">
      <c r="A2" s="724" t="s">
        <v>591</v>
      </c>
      <c r="B2" s="724"/>
      <c r="C2" s="724"/>
      <c r="D2" s="725"/>
      <c r="E2" s="725"/>
      <c r="F2" s="725"/>
      <c r="G2" s="725"/>
      <c r="H2" s="7"/>
      <c r="I2" s="726" t="s">
        <v>592</v>
      </c>
      <c r="J2" s="726"/>
      <c r="K2" s="726"/>
      <c r="L2" s="726"/>
      <c r="M2" s="7"/>
      <c r="N2" s="727" t="s">
        <v>2957</v>
      </c>
      <c r="O2" s="727"/>
      <c r="P2" s="727"/>
      <c r="Q2" s="727"/>
      <c r="R2" s="728"/>
      <c r="S2" s="728"/>
      <c r="T2" s="728"/>
      <c r="U2" s="728"/>
      <c r="V2" s="728"/>
      <c r="W2" s="728"/>
      <c r="X2" s="728"/>
      <c r="Y2" s="728"/>
      <c r="Z2" s="728"/>
      <c r="AA2" s="728"/>
      <c r="AB2" s="728"/>
      <c r="AC2" s="728"/>
      <c r="AD2" s="728"/>
      <c r="AE2" s="7"/>
      <c r="AF2" s="726" t="s">
        <v>593</v>
      </c>
      <c r="AG2" s="729"/>
      <c r="AH2" s="729"/>
      <c r="AI2" s="729"/>
      <c r="AJ2" s="729"/>
      <c r="AK2" s="729"/>
      <c r="AL2" s="729"/>
      <c r="AM2" s="729"/>
      <c r="AN2" s="729"/>
      <c r="AO2" s="729"/>
      <c r="AP2" s="729"/>
      <c r="AQ2" s="3726"/>
      <c r="AR2" s="729"/>
      <c r="AS2" s="729"/>
      <c r="AT2" s="729"/>
      <c r="AU2" s="729"/>
      <c r="AV2" s="729"/>
      <c r="AW2" s="730" t="s">
        <v>300</v>
      </c>
      <c r="AX2" s="729"/>
      <c r="AY2" s="729"/>
      <c r="AZ2" s="729"/>
      <c r="BA2" s="729"/>
      <c r="BB2" s="729"/>
      <c r="BD2" s="4322" t="s">
        <v>594</v>
      </c>
      <c r="BE2" s="4322"/>
      <c r="BF2" s="4322"/>
      <c r="BG2" s="4322"/>
      <c r="BH2" s="4322"/>
      <c r="BI2" s="4322"/>
      <c r="BJ2" s="4322"/>
      <c r="BK2" s="4322"/>
      <c r="BL2" s="4322"/>
      <c r="BM2" s="4322"/>
      <c r="BN2" s="4322"/>
      <c r="BQ2" s="726" t="s">
        <v>595</v>
      </c>
      <c r="BR2" s="726"/>
      <c r="BS2" s="726"/>
      <c r="BT2" s="726"/>
    </row>
    <row r="3" spans="1:72" s="723" customFormat="1" ht="6.75" customHeight="1" thickBot="1">
      <c r="A3" s="731"/>
      <c r="B3" s="731"/>
      <c r="J3" s="752"/>
      <c r="K3" s="752" t="s">
        <v>5</v>
      </c>
      <c r="L3" s="752"/>
      <c r="M3" s="752"/>
    </row>
    <row r="4" spans="1:72" s="736" customFormat="1" ht="188.25" customHeight="1">
      <c r="A4" s="732" t="s">
        <v>490</v>
      </c>
      <c r="B4" s="732"/>
      <c r="C4" s="733"/>
      <c r="D4" s="733" t="s">
        <v>5</v>
      </c>
      <c r="E4" s="734" t="s">
        <v>596</v>
      </c>
      <c r="F4" s="735" t="s">
        <v>597</v>
      </c>
      <c r="G4" s="735" t="s">
        <v>3225</v>
      </c>
      <c r="I4" s="737" t="s">
        <v>335</v>
      </c>
      <c r="J4" s="737" t="s">
        <v>336</v>
      </c>
      <c r="K4" s="737" t="s">
        <v>337</v>
      </c>
      <c r="L4" s="737" t="s">
        <v>338</v>
      </c>
      <c r="N4" s="738" t="s">
        <v>598</v>
      </c>
      <c r="O4" s="739" t="s">
        <v>599</v>
      </c>
      <c r="P4" s="740" t="s">
        <v>600</v>
      </c>
      <c r="Q4" s="741"/>
      <c r="R4" s="742" t="s">
        <v>601</v>
      </c>
      <c r="S4" s="3928" t="s">
        <v>3801</v>
      </c>
      <c r="T4" s="744"/>
      <c r="U4" s="4312"/>
      <c r="V4" s="743"/>
      <c r="W4" s="743"/>
      <c r="X4" s="743"/>
      <c r="Y4" s="743"/>
      <c r="Z4" s="743"/>
      <c r="AA4" s="743"/>
      <c r="AB4" s="743"/>
      <c r="AC4" s="744"/>
      <c r="AD4" s="741"/>
      <c r="AF4" s="745"/>
      <c r="AG4" s="745"/>
      <c r="AH4" s="745"/>
      <c r="AI4" s="745"/>
      <c r="AJ4" s="745"/>
      <c r="AK4" s="745"/>
      <c r="AL4" s="745"/>
      <c r="AM4" s="745"/>
      <c r="AN4" s="745"/>
      <c r="AO4" s="745"/>
      <c r="AP4" s="745"/>
      <c r="AR4" s="745"/>
      <c r="AS4" s="745"/>
      <c r="AT4" s="745"/>
      <c r="AU4" s="745"/>
      <c r="AV4" s="745"/>
      <c r="AW4" s="745"/>
      <c r="AX4" s="745"/>
      <c r="AY4" s="745"/>
      <c r="AZ4" s="745"/>
      <c r="BA4" s="745"/>
      <c r="BB4" s="745"/>
      <c r="BC4" s="746"/>
      <c r="BD4" s="747"/>
      <c r="BE4" s="747"/>
      <c r="BF4" s="745"/>
      <c r="BG4" s="745"/>
      <c r="BH4" s="745"/>
      <c r="BI4" s="745"/>
      <c r="BJ4" s="745"/>
      <c r="BK4" s="745"/>
      <c r="BL4" s="745"/>
      <c r="BM4" s="745"/>
      <c r="BN4" s="745"/>
      <c r="BP4" s="736" t="s">
        <v>5</v>
      </c>
      <c r="BQ4" s="748" t="s">
        <v>335</v>
      </c>
      <c r="BR4" s="737" t="s">
        <v>336</v>
      </c>
      <c r="BS4" s="737" t="s">
        <v>337</v>
      </c>
      <c r="BT4" s="737" t="s">
        <v>338</v>
      </c>
    </row>
    <row r="5" spans="1:72" ht="36" customHeight="1">
      <c r="A5" s="4319" t="s">
        <v>602</v>
      </c>
      <c r="B5" s="4320" t="s">
        <v>2710</v>
      </c>
      <c r="C5" s="749" t="s">
        <v>539</v>
      </c>
      <c r="D5" s="749" t="s">
        <v>603</v>
      </c>
      <c r="E5" s="750">
        <v>1</v>
      </c>
      <c r="F5" s="751">
        <v>4</v>
      </c>
      <c r="G5" s="794" t="s">
        <v>3228</v>
      </c>
      <c r="I5" s="752" t="s">
        <v>706</v>
      </c>
      <c r="J5" s="752" t="s">
        <v>706</v>
      </c>
      <c r="K5" s="752" t="s">
        <v>706</v>
      </c>
      <c r="L5" s="752" t="s">
        <v>707</v>
      </c>
      <c r="N5" s="750">
        <v>1</v>
      </c>
      <c r="O5" s="753">
        <v>1</v>
      </c>
      <c r="P5" s="754">
        <v>4</v>
      </c>
      <c r="Q5" s="755"/>
      <c r="R5" s="750">
        <v>1.4</v>
      </c>
      <c r="S5" s="4245">
        <v>1</v>
      </c>
      <c r="T5" s="754"/>
      <c r="U5" s="756"/>
      <c r="V5" s="750"/>
      <c r="W5" s="753"/>
      <c r="X5" s="753"/>
      <c r="Y5" s="753"/>
      <c r="Z5" s="753"/>
      <c r="AA5" s="753"/>
      <c r="AB5" s="753"/>
      <c r="AC5" s="757"/>
      <c r="AD5" s="758"/>
      <c r="AF5" s="759"/>
      <c r="AG5" s="759"/>
      <c r="AH5" s="759"/>
      <c r="AI5" s="759"/>
      <c r="AJ5" s="759"/>
      <c r="AK5" s="759"/>
      <c r="AL5" s="759"/>
      <c r="AM5" s="759"/>
      <c r="AN5" s="759"/>
      <c r="AO5" s="760"/>
      <c r="AP5" s="760"/>
      <c r="AQ5" s="3726"/>
      <c r="AR5" s="760"/>
      <c r="AS5" s="760"/>
      <c r="AT5" s="760"/>
      <c r="AU5" s="760"/>
      <c r="AV5" s="760"/>
      <c r="AW5" s="760"/>
      <c r="AX5" s="760"/>
      <c r="AY5" s="760"/>
      <c r="AZ5" s="760"/>
      <c r="BA5" s="760"/>
      <c r="BB5" s="760"/>
      <c r="BD5" s="761"/>
      <c r="BE5" s="762" t="s">
        <v>604</v>
      </c>
      <c r="BF5" s="760"/>
      <c r="BG5" s="760"/>
      <c r="BH5" s="760"/>
      <c r="BI5" s="760"/>
      <c r="BJ5" s="760"/>
      <c r="BK5" s="760"/>
      <c r="BL5" s="760"/>
      <c r="BM5" s="760"/>
      <c r="BN5" s="760"/>
      <c r="BQ5" s="4088" t="s">
        <v>3596</v>
      </c>
      <c r="BR5" s="4235" t="s">
        <v>3596</v>
      </c>
      <c r="BS5" s="4235" t="s">
        <v>3596</v>
      </c>
      <c r="BT5" s="752" t="s">
        <v>707</v>
      </c>
    </row>
    <row r="6" spans="1:72" ht="15.5">
      <c r="A6" s="4319"/>
      <c r="B6" s="4320"/>
      <c r="C6" s="749" t="s">
        <v>544</v>
      </c>
      <c r="D6" s="749" t="s">
        <v>545</v>
      </c>
      <c r="E6" s="750"/>
      <c r="F6" s="751"/>
      <c r="G6" s="751"/>
      <c r="H6" s="751"/>
      <c r="I6" s="794" t="s">
        <v>5</v>
      </c>
      <c r="J6" s="751"/>
      <c r="K6" s="751"/>
      <c r="L6" s="751"/>
      <c r="N6" s="750"/>
      <c r="O6" s="753"/>
      <c r="P6" s="754"/>
      <c r="Q6" s="755"/>
      <c r="R6" s="750"/>
      <c r="S6" s="4245"/>
      <c r="T6" s="754"/>
      <c r="U6" s="756"/>
      <c r="V6" s="750"/>
      <c r="W6" s="753" t="s">
        <v>5</v>
      </c>
      <c r="X6" s="753"/>
      <c r="Y6" s="753"/>
      <c r="Z6" s="753"/>
      <c r="AA6" s="753"/>
      <c r="AB6" s="753"/>
      <c r="AC6" s="757"/>
      <c r="AD6" s="758"/>
      <c r="AF6" s="759"/>
      <c r="AG6" s="759"/>
      <c r="AH6" s="759"/>
      <c r="AI6" s="759"/>
      <c r="AJ6" s="759"/>
      <c r="AK6" s="759"/>
      <c r="AL6" s="759"/>
      <c r="AM6" s="759"/>
      <c r="AN6" s="759"/>
      <c r="AO6" s="760"/>
      <c r="AP6" s="760"/>
      <c r="AQ6" s="3726"/>
      <c r="AR6" s="760"/>
      <c r="AS6" s="760"/>
      <c r="AT6" s="760"/>
      <c r="AU6" s="760"/>
      <c r="AV6" s="760"/>
      <c r="AW6" s="760"/>
      <c r="AX6" s="760"/>
      <c r="AY6" s="760"/>
      <c r="AZ6" s="760"/>
      <c r="BA6" s="760"/>
      <c r="BB6" s="760"/>
      <c r="BD6" s="761"/>
      <c r="BE6" s="763"/>
      <c r="BF6" s="760"/>
      <c r="BG6" s="760"/>
      <c r="BH6" s="760"/>
      <c r="BI6" s="760"/>
      <c r="BJ6" s="760"/>
      <c r="BK6" s="760"/>
      <c r="BL6" s="760"/>
      <c r="BM6" s="760"/>
      <c r="BN6" s="760"/>
      <c r="BQ6" s="4089" t="s">
        <v>5</v>
      </c>
      <c r="BR6" s="501" t="s">
        <v>5</v>
      </c>
      <c r="BS6" s="501"/>
      <c r="BT6" s="501"/>
    </row>
    <row r="7" spans="1:72" ht="29">
      <c r="A7" s="4319"/>
      <c r="B7" s="4320"/>
      <c r="C7" s="765"/>
      <c r="D7" s="766" t="s">
        <v>605</v>
      </c>
      <c r="E7" s="750">
        <v>1</v>
      </c>
      <c r="F7" s="767">
        <v>4</v>
      </c>
      <c r="G7" s="2347" t="s">
        <v>3229</v>
      </c>
      <c r="I7" s="752" t="s">
        <v>758</v>
      </c>
      <c r="J7" s="752" t="s">
        <v>3383</v>
      </c>
      <c r="K7" s="752" t="s">
        <v>3356</v>
      </c>
      <c r="L7" s="752" t="s">
        <v>3363</v>
      </c>
      <c r="N7" s="750">
        <v>1</v>
      </c>
      <c r="O7" s="753">
        <v>1</v>
      </c>
      <c r="P7" s="754">
        <v>4</v>
      </c>
      <c r="Q7" s="755"/>
      <c r="R7" s="750">
        <v>1.3</v>
      </c>
      <c r="S7" s="4245">
        <v>3</v>
      </c>
      <c r="T7" s="754"/>
      <c r="U7" s="756"/>
      <c r="V7" s="750"/>
      <c r="W7" s="753"/>
      <c r="X7" s="753"/>
      <c r="Y7" s="753"/>
      <c r="Z7" s="753"/>
      <c r="AA7" s="753"/>
      <c r="AB7" s="753"/>
      <c r="AC7" s="757"/>
      <c r="AD7" s="758"/>
      <c r="AF7" s="759"/>
      <c r="AG7" s="759"/>
      <c r="AH7" s="759"/>
      <c r="AI7" s="759"/>
      <c r="AJ7" s="759"/>
      <c r="AK7" s="759"/>
      <c r="AL7" s="759"/>
      <c r="AM7" s="759"/>
      <c r="AN7" s="759"/>
      <c r="AO7" s="760"/>
      <c r="AP7" s="760"/>
      <c r="AQ7" s="3726"/>
      <c r="AR7" s="760"/>
      <c r="AS7" s="760"/>
      <c r="AT7" s="760"/>
      <c r="AU7" s="760"/>
      <c r="AV7" s="760"/>
      <c r="AW7" s="760"/>
      <c r="AX7" s="760"/>
      <c r="AY7" s="760"/>
      <c r="AZ7" s="760"/>
      <c r="BA7" s="760"/>
      <c r="BB7" s="760"/>
      <c r="BD7" s="768"/>
      <c r="BE7" s="769"/>
      <c r="BF7" s="770"/>
      <c r="BG7" s="771"/>
      <c r="BH7" s="771"/>
      <c r="BI7" s="772"/>
      <c r="BJ7" s="773">
        <v>2013</v>
      </c>
      <c r="BK7" s="773">
        <v>2020</v>
      </c>
      <c r="BL7" s="773">
        <v>2030</v>
      </c>
      <c r="BM7" s="773">
        <v>2050</v>
      </c>
      <c r="BN7" s="760"/>
      <c r="BQ7" s="4088" t="s">
        <v>758</v>
      </c>
      <c r="BR7" s="752" t="s">
        <v>3383</v>
      </c>
      <c r="BS7" s="752" t="s">
        <v>3356</v>
      </c>
      <c r="BT7" s="752" t="s">
        <v>3363</v>
      </c>
    </row>
    <row r="8" spans="1:72" s="6" customFormat="1" ht="15.5">
      <c r="A8" s="4319"/>
      <c r="B8" s="4320"/>
      <c r="C8" s="765"/>
      <c r="D8" s="766" t="s">
        <v>606</v>
      </c>
      <c r="E8" s="750">
        <v>1</v>
      </c>
      <c r="F8" s="767" t="s">
        <v>238</v>
      </c>
      <c r="G8" s="2347" t="s">
        <v>3652</v>
      </c>
      <c r="H8"/>
      <c r="I8" s="752" t="s">
        <v>3645</v>
      </c>
      <c r="J8" s="752" t="s">
        <v>3646</v>
      </c>
      <c r="K8" s="752" t="s">
        <v>3647</v>
      </c>
      <c r="L8" s="752" t="s">
        <v>3648</v>
      </c>
      <c r="M8"/>
      <c r="N8" s="750">
        <v>1</v>
      </c>
      <c r="O8" s="753">
        <v>1</v>
      </c>
      <c r="P8" s="754">
        <v>4</v>
      </c>
      <c r="Q8" s="755"/>
      <c r="R8" s="750">
        <v>3</v>
      </c>
      <c r="S8" s="4245">
        <v>1</v>
      </c>
      <c r="T8" s="754"/>
      <c r="U8" s="756"/>
      <c r="V8" s="750"/>
      <c r="W8" s="753"/>
      <c r="X8" s="753"/>
      <c r="Y8" s="753"/>
      <c r="Z8" s="753"/>
      <c r="AA8" s="753"/>
      <c r="AB8" s="753"/>
      <c r="AC8" s="757"/>
      <c r="AD8" s="758"/>
      <c r="AE8"/>
      <c r="AF8" s="759"/>
      <c r="AG8" s="759"/>
      <c r="AH8" s="759"/>
      <c r="AI8" s="759"/>
      <c r="AJ8" s="759"/>
      <c r="AK8" s="759"/>
      <c r="AL8" s="759"/>
      <c r="AM8" s="759"/>
      <c r="AN8" s="759"/>
      <c r="AO8" s="760"/>
      <c r="AP8" s="760"/>
      <c r="AQ8" s="3726"/>
      <c r="AR8" s="760"/>
      <c r="AS8" s="760"/>
      <c r="AT8" s="760"/>
      <c r="AU8" s="760"/>
      <c r="AV8" s="760"/>
      <c r="AW8" s="760"/>
      <c r="AX8" s="760"/>
      <c r="AY8" s="760"/>
      <c r="AZ8" s="760"/>
      <c r="BA8" s="760"/>
      <c r="BB8" s="760"/>
      <c r="BC8" s="723"/>
      <c r="BD8" s="768"/>
      <c r="BE8" s="774" t="s">
        <v>607</v>
      </c>
      <c r="BF8" s="759"/>
      <c r="BG8" s="759"/>
      <c r="BH8" s="775" t="s">
        <v>42</v>
      </c>
      <c r="BI8" s="774"/>
      <c r="BJ8" s="3794">
        <f ca="1">VII.c!F448</f>
        <v>1</v>
      </c>
      <c r="BK8" s="3795">
        <f ca="1">VII.c!I448</f>
        <v>0.90895509952091713</v>
      </c>
      <c r="BL8" s="3795">
        <f ca="1">VII.c!K448</f>
        <v>0.81437041908934527</v>
      </c>
      <c r="BM8" s="3795">
        <f ca="1">VII.c!N448</f>
        <v>0.53463254557104156</v>
      </c>
      <c r="BN8" s="760"/>
      <c r="BQ8" s="4088" t="s">
        <v>3650</v>
      </c>
      <c r="BR8" s="752" t="s">
        <v>3649</v>
      </c>
      <c r="BS8" s="752" t="s">
        <v>3647</v>
      </c>
      <c r="BT8" s="752" t="s">
        <v>3648</v>
      </c>
    </row>
    <row r="9" spans="1:72" s="6" customFormat="1" ht="43.5">
      <c r="A9" s="4319"/>
      <c r="B9" s="4320"/>
      <c r="C9" s="749" t="s">
        <v>513</v>
      </c>
      <c r="D9" s="749" t="s">
        <v>514</v>
      </c>
      <c r="E9" s="750">
        <v>1</v>
      </c>
      <c r="F9" s="751">
        <v>4</v>
      </c>
      <c r="G9" s="794" t="s">
        <v>3230</v>
      </c>
      <c r="H9"/>
      <c r="I9" s="752" t="s">
        <v>2916</v>
      </c>
      <c r="J9" s="752" t="s">
        <v>3156</v>
      </c>
      <c r="K9" s="752" t="s">
        <v>3368</v>
      </c>
      <c r="L9" s="752" t="s">
        <v>3591</v>
      </c>
      <c r="M9"/>
      <c r="N9" s="750">
        <v>1</v>
      </c>
      <c r="O9" s="753">
        <v>1</v>
      </c>
      <c r="P9" s="754">
        <v>4</v>
      </c>
      <c r="Q9" s="755"/>
      <c r="R9" s="750">
        <v>1.9</v>
      </c>
      <c r="S9" s="4245">
        <v>3</v>
      </c>
      <c r="T9" s="754"/>
      <c r="U9" s="756"/>
      <c r="V9" s="750"/>
      <c r="W9" s="753"/>
      <c r="X9" s="753"/>
      <c r="Y9" s="753"/>
      <c r="Z9" s="753" t="s">
        <v>5</v>
      </c>
      <c r="AA9" s="753"/>
      <c r="AB9" s="753"/>
      <c r="AC9" s="757"/>
      <c r="AD9" s="758"/>
      <c r="AE9"/>
      <c r="AF9" s="759"/>
      <c r="AG9" s="759"/>
      <c r="AH9" s="759"/>
      <c r="AI9" s="759"/>
      <c r="AJ9" s="759"/>
      <c r="AK9" s="759"/>
      <c r="AL9" s="759"/>
      <c r="AM9" s="759"/>
      <c r="AN9" s="759"/>
      <c r="AO9" s="760"/>
      <c r="AP9" s="760"/>
      <c r="AQ9" s="3726"/>
      <c r="AR9" s="760"/>
      <c r="AS9" s="760"/>
      <c r="AT9" s="760"/>
      <c r="AU9" s="760"/>
      <c r="AV9" s="760"/>
      <c r="AW9" s="760"/>
      <c r="AX9" s="760"/>
      <c r="AY9" s="760"/>
      <c r="AZ9" s="760"/>
      <c r="BA9" s="760"/>
      <c r="BB9" s="760"/>
      <c r="BC9" s="723"/>
      <c r="BD9" s="768"/>
      <c r="BE9" s="774" t="s">
        <v>608</v>
      </c>
      <c r="BF9" s="759"/>
      <c r="BG9" s="759"/>
      <c r="BH9" s="776" t="s">
        <v>609</v>
      </c>
      <c r="BI9" s="774"/>
      <c r="BJ9" s="3944">
        <f ca="1">VII.c!F390</f>
        <v>0.28284987271456291</v>
      </c>
      <c r="BK9" s="3944">
        <f ca="1">VII.c!I390</f>
        <v>0</v>
      </c>
      <c r="BL9" s="3796">
        <f ca="1">VII.c!K390</f>
        <v>0</v>
      </c>
      <c r="BM9" s="3796">
        <f ca="1">VII.c!N390</f>
        <v>0</v>
      </c>
      <c r="BN9" s="760"/>
      <c r="BQ9" s="4088" t="s">
        <v>2916</v>
      </c>
      <c r="BR9" s="752" t="s">
        <v>3600</v>
      </c>
      <c r="BS9" s="752" t="s">
        <v>3601</v>
      </c>
      <c r="BT9" s="752" t="s">
        <v>3602</v>
      </c>
    </row>
    <row r="10" spans="1:72" s="6" customFormat="1" ht="29">
      <c r="A10" s="4319"/>
      <c r="B10" s="4320"/>
      <c r="C10" s="749" t="s">
        <v>511</v>
      </c>
      <c r="D10" s="749" t="s">
        <v>512</v>
      </c>
      <c r="E10" s="750">
        <v>1</v>
      </c>
      <c r="F10" s="751">
        <v>4</v>
      </c>
      <c r="G10" s="794" t="s">
        <v>3231</v>
      </c>
      <c r="H10"/>
      <c r="I10" s="752" t="s">
        <v>861</v>
      </c>
      <c r="J10" s="752" t="s">
        <v>1725</v>
      </c>
      <c r="K10" s="752" t="s">
        <v>3589</v>
      </c>
      <c r="L10" s="752" t="s">
        <v>3590</v>
      </c>
      <c r="M10"/>
      <c r="N10" s="750">
        <v>1</v>
      </c>
      <c r="O10" s="753">
        <v>1</v>
      </c>
      <c r="P10" s="754">
        <v>4</v>
      </c>
      <c r="Q10" s="755"/>
      <c r="R10" s="750">
        <v>2.7</v>
      </c>
      <c r="S10" s="4245">
        <v>2</v>
      </c>
      <c r="T10" s="754"/>
      <c r="U10" s="756"/>
      <c r="V10" s="750"/>
      <c r="W10" s="753"/>
      <c r="X10" s="753"/>
      <c r="Y10" s="753"/>
      <c r="Z10" s="753"/>
      <c r="AA10" s="753"/>
      <c r="AB10" s="753"/>
      <c r="AC10" s="757"/>
      <c r="AD10" s="758"/>
      <c r="AE10"/>
      <c r="AF10" s="759"/>
      <c r="AG10" s="759"/>
      <c r="AH10" s="759"/>
      <c r="AI10" s="759"/>
      <c r="AJ10" s="759"/>
      <c r="AK10" s="759"/>
      <c r="AL10" s="759"/>
      <c r="AM10" s="759"/>
      <c r="AN10" s="759"/>
      <c r="AO10" s="760"/>
      <c r="AP10" s="760"/>
      <c r="AQ10" s="3726"/>
      <c r="AR10" s="760"/>
      <c r="AS10" s="760"/>
      <c r="AT10" s="760"/>
      <c r="AU10" s="760"/>
      <c r="AV10" s="760"/>
      <c r="AW10" s="760"/>
      <c r="AX10" s="760"/>
      <c r="AY10" s="760"/>
      <c r="AZ10" s="760"/>
      <c r="BA10" s="760"/>
      <c r="BB10" s="760"/>
      <c r="BC10" s="723"/>
      <c r="BD10" s="777"/>
      <c r="BE10" s="778" t="s">
        <v>610</v>
      </c>
      <c r="BF10" s="779"/>
      <c r="BG10" s="779"/>
      <c r="BH10" s="780" t="s">
        <v>611</v>
      </c>
      <c r="BI10" s="778"/>
      <c r="BJ10" s="3932">
        <f ca="1">VII.c.Emissions[[#Totals],[2013]]</f>
        <v>1.7652649242120958E-2</v>
      </c>
      <c r="BK10" s="3932">
        <f ca="1">VII.c.Emissions[[#Totals],[2020]]</f>
        <v>7.4409337452023633E-2</v>
      </c>
      <c r="BL10" s="3932">
        <f ca="1">VII.c.Emissions[[#Totals],[2030]]</f>
        <v>0</v>
      </c>
      <c r="BM10" s="3932">
        <f ca="1">VII.c.Emissions[[#Totals],[2050]]</f>
        <v>0</v>
      </c>
      <c r="BN10" s="760"/>
      <c r="BQ10" s="4088" t="s">
        <v>3605</v>
      </c>
      <c r="BR10" s="752" t="s">
        <v>3606</v>
      </c>
      <c r="BS10" s="752" t="s">
        <v>3603</v>
      </c>
      <c r="BT10" s="752" t="s">
        <v>3604</v>
      </c>
    </row>
    <row r="11" spans="1:72" s="6" customFormat="1" ht="15.5">
      <c r="A11" s="4319"/>
      <c r="B11" s="4320"/>
      <c r="C11" s="781" t="s">
        <v>612</v>
      </c>
      <c r="D11" s="749" t="s">
        <v>390</v>
      </c>
      <c r="E11" s="750">
        <v>1</v>
      </c>
      <c r="F11" s="751">
        <v>4</v>
      </c>
      <c r="G11" s="794" t="s">
        <v>3232</v>
      </c>
      <c r="H11"/>
      <c r="I11" s="752" t="s">
        <v>613</v>
      </c>
      <c r="J11" s="3899" t="s">
        <v>3583</v>
      </c>
      <c r="K11" s="3899" t="s">
        <v>3584</v>
      </c>
      <c r="L11" s="3899" t="s">
        <v>3585</v>
      </c>
      <c r="M11"/>
      <c r="N11" s="750">
        <v>1</v>
      </c>
      <c r="O11" s="753">
        <v>1</v>
      </c>
      <c r="P11" s="754">
        <v>4</v>
      </c>
      <c r="Q11" s="755"/>
      <c r="R11" s="750">
        <v>1.6</v>
      </c>
      <c r="S11" s="4245">
        <v>3</v>
      </c>
      <c r="T11" s="754"/>
      <c r="U11" s="756"/>
      <c r="V11" s="750"/>
      <c r="W11" s="753"/>
      <c r="X11" s="753"/>
      <c r="Y11" s="753"/>
      <c r="Z11" s="753"/>
      <c r="AA11" s="753"/>
      <c r="AB11" s="753"/>
      <c r="AC11" s="757"/>
      <c r="AD11" s="758"/>
      <c r="AE11"/>
      <c r="AF11" s="759"/>
      <c r="AG11" s="759"/>
      <c r="AH11" s="759"/>
      <c r="AI11" s="759"/>
      <c r="AJ11" s="759"/>
      <c r="AK11" s="759"/>
      <c r="AL11" s="759"/>
      <c r="AM11" s="759"/>
      <c r="AN11" s="759"/>
      <c r="AO11" s="760"/>
      <c r="AP11" s="760"/>
      <c r="AQ11" s="3726"/>
      <c r="AR11" s="760"/>
      <c r="AS11" s="760"/>
      <c r="AT11" s="760"/>
      <c r="AU11" s="760"/>
      <c r="AV11" s="760"/>
      <c r="AW11" s="760"/>
      <c r="AX11" s="760"/>
      <c r="AY11" s="760"/>
      <c r="AZ11" s="760"/>
      <c r="BA11" s="760"/>
      <c r="BB11" s="760"/>
      <c r="BC11" s="723"/>
      <c r="BD11" s="760"/>
      <c r="BE11" s="760"/>
      <c r="BF11" s="760"/>
      <c r="BG11" s="760"/>
      <c r="BH11" s="760"/>
      <c r="BI11" s="760"/>
      <c r="BJ11" s="760"/>
      <c r="BK11" s="760"/>
      <c r="BL11" s="760"/>
      <c r="BM11" s="760"/>
      <c r="BN11" s="760"/>
      <c r="BQ11" s="4088" t="s">
        <v>3607</v>
      </c>
      <c r="BR11" s="752" t="s">
        <v>3583</v>
      </c>
      <c r="BS11" s="752" t="s">
        <v>3584</v>
      </c>
      <c r="BT11" s="752" t="s">
        <v>3585</v>
      </c>
    </row>
    <row r="12" spans="1:72" s="6" customFormat="1" ht="15.5">
      <c r="A12" s="4319"/>
      <c r="B12" s="4320"/>
      <c r="C12" s="781" t="s">
        <v>614</v>
      </c>
      <c r="D12" s="749" t="s">
        <v>615</v>
      </c>
      <c r="E12" s="750">
        <v>1</v>
      </c>
      <c r="F12" s="751">
        <v>4</v>
      </c>
      <c r="G12" s="794" t="s">
        <v>3233</v>
      </c>
      <c r="H12"/>
      <c r="I12" s="752" t="s">
        <v>613</v>
      </c>
      <c r="J12" s="752" t="s">
        <v>3668</v>
      </c>
      <c r="K12" s="752" t="s">
        <v>3669</v>
      </c>
      <c r="L12" s="752" t="s">
        <v>3592</v>
      </c>
      <c r="M12"/>
      <c r="N12" s="750">
        <v>1</v>
      </c>
      <c r="O12" s="753">
        <v>1</v>
      </c>
      <c r="P12" s="754">
        <v>4</v>
      </c>
      <c r="Q12" s="755"/>
      <c r="R12" s="750">
        <v>2</v>
      </c>
      <c r="S12" s="4245">
        <v>3</v>
      </c>
      <c r="T12" s="754"/>
      <c r="U12" s="756"/>
      <c r="V12" s="750"/>
      <c r="W12" s="753"/>
      <c r="X12" s="753"/>
      <c r="Y12" s="753"/>
      <c r="Z12" s="753"/>
      <c r="AA12" s="753"/>
      <c r="AB12" s="753"/>
      <c r="AC12" s="757"/>
      <c r="AD12" s="758"/>
      <c r="AE12"/>
      <c r="AF12" s="759"/>
      <c r="AG12" s="759"/>
      <c r="AH12" s="759"/>
      <c r="AI12" s="759"/>
      <c r="AJ12" s="759"/>
      <c r="AK12" s="759"/>
      <c r="AL12" s="759"/>
      <c r="AM12" s="759"/>
      <c r="AN12" s="759"/>
      <c r="AO12" s="760"/>
      <c r="AP12" s="760"/>
      <c r="AQ12" s="3726"/>
      <c r="AR12" s="760"/>
      <c r="AS12" s="760"/>
      <c r="AT12" s="760"/>
      <c r="AU12" s="760"/>
      <c r="AV12" s="760"/>
      <c r="AW12" s="760"/>
      <c r="AX12" s="760"/>
      <c r="AY12" s="760"/>
      <c r="AZ12" s="760"/>
      <c r="BA12" s="760"/>
      <c r="BB12" s="760"/>
      <c r="BC12" s="723"/>
      <c r="BD12" s="760"/>
      <c r="BE12" s="760"/>
      <c r="BF12" s="760"/>
      <c r="BG12" s="760"/>
      <c r="BH12" s="760"/>
      <c r="BI12" s="760"/>
      <c r="BJ12" s="760"/>
      <c r="BK12" s="760"/>
      <c r="BL12" s="760"/>
      <c r="BM12" s="760"/>
      <c r="BN12" s="760"/>
      <c r="BQ12" s="4088" t="s">
        <v>3608</v>
      </c>
      <c r="BR12" s="752" t="s">
        <v>3666</v>
      </c>
      <c r="BS12" s="752" t="s">
        <v>3667</v>
      </c>
      <c r="BT12" s="752" t="s">
        <v>3592</v>
      </c>
    </row>
    <row r="13" spans="1:72" s="6" customFormat="1" ht="15.5">
      <c r="A13" s="4319"/>
      <c r="B13" s="4320"/>
      <c r="C13" s="782" t="s">
        <v>616</v>
      </c>
      <c r="D13" s="749" t="s">
        <v>3365</v>
      </c>
      <c r="E13" s="750"/>
      <c r="F13" s="751"/>
      <c r="G13" s="794"/>
      <c r="H13" s="751"/>
      <c r="I13" s="794" t="s">
        <v>5</v>
      </c>
      <c r="J13" s="794" t="s">
        <v>5</v>
      </c>
      <c r="K13" s="794" t="s">
        <v>5</v>
      </c>
      <c r="L13" s="751"/>
      <c r="M13"/>
      <c r="N13" s="750"/>
      <c r="O13" s="753"/>
      <c r="P13" s="754"/>
      <c r="Q13" s="755"/>
      <c r="R13" s="750"/>
      <c r="S13" s="4245"/>
      <c r="T13" s="754"/>
      <c r="U13" s="756"/>
      <c r="V13" s="750"/>
      <c r="W13" s="753"/>
      <c r="X13" s="753"/>
      <c r="Y13" s="753"/>
      <c r="Z13" s="753"/>
      <c r="AA13" s="753"/>
      <c r="AB13" s="753"/>
      <c r="AC13" s="757"/>
      <c r="AD13" s="758"/>
      <c r="AE13"/>
      <c r="AF13" s="759"/>
      <c r="AG13" s="759"/>
      <c r="AH13" s="759"/>
      <c r="AI13" s="759"/>
      <c r="AJ13" s="759"/>
      <c r="AK13" s="759"/>
      <c r="AL13" s="759"/>
      <c r="AM13" s="759"/>
      <c r="AN13" s="759"/>
      <c r="AO13" s="760"/>
      <c r="AP13" s="760"/>
      <c r="AQ13" s="3726"/>
      <c r="AR13" s="760"/>
      <c r="AS13" s="760"/>
      <c r="AT13" s="760"/>
      <c r="AU13" s="760"/>
      <c r="AV13" s="760"/>
      <c r="AW13" s="760"/>
      <c r="AX13" s="760"/>
      <c r="AY13" s="760"/>
      <c r="AZ13" s="760"/>
      <c r="BA13" s="760"/>
      <c r="BB13" s="760"/>
      <c r="BC13" s="723"/>
      <c r="BD13" s="760"/>
      <c r="BE13" s="760"/>
      <c r="BF13" s="760"/>
      <c r="BG13" s="760"/>
      <c r="BH13" s="760"/>
      <c r="BI13" s="760"/>
      <c r="BJ13" s="760"/>
      <c r="BK13" s="760"/>
      <c r="BL13" s="760"/>
      <c r="BM13" s="760"/>
      <c r="BN13" s="760"/>
      <c r="BQ13" s="4088" t="s">
        <v>5</v>
      </c>
      <c r="BR13" s="752" t="s">
        <v>5</v>
      </c>
      <c r="BS13" s="752" t="s">
        <v>5</v>
      </c>
      <c r="BT13" s="752"/>
    </row>
    <row r="14" spans="1:72" ht="29">
      <c r="A14" s="4319"/>
      <c r="B14" s="4320"/>
      <c r="C14" s="749" t="s">
        <v>547</v>
      </c>
      <c r="D14" s="749" t="s">
        <v>618</v>
      </c>
      <c r="E14" s="750">
        <v>1</v>
      </c>
      <c r="F14" s="751">
        <v>4</v>
      </c>
      <c r="G14" s="794" t="s">
        <v>3234</v>
      </c>
      <c r="I14" s="752" t="s">
        <v>3371</v>
      </c>
      <c r="J14" s="752" t="s">
        <v>3370</v>
      </c>
      <c r="K14" s="752" t="s">
        <v>3211</v>
      </c>
      <c r="L14" s="752" t="s">
        <v>2103</v>
      </c>
      <c r="N14" s="750">
        <v>1</v>
      </c>
      <c r="O14" s="753">
        <v>1</v>
      </c>
      <c r="P14" s="754">
        <v>4</v>
      </c>
      <c r="Q14" s="755"/>
      <c r="R14" s="750">
        <v>1</v>
      </c>
      <c r="S14" s="4245">
        <v>2</v>
      </c>
      <c r="T14" s="754"/>
      <c r="U14" s="756"/>
      <c r="V14" s="750"/>
      <c r="W14" s="753"/>
      <c r="X14" s="753"/>
      <c r="Y14" s="753"/>
      <c r="Z14" s="753"/>
      <c r="AA14" s="753"/>
      <c r="AB14" s="753"/>
      <c r="AC14" s="757"/>
      <c r="AD14" s="758"/>
      <c r="AE14" s="6"/>
      <c r="AF14" s="759"/>
      <c r="AG14" s="759"/>
      <c r="AH14" s="759"/>
      <c r="AI14" s="759"/>
      <c r="AJ14" s="759"/>
      <c r="AK14" s="759"/>
      <c r="AL14" s="759"/>
      <c r="AM14" s="759"/>
      <c r="AN14" s="759"/>
      <c r="AO14" s="760"/>
      <c r="AP14" s="760"/>
      <c r="AQ14" s="3726"/>
      <c r="AR14" s="760"/>
      <c r="AS14" s="760"/>
      <c r="AT14" s="760"/>
      <c r="AU14" s="760"/>
      <c r="AV14" s="760"/>
      <c r="AW14" s="760"/>
      <c r="AX14" s="760"/>
      <c r="AY14" s="760"/>
      <c r="AZ14" s="760"/>
      <c r="BA14" s="760"/>
      <c r="BB14" s="760"/>
      <c r="BD14" s="760"/>
      <c r="BE14" s="783" t="s">
        <v>619</v>
      </c>
      <c r="BF14" s="760"/>
      <c r="BG14" s="760"/>
      <c r="BH14" s="760"/>
      <c r="BI14" s="760"/>
      <c r="BJ14" s="760"/>
      <c r="BK14" s="760"/>
      <c r="BL14" s="760"/>
      <c r="BM14" s="760"/>
      <c r="BN14" s="760"/>
      <c r="BQ14" s="4088" t="s">
        <v>3609</v>
      </c>
      <c r="BR14" s="752" t="s">
        <v>3370</v>
      </c>
      <c r="BS14" s="752" t="s">
        <v>3211</v>
      </c>
      <c r="BT14" s="752" t="s">
        <v>3610</v>
      </c>
    </row>
    <row r="15" spans="1:72" s="6" customFormat="1" ht="29">
      <c r="A15" s="4319"/>
      <c r="B15" s="4320"/>
      <c r="C15" s="749" t="s">
        <v>525</v>
      </c>
      <c r="D15" s="749" t="s">
        <v>620</v>
      </c>
      <c r="E15" s="750">
        <v>1</v>
      </c>
      <c r="F15" s="751">
        <v>4</v>
      </c>
      <c r="G15" s="794" t="s">
        <v>3235</v>
      </c>
      <c r="H15"/>
      <c r="I15" s="752" t="s">
        <v>621</v>
      </c>
      <c r="J15" s="752" t="s">
        <v>2256</v>
      </c>
      <c r="K15" s="752" t="s">
        <v>3379</v>
      </c>
      <c r="L15" s="752" t="s">
        <v>3593</v>
      </c>
      <c r="M15"/>
      <c r="N15" s="750">
        <v>1</v>
      </c>
      <c r="O15" s="753">
        <v>1</v>
      </c>
      <c r="P15" s="754">
        <v>4</v>
      </c>
      <c r="Q15" s="755"/>
      <c r="R15" s="750">
        <v>1.2</v>
      </c>
      <c r="S15" s="4245">
        <v>3</v>
      </c>
      <c r="T15" s="754"/>
      <c r="U15" s="756"/>
      <c r="V15" s="750"/>
      <c r="W15" s="784"/>
      <c r="X15" s="785"/>
      <c r="Y15" s="785"/>
      <c r="Z15" s="785"/>
      <c r="AA15" s="785"/>
      <c r="AB15" s="786"/>
      <c r="AC15" s="757"/>
      <c r="AD15" s="758"/>
      <c r="AE15"/>
      <c r="AF15" s="759"/>
      <c r="AG15" s="759"/>
      <c r="AH15" s="759"/>
      <c r="AI15" s="759"/>
      <c r="AJ15" s="759"/>
      <c r="AK15" s="759"/>
      <c r="AL15" s="759"/>
      <c r="AM15" s="759"/>
      <c r="AN15" s="759"/>
      <c r="AO15" s="760"/>
      <c r="AP15" s="760"/>
      <c r="AQ15" s="3726"/>
      <c r="AR15" s="760"/>
      <c r="AS15" s="760"/>
      <c r="AT15" s="760"/>
      <c r="AU15" s="760"/>
      <c r="AV15" s="760"/>
      <c r="AW15" s="760"/>
      <c r="AX15" s="760"/>
      <c r="AY15" s="760"/>
      <c r="AZ15" s="760"/>
      <c r="BA15" s="760"/>
      <c r="BB15" s="760"/>
      <c r="BC15" s="723"/>
      <c r="BD15" s="760"/>
      <c r="BE15" s="3785" t="s">
        <v>622</v>
      </c>
      <c r="BF15" s="760"/>
      <c r="BG15" s="760"/>
      <c r="BH15" s="760"/>
      <c r="BI15" s="760"/>
      <c r="BJ15" s="760"/>
      <c r="BK15" s="760"/>
      <c r="BL15" s="760"/>
      <c r="BM15" s="760"/>
      <c r="BN15" s="760"/>
      <c r="BQ15" s="4088" t="s">
        <v>621</v>
      </c>
      <c r="BR15" s="752" t="s">
        <v>2256</v>
      </c>
      <c r="BS15" s="752" t="s">
        <v>3379</v>
      </c>
      <c r="BT15" s="752" t="s">
        <v>3593</v>
      </c>
    </row>
    <row r="16" spans="1:72" s="6" customFormat="1" ht="29">
      <c r="A16" s="4319"/>
      <c r="B16" s="4320"/>
      <c r="C16" s="749" t="s">
        <v>25</v>
      </c>
      <c r="D16" s="749" t="s">
        <v>623</v>
      </c>
      <c r="E16" s="750">
        <v>1</v>
      </c>
      <c r="F16" s="751">
        <v>4</v>
      </c>
      <c r="G16" s="794" t="s">
        <v>3236</v>
      </c>
      <c r="H16"/>
      <c r="I16" s="752" t="s">
        <v>624</v>
      </c>
      <c r="J16" s="752" t="s">
        <v>625</v>
      </c>
      <c r="K16" s="752" t="s">
        <v>626</v>
      </c>
      <c r="L16" s="752" t="s">
        <v>627</v>
      </c>
      <c r="M16"/>
      <c r="N16" s="750">
        <v>1</v>
      </c>
      <c r="O16" s="753">
        <v>1</v>
      </c>
      <c r="P16" s="754">
        <v>4</v>
      </c>
      <c r="Q16" s="755"/>
      <c r="R16" s="750">
        <v>1.8</v>
      </c>
      <c r="S16" s="4245">
        <v>3</v>
      </c>
      <c r="T16" s="754"/>
      <c r="U16" s="756"/>
      <c r="V16" s="750"/>
      <c r="W16" s="784"/>
      <c r="X16" s="785"/>
      <c r="Y16" s="785"/>
      <c r="Z16" s="785"/>
      <c r="AA16" s="785"/>
      <c r="AB16" s="786"/>
      <c r="AC16" s="757"/>
      <c r="AD16" s="758"/>
      <c r="AE16"/>
      <c r="AF16" s="759"/>
      <c r="AG16" s="759"/>
      <c r="AH16" s="759"/>
      <c r="AI16" s="759"/>
      <c r="AJ16" s="759"/>
      <c r="AK16" s="759"/>
      <c r="AL16" s="759"/>
      <c r="AM16" s="759"/>
      <c r="AN16" s="759"/>
      <c r="AO16" s="760"/>
      <c r="AP16" s="760"/>
      <c r="AQ16" s="3726"/>
      <c r="AR16" s="760"/>
      <c r="AS16" s="760"/>
      <c r="AT16" s="760"/>
      <c r="AU16" s="760"/>
      <c r="AV16" s="760"/>
      <c r="AW16" s="760"/>
      <c r="AX16" s="760"/>
      <c r="AY16" s="760"/>
      <c r="AZ16" s="760"/>
      <c r="BA16" s="760"/>
      <c r="BB16" s="760"/>
      <c r="BC16" s="723"/>
      <c r="BD16" s="4322" t="s">
        <v>628</v>
      </c>
      <c r="BE16" s="4322"/>
      <c r="BF16" s="4322"/>
      <c r="BG16" s="4322"/>
      <c r="BH16" s="4322"/>
      <c r="BI16" s="4322"/>
      <c r="BJ16" s="4322"/>
      <c r="BK16" s="4322"/>
      <c r="BL16" s="4322"/>
      <c r="BM16" s="4322"/>
      <c r="BN16" s="4322"/>
      <c r="BQ16" s="4088" t="s">
        <v>624</v>
      </c>
      <c r="BR16" s="752" t="s">
        <v>625</v>
      </c>
      <c r="BS16" s="752" t="s">
        <v>626</v>
      </c>
      <c r="BT16" s="752" t="s">
        <v>627</v>
      </c>
    </row>
    <row r="17" spans="1:75" s="6" customFormat="1" ht="29">
      <c r="A17" s="4319"/>
      <c r="B17" s="4320"/>
      <c r="C17" s="749" t="s">
        <v>515</v>
      </c>
      <c r="D17" s="749" t="s">
        <v>3367</v>
      </c>
      <c r="E17" s="750">
        <v>1</v>
      </c>
      <c r="F17" s="751">
        <v>4</v>
      </c>
      <c r="G17" s="794" t="s">
        <v>3237</v>
      </c>
      <c r="H17"/>
      <c r="I17" s="4098" t="s">
        <v>3644</v>
      </c>
      <c r="J17" s="4098" t="s">
        <v>3193</v>
      </c>
      <c r="K17" s="501" t="s">
        <v>3697</v>
      </c>
      <c r="L17" s="501" t="s">
        <v>3696</v>
      </c>
      <c r="M17"/>
      <c r="N17" s="750">
        <v>1</v>
      </c>
      <c r="O17" s="753">
        <v>1</v>
      </c>
      <c r="P17" s="754">
        <v>4</v>
      </c>
      <c r="Q17" s="755"/>
      <c r="R17" s="750">
        <v>2</v>
      </c>
      <c r="S17" s="4245">
        <v>2</v>
      </c>
      <c r="T17" s="754"/>
      <c r="U17" s="756"/>
      <c r="V17" s="750"/>
      <c r="W17" s="753"/>
      <c r="X17" s="753"/>
      <c r="Y17" s="753"/>
      <c r="Z17" s="753"/>
      <c r="AA17" s="753"/>
      <c r="AB17" s="753"/>
      <c r="AC17" s="757"/>
      <c r="AD17" s="758"/>
      <c r="AE17"/>
      <c r="AF17" s="759"/>
      <c r="AG17" s="759"/>
      <c r="AH17" s="759"/>
      <c r="AI17" s="759"/>
      <c r="AJ17" s="759"/>
      <c r="AK17" s="759"/>
      <c r="AL17" s="759"/>
      <c r="AM17" s="759"/>
      <c r="AN17" s="759"/>
      <c r="AO17" s="760"/>
      <c r="AP17" s="760"/>
      <c r="AQ17" s="3726"/>
      <c r="AR17" s="760"/>
      <c r="AS17" s="760"/>
      <c r="AT17" s="760"/>
      <c r="AU17" s="760"/>
      <c r="AV17" s="760"/>
      <c r="AW17" s="760"/>
      <c r="AX17" s="760"/>
      <c r="AY17" s="760"/>
      <c r="AZ17" s="760"/>
      <c r="BA17" s="760"/>
      <c r="BB17" s="760"/>
      <c r="BC17" s="723"/>
      <c r="BD17" s="787"/>
      <c r="BE17" s="788"/>
      <c r="BF17" s="760"/>
      <c r="BG17" s="760"/>
      <c r="BH17" s="760"/>
      <c r="BI17" s="760"/>
      <c r="BJ17" s="760"/>
      <c r="BK17" s="760"/>
      <c r="BL17" s="760"/>
      <c r="BM17" s="760"/>
      <c r="BN17" s="760"/>
      <c r="BQ17" s="4088" t="s">
        <v>3644</v>
      </c>
      <c r="BR17" s="4235" t="s">
        <v>3599</v>
      </c>
      <c r="BS17" s="4235" t="s">
        <v>3698</v>
      </c>
      <c r="BT17" s="4235" t="s">
        <v>3699</v>
      </c>
    </row>
    <row r="18" spans="1:75" s="6" customFormat="1" ht="29">
      <c r="A18" s="4319"/>
      <c r="B18" s="4320"/>
      <c r="C18" s="749" t="s">
        <v>527</v>
      </c>
      <c r="D18" s="749" t="s">
        <v>528</v>
      </c>
      <c r="E18" s="750">
        <v>1</v>
      </c>
      <c r="F18" s="751">
        <v>4</v>
      </c>
      <c r="G18" s="794" t="s">
        <v>3238</v>
      </c>
      <c r="H18"/>
      <c r="I18" s="752" t="s">
        <v>629</v>
      </c>
      <c r="J18" s="752" t="s">
        <v>3586</v>
      </c>
      <c r="K18" s="752" t="s">
        <v>3587</v>
      </c>
      <c r="L18" s="752" t="s">
        <v>3588</v>
      </c>
      <c r="M18"/>
      <c r="N18" s="750">
        <v>1</v>
      </c>
      <c r="O18" s="753">
        <v>1</v>
      </c>
      <c r="P18" s="754">
        <v>4</v>
      </c>
      <c r="Q18" s="755"/>
      <c r="R18" s="750">
        <v>1</v>
      </c>
      <c r="S18" s="4245">
        <v>2</v>
      </c>
      <c r="T18" s="754"/>
      <c r="U18" s="756"/>
      <c r="V18" s="750"/>
      <c r="W18" s="753"/>
      <c r="X18" s="753"/>
      <c r="Y18" s="753"/>
      <c r="Z18" s="753"/>
      <c r="AA18" s="753"/>
      <c r="AB18" s="753"/>
      <c r="AC18" s="757"/>
      <c r="AD18" s="758"/>
      <c r="AE18"/>
      <c r="AF18" s="759"/>
      <c r="AG18" s="759"/>
      <c r="AH18" s="759"/>
      <c r="AI18" s="759"/>
      <c r="AJ18" s="759"/>
      <c r="AK18" s="759"/>
      <c r="AL18" s="759"/>
      <c r="AM18" s="759"/>
      <c r="AN18" s="759"/>
      <c r="AO18" s="760"/>
      <c r="AP18" s="760"/>
      <c r="AQ18" s="3726"/>
      <c r="AR18" s="760"/>
      <c r="AS18" s="760"/>
      <c r="AT18" s="760"/>
      <c r="AU18" s="760"/>
      <c r="AV18" s="760"/>
      <c r="AW18" s="760"/>
      <c r="AX18" s="760"/>
      <c r="AY18" s="760"/>
      <c r="AZ18" s="760"/>
      <c r="BA18" s="760"/>
      <c r="BB18" s="760"/>
      <c r="BC18" s="723"/>
      <c r="BD18" s="787"/>
      <c r="BE18" s="788" t="s">
        <v>630</v>
      </c>
      <c r="BF18" s="760"/>
      <c r="BG18" s="760"/>
      <c r="BH18" s="760"/>
      <c r="BI18" s="760"/>
      <c r="BJ18" s="760"/>
      <c r="BK18" s="760"/>
      <c r="BL18" s="760"/>
      <c r="BM18" s="760"/>
      <c r="BN18" s="760"/>
      <c r="BQ18" s="4088" t="s">
        <v>629</v>
      </c>
      <c r="BR18" s="752" t="s">
        <v>3611</v>
      </c>
      <c r="BS18" s="752" t="s">
        <v>3597</v>
      </c>
      <c r="BT18" s="752" t="s">
        <v>3598</v>
      </c>
      <c r="BU18" s="6" t="s">
        <v>5</v>
      </c>
    </row>
    <row r="19" spans="1:75" s="6" customFormat="1" ht="29">
      <c r="A19" s="4319"/>
      <c r="B19" s="789" t="s">
        <v>631</v>
      </c>
      <c r="C19" s="749" t="s">
        <v>554</v>
      </c>
      <c r="D19" s="749" t="s">
        <v>555</v>
      </c>
      <c r="E19" s="750">
        <v>1</v>
      </c>
      <c r="F19" s="751">
        <v>4</v>
      </c>
      <c r="G19" s="751" t="s">
        <v>3239</v>
      </c>
      <c r="H19" s="794" t="s">
        <v>5</v>
      </c>
      <c r="I19" s="752" t="s">
        <v>2952</v>
      </c>
      <c r="J19" s="752" t="s">
        <v>2950</v>
      </c>
      <c r="K19" s="752" t="s">
        <v>2951</v>
      </c>
      <c r="L19" s="752" t="s">
        <v>3198</v>
      </c>
      <c r="M19"/>
      <c r="N19" s="750">
        <v>1</v>
      </c>
      <c r="O19" s="753">
        <v>1</v>
      </c>
      <c r="P19" s="754">
        <v>4</v>
      </c>
      <c r="Q19" s="755"/>
      <c r="R19" s="750">
        <v>1</v>
      </c>
      <c r="S19" s="4245">
        <v>1</v>
      </c>
      <c r="T19" s="754"/>
      <c r="U19" s="756"/>
      <c r="V19" s="750"/>
      <c r="W19" s="753"/>
      <c r="X19" s="753"/>
      <c r="Y19" s="753"/>
      <c r="Z19" s="790"/>
      <c r="AA19" s="753"/>
      <c r="AB19" s="753"/>
      <c r="AC19" s="757"/>
      <c r="AD19" s="758"/>
      <c r="AE19"/>
      <c r="AF19" s="759"/>
      <c r="AG19" s="759"/>
      <c r="AH19" s="759"/>
      <c r="AI19" s="759"/>
      <c r="AJ19" s="759"/>
      <c r="AK19" s="759"/>
      <c r="AL19" s="759"/>
      <c r="AM19" s="759"/>
      <c r="AN19" s="759"/>
      <c r="AO19" s="760"/>
      <c r="AP19" s="760"/>
      <c r="AQ19" s="3726"/>
      <c r="AR19" s="760"/>
      <c r="AS19" s="760"/>
      <c r="AT19" s="760"/>
      <c r="AU19" s="760"/>
      <c r="AV19" s="760"/>
      <c r="AW19" s="760"/>
      <c r="AX19" s="760"/>
      <c r="AY19" s="760"/>
      <c r="AZ19" s="760"/>
      <c r="BA19" s="760"/>
      <c r="BB19" s="760"/>
      <c r="BC19" s="723"/>
      <c r="BD19" s="777"/>
      <c r="BE19" s="760"/>
      <c r="BF19" s="760"/>
      <c r="BG19" s="760"/>
      <c r="BH19" s="760"/>
      <c r="BI19" s="760"/>
      <c r="BJ19" s="760"/>
      <c r="BK19" s="760"/>
      <c r="BL19" s="760"/>
      <c r="BM19" s="760"/>
      <c r="BN19" s="760"/>
      <c r="BQ19" s="4088" t="s">
        <v>3612</v>
      </c>
      <c r="BR19" s="752" t="s">
        <v>2950</v>
      </c>
      <c r="BS19" s="752" t="s">
        <v>2951</v>
      </c>
      <c r="BT19" s="752" t="s">
        <v>3198</v>
      </c>
    </row>
    <row r="20" spans="1:75" s="6" customFormat="1" ht="15.5">
      <c r="A20" s="4319" t="s">
        <v>632</v>
      </c>
      <c r="B20" s="4320" t="s">
        <v>2689</v>
      </c>
      <c r="C20" s="749" t="s">
        <v>501</v>
      </c>
      <c r="D20" s="749" t="s">
        <v>502</v>
      </c>
      <c r="E20" s="750"/>
      <c r="F20" s="751"/>
      <c r="G20" s="751"/>
      <c r="H20" s="751"/>
      <c r="I20" s="794" t="s">
        <v>5</v>
      </c>
      <c r="J20" s="794" t="s">
        <v>5</v>
      </c>
      <c r="K20" s="794" t="s">
        <v>5</v>
      </c>
      <c r="L20" s="794" t="s">
        <v>5</v>
      </c>
      <c r="M20"/>
      <c r="N20" s="750"/>
      <c r="O20" s="753"/>
      <c r="P20" s="754"/>
      <c r="Q20" s="755"/>
      <c r="R20" s="750"/>
      <c r="S20" s="4245"/>
      <c r="T20" s="754"/>
      <c r="U20" s="756"/>
      <c r="V20" s="750"/>
      <c r="W20" s="753"/>
      <c r="X20" s="753"/>
      <c r="Y20" s="753"/>
      <c r="Z20" s="753"/>
      <c r="AA20" s="753"/>
      <c r="AB20" s="753"/>
      <c r="AC20" s="757"/>
      <c r="AD20" s="758"/>
      <c r="AE20"/>
      <c r="AF20" s="759"/>
      <c r="AG20" s="759"/>
      <c r="AH20" s="759"/>
      <c r="AI20" s="759"/>
      <c r="AJ20" s="759"/>
      <c r="AK20" s="759"/>
      <c r="AL20" s="759"/>
      <c r="AM20" s="759"/>
      <c r="AN20" s="759"/>
      <c r="AO20" s="760"/>
      <c r="AP20" s="760"/>
      <c r="AQ20" s="3726"/>
      <c r="AR20" s="760"/>
      <c r="AS20" s="760"/>
      <c r="AT20" s="760"/>
      <c r="AU20" s="760"/>
      <c r="AV20" s="760"/>
      <c r="AW20" s="760"/>
      <c r="AX20" s="760"/>
      <c r="AY20" s="760"/>
      <c r="AZ20" s="760"/>
      <c r="BA20" s="760"/>
      <c r="BB20" s="760"/>
      <c r="BC20" s="723"/>
      <c r="BD20" s="761"/>
      <c r="BE20" s="769" t="s">
        <v>131</v>
      </c>
      <c r="BF20" s="770"/>
      <c r="BG20" s="771"/>
      <c r="BH20" s="771"/>
      <c r="BI20" s="772" t="s">
        <v>633</v>
      </c>
      <c r="BJ20" s="773">
        <v>2013</v>
      </c>
      <c r="BK20" s="773">
        <v>2020</v>
      </c>
      <c r="BL20" s="773">
        <v>2030</v>
      </c>
      <c r="BM20" s="773">
        <v>2050</v>
      </c>
      <c r="BN20" s="760"/>
      <c r="BQ20" s="4088" t="s">
        <v>5</v>
      </c>
      <c r="BR20" s="752" t="s">
        <v>5</v>
      </c>
      <c r="BS20" s="752" t="s">
        <v>5</v>
      </c>
      <c r="BT20" s="752" t="s">
        <v>5</v>
      </c>
    </row>
    <row r="21" spans="1:75" s="6" customFormat="1" ht="29">
      <c r="A21" s="4319"/>
      <c r="B21" s="4320"/>
      <c r="C21" s="766"/>
      <c r="D21" s="766" t="s">
        <v>634</v>
      </c>
      <c r="E21" s="750">
        <v>1</v>
      </c>
      <c r="F21" s="767">
        <v>4</v>
      </c>
      <c r="G21" s="2347" t="s">
        <v>3240</v>
      </c>
      <c r="H21"/>
      <c r="I21" s="752" t="s">
        <v>635</v>
      </c>
      <c r="J21" s="752" t="s">
        <v>3798</v>
      </c>
      <c r="K21" s="752" t="s">
        <v>3797</v>
      </c>
      <c r="L21" s="752" t="s">
        <v>3796</v>
      </c>
      <c r="M21"/>
      <c r="N21" s="750">
        <v>1</v>
      </c>
      <c r="O21" s="753">
        <v>1</v>
      </c>
      <c r="P21" s="754">
        <v>4</v>
      </c>
      <c r="Q21" s="755"/>
      <c r="R21" s="750">
        <v>2</v>
      </c>
      <c r="S21" s="4245">
        <v>4</v>
      </c>
      <c r="T21" s="754"/>
      <c r="U21" s="756"/>
      <c r="V21" s="750"/>
      <c r="W21" s="753"/>
      <c r="X21" s="753"/>
      <c r="Y21" s="753"/>
      <c r="Z21" s="753"/>
      <c r="AA21" s="753"/>
      <c r="AB21" s="753"/>
      <c r="AC21" s="757"/>
      <c r="AD21" s="758"/>
      <c r="AE21"/>
      <c r="AF21" s="759"/>
      <c r="AG21" s="759"/>
      <c r="AH21" s="759"/>
      <c r="AI21" s="759"/>
      <c r="AJ21" s="759"/>
      <c r="AK21" s="759"/>
      <c r="AL21" s="759"/>
      <c r="AM21" s="759"/>
      <c r="AN21" s="759"/>
      <c r="AO21" s="760"/>
      <c r="AP21" s="760"/>
      <c r="AQ21" s="3726"/>
      <c r="AR21" s="760"/>
      <c r="AS21" s="760"/>
      <c r="AT21" s="760"/>
      <c r="AU21" s="760"/>
      <c r="AV21" s="760"/>
      <c r="AW21" s="760"/>
      <c r="AX21" s="760"/>
      <c r="AY21" s="760"/>
      <c r="AZ21" s="760"/>
      <c r="BA21" s="760"/>
      <c r="BB21" s="760"/>
      <c r="BC21" s="723"/>
      <c r="BD21" s="791"/>
      <c r="BE21" s="792" t="s">
        <v>433</v>
      </c>
      <c r="BF21" s="763" t="s">
        <v>384</v>
      </c>
      <c r="BG21" s="760"/>
      <c r="BH21" s="793"/>
      <c r="BI21" s="763"/>
      <c r="BJ21" s="3780">
        <f ca="1">SUMIFS(INDIRECT("'"&amp;BJ$20&amp;"'!Year.NetBalance"), INDIRECT("'"&amp;BJ$20&amp;"'!Year.Vectors"),$BE21)</f>
        <v>-14.911266915263244</v>
      </c>
      <c r="BK21" s="3780">
        <f ca="1">SUMIFS(INDIRECT("'"&amp;BK$20&amp;"'!Year.NetBalance"), INDIRECT("'"&amp;BK$20&amp;"'!Year.Vectors"),$BE21)</f>
        <v>-18.650649187310073</v>
      </c>
      <c r="BL21" s="3780">
        <f ca="1">SUMIFS(INDIRECT("'"&amp;BL$20&amp;"'!Year.NetBalance"), INDIRECT("'"&amp;BL$20&amp;"'!Year.Vectors"),$BE21)</f>
        <v>-13.883093074912559</v>
      </c>
      <c r="BM21" s="3780">
        <f ca="1">SUMIFS(INDIRECT("'"&amp;BM$20&amp;"'!Year.NetBalance"), INDIRECT("'"&amp;BM$20&amp;"'!Year.Vectors"),$BE21)</f>
        <v>-2.6655686309587772</v>
      </c>
      <c r="BN21" s="760"/>
      <c r="BQ21" s="4090" t="s">
        <v>635</v>
      </c>
      <c r="BR21" s="4091" t="s">
        <v>3798</v>
      </c>
      <c r="BS21" s="4091" t="s">
        <v>3797</v>
      </c>
      <c r="BT21" s="4091" t="s">
        <v>3796</v>
      </c>
    </row>
    <row r="22" spans="1:75" s="6" customFormat="1" ht="18" customHeight="1">
      <c r="A22" s="4319"/>
      <c r="B22" s="4320"/>
      <c r="C22" s="766"/>
      <c r="D22" s="766" t="s">
        <v>3183</v>
      </c>
      <c r="E22" s="750">
        <v>1</v>
      </c>
      <c r="F22" s="767">
        <v>4</v>
      </c>
      <c r="G22" s="2347" t="s">
        <v>3241</v>
      </c>
      <c r="H22" t="s">
        <v>5</v>
      </c>
      <c r="I22" s="752" t="s">
        <v>3687</v>
      </c>
      <c r="J22" s="752" t="s">
        <v>3180</v>
      </c>
      <c r="K22" s="752" t="s">
        <v>3181</v>
      </c>
      <c r="L22" s="752" t="s">
        <v>3182</v>
      </c>
      <c r="M22"/>
      <c r="N22" s="750">
        <v>1</v>
      </c>
      <c r="O22" s="753">
        <v>1</v>
      </c>
      <c r="P22" s="754">
        <v>4</v>
      </c>
      <c r="Q22" s="755"/>
      <c r="R22" s="750">
        <v>2</v>
      </c>
      <c r="S22" s="4245">
        <v>2</v>
      </c>
      <c r="T22" s="754"/>
      <c r="U22" s="756"/>
      <c r="V22" s="750"/>
      <c r="W22" s="753"/>
      <c r="X22" s="753"/>
      <c r="Y22" s="753"/>
      <c r="Z22" s="753"/>
      <c r="AA22" s="753"/>
      <c r="AB22" s="753"/>
      <c r="AC22" s="757"/>
      <c r="AD22" s="758"/>
      <c r="AE22"/>
      <c r="AF22" s="759"/>
      <c r="AG22" s="759"/>
      <c r="AH22" s="759"/>
      <c r="AI22" s="759"/>
      <c r="AJ22" s="759"/>
      <c r="AK22" s="759"/>
      <c r="AL22" s="759"/>
      <c r="AM22" s="759"/>
      <c r="AN22" s="759"/>
      <c r="AO22" s="760"/>
      <c r="AP22" s="760"/>
      <c r="AQ22" s="3726"/>
      <c r="AR22" s="760"/>
      <c r="AS22" s="760"/>
      <c r="AT22" s="760"/>
      <c r="AU22" s="760"/>
      <c r="AV22" s="760"/>
      <c r="AW22" s="760"/>
      <c r="AX22" s="760"/>
      <c r="AY22" s="760"/>
      <c r="AZ22" s="760"/>
      <c r="BA22" s="760"/>
      <c r="BB22" s="760"/>
      <c r="BC22" s="723"/>
      <c r="BD22" s="791"/>
      <c r="BE22" s="792" t="s">
        <v>434</v>
      </c>
      <c r="BF22" s="763" t="s">
        <v>385</v>
      </c>
      <c r="BG22" s="760"/>
      <c r="BH22" s="793"/>
      <c r="BI22" s="763"/>
      <c r="BJ22" s="3780">
        <f t="shared" ref="BJ22:BM25" ca="1" si="0">SUMIFS(INDIRECT("'"&amp;BJ$20&amp;"'!Year.NetBalance"), INDIRECT("'"&amp;BJ$20&amp;"'!Year.Vectors"),$BE22)</f>
        <v>-76.526836320775942</v>
      </c>
      <c r="BK22" s="3780">
        <f t="shared" ca="1" si="0"/>
        <v>-75.114909897863313</v>
      </c>
      <c r="BL22" s="3780">
        <f t="shared" ca="1" si="0"/>
        <v>-75.220892589846784</v>
      </c>
      <c r="BM22" s="3780">
        <f t="shared" ca="1" si="0"/>
        <v>-74.505208807877793</v>
      </c>
      <c r="BN22" s="760"/>
      <c r="BQ22" s="4090" t="s">
        <v>3687</v>
      </c>
      <c r="BR22" s="4091" t="s">
        <v>3180</v>
      </c>
      <c r="BS22" s="4091" t="s">
        <v>3181</v>
      </c>
      <c r="BT22" s="752" t="s">
        <v>3182</v>
      </c>
    </row>
    <row r="23" spans="1:75" s="6" customFormat="1" ht="43.5">
      <c r="A23" s="4319"/>
      <c r="B23" s="4320"/>
      <c r="C23" s="749" t="s">
        <v>499</v>
      </c>
      <c r="D23" s="749" t="s">
        <v>636</v>
      </c>
      <c r="E23" s="750">
        <v>1</v>
      </c>
      <c r="F23" s="794" t="s">
        <v>238</v>
      </c>
      <c r="G23" s="794" t="s">
        <v>3250</v>
      </c>
      <c r="H23"/>
      <c r="I23" s="4088" t="s">
        <v>3613</v>
      </c>
      <c r="J23" s="752" t="s">
        <v>3614</v>
      </c>
      <c r="K23" s="752" t="s">
        <v>3615</v>
      </c>
      <c r="L23" s="752" t="s">
        <v>3616</v>
      </c>
      <c r="M23"/>
      <c r="N23" s="750">
        <v>1</v>
      </c>
      <c r="O23" s="753">
        <v>1</v>
      </c>
      <c r="P23" s="754">
        <v>3</v>
      </c>
      <c r="Q23" s="755"/>
      <c r="R23" s="750">
        <v>2</v>
      </c>
      <c r="S23" s="4245">
        <v>2</v>
      </c>
      <c r="T23" s="754"/>
      <c r="U23" s="756"/>
      <c r="V23" s="750"/>
      <c r="W23" s="753"/>
      <c r="X23" s="753"/>
      <c r="Y23" s="753"/>
      <c r="Z23" s="753"/>
      <c r="AA23" s="753"/>
      <c r="AB23" s="753"/>
      <c r="AC23" s="757"/>
      <c r="AD23" s="758"/>
      <c r="AE23"/>
      <c r="AF23" s="759"/>
      <c r="AG23" s="759"/>
      <c r="AH23" s="759"/>
      <c r="AI23" s="759"/>
      <c r="AJ23" s="759"/>
      <c r="AK23" s="759"/>
      <c r="AL23" s="759"/>
      <c r="AM23" s="759"/>
      <c r="AN23" s="759"/>
      <c r="AO23" s="760"/>
      <c r="AP23" s="760"/>
      <c r="AQ23" s="3726"/>
      <c r="AR23" s="760"/>
      <c r="AS23" s="760"/>
      <c r="AT23" s="760"/>
      <c r="AU23" s="760"/>
      <c r="AV23" s="760"/>
      <c r="AW23" s="760"/>
      <c r="AX23" s="760"/>
      <c r="AY23" s="760"/>
      <c r="AZ23" s="760"/>
      <c r="BA23" s="760"/>
      <c r="BB23" s="760"/>
      <c r="BC23" s="723"/>
      <c r="BD23" s="791"/>
      <c r="BE23" s="792" t="s">
        <v>435</v>
      </c>
      <c r="BF23" s="763" t="s">
        <v>386</v>
      </c>
      <c r="BG23" s="760"/>
      <c r="BH23" s="793"/>
      <c r="BI23" s="763"/>
      <c r="BJ23" s="3780">
        <f t="shared" ca="1" si="0"/>
        <v>-47.473619810652579</v>
      </c>
      <c r="BK23" s="3780">
        <f t="shared" ca="1" si="0"/>
        <v>-22.74172392909157</v>
      </c>
      <c r="BL23" s="3780">
        <f t="shared" ca="1" si="0"/>
        <v>-85.907348315610292</v>
      </c>
      <c r="BM23" s="3780">
        <f t="shared" ca="1" si="0"/>
        <v>-135.74178666175516</v>
      </c>
      <c r="BN23" s="760"/>
      <c r="BQ23" s="4088" t="s">
        <v>3636</v>
      </c>
      <c r="BR23" s="752" t="s">
        <v>3637</v>
      </c>
      <c r="BS23" s="752" t="s">
        <v>3638</v>
      </c>
      <c r="BT23" s="752" t="s">
        <v>3639</v>
      </c>
    </row>
    <row r="24" spans="1:75" s="6" customFormat="1" ht="29">
      <c r="A24" s="4319"/>
      <c r="B24" s="4320"/>
      <c r="C24" s="749" t="s">
        <v>497</v>
      </c>
      <c r="D24" s="749" t="s">
        <v>498</v>
      </c>
      <c r="E24" s="750">
        <v>1</v>
      </c>
      <c r="F24" s="751">
        <v>4</v>
      </c>
      <c r="G24" s="794" t="s">
        <v>3251</v>
      </c>
      <c r="H24"/>
      <c r="I24" s="752" t="s">
        <v>637</v>
      </c>
      <c r="J24" s="752" t="s">
        <v>3187</v>
      </c>
      <c r="K24" s="752" t="s">
        <v>2917</v>
      </c>
      <c r="L24" s="752" t="s">
        <v>2918</v>
      </c>
      <c r="M24"/>
      <c r="N24" s="750">
        <v>1</v>
      </c>
      <c r="O24" s="753">
        <v>1</v>
      </c>
      <c r="P24" s="754">
        <v>4</v>
      </c>
      <c r="Q24" s="755"/>
      <c r="R24" s="750">
        <v>1</v>
      </c>
      <c r="S24" s="4245">
        <v>2</v>
      </c>
      <c r="T24" s="754"/>
      <c r="U24" s="756"/>
      <c r="V24" s="750"/>
      <c r="W24" s="753"/>
      <c r="X24" s="753"/>
      <c r="Y24" s="753"/>
      <c r="Z24" s="753"/>
      <c r="AA24" s="753"/>
      <c r="AB24" s="753"/>
      <c r="AC24" s="757"/>
      <c r="AD24" s="758"/>
      <c r="AE24"/>
      <c r="AF24" s="759"/>
      <c r="AG24" s="759"/>
      <c r="AH24" s="759"/>
      <c r="AI24" s="759"/>
      <c r="AJ24" s="759"/>
      <c r="AK24" s="759"/>
      <c r="AL24" s="759"/>
      <c r="AM24" s="759"/>
      <c r="AN24" s="759"/>
      <c r="AO24" s="760"/>
      <c r="AP24" s="760"/>
      <c r="AQ24" s="3726"/>
      <c r="AR24" s="760"/>
      <c r="AS24" s="760"/>
      <c r="AT24" s="760"/>
      <c r="AU24" s="760"/>
      <c r="AV24" s="760"/>
      <c r="AW24" s="760"/>
      <c r="AX24" s="760"/>
      <c r="AY24" s="760"/>
      <c r="AZ24" s="760"/>
      <c r="BA24" s="760"/>
      <c r="BB24" s="760"/>
      <c r="BC24" s="723"/>
      <c r="BD24" s="791"/>
      <c r="BE24" s="792" t="s">
        <v>430</v>
      </c>
      <c r="BF24" s="763" t="s">
        <v>381</v>
      </c>
      <c r="BG24" s="760"/>
      <c r="BH24" s="760"/>
      <c r="BI24" s="760"/>
      <c r="BJ24" s="3780">
        <f t="shared" ca="1" si="0"/>
        <v>-1.0954366666666666</v>
      </c>
      <c r="BK24" s="3780">
        <f t="shared" ca="1" si="0"/>
        <v>-1.2967</v>
      </c>
      <c r="BL24" s="3780">
        <f t="shared" ca="1" si="0"/>
        <v>-1.6</v>
      </c>
      <c r="BM24" s="3780">
        <f t="shared" ca="1" si="0"/>
        <v>0</v>
      </c>
      <c r="BN24" s="760"/>
      <c r="BQ24" s="4088" t="s">
        <v>637</v>
      </c>
      <c r="BR24" s="752" t="s">
        <v>3617</v>
      </c>
      <c r="BS24" s="752" t="s">
        <v>3618</v>
      </c>
      <c r="BT24" s="752" t="s">
        <v>3619</v>
      </c>
      <c r="BW24" s="6" t="s">
        <v>5</v>
      </c>
    </row>
    <row r="25" spans="1:75" s="6" customFormat="1" ht="29">
      <c r="A25" s="4319"/>
      <c r="B25" s="4320"/>
      <c r="C25" s="749" t="s">
        <v>566</v>
      </c>
      <c r="D25" s="749" t="s">
        <v>638</v>
      </c>
      <c r="E25" s="750">
        <v>1</v>
      </c>
      <c r="F25" s="751" t="s">
        <v>238</v>
      </c>
      <c r="G25" s="794" t="s">
        <v>3653</v>
      </c>
      <c r="H25"/>
      <c r="I25" s="752" t="s">
        <v>639</v>
      </c>
      <c r="J25" s="752" t="s">
        <v>640</v>
      </c>
      <c r="K25" s="752" t="s">
        <v>641</v>
      </c>
      <c r="L25" s="752" t="s">
        <v>642</v>
      </c>
      <c r="M25"/>
      <c r="N25" s="750">
        <v>1</v>
      </c>
      <c r="O25" s="753">
        <v>1</v>
      </c>
      <c r="P25" s="754">
        <v>2</v>
      </c>
      <c r="Q25" s="755"/>
      <c r="R25" s="750">
        <v>1</v>
      </c>
      <c r="S25" s="4245">
        <v>1</v>
      </c>
      <c r="T25" s="754"/>
      <c r="U25" s="756"/>
      <c r="V25" s="750"/>
      <c r="W25" s="753"/>
      <c r="X25" s="753"/>
      <c r="Y25" s="753"/>
      <c r="Z25" s="753"/>
      <c r="AA25" s="753"/>
      <c r="AB25" s="753"/>
      <c r="AC25" s="757"/>
      <c r="AD25" s="758"/>
      <c r="AE25"/>
      <c r="AF25" s="759"/>
      <c r="AG25" s="759"/>
      <c r="AH25" s="759"/>
      <c r="AI25" s="759"/>
      <c r="AJ25" s="759"/>
      <c r="AK25" s="759"/>
      <c r="AL25" s="759"/>
      <c r="AM25" s="759"/>
      <c r="AN25" s="759"/>
      <c r="AO25" s="760"/>
      <c r="AP25" s="760"/>
      <c r="AQ25" s="3726"/>
      <c r="AR25" s="760"/>
      <c r="AS25" s="760"/>
      <c r="AT25" s="760"/>
      <c r="AU25" s="760"/>
      <c r="AV25" s="760"/>
      <c r="AW25" s="760"/>
      <c r="AX25" s="760"/>
      <c r="AY25" s="760"/>
      <c r="AZ25" s="760"/>
      <c r="BA25" s="760"/>
      <c r="BB25" s="760"/>
      <c r="BC25" s="723"/>
      <c r="BD25" s="791"/>
      <c r="BE25" s="795" t="s">
        <v>431</v>
      </c>
      <c r="BF25" s="796" t="s">
        <v>382</v>
      </c>
      <c r="BG25" s="797"/>
      <c r="BH25" s="797"/>
      <c r="BI25" s="797"/>
      <c r="BJ25" s="3786">
        <f t="shared" ca="1" si="0"/>
        <v>-2.5</v>
      </c>
      <c r="BK25" s="3786">
        <f t="shared" ca="1" si="0"/>
        <v>-2.5</v>
      </c>
      <c r="BL25" s="3786">
        <f t="shared" ca="1" si="0"/>
        <v>-1</v>
      </c>
      <c r="BM25" s="3786">
        <f t="shared" ca="1" si="0"/>
        <v>0</v>
      </c>
      <c r="BN25" s="760"/>
      <c r="BQ25" s="4088" t="s">
        <v>639</v>
      </c>
      <c r="BR25" s="752" t="s">
        <v>640</v>
      </c>
      <c r="BS25" s="752" t="s">
        <v>641</v>
      </c>
      <c r="BT25" s="752" t="s">
        <v>642</v>
      </c>
    </row>
    <row r="26" spans="1:75" s="6" customFormat="1" ht="29">
      <c r="A26" s="4319"/>
      <c r="B26" s="789" t="s">
        <v>643</v>
      </c>
      <c r="C26" s="749" t="s">
        <v>569</v>
      </c>
      <c r="D26" s="749" t="s">
        <v>570</v>
      </c>
      <c r="E26" s="750">
        <v>1</v>
      </c>
      <c r="F26" s="751">
        <v>4</v>
      </c>
      <c r="G26" s="794" t="s">
        <v>3656</v>
      </c>
      <c r="H26"/>
      <c r="I26" s="752" t="s">
        <v>2702</v>
      </c>
      <c r="J26" s="752" t="s">
        <v>2703</v>
      </c>
      <c r="K26" s="752" t="s">
        <v>2704</v>
      </c>
      <c r="L26" s="752" t="s">
        <v>3013</v>
      </c>
      <c r="M26"/>
      <c r="N26" s="750">
        <v>1</v>
      </c>
      <c r="O26" s="753">
        <v>1</v>
      </c>
      <c r="P26" s="754">
        <v>4</v>
      </c>
      <c r="Q26" s="755"/>
      <c r="R26" s="750">
        <v>2</v>
      </c>
      <c r="S26" s="4245">
        <v>2</v>
      </c>
      <c r="T26" s="754"/>
      <c r="U26" s="756"/>
      <c r="V26" s="750"/>
      <c r="W26" s="753"/>
      <c r="X26" s="753"/>
      <c r="Y26" s="753"/>
      <c r="Z26" s="753"/>
      <c r="AA26" s="753"/>
      <c r="AB26" s="753"/>
      <c r="AC26" s="757"/>
      <c r="AD26" s="758"/>
      <c r="AE26"/>
      <c r="AF26" s="759"/>
      <c r="AG26" s="759"/>
      <c r="AH26" s="759"/>
      <c r="AI26" s="759"/>
      <c r="AJ26" s="759"/>
      <c r="AK26" s="759"/>
      <c r="AL26" s="759"/>
      <c r="AM26" s="759"/>
      <c r="AN26" s="759"/>
      <c r="AO26" s="760"/>
      <c r="AP26" s="760"/>
      <c r="AQ26" s="3726"/>
      <c r="AR26" s="760"/>
      <c r="AS26" s="760"/>
      <c r="AT26" s="760"/>
      <c r="AU26" s="760"/>
      <c r="AV26" s="760"/>
      <c r="AW26" s="760"/>
      <c r="AX26" s="760"/>
      <c r="AY26" s="760"/>
      <c r="AZ26" s="760"/>
      <c r="BA26" s="760"/>
      <c r="BB26" s="760"/>
      <c r="BC26" s="723"/>
      <c r="BD26" s="777"/>
      <c r="BE26" s="760"/>
      <c r="BF26" s="760"/>
      <c r="BG26" s="760"/>
      <c r="BH26" s="760"/>
      <c r="BI26" s="760"/>
      <c r="BJ26" s="760"/>
      <c r="BK26" s="760"/>
      <c r="BL26" s="760"/>
      <c r="BM26" s="760"/>
      <c r="BN26" s="760"/>
      <c r="BQ26" s="4088" t="s">
        <v>2702</v>
      </c>
      <c r="BR26" s="752" t="s">
        <v>2703</v>
      </c>
      <c r="BS26" s="752" t="s">
        <v>2704</v>
      </c>
      <c r="BT26" s="752" t="s">
        <v>3013</v>
      </c>
    </row>
    <row r="27" spans="1:75" s="6" customFormat="1" ht="22.5">
      <c r="A27" s="798" t="s">
        <v>644</v>
      </c>
      <c r="B27" s="798"/>
      <c r="C27" s="798"/>
      <c r="D27" s="798"/>
      <c r="E27" s="799"/>
      <c r="F27" s="800" t="s">
        <v>5</v>
      </c>
      <c r="G27" s="800" t="s">
        <v>5</v>
      </c>
      <c r="H27" s="798"/>
      <c r="I27" s="798"/>
      <c r="J27" s="798" t="s">
        <v>5</v>
      </c>
      <c r="K27" s="798"/>
      <c r="L27" s="798"/>
      <c r="M27" s="798"/>
      <c r="N27" s="799"/>
      <c r="O27" s="801"/>
      <c r="P27" s="802"/>
      <c r="Q27" s="803"/>
      <c r="R27" s="799"/>
      <c r="S27" s="4246"/>
      <c r="T27" s="802"/>
      <c r="U27" s="804"/>
      <c r="V27" s="799"/>
      <c r="W27" s="805"/>
      <c r="X27" s="805"/>
      <c r="Y27" s="805"/>
      <c r="Z27" s="805"/>
      <c r="AA27" s="805"/>
      <c r="AB27" s="805"/>
      <c r="AC27" s="806"/>
      <c r="AD27" s="807"/>
      <c r="AF27" s="759"/>
      <c r="AG27" s="759"/>
      <c r="AH27" s="759"/>
      <c r="AI27" s="759"/>
      <c r="AJ27" s="759"/>
      <c r="AK27" s="759"/>
      <c r="AL27" s="759"/>
      <c r="AM27" s="759"/>
      <c r="AN27" s="759"/>
      <c r="AO27" s="760"/>
      <c r="AP27" s="760"/>
      <c r="AQ27" s="3726"/>
      <c r="AR27" s="760"/>
      <c r="AS27" s="760"/>
      <c r="AT27" s="760"/>
      <c r="AU27" s="760"/>
      <c r="AV27" s="760"/>
      <c r="AW27" s="760"/>
      <c r="AX27" s="760"/>
      <c r="AY27" s="760"/>
      <c r="AZ27" s="760"/>
      <c r="BA27" s="760"/>
      <c r="BB27" s="760"/>
      <c r="BC27" s="723"/>
      <c r="BD27" s="787"/>
      <c r="BE27" s="788" t="s">
        <v>645</v>
      </c>
      <c r="BF27" s="760"/>
      <c r="BG27" s="760"/>
      <c r="BH27" s="760"/>
      <c r="BI27" s="760"/>
      <c r="BJ27" s="760"/>
      <c r="BK27" s="760"/>
      <c r="BL27" s="760"/>
      <c r="BM27" s="760"/>
      <c r="BN27" s="760"/>
      <c r="BQ27" s="4088"/>
      <c r="BR27" s="752" t="s">
        <v>5</v>
      </c>
      <c r="BS27" s="752"/>
      <c r="BT27" s="501"/>
    </row>
    <row r="28" spans="1:75" ht="22.5">
      <c r="A28" s="4319" t="s">
        <v>482</v>
      </c>
      <c r="B28" s="4321" t="s">
        <v>2688</v>
      </c>
      <c r="C28" s="749" t="s">
        <v>469</v>
      </c>
      <c r="D28" s="749" t="s">
        <v>470</v>
      </c>
      <c r="E28" s="750"/>
      <c r="F28" s="751"/>
      <c r="G28" s="751"/>
      <c r="H28" s="751"/>
      <c r="I28" s="751"/>
      <c r="J28" s="751"/>
      <c r="K28" s="794" t="s">
        <v>5</v>
      </c>
      <c r="L28" s="751"/>
      <c r="N28" s="750"/>
      <c r="O28" s="753"/>
      <c r="P28" s="754"/>
      <c r="Q28" s="755"/>
      <c r="R28" s="750"/>
      <c r="S28" s="4245"/>
      <c r="T28" s="754"/>
      <c r="U28" s="756"/>
      <c r="V28" s="750"/>
      <c r="W28" s="753"/>
      <c r="X28" s="753"/>
      <c r="Y28" s="753"/>
      <c r="Z28" s="753"/>
      <c r="AA28" s="753"/>
      <c r="AB28" s="753"/>
      <c r="AC28" s="757"/>
      <c r="AD28" s="758"/>
      <c r="AF28" s="759"/>
      <c r="AG28" s="759"/>
      <c r="AH28" s="759"/>
      <c r="AI28" s="759"/>
      <c r="AJ28" s="759"/>
      <c r="AK28" s="759"/>
      <c r="AL28" s="759"/>
      <c r="AM28" s="759"/>
      <c r="AN28" s="759"/>
      <c r="AO28" s="760"/>
      <c r="AP28" s="760"/>
      <c r="AQ28" s="3726"/>
      <c r="AR28" s="760"/>
      <c r="AS28" s="760"/>
      <c r="AT28" s="760"/>
      <c r="AU28" s="760"/>
      <c r="AV28" s="760"/>
      <c r="AW28" s="760"/>
      <c r="AX28" s="760"/>
      <c r="AY28" s="760"/>
      <c r="AZ28" s="760"/>
      <c r="BA28" s="760"/>
      <c r="BB28" s="759"/>
      <c r="BD28" s="787"/>
      <c r="BE28" s="788"/>
      <c r="BF28" s="760"/>
      <c r="BG28" s="760"/>
      <c r="BH28" s="760"/>
      <c r="BI28" s="760"/>
      <c r="BJ28" s="760"/>
      <c r="BK28" s="760"/>
      <c r="BL28" s="760"/>
      <c r="BM28" s="760"/>
      <c r="BN28" s="760"/>
      <c r="BQ28" s="4088"/>
      <c r="BR28" s="752"/>
      <c r="BS28" s="752" t="s">
        <v>5</v>
      </c>
      <c r="BT28" s="501"/>
    </row>
    <row r="29" spans="1:75" s="6" customFormat="1" ht="43.5">
      <c r="A29" s="4319"/>
      <c r="B29" s="4321"/>
      <c r="C29" s="766"/>
      <c r="D29" s="766" t="s">
        <v>646</v>
      </c>
      <c r="E29" s="750">
        <v>1</v>
      </c>
      <c r="F29" s="767">
        <v>4</v>
      </c>
      <c r="G29" s="2347" t="s">
        <v>3242</v>
      </c>
      <c r="H29"/>
      <c r="I29" s="752" t="s">
        <v>3441</v>
      </c>
      <c r="J29" s="752" t="s">
        <v>3442</v>
      </c>
      <c r="K29" s="752" t="s">
        <v>3443</v>
      </c>
      <c r="L29" s="752" t="s">
        <v>3444</v>
      </c>
      <c r="M29"/>
      <c r="N29" s="750">
        <v>1</v>
      </c>
      <c r="O29" s="753">
        <v>4</v>
      </c>
      <c r="P29" s="754">
        <v>1</v>
      </c>
      <c r="Q29" s="755"/>
      <c r="R29" s="750">
        <v>4</v>
      </c>
      <c r="S29" s="4245">
        <v>4</v>
      </c>
      <c r="T29" s="754"/>
      <c r="U29" s="756"/>
      <c r="V29" s="750"/>
      <c r="W29" s="753"/>
      <c r="X29" s="753"/>
      <c r="Y29" s="753"/>
      <c r="Z29" s="753"/>
      <c r="AA29" s="753"/>
      <c r="AB29" s="753"/>
      <c r="AC29" s="757"/>
      <c r="AD29" s="758"/>
      <c r="AE29"/>
      <c r="AF29" s="759"/>
      <c r="AG29" s="759"/>
      <c r="AH29" s="759"/>
      <c r="AI29" s="759"/>
      <c r="AJ29" s="759"/>
      <c r="AK29" s="759"/>
      <c r="AL29" s="759"/>
      <c r="AM29" s="759"/>
      <c r="AN29" s="759"/>
      <c r="AO29" s="760"/>
      <c r="AP29" s="760"/>
      <c r="AQ29" s="3726"/>
      <c r="AR29" s="783"/>
      <c r="AS29" s="783" t="s">
        <v>2944</v>
      </c>
      <c r="AT29" s="760"/>
      <c r="AU29" s="760"/>
      <c r="AV29" s="760"/>
      <c r="AW29" s="760"/>
      <c r="AX29" s="760"/>
      <c r="AY29" s="760"/>
      <c r="AZ29" s="760"/>
      <c r="BA29" s="760"/>
      <c r="BB29" s="759"/>
      <c r="BC29" s="723"/>
      <c r="BD29" s="761"/>
      <c r="BE29" s="769" t="s">
        <v>647</v>
      </c>
      <c r="BF29" s="770"/>
      <c r="BG29" s="771"/>
      <c r="BH29" s="771"/>
      <c r="BI29" s="772" t="s">
        <v>633</v>
      </c>
      <c r="BJ29" s="773">
        <v>2013</v>
      </c>
      <c r="BK29" s="773">
        <v>2020</v>
      </c>
      <c r="BL29" s="773">
        <v>2030</v>
      </c>
      <c r="BM29" s="773">
        <v>2050</v>
      </c>
      <c r="BN29" s="760"/>
      <c r="BQ29" s="4088" t="s">
        <v>3441</v>
      </c>
      <c r="BR29" s="752" t="s">
        <v>3442</v>
      </c>
      <c r="BS29" s="752" t="s">
        <v>3621</v>
      </c>
      <c r="BT29" s="752" t="s">
        <v>3622</v>
      </c>
    </row>
    <row r="30" spans="1:75" s="6" customFormat="1" ht="43.5">
      <c r="A30" s="4319"/>
      <c r="B30" s="4321"/>
      <c r="C30" s="766"/>
      <c r="D30" s="766" t="s">
        <v>3567</v>
      </c>
      <c r="E30" s="750">
        <v>1</v>
      </c>
      <c r="F30" s="767">
        <v>4</v>
      </c>
      <c r="G30" s="2347" t="s">
        <v>3243</v>
      </c>
      <c r="H30"/>
      <c r="I30" s="752" t="s">
        <v>648</v>
      </c>
      <c r="J30" s="752" t="s">
        <v>3582</v>
      </c>
      <c r="K30" s="752" t="s">
        <v>649</v>
      </c>
      <c r="L30" s="752" t="s">
        <v>3662</v>
      </c>
      <c r="M30"/>
      <c r="N30" s="750">
        <v>1</v>
      </c>
      <c r="O30" s="753">
        <v>4</v>
      </c>
      <c r="P30" s="754">
        <v>1</v>
      </c>
      <c r="Q30" s="755"/>
      <c r="R30" s="750">
        <v>4</v>
      </c>
      <c r="S30" s="4245">
        <v>4</v>
      </c>
      <c r="T30" s="754"/>
      <c r="U30" s="756"/>
      <c r="V30" s="750"/>
      <c r="W30" s="753"/>
      <c r="X30" s="753"/>
      <c r="Y30" s="753"/>
      <c r="Z30" s="753"/>
      <c r="AA30" s="753"/>
      <c r="AB30" s="753"/>
      <c r="AC30" s="757"/>
      <c r="AD30" s="758"/>
      <c r="AE30"/>
      <c r="AF30" s="759"/>
      <c r="AG30" s="759"/>
      <c r="AH30" s="759"/>
      <c r="AI30" s="759"/>
      <c r="AJ30" s="759"/>
      <c r="AK30" s="759"/>
      <c r="AL30" s="759"/>
      <c r="AM30" s="759"/>
      <c r="AN30" s="759"/>
      <c r="AO30" s="808"/>
      <c r="AP30" s="808"/>
      <c r="AQ30" s="3726"/>
      <c r="AR30" s="760"/>
      <c r="AS30" s="760"/>
      <c r="AT30" s="808"/>
      <c r="AU30" s="808"/>
      <c r="AV30" s="808"/>
      <c r="AW30" s="808"/>
      <c r="AX30" s="808"/>
      <c r="AY30" s="808"/>
      <c r="AZ30" s="808"/>
      <c r="BA30" s="808"/>
      <c r="BB30" s="759"/>
      <c r="BC30" s="723"/>
      <c r="BD30" s="761"/>
      <c r="BE30" s="761"/>
      <c r="BF30" s="809"/>
      <c r="BG30" s="810"/>
      <c r="BH30" s="810"/>
      <c r="BI30" s="811"/>
      <c r="BJ30" s="812"/>
      <c r="BK30" s="812"/>
      <c r="BL30" s="812"/>
      <c r="BM30" s="812"/>
      <c r="BN30" s="760"/>
      <c r="BQ30" s="4088" t="s">
        <v>3620</v>
      </c>
      <c r="BR30" s="752" t="s">
        <v>3582</v>
      </c>
      <c r="BS30" s="752" t="s">
        <v>649</v>
      </c>
      <c r="BT30" s="752" t="s">
        <v>3662</v>
      </c>
    </row>
    <row r="31" spans="1:75" s="6" customFormat="1" ht="29">
      <c r="A31" s="4319"/>
      <c r="B31" s="4321"/>
      <c r="C31" s="766"/>
      <c r="D31" s="766" t="s">
        <v>650</v>
      </c>
      <c r="E31" s="750">
        <v>1</v>
      </c>
      <c r="F31" s="2347" t="s">
        <v>238</v>
      </c>
      <c r="G31" s="2347" t="s">
        <v>3249</v>
      </c>
      <c r="H31"/>
      <c r="I31" s="752" t="s">
        <v>651</v>
      </c>
      <c r="J31" s="752" t="s">
        <v>652</v>
      </c>
      <c r="K31" s="752" t="s">
        <v>653</v>
      </c>
      <c r="L31" s="752" t="s">
        <v>654</v>
      </c>
      <c r="M31"/>
      <c r="N31" s="750">
        <v>1</v>
      </c>
      <c r="O31" s="753">
        <v>2</v>
      </c>
      <c r="P31" s="754">
        <v>2</v>
      </c>
      <c r="Q31" s="755"/>
      <c r="R31" s="750">
        <v>2</v>
      </c>
      <c r="S31" s="4245">
        <v>1</v>
      </c>
      <c r="T31" s="754"/>
      <c r="U31" s="756"/>
      <c r="V31" s="750"/>
      <c r="W31" s="753"/>
      <c r="X31" s="753"/>
      <c r="Y31" s="753"/>
      <c r="Z31" s="753"/>
      <c r="AA31" s="753"/>
      <c r="AB31" s="753"/>
      <c r="AC31" s="757"/>
      <c r="AD31" s="813"/>
      <c r="AE31"/>
      <c r="AF31" s="759"/>
      <c r="AG31" s="759"/>
      <c r="AH31" s="759"/>
      <c r="AI31" s="759"/>
      <c r="AJ31" s="759"/>
      <c r="AK31" s="759"/>
      <c r="AL31" s="759"/>
      <c r="AM31" s="759"/>
      <c r="AN31" s="759"/>
      <c r="AO31" s="808"/>
      <c r="AP31" s="808"/>
      <c r="AQ31" s="3726"/>
      <c r="AR31" s="760"/>
      <c r="AS31" s="760"/>
      <c r="AT31" s="808"/>
      <c r="AU31" s="808"/>
      <c r="AV31" s="808"/>
      <c r="AW31" s="808"/>
      <c r="AX31" s="808"/>
      <c r="AY31" s="808"/>
      <c r="AZ31" s="808"/>
      <c r="BA31" s="808"/>
      <c r="BB31" s="759"/>
      <c r="BC31" s="723"/>
      <c r="BD31" s="761"/>
      <c r="BE31" s="761"/>
      <c r="BF31" s="809"/>
      <c r="BG31" s="810"/>
      <c r="BH31" s="810"/>
      <c r="BI31" s="811"/>
      <c r="BJ31" s="812"/>
      <c r="BK31" s="812"/>
      <c r="BL31" s="812"/>
      <c r="BM31" s="812"/>
      <c r="BN31" s="760"/>
      <c r="BP31" s="6" t="s">
        <v>5</v>
      </c>
      <c r="BQ31" s="4088" t="s">
        <v>651</v>
      </c>
      <c r="BR31" s="752" t="s">
        <v>652</v>
      </c>
      <c r="BS31" s="752" t="s">
        <v>653</v>
      </c>
      <c r="BT31" s="752" t="s">
        <v>654</v>
      </c>
    </row>
    <row r="32" spans="1:75" s="6" customFormat="1" ht="43.5">
      <c r="A32" s="4319"/>
      <c r="B32" s="4321"/>
      <c r="C32" s="749" t="s">
        <v>471</v>
      </c>
      <c r="D32" s="749" t="s">
        <v>472</v>
      </c>
      <c r="E32" s="750">
        <v>1</v>
      </c>
      <c r="F32" s="751">
        <v>4</v>
      </c>
      <c r="G32" s="794" t="s">
        <v>3244</v>
      </c>
      <c r="H32"/>
      <c r="I32" s="752" t="s">
        <v>3572</v>
      </c>
      <c r="J32" s="752" t="s">
        <v>3571</v>
      </c>
      <c r="K32" s="752" t="s">
        <v>3573</v>
      </c>
      <c r="L32" s="752" t="s">
        <v>3574</v>
      </c>
      <c r="M32"/>
      <c r="N32" s="750">
        <v>1</v>
      </c>
      <c r="O32" s="753">
        <v>4</v>
      </c>
      <c r="P32" s="754">
        <v>1</v>
      </c>
      <c r="Q32" s="755"/>
      <c r="R32" s="750">
        <v>3</v>
      </c>
      <c r="S32" s="4245">
        <v>3</v>
      </c>
      <c r="T32" s="754"/>
      <c r="U32" s="756"/>
      <c r="V32" s="750"/>
      <c r="W32" s="753"/>
      <c r="X32" s="753"/>
      <c r="Y32" s="753"/>
      <c r="Z32" s="753"/>
      <c r="AA32" s="753"/>
      <c r="AB32" s="753"/>
      <c r="AC32" s="757"/>
      <c r="AD32" s="813"/>
      <c r="AE32"/>
      <c r="AF32" s="759"/>
      <c r="AG32" s="759"/>
      <c r="AH32" s="759"/>
      <c r="AI32" s="759"/>
      <c r="AJ32" s="759"/>
      <c r="AK32" s="759"/>
      <c r="AL32" s="759"/>
      <c r="AM32" s="759"/>
      <c r="AN32" s="759"/>
      <c r="AO32" s="808"/>
      <c r="AP32" s="808"/>
      <c r="AQ32" s="3726"/>
      <c r="AR32" s="760"/>
      <c r="AS32" s="760"/>
      <c r="AT32" s="808"/>
      <c r="AU32" s="808"/>
      <c r="AV32" s="808"/>
      <c r="AW32" s="808"/>
      <c r="AX32" s="808"/>
      <c r="AY32" s="808"/>
      <c r="AZ32" s="808"/>
      <c r="BA32" s="808"/>
      <c r="BB32" s="759"/>
      <c r="BC32" s="723"/>
      <c r="BD32" s="814"/>
      <c r="BE32" s="815" t="s">
        <v>655</v>
      </c>
      <c r="BF32" s="763"/>
      <c r="BG32" s="763"/>
      <c r="BH32" s="793"/>
      <c r="BI32" s="763"/>
      <c r="BJ32" s="3797">
        <f ca="1">-(INDEX(INDIRECT(BJ$29&amp;"!Year.Matrix"),MATCH("Subtotal.Supply",INDIRECT(BJ$29&amp;"!Year.Modules"),0),MATCH("V.05",INDIRECT(BJ$29&amp;"!Year.Vectors"),0))+INDEX(INDIRECT(BJ$29&amp;"!Year.Matrix"),MATCH("Subtotal.Consumption",INDIRECT(BJ$29&amp;"!Year.Modules"),0),MATCH("V.05",INDIRECT(BJ$29&amp;"!Year.Vectors"),0)))</f>
        <v>46.857987474292671</v>
      </c>
      <c r="BK32" s="3797">
        <f ca="1">-(INDEX(INDIRECT(BK$29&amp;"!Year.Matrix"),MATCH("Subtotal.Supply",INDIRECT(BK$29&amp;"!Year.Modules"),0),MATCH("V.05",INDIRECT(BK$29&amp;"!Year.Vectors"),0))+INDEX(INDIRECT(BK$29&amp;"!Year.Matrix"),MATCH("Subtotal.Consumption",INDIRECT(BK$29&amp;"!Year.Modules"),0),MATCH("V.05",INDIRECT(BK$29&amp;"!Year.Vectors"),0)))</f>
        <v>56.8103692649062</v>
      </c>
      <c r="BL32" s="3797">
        <f ca="1">-(INDEX(INDIRECT(BL$29&amp;"!Year.Matrix"),MATCH("Subtotal.Supply",INDIRECT(BL$29&amp;"!Year.Modules"),0),MATCH("V.05",INDIRECT(BL$29&amp;"!Year.Vectors"),0))+INDEX(INDIRECT(BL$29&amp;"!Year.Matrix"),MATCH("Subtotal.Consumption",INDIRECT(BL$29&amp;"!Year.Modules"),0),MATCH("V.05",INDIRECT(BL$29&amp;"!Year.Vectors"),0)))</f>
        <v>85.082146478204891</v>
      </c>
      <c r="BM32" s="3797">
        <f ca="1">-(INDEX(INDIRECT(BM$29&amp;"!Year.Matrix"),MATCH("Subtotal.Supply",INDIRECT(BM$29&amp;"!Year.Modules"),0),MATCH("V.05",INDIRECT(BM$29&amp;"!Year.Vectors"),0))+INDEX(INDIRECT(BM$29&amp;"!Year.Matrix"),MATCH("Subtotal.Consumption",INDIRECT(BM$29&amp;"!Year.Modules"),0),MATCH("V.05",INDIRECT(BM$29&amp;"!Year.Vectors"),0)))</f>
        <v>134.66988111245277</v>
      </c>
      <c r="BN32" s="760"/>
      <c r="BQ32" s="4088" t="s">
        <v>3658</v>
      </c>
      <c r="BR32" s="752" t="s">
        <v>3659</v>
      </c>
      <c r="BS32" s="752" t="s">
        <v>3660</v>
      </c>
      <c r="BT32" s="752" t="s">
        <v>3661</v>
      </c>
    </row>
    <row r="33" spans="1:74" s="6" customFormat="1" ht="29">
      <c r="A33" s="4319"/>
      <c r="B33" s="4321" t="s">
        <v>656</v>
      </c>
      <c r="C33" s="749" t="s">
        <v>473</v>
      </c>
      <c r="D33" s="749" t="s">
        <v>364</v>
      </c>
      <c r="E33" s="750">
        <v>1</v>
      </c>
      <c r="F33" s="751">
        <v>4</v>
      </c>
      <c r="G33" s="794" t="s">
        <v>3245</v>
      </c>
      <c r="H33"/>
      <c r="I33" s="752" t="s">
        <v>3150</v>
      </c>
      <c r="J33" s="752" t="s">
        <v>3151</v>
      </c>
      <c r="K33" s="752" t="s">
        <v>3152</v>
      </c>
      <c r="L33" s="752" t="s">
        <v>3153</v>
      </c>
      <c r="M33"/>
      <c r="N33" s="750">
        <v>1</v>
      </c>
      <c r="O33" s="753">
        <v>4</v>
      </c>
      <c r="P33" s="754">
        <v>1</v>
      </c>
      <c r="Q33" s="755"/>
      <c r="R33" s="750">
        <v>2</v>
      </c>
      <c r="S33" s="4245">
        <v>3</v>
      </c>
      <c r="T33" s="754"/>
      <c r="U33" s="756"/>
      <c r="V33" s="750"/>
      <c r="W33" s="753"/>
      <c r="X33" s="753"/>
      <c r="Y33" s="753"/>
      <c r="Z33" s="753"/>
      <c r="AA33" s="753"/>
      <c r="AB33" s="753"/>
      <c r="AC33" s="757"/>
      <c r="AD33" s="758"/>
      <c r="AE33"/>
      <c r="AF33" s="759"/>
      <c r="AG33" s="759"/>
      <c r="AH33" s="759"/>
      <c r="AI33" s="759"/>
      <c r="AJ33" s="759"/>
      <c r="AK33" s="759"/>
      <c r="AL33" s="759"/>
      <c r="AM33" s="759"/>
      <c r="AN33" s="759"/>
      <c r="AO33" s="808"/>
      <c r="AP33" s="808"/>
      <c r="AQ33" s="3726"/>
      <c r="AR33" s="808"/>
      <c r="AS33" s="747" t="s">
        <v>2943</v>
      </c>
      <c r="AT33" s="760"/>
      <c r="AU33" s="760"/>
      <c r="AV33" s="760"/>
      <c r="AW33" s="760"/>
      <c r="AX33" s="760"/>
      <c r="AY33" s="760"/>
      <c r="AZ33" s="760"/>
      <c r="BA33" s="760"/>
      <c r="BB33" s="759"/>
      <c r="BC33" s="723"/>
      <c r="BD33" s="817"/>
      <c r="BE33" s="817" t="s">
        <v>571</v>
      </c>
      <c r="BF33" s="818" t="s">
        <v>657</v>
      </c>
      <c r="BG33" s="819"/>
      <c r="BH33" s="819"/>
      <c r="BI33" s="819"/>
      <c r="BJ33" s="3798">
        <f ca="1">INDEX(INDIRECT(BJ$29&amp;"!Year.Matrix"),MATCH($BE33,INDIRECT(BJ$29&amp;"!Year.Modules"),0),MATCH("V.05",INDIRECT(BJ$29&amp;"!Year.Vectors"),0))/BJ$32</f>
        <v>3.6451248334754514E-3</v>
      </c>
      <c r="BK33" s="3798">
        <f ca="1">INDEX(INDIRECT(BK$29&amp;"!Year.Matrix"),MATCH($BE33,INDIRECT(BK$29&amp;"!Year.Modules"),0),MATCH("V.05",INDIRECT(BK$29&amp;"!Year.Vectors"),0))/BK$32</f>
        <v>4.9225417273142825E-3</v>
      </c>
      <c r="BL33" s="3798">
        <f ca="1">INDEX(INDIRECT(BL$29&amp;"!Year.Matrix"),MATCH($BE33,INDIRECT(BL$29&amp;"!Year.Modules"),0),MATCH("V.05",INDIRECT(BL$29&amp;"!Year.Vectors"),0))/BL$32</f>
        <v>5.2227747519797705E-3</v>
      </c>
      <c r="BM33" s="3798">
        <f ca="1">INDEX(INDIRECT(BM$29&amp;"!Year.Matrix"),MATCH($BE33,INDIRECT(BM$29&amp;"!Year.Modules"),0),MATCH("V.05",INDIRECT(BM$29&amp;"!Year.Vectors"),0))/BM$32</f>
        <v>6.9364485886984455E-3</v>
      </c>
      <c r="BN33" s="760"/>
      <c r="BQ33" s="4088" t="s">
        <v>3624</v>
      </c>
      <c r="BR33" s="752" t="s">
        <v>3623</v>
      </c>
      <c r="BS33" s="752" t="s">
        <v>3625</v>
      </c>
      <c r="BT33" s="752" t="s">
        <v>3626</v>
      </c>
    </row>
    <row r="34" spans="1:74" s="824" customFormat="1" ht="22.5">
      <c r="A34" s="4319"/>
      <c r="B34" s="4321"/>
      <c r="C34" s="749" t="s">
        <v>477</v>
      </c>
      <c r="D34" s="749" t="s">
        <v>2947</v>
      </c>
      <c r="E34" s="750"/>
      <c r="F34" s="751"/>
      <c r="G34" s="751"/>
      <c r="H34" s="751"/>
      <c r="I34" s="3718" t="s">
        <v>5</v>
      </c>
      <c r="J34" s="751"/>
      <c r="K34" s="751"/>
      <c r="L34" s="751"/>
      <c r="M34"/>
      <c r="N34" s="750"/>
      <c r="O34" s="753"/>
      <c r="P34" s="754"/>
      <c r="Q34" s="755"/>
      <c r="R34" s="750"/>
      <c r="S34" s="4245"/>
      <c r="T34" s="754"/>
      <c r="U34" s="756"/>
      <c r="V34" s="750"/>
      <c r="W34" s="753"/>
      <c r="X34" s="753"/>
      <c r="Y34" s="753"/>
      <c r="Z34" s="753"/>
      <c r="AA34" s="753"/>
      <c r="AB34" s="753"/>
      <c r="AC34" s="757"/>
      <c r="AD34" s="758"/>
      <c r="AE34"/>
      <c r="AF34" s="759"/>
      <c r="AG34" s="759"/>
      <c r="AH34" s="759"/>
      <c r="AI34" s="759"/>
      <c r="AJ34" s="759"/>
      <c r="AK34" s="759"/>
      <c r="AL34" s="759"/>
      <c r="AM34" s="759"/>
      <c r="AN34" s="759"/>
      <c r="AO34" s="808"/>
      <c r="AP34" s="808"/>
      <c r="AQ34" s="3726"/>
      <c r="AR34" s="816"/>
      <c r="AS34" s="816"/>
      <c r="AT34" s="816"/>
      <c r="AU34" s="816"/>
      <c r="AV34" s="816"/>
      <c r="AW34" s="816"/>
      <c r="AX34" s="816"/>
      <c r="AY34" s="816"/>
      <c r="AZ34" s="816"/>
      <c r="BA34" s="816"/>
      <c r="BB34" s="759"/>
      <c r="BC34" s="723"/>
      <c r="BD34" s="791"/>
      <c r="BE34" s="791" t="s">
        <v>2</v>
      </c>
      <c r="BF34" s="761" t="s">
        <v>659</v>
      </c>
      <c r="BG34" s="823"/>
      <c r="BH34" s="823"/>
      <c r="BI34" s="823"/>
      <c r="BJ34" s="3799">
        <f t="shared" ref="BJ34:BM38" ca="1" si="1">-INDEX(INDIRECT(BJ$29&amp;"!Year.Matrix"),MATCH($BE34,INDIRECT(BJ$29&amp;"!Year.Modules"),0),MATCH("V.05",INDIRECT(BJ$29&amp;"!Year.Vectors"),0))/BJ$32</f>
        <v>0.20159574421669871</v>
      </c>
      <c r="BK34" s="3799">
        <f t="shared" ca="1" si="1"/>
        <v>0.20942130992494715</v>
      </c>
      <c r="BL34" s="3799">
        <f t="shared" ca="1" si="1"/>
        <v>0.19528899020447854</v>
      </c>
      <c r="BM34" s="3799">
        <f t="shared" ca="1" si="1"/>
        <v>0.20308367325757268</v>
      </c>
      <c r="BN34" s="760"/>
      <c r="BQ34" s="4092" t="s">
        <v>5</v>
      </c>
      <c r="BR34" s="4092"/>
      <c r="BS34" s="4092"/>
      <c r="BT34" s="4092"/>
    </row>
    <row r="35" spans="1:74" s="824" customFormat="1" ht="15.5">
      <c r="A35" s="4319" t="s">
        <v>181</v>
      </c>
      <c r="B35" s="4321" t="s">
        <v>334</v>
      </c>
      <c r="C35" s="749" t="s">
        <v>2</v>
      </c>
      <c r="D35" s="749" t="s">
        <v>3</v>
      </c>
      <c r="E35" s="750"/>
      <c r="F35" s="751"/>
      <c r="G35" s="751"/>
      <c r="H35"/>
      <c r="I35" s="752"/>
      <c r="J35" s="752"/>
      <c r="K35" s="752" t="s">
        <v>5</v>
      </c>
      <c r="L35" s="752"/>
      <c r="M35"/>
      <c r="N35" s="750"/>
      <c r="O35" s="753"/>
      <c r="P35" s="754"/>
      <c r="Q35" s="755"/>
      <c r="R35" s="750"/>
      <c r="S35" s="4245"/>
      <c r="T35" s="754"/>
      <c r="U35" s="756"/>
      <c r="V35" s="750"/>
      <c r="W35" s="753"/>
      <c r="X35" s="753"/>
      <c r="Y35" s="753"/>
      <c r="Z35" s="753"/>
      <c r="AA35" s="753"/>
      <c r="AB35" s="753"/>
      <c r="AC35" s="757"/>
      <c r="AD35" s="758"/>
      <c r="AE35"/>
      <c r="AF35" s="759"/>
      <c r="AG35" s="759"/>
      <c r="AH35" s="759"/>
      <c r="AI35" s="759"/>
      <c r="AJ35" s="759"/>
      <c r="AK35" s="759"/>
      <c r="AL35" s="759"/>
      <c r="AM35" s="759"/>
      <c r="AN35" s="759"/>
      <c r="AO35" s="760"/>
      <c r="AP35" s="760"/>
      <c r="AQ35" s="3726"/>
      <c r="AR35" s="809"/>
      <c r="AS35" s="770" t="s">
        <v>406</v>
      </c>
      <c r="AT35" s="770"/>
      <c r="AU35" s="820"/>
      <c r="AV35" s="820"/>
      <c r="AW35" s="820"/>
      <c r="AX35" s="821">
        <v>2013</v>
      </c>
      <c r="AY35" s="821">
        <v>2050</v>
      </c>
      <c r="AZ35" s="822" t="s">
        <v>658</v>
      </c>
      <c r="BA35" s="822"/>
      <c r="BB35" s="759"/>
      <c r="BC35" s="723"/>
      <c r="BD35" s="791"/>
      <c r="BE35" s="791" t="s">
        <v>456</v>
      </c>
      <c r="BF35" s="761" t="s">
        <v>660</v>
      </c>
      <c r="BG35" s="823"/>
      <c r="BH35" s="823"/>
      <c r="BI35" s="823"/>
      <c r="BJ35" s="3800">
        <f t="shared" ca="1" si="1"/>
        <v>0.10525533587318024</v>
      </c>
      <c r="BK35" s="3800">
        <f t="shared" ca="1" si="1"/>
        <v>0.1092106459723784</v>
      </c>
      <c r="BL35" s="3800">
        <f t="shared" ca="1" si="1"/>
        <v>9.3612149517107945E-2</v>
      </c>
      <c r="BM35" s="3800">
        <f t="shared" ca="1" si="1"/>
        <v>8.9890140285979095E-2</v>
      </c>
      <c r="BN35" s="760"/>
      <c r="BQ35" s="4088"/>
      <c r="BR35" s="752"/>
      <c r="BS35" s="752" t="s">
        <v>5</v>
      </c>
      <c r="BT35" s="501"/>
    </row>
    <row r="36" spans="1:74" s="824" customFormat="1" ht="43.5">
      <c r="A36" s="4319"/>
      <c r="B36" s="4321"/>
      <c r="C36" s="765"/>
      <c r="D36" s="499" t="s">
        <v>339</v>
      </c>
      <c r="E36" s="825">
        <v>1</v>
      </c>
      <c r="F36" s="767">
        <v>4</v>
      </c>
      <c r="G36" s="2347" t="s">
        <v>3654</v>
      </c>
      <c r="H36" s="405"/>
      <c r="I36" s="752" t="s">
        <v>340</v>
      </c>
      <c r="J36" s="752" t="s">
        <v>341</v>
      </c>
      <c r="K36" s="752" t="s">
        <v>3595</v>
      </c>
      <c r="L36" s="752" t="s">
        <v>3594</v>
      </c>
      <c r="M36" s="405"/>
      <c r="N36" s="825">
        <v>1</v>
      </c>
      <c r="O36" s="826">
        <v>4</v>
      </c>
      <c r="P36" s="827">
        <v>1</v>
      </c>
      <c r="Q36" s="828"/>
      <c r="R36" s="825">
        <v>4</v>
      </c>
      <c r="S36" s="4245">
        <v>3</v>
      </c>
      <c r="T36" s="827"/>
      <c r="U36" s="756"/>
      <c r="V36" s="825"/>
      <c r="W36" s="753"/>
      <c r="X36" s="753"/>
      <c r="Y36" s="753"/>
      <c r="Z36" s="753"/>
      <c r="AA36" s="753"/>
      <c r="AB36" s="753"/>
      <c r="AC36" s="757"/>
      <c r="AD36" s="829"/>
      <c r="AE36"/>
      <c r="AF36" s="759"/>
      <c r="AG36" s="759"/>
      <c r="AH36" s="759"/>
      <c r="AI36" s="759"/>
      <c r="AJ36" s="759"/>
      <c r="AK36" s="759"/>
      <c r="AL36" s="759"/>
      <c r="AM36" s="759"/>
      <c r="AN36" s="759"/>
      <c r="AO36" s="760"/>
      <c r="AP36" s="760"/>
      <c r="AQ36" s="3726"/>
      <c r="AR36" s="791"/>
      <c r="AS36" s="792" t="s">
        <v>549</v>
      </c>
      <c r="AT36" s="763" t="str">
        <f>INDEX(Workstreams[Workstream],MATCH($AS36,Workstreams[Code],0))</f>
        <v>Hydrocarbon fuel power generation</v>
      </c>
      <c r="AU36" s="760"/>
      <c r="AV36" s="3780"/>
      <c r="AW36" s="763"/>
      <c r="AX36" s="3781">
        <f t="shared" ref="AX36:AY42" ca="1" si="2">SUMIFS(INDIRECT("'"&amp;AX$35&amp;"'!Year.EmissionsBySector"), INDIRECT("'"&amp;AX$35&amp;"'!Year.Modules"),$AS36)</f>
        <v>13.10989694268479</v>
      </c>
      <c r="AY36" s="3781">
        <f t="shared" ca="1" si="2"/>
        <v>16.912293410099849</v>
      </c>
      <c r="AZ36" s="3782">
        <f ca="1">AY36*'Intermediate output'!$AY$155/'Intermediate output'!$F$205</f>
        <v>0.2980919959871185</v>
      </c>
      <c r="BA36" s="759"/>
      <c r="BB36" s="759"/>
      <c r="BC36" s="723"/>
      <c r="BD36" s="791"/>
      <c r="BE36" s="791" t="s">
        <v>468</v>
      </c>
      <c r="BF36" s="761" t="s">
        <v>661</v>
      </c>
      <c r="BG36" s="823"/>
      <c r="BH36" s="823"/>
      <c r="BI36" s="823"/>
      <c r="BJ36" s="3800">
        <f t="shared" ca="1" si="1"/>
        <v>0.15450941003328458</v>
      </c>
      <c r="BK36" s="3800">
        <f t="shared" ca="1" si="1"/>
        <v>0.14113236525535464</v>
      </c>
      <c r="BL36" s="3800">
        <f t="shared" ca="1" si="1"/>
        <v>0.10963363799925864</v>
      </c>
      <c r="BM36" s="3800">
        <f t="shared" ca="1" si="1"/>
        <v>9.5416947086180856E-2</v>
      </c>
      <c r="BN36" s="760"/>
      <c r="BQ36" s="4088" t="s">
        <v>340</v>
      </c>
      <c r="BR36" s="752" t="s">
        <v>341</v>
      </c>
      <c r="BS36" s="752" t="s">
        <v>3595</v>
      </c>
      <c r="BT36" s="752" t="s">
        <v>3594</v>
      </c>
    </row>
    <row r="37" spans="1:74" s="824" customFormat="1" ht="30">
      <c r="A37" s="4319"/>
      <c r="B37" s="4321"/>
      <c r="C37" s="765"/>
      <c r="D37" s="499" t="s">
        <v>342</v>
      </c>
      <c r="E37" s="825">
        <v>1</v>
      </c>
      <c r="F37" s="767">
        <v>4</v>
      </c>
      <c r="G37" s="2347" t="s">
        <v>3246</v>
      </c>
      <c r="H37" s="405"/>
      <c r="I37" s="752" t="s">
        <v>3670</v>
      </c>
      <c r="J37" s="752" t="s">
        <v>3432</v>
      </c>
      <c r="K37" s="752" t="s">
        <v>3384</v>
      </c>
      <c r="L37" s="752" t="s">
        <v>3385</v>
      </c>
      <c r="M37" s="405"/>
      <c r="N37" s="825">
        <v>1</v>
      </c>
      <c r="O37" s="826">
        <v>4</v>
      </c>
      <c r="P37" s="827">
        <v>1</v>
      </c>
      <c r="Q37" s="828"/>
      <c r="R37" s="825">
        <v>4</v>
      </c>
      <c r="S37" s="4245">
        <v>3</v>
      </c>
      <c r="T37" s="827"/>
      <c r="U37" s="756"/>
      <c r="V37" s="825"/>
      <c r="W37" s="753"/>
      <c r="X37" s="753"/>
      <c r="Y37" s="753"/>
      <c r="Z37" s="753"/>
      <c r="AA37" s="753"/>
      <c r="AB37" s="753"/>
      <c r="AC37" s="757"/>
      <c r="AD37" s="829"/>
      <c r="AE37"/>
      <c r="AF37" s="759"/>
      <c r="AG37" s="759"/>
      <c r="AH37" s="759"/>
      <c r="AI37" s="759"/>
      <c r="AJ37" s="759"/>
      <c r="AK37" s="759"/>
      <c r="AL37" s="759"/>
      <c r="AM37" s="759"/>
      <c r="AN37" s="759"/>
      <c r="AO37" s="760"/>
      <c r="AP37" s="760"/>
      <c r="AQ37" s="3726"/>
      <c r="AR37" s="791"/>
      <c r="AS37" s="792" t="s">
        <v>571</v>
      </c>
      <c r="AT37" s="763" t="str">
        <f>INDEX(Workstreams[Workstream],MATCH($AS37,Workstreams[Code],0))</f>
        <v>Bioenergy</v>
      </c>
      <c r="AU37" s="760"/>
      <c r="AV37" s="3780"/>
      <c r="AW37" s="763"/>
      <c r="AX37" s="3781">
        <f t="shared" ca="1" si="2"/>
        <v>-0.70135482576316632</v>
      </c>
      <c r="AY37" s="3781">
        <f t="shared" ca="1" si="2"/>
        <v>-1.1151876435289807</v>
      </c>
      <c r="AZ37" s="3782">
        <f ca="1">AY37*'Intermediate output'!$AY$155/'Intermediate output'!$F$205</f>
        <v>-1.9656027866758873E-2</v>
      </c>
      <c r="BA37" s="759"/>
      <c r="BB37" s="759"/>
      <c r="BC37" s="723"/>
      <c r="BD37" s="791"/>
      <c r="BE37" s="791" t="s">
        <v>547</v>
      </c>
      <c r="BF37" s="761" t="s">
        <v>662</v>
      </c>
      <c r="BG37" s="823"/>
      <c r="BH37" s="823"/>
      <c r="BI37" s="823"/>
      <c r="BJ37" s="3800">
        <f t="shared" ca="1" si="1"/>
        <v>0.51761589941898678</v>
      </c>
      <c r="BK37" s="3800">
        <f t="shared" ca="1" si="1"/>
        <v>0.48205579843800583</v>
      </c>
      <c r="BL37" s="3800">
        <f t="shared" ca="1" si="1"/>
        <v>0.58945084657324331</v>
      </c>
      <c r="BM37" s="3800">
        <f t="shared" ca="1" si="1"/>
        <v>0.60366970067150949</v>
      </c>
      <c r="BN37" s="760"/>
      <c r="BQ37" s="4088" t="s">
        <v>3670</v>
      </c>
      <c r="BR37" s="752" t="s">
        <v>3432</v>
      </c>
      <c r="BS37" s="752" t="s">
        <v>3384</v>
      </c>
      <c r="BT37" s="752" t="s">
        <v>3385</v>
      </c>
    </row>
    <row r="38" spans="1:74" s="824" customFormat="1" ht="43.5">
      <c r="A38" s="4319"/>
      <c r="B38" s="4321"/>
      <c r="C38" s="765"/>
      <c r="D38" s="500" t="s">
        <v>343</v>
      </c>
      <c r="E38" s="825">
        <v>1</v>
      </c>
      <c r="F38" s="767" t="s">
        <v>238</v>
      </c>
      <c r="G38" s="2347" t="s">
        <v>3248</v>
      </c>
      <c r="H38" s="405"/>
      <c r="I38" s="752" t="s">
        <v>344</v>
      </c>
      <c r="J38" s="752" t="s">
        <v>345</v>
      </c>
      <c r="K38" s="752" t="s">
        <v>346</v>
      </c>
      <c r="L38" s="752" t="s">
        <v>3664</v>
      </c>
      <c r="M38" s="405"/>
      <c r="N38" s="825">
        <v>1</v>
      </c>
      <c r="O38" s="826">
        <v>4</v>
      </c>
      <c r="P38" s="827">
        <v>1</v>
      </c>
      <c r="Q38" s="828"/>
      <c r="R38" s="825">
        <v>4</v>
      </c>
      <c r="S38" s="4245">
        <v>4</v>
      </c>
      <c r="T38" s="827"/>
      <c r="U38" s="756"/>
      <c r="V38" s="825"/>
      <c r="W38" s="753"/>
      <c r="X38" s="753"/>
      <c r="Y38" s="753"/>
      <c r="Z38" s="753"/>
      <c r="AA38" s="753"/>
      <c r="AB38" s="753"/>
      <c r="AC38" s="757"/>
      <c r="AD38" s="829"/>
      <c r="AE38"/>
      <c r="AF38" s="759"/>
      <c r="AG38" s="759"/>
      <c r="AH38" s="759"/>
      <c r="AI38" s="759"/>
      <c r="AJ38" s="759"/>
      <c r="AK38" s="759"/>
      <c r="AL38" s="759"/>
      <c r="AM38" s="759"/>
      <c r="AN38" s="759"/>
      <c r="AO38" s="760"/>
      <c r="AP38" s="760"/>
      <c r="AQ38" s="3726"/>
      <c r="AR38" s="791"/>
      <c r="AS38" s="792" t="s">
        <v>487</v>
      </c>
      <c r="AT38" s="763" t="str">
        <f>INDEX(Workstreams[Workstream],MATCH($AS38,Workstreams[Code],0))</f>
        <v>Geosequestration</v>
      </c>
      <c r="AU38" s="760"/>
      <c r="AV38" s="3780"/>
      <c r="AW38" s="763"/>
      <c r="AX38" s="3781">
        <f t="shared" ca="1" si="2"/>
        <v>0</v>
      </c>
      <c r="AY38" s="3781">
        <f t="shared" ca="1" si="2"/>
        <v>0</v>
      </c>
      <c r="AZ38" s="3782">
        <f ca="1">AY38*'Intermediate output'!$AY$155/'Intermediate output'!$F$205</f>
        <v>0</v>
      </c>
      <c r="BA38" s="759"/>
      <c r="BB38" s="759"/>
      <c r="BC38" s="723"/>
      <c r="BD38" s="791"/>
      <c r="BE38" s="791" t="s">
        <v>544</v>
      </c>
      <c r="BF38" s="761" t="s">
        <v>663</v>
      </c>
      <c r="BG38" s="823"/>
      <c r="BH38" s="823"/>
      <c r="BI38" s="823"/>
      <c r="BJ38" s="3800">
        <f t="shared" ca="1" si="1"/>
        <v>0</v>
      </c>
      <c r="BK38" s="3800">
        <f t="shared" ca="1" si="1"/>
        <v>0</v>
      </c>
      <c r="BL38" s="3800">
        <f t="shared" ca="1" si="1"/>
        <v>0</v>
      </c>
      <c r="BM38" s="3800">
        <f t="shared" ca="1" si="1"/>
        <v>0</v>
      </c>
      <c r="BN38" s="760"/>
      <c r="BQ38" s="752" t="s">
        <v>344</v>
      </c>
      <c r="BR38" s="752" t="s">
        <v>345</v>
      </c>
      <c r="BS38" s="752" t="s">
        <v>346</v>
      </c>
      <c r="BT38" s="752" t="s">
        <v>3664</v>
      </c>
    </row>
    <row r="39" spans="1:74" s="824" customFormat="1" ht="29">
      <c r="A39" s="4319"/>
      <c r="B39" s="4321"/>
      <c r="C39" s="765"/>
      <c r="D39" s="500" t="s">
        <v>347</v>
      </c>
      <c r="E39" s="825">
        <v>1</v>
      </c>
      <c r="F39" s="767" t="s">
        <v>238</v>
      </c>
      <c r="G39" s="2347" t="s">
        <v>3380</v>
      </c>
      <c r="H39" s="405"/>
      <c r="I39" s="752" t="s">
        <v>348</v>
      </c>
      <c r="J39" s="752" t="s">
        <v>349</v>
      </c>
      <c r="K39" s="752" t="s">
        <v>350</v>
      </c>
      <c r="L39" s="752" t="s">
        <v>351</v>
      </c>
      <c r="M39" s="405"/>
      <c r="N39" s="825">
        <v>1</v>
      </c>
      <c r="O39" s="826">
        <v>4</v>
      </c>
      <c r="P39" s="827">
        <v>1</v>
      </c>
      <c r="Q39" s="828"/>
      <c r="R39" s="825">
        <v>4</v>
      </c>
      <c r="S39" s="4245">
        <v>2</v>
      </c>
      <c r="T39" s="827"/>
      <c r="U39" s="756"/>
      <c r="V39" s="825"/>
      <c r="W39" s="753"/>
      <c r="X39" s="753"/>
      <c r="Y39" s="753"/>
      <c r="Z39" s="753"/>
      <c r="AA39" s="753"/>
      <c r="AB39" s="753"/>
      <c r="AC39" s="757"/>
      <c r="AD39" s="829"/>
      <c r="AE39"/>
      <c r="AF39" s="759"/>
      <c r="AG39" s="759"/>
      <c r="AH39" s="759"/>
      <c r="AI39" s="759"/>
      <c r="AJ39" s="759"/>
      <c r="AK39" s="759"/>
      <c r="AL39" s="759"/>
      <c r="AM39" s="759"/>
      <c r="AN39" s="759"/>
      <c r="AO39" s="760"/>
      <c r="AP39" s="760"/>
      <c r="AQ39" s="3726"/>
      <c r="AR39" s="791"/>
      <c r="AS39" s="792" t="s">
        <v>503</v>
      </c>
      <c r="AT39" s="763" t="str">
        <f>INDEX(Workstreams[Workstream],MATCH($AS39,Workstreams[Code],0))</f>
        <v>Agriculture and waste</v>
      </c>
      <c r="AU39" s="760"/>
      <c r="AV39" s="3780"/>
      <c r="AW39" s="763"/>
      <c r="AX39" s="3781">
        <f t="shared" ca="1" si="2"/>
        <v>22.48312881993542</v>
      </c>
      <c r="AY39" s="3781">
        <f t="shared" ca="1" si="2"/>
        <v>20.264832558555796</v>
      </c>
      <c r="AZ39" s="3782">
        <f ca="1">AY39*'Intermediate output'!$AY$155/'Intermediate output'!$F$205</f>
        <v>0.35718304071741969</v>
      </c>
      <c r="BA39" s="759"/>
      <c r="BB39" s="759"/>
      <c r="BC39" s="723"/>
      <c r="BD39" s="830"/>
      <c r="BE39" s="808"/>
      <c r="BF39" s="808"/>
      <c r="BG39" s="808"/>
      <c r="BH39" s="808"/>
      <c r="BI39" s="808"/>
      <c r="BJ39" s="808"/>
      <c r="BK39" s="808"/>
      <c r="BL39" s="808"/>
      <c r="BM39" s="808"/>
      <c r="BN39" s="760"/>
      <c r="BQ39" s="4088" t="s">
        <v>348</v>
      </c>
      <c r="BR39" s="752" t="s">
        <v>349</v>
      </c>
      <c r="BS39" s="4093" t="s">
        <v>350</v>
      </c>
      <c r="BT39" s="752" t="s">
        <v>351</v>
      </c>
    </row>
    <row r="40" spans="1:74" s="824" customFormat="1" ht="15.5">
      <c r="A40" s="4319"/>
      <c r="B40" s="4321" t="s">
        <v>664</v>
      </c>
      <c r="C40" s="749" t="s">
        <v>461</v>
      </c>
      <c r="D40" s="749" t="s">
        <v>462</v>
      </c>
      <c r="E40" s="750"/>
      <c r="F40" s="751"/>
      <c r="G40" s="751"/>
      <c r="H40" s="751"/>
      <c r="I40" s="751"/>
      <c r="J40" s="751"/>
      <c r="K40" s="751"/>
      <c r="L40" s="751"/>
      <c r="M40"/>
      <c r="N40" s="750"/>
      <c r="O40" s="753"/>
      <c r="P40" s="754"/>
      <c r="Q40" s="755"/>
      <c r="R40" s="750"/>
      <c r="S40" s="4245"/>
      <c r="T40" s="754"/>
      <c r="U40" s="756"/>
      <c r="V40" s="750"/>
      <c r="W40" s="753"/>
      <c r="X40" s="753"/>
      <c r="Y40" s="753"/>
      <c r="Z40" s="753"/>
      <c r="AA40" s="753"/>
      <c r="AB40" s="753"/>
      <c r="AC40" s="757"/>
      <c r="AD40" s="758"/>
      <c r="AE40"/>
      <c r="AF40" s="759"/>
      <c r="AG40" s="759"/>
      <c r="AH40" s="759"/>
      <c r="AI40" s="759"/>
      <c r="AJ40" s="759"/>
      <c r="AK40" s="759"/>
      <c r="AL40" s="759"/>
      <c r="AM40" s="759"/>
      <c r="AN40" s="759"/>
      <c r="AO40" s="760"/>
      <c r="AP40" s="760"/>
      <c r="AQ40" s="3726"/>
      <c r="AR40" s="791"/>
      <c r="AS40" s="792" t="s">
        <v>0</v>
      </c>
      <c r="AT40" s="763" t="str">
        <f>INDEX(Workstreams[Workstream],MATCH($AS40,Workstreams[Code],0))</f>
        <v>Heating</v>
      </c>
      <c r="AU40" s="760"/>
      <c r="AV40" s="3780"/>
      <c r="AW40" s="763"/>
      <c r="AX40" s="3781">
        <f t="shared" ca="1" si="2"/>
        <v>7.8819432445848499</v>
      </c>
      <c r="AY40" s="3781">
        <f t="shared" ca="1" si="2"/>
        <v>8.2078976145609932</v>
      </c>
      <c r="AZ40" s="3782">
        <f ca="1">AY40*'Intermediate output'!$AY$155/'Intermediate output'!$F$205</f>
        <v>0.1446704195257898</v>
      </c>
      <c r="BA40" s="759"/>
      <c r="BB40" s="759"/>
      <c r="BC40" s="723"/>
      <c r="BD40" s="814"/>
      <c r="BE40" s="815" t="s">
        <v>665</v>
      </c>
      <c r="BF40" s="763"/>
      <c r="BG40" s="763"/>
      <c r="BH40" s="793"/>
      <c r="BI40" s="763"/>
      <c r="BJ40" s="3797">
        <f ca="1">-(INDEX(INDIRECT(BJ$29&amp;"!Year.Matrix"),MATCH("Subtotal.Supply",INDIRECT(BJ$29&amp;"!Year.Modules"),0),MATCH("V.04",INDIRECT(BJ$29&amp;"!Year.Vectors"),0))+INDEX(INDIRECT(BJ$29&amp;"!Year.Matrix"),MATCH("Subtotal.Consumption",INDIRECT(BJ$29&amp;"!Year.Modules"),0),MATCH("V.04",INDIRECT(BJ$29&amp;"!Year.Vectors"),0)))</f>
        <v>77.55283715410927</v>
      </c>
      <c r="BK40" s="3797">
        <f ca="1">-(INDEX(INDIRECT(BK$29&amp;"!Year.Matrix"),MATCH("Subtotal.Supply",INDIRECT(BK$29&amp;"!Year.Modules"),0),MATCH("V.04",INDIRECT(BK$29&amp;"!Year.Vectors"),0))+INDEX(INDIRECT(BK$29&amp;"!Year.Matrix"),MATCH("Subtotal.Consumption",INDIRECT(BK$29&amp;"!Year.Modules"),0),MATCH("V.04",INDIRECT(BK$29&amp;"!Year.Vectors"),0)))</f>
        <v>76.274750168889341</v>
      </c>
      <c r="BL40" s="3797">
        <f ca="1">-(INDEX(INDIRECT(BL$29&amp;"!Year.Matrix"),MATCH("Subtotal.Supply",INDIRECT(BL$29&amp;"!Year.Modules"),0),MATCH("V.04",INDIRECT(BL$29&amp;"!Year.Vectors"),0))+INDEX(INDIRECT(BL$29&amp;"!Year.Matrix"),MATCH("Subtotal.Consumption",INDIRECT(BL$29&amp;"!Year.Modules"),0),MATCH("V.04",INDIRECT(BL$29&amp;"!Year.Vectors"),0)))</f>
        <v>75.958681490777167</v>
      </c>
      <c r="BM40" s="3797">
        <f ca="1">-(INDEX(INDIRECT(BM$29&amp;"!Year.Matrix"),MATCH("Subtotal.Supply",INDIRECT(BM$29&amp;"!Year.Modules"),0),MATCH("V.04",INDIRECT(BM$29&amp;"!Year.Vectors"),0))+INDEX(INDIRECT(BM$29&amp;"!Year.Matrix"),MATCH("Subtotal.Consumption",INDIRECT(BM$29&amp;"!Year.Modules"),0),MATCH("V.04",INDIRECT(BM$29&amp;"!Year.Vectors"),0)))</f>
        <v>74.666873204295086</v>
      </c>
      <c r="BN40" s="808"/>
      <c r="BQ40" s="4094"/>
      <c r="BR40" s="4095"/>
      <c r="BS40" s="4095"/>
      <c r="BT40" s="4095"/>
    </row>
    <row r="41" spans="1:74" s="6" customFormat="1" ht="43.5">
      <c r="A41" s="4319"/>
      <c r="B41" s="4321"/>
      <c r="C41" s="766"/>
      <c r="D41" s="766" t="s">
        <v>666</v>
      </c>
      <c r="E41" s="750">
        <v>1</v>
      </c>
      <c r="F41" s="767">
        <v>4</v>
      </c>
      <c r="G41" s="2347" t="s">
        <v>3381</v>
      </c>
      <c r="H41"/>
      <c r="I41" s="752" t="s">
        <v>3164</v>
      </c>
      <c r="J41" s="752" t="s">
        <v>3165</v>
      </c>
      <c r="K41" s="752" t="s">
        <v>3166</v>
      </c>
      <c r="L41" s="752" t="s">
        <v>3167</v>
      </c>
      <c r="M41"/>
      <c r="N41" s="750">
        <v>1</v>
      </c>
      <c r="O41" s="753">
        <v>4</v>
      </c>
      <c r="P41" s="754">
        <v>1</v>
      </c>
      <c r="Q41" s="755"/>
      <c r="R41" s="750">
        <v>4</v>
      </c>
      <c r="S41" s="4245">
        <v>3</v>
      </c>
      <c r="T41" s="754"/>
      <c r="U41" s="756"/>
      <c r="V41" s="750"/>
      <c r="W41" s="753"/>
      <c r="X41" s="753"/>
      <c r="Y41" s="753"/>
      <c r="Z41" s="753"/>
      <c r="AA41" s="753"/>
      <c r="AB41" s="753"/>
      <c r="AC41" s="757"/>
      <c r="AD41" s="758"/>
      <c r="AE41"/>
      <c r="AF41" s="759"/>
      <c r="AG41" s="759"/>
      <c r="AH41" s="759"/>
      <c r="AI41" s="759"/>
      <c r="AJ41" s="759"/>
      <c r="AK41" s="759"/>
      <c r="AL41" s="759"/>
      <c r="AM41" s="759"/>
      <c r="AN41" s="759"/>
      <c r="AO41" s="760"/>
      <c r="AP41" s="760"/>
      <c r="AQ41" s="3726"/>
      <c r="AR41" s="791"/>
      <c r="AS41" s="792" t="s">
        <v>465</v>
      </c>
      <c r="AT41" s="763" t="str">
        <f>INDEX(Workstreams[Workstream],MATCH($AS41,Workstreams[Code],0))</f>
        <v>Lighting and appliances</v>
      </c>
      <c r="AU41" s="760"/>
      <c r="AV41" s="3780"/>
      <c r="AW41" s="763"/>
      <c r="AX41" s="3781">
        <f t="shared" ca="1" si="2"/>
        <v>0.18651782716267357</v>
      </c>
      <c r="AY41" s="3781">
        <f t="shared" ca="1" si="2"/>
        <v>0.20529023636603186</v>
      </c>
      <c r="AZ41" s="3782">
        <f ca="1">AY41*'Intermediate output'!$AY$155/'Intermediate output'!$F$205</f>
        <v>3.6183960880475574E-3</v>
      </c>
      <c r="BA41" s="759"/>
      <c r="BB41" s="759"/>
      <c r="BC41" s="723"/>
      <c r="BD41" s="817"/>
      <c r="BE41" s="817" t="s">
        <v>571</v>
      </c>
      <c r="BF41" s="818" t="s">
        <v>667</v>
      </c>
      <c r="BG41" s="830"/>
      <c r="BH41" s="832"/>
      <c r="BI41" s="818"/>
      <c r="BJ41" s="3798">
        <f ca="1">INDEX(INDIRECT(BJ$29&amp;"!Year.Matrix"),MATCH($BE41,INDIRECT(BJ$29&amp;"!Year.Modules"),0),MATCH("V.04",INDIRECT(BJ$29&amp;"!Year.Vectors"),0))/BJ$40</f>
        <v>1.3229700820545271E-2</v>
      </c>
      <c r="BK41" s="3798">
        <f ca="1">INDEX(INDIRECT(BK$29&amp;"!Year.Matrix"),MATCH($BE41,INDIRECT(BK$29&amp;"!Year.Modules"),0),MATCH("V.04",INDIRECT(BK$29&amp;"!Year.Vectors"),0))/BK$40</f>
        <v>1.5206084168848596E-2</v>
      </c>
      <c r="BL41" s="3798">
        <f ca="1">INDEX(INDIRECT(BL$29&amp;"!Year.Matrix"),MATCH($BE41,INDIRECT(BL$29&amp;"!Year.Modules"),0),MATCH("V.04",INDIRECT(BL$29&amp;"!Year.Vectors"),0))/BL$40</f>
        <v>9.713029326607869E-3</v>
      </c>
      <c r="BM41" s="3798">
        <f ca="1">INDEX(INDIRECT(BM$29&amp;"!Year.Matrix"),MATCH($BE41,INDIRECT(BM$29&amp;"!Year.Modules"),0),MATCH("V.04",INDIRECT(BM$29&amp;"!Year.Vectors"),0))/BM$40</f>
        <v>2.1651421772406264E-3</v>
      </c>
      <c r="BN41" s="760"/>
      <c r="BQ41" s="4088" t="s">
        <v>3640</v>
      </c>
      <c r="BR41" s="752" t="s">
        <v>3641</v>
      </c>
      <c r="BS41" s="752" t="s">
        <v>3642</v>
      </c>
      <c r="BT41" s="752" t="s">
        <v>3627</v>
      </c>
    </row>
    <row r="42" spans="1:74" s="6" customFormat="1" ht="29">
      <c r="A42" s="4319"/>
      <c r="B42" s="4321"/>
      <c r="C42" s="766"/>
      <c r="D42" s="766" t="s">
        <v>668</v>
      </c>
      <c r="E42" s="750">
        <v>1</v>
      </c>
      <c r="F42" s="767" t="s">
        <v>669</v>
      </c>
      <c r="G42" s="2347" t="s">
        <v>3655</v>
      </c>
      <c r="H42"/>
      <c r="I42" s="752" t="s">
        <v>1007</v>
      </c>
      <c r="J42" s="752" t="s">
        <v>670</v>
      </c>
      <c r="K42" s="752" t="s">
        <v>671</v>
      </c>
      <c r="L42" s="752" t="s">
        <v>671</v>
      </c>
      <c r="M42"/>
      <c r="N42" s="750">
        <v>1</v>
      </c>
      <c r="O42" s="753">
        <v>2</v>
      </c>
      <c r="P42" s="754">
        <v>1</v>
      </c>
      <c r="Q42" s="755"/>
      <c r="R42" s="750">
        <v>2</v>
      </c>
      <c r="S42" s="4245">
        <v>1</v>
      </c>
      <c r="T42" s="754"/>
      <c r="U42" s="756"/>
      <c r="V42" s="750"/>
      <c r="W42" s="753"/>
      <c r="X42" s="753"/>
      <c r="Y42" s="753"/>
      <c r="Z42" s="753"/>
      <c r="AA42" s="753"/>
      <c r="AB42" s="753"/>
      <c r="AC42" s="757"/>
      <c r="AD42" s="758"/>
      <c r="AE42"/>
      <c r="AF42" s="759"/>
      <c r="AG42" s="759"/>
      <c r="AH42" s="759"/>
      <c r="AI42" s="759"/>
      <c r="AJ42" s="759"/>
      <c r="AK42" s="759"/>
      <c r="AL42" s="759"/>
      <c r="AM42" s="759"/>
      <c r="AN42" s="759"/>
      <c r="AO42" s="760"/>
      <c r="AP42" s="760"/>
      <c r="AQ42" s="3726"/>
      <c r="AR42" s="791"/>
      <c r="AS42" s="792" t="s">
        <v>468</v>
      </c>
      <c r="AT42" s="763" t="str">
        <f>INDEX(Workstreams[Workstream],MATCH($AS42,Workstreams[Code],0))</f>
        <v>Industry</v>
      </c>
      <c r="AU42" s="760"/>
      <c r="AV42" s="3780"/>
      <c r="AW42" s="763"/>
      <c r="AX42" s="3781">
        <f t="shared" ca="1" si="2"/>
        <v>6.4753061332000001</v>
      </c>
      <c r="AY42" s="3781">
        <f t="shared" ca="1" si="2"/>
        <v>10.535091168752171</v>
      </c>
      <c r="AZ42" s="3782">
        <f ca="1">AY42*'Intermediate output'!$AY$155/'Intermediate output'!$F$205</f>
        <v>0.18568897063506298</v>
      </c>
      <c r="BA42" s="759"/>
      <c r="BB42" s="759"/>
      <c r="BC42" s="723"/>
      <c r="BD42" s="791"/>
      <c r="BE42" s="791" t="s">
        <v>481</v>
      </c>
      <c r="BF42" s="761" t="s">
        <v>672</v>
      </c>
      <c r="BG42" s="777"/>
      <c r="BH42" s="833"/>
      <c r="BI42" s="761"/>
      <c r="BJ42" s="3800">
        <f t="shared" ref="BJ42:BM44" ca="1" si="3">-INDEX(INDIRECT(BJ$29&amp;"!Year.Matrix"),MATCH($BE42,INDIRECT(BJ$29&amp;"!Year.Modules"),0),MATCH("V.04",INDIRECT(BJ$29&amp;"!Year.Vectors"),0))/BJ$40</f>
        <v>0.6068783933656966</v>
      </c>
      <c r="BK42" s="3800">
        <f t="shared" ca="1" si="3"/>
        <v>0.66950010942792826</v>
      </c>
      <c r="BL42" s="3800">
        <f t="shared" ca="1" si="3"/>
        <v>0.7050357852109792</v>
      </c>
      <c r="BM42" s="3800">
        <f t="shared" ca="1" si="3"/>
        <v>0.7890568374204896</v>
      </c>
      <c r="BN42" s="760"/>
      <c r="BQ42" s="752" t="s">
        <v>1007</v>
      </c>
      <c r="BR42" s="752" t="s">
        <v>670</v>
      </c>
      <c r="BS42" s="752" t="s">
        <v>670</v>
      </c>
      <c r="BT42" s="752" t="s">
        <v>670</v>
      </c>
      <c r="BU42" s="6" t="s">
        <v>5</v>
      </c>
    </row>
    <row r="43" spans="1:74" s="6" customFormat="1" ht="15.5">
      <c r="A43" s="4319" t="s">
        <v>673</v>
      </c>
      <c r="B43" s="4320" t="s">
        <v>359</v>
      </c>
      <c r="C43" s="749" t="s">
        <v>466</v>
      </c>
      <c r="D43" s="749" t="s">
        <v>467</v>
      </c>
      <c r="E43" s="750"/>
      <c r="F43" s="751"/>
      <c r="G43" s="751"/>
      <c r="H43" s="751"/>
      <c r="I43" s="751"/>
      <c r="J43" s="751"/>
      <c r="K43" s="751"/>
      <c r="L43" s="751"/>
      <c r="M43"/>
      <c r="N43" s="750"/>
      <c r="O43" s="753"/>
      <c r="P43" s="754"/>
      <c r="Q43" s="755"/>
      <c r="R43" s="750"/>
      <c r="S43" s="4245"/>
      <c r="T43" s="754"/>
      <c r="U43" s="756"/>
      <c r="V43" s="750"/>
      <c r="W43" s="753"/>
      <c r="X43" s="753"/>
      <c r="Y43" s="753"/>
      <c r="Z43" s="753"/>
      <c r="AA43" s="753"/>
      <c r="AB43" s="753"/>
      <c r="AC43" s="757"/>
      <c r="AD43" s="758"/>
      <c r="AF43" s="760"/>
      <c r="AG43" s="760"/>
      <c r="AH43" s="760"/>
      <c r="AI43" s="760"/>
      <c r="AJ43" s="760"/>
      <c r="AK43" s="760"/>
      <c r="AL43" s="3780"/>
      <c r="AM43" s="763"/>
      <c r="AN43" s="763"/>
      <c r="AO43" s="760"/>
      <c r="AP43" s="760"/>
      <c r="AQ43" s="3726"/>
      <c r="AR43" s="791"/>
      <c r="AS43" s="792"/>
      <c r="AT43" s="763"/>
      <c r="AU43" s="760"/>
      <c r="AV43" s="3780"/>
      <c r="AW43" s="763"/>
      <c r="AX43" s="3781"/>
      <c r="AY43" s="3781"/>
      <c r="AZ43" s="3782"/>
      <c r="BA43" s="759"/>
      <c r="BB43" s="759"/>
      <c r="BC43" s="723"/>
      <c r="BD43" s="791"/>
      <c r="BE43" s="791" t="s">
        <v>468</v>
      </c>
      <c r="BF43" s="761" t="s">
        <v>674</v>
      </c>
      <c r="BG43" s="777"/>
      <c r="BH43" s="833"/>
      <c r="BI43" s="761"/>
      <c r="BJ43" s="3800">
        <f t="shared" ca="1" si="3"/>
        <v>8.1879660796697673E-2</v>
      </c>
      <c r="BK43" s="3800">
        <f t="shared" ca="1" si="3"/>
        <v>9.2195260856222636E-2</v>
      </c>
      <c r="BL43" s="3800">
        <f t="shared" ca="1" si="3"/>
        <v>0.10770602672918531</v>
      </c>
      <c r="BM43" s="3800">
        <f t="shared" ca="1" si="3"/>
        <v>0.15093959760714223</v>
      </c>
      <c r="BN43" s="808"/>
      <c r="BQ43" s="4089"/>
      <c r="BR43" s="501"/>
      <c r="BS43" s="501"/>
      <c r="BT43" s="501"/>
    </row>
    <row r="44" spans="1:74" s="6" customFormat="1" ht="29">
      <c r="A44" s="4319"/>
      <c r="B44" s="4320"/>
      <c r="C44" s="766"/>
      <c r="D44" s="766" t="s">
        <v>675</v>
      </c>
      <c r="E44" s="750">
        <v>1</v>
      </c>
      <c r="F44" s="767" t="s">
        <v>676</v>
      </c>
      <c r="G44" s="2347" t="s">
        <v>3226</v>
      </c>
      <c r="H44"/>
      <c r="I44" s="752" t="s">
        <v>2769</v>
      </c>
      <c r="J44" s="752" t="s">
        <v>3188</v>
      </c>
      <c r="K44" s="752" t="s">
        <v>2770</v>
      </c>
      <c r="L44" s="752" t="s">
        <v>677</v>
      </c>
      <c r="M44"/>
      <c r="N44" s="750">
        <v>1</v>
      </c>
      <c r="O44" s="753">
        <v>4</v>
      </c>
      <c r="P44" s="754">
        <v>2</v>
      </c>
      <c r="Q44" s="755"/>
      <c r="R44" s="750">
        <v>2</v>
      </c>
      <c r="S44" s="4245">
        <v>2</v>
      </c>
      <c r="T44" s="754"/>
      <c r="U44" s="756"/>
      <c r="V44" s="750"/>
      <c r="W44" s="753"/>
      <c r="X44" s="753"/>
      <c r="Y44" s="753"/>
      <c r="Z44" s="753"/>
      <c r="AA44" s="753"/>
      <c r="AB44" s="753"/>
      <c r="AC44" s="757"/>
      <c r="AD44" s="758"/>
      <c r="AF44" s="760"/>
      <c r="AG44" s="760"/>
      <c r="AH44" s="760"/>
      <c r="AI44" s="760"/>
      <c r="AJ44" s="760"/>
      <c r="AK44" s="760"/>
      <c r="AL44" s="3780"/>
      <c r="AM44" s="763"/>
      <c r="AN44" s="763"/>
      <c r="AO44" s="760"/>
      <c r="AP44" s="760"/>
      <c r="AQ44" s="3726"/>
      <c r="AR44" s="791"/>
      <c r="AS44" s="792" t="s">
        <v>481</v>
      </c>
      <c r="AT44" s="763" t="str">
        <f>INDEX(Workstreams[Workstream],MATCH($AS44,Workstreams[Code],0))</f>
        <v>Transport</v>
      </c>
      <c r="AU44" s="760"/>
      <c r="AV44" s="3780"/>
      <c r="AW44" s="763"/>
      <c r="AX44" s="3781">
        <f t="shared" ref="AX44:AY46" ca="1" si="4">SUMIFS(INDIRECT("'"&amp;AX$35&amp;"'!Year.EmissionsBySector"), INDIRECT("'"&amp;AX$35&amp;"'!Year.Modules"),$AS44)</f>
        <v>11.137856655879659</v>
      </c>
      <c r="AY44" s="3781">
        <f t="shared" ca="1" si="4"/>
        <v>13.80860843066001</v>
      </c>
      <c r="AZ44" s="3782">
        <f ca="1">AY44*'Intermediate output'!$AY$155/'Intermediate output'!$F$205</f>
        <v>0.24338719469246087</v>
      </c>
      <c r="BA44" s="760"/>
      <c r="BB44" s="760"/>
      <c r="BC44" s="723"/>
      <c r="BD44" s="791"/>
      <c r="BE44" s="791" t="s">
        <v>505</v>
      </c>
      <c r="BF44" s="761" t="s">
        <v>678</v>
      </c>
      <c r="BG44" s="777"/>
      <c r="BH44" s="833"/>
      <c r="BI44" s="761"/>
      <c r="BJ44" s="3800">
        <f t="shared" ca="1" si="3"/>
        <v>2.3884178600817631E-2</v>
      </c>
      <c r="BK44" s="3800">
        <f t="shared" ca="1" si="3"/>
        <v>2.4284390437038422E-2</v>
      </c>
      <c r="BL44" s="3800">
        <f t="shared" ca="1" si="3"/>
        <v>2.4385439257707153E-2</v>
      </c>
      <c r="BM44" s="3800">
        <f t="shared" ca="1" si="3"/>
        <v>2.480733066886108E-2</v>
      </c>
      <c r="BN44" s="808"/>
      <c r="BQ44" s="4088" t="s">
        <v>2769</v>
      </c>
      <c r="BR44" s="752" t="s">
        <v>3188</v>
      </c>
      <c r="BS44" s="752" t="s">
        <v>2770</v>
      </c>
      <c r="BT44" s="752" t="s">
        <v>2770</v>
      </c>
      <c r="BV44" s="6" t="s">
        <v>5</v>
      </c>
    </row>
    <row r="45" spans="1:74" s="6" customFormat="1" ht="43.5">
      <c r="A45" s="4319"/>
      <c r="B45" s="4320"/>
      <c r="C45" s="766"/>
      <c r="D45" s="766" t="s">
        <v>679</v>
      </c>
      <c r="E45" s="750">
        <v>1</v>
      </c>
      <c r="F45" s="767">
        <v>3</v>
      </c>
      <c r="G45" s="2347" t="s">
        <v>3227</v>
      </c>
      <c r="H45"/>
      <c r="I45" s="752" t="s">
        <v>3575</v>
      </c>
      <c r="J45" s="752" t="s">
        <v>3576</v>
      </c>
      <c r="K45" s="752" t="s">
        <v>3577</v>
      </c>
      <c r="L45" s="752" t="s">
        <v>680</v>
      </c>
      <c r="M45"/>
      <c r="N45" s="750">
        <v>1</v>
      </c>
      <c r="O45" s="753">
        <v>3</v>
      </c>
      <c r="P45" s="754">
        <v>1</v>
      </c>
      <c r="Q45" s="755"/>
      <c r="R45" s="750">
        <v>3</v>
      </c>
      <c r="S45" s="4245">
        <v>3</v>
      </c>
      <c r="T45" s="754"/>
      <c r="U45" s="756"/>
      <c r="V45" s="750"/>
      <c r="W45" s="753"/>
      <c r="X45" s="753"/>
      <c r="Y45" s="753"/>
      <c r="Z45" s="753"/>
      <c r="AA45" s="753"/>
      <c r="AB45" s="753"/>
      <c r="AC45" s="757"/>
      <c r="AD45" s="758"/>
      <c r="AF45" s="760"/>
      <c r="AG45" s="760"/>
      <c r="AH45" s="760"/>
      <c r="AI45" s="760"/>
      <c r="AJ45" s="760"/>
      <c r="AK45" s="760"/>
      <c r="AL45" s="3780"/>
      <c r="AM45" s="763"/>
      <c r="AN45" s="763"/>
      <c r="AO45" s="760"/>
      <c r="AP45" s="760"/>
      <c r="AQ45" s="3726"/>
      <c r="AR45" s="791"/>
      <c r="AS45" s="792" t="s">
        <v>509</v>
      </c>
      <c r="AT45" s="763" t="str">
        <f>INDEX(Workstreams[Workstream],MATCH($AS45,Workstreams[Code],0))</f>
        <v>Fossil fuel production</v>
      </c>
      <c r="AU45" s="760"/>
      <c r="AV45" s="3780"/>
      <c r="AW45" s="763"/>
      <c r="AX45" s="3781">
        <f t="shared" ca="1" si="4"/>
        <v>0.50758391151371063</v>
      </c>
      <c r="AY45" s="3781">
        <f t="shared" ca="1" si="4"/>
        <v>0.50758391151371063</v>
      </c>
      <c r="AZ45" s="3782">
        <f ca="1">AY45*'Intermediate output'!$AY$155/'Intermediate output'!$F$205</f>
        <v>8.9465513425702591E-3</v>
      </c>
      <c r="BA45" s="760"/>
      <c r="BB45" s="760"/>
      <c r="BC45" s="723"/>
      <c r="BD45" s="777"/>
      <c r="BE45" s="760"/>
      <c r="BF45" s="760"/>
      <c r="BG45" s="760"/>
      <c r="BH45" s="760"/>
      <c r="BI45" s="760"/>
      <c r="BJ45" s="760" t="s">
        <v>5</v>
      </c>
      <c r="BK45" s="760" t="s">
        <v>5</v>
      </c>
      <c r="BL45" s="760"/>
      <c r="BM45" s="760"/>
      <c r="BN45" s="808"/>
      <c r="BQ45" s="4088" t="s">
        <v>3628</v>
      </c>
      <c r="BR45" s="752" t="s">
        <v>3629</v>
      </c>
      <c r="BS45" s="752" t="s">
        <v>3630</v>
      </c>
      <c r="BT45" s="752" t="s">
        <v>3630</v>
      </c>
      <c r="BV45" s="6" t="s">
        <v>5</v>
      </c>
    </row>
    <row r="46" spans="1:74" s="6" customFormat="1" ht="15.5">
      <c r="A46" s="4319"/>
      <c r="B46" s="4320" t="s">
        <v>681</v>
      </c>
      <c r="C46" s="749" t="s">
        <v>456</v>
      </c>
      <c r="D46" s="749" t="s">
        <v>457</v>
      </c>
      <c r="E46" s="750"/>
      <c r="F46" s="751"/>
      <c r="G46" s="751"/>
      <c r="H46" s="751"/>
      <c r="I46" s="751"/>
      <c r="J46" s="751"/>
      <c r="K46" s="751"/>
      <c r="L46" s="751"/>
      <c r="M46"/>
      <c r="N46" s="750"/>
      <c r="O46" s="753"/>
      <c r="P46" s="754"/>
      <c r="Q46" s="755"/>
      <c r="R46" s="750"/>
      <c r="S46" s="4245"/>
      <c r="T46" s="754"/>
      <c r="U46" s="756"/>
      <c r="V46" s="750"/>
      <c r="W46" s="753"/>
      <c r="X46" s="753"/>
      <c r="Y46" s="753"/>
      <c r="Z46" s="753"/>
      <c r="AA46" s="753"/>
      <c r="AB46" s="753"/>
      <c r="AC46" s="757"/>
      <c r="AD46" s="758"/>
      <c r="AF46" s="760"/>
      <c r="AG46" s="760"/>
      <c r="AH46" s="760"/>
      <c r="AI46" s="760"/>
      <c r="AJ46" s="760"/>
      <c r="AK46" s="760"/>
      <c r="AL46" s="3780"/>
      <c r="AM46" s="763"/>
      <c r="AN46" s="763"/>
      <c r="AO46" s="760"/>
      <c r="AP46" s="760"/>
      <c r="AQ46" s="3726"/>
      <c r="AR46" s="791"/>
      <c r="AS46" s="792" t="s">
        <v>579</v>
      </c>
      <c r="AT46" s="763" t="str">
        <f>INDEX(Workstreams[Workstream],MATCH($AS46,Workstreams[Code],0))</f>
        <v>Transfers</v>
      </c>
      <c r="AU46" s="760"/>
      <c r="AV46" s="3780"/>
      <c r="AW46" s="763"/>
      <c r="AX46" s="3781">
        <f t="shared" ca="1" si="4"/>
        <v>0.02</v>
      </c>
      <c r="AY46" s="3781">
        <f t="shared" ca="1" si="4"/>
        <v>5.71861961245669E-2</v>
      </c>
      <c r="AZ46" s="3782">
        <f ca="1">AY46*'Intermediate output'!$AY$155/'Intermediate output'!$F$205</f>
        <v>1.0079500711300826E-3</v>
      </c>
      <c r="BA46" s="760"/>
      <c r="BB46" s="760"/>
      <c r="BC46" s="723"/>
      <c r="BD46" s="814"/>
      <c r="BE46" s="815" t="s">
        <v>682</v>
      </c>
      <c r="BF46" s="763"/>
      <c r="BG46" s="763"/>
      <c r="BH46" s="793"/>
      <c r="BI46" s="763"/>
      <c r="BJ46" s="3797">
        <f ca="1">-(INDEX(INDIRECT(BJ$29&amp;"!Year.Matrix"),MATCH("Subtotal.Supply",INDIRECT(BJ$29&amp;"!Year.Modules"),0),MATCH("V.03",INDIRECT(BJ$29&amp;"!Year.Vectors"),0))+INDEX(INDIRECT(BJ$29&amp;"!Year.Matrix"),MATCH("Subtotal.Consumption",INDIRECT(BJ$29&amp;"!Year.Modules"),0),MATCH("V.03",INDIRECT(BJ$29&amp;"!Year.Vectors"),0)))</f>
        <v>24.546877780882909</v>
      </c>
      <c r="BK46" s="3797">
        <f ca="1">-(INDEX(INDIRECT(BK$29&amp;"!Year.Matrix"),MATCH("Subtotal.Supply",INDIRECT(BK$29&amp;"!Year.Modules"),0),MATCH("V.03",INDIRECT(BK$29&amp;"!Year.Vectors"),0))+INDEX(INDIRECT(BK$29&amp;"!Year.Matrix"),MATCH("Subtotal.Consumption",INDIRECT(BK$29&amp;"!Year.Modules"),0),MATCH("V.03",INDIRECT(BK$29&amp;"!Year.Vectors"),0)))</f>
        <v>22.973379101023177</v>
      </c>
      <c r="BL46" s="3797">
        <f ca="1">-(INDEX(INDIRECT(BL$29&amp;"!Year.Matrix"),MATCH("Subtotal.Supply",INDIRECT(BL$29&amp;"!Year.Modules"),0),MATCH("V.03",INDIRECT(BL$29&amp;"!Year.Vectors"),0))+INDEX(INDIRECT(BL$29&amp;"!Year.Matrix"),MATCH("Subtotal.Consumption",INDIRECT(BL$29&amp;"!Year.Modules"),0),MATCH("V.03",INDIRECT(BL$29&amp;"!Year.Vectors"),0)))</f>
        <v>17.478475301591967</v>
      </c>
      <c r="BM46" s="3797">
        <f ca="1">-(INDEX(INDIRECT(BM$29&amp;"!Year.Matrix"),MATCH("Subtotal.Supply",INDIRECT(BM$29&amp;"!Year.Modules"),0),MATCH("V.03",INDIRECT(BM$29&amp;"!Year.Vectors"),0))+INDEX(INDIRECT(BM$29&amp;"!Year.Matrix"),MATCH("Subtotal.Consumption",INDIRECT(BM$29&amp;"!Year.Modules"),0),MATCH("V.03",INDIRECT(BM$29&amp;"!Year.Vectors"),0)))</f>
        <v>5.5197297709738296</v>
      </c>
      <c r="BN46" s="760"/>
      <c r="BQ46" s="4088"/>
      <c r="BR46" s="752"/>
      <c r="BS46" s="752"/>
      <c r="BT46" s="501"/>
    </row>
    <row r="47" spans="1:74" s="6" customFormat="1" ht="58">
      <c r="A47" s="4319"/>
      <c r="B47" s="4320"/>
      <c r="C47" s="765"/>
      <c r="D47" s="766" t="s">
        <v>683</v>
      </c>
      <c r="E47" s="750">
        <v>1</v>
      </c>
      <c r="F47" s="767">
        <v>4</v>
      </c>
      <c r="G47" s="2347" t="s">
        <v>3247</v>
      </c>
      <c r="H47"/>
      <c r="I47" s="752" t="s">
        <v>974</v>
      </c>
      <c r="J47" s="752" t="s">
        <v>684</v>
      </c>
      <c r="K47" s="752" t="s">
        <v>685</v>
      </c>
      <c r="L47" s="752" t="s">
        <v>686</v>
      </c>
      <c r="M47"/>
      <c r="N47" s="750">
        <v>1</v>
      </c>
      <c r="O47" s="753">
        <v>4</v>
      </c>
      <c r="P47" s="754">
        <v>1</v>
      </c>
      <c r="Q47" s="755"/>
      <c r="R47" s="750">
        <v>4</v>
      </c>
      <c r="S47" s="4245">
        <v>2</v>
      </c>
      <c r="T47" s="754"/>
      <c r="U47" s="756"/>
      <c r="V47" s="750"/>
      <c r="W47" s="753"/>
      <c r="X47" s="753"/>
      <c r="Y47" s="753"/>
      <c r="Z47" s="753"/>
      <c r="AA47" s="753"/>
      <c r="AB47" s="753"/>
      <c r="AC47" s="757"/>
      <c r="AD47" s="758"/>
      <c r="AF47" s="760"/>
      <c r="AG47" s="760"/>
      <c r="AH47" s="760"/>
      <c r="AI47" s="760"/>
      <c r="AJ47" s="760"/>
      <c r="AK47" s="760"/>
      <c r="AL47" s="3780"/>
      <c r="AM47" s="763"/>
      <c r="AN47" s="763"/>
      <c r="AO47" s="760"/>
      <c r="AP47" s="760"/>
      <c r="AQ47" s="3726"/>
      <c r="AR47" s="777"/>
      <c r="AS47" s="834"/>
      <c r="AT47" s="835" t="s">
        <v>58</v>
      </c>
      <c r="AU47" s="834"/>
      <c r="AV47" s="834"/>
      <c r="AW47" s="834"/>
      <c r="AX47" s="836">
        <f ca="1">SUM(AX36:AX46)</f>
        <v>61.100878709197936</v>
      </c>
      <c r="AY47" s="836">
        <f ca="1">SUM(AY36:AY46)</f>
        <v>69.383595883104135</v>
      </c>
      <c r="AZ47" s="3783">
        <f ca="1">AY47*'Intermediate output'!$AY$155/'Intermediate output'!$F$205</f>
        <v>1.2229384911928407</v>
      </c>
      <c r="BA47" s="3783"/>
      <c r="BB47" s="760"/>
      <c r="BC47" s="723"/>
      <c r="BD47" s="817"/>
      <c r="BE47" s="817" t="s">
        <v>571</v>
      </c>
      <c r="BF47" s="818" t="s">
        <v>688</v>
      </c>
      <c r="BG47" s="830"/>
      <c r="BH47" s="830"/>
      <c r="BI47" s="830"/>
      <c r="BJ47" s="3798">
        <f ca="1">INDEX(INDIRECT(BJ$29&amp;"!Year.Matrix"),MATCH($BE47,INDIRECT(BJ$29&amp;"!Year.Modules"),0),MATCH("V.03",INDIRECT(BJ$29&amp;"!Year.Vectors"),0))/BJ$46</f>
        <v>4.7739736812162391E-2</v>
      </c>
      <c r="BK47" s="3798">
        <f ca="1">INDEX(INDIRECT(BK$29&amp;"!Year.Matrix"),MATCH($BE47,INDIRECT(BK$29&amp;"!Year.Modules"),0),MATCH("V.03",INDIRECT(BK$29&amp;"!Year.Vectors"),0))/BK$46</f>
        <v>9.0149071917814058E-2</v>
      </c>
      <c r="BL47" s="3798">
        <f ca="1">INDEX(INDIRECT(BL$29&amp;"!Year.Matrix"),MATCH($BE47,INDIRECT(BL$29&amp;"!Year.Modules"),0),MATCH("V.03",INDIRECT(BL$29&amp;"!Year.Vectors"),0))/BL$46</f>
        <v>0.19166797944647376</v>
      </c>
      <c r="BM47" s="3798">
        <f ca="1">INDEX(INDIRECT(BM$29&amp;"!Year.Matrix"),MATCH($BE47,INDIRECT(BM$29&amp;"!Year.Modules"),0),MATCH("V.03",INDIRECT(BM$29&amp;"!Year.Vectors"),0))/BM$46</f>
        <v>0.47290118836655126</v>
      </c>
      <c r="BN47" s="760"/>
      <c r="BQ47" s="4088" t="s">
        <v>974</v>
      </c>
      <c r="BR47" s="752" t="s">
        <v>684</v>
      </c>
      <c r="BS47" s="752" t="s">
        <v>685</v>
      </c>
      <c r="BT47" s="752" t="s">
        <v>686</v>
      </c>
    </row>
    <row r="48" spans="1:74" s="6" customFormat="1" ht="43.5">
      <c r="A48" s="4319"/>
      <c r="B48" s="4320"/>
      <c r="C48" s="765"/>
      <c r="D48" s="766" t="s">
        <v>689</v>
      </c>
      <c r="E48" s="750">
        <v>1</v>
      </c>
      <c r="F48" s="767" t="s">
        <v>238</v>
      </c>
      <c r="G48" s="2347" t="s">
        <v>3248</v>
      </c>
      <c r="H48"/>
      <c r="I48" s="752" t="s">
        <v>671</v>
      </c>
      <c r="J48" s="752" t="s">
        <v>975</v>
      </c>
      <c r="K48" s="752" t="s">
        <v>976</v>
      </c>
      <c r="L48" s="752" t="s">
        <v>3665</v>
      </c>
      <c r="M48"/>
      <c r="N48" s="750">
        <v>1</v>
      </c>
      <c r="O48" s="753">
        <v>4</v>
      </c>
      <c r="P48" s="754">
        <v>1</v>
      </c>
      <c r="Q48" s="755"/>
      <c r="R48" s="750">
        <v>4</v>
      </c>
      <c r="S48" s="4245">
        <v>4</v>
      </c>
      <c r="T48" s="754"/>
      <c r="U48" s="756"/>
      <c r="V48" s="750"/>
      <c r="W48" s="753"/>
      <c r="X48" s="753"/>
      <c r="Y48" s="753"/>
      <c r="Z48" s="753"/>
      <c r="AA48" s="753"/>
      <c r="AB48" s="753"/>
      <c r="AC48" s="757"/>
      <c r="AD48" s="758"/>
      <c r="AF48" s="760"/>
      <c r="AG48" s="760"/>
      <c r="AH48" s="760"/>
      <c r="AI48" s="760"/>
      <c r="AJ48" s="760"/>
      <c r="AK48" s="760"/>
      <c r="AL48" s="3780"/>
      <c r="AM48" s="763"/>
      <c r="AN48" s="763"/>
      <c r="AO48" s="760"/>
      <c r="AP48" s="760"/>
      <c r="AQ48" s="3726"/>
      <c r="AR48" s="777"/>
      <c r="AS48" s="797"/>
      <c r="AT48" s="796" t="s">
        <v>687</v>
      </c>
      <c r="AU48" s="837"/>
      <c r="AV48" s="837"/>
      <c r="AW48" s="837"/>
      <c r="AX48" s="3784">
        <f ca="1">AX47/57.01</f>
        <v>1.0717572129310287</v>
      </c>
      <c r="AY48" s="838"/>
      <c r="AZ48" s="839"/>
      <c r="BA48" s="839"/>
      <c r="BB48" s="760"/>
      <c r="BC48" s="723"/>
      <c r="BD48" s="791"/>
      <c r="BE48" s="791" t="s">
        <v>544</v>
      </c>
      <c r="BF48" s="761" t="s">
        <v>691</v>
      </c>
      <c r="BG48" s="777"/>
      <c r="BH48" s="777"/>
      <c r="BI48" s="777"/>
      <c r="BJ48" s="3800">
        <f t="shared" ref="BJ48:BM51" ca="1" si="5">-INDEX(INDIRECT(BJ$29&amp;"!Year.Matrix"),MATCH($BE48,INDIRECT(BJ$29&amp;"!Year.Modules"),0),MATCH("V.03",INDIRECT(BJ$29&amp;"!Year.Vectors"),0))/BJ$46</f>
        <v>0</v>
      </c>
      <c r="BK48" s="3800">
        <f t="shared" ca="1" si="5"/>
        <v>0</v>
      </c>
      <c r="BL48" s="3800">
        <f t="shared" ca="1" si="5"/>
        <v>0</v>
      </c>
      <c r="BM48" s="3800">
        <f t="shared" ca="1" si="5"/>
        <v>0</v>
      </c>
      <c r="BN48" s="760"/>
      <c r="BP48" s="6" t="s">
        <v>5</v>
      </c>
      <c r="BQ48" s="752" t="s">
        <v>975</v>
      </c>
      <c r="BR48" s="752" t="s">
        <v>975</v>
      </c>
      <c r="BS48" s="752" t="s">
        <v>976</v>
      </c>
      <c r="BT48" s="752" t="s">
        <v>3663</v>
      </c>
    </row>
    <row r="49" spans="1:74" s="6" customFormat="1" ht="29">
      <c r="A49" s="4319"/>
      <c r="B49" s="4320"/>
      <c r="C49" s="765"/>
      <c r="D49" s="766" t="s">
        <v>692</v>
      </c>
      <c r="E49" s="750">
        <v>1</v>
      </c>
      <c r="F49" s="767" t="s">
        <v>238</v>
      </c>
      <c r="G49" s="2347" t="s">
        <v>3380</v>
      </c>
      <c r="H49"/>
      <c r="I49" s="752" t="s">
        <v>348</v>
      </c>
      <c r="J49" s="752" t="s">
        <v>349</v>
      </c>
      <c r="K49" s="752" t="s">
        <v>693</v>
      </c>
      <c r="L49" s="752" t="s">
        <v>694</v>
      </c>
      <c r="M49"/>
      <c r="N49" s="750">
        <v>1</v>
      </c>
      <c r="O49" s="753">
        <v>4</v>
      </c>
      <c r="P49" s="754">
        <v>1</v>
      </c>
      <c r="Q49" s="755"/>
      <c r="R49" s="750">
        <v>4</v>
      </c>
      <c r="S49" s="4245">
        <v>1</v>
      </c>
      <c r="T49" s="754"/>
      <c r="U49" s="756"/>
      <c r="V49" s="750"/>
      <c r="W49" s="753"/>
      <c r="X49" s="753"/>
      <c r="Y49" s="753"/>
      <c r="Z49" s="753"/>
      <c r="AA49" s="753"/>
      <c r="AB49" s="753"/>
      <c r="AC49" s="757"/>
      <c r="AD49" s="758"/>
      <c r="AF49" s="760"/>
      <c r="AG49" s="760"/>
      <c r="AH49" s="760"/>
      <c r="AI49" s="760"/>
      <c r="AJ49" s="760"/>
      <c r="AK49" s="760"/>
      <c r="AL49" s="3780"/>
      <c r="AM49" s="763"/>
      <c r="AN49" s="763"/>
      <c r="AO49" s="760"/>
      <c r="AP49" s="760"/>
      <c r="AQ49" s="3726"/>
      <c r="AR49" s="840"/>
      <c r="AS49" s="841" t="s">
        <v>690</v>
      </c>
      <c r="AT49" s="760"/>
      <c r="AU49" s="760"/>
      <c r="AV49" s="760"/>
      <c r="AW49" s="760"/>
      <c r="AX49" s="760"/>
      <c r="AY49" s="760"/>
      <c r="AZ49" s="760"/>
      <c r="BA49" s="760"/>
      <c r="BB49" s="760"/>
      <c r="BC49" s="723"/>
      <c r="BD49" s="791"/>
      <c r="BE49" s="791" t="s">
        <v>547</v>
      </c>
      <c r="BF49" s="761" t="s">
        <v>695</v>
      </c>
      <c r="BG49" s="777"/>
      <c r="BH49" s="777"/>
      <c r="BI49" s="777"/>
      <c r="BJ49" s="3800">
        <f t="shared" ca="1" si="5"/>
        <v>0.84295841374826719</v>
      </c>
      <c r="BK49" s="3800">
        <f t="shared" ca="1" si="5"/>
        <v>0.82286999784836323</v>
      </c>
      <c r="BL49" s="3800">
        <f t="shared" ca="1" si="5"/>
        <v>0.74505176474891577</v>
      </c>
      <c r="BM49" s="3800">
        <f t="shared" ca="1" si="5"/>
        <v>0</v>
      </c>
      <c r="BN49" s="760"/>
      <c r="BQ49" s="4088" t="s">
        <v>348</v>
      </c>
      <c r="BR49" s="752" t="s">
        <v>349</v>
      </c>
      <c r="BS49" s="4093" t="s">
        <v>693</v>
      </c>
      <c r="BT49" s="752" t="s">
        <v>694</v>
      </c>
    </row>
    <row r="50" spans="1:74" s="6" customFormat="1" ht="15.5">
      <c r="A50" s="4319"/>
      <c r="B50" s="4320" t="s">
        <v>696</v>
      </c>
      <c r="C50" s="749" t="s">
        <v>463</v>
      </c>
      <c r="D50" s="749" t="s">
        <v>464</v>
      </c>
      <c r="E50" s="750"/>
      <c r="F50" s="751"/>
      <c r="G50" s="751"/>
      <c r="H50" s="751"/>
      <c r="I50" s="751"/>
      <c r="J50" s="751"/>
      <c r="K50" s="751"/>
      <c r="L50" s="751"/>
      <c r="M50"/>
      <c r="N50" s="750"/>
      <c r="O50" s="753"/>
      <c r="P50" s="754"/>
      <c r="Q50" s="755"/>
      <c r="R50" s="750"/>
      <c r="S50" s="4245"/>
      <c r="T50" s="754"/>
      <c r="U50" s="756"/>
      <c r="V50" s="750"/>
      <c r="W50" s="753"/>
      <c r="X50" s="753"/>
      <c r="Y50" s="753"/>
      <c r="Z50" s="753"/>
      <c r="AA50" s="753"/>
      <c r="AB50" s="753"/>
      <c r="AC50" s="757"/>
      <c r="AD50" s="758"/>
      <c r="AF50" s="760"/>
      <c r="AG50" s="760"/>
      <c r="AH50" s="760"/>
      <c r="AI50" s="760"/>
      <c r="AJ50" s="760"/>
      <c r="AK50" s="760"/>
      <c r="AL50" s="3780"/>
      <c r="AM50" s="763"/>
      <c r="AN50" s="763"/>
      <c r="AO50" s="760"/>
      <c r="AP50" s="760"/>
      <c r="AQ50" s="3726"/>
      <c r="AR50" s="840"/>
      <c r="AS50" s="841" t="s">
        <v>2946</v>
      </c>
      <c r="AT50" s="760"/>
      <c r="AU50" s="760"/>
      <c r="AV50" s="760"/>
      <c r="AW50" s="760"/>
      <c r="AX50" s="760"/>
      <c r="AY50" s="760"/>
      <c r="AZ50" s="760"/>
      <c r="BA50" s="760"/>
      <c r="BB50" s="760"/>
      <c r="BC50" s="723"/>
      <c r="BD50" s="791"/>
      <c r="BE50" s="791" t="s">
        <v>468</v>
      </c>
      <c r="BF50" s="761" t="s">
        <v>674</v>
      </c>
      <c r="BG50" s="777"/>
      <c r="BH50" s="777"/>
      <c r="BI50" s="777"/>
      <c r="BJ50" s="3800">
        <f t="shared" ca="1" si="5"/>
        <v>0.12669635738448437</v>
      </c>
      <c r="BK50" s="3800">
        <f t="shared" ca="1" si="5"/>
        <v>0.14991710107669171</v>
      </c>
      <c r="BL50" s="3800">
        <f t="shared" ca="1" si="5"/>
        <v>0.22924535314349942</v>
      </c>
      <c r="BM50" s="3800">
        <f t="shared" ca="1" si="5"/>
        <v>1</v>
      </c>
      <c r="BN50" s="760"/>
      <c r="BQ50" s="4088"/>
      <c r="BR50" s="752"/>
      <c r="BS50" s="752"/>
      <c r="BT50" s="501"/>
    </row>
    <row r="51" spans="1:74" s="6" customFormat="1" ht="29">
      <c r="A51" s="4319"/>
      <c r="B51" s="4320"/>
      <c r="C51" s="766"/>
      <c r="D51" s="766" t="s">
        <v>697</v>
      </c>
      <c r="E51" s="750">
        <v>1</v>
      </c>
      <c r="F51" s="767">
        <v>4</v>
      </c>
      <c r="G51" s="2347" t="s">
        <v>3381</v>
      </c>
      <c r="H51"/>
      <c r="I51" s="752" t="s">
        <v>3440</v>
      </c>
      <c r="J51" s="752" t="s">
        <v>3170</v>
      </c>
      <c r="K51" s="752" t="s">
        <v>3171</v>
      </c>
      <c r="L51" s="752" t="s">
        <v>3172</v>
      </c>
      <c r="M51"/>
      <c r="N51" s="750">
        <v>1</v>
      </c>
      <c r="O51" s="753">
        <v>4</v>
      </c>
      <c r="P51" s="754">
        <v>1</v>
      </c>
      <c r="Q51" s="755"/>
      <c r="R51" s="750">
        <v>4</v>
      </c>
      <c r="S51" s="4245">
        <v>3</v>
      </c>
      <c r="T51" s="754"/>
      <c r="U51" s="756"/>
      <c r="V51" s="750"/>
      <c r="W51" s="753"/>
      <c r="X51" s="753"/>
      <c r="Y51" s="753"/>
      <c r="Z51" s="753"/>
      <c r="AA51" s="753"/>
      <c r="AB51" s="753"/>
      <c r="AC51" s="757"/>
      <c r="AD51" s="758"/>
      <c r="AF51" s="760"/>
      <c r="AG51" s="760"/>
      <c r="AH51" s="760"/>
      <c r="AI51" s="760"/>
      <c r="AJ51" s="760"/>
      <c r="AK51" s="760"/>
      <c r="AL51" s="3780"/>
      <c r="AM51" s="763"/>
      <c r="AN51" s="763"/>
      <c r="AO51" s="760"/>
      <c r="AP51" s="760"/>
      <c r="AQ51" s="3726"/>
      <c r="AR51" s="841"/>
      <c r="AS51" s="3785" t="s">
        <v>2945</v>
      </c>
      <c r="AT51" s="760"/>
      <c r="AU51" s="760"/>
      <c r="AV51" s="760"/>
      <c r="AW51" s="760"/>
      <c r="AX51" s="760"/>
      <c r="AY51" s="760"/>
      <c r="AZ51" s="760"/>
      <c r="BA51" s="760"/>
      <c r="BB51" s="760"/>
      <c r="BC51" s="723"/>
      <c r="BD51" s="791"/>
      <c r="BE51" s="791" t="s">
        <v>0</v>
      </c>
      <c r="BF51" s="761" t="s">
        <v>698</v>
      </c>
      <c r="BG51" s="777"/>
      <c r="BH51" s="777"/>
      <c r="BI51" s="777"/>
      <c r="BJ51" s="3800">
        <f t="shared" ca="1" si="5"/>
        <v>3.0222283536515303E-2</v>
      </c>
      <c r="BK51" s="3800">
        <f t="shared" ca="1" si="5"/>
        <v>2.7181623423890928E-2</v>
      </c>
      <c r="BL51" s="3800">
        <f t="shared" ca="1" si="5"/>
        <v>2.570288210758474E-2</v>
      </c>
      <c r="BM51" s="3800">
        <f t="shared" ca="1" si="5"/>
        <v>0</v>
      </c>
      <c r="BN51" s="760"/>
      <c r="BQ51" s="4088" t="s">
        <v>3632</v>
      </c>
      <c r="BR51" s="752" t="s">
        <v>3631</v>
      </c>
      <c r="BS51" s="752" t="s">
        <v>3633</v>
      </c>
      <c r="BT51" s="752" t="s">
        <v>3634</v>
      </c>
    </row>
    <row r="52" spans="1:74" s="6" customFormat="1" ht="22.5">
      <c r="A52" s="4319"/>
      <c r="B52" s="4320"/>
      <c r="C52" s="766"/>
      <c r="D52" s="766" t="s">
        <v>699</v>
      </c>
      <c r="E52" s="750">
        <v>1</v>
      </c>
      <c r="F52" s="767" t="s">
        <v>669</v>
      </c>
      <c r="G52" s="2347" t="s">
        <v>3655</v>
      </c>
      <c r="H52"/>
      <c r="I52" s="752" t="s">
        <v>2919</v>
      </c>
      <c r="J52" s="752" t="s">
        <v>700</v>
      </c>
      <c r="K52" s="752" t="s">
        <v>671</v>
      </c>
      <c r="L52" s="752" t="s">
        <v>671</v>
      </c>
      <c r="M52"/>
      <c r="N52" s="750">
        <v>1</v>
      </c>
      <c r="O52" s="753">
        <v>2</v>
      </c>
      <c r="P52" s="754">
        <v>1</v>
      </c>
      <c r="Q52" s="755"/>
      <c r="R52" s="750">
        <v>2</v>
      </c>
      <c r="S52" s="4245">
        <v>1</v>
      </c>
      <c r="T52" s="754"/>
      <c r="U52" s="756"/>
      <c r="V52" s="750"/>
      <c r="W52" s="753"/>
      <c r="X52" s="753"/>
      <c r="Y52" s="753"/>
      <c r="Z52" s="753"/>
      <c r="AA52" s="753"/>
      <c r="AB52" s="753"/>
      <c r="AC52" s="757"/>
      <c r="AD52" s="758"/>
      <c r="AF52" s="760"/>
      <c r="AG52" s="760"/>
      <c r="AH52" s="760"/>
      <c r="AI52" s="760"/>
      <c r="AJ52" s="760"/>
      <c r="AK52" s="760"/>
      <c r="AL52" s="3780"/>
      <c r="AM52" s="763"/>
      <c r="AN52" s="763"/>
      <c r="AO52" s="760"/>
      <c r="AP52" s="760"/>
      <c r="AQ52" s="3726"/>
      <c r="AR52" s="760"/>
      <c r="AS52" s="760"/>
      <c r="AT52" s="760"/>
      <c r="AU52" s="760"/>
      <c r="AV52" s="760"/>
      <c r="AW52" s="760"/>
      <c r="AX52" s="760"/>
      <c r="AY52" s="3780"/>
      <c r="AZ52" s="760"/>
      <c r="BA52" s="760"/>
      <c r="BB52" s="760"/>
      <c r="BC52" s="723"/>
      <c r="BD52" s="788"/>
      <c r="BE52" s="788"/>
      <c r="BF52" s="760"/>
      <c r="BG52" s="760"/>
      <c r="BH52" s="760"/>
      <c r="BI52" s="760"/>
      <c r="BJ52" s="760"/>
      <c r="BK52" s="760"/>
      <c r="BL52" s="760"/>
      <c r="BM52" s="760"/>
      <c r="BN52" s="760"/>
      <c r="BQ52" s="4088" t="s">
        <v>2919</v>
      </c>
      <c r="BR52" s="752" t="s">
        <v>700</v>
      </c>
      <c r="BS52" s="752" t="s">
        <v>700</v>
      </c>
      <c r="BT52" s="752" t="s">
        <v>700</v>
      </c>
      <c r="BV52" s="6" t="s">
        <v>5</v>
      </c>
    </row>
    <row r="53" spans="1:74" s="6" customFormat="1" ht="22.5">
      <c r="A53" s="842" t="s">
        <v>701</v>
      </c>
      <c r="B53" s="843"/>
      <c r="C53" s="798"/>
      <c r="D53" s="798"/>
      <c r="E53" s="799"/>
      <c r="F53" s="800"/>
      <c r="G53" s="800"/>
      <c r="H53" s="798"/>
      <c r="I53" s="798"/>
      <c r="J53" s="798"/>
      <c r="K53" s="798"/>
      <c r="L53" s="798"/>
      <c r="M53" s="798"/>
      <c r="N53" s="799"/>
      <c r="O53" s="801"/>
      <c r="P53" s="802"/>
      <c r="Q53" s="803"/>
      <c r="R53" s="799"/>
      <c r="S53" s="4246"/>
      <c r="T53" s="802"/>
      <c r="U53" s="804"/>
      <c r="V53" s="799"/>
      <c r="W53" s="805"/>
      <c r="X53" s="805"/>
      <c r="Y53" s="805"/>
      <c r="Z53" s="805"/>
      <c r="AA53" s="805"/>
      <c r="AB53" s="805"/>
      <c r="AC53" s="806"/>
      <c r="AD53" s="807"/>
      <c r="AF53" s="760"/>
      <c r="AG53" s="760"/>
      <c r="AH53" s="760"/>
      <c r="AI53" s="760"/>
      <c r="AJ53" s="760"/>
      <c r="AK53" s="760"/>
      <c r="AL53" s="3780"/>
      <c r="AM53" s="763"/>
      <c r="AN53" s="763"/>
      <c r="AO53" s="760"/>
      <c r="AP53" s="760"/>
      <c r="AQ53" s="3726"/>
      <c r="AR53" s="760"/>
      <c r="AS53" s="760"/>
      <c r="AT53" s="760"/>
      <c r="AU53" s="760" t="s">
        <v>5</v>
      </c>
      <c r="AV53" s="760"/>
      <c r="AW53" s="760"/>
      <c r="AX53" s="760"/>
      <c r="AY53" s="3780"/>
      <c r="AZ53" s="760"/>
      <c r="BA53" s="760"/>
      <c r="BB53" s="760"/>
      <c r="BC53" s="723"/>
      <c r="BD53" s="788"/>
      <c r="BE53" s="788"/>
      <c r="BF53" s="760"/>
      <c r="BG53" s="760"/>
      <c r="BH53" s="760"/>
      <c r="BI53" s="760"/>
      <c r="BJ53" s="760"/>
      <c r="BK53" s="760"/>
      <c r="BL53" s="760"/>
      <c r="BM53" s="760"/>
      <c r="BN53" s="760"/>
      <c r="BQ53" s="4088"/>
      <c r="BR53" s="752"/>
      <c r="BS53" s="752"/>
      <c r="BT53" s="752"/>
    </row>
    <row r="54" spans="1:74" s="6" customFormat="1" ht="51.75" customHeight="1">
      <c r="A54" s="844" t="s">
        <v>486</v>
      </c>
      <c r="B54" s="845"/>
      <c r="C54" s="749" t="s">
        <v>485</v>
      </c>
      <c r="D54" s="766" t="s">
        <v>486</v>
      </c>
      <c r="E54" s="750">
        <v>1</v>
      </c>
      <c r="F54" s="751">
        <v>4</v>
      </c>
      <c r="G54" s="2347" t="s">
        <v>3657</v>
      </c>
      <c r="H54"/>
      <c r="I54" s="752" t="s">
        <v>702</v>
      </c>
      <c r="J54" s="752" t="s">
        <v>2940</v>
      </c>
      <c r="K54" s="752" t="s">
        <v>2941</v>
      </c>
      <c r="L54" s="752" t="s">
        <v>2942</v>
      </c>
      <c r="M54"/>
      <c r="N54" s="750">
        <v>1</v>
      </c>
      <c r="O54" s="753">
        <v>1</v>
      </c>
      <c r="P54" s="754">
        <v>1</v>
      </c>
      <c r="Q54" s="755"/>
      <c r="R54" s="750">
        <v>1</v>
      </c>
      <c r="S54" s="4245">
        <v>1</v>
      </c>
      <c r="T54" s="754"/>
      <c r="U54" s="756"/>
      <c r="V54" s="750"/>
      <c r="W54" s="753"/>
      <c r="X54" s="753"/>
      <c r="Y54" s="753"/>
      <c r="Z54" s="753"/>
      <c r="AA54" s="753"/>
      <c r="AB54" s="753"/>
      <c r="AC54" s="757"/>
      <c r="AD54" s="758"/>
      <c r="AE54"/>
      <c r="AF54" s="760"/>
      <c r="AG54" s="760"/>
      <c r="AH54" s="760"/>
      <c r="AI54" s="760"/>
      <c r="AJ54" s="760"/>
      <c r="AK54" s="760"/>
      <c r="AL54" s="3780"/>
      <c r="AM54" s="763"/>
      <c r="AN54" s="763"/>
      <c r="AO54" s="760"/>
      <c r="AP54" s="760"/>
      <c r="AQ54" s="3726"/>
      <c r="AR54" s="760"/>
      <c r="AS54" s="760"/>
      <c r="AT54" s="760"/>
      <c r="AU54" s="760"/>
      <c r="AV54" s="760"/>
      <c r="AW54" s="760"/>
      <c r="AX54" s="760"/>
      <c r="AY54" s="3780"/>
      <c r="AZ54" s="760"/>
      <c r="BA54" s="760"/>
      <c r="BB54" s="760"/>
      <c r="BC54" s="723"/>
      <c r="BD54" s="788"/>
      <c r="BE54" s="788"/>
      <c r="BF54" s="760"/>
      <c r="BG54" s="760"/>
      <c r="BH54" s="760"/>
      <c r="BI54" s="760"/>
      <c r="BJ54" s="760"/>
      <c r="BK54" s="760"/>
      <c r="BL54" s="760"/>
      <c r="BM54" s="760"/>
      <c r="BN54" s="760"/>
      <c r="BQ54" s="4088" t="s">
        <v>702</v>
      </c>
      <c r="BR54" s="752" t="s">
        <v>2940</v>
      </c>
      <c r="BS54" s="752" t="s">
        <v>2941</v>
      </c>
      <c r="BT54" s="752" t="s">
        <v>2942</v>
      </c>
    </row>
    <row r="55" spans="1:74" s="6" customFormat="1" ht="30.75" customHeight="1">
      <c r="A55" s="844" t="s">
        <v>703</v>
      </c>
      <c r="B55" s="846"/>
      <c r="C55" s="749" t="s">
        <v>560</v>
      </c>
      <c r="D55" s="766" t="s">
        <v>704</v>
      </c>
      <c r="E55" s="750">
        <v>1</v>
      </c>
      <c r="F55" s="751">
        <v>4</v>
      </c>
      <c r="G55" s="2347" t="s">
        <v>3800</v>
      </c>
      <c r="H55"/>
      <c r="I55" s="752" t="s">
        <v>3215</v>
      </c>
      <c r="J55" s="752" t="s">
        <v>3212</v>
      </c>
      <c r="K55" s="752" t="s">
        <v>3213</v>
      </c>
      <c r="L55" s="752" t="s">
        <v>3214</v>
      </c>
      <c r="M55"/>
      <c r="N55" s="750">
        <v>1</v>
      </c>
      <c r="O55" s="753">
        <v>1</v>
      </c>
      <c r="P55" s="754">
        <v>1</v>
      </c>
      <c r="Q55" s="755"/>
      <c r="R55" s="750">
        <v>4</v>
      </c>
      <c r="S55" s="4245">
        <v>4</v>
      </c>
      <c r="T55" s="754"/>
      <c r="U55" s="756"/>
      <c r="V55" s="750"/>
      <c r="W55" s="753"/>
      <c r="X55" s="753"/>
      <c r="Y55" s="753"/>
      <c r="Z55" s="753"/>
      <c r="AA55" s="753"/>
      <c r="AB55" s="753"/>
      <c r="AC55" s="757"/>
      <c r="AD55" s="758"/>
      <c r="AE55"/>
      <c r="AF55" s="760"/>
      <c r="AG55" s="760"/>
      <c r="AH55" s="760"/>
      <c r="AI55" s="760"/>
      <c r="AJ55" s="760"/>
      <c r="AK55" s="760"/>
      <c r="AL55" s="3780"/>
      <c r="AM55" s="763"/>
      <c r="AN55" s="763"/>
      <c r="AO55" s="760"/>
      <c r="AP55" s="760"/>
      <c r="AQ55" s="3726"/>
      <c r="AR55" s="760"/>
      <c r="AS55" s="760"/>
      <c r="AT55" s="760"/>
      <c r="AU55" s="760"/>
      <c r="AV55" s="760"/>
      <c r="AW55" s="760"/>
      <c r="AX55" s="760"/>
      <c r="AY55" s="3780"/>
      <c r="AZ55" s="760"/>
      <c r="BA55" s="760"/>
      <c r="BB55" s="760"/>
      <c r="BC55" s="723"/>
      <c r="BD55" s="788"/>
      <c r="BE55" s="788"/>
      <c r="BF55" s="760"/>
      <c r="BG55" s="760"/>
      <c r="BH55" s="760"/>
      <c r="BI55" s="760"/>
      <c r="BJ55" s="760"/>
      <c r="BK55" s="760"/>
      <c r="BL55" s="760"/>
      <c r="BM55" s="760"/>
      <c r="BN55" s="760"/>
      <c r="BQ55" s="4088" t="s">
        <v>3215</v>
      </c>
      <c r="BR55" s="752" t="s">
        <v>3212</v>
      </c>
      <c r="BS55" s="752" t="s">
        <v>3213</v>
      </c>
      <c r="BT55" s="752" t="s">
        <v>3214</v>
      </c>
    </row>
    <row r="56" spans="1:74" s="6" customFormat="1" ht="22.5">
      <c r="A56" s="844" t="s">
        <v>2709</v>
      </c>
      <c r="B56" s="789"/>
      <c r="C56" s="749" t="s">
        <v>507</v>
      </c>
      <c r="D56" s="766" t="s">
        <v>508</v>
      </c>
      <c r="E56" s="750">
        <v>1</v>
      </c>
      <c r="F56" s="751">
        <v>3</v>
      </c>
      <c r="G56" s="2347"/>
      <c r="H56"/>
      <c r="I56" s="752" t="s">
        <v>2327</v>
      </c>
      <c r="J56" s="752" t="s">
        <v>2328</v>
      </c>
      <c r="K56" s="752" t="s">
        <v>671</v>
      </c>
      <c r="L56" s="752" t="s">
        <v>671</v>
      </c>
      <c r="M56"/>
      <c r="N56" s="750">
        <v>1</v>
      </c>
      <c r="O56" s="753">
        <v>1</v>
      </c>
      <c r="P56" s="754">
        <v>1</v>
      </c>
      <c r="Q56" s="755"/>
      <c r="R56" s="750">
        <v>1</v>
      </c>
      <c r="S56" s="4245">
        <v>1</v>
      </c>
      <c r="T56" s="754"/>
      <c r="U56" s="756"/>
      <c r="V56" s="750"/>
      <c r="W56" s="753"/>
      <c r="X56" s="753"/>
      <c r="Y56" s="753"/>
      <c r="Z56" s="753"/>
      <c r="AA56" s="753"/>
      <c r="AB56" s="753"/>
      <c r="AC56" s="757"/>
      <c r="AD56" s="758"/>
      <c r="AE56"/>
      <c r="AF56" s="760"/>
      <c r="AG56" s="760"/>
      <c r="AH56" s="760"/>
      <c r="AI56" s="760"/>
      <c r="AJ56" s="760"/>
      <c r="AK56" s="760"/>
      <c r="AL56" s="3780"/>
      <c r="AM56" s="763"/>
      <c r="AN56" s="763"/>
      <c r="AO56" s="760"/>
      <c r="AP56" s="760"/>
      <c r="AQ56" s="3726"/>
      <c r="AR56" s="760"/>
      <c r="AS56" s="760"/>
      <c r="AT56" s="760"/>
      <c r="AU56" s="760"/>
      <c r="AV56" s="760"/>
      <c r="AW56" s="760"/>
      <c r="AX56" s="760"/>
      <c r="AY56" s="3780"/>
      <c r="AZ56" s="760"/>
      <c r="BA56" s="760"/>
      <c r="BB56" s="760"/>
      <c r="BC56" s="723"/>
      <c r="BD56" s="788"/>
      <c r="BE56" s="788"/>
      <c r="BF56" s="760"/>
      <c r="BG56" s="760"/>
      <c r="BH56" s="760"/>
      <c r="BI56" s="760"/>
      <c r="BJ56" s="760"/>
      <c r="BK56" s="760"/>
      <c r="BL56" s="760"/>
      <c r="BM56" s="760"/>
      <c r="BN56" s="760"/>
      <c r="BQ56" s="501" t="s">
        <v>3635</v>
      </c>
      <c r="BR56" s="501" t="s">
        <v>3635</v>
      </c>
      <c r="BS56" s="501" t="s">
        <v>3635</v>
      </c>
      <c r="BT56" s="501" t="s">
        <v>3635</v>
      </c>
    </row>
    <row r="57" spans="1:74" s="6" customFormat="1" ht="20.25" customHeight="1">
      <c r="A57" s="718" t="s">
        <v>705</v>
      </c>
      <c r="B57" s="411"/>
      <c r="E57" s="847"/>
      <c r="F57" s="848"/>
      <c r="G57" s="848"/>
      <c r="H57"/>
      <c r="J57" s="2384"/>
      <c r="L57" s="6" t="s">
        <v>3216</v>
      </c>
      <c r="M57" s="3971"/>
      <c r="N57" s="3971" t="s">
        <v>3217</v>
      </c>
      <c r="O57" s="3971"/>
      <c r="P57" s="3971"/>
      <c r="Q57" s="3971"/>
      <c r="R57" s="3971" t="s">
        <v>3218</v>
      </c>
      <c r="S57" s="3971" t="s">
        <v>3224</v>
      </c>
      <c r="T57" s="3971" t="s">
        <v>3219</v>
      </c>
      <c r="U57" s="3971" t="s">
        <v>3220</v>
      </c>
      <c r="V57" s="3971" t="s">
        <v>3220</v>
      </c>
      <c r="W57" s="3971" t="s">
        <v>3220</v>
      </c>
      <c r="X57" s="3971" t="s">
        <v>3220</v>
      </c>
      <c r="Y57" s="3971" t="s">
        <v>3220</v>
      </c>
      <c r="Z57" s="3971" t="s">
        <v>3220</v>
      </c>
      <c r="AA57" s="3971" t="s">
        <v>3220</v>
      </c>
      <c r="AB57" s="3971" t="s">
        <v>3220</v>
      </c>
      <c r="AC57"/>
      <c r="AD57"/>
      <c r="AE57"/>
      <c r="AF57" s="760"/>
      <c r="AG57" s="760"/>
      <c r="AH57" s="760"/>
      <c r="AI57" s="760"/>
      <c r="AJ57" s="760"/>
      <c r="AK57" s="760"/>
      <c r="AL57" s="3780"/>
      <c r="AM57" s="763"/>
      <c r="AN57" s="763"/>
      <c r="AO57" s="760"/>
      <c r="AP57" s="760"/>
      <c r="AQ57" s="3726"/>
      <c r="AR57" s="760"/>
      <c r="AS57" s="760"/>
      <c r="AT57" s="760"/>
      <c r="AU57" s="760"/>
      <c r="AV57" s="760"/>
      <c r="AW57" s="760"/>
      <c r="AX57" s="760"/>
      <c r="AY57" s="3780"/>
      <c r="AZ57" s="760"/>
      <c r="BA57" s="760"/>
      <c r="BB57" s="760"/>
      <c r="BC57" s="723"/>
      <c r="BD57" s="788"/>
      <c r="BE57" s="788"/>
      <c r="BF57" s="760"/>
      <c r="BG57" s="760"/>
      <c r="BH57" s="760"/>
      <c r="BI57" s="760"/>
      <c r="BJ57" s="760"/>
      <c r="BK57" s="760"/>
      <c r="BL57" s="760"/>
      <c r="BM57" s="760"/>
      <c r="BN57" s="760"/>
      <c r="BO57" s="850"/>
      <c r="BP57" s="850"/>
      <c r="BT57" s="6" t="s">
        <v>5</v>
      </c>
    </row>
    <row r="58" spans="1:74" s="6" customFormat="1" ht="20.25" customHeight="1">
      <c r="A58" s="411"/>
      <c r="B58" s="411"/>
      <c r="C58" s="851"/>
      <c r="D58" s="851"/>
      <c r="E58" s="852"/>
      <c r="F58" s="646"/>
      <c r="G58" s="646"/>
      <c r="H58"/>
      <c r="I58" s="6" t="s">
        <v>5</v>
      </c>
      <c r="K58" s="6" t="s">
        <v>5</v>
      </c>
      <c r="L58" s="6" t="s">
        <v>3221</v>
      </c>
      <c r="M58" s="39"/>
      <c r="N58" s="39" t="s">
        <v>3222</v>
      </c>
      <c r="O58" s="39" t="s">
        <v>3222</v>
      </c>
      <c r="P58" s="39" t="s">
        <v>3222</v>
      </c>
      <c r="Q58" s="39"/>
      <c r="R58" s="39" t="s">
        <v>3222</v>
      </c>
      <c r="S58" s="39" t="s">
        <v>3222</v>
      </c>
      <c r="T58" s="39" t="s">
        <v>3222</v>
      </c>
      <c r="U58" s="39" t="s">
        <v>3222</v>
      </c>
      <c r="V58" s="39" t="s">
        <v>3222</v>
      </c>
      <c r="W58" s="39" t="s">
        <v>3222</v>
      </c>
      <c r="X58" s="39" t="s">
        <v>3222</v>
      </c>
      <c r="Y58" s="39" t="s">
        <v>3222</v>
      </c>
      <c r="Z58" s="39" t="s">
        <v>3222</v>
      </c>
      <c r="AA58" s="39" t="s">
        <v>3222</v>
      </c>
      <c r="AB58" s="39" t="s">
        <v>3222</v>
      </c>
      <c r="AC58"/>
      <c r="AD58"/>
      <c r="AE58"/>
      <c r="AF58"/>
      <c r="AG58"/>
      <c r="AH58" s="3"/>
      <c r="AI58" s="3"/>
      <c r="AJ58" s="849"/>
      <c r="AK58" s="3"/>
      <c r="AL58" s="3"/>
      <c r="AM58" s="3"/>
      <c r="AN58" s="3"/>
      <c r="AO58" s="3"/>
      <c r="AQ58"/>
      <c r="AR58"/>
      <c r="BC58" s="723"/>
      <c r="BD58" s="723"/>
      <c r="BE58" s="850"/>
      <c r="BF58" s="850"/>
      <c r="BG58" s="850"/>
      <c r="BH58" s="850"/>
      <c r="BI58" s="850"/>
      <c r="BJ58" s="850"/>
      <c r="BK58" s="850"/>
      <c r="BL58" s="850"/>
      <c r="BM58" s="850"/>
      <c r="BN58" s="850"/>
      <c r="BO58" s="850"/>
      <c r="BP58" s="850"/>
    </row>
    <row r="59" spans="1:74" s="6" customFormat="1" ht="12" customHeight="1">
      <c r="A59" s="411"/>
      <c r="B59" s="411"/>
      <c r="E59" s="847" t="s">
        <v>5</v>
      </c>
      <c r="F59" s="848"/>
      <c r="G59" s="848"/>
      <c r="H59"/>
      <c r="I59"/>
      <c r="J59"/>
      <c r="K59"/>
      <c r="L59" s="752" t="s">
        <v>3223</v>
      </c>
      <c r="M59" s="39"/>
      <c r="N59" s="39" t="s">
        <v>3222</v>
      </c>
      <c r="O59" s="39" t="s">
        <v>3222</v>
      </c>
      <c r="P59" s="39" t="s">
        <v>3222</v>
      </c>
      <c r="Q59" s="39"/>
      <c r="R59" s="39" t="s">
        <v>3222</v>
      </c>
      <c r="S59" s="39" t="s">
        <v>3222</v>
      </c>
      <c r="T59" s="39" t="s">
        <v>3222</v>
      </c>
      <c r="U59" s="39" t="s">
        <v>3222</v>
      </c>
      <c r="V59" s="39" t="s">
        <v>3222</v>
      </c>
      <c r="W59" s="39" t="s">
        <v>3222</v>
      </c>
      <c r="X59" s="39" t="s">
        <v>3222</v>
      </c>
      <c r="Y59" s="39" t="s">
        <v>3222</v>
      </c>
      <c r="Z59" s="39" t="s">
        <v>3222</v>
      </c>
      <c r="AA59" s="39" t="s">
        <v>3222</v>
      </c>
      <c r="AB59" s="39" t="s">
        <v>3222</v>
      </c>
      <c r="AC59"/>
      <c r="AD59"/>
      <c r="AE59"/>
      <c r="AF59"/>
      <c r="AG59"/>
      <c r="AH59" s="3"/>
      <c r="AI59" s="3"/>
      <c r="AJ59" s="849"/>
      <c r="AK59" s="3"/>
      <c r="AL59" s="3"/>
      <c r="AM59" s="3"/>
      <c r="AN59" s="3"/>
      <c r="AO59" s="3"/>
      <c r="AQ59"/>
      <c r="AR59"/>
      <c r="AS59" s="850"/>
      <c r="AT59" s="850"/>
      <c r="AU59" s="850"/>
      <c r="AV59" s="850"/>
      <c r="AW59" s="850"/>
      <c r="AX59" s="850"/>
      <c r="AY59" s="850"/>
      <c r="AZ59" s="850"/>
      <c r="BA59" s="850"/>
      <c r="BB59" s="850"/>
      <c r="BC59" s="723"/>
      <c r="BD59" s="723"/>
      <c r="BE59" s="850" t="s">
        <v>5</v>
      </c>
      <c r="BF59" s="850"/>
      <c r="BG59" s="850"/>
      <c r="BH59" s="850"/>
      <c r="BI59" s="850"/>
      <c r="BJ59" s="850"/>
      <c r="BK59" s="850"/>
      <c r="BL59" s="850"/>
      <c r="BM59" s="850"/>
      <c r="BN59" s="850"/>
      <c r="BQ59"/>
      <c r="BR59"/>
      <c r="BS59"/>
      <c r="BT59"/>
    </row>
    <row r="60" spans="1:74" s="6" customFormat="1" ht="21" customHeight="1">
      <c r="A60" s="411"/>
      <c r="B60" s="1322" t="s">
        <v>5</v>
      </c>
      <c r="E60" s="847" t="s">
        <v>5</v>
      </c>
      <c r="F60" s="848"/>
      <c r="G60" s="848"/>
      <c r="H60"/>
      <c r="I60"/>
      <c r="J60"/>
      <c r="K60"/>
      <c r="L60"/>
      <c r="M60"/>
      <c r="N60"/>
      <c r="O60"/>
      <c r="P60"/>
      <c r="Q60"/>
      <c r="R60"/>
      <c r="S60"/>
      <c r="T60"/>
      <c r="U60"/>
      <c r="V60"/>
      <c r="W60"/>
      <c r="X60"/>
      <c r="Y60"/>
      <c r="Z60"/>
      <c r="AA60"/>
      <c r="AB60"/>
      <c r="AC60"/>
      <c r="AD60"/>
      <c r="AE60"/>
      <c r="AQ60"/>
      <c r="AR60"/>
      <c r="AS60" s="850"/>
      <c r="AT60" s="850"/>
      <c r="AU60" s="850"/>
      <c r="AV60" s="850"/>
      <c r="AW60" s="850"/>
      <c r="AX60" s="850"/>
      <c r="AY60" s="850"/>
      <c r="AZ60" s="850"/>
      <c r="BA60" s="850"/>
      <c r="BB60" s="850"/>
      <c r="BC60" s="723"/>
      <c r="BD60" s="723"/>
      <c r="BE60" s="850"/>
      <c r="BF60" s="850"/>
      <c r="BG60" s="850"/>
      <c r="BH60" s="850"/>
      <c r="BI60" s="850"/>
      <c r="BJ60" s="850"/>
      <c r="BK60" s="850"/>
      <c r="BL60" s="850"/>
      <c r="BM60" s="850"/>
      <c r="BQ60"/>
      <c r="BR60"/>
      <c r="BS60"/>
      <c r="BT60"/>
    </row>
    <row r="61" spans="1:74" s="6" customFormat="1" ht="20.25" customHeight="1">
      <c r="A61" s="411"/>
      <c r="B61" s="411"/>
      <c r="E61" s="847"/>
      <c r="F61" s="848"/>
      <c r="G61" s="848"/>
      <c r="H61"/>
      <c r="I61"/>
      <c r="J61"/>
      <c r="K61"/>
      <c r="L61"/>
      <c r="M61"/>
      <c r="N61"/>
      <c r="O61"/>
      <c r="P61"/>
      <c r="Q61"/>
      <c r="R61"/>
      <c r="S61"/>
      <c r="T61"/>
      <c r="U61"/>
      <c r="V61"/>
      <c r="W61"/>
      <c r="X61"/>
      <c r="Y61"/>
      <c r="Z61"/>
      <c r="AA61"/>
      <c r="AB61"/>
      <c r="AC61"/>
      <c r="AD61"/>
      <c r="AE61"/>
      <c r="AQ61"/>
      <c r="AR61"/>
      <c r="AT61" s="850"/>
      <c r="AU61" s="850"/>
      <c r="AV61" s="850"/>
      <c r="AW61" s="850"/>
      <c r="AX61" s="850"/>
      <c r="AY61" s="850"/>
      <c r="AZ61" s="850"/>
      <c r="BA61" s="850"/>
      <c r="BB61" s="850"/>
      <c r="BC61" s="723"/>
      <c r="BD61" s="723"/>
      <c r="BQ61"/>
      <c r="BR61"/>
      <c r="BS61"/>
      <c r="BT61"/>
    </row>
    <row r="62" spans="1:74" s="6" customFormat="1" ht="20.25" customHeight="1">
      <c r="A62" s="411"/>
      <c r="B62" s="411"/>
      <c r="D62" s="6" t="s">
        <v>5</v>
      </c>
      <c r="E62" s="847"/>
      <c r="F62" s="848"/>
      <c r="G62" s="848"/>
      <c r="H62"/>
      <c r="I62"/>
      <c r="J62"/>
      <c r="K62"/>
      <c r="L62"/>
      <c r="M62"/>
      <c r="N62"/>
      <c r="O62"/>
      <c r="P62"/>
      <c r="AE62"/>
      <c r="AQ62"/>
      <c r="AR62"/>
      <c r="BC62" s="723"/>
      <c r="BD62" s="723"/>
      <c r="BE62" s="850"/>
      <c r="BF62" s="850"/>
      <c r="BO62" s="850"/>
      <c r="BP62" s="850"/>
      <c r="BQ62"/>
      <c r="BR62"/>
      <c r="BS62"/>
      <c r="BT62"/>
    </row>
    <row r="63" spans="1:74" s="6" customFormat="1" ht="20.25" customHeight="1">
      <c r="A63" s="411"/>
      <c r="B63" s="411"/>
      <c r="E63" s="847"/>
      <c r="F63" s="848"/>
      <c r="G63" s="848"/>
      <c r="H63"/>
      <c r="I63"/>
      <c r="J63"/>
      <c r="K63"/>
      <c r="L63"/>
      <c r="M63"/>
      <c r="N63"/>
      <c r="O63"/>
      <c r="P63"/>
      <c r="AE63"/>
      <c r="AQ63"/>
      <c r="AR63"/>
      <c r="BC63" s="723"/>
      <c r="BD63" s="723"/>
      <c r="BE63" s="850"/>
      <c r="BF63" s="850"/>
      <c r="BO63" s="850"/>
      <c r="BP63" s="850"/>
      <c r="BQ63"/>
      <c r="BR63"/>
      <c r="BS63"/>
      <c r="BT63"/>
    </row>
    <row r="64" spans="1:74" s="6" customFormat="1">
      <c r="A64" s="853"/>
      <c r="B64" s="411"/>
      <c r="F64" s="848"/>
      <c r="G64" s="848"/>
      <c r="X64" s="6" t="s">
        <v>5</v>
      </c>
      <c r="AQ64"/>
      <c r="AR64"/>
      <c r="BC64" s="723"/>
      <c r="BD64" s="723"/>
      <c r="BF64" s="850"/>
      <c r="BO64" s="850"/>
      <c r="BP64" s="850"/>
    </row>
    <row r="65" spans="1:72" s="6" customFormat="1">
      <c r="A65" s="853"/>
      <c r="B65" s="853"/>
      <c r="F65" s="848"/>
      <c r="G65" s="848"/>
      <c r="AQ65"/>
      <c r="AR65"/>
      <c r="BC65" s="723"/>
      <c r="BD65" s="723"/>
    </row>
    <row r="66" spans="1:72" s="6" customFormat="1">
      <c r="A66" s="853"/>
      <c r="B66" s="411"/>
      <c r="F66" s="848"/>
      <c r="G66" s="848"/>
      <c r="AQ66"/>
      <c r="AR66"/>
      <c r="BC66" s="723"/>
      <c r="BD66" s="723"/>
    </row>
    <row r="67" spans="1:72" s="6" customFormat="1">
      <c r="A67" s="411"/>
      <c r="B67" s="411"/>
      <c r="E67" s="6" t="s">
        <v>5</v>
      </c>
      <c r="F67" s="848"/>
      <c r="G67" s="848"/>
      <c r="Q67"/>
      <c r="R67"/>
      <c r="S67"/>
      <c r="T67"/>
      <c r="U67"/>
      <c r="V67"/>
      <c r="W67"/>
      <c r="X67"/>
      <c r="Y67"/>
      <c r="Z67"/>
      <c r="AA67"/>
      <c r="AB67"/>
      <c r="AC67"/>
      <c r="AD67"/>
      <c r="AQ67"/>
      <c r="AR67"/>
      <c r="BC67" s="723"/>
      <c r="BD67" s="723"/>
    </row>
    <row r="68" spans="1:72" s="6" customFormat="1">
      <c r="A68" s="411"/>
      <c r="B68" s="853"/>
      <c r="F68" s="848"/>
      <c r="G68" s="848"/>
      <c r="Q68"/>
      <c r="R68"/>
      <c r="S68"/>
      <c r="T68"/>
      <c r="U68"/>
      <c r="V68"/>
      <c r="W68"/>
      <c r="X68"/>
      <c r="Y68"/>
      <c r="Z68"/>
      <c r="AA68"/>
      <c r="AB68"/>
      <c r="AC68"/>
      <c r="AD68"/>
      <c r="AQ68"/>
      <c r="AR68"/>
      <c r="BC68" s="723"/>
      <c r="BD68" s="723"/>
    </row>
    <row r="69" spans="1:72" s="6" customFormat="1">
      <c r="A69" s="853"/>
      <c r="B69" s="853"/>
      <c r="C69"/>
      <c r="D69"/>
      <c r="E69" s="847"/>
      <c r="F69" s="720"/>
      <c r="G69" s="3970"/>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23"/>
      <c r="BD69" s="723"/>
      <c r="BQ69"/>
      <c r="BR69"/>
      <c r="BS69"/>
      <c r="BT69"/>
    </row>
    <row r="70" spans="1:72" s="6" customFormat="1">
      <c r="A70" s="853"/>
      <c r="B70" s="853"/>
      <c r="C70"/>
      <c r="D70"/>
      <c r="E70" s="847"/>
      <c r="F70" s="720"/>
      <c r="G70" s="39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23"/>
      <c r="BD70" s="723"/>
      <c r="BQ70"/>
      <c r="BR70"/>
      <c r="BS70"/>
      <c r="BT70"/>
    </row>
    <row r="71" spans="1:72" s="6" customFormat="1">
      <c r="A71" s="853"/>
      <c r="B71" s="411"/>
      <c r="C71"/>
      <c r="D71"/>
      <c r="E71" s="847"/>
      <c r="F71" s="720"/>
      <c r="G71" s="3970"/>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23"/>
      <c r="BD71" s="723"/>
      <c r="BQ71"/>
      <c r="BR71"/>
      <c r="BS71"/>
      <c r="BT71"/>
    </row>
    <row r="72" spans="1:72" s="6" customFormat="1">
      <c r="A72" s="411"/>
      <c r="B72" s="411"/>
      <c r="C72"/>
      <c r="D72"/>
      <c r="E72" s="847"/>
      <c r="F72" s="720"/>
      <c r="G72" s="3970"/>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23"/>
      <c r="BD72" s="723"/>
      <c r="BQ72"/>
      <c r="BR72"/>
      <c r="BS72"/>
      <c r="BT72"/>
    </row>
    <row r="73" spans="1:72" s="6" customFormat="1">
      <c r="A73" s="411"/>
      <c r="B73" s="411"/>
      <c r="C73"/>
      <c r="D73"/>
      <c r="E73" s="847"/>
      <c r="F73" s="720"/>
      <c r="G73" s="3970"/>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23"/>
      <c r="BD73" s="723"/>
      <c r="BQ73"/>
      <c r="BR73"/>
      <c r="BS73"/>
      <c r="BT73"/>
    </row>
    <row r="74" spans="1:72">
      <c r="BE74" s="6"/>
      <c r="BF74" s="6"/>
      <c r="BG74" s="6"/>
      <c r="BH74" s="6"/>
      <c r="BI74" s="6"/>
      <c r="BJ74" s="6"/>
      <c r="BK74" s="6"/>
      <c r="BL74" s="6"/>
      <c r="BM74" s="6"/>
    </row>
  </sheetData>
  <mergeCells count="16">
    <mergeCell ref="BD2:BN2"/>
    <mergeCell ref="A5:A19"/>
    <mergeCell ref="B5:B18"/>
    <mergeCell ref="BD16:BN16"/>
    <mergeCell ref="A20:A26"/>
    <mergeCell ref="B20:B25"/>
    <mergeCell ref="A43:A52"/>
    <mergeCell ref="B43:B45"/>
    <mergeCell ref="B46:B49"/>
    <mergeCell ref="B50:B52"/>
    <mergeCell ref="A28:A34"/>
    <mergeCell ref="B28:B32"/>
    <mergeCell ref="B33:B34"/>
    <mergeCell ref="A35:A42"/>
    <mergeCell ref="B35:B39"/>
    <mergeCell ref="B40:B42"/>
  </mergeCells>
  <conditionalFormatting sqref="I5:L5 I54:L56 I41:L42 I44:L45 I47:L49 I51:L52 I21:L21 I23:L25 I29:L33 I18:L18 I15:L16 I8:L12 I35:L39">
    <cfRule type="expression" dxfId="3168" priority="843" stopIfTrue="1">
      <formula>$E5&gt;=4</formula>
    </cfRule>
  </conditionalFormatting>
  <conditionalFormatting sqref="I5 I54:I56 I35:I39 I41:I42 I44:I45 I47:I49 I51:I52 I21 I23:I25 I29:I33 I18 I15:I16 I8:I12">
    <cfRule type="expression" dxfId="3167" priority="631">
      <formula>$E5=1</formula>
    </cfRule>
  </conditionalFormatting>
  <conditionalFormatting sqref="J5 J54:J56 J35:J39 J41:J42 J44:J45 J47:J49 J51:J52 J21 J23:J25 J29:J33 J18 J15:J16 J8:J12">
    <cfRule type="expression" dxfId="3166" priority="630">
      <formula>$E5=2</formula>
    </cfRule>
  </conditionalFormatting>
  <conditionalFormatting sqref="K5 K54:K56 K35:K39 K41:K42 K44:K45 K47:K49 K51:K52 K21 K23:K25 K29:K33 K18 K15:K16 K8:K12">
    <cfRule type="expression" dxfId="3165" priority="629">
      <formula>$E5=3</formula>
    </cfRule>
  </conditionalFormatting>
  <conditionalFormatting sqref="L5 L54:L56 L41:L42 L44:L45 L47:L49 L51:L52 L21 L23:L25 L29:L33 L18 L15:L16 L8:L12 L35:L39">
    <cfRule type="expression" dxfId="3164" priority="628">
      <formula>$E5=4</formula>
    </cfRule>
  </conditionalFormatting>
  <conditionalFormatting sqref="I5:L5 I54:L56 I41:L42 I44:L45 I47:L49 I51:L52 I21:L21 I23:L25 I29:L33 I18:L18 I15:L16 I8:L12 I35:L39">
    <cfRule type="expression" dxfId="3163" priority="603" stopIfTrue="1">
      <formula>$E5&gt;=4</formula>
    </cfRule>
  </conditionalFormatting>
  <conditionalFormatting sqref="I5 I54:I56 I35:I39 I41:I42 I44:I45 I47:I49 I51:I52 I21 I23:I25 I29:I33 I18 I15:I16 I8:I12">
    <cfRule type="expression" dxfId="3162" priority="602" stopIfTrue="1">
      <formula>$E5&gt;=1</formula>
    </cfRule>
  </conditionalFormatting>
  <conditionalFormatting sqref="I5:K5 I54:K56 I35:K39 I41:K42 I44:K45 I47:K49 I51:K52 I21:K21 I23:K25 I29:K33 I18:K18 I15:K16 I8:K12">
    <cfRule type="expression" dxfId="3161" priority="601" stopIfTrue="1">
      <formula>$E5&gt;=3</formula>
    </cfRule>
  </conditionalFormatting>
  <conditionalFormatting sqref="I5:J5 I54:J56 I35:J39 I41:J42 I44:J45 I47:J49 I51:J52 I21:J21 I23:J25 I29:J33 I18:J18 I15:J16 I8:J12">
    <cfRule type="expression" dxfId="3160" priority="600" stopIfTrue="1">
      <formula>$E5&gt;=2</formula>
    </cfRule>
  </conditionalFormatting>
  <conditionalFormatting sqref="I5:L5 I54:L56 I41:L42 I44:L45 I47:L49 I51:L52 I21:L21 I23:L25 I29:L33 I18:L18 I15:L16 I8:L12 I35:L39">
    <cfRule type="expression" dxfId="3159" priority="599" stopIfTrue="1">
      <formula>$E5&gt;=4</formula>
    </cfRule>
  </conditionalFormatting>
  <conditionalFormatting sqref="I5 I54:I56 I35:I39 I41:I42 I44:I45 I47:I49 I51:I52 I21 I23:I25 I29:I33 I18 I15:I16 I8:I12">
    <cfRule type="expression" dxfId="3158" priority="598">
      <formula>$E5=1</formula>
    </cfRule>
  </conditionalFormatting>
  <conditionalFormatting sqref="J5 J54:J56 J35:J39 J41:J42 J44:J45 J47:J49 J51:J52 J21 J23:J25 J29:J33 J18 J15:J16 J8:J12">
    <cfRule type="expression" dxfId="3157" priority="597">
      <formula>$E5=2</formula>
    </cfRule>
  </conditionalFormatting>
  <conditionalFormatting sqref="K5 K54:K56 K35:K39 K41:K42 K44:K45 K47:K49 K51:K52 K21 K23:K25 K29:K33 K18 K15:K16 K8:K12">
    <cfRule type="expression" dxfId="3156" priority="596">
      <formula>$E5=3</formula>
    </cfRule>
  </conditionalFormatting>
  <conditionalFormatting sqref="L5 L54:L56 L41:L42 L44:L45 L47:L49 L51:L52 L21 L23:L25 L29:L33 L18 L15:L16 L8:L12 L35:L39">
    <cfRule type="expression" dxfId="3155" priority="595">
      <formula>$E5=4</formula>
    </cfRule>
  </conditionalFormatting>
  <conditionalFormatting sqref="I19:L19">
    <cfRule type="expression" dxfId="3154" priority="107" stopIfTrue="1">
      <formula>$E19&gt;=4</formula>
    </cfRule>
  </conditionalFormatting>
  <conditionalFormatting sqref="I19">
    <cfRule type="expression" dxfId="3153" priority="106">
      <formula>$E19=1</formula>
    </cfRule>
  </conditionalFormatting>
  <conditionalFormatting sqref="J19">
    <cfRule type="expression" dxfId="3152" priority="105">
      <formula>$E19=2</formula>
    </cfRule>
  </conditionalFormatting>
  <conditionalFormatting sqref="K19">
    <cfRule type="expression" dxfId="3151" priority="104">
      <formula>$E19=3</formula>
    </cfRule>
  </conditionalFormatting>
  <conditionalFormatting sqref="L19">
    <cfRule type="expression" dxfId="3150" priority="103">
      <formula>$E19=4</formula>
    </cfRule>
  </conditionalFormatting>
  <conditionalFormatting sqref="I19:L19">
    <cfRule type="expression" dxfId="3149" priority="102" stopIfTrue="1">
      <formula>$E19&gt;=4</formula>
    </cfRule>
  </conditionalFormatting>
  <conditionalFormatting sqref="I19">
    <cfRule type="expression" dxfId="3148" priority="101" stopIfTrue="1">
      <formula>$E19&gt;=1</formula>
    </cfRule>
  </conditionalFormatting>
  <conditionalFormatting sqref="I19:K19">
    <cfRule type="expression" dxfId="3147" priority="100" stopIfTrue="1">
      <formula>$E19&gt;=3</formula>
    </cfRule>
  </conditionalFormatting>
  <conditionalFormatting sqref="I19:J19">
    <cfRule type="expression" dxfId="3146" priority="99" stopIfTrue="1">
      <formula>$E19&gt;=2</formula>
    </cfRule>
  </conditionalFormatting>
  <conditionalFormatting sqref="I19:L19">
    <cfRule type="expression" dxfId="3145" priority="98" stopIfTrue="1">
      <formula>$E19&gt;=4</formula>
    </cfRule>
  </conditionalFormatting>
  <conditionalFormatting sqref="I19">
    <cfRule type="expression" dxfId="3144" priority="97">
      <formula>$E19=1</formula>
    </cfRule>
  </conditionalFormatting>
  <conditionalFormatting sqref="J19">
    <cfRule type="expression" dxfId="3143" priority="96">
      <formula>$E19=2</formula>
    </cfRule>
  </conditionalFormatting>
  <conditionalFormatting sqref="K19">
    <cfRule type="expression" dxfId="3142" priority="95">
      <formula>$E19=3</formula>
    </cfRule>
  </conditionalFormatting>
  <conditionalFormatting sqref="L19">
    <cfRule type="expression" dxfId="3141" priority="94">
      <formula>$E19=4</formula>
    </cfRule>
  </conditionalFormatting>
  <conditionalFormatting sqref="I26:L26">
    <cfRule type="expression" dxfId="3140" priority="93" stopIfTrue="1">
      <formula>$E26&gt;=4</formula>
    </cfRule>
  </conditionalFormatting>
  <conditionalFormatting sqref="I26">
    <cfRule type="expression" dxfId="3139" priority="92">
      <formula>$E26=1</formula>
    </cfRule>
  </conditionalFormatting>
  <conditionalFormatting sqref="J26">
    <cfRule type="expression" dxfId="3138" priority="91">
      <formula>$E26=2</formula>
    </cfRule>
  </conditionalFormatting>
  <conditionalFormatting sqref="K26">
    <cfRule type="expression" dxfId="3137" priority="90">
      <formula>$E26=3</formula>
    </cfRule>
  </conditionalFormatting>
  <conditionalFormatting sqref="L26">
    <cfRule type="expression" dxfId="3136" priority="89">
      <formula>$E26=4</formula>
    </cfRule>
  </conditionalFormatting>
  <conditionalFormatting sqref="I26:L26">
    <cfRule type="expression" dxfId="3135" priority="88" stopIfTrue="1">
      <formula>$E26&gt;=4</formula>
    </cfRule>
  </conditionalFormatting>
  <conditionalFormatting sqref="I26">
    <cfRule type="expression" dxfId="3134" priority="87" stopIfTrue="1">
      <formula>$E26&gt;=1</formula>
    </cfRule>
  </conditionalFormatting>
  <conditionalFormatting sqref="I26:K26">
    <cfRule type="expression" dxfId="3133" priority="86" stopIfTrue="1">
      <formula>$E26&gt;=3</formula>
    </cfRule>
  </conditionalFormatting>
  <conditionalFormatting sqref="I26:J26">
    <cfRule type="expression" dxfId="3132" priority="85" stopIfTrue="1">
      <formula>$E26&gt;=2</formula>
    </cfRule>
  </conditionalFormatting>
  <conditionalFormatting sqref="I26:L26">
    <cfRule type="expression" dxfId="3131" priority="84" stopIfTrue="1">
      <formula>$E26&gt;=4</formula>
    </cfRule>
  </conditionalFormatting>
  <conditionalFormatting sqref="I26">
    <cfRule type="expression" dxfId="3130" priority="83">
      <formula>$E26=1</formula>
    </cfRule>
  </conditionalFormatting>
  <conditionalFormatting sqref="J26">
    <cfRule type="expression" dxfId="3129" priority="82">
      <formula>$E26=2</formula>
    </cfRule>
  </conditionalFormatting>
  <conditionalFormatting sqref="K26">
    <cfRule type="expression" dxfId="3128" priority="81">
      <formula>$E26=3</formula>
    </cfRule>
  </conditionalFormatting>
  <conditionalFormatting sqref="L26">
    <cfRule type="expression" dxfId="3127" priority="80">
      <formula>$E26=4</formula>
    </cfRule>
  </conditionalFormatting>
  <conditionalFormatting sqref="I22:L22">
    <cfRule type="expression" dxfId="3126" priority="79" stopIfTrue="1">
      <formula>$E22&gt;=4</formula>
    </cfRule>
  </conditionalFormatting>
  <conditionalFormatting sqref="I22">
    <cfRule type="expression" dxfId="3125" priority="78">
      <formula>$E22=1</formula>
    </cfRule>
  </conditionalFormatting>
  <conditionalFormatting sqref="J22">
    <cfRule type="expression" dxfId="3124" priority="77">
      <formula>$E22=2</formula>
    </cfRule>
  </conditionalFormatting>
  <conditionalFormatting sqref="K22">
    <cfRule type="expression" dxfId="3123" priority="76">
      <formula>$E22=3</formula>
    </cfRule>
  </conditionalFormatting>
  <conditionalFormatting sqref="L22">
    <cfRule type="expression" dxfId="3122" priority="75">
      <formula>$E22=4</formula>
    </cfRule>
  </conditionalFormatting>
  <conditionalFormatting sqref="I22:L22">
    <cfRule type="expression" dxfId="3121" priority="74" stopIfTrue="1">
      <formula>$E22&gt;=4</formula>
    </cfRule>
  </conditionalFormatting>
  <conditionalFormatting sqref="I22">
    <cfRule type="expression" dxfId="3120" priority="73" stopIfTrue="1">
      <formula>$E22&gt;=1</formula>
    </cfRule>
  </conditionalFormatting>
  <conditionalFormatting sqref="I22:K22">
    <cfRule type="expression" dxfId="3119" priority="72" stopIfTrue="1">
      <formula>$E22&gt;=3</formula>
    </cfRule>
  </conditionalFormatting>
  <conditionalFormatting sqref="I22:J22">
    <cfRule type="expression" dxfId="3118" priority="71" stopIfTrue="1">
      <formula>$E22&gt;=2</formula>
    </cfRule>
  </conditionalFormatting>
  <conditionalFormatting sqref="I22:L22">
    <cfRule type="expression" dxfId="3117" priority="70" stopIfTrue="1">
      <formula>$E22&gt;=4</formula>
    </cfRule>
  </conditionalFormatting>
  <conditionalFormatting sqref="I22">
    <cfRule type="expression" dxfId="3116" priority="69">
      <formula>$E22=1</formula>
    </cfRule>
  </conditionalFormatting>
  <conditionalFormatting sqref="J22">
    <cfRule type="expression" dxfId="3115" priority="68">
      <formula>$E22=2</formula>
    </cfRule>
  </conditionalFormatting>
  <conditionalFormatting sqref="K22">
    <cfRule type="expression" dxfId="3114" priority="67">
      <formula>$E22=3</formula>
    </cfRule>
  </conditionalFormatting>
  <conditionalFormatting sqref="L22">
    <cfRule type="expression" dxfId="3113" priority="66">
      <formula>$E22=4</formula>
    </cfRule>
  </conditionalFormatting>
  <conditionalFormatting sqref="L59">
    <cfRule type="expression" dxfId="3112" priority="65" stopIfTrue="1">
      <formula>$E59&gt;=4</formula>
    </cfRule>
  </conditionalFormatting>
  <conditionalFormatting sqref="J9">
    <cfRule type="expression" dxfId="3111" priority="57">
      <formula>$E9=3</formula>
    </cfRule>
  </conditionalFormatting>
  <conditionalFormatting sqref="J9">
    <cfRule type="expression" dxfId="3110" priority="56">
      <formula>$E9=3</formula>
    </cfRule>
  </conditionalFormatting>
  <conditionalFormatting sqref="I14:L14">
    <cfRule type="expression" dxfId="3109" priority="47" stopIfTrue="1">
      <formula>$E14&gt;=4</formula>
    </cfRule>
  </conditionalFormatting>
  <conditionalFormatting sqref="I14">
    <cfRule type="expression" dxfId="3108" priority="46">
      <formula>$E14=1</formula>
    </cfRule>
  </conditionalFormatting>
  <conditionalFormatting sqref="J14">
    <cfRule type="expression" dxfId="3107" priority="45">
      <formula>$E14=2</formula>
    </cfRule>
  </conditionalFormatting>
  <conditionalFormatting sqref="K14">
    <cfRule type="expression" dxfId="3106" priority="44">
      <formula>$E14=3</formula>
    </cfRule>
  </conditionalFormatting>
  <conditionalFormatting sqref="L14">
    <cfRule type="expression" dxfId="3105" priority="43">
      <formula>$E14=4</formula>
    </cfRule>
  </conditionalFormatting>
  <conditionalFormatting sqref="I14:L14">
    <cfRule type="expression" dxfId="3104" priority="42" stopIfTrue="1">
      <formula>$E14&gt;=4</formula>
    </cfRule>
  </conditionalFormatting>
  <conditionalFormatting sqref="I14">
    <cfRule type="expression" dxfId="3103" priority="41" stopIfTrue="1">
      <formula>$E14&gt;=1</formula>
    </cfRule>
  </conditionalFormatting>
  <conditionalFormatting sqref="I14:K14">
    <cfRule type="expression" dxfId="3102" priority="40" stopIfTrue="1">
      <formula>$E14&gt;=3</formula>
    </cfRule>
  </conditionalFormatting>
  <conditionalFormatting sqref="I14:J14">
    <cfRule type="expression" dxfId="3101" priority="39" stopIfTrue="1">
      <formula>$E14&gt;=2</formula>
    </cfRule>
  </conditionalFormatting>
  <conditionalFormatting sqref="I14:L14">
    <cfRule type="expression" dxfId="3100" priority="38" stopIfTrue="1">
      <formula>$E14&gt;=4</formula>
    </cfRule>
  </conditionalFormatting>
  <conditionalFormatting sqref="I14">
    <cfRule type="expression" dxfId="3099" priority="37">
      <formula>$E14=1</formula>
    </cfRule>
  </conditionalFormatting>
  <conditionalFormatting sqref="J14">
    <cfRule type="expression" dxfId="3098" priority="36">
      <formula>$E14=2</formula>
    </cfRule>
  </conditionalFormatting>
  <conditionalFormatting sqref="K14">
    <cfRule type="expression" dxfId="3097" priority="35">
      <formula>$E14=3</formula>
    </cfRule>
  </conditionalFormatting>
  <conditionalFormatting sqref="L14">
    <cfRule type="expression" dxfId="3096" priority="34">
      <formula>$E14=4</formula>
    </cfRule>
  </conditionalFormatting>
  <conditionalFormatting sqref="J3:M3">
    <cfRule type="expression" dxfId="3095" priority="33" stopIfTrue="1">
      <formula>$E3&gt;=4</formula>
    </cfRule>
  </conditionalFormatting>
  <conditionalFormatting sqref="J3">
    <cfRule type="expression" dxfId="3094" priority="32">
      <formula>$E3=1</formula>
    </cfRule>
  </conditionalFormatting>
  <conditionalFormatting sqref="K3">
    <cfRule type="expression" dxfId="3093" priority="31">
      <formula>$E3=2</formula>
    </cfRule>
  </conditionalFormatting>
  <conditionalFormatting sqref="L3">
    <cfRule type="expression" dxfId="3092" priority="30">
      <formula>$E3=3</formula>
    </cfRule>
  </conditionalFormatting>
  <conditionalFormatting sqref="M3">
    <cfRule type="expression" dxfId="3091" priority="29">
      <formula>$E3=4</formula>
    </cfRule>
  </conditionalFormatting>
  <conditionalFormatting sqref="J3:M3">
    <cfRule type="expression" dxfId="3090" priority="28" stopIfTrue="1">
      <formula>$E3&gt;=4</formula>
    </cfRule>
  </conditionalFormatting>
  <conditionalFormatting sqref="J3">
    <cfRule type="expression" dxfId="3089" priority="27" stopIfTrue="1">
      <formula>$E3&gt;=1</formula>
    </cfRule>
  </conditionalFormatting>
  <conditionalFormatting sqref="J3:L3">
    <cfRule type="expression" dxfId="3088" priority="26" stopIfTrue="1">
      <formula>$E3&gt;=3</formula>
    </cfRule>
  </conditionalFormatting>
  <conditionalFormatting sqref="J3:K3">
    <cfRule type="expression" dxfId="3087" priority="25" stopIfTrue="1">
      <formula>$E3&gt;=2</formula>
    </cfRule>
  </conditionalFormatting>
  <conditionalFormatting sqref="J3:M3">
    <cfRule type="expression" dxfId="3086" priority="24" stopIfTrue="1">
      <formula>$E3&gt;=4</formula>
    </cfRule>
  </conditionalFormatting>
  <conditionalFormatting sqref="J3">
    <cfRule type="expression" dxfId="3085" priority="23">
      <formula>$E3=1</formula>
    </cfRule>
  </conditionalFormatting>
  <conditionalFormatting sqref="K3">
    <cfRule type="expression" dxfId="3084" priority="22">
      <formula>$E3=2</formula>
    </cfRule>
  </conditionalFormatting>
  <conditionalFormatting sqref="L3">
    <cfRule type="expression" dxfId="3083" priority="21">
      <formula>$E3=3</formula>
    </cfRule>
  </conditionalFormatting>
  <conditionalFormatting sqref="M3">
    <cfRule type="expression" dxfId="3082" priority="20">
      <formula>$E3=4</formula>
    </cfRule>
  </conditionalFormatting>
  <conditionalFormatting sqref="I7:L7">
    <cfRule type="expression" dxfId="3081" priority="14" stopIfTrue="1">
      <formula>$E7&gt;=4</formula>
    </cfRule>
  </conditionalFormatting>
  <conditionalFormatting sqref="I7">
    <cfRule type="expression" dxfId="3080" priority="13">
      <formula>$E7=1</formula>
    </cfRule>
  </conditionalFormatting>
  <conditionalFormatting sqref="J7">
    <cfRule type="expression" dxfId="3079" priority="12">
      <formula>$E7=2</formula>
    </cfRule>
  </conditionalFormatting>
  <conditionalFormatting sqref="K7">
    <cfRule type="expression" dxfId="3078" priority="11">
      <formula>$E7=3</formula>
    </cfRule>
  </conditionalFormatting>
  <conditionalFormatting sqref="L7">
    <cfRule type="expression" dxfId="3077" priority="10">
      <formula>$E7=4</formula>
    </cfRule>
  </conditionalFormatting>
  <conditionalFormatting sqref="I7:L7">
    <cfRule type="expression" dxfId="3076" priority="9" stopIfTrue="1">
      <formula>$E7&gt;=4</formula>
    </cfRule>
  </conditionalFormatting>
  <conditionalFormatting sqref="I7">
    <cfRule type="expression" dxfId="3075" priority="8" stopIfTrue="1">
      <formula>$E7&gt;=1</formula>
    </cfRule>
  </conditionalFormatting>
  <conditionalFormatting sqref="I7:K7">
    <cfRule type="expression" dxfId="3074" priority="7" stopIfTrue="1">
      <formula>$E7&gt;=3</formula>
    </cfRule>
  </conditionalFormatting>
  <conditionalFormatting sqref="I7:J7">
    <cfRule type="expression" dxfId="3073" priority="6" stopIfTrue="1">
      <formula>$E7&gt;=2</formula>
    </cfRule>
  </conditionalFormatting>
  <conditionalFormatting sqref="I7:L7">
    <cfRule type="expression" dxfId="3072" priority="5" stopIfTrue="1">
      <formula>$E7&gt;=4</formula>
    </cfRule>
  </conditionalFormatting>
  <conditionalFormatting sqref="I7">
    <cfRule type="expression" dxfId="3071" priority="4">
      <formula>$E7=1</formula>
    </cfRule>
  </conditionalFormatting>
  <conditionalFormatting sqref="J7">
    <cfRule type="expression" dxfId="3070" priority="3">
      <formula>$E7=2</formula>
    </cfRule>
  </conditionalFormatting>
  <conditionalFormatting sqref="K7">
    <cfRule type="expression" dxfId="3069" priority="2">
      <formula>$E7=3</formula>
    </cfRule>
  </conditionalFormatting>
  <conditionalFormatting sqref="L7">
    <cfRule type="expression" dxfId="3068" priority="1">
      <formula>$E7=4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sheetPr>
  <dimension ref="A1:CF551"/>
  <sheetViews>
    <sheetView showGridLines="0" zoomScale="80" zoomScaleNormal="80" workbookViewId="0">
      <selection activeCell="AZ326" sqref="AZ326"/>
    </sheetView>
  </sheetViews>
  <sheetFormatPr defaultColWidth="9.1796875" defaultRowHeight="14.5" outlineLevelCol="1"/>
  <cols>
    <col min="1" max="1" width="2.1796875" style="3034" customWidth="1"/>
    <col min="2" max="2" width="4.453125" style="3034" customWidth="1"/>
    <col min="3" max="3" width="5.453125" style="3034" bestFit="1" customWidth="1"/>
    <col min="4" max="4" width="28.1796875" style="3034" customWidth="1"/>
    <col min="5" max="5" width="10.26953125" style="3034" customWidth="1"/>
    <col min="6" max="6" width="16" style="3034" customWidth="1"/>
    <col min="7" max="7" width="10.26953125" style="3034" hidden="1" customWidth="1" outlineLevel="1"/>
    <col min="8" max="48" width="10.81640625" style="3034" hidden="1" customWidth="1" outlineLevel="1"/>
    <col min="49" max="49" width="17.453125" style="3034" hidden="1" customWidth="1" outlineLevel="1"/>
    <col min="50" max="50" width="10.81640625" style="3034" customWidth="1" collapsed="1"/>
    <col min="51" max="52" width="10" style="3034" customWidth="1"/>
    <col min="53" max="54" width="10.453125" style="3034" bestFit="1" customWidth="1"/>
    <col min="55" max="57" width="10.26953125" style="3034" bestFit="1" customWidth="1"/>
    <col min="58" max="60" width="11.26953125" style="3034" bestFit="1" customWidth="1"/>
    <col min="61" max="61" width="9.1796875" style="3034"/>
    <col min="62" max="62" width="16.7265625" style="3034" bestFit="1" customWidth="1"/>
    <col min="63" max="63" width="20.7265625" style="3034" bestFit="1" customWidth="1"/>
    <col min="64" max="64" width="8.453125" style="3034" customWidth="1"/>
    <col min="65" max="65" width="17.81640625" style="3034" bestFit="1" customWidth="1"/>
    <col min="66" max="73" width="5.453125" style="3034" bestFit="1" customWidth="1"/>
    <col min="74" max="16384" width="9.1796875" style="3034"/>
  </cols>
  <sheetData>
    <row r="1" spans="1:83" ht="6.75" customHeight="1"/>
    <row r="2" spans="1:83" ht="23.5">
      <c r="A2" s="7"/>
      <c r="B2" s="502" t="s">
        <v>2457</v>
      </c>
      <c r="C2" s="503"/>
      <c r="D2" s="503"/>
      <c r="E2" s="503"/>
      <c r="F2" s="503"/>
      <c r="G2" s="503"/>
      <c r="H2" s="503"/>
      <c r="I2" s="503"/>
      <c r="J2" s="503"/>
      <c r="K2" s="503"/>
      <c r="L2" s="503"/>
      <c r="M2" s="503"/>
      <c r="N2" s="503"/>
      <c r="O2" s="503"/>
      <c r="P2" s="503"/>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3"/>
      <c r="AR2" s="503"/>
      <c r="AS2" s="503"/>
      <c r="AT2" s="503"/>
      <c r="AU2" s="503"/>
      <c r="AV2" s="503"/>
      <c r="AW2" s="503"/>
      <c r="AX2" s="503"/>
      <c r="AY2" s="503"/>
      <c r="AZ2" s="503"/>
      <c r="BA2" s="503"/>
      <c r="BB2" s="503"/>
      <c r="BC2" s="503"/>
      <c r="BD2" s="503"/>
      <c r="BE2" s="503"/>
      <c r="BF2" s="503"/>
      <c r="BG2" s="503"/>
      <c r="BH2" s="503"/>
      <c r="BI2"/>
      <c r="BJ2" s="502"/>
      <c r="BK2" s="503"/>
      <c r="BL2" s="503"/>
      <c r="BM2" s="503"/>
      <c r="BN2" s="503"/>
      <c r="BO2" s="503"/>
      <c r="BP2" s="503"/>
      <c r="BQ2" s="503"/>
      <c r="BR2" s="503"/>
      <c r="BS2" s="503"/>
      <c r="BT2" s="503"/>
      <c r="BU2" s="503"/>
    </row>
    <row r="3" spans="1:83" s="6" customFormat="1" ht="20.25" customHeight="1">
      <c r="B3" s="505"/>
      <c r="C3" s="506"/>
      <c r="D3" s="506"/>
      <c r="E3" s="506"/>
      <c r="F3" s="506"/>
      <c r="G3" s="506"/>
      <c r="H3" s="3057" t="s">
        <v>2963</v>
      </c>
      <c r="I3" s="3057"/>
      <c r="J3" s="3057"/>
      <c r="K3" s="3057"/>
      <c r="L3" s="3057"/>
      <c r="M3" s="3057"/>
      <c r="N3" s="3057"/>
      <c r="O3" s="3057"/>
      <c r="P3" s="3057"/>
      <c r="Q3" s="3057"/>
      <c r="R3" s="3057"/>
      <c r="S3" s="3057"/>
      <c r="T3" s="3057"/>
      <c r="U3" s="3057"/>
      <c r="V3" s="3057"/>
      <c r="W3" s="3057"/>
      <c r="X3" s="3057"/>
      <c r="Y3" s="3057"/>
      <c r="Z3" s="3057"/>
      <c r="AA3" s="3057"/>
      <c r="AB3" s="3057"/>
      <c r="AC3" s="3057"/>
      <c r="AD3" s="3057"/>
      <c r="AE3" s="3057"/>
      <c r="AF3" s="3057"/>
      <c r="AG3" s="3057"/>
      <c r="AH3" s="3057"/>
      <c r="AI3" s="3057"/>
      <c r="AJ3" s="3057"/>
      <c r="AK3" s="3057"/>
      <c r="AL3" s="3057"/>
      <c r="AM3" s="3057"/>
      <c r="AN3" s="3057"/>
      <c r="AO3" s="3057"/>
      <c r="AP3" s="3057"/>
      <c r="AQ3" s="3057"/>
      <c r="AR3" s="3057"/>
      <c r="AS3" s="3057"/>
      <c r="AT3" s="3057"/>
      <c r="AU3" s="3057"/>
      <c r="AV3" s="3057"/>
      <c r="AW3" s="3057"/>
      <c r="AX3" s="506"/>
      <c r="AY3" s="506" t="s">
        <v>2458</v>
      </c>
      <c r="AZ3" s="506"/>
      <c r="BA3" s="506"/>
      <c r="BB3" s="506"/>
      <c r="BC3" s="506"/>
      <c r="BD3" s="506"/>
      <c r="BE3" s="506"/>
      <c r="BF3" s="506"/>
      <c r="BG3" s="3058"/>
      <c r="BH3" s="3961"/>
      <c r="BI3"/>
      <c r="BJ3" s="505"/>
      <c r="BK3" s="506"/>
      <c r="BL3" s="506"/>
      <c r="BM3" s="506"/>
      <c r="BN3" s="506"/>
      <c r="BO3" s="506"/>
      <c r="BP3" s="3057"/>
      <c r="BQ3" s="3057"/>
      <c r="BR3" s="3057"/>
      <c r="BS3" s="3057"/>
      <c r="BT3" s="3057"/>
      <c r="BU3" s="3057"/>
    </row>
    <row r="4" spans="1:83" ht="20.25" customHeight="1">
      <c r="B4" s="505"/>
      <c r="C4" s="506"/>
      <c r="D4" s="3059" t="str">
        <f>Preferences.EnergyUnits &amp; " / year"</f>
        <v>TWh / year</v>
      </c>
      <c r="E4" s="506"/>
      <c r="F4" s="3610" t="s">
        <v>2956</v>
      </c>
      <c r="G4" s="3060"/>
      <c r="H4" s="3061">
        <v>1990</v>
      </c>
      <c r="I4" s="3061">
        <v>1991</v>
      </c>
      <c r="J4" s="3061">
        <v>1992</v>
      </c>
      <c r="K4" s="3061">
        <v>1993</v>
      </c>
      <c r="L4" s="3061">
        <v>1994</v>
      </c>
      <c r="M4" s="3061">
        <v>1995</v>
      </c>
      <c r="N4" s="3061">
        <v>1996</v>
      </c>
      <c r="O4" s="3061">
        <v>1997</v>
      </c>
      <c r="P4" s="3061">
        <v>1998</v>
      </c>
      <c r="Q4" s="3061">
        <v>1999</v>
      </c>
      <c r="R4" s="3061">
        <v>2000</v>
      </c>
      <c r="S4" s="3061">
        <v>2001</v>
      </c>
      <c r="T4" s="3061">
        <v>2002</v>
      </c>
      <c r="U4" s="3061">
        <v>2003</v>
      </c>
      <c r="V4" s="3061">
        <v>2004</v>
      </c>
      <c r="W4" s="3061">
        <v>2005</v>
      </c>
      <c r="X4" s="3061">
        <v>2006</v>
      </c>
      <c r="Y4" s="3061">
        <v>2007</v>
      </c>
      <c r="Z4" s="3061">
        <v>2008</v>
      </c>
      <c r="AA4" s="3061">
        <v>2009</v>
      </c>
      <c r="AB4" s="3061">
        <v>2010</v>
      </c>
      <c r="AC4" s="3061">
        <v>2011</v>
      </c>
      <c r="AD4" s="3061">
        <v>2012</v>
      </c>
      <c r="AE4" s="3061"/>
      <c r="AF4" s="3061" t="s">
        <v>2965</v>
      </c>
      <c r="AG4" s="3062" t="s">
        <v>2966</v>
      </c>
      <c r="AH4" s="3061"/>
      <c r="AI4" s="3061"/>
      <c r="AJ4" s="3061"/>
      <c r="AK4" s="3061"/>
      <c r="AL4" s="3061"/>
      <c r="AM4" s="3061"/>
      <c r="AN4" s="3061"/>
      <c r="AO4" s="3061"/>
      <c r="AP4" s="3061"/>
      <c r="AQ4" s="3061"/>
      <c r="AR4" s="3061"/>
      <c r="AS4" s="3061"/>
      <c r="AT4" s="3061"/>
      <c r="AU4" s="3061"/>
      <c r="AV4" s="3061"/>
      <c r="AW4" s="3062"/>
      <c r="AX4" s="506"/>
      <c r="AY4" s="3063">
        <v>2013</v>
      </c>
      <c r="AZ4" s="3063">
        <v>2015</v>
      </c>
      <c r="BA4" s="3063">
        <v>2020</v>
      </c>
      <c r="BB4" s="3063">
        <v>2025</v>
      </c>
      <c r="BC4" s="3063">
        <v>2030</v>
      </c>
      <c r="BD4" s="3063">
        <v>2035</v>
      </c>
      <c r="BE4" s="3063">
        <v>2040</v>
      </c>
      <c r="BF4" s="3063">
        <v>2045</v>
      </c>
      <c r="BG4" s="3063">
        <v>2050</v>
      </c>
      <c r="BH4" s="506"/>
      <c r="BJ4" s="505"/>
      <c r="BK4" s="506"/>
      <c r="BL4" s="3960"/>
      <c r="BM4" s="506"/>
      <c r="BN4" s="1241"/>
      <c r="BO4" s="3060"/>
      <c r="BP4" s="3061"/>
      <c r="BQ4" s="3061"/>
      <c r="BR4" s="3061"/>
      <c r="BS4" s="3061"/>
      <c r="BT4" s="3061"/>
      <c r="BU4" s="3061"/>
    </row>
    <row r="5" spans="1:83">
      <c r="B5" s="505"/>
      <c r="C5" s="506"/>
      <c r="D5" s="506"/>
      <c r="E5" s="506"/>
      <c r="F5" s="506"/>
      <c r="G5" s="506"/>
      <c r="H5" s="3057"/>
      <c r="I5" s="3057"/>
      <c r="J5" s="3057"/>
      <c r="K5" s="3057"/>
      <c r="L5" s="3057"/>
      <c r="M5" s="3057"/>
      <c r="N5" s="3057"/>
      <c r="O5" s="3057"/>
      <c r="P5" s="3057"/>
      <c r="Q5" s="3057"/>
      <c r="R5" s="3057"/>
      <c r="S5" s="3057"/>
      <c r="T5" s="3057"/>
      <c r="U5" s="3057"/>
      <c r="V5" s="3057"/>
      <c r="W5" s="3057"/>
      <c r="X5" s="3057"/>
      <c r="Y5" s="3057"/>
      <c r="Z5" s="3057"/>
      <c r="AA5" s="3057"/>
      <c r="AB5" s="3057"/>
      <c r="AC5" s="3057"/>
      <c r="AD5" s="3057"/>
      <c r="AE5" s="3057"/>
      <c r="AF5" s="3057"/>
      <c r="AG5" s="3057"/>
      <c r="AH5" s="3057"/>
      <c r="AI5" s="3057"/>
      <c r="AJ5" s="3057"/>
      <c r="AK5" s="3057"/>
      <c r="AL5" s="3057"/>
      <c r="AM5" s="3057"/>
      <c r="AN5" s="3057"/>
      <c r="AO5" s="3057"/>
      <c r="AP5" s="3057"/>
      <c r="AQ5" s="3057"/>
      <c r="AR5" s="3057"/>
      <c r="AS5" s="3057"/>
      <c r="AT5" s="3057"/>
      <c r="AU5" s="3057"/>
      <c r="AV5" s="3057"/>
      <c r="AW5" s="3057"/>
      <c r="AX5" s="506"/>
      <c r="AY5" s="506"/>
      <c r="AZ5" s="506"/>
      <c r="BA5" s="506"/>
      <c r="BB5" s="506"/>
      <c r="BC5" s="506"/>
      <c r="BD5" s="506"/>
      <c r="BE5" s="506"/>
      <c r="BF5" s="506"/>
      <c r="BG5" s="506"/>
      <c r="BH5" s="858"/>
      <c r="BJ5" s="505"/>
      <c r="BK5" s="506"/>
      <c r="BL5" s="506"/>
      <c r="BM5" s="506"/>
      <c r="BN5" s="506"/>
      <c r="BO5" s="506"/>
      <c r="BP5" s="3057"/>
      <c r="BQ5" s="3057"/>
      <c r="BR5" s="3057"/>
      <c r="BS5" s="3057"/>
      <c r="BT5" s="3057"/>
      <c r="BU5" s="3057"/>
    </row>
    <row r="6" spans="1:83" s="918" customFormat="1">
      <c r="B6" s="3064"/>
      <c r="C6" s="3065" t="s">
        <v>2459</v>
      </c>
      <c r="D6" s="3066"/>
      <c r="E6" s="506"/>
      <c r="F6" s="2902"/>
      <c r="G6" s="2902"/>
      <c r="H6" s="3067"/>
      <c r="I6" s="3067"/>
      <c r="J6" s="3067"/>
      <c r="K6" s="3067"/>
      <c r="L6" s="3067"/>
      <c r="M6" s="3067"/>
      <c r="N6" s="3067"/>
      <c r="O6" s="3067"/>
      <c r="P6" s="3067"/>
      <c r="Q6" s="3067"/>
      <c r="R6" s="3067"/>
      <c r="S6" s="3067"/>
      <c r="T6" s="3067"/>
      <c r="U6" s="3067"/>
      <c r="V6" s="3067"/>
      <c r="W6" s="3067"/>
      <c r="X6" s="3067"/>
      <c r="Y6" s="3067"/>
      <c r="Z6" s="3067"/>
      <c r="AA6" s="3067"/>
      <c r="AB6" s="3067"/>
      <c r="AC6" s="3067"/>
      <c r="AD6" s="3067"/>
      <c r="AE6" s="3067"/>
      <c r="AF6" s="3067"/>
      <c r="AG6" s="3067"/>
      <c r="AH6" s="3067"/>
      <c r="AI6" s="3067"/>
      <c r="AJ6" s="3067"/>
      <c r="AK6" s="3067"/>
      <c r="AL6" s="3067"/>
      <c r="AM6" s="3067"/>
      <c r="AN6" s="3067"/>
      <c r="AO6" s="3067"/>
      <c r="AP6" s="3067"/>
      <c r="AQ6" s="3067"/>
      <c r="AR6" s="3067"/>
      <c r="AS6" s="3067"/>
      <c r="AT6" s="3067"/>
      <c r="AU6" s="3067"/>
      <c r="AV6" s="3067"/>
      <c r="AW6" s="3067"/>
      <c r="AX6" s="506"/>
      <c r="AY6" s="2902"/>
      <c r="AZ6" s="2902"/>
      <c r="BA6" s="2902"/>
      <c r="BB6" s="2902"/>
      <c r="BC6" s="2902"/>
      <c r="BD6" s="2902"/>
      <c r="BE6" s="2902"/>
      <c r="BF6" s="2902"/>
      <c r="BG6" s="2902"/>
      <c r="BH6" s="3068"/>
      <c r="BJ6" s="3064"/>
      <c r="BK6" s="3065"/>
      <c r="BL6" s="3066"/>
      <c r="BM6" s="506"/>
      <c r="BN6" s="2902"/>
      <c r="BO6" s="2902"/>
      <c r="BP6" s="3067"/>
      <c r="BQ6" s="3067"/>
      <c r="BR6" s="3067"/>
      <c r="BS6" s="3067"/>
      <c r="BT6" s="3067"/>
      <c r="BU6" s="3067"/>
    </row>
    <row r="7" spans="1:83" s="918" customFormat="1">
      <c r="B7" s="3064"/>
      <c r="C7" s="3066" t="s">
        <v>409</v>
      </c>
      <c r="D7" s="3066" t="str">
        <f>INDEX(Vectors[Description], MATCH($C7, Vectors[Code], 0))</f>
        <v>Road transport</v>
      </c>
      <c r="E7" s="506"/>
      <c r="F7" s="2902">
        <f>(Unit.TWh)*('Irl. Energy Balance 2013 (TWh)'!AM46+'Irl. Energy Balance 2013 (TWh)'!AM47+'Irl. Energy Balance 2013 (TWh)'!AM48+'Irl. Energy Balance 2013 (TWh)'!AM49+'Irl. Energy Balance 2013 (TWh)'!AM55)</f>
        <v>38.645185944884147</v>
      </c>
      <c r="G7" s="2902"/>
      <c r="H7" s="3067">
        <v>18.513430605043663</v>
      </c>
      <c r="I7" s="3067">
        <v>19.228372346184312</v>
      </c>
      <c r="J7" s="3067">
        <v>20.874832420054183</v>
      </c>
      <c r="K7" s="3067">
        <v>20.784195806455994</v>
      </c>
      <c r="L7" s="3067">
        <v>21.673064668589699</v>
      </c>
      <c r="M7" s="3067">
        <v>22.283141079333681</v>
      </c>
      <c r="N7" s="3067">
        <v>25.837399071574055</v>
      </c>
      <c r="O7" s="3067">
        <v>25.463131348561976</v>
      </c>
      <c r="P7" s="3067">
        <v>28.226339844670701</v>
      </c>
      <c r="Q7" s="3067">
        <v>29.567560923351479</v>
      </c>
      <c r="R7" s="3067">
        <v>31.255624019950865</v>
      </c>
      <c r="S7" s="3067">
        <v>33.659926478328963</v>
      </c>
      <c r="T7" s="3067">
        <v>34.043586194855841</v>
      </c>
      <c r="U7" s="3067">
        <v>35.667265500724426</v>
      </c>
      <c r="V7" s="3067">
        <v>38.616245943087236</v>
      </c>
      <c r="W7" s="3067">
        <v>42.261381412279135</v>
      </c>
      <c r="X7" s="3067">
        <v>44.333508764586377</v>
      </c>
      <c r="Y7" s="3067">
        <v>45.630203915322483</v>
      </c>
      <c r="Z7" s="3067">
        <v>46.059720376706437</v>
      </c>
      <c r="AA7" s="3067">
        <v>43.035536356240264</v>
      </c>
      <c r="AB7" s="3067">
        <v>39.137879650537307</v>
      </c>
      <c r="AC7" s="3067">
        <v>38.611930548947868</v>
      </c>
      <c r="AD7" s="3067">
        <v>37.28417511839551</v>
      </c>
      <c r="AE7" s="3067"/>
      <c r="AF7" s="3067"/>
      <c r="AG7" s="3067"/>
      <c r="AH7" s="3067"/>
      <c r="AI7" s="3067"/>
      <c r="AJ7" s="3067"/>
      <c r="AK7" s="3067"/>
      <c r="AL7" s="3067"/>
      <c r="AM7" s="3067"/>
      <c r="AN7" s="3067"/>
      <c r="AO7" s="3067"/>
      <c r="AP7" s="3067"/>
      <c r="AQ7" s="3067"/>
      <c r="AR7" s="3067"/>
      <c r="AS7" s="3067"/>
      <c r="AT7" s="3067"/>
      <c r="AU7" s="3067"/>
      <c r="AV7" s="3067"/>
      <c r="AW7" s="3067"/>
      <c r="AX7" s="506"/>
      <c r="AY7" s="2902">
        <f ca="1">INDEX(INDIRECT("'"&amp;AY$4&amp;"'!Year.NetBalance"), MATCH('Intermediate output'!$C7, INDIRECT("'"&amp;AY$4&amp;"'!Year.Vectors"), 0))</f>
        <v>38.938914480389414</v>
      </c>
      <c r="AZ7" s="2902">
        <f ca="1">INDEX(INDIRECT("'"&amp;AZ$4&amp;"'!Year.NetBalance"), MATCH('Intermediate output'!$C7, INDIRECT("'"&amp;AZ$4&amp;"'!Year.Vectors"), 0))</f>
        <v>40.051952761847303</v>
      </c>
      <c r="BA7" s="2902">
        <f ca="1">INDEX(INDIRECT("'"&amp;BA$4&amp;"'!Year.NetBalance"), MATCH('Intermediate output'!$C7, INDIRECT("'"&amp;BA$4&amp;"'!Year.Vectors"), 0))</f>
        <v>42.438057670171453</v>
      </c>
      <c r="BB7" s="2902">
        <f ca="1">INDEX(INDIRECT("'"&amp;BB$4&amp;"'!Year.NetBalance"), MATCH('Intermediate output'!$C7, INDIRECT("'"&amp;BB$4&amp;"'!Year.Vectors"), 0))</f>
        <v>43.402334272018976</v>
      </c>
      <c r="BC7" s="2902">
        <f ca="1">INDEX(INDIRECT("'"&amp;BC$4&amp;"'!Year.NetBalance"), MATCH('Intermediate output'!$C7, INDIRECT("'"&amp;BC$4&amp;"'!Year.Vectors"), 0))</f>
        <v>44.291061534783324</v>
      </c>
      <c r="BD7" s="2902">
        <f ca="1">INDEX(INDIRECT("'"&amp;BD$4&amp;"'!Year.NetBalance"), MATCH('Intermediate output'!$C7, INDIRECT("'"&amp;BD$4&amp;"'!Year.Vectors"), 0))</f>
        <v>45.330977507891568</v>
      </c>
      <c r="BE7" s="2902">
        <f ca="1">INDEX(INDIRECT("'"&amp;BE$4&amp;"'!Year.NetBalance"), MATCH('Intermediate output'!$C7, INDIRECT("'"&amp;BE$4&amp;"'!Year.Vectors"), 0))</f>
        <v>46.359403076699564</v>
      </c>
      <c r="BF7" s="2902">
        <f ca="1">INDEX(INDIRECT("'"&amp;BF$4&amp;"'!Year.NetBalance"), MATCH('Intermediate output'!$C7, INDIRECT("'"&amp;BF$4&amp;"'!Year.Vectors"), 0))</f>
        <v>47.557692394089628</v>
      </c>
      <c r="BG7" s="2902">
        <f ca="1">INDEX(INDIRECT("'"&amp;BG$4&amp;"'!Year.NetBalance"), MATCH('Intermediate output'!$C7, INDIRECT("'"&amp;BG$4&amp;"'!Year.Vectors"), 0))</f>
        <v>48.119877929838552</v>
      </c>
      <c r="BH7" s="3068"/>
      <c r="BJ7" s="3064"/>
      <c r="BK7" s="3066"/>
      <c r="BL7" s="3066"/>
      <c r="BM7" s="506"/>
      <c r="BN7" s="2902"/>
      <c r="BO7" s="2902"/>
      <c r="BP7" s="3067"/>
      <c r="BQ7" s="3067"/>
      <c r="BR7" s="3067"/>
      <c r="BS7" s="3067"/>
      <c r="BT7" s="3067"/>
      <c r="BU7" s="3067"/>
    </row>
    <row r="8" spans="1:83" s="918" customFormat="1">
      <c r="B8" s="3064"/>
      <c r="C8" s="3066" t="s">
        <v>410</v>
      </c>
      <c r="D8" s="3066" t="str">
        <f>INDEX(Vectors[Description], MATCH($C8, Vectors[Code], 0))</f>
        <v>Rail transport</v>
      </c>
      <c r="E8" s="506"/>
      <c r="F8" s="2902">
        <f>(Unit.TWh)*'Irl. Energy Balance 2013 (TWh)'!AM50</f>
        <v>0.4876719932322367</v>
      </c>
      <c r="G8" s="2902"/>
      <c r="H8" s="3069">
        <v>0.52074487999999997</v>
      </c>
      <c r="I8" s="3069">
        <v>0.50720756</v>
      </c>
      <c r="J8" s="3069">
        <v>0.45661706000000002</v>
      </c>
      <c r="K8" s="3069">
        <v>0.50064823999999997</v>
      </c>
      <c r="L8" s="3069">
        <v>0.47273624000000003</v>
      </c>
      <c r="M8" s="3069">
        <v>0.44017223999999999</v>
      </c>
      <c r="N8" s="3069">
        <v>0.51095241999999996</v>
      </c>
      <c r="O8" s="3069">
        <v>0.49750813999999999</v>
      </c>
      <c r="P8" s="3069">
        <v>0.51246431999999997</v>
      </c>
      <c r="Q8" s="3069">
        <v>0.49485649999999998</v>
      </c>
      <c r="R8" s="3069">
        <v>0.49271657999999996</v>
      </c>
      <c r="S8" s="3069">
        <v>0.5353986799999999</v>
      </c>
      <c r="T8" s="3069">
        <v>0.46843313999999997</v>
      </c>
      <c r="U8" s="3069">
        <v>0.51495313999999992</v>
      </c>
      <c r="V8" s="3069">
        <v>0.56920708999999992</v>
      </c>
      <c r="W8" s="3069">
        <v>0.52199712991878167</v>
      </c>
      <c r="X8" s="3069">
        <v>0.51970588956974173</v>
      </c>
      <c r="Y8" s="3069">
        <v>0.55180215686473366</v>
      </c>
      <c r="Z8" s="3069">
        <v>0.5848475589070079</v>
      </c>
      <c r="AA8" s="3069">
        <v>0.51053819788384713</v>
      </c>
      <c r="AB8" s="3069">
        <v>0.5077294132734308</v>
      </c>
      <c r="AC8" s="3069">
        <v>0.51255025034114376</v>
      </c>
      <c r="AD8" s="3069">
        <v>0.49269399149541937</v>
      </c>
      <c r="AE8" s="3069"/>
      <c r="AF8" s="3069"/>
      <c r="AG8" s="3069"/>
      <c r="AH8" s="3069"/>
      <c r="AI8" s="3069"/>
      <c r="AJ8" s="3069"/>
      <c r="AK8" s="3069"/>
      <c r="AL8" s="3069"/>
      <c r="AM8" s="3069"/>
      <c r="AN8" s="3069"/>
      <c r="AO8" s="3069"/>
      <c r="AP8" s="3067"/>
      <c r="AQ8" s="3067"/>
      <c r="AR8" s="3067"/>
      <c r="AS8" s="3067"/>
      <c r="AT8" s="3067"/>
      <c r="AU8" s="3067"/>
      <c r="AV8" s="3067"/>
      <c r="AW8" s="3070"/>
      <c r="AX8" s="506"/>
      <c r="AY8" s="2902">
        <f ca="1">INDEX(INDIRECT("'"&amp;AY$4&amp;"'!Year.NetBalance"), MATCH('Intermediate output'!$C8, INDIRECT("'"&amp;AY$4&amp;"'!Year.Vectors"), 0))</f>
        <v>0.49153024479009</v>
      </c>
      <c r="AZ8" s="2902">
        <f ca="1">INDEX(INDIRECT("'"&amp;AZ$4&amp;"'!Year.NetBalance"), MATCH('Intermediate output'!$C8, INDIRECT("'"&amp;AZ$4&amp;"'!Year.Vectors"), 0))</f>
        <v>0.60466126198529713</v>
      </c>
      <c r="BA8" s="2902">
        <f ca="1">INDEX(INDIRECT("'"&amp;BA$4&amp;"'!Year.NetBalance"), MATCH('Intermediate output'!$C8, INDIRECT("'"&amp;BA$4&amp;"'!Year.Vectors"), 0))</f>
        <v>0.59792767940406566</v>
      </c>
      <c r="BB8" s="2902">
        <f ca="1">INDEX(INDIRECT("'"&amp;BB$4&amp;"'!Year.NetBalance"), MATCH('Intermediate output'!$C8, INDIRECT("'"&amp;BB$4&amp;"'!Year.Vectors"), 0))</f>
        <v>0.57994494620088843</v>
      </c>
      <c r="BC8" s="2902">
        <f ca="1">INDEX(INDIRECT("'"&amp;BC$4&amp;"'!Year.NetBalance"), MATCH('Intermediate output'!$C8, INDIRECT("'"&amp;BC$4&amp;"'!Year.Vectors"), 0))</f>
        <v>0.56031657970381665</v>
      </c>
      <c r="BD8" s="2902">
        <f ca="1">INDEX(INDIRECT("'"&amp;BD$4&amp;"'!Year.NetBalance"), MATCH('Intermediate output'!$C8, INDIRECT("'"&amp;BD$4&amp;"'!Year.Vectors"), 0))</f>
        <v>0.53893545054834324</v>
      </c>
      <c r="BE8" s="2902">
        <f ca="1">INDEX(INDIRECT("'"&amp;BE$4&amp;"'!Year.NetBalance"), MATCH('Intermediate output'!$C8, INDIRECT("'"&amp;BE$4&amp;"'!Year.Vectors"), 0))</f>
        <v>0.5146138572299841</v>
      </c>
      <c r="BF8" s="2902">
        <f ca="1">INDEX(INDIRECT("'"&amp;BF$4&amp;"'!Year.NetBalance"), MATCH('Intermediate output'!$C8, INDIRECT("'"&amp;BF$4&amp;"'!Year.Vectors"), 0))</f>
        <v>0.48874347912078209</v>
      </c>
      <c r="BG8" s="2902">
        <f ca="1">INDEX(INDIRECT("'"&amp;BG$4&amp;"'!Year.NetBalance"), MATCH('Intermediate output'!$C8, INDIRECT("'"&amp;BG$4&amp;"'!Year.Vectors"), 0))</f>
        <v>0.42446014374891816</v>
      </c>
      <c r="BH8" s="3068"/>
      <c r="BJ8" s="3064"/>
      <c r="BK8" s="3066"/>
      <c r="BL8" s="3066"/>
      <c r="BM8" s="506"/>
      <c r="BN8" s="2902"/>
      <c r="BO8" s="2902"/>
      <c r="BP8" s="3069"/>
      <c r="BQ8" s="3069"/>
      <c r="BR8" s="3069"/>
      <c r="BS8" s="3069"/>
      <c r="BT8" s="3069"/>
      <c r="BU8" s="3069"/>
      <c r="CE8" s="918" t="s">
        <v>3359</v>
      </c>
    </row>
    <row r="9" spans="1:83" s="918" customFormat="1">
      <c r="B9" s="3064"/>
      <c r="C9" s="3066" t="s">
        <v>411</v>
      </c>
      <c r="D9" s="3066" t="str">
        <f>INDEX(Vectors[Description], MATCH($C9, Vectors[Code], 0))</f>
        <v>Domestic aviation</v>
      </c>
      <c r="E9" s="506"/>
      <c r="F9" s="2902"/>
      <c r="G9" s="2902"/>
      <c r="H9" s="3067"/>
      <c r="I9" s="3067"/>
      <c r="J9" s="3067"/>
      <c r="K9" s="3067"/>
      <c r="L9" s="3067"/>
      <c r="M9" s="3067"/>
      <c r="N9" s="3067"/>
      <c r="O9" s="3067"/>
      <c r="P9" s="3067"/>
      <c r="Q9" s="3067"/>
      <c r="R9" s="3067"/>
      <c r="S9" s="3067"/>
      <c r="T9" s="3067"/>
      <c r="U9" s="3067"/>
      <c r="V9" s="3067"/>
      <c r="W9" s="3067"/>
      <c r="X9" s="3067"/>
      <c r="Y9" s="3067"/>
      <c r="Z9" s="3067"/>
      <c r="AA9" s="3067"/>
      <c r="AB9" s="3067"/>
      <c r="AC9" s="3067"/>
      <c r="AD9" s="3067"/>
      <c r="AE9" s="3067"/>
      <c r="AF9" s="3067"/>
      <c r="AG9" s="3067"/>
      <c r="AH9" s="3067"/>
      <c r="AI9" s="3067"/>
      <c r="AJ9" s="3067"/>
      <c r="AK9" s="3067"/>
      <c r="AL9" s="3067"/>
      <c r="AM9" s="3067"/>
      <c r="AN9" s="3067"/>
      <c r="AO9" s="3067"/>
      <c r="AP9" s="3067"/>
      <c r="AQ9" s="3067"/>
      <c r="AR9" s="3067"/>
      <c r="AS9" s="3067"/>
      <c r="AT9" s="3067"/>
      <c r="AU9" s="3067"/>
      <c r="AV9" s="3067"/>
      <c r="AW9" s="3067"/>
      <c r="AX9" s="506"/>
      <c r="AY9" s="2902">
        <f ca="1">INDEX(INDIRECT("'"&amp;AY$4&amp;"'!Year.NetBalance"), MATCH('Intermediate output'!$C9, INDIRECT("'"&amp;AY$4&amp;"'!Year.Vectors"), 0))</f>
        <v>2.7179785187540276E-2</v>
      </c>
      <c r="AZ9" s="2902">
        <f ca="1">INDEX(INDIRECT("'"&amp;AZ$4&amp;"'!Year.NetBalance"), MATCH('Intermediate output'!$C9, INDIRECT("'"&amp;AZ$4&amp;"'!Year.Vectors"), 0))</f>
        <v>2.8688317425508068E-2</v>
      </c>
      <c r="BA9" s="2902">
        <f ca="1">INDEX(INDIRECT("'"&amp;BA$4&amp;"'!Year.NetBalance"), MATCH('Intermediate output'!$C9, INDIRECT("'"&amp;BA$4&amp;"'!Year.Vectors"), 0))</f>
        <v>2.8626918373697949E-2</v>
      </c>
      <c r="BB9" s="2902">
        <f ca="1">INDEX(INDIRECT("'"&amp;BB$4&amp;"'!Year.NetBalance"), MATCH('Intermediate output'!$C9, INDIRECT("'"&amp;BB$4&amp;"'!Year.Vectors"), 0))</f>
        <v>2.8375533440997854E-2</v>
      </c>
      <c r="BC9" s="2902">
        <f ca="1">INDEX(INDIRECT("'"&amp;BC$4&amp;"'!Year.NetBalance"), MATCH('Intermediate output'!$C9, INDIRECT("'"&amp;BC$4&amp;"'!Year.Vectors"), 0))</f>
        <v>2.8092836249242522E-2</v>
      </c>
      <c r="BD9" s="2902">
        <f ca="1">INDEX(INDIRECT("'"&amp;BD$4&amp;"'!Year.NetBalance"), MATCH('Intermediate output'!$C9, INDIRECT("'"&amp;BD$4&amp;"'!Year.Vectors"), 0))</f>
        <v>2.7773770259370195E-2</v>
      </c>
      <c r="BE9" s="2902">
        <f ca="1">INDEX(INDIRECT("'"&amp;BE$4&amp;"'!Year.NetBalance"), MATCH('Intermediate output'!$C9, INDIRECT("'"&amp;BE$4&amp;"'!Year.Vectors"), 0))</f>
        <v>2.7351212236636904E-2</v>
      </c>
      <c r="BF9" s="2902">
        <f ca="1">INDEX(INDIRECT("'"&amp;BF$4&amp;"'!Year.NetBalance"), MATCH('Intermediate output'!$C9, INDIRECT("'"&amp;BF$4&amp;"'!Year.Vectors"), 0))</f>
        <v>2.6897963862265332E-2</v>
      </c>
      <c r="BG9" s="2902">
        <f ca="1">INDEX(INDIRECT("'"&amp;BG$4&amp;"'!Year.NetBalance"), MATCH('Intermediate output'!$C9, INDIRECT("'"&amp;BG$4&amp;"'!Year.Vectors"), 0))</f>
        <v>2.5579695995584108E-2</v>
      </c>
      <c r="BH9" s="3068"/>
      <c r="BJ9" s="3064"/>
      <c r="BK9" s="3066"/>
      <c r="BL9" s="3066"/>
      <c r="BM9" s="506"/>
      <c r="BN9" s="2902"/>
      <c r="BO9" s="2902"/>
      <c r="BP9" s="3067"/>
      <c r="BQ9" s="3067"/>
      <c r="BR9" s="3067"/>
      <c r="BS9" s="3067"/>
      <c r="BT9" s="3067"/>
      <c r="BU9" s="3067"/>
      <c r="CE9" s="918" t="s">
        <v>3360</v>
      </c>
    </row>
    <row r="10" spans="1:83" s="918" customFormat="1">
      <c r="B10" s="3064"/>
      <c r="C10" s="3066" t="s">
        <v>412</v>
      </c>
      <c r="D10" s="3066" t="str">
        <f>INDEX(Vectors[Description], MATCH($C10, Vectors[Code], 0))</f>
        <v>National navigation</v>
      </c>
      <c r="E10" s="506"/>
      <c r="F10" s="2902">
        <f>(Unit.TWh)*'Irl. Energy Balance 2013 (TWh)'!AM54</f>
        <v>0.66524901180549467</v>
      </c>
      <c r="G10" s="2902"/>
      <c r="H10" s="3067">
        <v>8.4210504000000005E-2</v>
      </c>
      <c r="I10" s="3067">
        <v>8.4210504000000005E-2</v>
      </c>
      <c r="J10" s="3067">
        <v>9.6240575999999994E-2</v>
      </c>
      <c r="K10" s="3067">
        <v>9.6240575999999994E-2</v>
      </c>
      <c r="L10" s="3067">
        <v>9.6240575999999994E-2</v>
      </c>
      <c r="M10" s="3067">
        <v>8.4210504000000005E-2</v>
      </c>
      <c r="N10" s="3067">
        <v>0.14436086400000001</v>
      </c>
      <c r="O10" s="3067">
        <v>0.14436086400000001</v>
      </c>
      <c r="P10" s="3067">
        <v>0.18045107999999999</v>
      </c>
      <c r="Q10" s="3067">
        <v>0.21654129599999999</v>
      </c>
      <c r="R10" s="3067">
        <v>0.27567455747373082</v>
      </c>
      <c r="S10" s="3067">
        <v>0.33480781894746175</v>
      </c>
      <c r="T10" s="3067">
        <v>0.39394108042119252</v>
      </c>
      <c r="U10" s="3067">
        <v>0.45307434189492329</v>
      </c>
      <c r="V10" s="3067">
        <v>0.63802217311067821</v>
      </c>
      <c r="W10" s="3067">
        <v>0.5783044710559232</v>
      </c>
      <c r="X10" s="3067">
        <v>0.93802410860199015</v>
      </c>
      <c r="Y10" s="3067">
        <v>0.7407629777530782</v>
      </c>
      <c r="Z10" s="3067">
        <v>0.7677875112098238</v>
      </c>
      <c r="AA10" s="3067">
        <v>0.74823661339247494</v>
      </c>
      <c r="AB10" s="3067">
        <v>0.75047344279739758</v>
      </c>
      <c r="AC10" s="3067">
        <v>0.65151196405959677</v>
      </c>
      <c r="AD10" s="3067">
        <v>0.68910056720591173</v>
      </c>
      <c r="AE10" s="3067"/>
      <c r="AF10" s="3067"/>
      <c r="AG10" s="3067"/>
      <c r="AH10" s="3067"/>
      <c r="AI10" s="3067"/>
      <c r="AJ10" s="3067"/>
      <c r="AK10" s="3067"/>
      <c r="AL10" s="3067"/>
      <c r="AM10" s="3067"/>
      <c r="AN10" s="3067"/>
      <c r="AO10" s="3067"/>
      <c r="AP10" s="3067"/>
      <c r="AQ10" s="3067"/>
      <c r="AR10" s="3067"/>
      <c r="AS10" s="3067"/>
      <c r="AT10" s="3067"/>
      <c r="AU10" s="3067"/>
      <c r="AV10" s="3067"/>
      <c r="AW10" s="3067"/>
      <c r="AX10" s="506"/>
      <c r="AY10" s="2902">
        <f ca="1">INDEX(INDIRECT("'"&amp;AY$4&amp;"'!Year.NetBalance"), MATCH('Intermediate output'!$C10, INDIRECT("'"&amp;AY$4&amp;"'!Year.Vectors"), 0))</f>
        <v>0.66</v>
      </c>
      <c r="AZ10" s="2902">
        <f ca="1">INDEX(INDIRECT("'"&amp;AZ$4&amp;"'!Year.NetBalance"), MATCH('Intermediate output'!$C10, INDIRECT("'"&amp;AZ$4&amp;"'!Year.Vectors"), 0))</f>
        <v>0.66</v>
      </c>
      <c r="BA10" s="2902">
        <f ca="1">INDEX(INDIRECT("'"&amp;BA$4&amp;"'!Year.NetBalance"), MATCH('Intermediate output'!$C10, INDIRECT("'"&amp;BA$4&amp;"'!Year.Vectors"), 0))</f>
        <v>0.66</v>
      </c>
      <c r="BB10" s="2902">
        <f ca="1">INDEX(INDIRECT("'"&amp;BB$4&amp;"'!Year.NetBalance"), MATCH('Intermediate output'!$C10, INDIRECT("'"&amp;BB$4&amp;"'!Year.Vectors"), 0))</f>
        <v>0.66</v>
      </c>
      <c r="BC10" s="2902">
        <f ca="1">INDEX(INDIRECT("'"&amp;BC$4&amp;"'!Year.NetBalance"), MATCH('Intermediate output'!$C10, INDIRECT("'"&amp;BC$4&amp;"'!Year.Vectors"), 0))</f>
        <v>0.66</v>
      </c>
      <c r="BD10" s="2902">
        <f ca="1">INDEX(INDIRECT("'"&amp;BD$4&amp;"'!Year.NetBalance"), MATCH('Intermediate output'!$C10, INDIRECT("'"&amp;BD$4&amp;"'!Year.Vectors"), 0))</f>
        <v>0.66</v>
      </c>
      <c r="BE10" s="2902">
        <f ca="1">INDEX(INDIRECT("'"&amp;BE$4&amp;"'!Year.NetBalance"), MATCH('Intermediate output'!$C10, INDIRECT("'"&amp;BE$4&amp;"'!Year.Vectors"), 0))</f>
        <v>0.66</v>
      </c>
      <c r="BF10" s="2902">
        <f ca="1">INDEX(INDIRECT("'"&amp;BF$4&amp;"'!Year.NetBalance"), MATCH('Intermediate output'!$C10, INDIRECT("'"&amp;BF$4&amp;"'!Year.Vectors"), 0))</f>
        <v>0.66</v>
      </c>
      <c r="BG10" s="2902">
        <f ca="1">INDEX(INDIRECT("'"&amp;BG$4&amp;"'!Year.NetBalance"), MATCH('Intermediate output'!$C10, INDIRECT("'"&amp;BG$4&amp;"'!Year.Vectors"), 0))</f>
        <v>0.66</v>
      </c>
      <c r="BH10" s="3068"/>
      <c r="BJ10" s="3064"/>
      <c r="BK10" s="3066"/>
      <c r="BL10" s="3066"/>
      <c r="BM10" s="506"/>
      <c r="BN10" s="2902"/>
      <c r="BO10" s="2902"/>
      <c r="BP10" s="3067"/>
      <c r="BQ10" s="3067"/>
      <c r="BR10" s="3067"/>
      <c r="BS10" s="3067"/>
      <c r="BT10" s="3067"/>
      <c r="BU10" s="3067"/>
    </row>
    <row r="11" spans="1:83" s="918" customFormat="1">
      <c r="B11" s="3064"/>
      <c r="C11" s="3066" t="s">
        <v>413</v>
      </c>
      <c r="D11" s="3066" t="str">
        <f>INDEX(Vectors[Description], MATCH($C11, Vectors[Code], 0))</f>
        <v>International aviation</v>
      </c>
      <c r="E11" s="506"/>
      <c r="F11" s="2902">
        <f>(Unit.TWh)*'Irl. Energy Balance 2013 (TWh)'!AM52</f>
        <v>7.0155149583831626</v>
      </c>
      <c r="G11" s="2902"/>
      <c r="H11" s="3067">
        <v>4.1609854264046602</v>
      </c>
      <c r="I11" s="3067">
        <v>4.0332674265412933</v>
      </c>
      <c r="J11" s="3067">
        <v>3.5090199166616971</v>
      </c>
      <c r="K11" s="3067">
        <v>5.2091440937666027</v>
      </c>
      <c r="L11" s="3067">
        <v>4.6135761638650523</v>
      </c>
      <c r="M11" s="3067">
        <v>4.4774945766940677</v>
      </c>
      <c r="N11" s="3067">
        <v>4.1084174131665385</v>
      </c>
      <c r="O11" s="3067">
        <v>4.9696298611759682</v>
      </c>
      <c r="P11" s="3067">
        <v>5.1165280958506374</v>
      </c>
      <c r="Q11" s="3067">
        <v>6.0585178378310447</v>
      </c>
      <c r="R11" s="3067">
        <v>7.0433742018438181</v>
      </c>
      <c r="S11" s="3067">
        <v>8.5161436173258487</v>
      </c>
      <c r="T11" s="3067">
        <v>9.0557024273748681</v>
      </c>
      <c r="U11" s="3067">
        <v>8.8393067676986998</v>
      </c>
      <c r="V11" s="3067">
        <v>8.3782902431359112</v>
      </c>
      <c r="W11" s="3067">
        <v>9.7337592460982485</v>
      </c>
      <c r="X11" s="3067">
        <v>11.210171905930206</v>
      </c>
      <c r="Y11" s="3067">
        <v>11.87687841239368</v>
      </c>
      <c r="Z11" s="3067">
        <v>11.04303892982162</v>
      </c>
      <c r="AA11" s="3067">
        <v>8.716805263641108</v>
      </c>
      <c r="AB11" s="3067">
        <v>9.0069541333610079</v>
      </c>
      <c r="AC11" s="3067">
        <v>8.0697424853789883</v>
      </c>
      <c r="AD11" s="3067">
        <v>6.7758556823040941</v>
      </c>
      <c r="AE11" s="3067"/>
      <c r="AF11" s="3067"/>
      <c r="AG11" s="3067"/>
      <c r="AH11" s="3067"/>
      <c r="AI11" s="3067"/>
      <c r="AJ11" s="3067"/>
      <c r="AK11" s="3067"/>
      <c r="AL11" s="3067"/>
      <c r="AM11" s="3067"/>
      <c r="AN11" s="3067"/>
      <c r="AO11" s="3067"/>
      <c r="AP11" s="3067"/>
      <c r="AQ11" s="3067"/>
      <c r="AR11" s="3067"/>
      <c r="AS11" s="3067"/>
      <c r="AT11" s="3067"/>
      <c r="AU11" s="3067"/>
      <c r="AV11" s="3067"/>
      <c r="AW11" s="3067"/>
      <c r="AX11" s="506"/>
      <c r="AY11" s="2902">
        <f ca="1">INDEX(INDIRECT("'"&amp;AY$4&amp;"'!Year.NetBalance"), MATCH('Intermediate output'!$C11, INDIRECT("'"&amp;AY$4&amp;"'!Year.Vectors"), 0))</f>
        <v>7.02</v>
      </c>
      <c r="AZ11" s="2902">
        <f ca="1">INDEX(INDIRECT("'"&amp;AZ$4&amp;"'!Year.NetBalance"), MATCH('Intermediate output'!$C11, INDIRECT("'"&amp;AZ$4&amp;"'!Year.Vectors"), 0))</f>
        <v>6.8942086199999997</v>
      </c>
      <c r="BA11" s="2902">
        <f ca="1">INDEX(INDIRECT("'"&amp;BA$4&amp;"'!Year.NetBalance"), MATCH('Intermediate output'!$C11, INDIRECT("'"&amp;BA$4&amp;"'!Year.Vectors"), 0))</f>
        <v>7.4554183878892841</v>
      </c>
      <c r="BB11" s="2902">
        <f ca="1">INDEX(INDIRECT("'"&amp;BB$4&amp;"'!Year.NetBalance"), MATCH('Intermediate output'!$C11, INDIRECT("'"&amp;BB$4&amp;"'!Year.Vectors"), 0))</f>
        <v>8.0623123555082739</v>
      </c>
      <c r="BC11" s="2902">
        <f ca="1">INDEX(INDIRECT("'"&amp;BC$4&amp;"'!Year.NetBalance"), MATCH('Intermediate output'!$C11, INDIRECT("'"&amp;BC$4&amp;"'!Year.Vectors"), 0))</f>
        <v>8.7186093571046239</v>
      </c>
      <c r="BD11" s="2902">
        <f ca="1">INDEX(INDIRECT("'"&amp;BD$4&amp;"'!Year.NetBalance"), MATCH('Intermediate output'!$C11, INDIRECT("'"&amp;BD$4&amp;"'!Year.Vectors"), 0))</f>
        <v>9.4283309514618914</v>
      </c>
      <c r="BE11" s="2902">
        <f ca="1">INDEX(INDIRECT("'"&amp;BE$4&amp;"'!Year.NetBalance"), MATCH('Intermediate output'!$C11, INDIRECT("'"&amp;BE$4&amp;"'!Year.Vectors"), 0))</f>
        <v>10.195826064607054</v>
      </c>
      <c r="BF11" s="2902">
        <f ca="1">INDEX(INDIRECT("'"&amp;BF$4&amp;"'!Year.NetBalance"), MATCH('Intermediate output'!$C11, INDIRECT("'"&amp;BF$4&amp;"'!Year.Vectors"), 0))</f>
        <v>11.025797638510145</v>
      </c>
      <c r="BG11" s="2902">
        <f ca="1">INDEX(INDIRECT("'"&amp;BG$4&amp;"'!Year.NetBalance"), MATCH('Intermediate output'!$C11, INDIRECT("'"&amp;BG$4&amp;"'!Year.Vectors"), 0))</f>
        <v>11.923331449069897</v>
      </c>
      <c r="BH11" s="3068"/>
      <c r="BJ11" s="3064"/>
      <c r="BK11" s="3066"/>
      <c r="BL11" s="3066"/>
      <c r="BM11" s="506"/>
      <c r="BN11" s="2902"/>
      <c r="BO11" s="2902"/>
      <c r="BP11" s="3067"/>
      <c r="BQ11" s="3067"/>
      <c r="BR11" s="3067"/>
      <c r="BS11" s="3067"/>
      <c r="BT11" s="3067"/>
      <c r="BU11" s="3067"/>
    </row>
    <row r="12" spans="1:83" s="918" customFormat="1">
      <c r="B12" s="3064"/>
      <c r="C12" s="3066" t="s">
        <v>414</v>
      </c>
      <c r="D12" s="3066" t="str">
        <f>INDEX(Vectors[Description], MATCH($C12, Vectors[Code], 0))</f>
        <v>International shipping</v>
      </c>
      <c r="E12" s="506"/>
      <c r="F12" s="2902"/>
      <c r="G12" s="2902"/>
      <c r="H12" s="3067"/>
      <c r="I12" s="3067"/>
      <c r="J12" s="3067"/>
      <c r="K12" s="3067"/>
      <c r="L12" s="3067"/>
      <c r="M12" s="3067"/>
      <c r="N12" s="3067"/>
      <c r="O12" s="3067"/>
      <c r="P12" s="3067"/>
      <c r="Q12" s="3067"/>
      <c r="R12" s="3067"/>
      <c r="S12" s="3067"/>
      <c r="T12" s="3067"/>
      <c r="U12" s="3067"/>
      <c r="V12" s="3067"/>
      <c r="W12" s="3067"/>
      <c r="X12" s="3067"/>
      <c r="Y12" s="3067"/>
      <c r="Z12" s="3067"/>
      <c r="AA12" s="3067"/>
      <c r="AB12" s="3069"/>
      <c r="AC12" s="3069"/>
      <c r="AD12" s="3069"/>
      <c r="AE12" s="3069"/>
      <c r="AF12" s="3069"/>
      <c r="AG12" s="3069"/>
      <c r="AH12" s="3069"/>
      <c r="AI12" s="3069"/>
      <c r="AJ12" s="3069"/>
      <c r="AK12" s="3069"/>
      <c r="AL12" s="3069"/>
      <c r="AM12" s="3069"/>
      <c r="AN12" s="3069"/>
      <c r="AO12" s="3069"/>
      <c r="AP12" s="3069"/>
      <c r="AQ12" s="3069"/>
      <c r="AR12" s="3069"/>
      <c r="AS12" s="3067"/>
      <c r="AT12" s="3067"/>
      <c r="AU12" s="3067"/>
      <c r="AV12" s="3067"/>
      <c r="AW12" s="3067"/>
      <c r="AX12" s="506"/>
      <c r="AY12" s="2902">
        <f ca="1">INDEX(INDIRECT("'"&amp;AY$4&amp;"'!Year.NetBalance"), MATCH('Intermediate output'!$C12, INDIRECT("'"&amp;AY$4&amp;"'!Year.Vectors"), 0))</f>
        <v>0</v>
      </c>
      <c r="AZ12" s="2902">
        <f ca="1">INDEX(INDIRECT("'"&amp;AZ$4&amp;"'!Year.NetBalance"), MATCH('Intermediate output'!$C12, INDIRECT("'"&amp;AZ$4&amp;"'!Year.Vectors"), 0))</f>
        <v>0</v>
      </c>
      <c r="BA12" s="2902">
        <f ca="1">INDEX(INDIRECT("'"&amp;BA$4&amp;"'!Year.NetBalance"), MATCH('Intermediate output'!$C12, INDIRECT("'"&amp;BA$4&amp;"'!Year.Vectors"), 0))</f>
        <v>0</v>
      </c>
      <c r="BB12" s="2902">
        <f ca="1">INDEX(INDIRECT("'"&amp;BB$4&amp;"'!Year.NetBalance"), MATCH('Intermediate output'!$C12, INDIRECT("'"&amp;BB$4&amp;"'!Year.Vectors"), 0))</f>
        <v>0</v>
      </c>
      <c r="BC12" s="2902">
        <f ca="1">INDEX(INDIRECT("'"&amp;BC$4&amp;"'!Year.NetBalance"), MATCH('Intermediate output'!$C12, INDIRECT("'"&amp;BC$4&amp;"'!Year.Vectors"), 0))</f>
        <v>0</v>
      </c>
      <c r="BD12" s="2902">
        <f ca="1">INDEX(INDIRECT("'"&amp;BD$4&amp;"'!Year.NetBalance"), MATCH('Intermediate output'!$C12, INDIRECT("'"&amp;BD$4&amp;"'!Year.Vectors"), 0))</f>
        <v>0</v>
      </c>
      <c r="BE12" s="2902">
        <f ca="1">INDEX(INDIRECT("'"&amp;BE$4&amp;"'!Year.NetBalance"), MATCH('Intermediate output'!$C12, INDIRECT("'"&amp;BE$4&amp;"'!Year.Vectors"), 0))</f>
        <v>0</v>
      </c>
      <c r="BF12" s="2902">
        <f ca="1">INDEX(INDIRECT("'"&amp;BF$4&amp;"'!Year.NetBalance"), MATCH('Intermediate output'!$C12, INDIRECT("'"&amp;BF$4&amp;"'!Year.Vectors"), 0))</f>
        <v>0</v>
      </c>
      <c r="BG12" s="2902">
        <f ca="1">INDEX(INDIRECT("'"&amp;BG$4&amp;"'!Year.NetBalance"), MATCH('Intermediate output'!$C12, INDIRECT("'"&amp;BG$4&amp;"'!Year.Vectors"), 0))</f>
        <v>0</v>
      </c>
      <c r="BH12" s="3068"/>
      <c r="BJ12" s="3064"/>
      <c r="BK12" s="3066"/>
      <c r="BL12" s="3066"/>
      <c r="BM12" s="506"/>
      <c r="BN12" s="2902"/>
      <c r="BO12" s="2902"/>
      <c r="BP12" s="3067"/>
      <c r="BQ12" s="3067"/>
      <c r="BR12" s="3067"/>
      <c r="BS12" s="3067"/>
      <c r="BT12" s="3067"/>
      <c r="BU12" s="3067"/>
    </row>
    <row r="13" spans="1:83">
      <c r="B13" s="505"/>
      <c r="C13" s="506"/>
      <c r="D13" s="506" t="s">
        <v>482</v>
      </c>
      <c r="E13" s="506"/>
      <c r="F13" s="3071">
        <f>(Unit.TWh)*('Irl. Energy Balance 2013 (TWh)'!AM45-'Irl. Energy Balance 2013 (TWh)'!AM53)</f>
        <v>46.852574118890431</v>
      </c>
      <c r="G13" s="3071"/>
      <c r="H13" s="3072">
        <f>SUM(H7:H12)</f>
        <v>23.279371415448324</v>
      </c>
      <c r="I13" s="3072">
        <f t="shared" ref="I13:AD13" si="0">SUM(I7:I12)</f>
        <v>23.853057836725608</v>
      </c>
      <c r="J13" s="3072">
        <f t="shared" si="0"/>
        <v>24.936709972715878</v>
      </c>
      <c r="K13" s="3072">
        <f t="shared" si="0"/>
        <v>26.590228716222597</v>
      </c>
      <c r="L13" s="3072">
        <f t="shared" si="0"/>
        <v>26.85561764845475</v>
      </c>
      <c r="M13" s="3072">
        <f t="shared" si="0"/>
        <v>27.285018400027749</v>
      </c>
      <c r="N13" s="3072">
        <f t="shared" si="0"/>
        <v>30.601129768740591</v>
      </c>
      <c r="O13" s="3072">
        <f t="shared" si="0"/>
        <v>31.074630213737944</v>
      </c>
      <c r="P13" s="3072">
        <f t="shared" si="0"/>
        <v>34.035783340521341</v>
      </c>
      <c r="Q13" s="3072">
        <f t="shared" si="0"/>
        <v>36.337476557182526</v>
      </c>
      <c r="R13" s="3072">
        <f t="shared" si="0"/>
        <v>39.067389359268411</v>
      </c>
      <c r="S13" s="3072">
        <f t="shared" si="0"/>
        <v>43.046276594602276</v>
      </c>
      <c r="T13" s="3072">
        <f t="shared" si="0"/>
        <v>43.961662842651904</v>
      </c>
      <c r="U13" s="3072">
        <f t="shared" si="0"/>
        <v>45.474599750318056</v>
      </c>
      <c r="V13" s="3072">
        <f t="shared" si="0"/>
        <v>48.20176544933382</v>
      </c>
      <c r="W13" s="3072">
        <f t="shared" si="0"/>
        <v>53.095442259352083</v>
      </c>
      <c r="X13" s="3072">
        <f t="shared" si="0"/>
        <v>57.001410668688322</v>
      </c>
      <c r="Y13" s="3072">
        <f t="shared" si="0"/>
        <v>58.799647462333972</v>
      </c>
      <c r="Z13" s="3072">
        <f t="shared" si="0"/>
        <v>58.45539437664489</v>
      </c>
      <c r="AA13" s="3072">
        <f t="shared" si="0"/>
        <v>53.011116431157689</v>
      </c>
      <c r="AB13" s="3072">
        <f t="shared" si="0"/>
        <v>49.403036639969145</v>
      </c>
      <c r="AC13" s="3072">
        <f t="shared" si="0"/>
        <v>47.845735248727593</v>
      </c>
      <c r="AD13" s="3072">
        <f t="shared" si="0"/>
        <v>45.241825359400934</v>
      </c>
      <c r="AE13" s="3072"/>
      <c r="AF13" s="3072"/>
      <c r="AG13" s="3072"/>
      <c r="AH13" s="3072"/>
      <c r="AI13" s="3072"/>
      <c r="AJ13" s="3072"/>
      <c r="AK13" s="3072"/>
      <c r="AL13" s="3072"/>
      <c r="AM13" s="3072"/>
      <c r="AN13" s="3072"/>
      <c r="AO13" s="3072"/>
      <c r="AP13" s="3072"/>
      <c r="AQ13" s="3072"/>
      <c r="AR13" s="3072"/>
      <c r="AS13" s="3072"/>
      <c r="AT13" s="3072"/>
      <c r="AU13" s="3072"/>
      <c r="AV13" s="3072"/>
      <c r="AW13" s="3067"/>
      <c r="AX13" s="506"/>
      <c r="AY13" s="3609">
        <f ca="1">SUM(AY7:AY12)</f>
        <v>47.137624510367047</v>
      </c>
      <c r="AZ13" s="3609">
        <f t="shared" ref="AZ13:BG13" ca="1" si="1">SUM(AZ7:AZ12)</f>
        <v>48.239510961258105</v>
      </c>
      <c r="BA13" s="3609">
        <f t="shared" ca="1" si="1"/>
        <v>51.180030655838493</v>
      </c>
      <c r="BB13" s="3609">
        <f t="shared" ca="1" si="1"/>
        <v>52.732967107169138</v>
      </c>
      <c r="BC13" s="3609">
        <f t="shared" ca="1" si="1"/>
        <v>54.258080307841006</v>
      </c>
      <c r="BD13" s="3609">
        <f t="shared" ca="1" si="1"/>
        <v>55.986017680161169</v>
      </c>
      <c r="BE13" s="3609">
        <f t="shared" ca="1" si="1"/>
        <v>57.757194210773235</v>
      </c>
      <c r="BF13" s="3609">
        <f t="shared" ca="1" si="1"/>
        <v>59.759131475582819</v>
      </c>
      <c r="BG13" s="3609">
        <f t="shared" ca="1" si="1"/>
        <v>61.153249218652945</v>
      </c>
      <c r="BH13" s="3073"/>
      <c r="BJ13" s="505"/>
      <c r="BK13" s="506"/>
      <c r="BL13" s="506"/>
      <c r="BM13" s="506"/>
      <c r="BN13" s="3071"/>
      <c r="BO13" s="3071"/>
      <c r="BP13" s="3072"/>
      <c r="BQ13" s="3072"/>
      <c r="BR13" s="3072"/>
      <c r="BS13" s="3072"/>
      <c r="BT13" s="3072"/>
      <c r="BU13" s="3072"/>
    </row>
    <row r="14" spans="1:83">
      <c r="B14" s="505"/>
      <c r="C14" s="3074" t="s">
        <v>408</v>
      </c>
      <c r="D14" s="506" t="str">
        <f>INDEX(Vectors[Description], MATCH($C14, Vectors[Code], 0))</f>
        <v>Industry</v>
      </c>
      <c r="E14" s="506" t="s">
        <v>2964</v>
      </c>
      <c r="F14" s="3071">
        <f>(Unit.TWh)*('Irl. Energy Balance 2013 (TWh)'!AM31+'Irl. Energy Balance 2013 (TWh)'!AM60)</f>
        <v>28.598401010584517</v>
      </c>
      <c r="G14" s="3071"/>
      <c r="H14" s="3072">
        <v>22.930794944891559</v>
      </c>
      <c r="I14" s="3072">
        <v>23.598475591702293</v>
      </c>
      <c r="J14" s="3072">
        <v>23.007145927513122</v>
      </c>
      <c r="K14" s="3072">
        <v>24.064511220835591</v>
      </c>
      <c r="L14" s="3072">
        <v>25.806881554003002</v>
      </c>
      <c r="M14" s="3072">
        <v>26.986513254400275</v>
      </c>
      <c r="N14" s="3072">
        <v>26.185282497827089</v>
      </c>
      <c r="O14" s="3072">
        <v>27.943019437701548</v>
      </c>
      <c r="P14" s="3072">
        <v>28.779232779913301</v>
      </c>
      <c r="Q14" s="3072">
        <v>29.915788507782938</v>
      </c>
      <c r="R14" s="3072">
        <v>33.331664888186801</v>
      </c>
      <c r="S14" s="3072">
        <v>33.096141770057301</v>
      </c>
      <c r="T14" s="3072">
        <v>32.143967226966168</v>
      </c>
      <c r="U14" s="3072">
        <v>32.213613861149071</v>
      </c>
      <c r="V14" s="3072">
        <v>32.617348757146821</v>
      </c>
      <c r="W14" s="3072">
        <v>34.532396078199376</v>
      </c>
      <c r="X14" s="3072">
        <v>34.817157148800042</v>
      </c>
      <c r="Y14" s="3072">
        <v>33.696010882809787</v>
      </c>
      <c r="Z14" s="3072">
        <v>32.890069357900636</v>
      </c>
      <c r="AA14" s="3072">
        <v>28.845288386653714</v>
      </c>
      <c r="AB14" s="3072">
        <v>29.429715932241756</v>
      </c>
      <c r="AC14" s="3072">
        <v>28.964628159027615</v>
      </c>
      <c r="AD14" s="3072">
        <v>28.595049388405933</v>
      </c>
      <c r="AE14" s="3072"/>
      <c r="AF14" s="3072"/>
      <c r="AG14" s="3072"/>
      <c r="AH14" s="3072"/>
      <c r="AI14" s="3072"/>
      <c r="AJ14" s="3072"/>
      <c r="AK14" s="3072"/>
      <c r="AL14" s="3072"/>
      <c r="AM14" s="3072"/>
      <c r="AN14" s="3072"/>
      <c r="AO14" s="3072"/>
      <c r="AP14" s="3072"/>
      <c r="AQ14" s="3072"/>
      <c r="AR14" s="3072"/>
      <c r="AS14" s="3072"/>
      <c r="AT14" s="3072"/>
      <c r="AU14" s="3072"/>
      <c r="AV14" s="3072"/>
      <c r="AW14" s="3067"/>
      <c r="AX14" s="506"/>
      <c r="AY14" s="3609">
        <f ca="1">INDEX(INDIRECT("'"&amp;AY$4&amp;"'!Year.NetBalance"), MATCH('Intermediate output'!$C14, INDIRECT("'"&amp;AY$4&amp;"'!Year.Vectors"), 0))</f>
        <v>28.675543224779016</v>
      </c>
      <c r="AZ14" s="3609">
        <f ca="1">INDEX(INDIRECT("'"&amp;AZ$4&amp;"'!Year.NetBalance"), MATCH('Intermediate output'!$C14, INDIRECT("'"&amp;AZ$4&amp;"'!Year.Vectors"), 0))</f>
        <v>29.571616266227064</v>
      </c>
      <c r="BA14" s="3609">
        <f ca="1">INDEX(INDIRECT("'"&amp;BA$4&amp;"'!Year.NetBalance"), MATCH('Intermediate output'!$C14, INDIRECT("'"&amp;BA$4&amp;"'!Year.Vectors"), 0))</f>
        <v>33.849866348584726</v>
      </c>
      <c r="BB14" s="3609">
        <f ca="1">INDEX(INDIRECT("'"&amp;BB$4&amp;"'!Year.NetBalance"), MATCH('Intermediate output'!$C14, INDIRECT("'"&amp;BB$4&amp;"'!Year.Vectors"), 0))</f>
        <v>34.516085234770344</v>
      </c>
      <c r="BC14" s="3609">
        <f ca="1">INDEX(INDIRECT("'"&amp;BC$4&amp;"'!Year.NetBalance"), MATCH('Intermediate output'!$C14, INDIRECT("'"&amp;BC$4&amp;"'!Year.Vectors"), 0))</f>
        <v>36.391704965243136</v>
      </c>
      <c r="BD14" s="3609">
        <f ca="1">INDEX(INDIRECT("'"&amp;BD$4&amp;"'!Year.NetBalance"), MATCH('Intermediate output'!$C14, INDIRECT("'"&amp;BD$4&amp;"'!Year.Vectors"), 0))</f>
        <v>39.204647409941131</v>
      </c>
      <c r="BE14" s="3609">
        <f ca="1">INDEX(INDIRECT("'"&amp;BE$4&amp;"'!Year.NetBalance"), MATCH('Intermediate output'!$C14, INDIRECT("'"&amp;BE$4&amp;"'!Year.Vectors"), 0))</f>
        <v>42.29943877073584</v>
      </c>
      <c r="BF14" s="3609">
        <f ca="1">INDEX(INDIRECT("'"&amp;BF$4&amp;"'!Year.NetBalance"), MATCH('Intermediate output'!$C14, INDIRECT("'"&amp;BF$4&amp;"'!Year.Vectors"), 0))</f>
        <v>45.705285254959719</v>
      </c>
      <c r="BG14" s="3609">
        <f ca="1">INDEX(INDIRECT("'"&amp;BG$4&amp;"'!Year.NetBalance"), MATCH('Intermediate output'!$C14, INDIRECT("'"&amp;BG$4&amp;"'!Year.Vectors"), 0))</f>
        <v>49.454475610191139</v>
      </c>
      <c r="BH14" s="3073"/>
      <c r="BJ14" s="505"/>
      <c r="BK14" s="3074"/>
      <c r="BL14" s="506"/>
      <c r="BM14" s="506"/>
      <c r="BN14" s="3071"/>
      <c r="BO14" s="3071"/>
      <c r="BP14" s="3072"/>
      <c r="BQ14" s="3072"/>
      <c r="BR14" s="3072"/>
      <c r="BS14" s="3072"/>
      <c r="BT14" s="3072"/>
      <c r="BU14" s="3072"/>
    </row>
    <row r="15" spans="1:83">
      <c r="B15" s="505"/>
      <c r="C15" s="3074" t="s">
        <v>102</v>
      </c>
      <c r="D15" s="506" t="str">
        <f>INDEX(Vectors[Description], MATCH($C15, Vectors[Code], 0))</f>
        <v>Heating and cooling</v>
      </c>
      <c r="E15" s="506"/>
      <c r="F15" s="4324">
        <f>(Unit.TWh)*SUM('Irl. Energy Balance 2013 (TWh)'!AM56:AM57)</f>
        <v>47.249915781655346</v>
      </c>
      <c r="G15" s="3071"/>
      <c r="H15" s="4323">
        <v>37.901105279936694</v>
      </c>
      <c r="I15" s="4323">
        <v>38.993687716877758</v>
      </c>
      <c r="J15" s="4323">
        <v>37.069038624034228</v>
      </c>
      <c r="K15" s="4323">
        <v>37.479056237807612</v>
      </c>
      <c r="L15" s="4323">
        <v>38.581364722834849</v>
      </c>
      <c r="M15" s="4323">
        <v>38.224339076787864</v>
      </c>
      <c r="N15" s="4323">
        <v>39.866432123253531</v>
      </c>
      <c r="O15" s="4323">
        <v>39.500474667428705</v>
      </c>
      <c r="P15" s="4323">
        <v>41.736927896031006</v>
      </c>
      <c r="Q15" s="4323">
        <v>43.07503818420539</v>
      </c>
      <c r="R15" s="4323">
        <v>44.714020284848907</v>
      </c>
      <c r="S15" s="4323">
        <v>46.860956486342097</v>
      </c>
      <c r="T15" s="4323">
        <v>47.054344834132216</v>
      </c>
      <c r="U15" s="4323">
        <v>49.631317718987461</v>
      </c>
      <c r="V15" s="4323">
        <v>50.137501123865306</v>
      </c>
      <c r="W15" s="4323">
        <v>52.43843230169422</v>
      </c>
      <c r="X15" s="4323">
        <v>52.05481018599864</v>
      </c>
      <c r="Y15" s="4323">
        <v>52.283855425932252</v>
      </c>
      <c r="Z15" s="4323">
        <v>56.997330000387592</v>
      </c>
      <c r="AA15" s="4323">
        <v>53.682447071058988</v>
      </c>
      <c r="AB15" s="4323">
        <v>55.148046103041644</v>
      </c>
      <c r="AC15" s="4323">
        <v>48.605544019783224</v>
      </c>
      <c r="AD15" s="4323">
        <v>47.197360353830433</v>
      </c>
      <c r="AE15" s="3072"/>
      <c r="AF15" s="3072"/>
      <c r="AG15" s="3072"/>
      <c r="AH15" s="3072"/>
      <c r="AI15" s="3072"/>
      <c r="AJ15" s="3072"/>
      <c r="AK15" s="3072"/>
      <c r="AL15" s="3072"/>
      <c r="AM15" s="3072"/>
      <c r="AN15" s="3072"/>
      <c r="AO15" s="3072"/>
      <c r="AP15" s="3072"/>
      <c r="AQ15" s="3072"/>
      <c r="AR15" s="3072"/>
      <c r="AS15" s="3072"/>
      <c r="AT15" s="3072"/>
      <c r="AU15" s="3072"/>
      <c r="AV15" s="3072"/>
      <c r="AW15" s="3067"/>
      <c r="AX15" s="506"/>
      <c r="AY15" s="3609">
        <f ca="1">INDEX(INDIRECT("'"&amp;AY$4&amp;"'!Year.NetBalance"), MATCH('Intermediate output'!$C15, INDIRECT("'"&amp;AY$4&amp;"'!Year.Vectors"), 0))</f>
        <v>37.580937210387134</v>
      </c>
      <c r="AZ15" s="3609">
        <f ca="1">INDEX(INDIRECT("'"&amp;AZ$4&amp;"'!Year.NetBalance"), MATCH('Intermediate output'!$C15, INDIRECT("'"&amp;AZ$4&amp;"'!Year.Vectors"), 0))</f>
        <v>38.053120882448788</v>
      </c>
      <c r="BA15" s="3609">
        <f ca="1">INDEX(INDIRECT("'"&amp;BA$4&amp;"'!Year.NetBalance"), MATCH('Intermediate output'!$C15, INDIRECT("'"&amp;BA$4&amp;"'!Year.Vectors"), 0))</f>
        <v>38.706446706551574</v>
      </c>
      <c r="BB15" s="3609">
        <f ca="1">INDEX(INDIRECT("'"&amp;BB$4&amp;"'!Year.NetBalance"), MATCH('Intermediate output'!$C15, INDIRECT("'"&amp;BB$4&amp;"'!Year.Vectors"), 0))</f>
        <v>40.345847182119613</v>
      </c>
      <c r="BC15" s="3609">
        <f ca="1">INDEX(INDIRECT("'"&amp;BC$4&amp;"'!Year.NetBalance"), MATCH('Intermediate output'!$C15, INDIRECT("'"&amp;BC$4&amp;"'!Year.Vectors"), 0))</f>
        <v>41.868828503935063</v>
      </c>
      <c r="BD15" s="3609">
        <f ca="1">INDEX(INDIRECT("'"&amp;BD$4&amp;"'!Year.NetBalance"), MATCH('Intermediate output'!$C15, INDIRECT("'"&amp;BD$4&amp;"'!Year.Vectors"), 0))</f>
        <v>43.41920856398503</v>
      </c>
      <c r="BE15" s="3609">
        <f ca="1">INDEX(INDIRECT("'"&amp;BE$4&amp;"'!Year.NetBalance"), MATCH('Intermediate output'!$C15, INDIRECT("'"&amp;BE$4&amp;"'!Year.Vectors"), 0))</f>
        <v>44.991607222661436</v>
      </c>
      <c r="BF15" s="3609">
        <f ca="1">INDEX(INDIRECT("'"&amp;BF$4&amp;"'!Year.NetBalance"), MATCH('Intermediate output'!$C15, INDIRECT("'"&amp;BF$4&amp;"'!Year.Vectors"), 0))</f>
        <v>46.513567046398222</v>
      </c>
      <c r="BG15" s="3609">
        <f ca="1">INDEX(INDIRECT("'"&amp;BG$4&amp;"'!Year.NetBalance"), MATCH('Intermediate output'!$C15, INDIRECT("'"&amp;BG$4&amp;"'!Year.Vectors"), 0))</f>
        <v>48.057882978926571</v>
      </c>
      <c r="BH15" s="3073"/>
      <c r="BJ15" s="505"/>
      <c r="BK15" s="3074"/>
      <c r="BL15" s="506"/>
      <c r="BM15" s="506"/>
      <c r="BN15" s="4324"/>
      <c r="BO15" s="3071"/>
      <c r="BP15" s="4323"/>
      <c r="BQ15" s="4323"/>
      <c r="BR15" s="4323"/>
      <c r="BS15" s="4323"/>
      <c r="BT15" s="4323"/>
      <c r="BU15" s="4323"/>
    </row>
    <row r="16" spans="1:83">
      <c r="B16" s="505"/>
      <c r="C16" s="3074" t="s">
        <v>407</v>
      </c>
      <c r="D16" s="506" t="str">
        <f>INDEX(Vectors[Description], MATCH($C16, Vectors[Code], 0))</f>
        <v>Lighting &amp; appliances</v>
      </c>
      <c r="E16" s="506"/>
      <c r="F16" s="4324"/>
      <c r="G16" s="3071"/>
      <c r="H16" s="4323"/>
      <c r="I16" s="4323">
        <v>38.993687716877758</v>
      </c>
      <c r="J16" s="4323">
        <v>37.069038624034228</v>
      </c>
      <c r="K16" s="4323">
        <v>37.479056237807612</v>
      </c>
      <c r="L16" s="4323">
        <v>38.581364722834849</v>
      </c>
      <c r="M16" s="4323">
        <v>38.224339076787864</v>
      </c>
      <c r="N16" s="4323">
        <v>39.866432123253531</v>
      </c>
      <c r="O16" s="4323">
        <v>39.500474667428705</v>
      </c>
      <c r="P16" s="4323">
        <v>41.736927896031006</v>
      </c>
      <c r="Q16" s="4323">
        <v>43.07503818420539</v>
      </c>
      <c r="R16" s="4323">
        <v>44.714020284848907</v>
      </c>
      <c r="S16" s="4323">
        <v>46.860956486342097</v>
      </c>
      <c r="T16" s="4323">
        <v>47.054344834132216</v>
      </c>
      <c r="U16" s="4323">
        <v>49.631317718987461</v>
      </c>
      <c r="V16" s="4323">
        <v>50.137501123865306</v>
      </c>
      <c r="W16" s="4323">
        <v>52.43843230169422</v>
      </c>
      <c r="X16" s="4323">
        <v>52.05481018599864</v>
      </c>
      <c r="Y16" s="4323">
        <v>52.283855425932252</v>
      </c>
      <c r="Z16" s="4323">
        <v>56.997330000387592</v>
      </c>
      <c r="AA16" s="4323">
        <v>53.682447071058988</v>
      </c>
      <c r="AB16" s="4323">
        <v>55.148046103041644</v>
      </c>
      <c r="AC16" s="4323">
        <v>48.605544019783224</v>
      </c>
      <c r="AD16" s="4323">
        <v>47.197360353830433</v>
      </c>
      <c r="AE16" s="3072"/>
      <c r="AF16" s="3072"/>
      <c r="AG16" s="3072"/>
      <c r="AH16" s="3072"/>
      <c r="AI16" s="3072"/>
      <c r="AJ16" s="3072"/>
      <c r="AK16" s="3072"/>
      <c r="AL16" s="3072"/>
      <c r="AM16" s="3072"/>
      <c r="AN16" s="3072"/>
      <c r="AO16" s="3072"/>
      <c r="AP16" s="3072"/>
      <c r="AQ16" s="3072"/>
      <c r="AR16" s="3072"/>
      <c r="AS16" s="3072"/>
      <c r="AT16" s="3072"/>
      <c r="AU16" s="3072"/>
      <c r="AV16" s="3072"/>
      <c r="AW16" s="3067"/>
      <c r="AX16" s="506"/>
      <c r="AY16" s="3609">
        <f ca="1">INDEX(INDIRECT("'"&amp;AY$4&amp;"'!Year.NetBalance"), MATCH('Intermediate output'!$C16, INDIRECT("'"&amp;AY$4&amp;"'!Year.Vectors"), 0))</f>
        <v>9.9969722741160645</v>
      </c>
      <c r="AZ16" s="3609">
        <f ca="1">INDEX(INDIRECT("'"&amp;AZ$4&amp;"'!Year.NetBalance"), MATCH('Intermediate output'!$C16, INDIRECT("'"&amp;AZ$4&amp;"'!Year.Vectors"), 0))</f>
        <v>10.171449921149492</v>
      </c>
      <c r="BA16" s="3609">
        <f ca="1">INDEX(INDIRECT("'"&amp;BA$4&amp;"'!Year.NetBalance"), MATCH('Intermediate output'!$C16, INDIRECT("'"&amp;BA$4&amp;"'!Year.Vectors"), 0))</f>
        <v>10.471932632280287</v>
      </c>
      <c r="BB16" s="3609">
        <f ca="1">INDEX(INDIRECT("'"&amp;BB$4&amp;"'!Year.NetBalance"), MATCH('Intermediate output'!$C16, INDIRECT("'"&amp;BB$4&amp;"'!Year.Vectors"), 0))</f>
        <v>10.763652138289398</v>
      </c>
      <c r="BC16" s="3609">
        <f ca="1">INDEX(INDIRECT("'"&amp;BC$4&amp;"'!Year.NetBalance"), MATCH('Intermediate output'!$C16, INDIRECT("'"&amp;BC$4&amp;"'!Year.Vectors"), 0))</f>
        <v>11.030755299063758</v>
      </c>
      <c r="BD16" s="3609">
        <f ca="1">INDEX(INDIRECT("'"&amp;BD$4&amp;"'!Year.NetBalance"), MATCH('Intermediate output'!$C16, INDIRECT("'"&amp;BD$4&amp;"'!Year.Vectors"), 0))</f>
        <v>11.303980489562141</v>
      </c>
      <c r="BE16" s="3609">
        <f ca="1">INDEX(INDIRECT("'"&amp;BE$4&amp;"'!Year.NetBalance"), MATCH('Intermediate output'!$C16, INDIRECT("'"&amp;BE$4&amp;"'!Year.Vectors"), 0))</f>
        <v>11.582936791093138</v>
      </c>
      <c r="BF16" s="3609">
        <f ca="1">INDEX(INDIRECT("'"&amp;BF$4&amp;"'!Year.NetBalance"), MATCH('Intermediate output'!$C16, INDIRECT("'"&amp;BF$4&amp;"'!Year.Vectors"), 0))</f>
        <v>11.851775794774838</v>
      </c>
      <c r="BG16" s="3609">
        <f ca="1">INDEX(INDIRECT("'"&amp;BG$4&amp;"'!Year.NetBalance"), MATCH('Intermediate output'!$C16, INDIRECT("'"&amp;BG$4&amp;"'!Year.Vectors"), 0))</f>
        <v>12.155714431932322</v>
      </c>
      <c r="BH16" s="3073"/>
      <c r="BJ16" s="505"/>
      <c r="BK16" s="3074"/>
      <c r="BL16" s="506"/>
      <c r="BM16" s="506"/>
      <c r="BN16" s="4324"/>
      <c r="BO16" s="3071"/>
      <c r="BP16" s="4323"/>
      <c r="BQ16" s="4323"/>
      <c r="BR16" s="4323"/>
      <c r="BS16" s="4323"/>
      <c r="BT16" s="4323"/>
      <c r="BU16" s="4323"/>
    </row>
    <row r="17" spans="2:83">
      <c r="B17" s="505"/>
      <c r="C17" s="3074" t="s">
        <v>415</v>
      </c>
      <c r="D17" s="506" t="str">
        <f>INDEX(Vectors[Description], MATCH($C17, Vectors[Code], 0))</f>
        <v>Food consumption (unused)</v>
      </c>
      <c r="E17" s="506"/>
      <c r="F17" s="3071"/>
      <c r="G17" s="3071"/>
      <c r="H17" s="3072"/>
      <c r="I17" s="3072"/>
      <c r="J17" s="3072"/>
      <c r="K17" s="3072"/>
      <c r="L17" s="3072"/>
      <c r="M17" s="3072"/>
      <c r="N17" s="3072"/>
      <c r="O17" s="3072"/>
      <c r="P17" s="3072"/>
      <c r="Q17" s="3072"/>
      <c r="R17" s="3072"/>
      <c r="S17" s="3072"/>
      <c r="T17" s="3072"/>
      <c r="U17" s="3072"/>
      <c r="V17" s="3072"/>
      <c r="W17" s="3072"/>
      <c r="X17" s="3072"/>
      <c r="Y17" s="3072"/>
      <c r="Z17" s="3072"/>
      <c r="AA17" s="3072"/>
      <c r="AB17" s="3072"/>
      <c r="AC17" s="3072"/>
      <c r="AD17" s="3072"/>
      <c r="AE17" s="3072"/>
      <c r="AF17" s="3072"/>
      <c r="AG17" s="3072"/>
      <c r="AH17" s="3072"/>
      <c r="AI17" s="3072"/>
      <c r="AJ17" s="3072"/>
      <c r="AK17" s="3072"/>
      <c r="AL17" s="3072"/>
      <c r="AM17" s="3072"/>
      <c r="AN17" s="3072"/>
      <c r="AO17" s="3072"/>
      <c r="AP17" s="3072"/>
      <c r="AQ17" s="3072"/>
      <c r="AR17" s="3072"/>
      <c r="AS17" s="3072"/>
      <c r="AT17" s="3072"/>
      <c r="AU17" s="3072"/>
      <c r="AV17" s="3072"/>
      <c r="AW17" s="3075"/>
      <c r="AX17" s="506"/>
      <c r="AY17" s="2902">
        <f ca="1">INDEX(INDIRECT("'"&amp;AY$4&amp;"'!Year.NetBalance"), MATCH('Intermediate output'!$C17, INDIRECT("'"&amp;AY$4&amp;"'!Year.Vectors"), 0))</f>
        <v>0</v>
      </c>
      <c r="AZ17" s="2902">
        <f ca="1">INDEX(INDIRECT("'"&amp;AZ$4&amp;"'!Year.NetBalance"), MATCH('Intermediate output'!$C17, INDIRECT("'"&amp;AZ$4&amp;"'!Year.Vectors"), 0))</f>
        <v>0</v>
      </c>
      <c r="BA17" s="2902">
        <f ca="1">INDEX(INDIRECT("'"&amp;BA$4&amp;"'!Year.NetBalance"), MATCH('Intermediate output'!$C17, INDIRECT("'"&amp;BA$4&amp;"'!Year.Vectors"), 0))</f>
        <v>0</v>
      </c>
      <c r="BB17" s="2902">
        <f ca="1">INDEX(INDIRECT("'"&amp;BB$4&amp;"'!Year.NetBalance"), MATCH('Intermediate output'!$C17, INDIRECT("'"&amp;BB$4&amp;"'!Year.Vectors"), 0))</f>
        <v>0</v>
      </c>
      <c r="BC17" s="2902">
        <f ca="1">INDEX(INDIRECT("'"&amp;BC$4&amp;"'!Year.NetBalance"), MATCH('Intermediate output'!$C17, INDIRECT("'"&amp;BC$4&amp;"'!Year.Vectors"), 0))</f>
        <v>0</v>
      </c>
      <c r="BD17" s="2902">
        <f ca="1">INDEX(INDIRECT("'"&amp;BD$4&amp;"'!Year.NetBalance"), MATCH('Intermediate output'!$C17, INDIRECT("'"&amp;BD$4&amp;"'!Year.Vectors"), 0))</f>
        <v>0</v>
      </c>
      <c r="BE17" s="2902">
        <f ca="1">INDEX(INDIRECT("'"&amp;BE$4&amp;"'!Year.NetBalance"), MATCH('Intermediate output'!$C17, INDIRECT("'"&amp;BE$4&amp;"'!Year.Vectors"), 0))</f>
        <v>0</v>
      </c>
      <c r="BF17" s="2902">
        <f ca="1">INDEX(INDIRECT("'"&amp;BF$4&amp;"'!Year.NetBalance"), MATCH('Intermediate output'!$C17, INDIRECT("'"&amp;BF$4&amp;"'!Year.Vectors"), 0))</f>
        <v>0</v>
      </c>
      <c r="BG17" s="2902">
        <f ca="1">INDEX(INDIRECT("'"&amp;BG$4&amp;"'!Year.NetBalance"), MATCH('Intermediate output'!$C17, INDIRECT("'"&amp;BG$4&amp;"'!Year.Vectors"), 0))</f>
        <v>0</v>
      </c>
      <c r="BH17" s="3073"/>
      <c r="BJ17" s="505"/>
      <c r="BK17" s="3074"/>
      <c r="BL17" s="506"/>
      <c r="BM17" s="506"/>
      <c r="BN17" s="3071"/>
      <c r="BO17" s="3071"/>
      <c r="BP17" s="3072"/>
      <c r="BQ17" s="3072"/>
      <c r="BR17" s="3072"/>
      <c r="BS17" s="3072"/>
      <c r="BT17" s="3072"/>
      <c r="BU17" s="3072"/>
    </row>
    <row r="18" spans="2:83" s="372" customFormat="1" ht="18.5">
      <c r="B18" s="3076"/>
      <c r="C18" s="3077"/>
      <c r="D18" s="3078" t="s">
        <v>2460</v>
      </c>
      <c r="E18" s="506"/>
      <c r="F18" s="3079">
        <f>SUM(F13:F16)</f>
        <v>122.7008909111303</v>
      </c>
      <c r="G18" s="3080"/>
      <c r="H18" s="3075">
        <f>H13+H14+H15</f>
        <v>84.111271640276584</v>
      </c>
      <c r="I18" s="3075">
        <f>I13+I14+I15</f>
        <v>86.445221145305652</v>
      </c>
      <c r="J18" s="3075">
        <f t="shared" ref="J18:AD18" si="2">J13+J14+J15</f>
        <v>85.012894524263231</v>
      </c>
      <c r="K18" s="3075">
        <f t="shared" si="2"/>
        <v>88.133796174865807</v>
      </c>
      <c r="L18" s="3075">
        <f t="shared" si="2"/>
        <v>91.243863925292601</v>
      </c>
      <c r="M18" s="3075">
        <f t="shared" si="2"/>
        <v>92.495870731215888</v>
      </c>
      <c r="N18" s="3075">
        <f t="shared" si="2"/>
        <v>96.652844389821212</v>
      </c>
      <c r="O18" s="3075">
        <f t="shared" si="2"/>
        <v>98.518124318868189</v>
      </c>
      <c r="P18" s="3075">
        <f t="shared" si="2"/>
        <v>104.55194401646565</v>
      </c>
      <c r="Q18" s="3075">
        <f t="shared" si="2"/>
        <v>109.32830324917086</v>
      </c>
      <c r="R18" s="3075">
        <f t="shared" si="2"/>
        <v>117.11307453230413</v>
      </c>
      <c r="S18" s="3075">
        <f t="shared" si="2"/>
        <v>123.00337485100167</v>
      </c>
      <c r="T18" s="3075">
        <f t="shared" si="2"/>
        <v>123.15997490375028</v>
      </c>
      <c r="U18" s="3075">
        <f t="shared" si="2"/>
        <v>127.31953133045458</v>
      </c>
      <c r="V18" s="3075">
        <f t="shared" si="2"/>
        <v>130.95661533034593</v>
      </c>
      <c r="W18" s="3075">
        <f t="shared" si="2"/>
        <v>140.06627063924566</v>
      </c>
      <c r="X18" s="3075">
        <f t="shared" si="2"/>
        <v>143.87337800348701</v>
      </c>
      <c r="Y18" s="3075">
        <f t="shared" si="2"/>
        <v>144.77951377107601</v>
      </c>
      <c r="Z18" s="3075">
        <f t="shared" si="2"/>
        <v>148.34279373493311</v>
      </c>
      <c r="AA18" s="3075">
        <f t="shared" si="2"/>
        <v>135.5388518888704</v>
      </c>
      <c r="AB18" s="3075">
        <f t="shared" si="2"/>
        <v>133.98079867525254</v>
      </c>
      <c r="AC18" s="3075">
        <f t="shared" si="2"/>
        <v>125.41590742753843</v>
      </c>
      <c r="AD18" s="3075">
        <f t="shared" si="2"/>
        <v>121.03423510163729</v>
      </c>
      <c r="AE18" s="3075"/>
      <c r="AF18" s="3075"/>
      <c r="AG18" s="3075"/>
      <c r="AH18" s="3075"/>
      <c r="AI18" s="3075"/>
      <c r="AJ18" s="3075"/>
      <c r="AK18" s="3075"/>
      <c r="AL18" s="3075"/>
      <c r="AM18" s="3075"/>
      <c r="AN18" s="3075"/>
      <c r="AO18" s="3075"/>
      <c r="AP18" s="3075"/>
      <c r="AQ18" s="3075"/>
      <c r="AR18" s="3075"/>
      <c r="AS18" s="3075"/>
      <c r="AT18" s="3075"/>
      <c r="AU18" s="3075"/>
      <c r="AV18" s="3075"/>
      <c r="AW18" s="3075"/>
      <c r="AX18" s="506"/>
      <c r="AY18" s="3079">
        <f ca="1">AY13+AY14+AY15+AY16+AY17</f>
        <v>123.39107721964926</v>
      </c>
      <c r="AZ18" s="3079">
        <f t="shared" ref="AZ18:BG18" ca="1" si="3">AZ13+AZ14+AZ15+AZ16+AZ17</f>
        <v>126.03569803108344</v>
      </c>
      <c r="BA18" s="3079">
        <f t="shared" ca="1" si="3"/>
        <v>134.20827634325508</v>
      </c>
      <c r="BB18" s="3079">
        <f t="shared" ca="1" si="3"/>
        <v>138.3585516623485</v>
      </c>
      <c r="BC18" s="3079">
        <f t="shared" ca="1" si="3"/>
        <v>143.54936907608297</v>
      </c>
      <c r="BD18" s="3079">
        <f t="shared" ca="1" si="3"/>
        <v>149.91385414364947</v>
      </c>
      <c r="BE18" s="3079">
        <f t="shared" ca="1" si="3"/>
        <v>156.63117699526364</v>
      </c>
      <c r="BF18" s="3079">
        <f t="shared" ca="1" si="3"/>
        <v>163.82975957171561</v>
      </c>
      <c r="BG18" s="3079">
        <f t="shared" ca="1" si="3"/>
        <v>170.82132223970297</v>
      </c>
      <c r="BH18" s="3081"/>
      <c r="BJ18" s="3076"/>
      <c r="BK18" s="3077"/>
      <c r="BL18" s="3078"/>
      <c r="BM18" s="506"/>
      <c r="BN18" s="3079"/>
      <c r="BO18" s="3080"/>
      <c r="BP18" s="3075"/>
      <c r="BQ18" s="3075"/>
      <c r="BR18" s="3075"/>
      <c r="BS18" s="3075"/>
      <c r="BT18" s="3075"/>
      <c r="BU18" s="3075"/>
    </row>
    <row r="19" spans="2:83" s="354" customFormat="1">
      <c r="B19" s="3082"/>
      <c r="C19" s="3083"/>
      <c r="D19" s="34"/>
      <c r="E19" s="506"/>
      <c r="F19" s="3084"/>
      <c r="G19" s="3084"/>
      <c r="H19" s="3085"/>
      <c r="I19" s="3085"/>
      <c r="J19" s="3085"/>
      <c r="K19" s="3085"/>
      <c r="L19" s="3085"/>
      <c r="M19" s="3085"/>
      <c r="N19" s="3085"/>
      <c r="O19" s="3085"/>
      <c r="P19" s="3085"/>
      <c r="Q19" s="3085"/>
      <c r="R19" s="3085"/>
      <c r="S19" s="3085"/>
      <c r="T19" s="3085"/>
      <c r="U19" s="3085"/>
      <c r="V19" s="3085"/>
      <c r="W19" s="3085"/>
      <c r="X19" s="3085"/>
      <c r="Y19" s="3085"/>
      <c r="Z19" s="3085"/>
      <c r="AA19" s="3085"/>
      <c r="AB19" s="3085"/>
      <c r="AC19" s="3085"/>
      <c r="AD19" s="3085"/>
      <c r="AE19" s="3085"/>
      <c r="AF19" s="3085"/>
      <c r="AG19" s="3085"/>
      <c r="AH19" s="3085"/>
      <c r="AI19" s="3085"/>
      <c r="AJ19" s="3085"/>
      <c r="AK19" s="3085"/>
      <c r="AL19" s="3085"/>
      <c r="AM19" s="3085"/>
      <c r="AN19" s="3085"/>
      <c r="AO19" s="3085"/>
      <c r="AP19" s="3085"/>
      <c r="AQ19" s="3085"/>
      <c r="AR19" s="3085"/>
      <c r="AS19" s="3085"/>
      <c r="AT19" s="3085"/>
      <c r="AU19" s="3085"/>
      <c r="AV19" s="3085"/>
      <c r="AW19" s="3085"/>
      <c r="AX19" s="506"/>
      <c r="AY19" s="3084"/>
      <c r="AZ19" s="3084"/>
      <c r="BA19" s="3084"/>
      <c r="BB19" s="3084"/>
      <c r="BC19" s="3084"/>
      <c r="BD19" s="3084"/>
      <c r="BE19" s="3084"/>
      <c r="BF19" s="3084"/>
      <c r="BG19" s="3084"/>
      <c r="BH19" s="3086"/>
      <c r="BJ19" s="3082"/>
      <c r="BK19" s="3083"/>
      <c r="BL19" s="34"/>
      <c r="BM19" s="506"/>
      <c r="BN19" s="3084"/>
      <c r="BO19" s="3084"/>
      <c r="BP19" s="3085"/>
      <c r="BQ19" s="3085"/>
      <c r="BR19" s="3085"/>
      <c r="BS19" s="3085"/>
      <c r="BT19" s="3085"/>
      <c r="BU19" s="3085"/>
    </row>
    <row r="20" spans="2:83" s="405" customFormat="1">
      <c r="B20" s="3087"/>
      <c r="C20" s="3088"/>
      <c r="D20" s="3089" t="s">
        <v>2461</v>
      </c>
      <c r="E20" s="506"/>
      <c r="F20" s="3090"/>
      <c r="G20" s="3090"/>
      <c r="H20" s="3091"/>
      <c r="I20" s="3091"/>
      <c r="J20" s="3091"/>
      <c r="K20" s="3091"/>
      <c r="L20" s="3091"/>
      <c r="M20" s="3091"/>
      <c r="N20" s="3091"/>
      <c r="O20" s="3091"/>
      <c r="P20" s="3091"/>
      <c r="Q20" s="3091"/>
      <c r="R20" s="3091"/>
      <c r="S20" s="3091"/>
      <c r="T20" s="3091"/>
      <c r="U20" s="3091"/>
      <c r="V20" s="3091"/>
      <c r="W20" s="3091"/>
      <c r="X20" s="3091"/>
      <c r="Y20" s="3091"/>
      <c r="Z20" s="3091"/>
      <c r="AA20" s="3091"/>
      <c r="AB20" s="3091"/>
      <c r="AC20" s="3091"/>
      <c r="AD20" s="3091"/>
      <c r="AE20" s="3091"/>
      <c r="AF20" s="3091"/>
      <c r="AG20" s="3091"/>
      <c r="AH20" s="3091"/>
      <c r="AI20" s="3091"/>
      <c r="AJ20" s="3091"/>
      <c r="AK20" s="3091"/>
      <c r="AL20" s="3091"/>
      <c r="AM20" s="3091"/>
      <c r="AN20" s="3091"/>
      <c r="AO20" s="3091"/>
      <c r="AP20" s="3091"/>
      <c r="AQ20" s="3091"/>
      <c r="AR20" s="3091"/>
      <c r="AS20" s="3091"/>
      <c r="AT20" s="3091"/>
      <c r="AU20" s="3091"/>
      <c r="AV20" s="3091"/>
      <c r="AW20" s="3091"/>
      <c r="AX20" s="506"/>
      <c r="AY20" s="3090">
        <f t="shared" ref="AY20:BG20" ca="1" si="4">MAX(0,AY$47-AY$18)</f>
        <v>34.577578150524076</v>
      </c>
      <c r="AZ20" s="3090">
        <f t="shared" ca="1" si="4"/>
        <v>33.329620720654745</v>
      </c>
      <c r="BA20" s="3090">
        <f t="shared" ca="1" si="4"/>
        <v>32.692715799589308</v>
      </c>
      <c r="BB20" s="3090">
        <f t="shared" ca="1" si="4"/>
        <v>37.153954677342739</v>
      </c>
      <c r="BC20" s="3090">
        <f t="shared" ca="1" si="4"/>
        <v>39.80575828118765</v>
      </c>
      <c r="BD20" s="3090">
        <f t="shared" ca="1" si="4"/>
        <v>39.48963295554023</v>
      </c>
      <c r="BE20" s="3090">
        <f t="shared" ca="1" si="4"/>
        <v>42.126586777901849</v>
      </c>
      <c r="BF20" s="3090">
        <f t="shared" ca="1" si="4"/>
        <v>44.862890496661862</v>
      </c>
      <c r="BG20" s="3090">
        <f t="shared" ca="1" si="4"/>
        <v>47.671420653853062</v>
      </c>
      <c r="BH20" s="3092"/>
      <c r="BJ20" s="3087"/>
      <c r="BK20" s="3088"/>
      <c r="BL20" s="3089"/>
      <c r="BM20" s="506"/>
      <c r="BN20" s="3090"/>
      <c r="BO20" s="3090"/>
      <c r="BP20" s="3091"/>
      <c r="BQ20" s="3091"/>
      <c r="BR20" s="3091"/>
      <c r="BS20" s="3091"/>
      <c r="BT20" s="3091"/>
      <c r="BU20" s="3091"/>
    </row>
    <row r="21" spans="2:83">
      <c r="B21" s="505"/>
      <c r="C21" s="3074"/>
      <c r="D21" s="506"/>
      <c r="E21" s="506"/>
      <c r="F21" s="506"/>
      <c r="G21" s="506"/>
      <c r="H21" s="3057" t="s">
        <v>5</v>
      </c>
      <c r="I21" s="3057"/>
      <c r="J21" s="3057"/>
      <c r="K21" s="3057"/>
      <c r="L21" s="3057"/>
      <c r="M21" s="3057"/>
      <c r="N21" s="3057"/>
      <c r="O21" s="3057"/>
      <c r="P21" s="3057"/>
      <c r="Q21" s="3057"/>
      <c r="R21" s="3057"/>
      <c r="S21" s="3057"/>
      <c r="T21" s="3057"/>
      <c r="U21" s="3057"/>
      <c r="V21" s="3057"/>
      <c r="W21" s="3057"/>
      <c r="X21" s="3057"/>
      <c r="Y21" s="3057"/>
      <c r="Z21" s="3057"/>
      <c r="AA21" s="3057"/>
      <c r="AB21" s="3057"/>
      <c r="AC21" s="3057"/>
      <c r="AD21" s="3057"/>
      <c r="AE21" s="3057"/>
      <c r="AF21" s="3057"/>
      <c r="AG21" s="3057"/>
      <c r="AH21" s="3057"/>
      <c r="AI21" s="3057"/>
      <c r="AJ21" s="3057"/>
      <c r="AK21" s="3057"/>
      <c r="AL21" s="3057"/>
      <c r="AM21" s="3057"/>
      <c r="AN21" s="3057"/>
      <c r="AO21" s="3057"/>
      <c r="AP21" s="3057"/>
      <c r="AQ21" s="3057"/>
      <c r="AR21" s="3057"/>
      <c r="AS21" s="3057"/>
      <c r="AT21" s="3057"/>
      <c r="AU21" s="3057"/>
      <c r="AV21" s="3057"/>
      <c r="AW21" s="3057"/>
      <c r="AX21" s="506"/>
      <c r="AY21" s="3071"/>
      <c r="AZ21" s="3071"/>
      <c r="BA21" s="3071"/>
      <c r="BB21" s="3071"/>
      <c r="BC21" s="3071"/>
      <c r="BD21" s="3071"/>
      <c r="BE21" s="3071"/>
      <c r="BF21" s="3071"/>
      <c r="BG21" s="3071"/>
      <c r="BH21" s="3073"/>
      <c r="BJ21" s="505"/>
      <c r="BK21" s="3074"/>
      <c r="BL21" s="506"/>
      <c r="BM21" s="506"/>
      <c r="BN21" s="506"/>
      <c r="BO21" s="506"/>
      <c r="BP21" s="3057"/>
      <c r="BQ21" s="3057"/>
      <c r="BR21" s="3057"/>
      <c r="BS21" s="3057"/>
      <c r="BT21" s="3057"/>
      <c r="BU21" s="3057"/>
    </row>
    <row r="22" spans="2:83" s="918" customFormat="1">
      <c r="B22" s="3064"/>
      <c r="C22" s="3065" t="s">
        <v>2053</v>
      </c>
      <c r="D22" s="3066"/>
      <c r="E22" s="506"/>
      <c r="F22" s="2902"/>
      <c r="G22" s="2902"/>
      <c r="H22" s="3067"/>
      <c r="I22" s="3067"/>
      <c r="J22" s="3067"/>
      <c r="K22" s="3067"/>
      <c r="L22" s="3067"/>
      <c r="M22" s="3067"/>
      <c r="N22" s="3067"/>
      <c r="O22" s="3067"/>
      <c r="P22" s="3067"/>
      <c r="Q22" s="3067"/>
      <c r="R22" s="3067"/>
      <c r="S22" s="3067"/>
      <c r="T22" s="3067"/>
      <c r="U22" s="3067"/>
      <c r="V22" s="3067"/>
      <c r="W22" s="3067"/>
      <c r="X22" s="3067"/>
      <c r="Y22" s="3067"/>
      <c r="Z22" s="3067"/>
      <c r="AA22" s="3067"/>
      <c r="AB22" s="3067"/>
      <c r="AC22" s="3067"/>
      <c r="AD22" s="3067"/>
      <c r="AE22" s="3067"/>
      <c r="AF22" s="3067"/>
      <c r="AG22" s="3067"/>
      <c r="AH22" s="3067"/>
      <c r="AI22" s="3067"/>
      <c r="AJ22" s="3067"/>
      <c r="AK22" s="3067"/>
      <c r="AL22" s="3067"/>
      <c r="AM22" s="3067"/>
      <c r="AN22" s="3067"/>
      <c r="AO22" s="3067"/>
      <c r="AP22" s="3067"/>
      <c r="AQ22" s="3067"/>
      <c r="AR22" s="3067"/>
      <c r="AS22" s="3067"/>
      <c r="AT22" s="3067"/>
      <c r="AU22" s="3067"/>
      <c r="AV22" s="3067"/>
      <c r="AW22" s="3067"/>
      <c r="AX22" s="506"/>
      <c r="AY22" s="2902"/>
      <c r="AZ22" s="2902"/>
      <c r="BA22" s="2902"/>
      <c r="BB22" s="2902"/>
      <c r="BC22" s="2902"/>
      <c r="BD22" s="2902"/>
      <c r="BE22" s="2902"/>
      <c r="BF22" s="2902"/>
      <c r="BG22" s="2902"/>
      <c r="BH22" s="3068"/>
      <c r="BJ22" s="3064"/>
      <c r="BK22" s="3065"/>
      <c r="BL22" s="3066"/>
      <c r="BM22" s="506"/>
      <c r="BN22" s="2902"/>
      <c r="BO22" s="2902"/>
      <c r="BP22" s="3067"/>
      <c r="BQ22" s="3067"/>
      <c r="BR22" s="3067"/>
      <c r="BS22" s="3067"/>
      <c r="BT22" s="3067"/>
      <c r="BU22" s="3067"/>
    </row>
    <row r="23" spans="2:83" s="918" customFormat="1">
      <c r="B23" s="3064"/>
      <c r="C23" s="3093" t="s">
        <v>436</v>
      </c>
      <c r="D23" s="3066" t="str">
        <f>INDEX(Vectors[Description], MATCH($C23, Vectors[Code], 0))</f>
        <v>Nuclear fission</v>
      </c>
      <c r="E23" s="506"/>
      <c r="F23" s="2902">
        <v>0</v>
      </c>
      <c r="G23" s="2902"/>
      <c r="H23" s="3067"/>
      <c r="I23" s="3067"/>
      <c r="J23" s="3067"/>
      <c r="K23" s="3067"/>
      <c r="L23" s="3067"/>
      <c r="M23" s="3067"/>
      <c r="N23" s="3067"/>
      <c r="O23" s="3067"/>
      <c r="P23" s="3067"/>
      <c r="Q23" s="3067"/>
      <c r="R23" s="3067"/>
      <c r="S23" s="3067"/>
      <c r="T23" s="3067"/>
      <c r="U23" s="3067"/>
      <c r="V23" s="3067"/>
      <c r="W23" s="3067"/>
      <c r="X23" s="3067"/>
      <c r="Y23" s="3067"/>
      <c r="Z23" s="3067"/>
      <c r="AA23" s="3067"/>
      <c r="AB23" s="3067"/>
      <c r="AC23" s="3067"/>
      <c r="AD23" s="3067"/>
      <c r="AE23" s="3067"/>
      <c r="AF23" s="3067"/>
      <c r="AG23" s="3067"/>
      <c r="AH23" s="3067"/>
      <c r="AI23" s="3067"/>
      <c r="AJ23" s="3067"/>
      <c r="AK23" s="3067"/>
      <c r="AL23" s="3067"/>
      <c r="AM23" s="3067"/>
      <c r="AN23" s="3067"/>
      <c r="AO23" s="3067"/>
      <c r="AP23" s="3067"/>
      <c r="AQ23" s="3067"/>
      <c r="AR23" s="3067"/>
      <c r="AS23" s="3067"/>
      <c r="AT23" s="3067"/>
      <c r="AU23" s="3067"/>
      <c r="AV23" s="3067"/>
      <c r="AW23" s="3067"/>
      <c r="AX23" s="506"/>
      <c r="AY23" s="2902">
        <f ca="1">-INDEX(INDIRECT("'"&amp;AY$4&amp;"'!Year.NetBalance"), MATCH('Intermediate output'!$C23, INDIRECT("'"&amp;AY$4&amp;"'!Year.Vectors"), 0))</f>
        <v>0</v>
      </c>
      <c r="AZ23" s="2902">
        <f ca="1">-INDEX(INDIRECT("'"&amp;AZ$4&amp;"'!Year.NetBalance"), MATCH('Intermediate output'!$C23, INDIRECT("'"&amp;AZ$4&amp;"'!Year.Vectors"), 0))</f>
        <v>0</v>
      </c>
      <c r="BA23" s="2902">
        <f ca="1">-INDEX(INDIRECT("'"&amp;BA$4&amp;"'!Year.NetBalance"), MATCH('Intermediate output'!$C23, INDIRECT("'"&amp;BA$4&amp;"'!Year.Vectors"), 0))</f>
        <v>0</v>
      </c>
      <c r="BB23" s="2902">
        <f ca="1">-INDEX(INDIRECT("'"&amp;BB$4&amp;"'!Year.NetBalance"), MATCH('Intermediate output'!$C23, INDIRECT("'"&amp;BB$4&amp;"'!Year.Vectors"), 0))</f>
        <v>0</v>
      </c>
      <c r="BC23" s="2902">
        <f ca="1">-INDEX(INDIRECT("'"&amp;BC$4&amp;"'!Year.NetBalance"), MATCH('Intermediate output'!$C23, INDIRECT("'"&amp;BC$4&amp;"'!Year.Vectors"), 0))</f>
        <v>0</v>
      </c>
      <c r="BD23" s="2902">
        <f ca="1">-INDEX(INDIRECT("'"&amp;BD$4&amp;"'!Year.NetBalance"), MATCH('Intermediate output'!$C23, INDIRECT("'"&amp;BD$4&amp;"'!Year.Vectors"), 0))</f>
        <v>0</v>
      </c>
      <c r="BE23" s="2902">
        <f ca="1">-INDEX(INDIRECT("'"&amp;BE$4&amp;"'!Year.NetBalance"), MATCH('Intermediate output'!$C23, INDIRECT("'"&amp;BE$4&amp;"'!Year.Vectors"), 0))</f>
        <v>0</v>
      </c>
      <c r="BF23" s="2902">
        <f ca="1">-INDEX(INDIRECT("'"&amp;BF$4&amp;"'!Year.NetBalance"), MATCH('Intermediate output'!$C23, INDIRECT("'"&amp;BF$4&amp;"'!Year.Vectors"), 0))</f>
        <v>0</v>
      </c>
      <c r="BG23" s="2902">
        <f ca="1">-INDEX(INDIRECT("'"&amp;BG$4&amp;"'!Year.NetBalance"), MATCH('Intermediate output'!$C23, INDIRECT("'"&amp;BG$4&amp;"'!Year.Vectors"), 0))</f>
        <v>0</v>
      </c>
      <c r="BH23" s="3068"/>
      <c r="BJ23" s="3064"/>
      <c r="BK23" s="3093"/>
      <c r="BL23" s="3066"/>
      <c r="BM23" s="506"/>
      <c r="BN23" s="2902"/>
      <c r="BO23" s="2902"/>
      <c r="BP23" s="3067"/>
      <c r="BQ23" s="3067"/>
      <c r="BR23" s="3067"/>
      <c r="BS23" s="3067"/>
      <c r="BT23" s="3067"/>
      <c r="BU23" s="3067"/>
    </row>
    <row r="24" spans="2:83" s="918" customFormat="1">
      <c r="B24" s="3064"/>
      <c r="C24" s="3093" t="s">
        <v>437</v>
      </c>
      <c r="D24" s="3066" t="str">
        <f>INDEX(Vectors[Description], MATCH($C24, Vectors[Code], 0))</f>
        <v>Solar</v>
      </c>
      <c r="E24" s="506"/>
      <c r="F24" s="2902">
        <f>(Unit.TWh)*0.13</f>
        <v>0.13</v>
      </c>
      <c r="G24" s="2902"/>
      <c r="H24" s="3067"/>
      <c r="I24" s="3067"/>
      <c r="J24" s="3067"/>
      <c r="K24" s="3067"/>
      <c r="L24" s="3067"/>
      <c r="M24" s="3067"/>
      <c r="N24" s="3067"/>
      <c r="O24" s="3067"/>
      <c r="P24" s="3067"/>
      <c r="Q24" s="3067"/>
      <c r="R24" s="3067"/>
      <c r="S24" s="3067"/>
      <c r="T24" s="3067"/>
      <c r="U24" s="3067"/>
      <c r="V24" s="3067"/>
      <c r="W24" s="3067"/>
      <c r="X24" s="3067"/>
      <c r="Y24" s="3067"/>
      <c r="Z24" s="3067"/>
      <c r="AA24" s="3067"/>
      <c r="AB24" s="3067"/>
      <c r="AC24" s="3067"/>
      <c r="AD24" s="3067"/>
      <c r="AE24" s="3067"/>
      <c r="AF24" s="3067"/>
      <c r="AG24" s="3067"/>
      <c r="AH24" s="3067"/>
      <c r="AI24" s="3067"/>
      <c r="AJ24" s="3067"/>
      <c r="AK24" s="3067"/>
      <c r="AL24" s="3067"/>
      <c r="AM24" s="3067"/>
      <c r="AN24" s="3067"/>
      <c r="AO24" s="3067"/>
      <c r="AP24" s="3067"/>
      <c r="AQ24" s="3067"/>
      <c r="AR24" s="3067"/>
      <c r="AS24" s="3067"/>
      <c r="AT24" s="3067"/>
      <c r="AU24" s="3067"/>
      <c r="AV24" s="3067"/>
      <c r="AW24" s="3067"/>
      <c r="AX24" s="506"/>
      <c r="AY24" s="2902">
        <f ca="1">-INDEX(INDIRECT("'"&amp;AY$4&amp;"'!Year.NetBalance"), MATCH('Intermediate output'!$C24, INDIRECT("'"&amp;AY$4&amp;"'!Year.Vectors"), 0))</f>
        <v>4.1054887428987621E-2</v>
      </c>
      <c r="AZ24" s="2902">
        <f ca="1">-INDEX(INDIRECT("'"&amp;AZ$4&amp;"'!Year.NetBalance"), MATCH('Intermediate output'!$C24, INDIRECT("'"&amp;AZ$4&amp;"'!Year.Vectors"), 0))</f>
        <v>5.2915063522883464E-2</v>
      </c>
      <c r="BA24" s="2902">
        <f ca="1">-INDEX(INDIRECT("'"&amp;BA$4&amp;"'!Year.NetBalance"), MATCH('Intermediate output'!$C24, INDIRECT("'"&amp;BA$4&amp;"'!Year.Vectors"), 0))</f>
        <v>5.5796848364472185E-2</v>
      </c>
      <c r="BB24" s="2902">
        <f ca="1">-INDEX(INDIRECT("'"&amp;BB$4&amp;"'!Year.NetBalance"), MATCH('Intermediate output'!$C24, INDIRECT("'"&amp;BB$4&amp;"'!Year.Vectors"), 0))</f>
        <v>5.8662240154226032E-2</v>
      </c>
      <c r="BC24" s="2902">
        <f ca="1">-INDEX(INDIRECT("'"&amp;BC$4&amp;"'!Year.NetBalance"), MATCH('Intermediate output'!$C24, INDIRECT("'"&amp;BC$4&amp;"'!Year.Vectors"), 0))</f>
        <v>7.0129937567812564E-2</v>
      </c>
      <c r="BD24" s="2902">
        <f ca="1">-INDEX(INDIRECT("'"&amp;BD$4&amp;"'!Year.NetBalance"), MATCH('Intermediate output'!$C24, INDIRECT("'"&amp;BD$4&amp;"'!Year.Vectors"), 0))</f>
        <v>7.3391639360886121E-2</v>
      </c>
      <c r="BE24" s="2902">
        <f ca="1">-INDEX(INDIRECT("'"&amp;BE$4&amp;"'!Year.NetBalance"), MATCH('Intermediate output'!$C24, INDIRECT("'"&amp;BE$4&amp;"'!Year.Vectors"), 0))</f>
        <v>7.68227714428798E-2</v>
      </c>
      <c r="BF24" s="2902">
        <f ca="1">-INDEX(INDIRECT("'"&amp;BF$4&amp;"'!Year.NetBalance"), MATCH('Intermediate output'!$C24, INDIRECT("'"&amp;BF$4&amp;"'!Year.Vectors"), 0))</f>
        <v>8.0232994859916751E-2</v>
      </c>
      <c r="BG24" s="2902">
        <f ca="1">-INDEX(INDIRECT("'"&amp;BG$4&amp;"'!Year.NetBalance"), MATCH('Intermediate output'!$C24, INDIRECT("'"&amp;BG$4&amp;"'!Year.Vectors"), 0))</f>
        <v>8.3820866458489254E-2</v>
      </c>
      <c r="BH24" s="3068"/>
      <c r="BJ24" s="3064"/>
      <c r="BK24" s="3093"/>
      <c r="BL24" s="3066"/>
      <c r="BM24" s="506"/>
      <c r="BN24" s="2902"/>
      <c r="BO24" s="2902"/>
      <c r="BP24" s="3067"/>
      <c r="BQ24" s="3067"/>
      <c r="BR24" s="3067"/>
      <c r="BS24" s="3067"/>
      <c r="BT24" s="3067"/>
      <c r="BU24" s="3067"/>
    </row>
    <row r="25" spans="2:83" s="918" customFormat="1">
      <c r="B25" s="3064"/>
      <c r="C25" s="3093" t="s">
        <v>438</v>
      </c>
      <c r="D25" s="3066" t="str">
        <f>INDEX(Vectors[Description], MATCH($C25, Vectors[Code], 0))</f>
        <v>Wind</v>
      </c>
      <c r="E25" s="506"/>
      <c r="F25" s="2902">
        <f>(Unit.TWh)*4.54</f>
        <v>4.54</v>
      </c>
      <c r="G25" s="2902"/>
      <c r="H25" s="3067"/>
      <c r="I25" s="3067"/>
      <c r="J25" s="3067"/>
      <c r="K25" s="3067"/>
      <c r="L25" s="3067"/>
      <c r="M25" s="3067"/>
      <c r="N25" s="3067"/>
      <c r="O25" s="3067"/>
      <c r="P25" s="3067"/>
      <c r="Q25" s="3067"/>
      <c r="R25" s="3067"/>
      <c r="S25" s="3067"/>
      <c r="T25" s="3067"/>
      <c r="U25" s="3067"/>
      <c r="V25" s="3067"/>
      <c r="W25" s="3067"/>
      <c r="X25" s="3067"/>
      <c r="Y25" s="3067"/>
      <c r="Z25" s="3067"/>
      <c r="AA25" s="3067"/>
      <c r="AB25" s="3067"/>
      <c r="AC25" s="3067"/>
      <c r="AD25" s="3067"/>
      <c r="AE25" s="3067"/>
      <c r="AF25" s="3067"/>
      <c r="AG25" s="3067"/>
      <c r="AH25" s="3067"/>
      <c r="AI25" s="3067"/>
      <c r="AJ25" s="3067"/>
      <c r="AK25" s="3067"/>
      <c r="AL25" s="3067"/>
      <c r="AM25" s="3067"/>
      <c r="AN25" s="3067"/>
      <c r="AO25" s="3067"/>
      <c r="AP25" s="3067"/>
      <c r="AQ25" s="3067"/>
      <c r="AR25" s="3067"/>
      <c r="AS25" s="3067"/>
      <c r="AT25" s="3067"/>
      <c r="AU25" s="3067"/>
      <c r="AV25" s="3067"/>
      <c r="AW25" s="3067"/>
      <c r="AX25" s="506"/>
      <c r="AY25" s="2902">
        <f ca="1">-INDEX(INDIRECT("'"&amp;AY$4&amp;"'!Year.NetBalance"), MATCH('Intermediate output'!$C25, INDIRECT("'"&amp;AY$4&amp;"'!Year.Vectors"), 0))</f>
        <v>4.5013410000000009</v>
      </c>
      <c r="AZ25" s="2902">
        <f ca="1">-INDEX(INDIRECT("'"&amp;AZ$4&amp;"'!Year.NetBalance"), MATCH('Intermediate output'!$C25, INDIRECT("'"&amp;AZ$4&amp;"'!Year.Vectors"), 0))</f>
        <v>5.6172527999999993</v>
      </c>
      <c r="BA25" s="2902">
        <f ca="1">-INDEX(INDIRECT("'"&amp;BA$4&amp;"'!Year.NetBalance"), MATCH('Intermediate output'!$C25, INDIRECT("'"&amp;BA$4&amp;"'!Year.Vectors"), 0))</f>
        <v>5.6216357999999991</v>
      </c>
      <c r="BB25" s="2902">
        <f ca="1">-INDEX(INDIRECT("'"&amp;BB$4&amp;"'!Year.NetBalance"), MATCH('Intermediate output'!$C25, INDIRECT("'"&amp;BB$4&amp;"'!Year.Vectors"), 0))</f>
        <v>3.3359012999999997</v>
      </c>
      <c r="BC25" s="2902">
        <f ca="1">-INDEX(INDIRECT("'"&amp;BC$4&amp;"'!Year.NetBalance"), MATCH('Intermediate output'!$C25, INDIRECT("'"&amp;BC$4&amp;"'!Year.Vectors"), 0))</f>
        <v>1.1378267999999998</v>
      </c>
      <c r="BD25" s="2902">
        <f ca="1">-INDEX(INDIRECT("'"&amp;BD$4&amp;"'!Year.NetBalance"), MATCH('Intermediate output'!$C25, INDIRECT("'"&amp;BD$4&amp;"'!Year.Vectors"), 0))</f>
        <v>3.8789549999999742E-2</v>
      </c>
      <c r="BE25" s="2902">
        <f ca="1">-INDEX(INDIRECT("'"&amp;BE$4&amp;"'!Year.NetBalance"), MATCH('Intermediate output'!$C25, INDIRECT("'"&amp;BE$4&amp;"'!Year.Vectors"), 0))</f>
        <v>3.8789549999999742E-2</v>
      </c>
      <c r="BF25" s="2902">
        <f ca="1">-INDEX(INDIRECT("'"&amp;BF$4&amp;"'!Year.NetBalance"), MATCH('Intermediate output'!$C25, INDIRECT("'"&amp;BF$4&amp;"'!Year.Vectors"), 0))</f>
        <v>3.8789549999999742E-2</v>
      </c>
      <c r="BG25" s="2902">
        <f ca="1">-INDEX(INDIRECT("'"&amp;BG$4&amp;"'!Year.NetBalance"), MATCH('Intermediate output'!$C25, INDIRECT("'"&amp;BG$4&amp;"'!Year.Vectors"), 0))</f>
        <v>3.8789549999999742E-2</v>
      </c>
      <c r="BH25" s="3068"/>
      <c r="BJ25" s="3064"/>
      <c r="BK25" s="3093"/>
      <c r="BL25" s="3066"/>
      <c r="BM25" s="506"/>
      <c r="BN25" s="2902"/>
      <c r="BO25" s="2902"/>
      <c r="BP25" s="3067"/>
      <c r="BQ25" s="3067"/>
      <c r="BR25" s="3067"/>
      <c r="BS25" s="3067"/>
      <c r="BT25" s="3067"/>
      <c r="BU25" s="3067"/>
    </row>
    <row r="26" spans="2:83" s="918" customFormat="1">
      <c r="B26" s="3064"/>
      <c r="C26" s="3093" t="s">
        <v>439</v>
      </c>
      <c r="D26" s="3066" t="str">
        <f>INDEX(Vectors[Description], MATCH($C26, Vectors[Code], 0))</f>
        <v>Tidal</v>
      </c>
      <c r="E26" s="506"/>
      <c r="F26" s="2902">
        <v>0</v>
      </c>
      <c r="G26" s="2902"/>
      <c r="H26" s="3067"/>
      <c r="I26" s="3067"/>
      <c r="J26" s="3067"/>
      <c r="K26" s="3067"/>
      <c r="L26" s="3067"/>
      <c r="M26" s="3067"/>
      <c r="N26" s="3067"/>
      <c r="O26" s="3067"/>
      <c r="P26" s="3067"/>
      <c r="Q26" s="3067"/>
      <c r="R26" s="3067"/>
      <c r="S26" s="3067"/>
      <c r="T26" s="3067"/>
      <c r="U26" s="3067"/>
      <c r="V26" s="3067"/>
      <c r="W26" s="3067"/>
      <c r="X26" s="3067"/>
      <c r="Y26" s="3067"/>
      <c r="Z26" s="3067"/>
      <c r="AA26" s="3067"/>
      <c r="AB26" s="3067"/>
      <c r="AC26" s="3067"/>
      <c r="AD26" s="3067"/>
      <c r="AE26" s="3067"/>
      <c r="AF26" s="3067"/>
      <c r="AG26" s="3067"/>
      <c r="AH26" s="3067"/>
      <c r="AI26" s="3067"/>
      <c r="AJ26" s="3067"/>
      <c r="AK26" s="3067"/>
      <c r="AL26" s="3067"/>
      <c r="AM26" s="3067"/>
      <c r="AN26" s="3067"/>
      <c r="AO26" s="3067"/>
      <c r="AP26" s="3067"/>
      <c r="AQ26" s="3067"/>
      <c r="AR26" s="3067"/>
      <c r="AS26" s="3067"/>
      <c r="AT26" s="3067"/>
      <c r="AU26" s="3067"/>
      <c r="AV26" s="3067"/>
      <c r="AW26" s="3067"/>
      <c r="AX26" s="506"/>
      <c r="AY26" s="2902">
        <f ca="1">-INDEX(INDIRECT("'"&amp;AY$4&amp;"'!Year.NetBalance"), MATCH('Intermediate output'!$C26, INDIRECT("'"&amp;AY$4&amp;"'!Year.Vectors"), 0))</f>
        <v>0</v>
      </c>
      <c r="AZ26" s="2902">
        <f ca="1">-INDEX(INDIRECT("'"&amp;AZ$4&amp;"'!Year.NetBalance"), MATCH('Intermediate output'!$C26, INDIRECT("'"&amp;AZ$4&amp;"'!Year.Vectors"), 0))</f>
        <v>0</v>
      </c>
      <c r="BA26" s="2902">
        <f ca="1">-INDEX(INDIRECT("'"&amp;BA$4&amp;"'!Year.NetBalance"), MATCH('Intermediate output'!$C26, INDIRECT("'"&amp;BA$4&amp;"'!Year.Vectors"), 0))</f>
        <v>0</v>
      </c>
      <c r="BB26" s="2902">
        <f ca="1">-INDEX(INDIRECT("'"&amp;BB$4&amp;"'!Year.NetBalance"), MATCH('Intermediate output'!$C26, INDIRECT("'"&amp;BB$4&amp;"'!Year.Vectors"), 0))</f>
        <v>0</v>
      </c>
      <c r="BC26" s="2902">
        <f ca="1">-INDEX(INDIRECT("'"&amp;BC$4&amp;"'!Year.NetBalance"), MATCH('Intermediate output'!$C26, INDIRECT("'"&amp;BC$4&amp;"'!Year.Vectors"), 0))</f>
        <v>0</v>
      </c>
      <c r="BD26" s="2902">
        <f ca="1">-INDEX(INDIRECT("'"&amp;BD$4&amp;"'!Year.NetBalance"), MATCH('Intermediate output'!$C26, INDIRECT("'"&amp;BD$4&amp;"'!Year.Vectors"), 0))</f>
        <v>0</v>
      </c>
      <c r="BE26" s="2902">
        <f ca="1">-INDEX(INDIRECT("'"&amp;BE$4&amp;"'!Year.NetBalance"), MATCH('Intermediate output'!$C26, INDIRECT("'"&amp;BE$4&amp;"'!Year.Vectors"), 0))</f>
        <v>0</v>
      </c>
      <c r="BF26" s="2902">
        <f ca="1">-INDEX(INDIRECT("'"&amp;BF$4&amp;"'!Year.NetBalance"), MATCH('Intermediate output'!$C26, INDIRECT("'"&amp;BF$4&amp;"'!Year.Vectors"), 0))</f>
        <v>0</v>
      </c>
      <c r="BG26" s="2902">
        <f ca="1">-INDEX(INDIRECT("'"&amp;BG$4&amp;"'!Year.NetBalance"), MATCH('Intermediate output'!$C26, INDIRECT("'"&amp;BG$4&amp;"'!Year.Vectors"), 0))</f>
        <v>0</v>
      </c>
      <c r="BH26" s="3068"/>
      <c r="BJ26" s="3064"/>
      <c r="BK26" s="3093"/>
      <c r="BL26" s="3066"/>
      <c r="BM26" s="506"/>
      <c r="BN26" s="2902"/>
      <c r="BO26" s="2902"/>
      <c r="BP26" s="3067"/>
      <c r="BQ26" s="3067"/>
      <c r="BR26" s="3067"/>
      <c r="BS26" s="3067"/>
      <c r="BT26" s="3067"/>
      <c r="BU26" s="3067"/>
    </row>
    <row r="27" spans="2:83" s="918" customFormat="1">
      <c r="B27" s="3064"/>
      <c r="C27" s="3093" t="s">
        <v>440</v>
      </c>
      <c r="D27" s="3066" t="str">
        <f>INDEX(Vectors[Description], MATCH($C27, Vectors[Code], 0))</f>
        <v>Wave</v>
      </c>
      <c r="E27" s="506"/>
      <c r="F27" s="2902">
        <v>0</v>
      </c>
      <c r="G27" s="2902"/>
      <c r="H27" s="3067"/>
      <c r="I27" s="3067"/>
      <c r="J27" s="3067"/>
      <c r="K27" s="3067"/>
      <c r="L27" s="3067"/>
      <c r="M27" s="3067"/>
      <c r="N27" s="3067"/>
      <c r="O27" s="3067"/>
      <c r="P27" s="3067"/>
      <c r="Q27" s="3067"/>
      <c r="R27" s="3067"/>
      <c r="S27" s="3067"/>
      <c r="T27" s="3067"/>
      <c r="U27" s="3067"/>
      <c r="V27" s="3067"/>
      <c r="W27" s="3067"/>
      <c r="X27" s="3067"/>
      <c r="Y27" s="3067"/>
      <c r="Z27" s="3067"/>
      <c r="AA27" s="3067"/>
      <c r="AB27" s="3067"/>
      <c r="AC27" s="3067"/>
      <c r="AD27" s="3067"/>
      <c r="AE27" s="3067"/>
      <c r="AF27" s="3067"/>
      <c r="AG27" s="3067"/>
      <c r="AH27" s="3067"/>
      <c r="AI27" s="3067"/>
      <c r="AJ27" s="3067"/>
      <c r="AK27" s="3067"/>
      <c r="AL27" s="3067"/>
      <c r="AM27" s="3067"/>
      <c r="AN27" s="3067"/>
      <c r="AO27" s="3067"/>
      <c r="AP27" s="3067"/>
      <c r="AQ27" s="3067"/>
      <c r="AR27" s="3067"/>
      <c r="AS27" s="3067"/>
      <c r="AT27" s="3067"/>
      <c r="AU27" s="3067"/>
      <c r="AV27" s="3067"/>
      <c r="AW27" s="3067"/>
      <c r="AX27" s="506"/>
      <c r="AY27" s="2902">
        <f ca="1">-INDEX(INDIRECT("'"&amp;AY$4&amp;"'!Year.NetBalance"), MATCH('Intermediate output'!$C27, INDIRECT("'"&amp;AY$4&amp;"'!Year.Vectors"), 0))</f>
        <v>0</v>
      </c>
      <c r="AZ27" s="2902">
        <f ca="1">-INDEX(INDIRECT("'"&amp;AZ$4&amp;"'!Year.NetBalance"), MATCH('Intermediate output'!$C27, INDIRECT("'"&amp;AZ$4&amp;"'!Year.Vectors"), 0))</f>
        <v>3.9627123287671231E-3</v>
      </c>
      <c r="BA27" s="2902">
        <f ca="1">-INDEX(INDIRECT("'"&amp;BA$4&amp;"'!Year.NetBalance"), MATCH('Intermediate output'!$C27, INDIRECT("'"&amp;BA$4&amp;"'!Year.Vectors"), 0))</f>
        <v>1.3017510000000001E-2</v>
      </c>
      <c r="BB27" s="2902">
        <f ca="1">-INDEX(INDIRECT("'"&amp;BB$4&amp;"'!Year.NetBalance"), MATCH('Intermediate output'!$C27, INDIRECT("'"&amp;BB$4&amp;"'!Year.Vectors"), 0))</f>
        <v>1.3017510000000001E-2</v>
      </c>
      <c r="BC27" s="2902">
        <f ca="1">-INDEX(INDIRECT("'"&amp;BC$4&amp;"'!Year.NetBalance"), MATCH('Intermediate output'!$C27, INDIRECT("'"&amp;BC$4&amp;"'!Year.Vectors"), 0))</f>
        <v>1.3017510000000001E-2</v>
      </c>
      <c r="BD27" s="2902">
        <f ca="1">-INDEX(INDIRECT("'"&amp;BD$4&amp;"'!Year.NetBalance"), MATCH('Intermediate output'!$C27, INDIRECT("'"&amp;BD$4&amp;"'!Year.Vectors"), 0))</f>
        <v>1.3017510000000001E-2</v>
      </c>
      <c r="BE27" s="2902">
        <f ca="1">-INDEX(INDIRECT("'"&amp;BE$4&amp;"'!Year.NetBalance"), MATCH('Intermediate output'!$C27, INDIRECT("'"&amp;BE$4&amp;"'!Year.Vectors"), 0))</f>
        <v>1.3017510000000001E-2</v>
      </c>
      <c r="BF27" s="2902">
        <f ca="1">-INDEX(INDIRECT("'"&amp;BF$4&amp;"'!Year.NetBalance"), MATCH('Intermediate output'!$C27, INDIRECT("'"&amp;BF$4&amp;"'!Year.Vectors"), 0))</f>
        <v>0</v>
      </c>
      <c r="BG27" s="2902">
        <f ca="1">-INDEX(INDIRECT("'"&amp;BG$4&amp;"'!Year.NetBalance"), MATCH('Intermediate output'!$C27, INDIRECT("'"&amp;BG$4&amp;"'!Year.Vectors"), 0))</f>
        <v>0</v>
      </c>
      <c r="BH27" s="3068"/>
      <c r="BJ27" s="3064"/>
      <c r="BK27" s="3093"/>
      <c r="BL27" s="3066"/>
      <c r="BM27" s="506"/>
      <c r="BN27" s="2902"/>
      <c r="BO27" s="2902"/>
      <c r="BP27" s="3067"/>
      <c r="BQ27" s="3067"/>
      <c r="BR27" s="3067"/>
      <c r="BS27" s="3067"/>
      <c r="BT27" s="3067"/>
      <c r="BU27" s="3067"/>
    </row>
    <row r="28" spans="2:83" s="918" customFormat="1">
      <c r="B28" s="3064"/>
      <c r="C28" s="3093" t="s">
        <v>441</v>
      </c>
      <c r="D28" s="3066" t="str">
        <f>INDEX(Vectors[Description], MATCH($C28, Vectors[Code], 0))</f>
        <v>Geothermal</v>
      </c>
      <c r="E28" s="506"/>
      <c r="F28" s="2902">
        <v>0</v>
      </c>
      <c r="G28" s="2902"/>
      <c r="H28" s="3067"/>
      <c r="I28" s="3067"/>
      <c r="J28" s="3067"/>
      <c r="K28" s="3067"/>
      <c r="L28" s="3067"/>
      <c r="M28" s="3067"/>
      <c r="N28" s="3067"/>
      <c r="O28" s="3067"/>
      <c r="P28" s="3067"/>
      <c r="Q28" s="3067"/>
      <c r="R28" s="3067"/>
      <c r="S28" s="3067"/>
      <c r="T28" s="3067"/>
      <c r="U28" s="3067"/>
      <c r="V28" s="3067"/>
      <c r="W28" s="3067"/>
      <c r="X28" s="3067"/>
      <c r="Y28" s="3067"/>
      <c r="Z28" s="3067"/>
      <c r="AA28" s="3067"/>
      <c r="AB28" s="3067"/>
      <c r="AC28" s="3067"/>
      <c r="AD28" s="3067"/>
      <c r="AE28" s="3067"/>
      <c r="AF28" s="3067"/>
      <c r="AG28" s="3067"/>
      <c r="AH28" s="3067"/>
      <c r="AI28" s="3067"/>
      <c r="AJ28" s="3067"/>
      <c r="AK28" s="3067"/>
      <c r="AL28" s="3067"/>
      <c r="AM28" s="3067"/>
      <c r="AN28" s="3067"/>
      <c r="AO28" s="3067"/>
      <c r="AP28" s="3067"/>
      <c r="AQ28" s="3067"/>
      <c r="AR28" s="3067"/>
      <c r="AS28" s="3067"/>
      <c r="AT28" s="3067"/>
      <c r="AU28" s="3067"/>
      <c r="AV28" s="3067"/>
      <c r="AW28" s="3067"/>
      <c r="AX28" s="506"/>
      <c r="AY28" s="2902">
        <f ca="1">-INDEX(INDIRECT("'"&amp;AY$4&amp;"'!Year.NetBalance"), MATCH('Intermediate output'!$C28, INDIRECT("'"&amp;AY$4&amp;"'!Year.Vectors"), 0))</f>
        <v>0</v>
      </c>
      <c r="AZ28" s="2902">
        <f ca="1">-INDEX(INDIRECT("'"&amp;AZ$4&amp;"'!Year.NetBalance"), MATCH('Intermediate output'!$C28, INDIRECT("'"&amp;AZ$4&amp;"'!Year.Vectors"), 0))</f>
        <v>0</v>
      </c>
      <c r="BA28" s="2902">
        <f ca="1">-INDEX(INDIRECT("'"&amp;BA$4&amp;"'!Year.NetBalance"), MATCH('Intermediate output'!$C28, INDIRECT("'"&amp;BA$4&amp;"'!Year.Vectors"), 0))</f>
        <v>0</v>
      </c>
      <c r="BB28" s="2902">
        <f ca="1">-INDEX(INDIRECT("'"&amp;BB$4&amp;"'!Year.NetBalance"), MATCH('Intermediate output'!$C28, INDIRECT("'"&amp;BB$4&amp;"'!Year.Vectors"), 0))</f>
        <v>0</v>
      </c>
      <c r="BC28" s="2902">
        <f ca="1">-INDEX(INDIRECT("'"&amp;BC$4&amp;"'!Year.NetBalance"), MATCH('Intermediate output'!$C28, INDIRECT("'"&amp;BC$4&amp;"'!Year.Vectors"), 0))</f>
        <v>0</v>
      </c>
      <c r="BD28" s="2902">
        <f ca="1">-INDEX(INDIRECT("'"&amp;BD$4&amp;"'!Year.NetBalance"), MATCH('Intermediate output'!$C28, INDIRECT("'"&amp;BD$4&amp;"'!Year.Vectors"), 0))</f>
        <v>0</v>
      </c>
      <c r="BE28" s="2902">
        <f ca="1">-INDEX(INDIRECT("'"&amp;BE$4&amp;"'!Year.NetBalance"), MATCH('Intermediate output'!$C28, INDIRECT("'"&amp;BE$4&amp;"'!Year.Vectors"), 0))</f>
        <v>0</v>
      </c>
      <c r="BF28" s="2902">
        <f ca="1">-INDEX(INDIRECT("'"&amp;BF$4&amp;"'!Year.NetBalance"), MATCH('Intermediate output'!$C28, INDIRECT("'"&amp;BF$4&amp;"'!Year.Vectors"), 0))</f>
        <v>0</v>
      </c>
      <c r="BG28" s="2902">
        <f ca="1">-INDEX(INDIRECT("'"&amp;BG$4&amp;"'!Year.NetBalance"), MATCH('Intermediate output'!$C28, INDIRECT("'"&amp;BG$4&amp;"'!Year.Vectors"), 0))</f>
        <v>0</v>
      </c>
      <c r="BH28" s="3068"/>
      <c r="BJ28" s="3064"/>
      <c r="BK28" s="3093"/>
      <c r="BL28" s="3066"/>
      <c r="BM28" s="506"/>
      <c r="BN28" s="2902"/>
      <c r="BO28" s="2902"/>
      <c r="BP28" s="3067"/>
      <c r="BQ28" s="3067"/>
      <c r="BR28" s="3067"/>
      <c r="BS28" s="3067"/>
      <c r="BT28" s="3067"/>
      <c r="BU28" s="3067"/>
    </row>
    <row r="29" spans="2:83" s="918" customFormat="1">
      <c r="B29" s="3064"/>
      <c r="C29" s="3093" t="s">
        <v>442</v>
      </c>
      <c r="D29" s="3066" t="str">
        <f>INDEX(Vectors[Description], MATCH($C29, Vectors[Code], 0))</f>
        <v>Hydro</v>
      </c>
      <c r="E29" s="506"/>
      <c r="F29" s="2902">
        <f>(Unit.TWh)*0.6</f>
        <v>0.6</v>
      </c>
      <c r="G29" s="2902"/>
      <c r="H29" s="3067"/>
      <c r="I29" s="3067"/>
      <c r="J29" s="3067"/>
      <c r="K29" s="3067"/>
      <c r="L29" s="3067"/>
      <c r="M29" s="3067"/>
      <c r="N29" s="3067"/>
      <c r="O29" s="3067"/>
      <c r="P29" s="3067"/>
      <c r="Q29" s="3067"/>
      <c r="R29" s="3067"/>
      <c r="S29" s="3067"/>
      <c r="T29" s="3067"/>
      <c r="U29" s="3067"/>
      <c r="V29" s="3067"/>
      <c r="W29" s="3067"/>
      <c r="X29" s="3067"/>
      <c r="Y29" s="3067"/>
      <c r="Z29" s="3067"/>
      <c r="AA29" s="3067"/>
      <c r="AB29" s="3067"/>
      <c r="AC29" s="3067"/>
      <c r="AD29" s="3067"/>
      <c r="AE29" s="3067"/>
      <c r="AF29" s="3067"/>
      <c r="AG29" s="3067"/>
      <c r="AH29" s="3067"/>
      <c r="AI29" s="3067"/>
      <c r="AJ29" s="3067"/>
      <c r="AK29" s="3067"/>
      <c r="AL29" s="3067"/>
      <c r="AM29" s="3067"/>
      <c r="AN29" s="3067"/>
      <c r="AO29" s="3067"/>
      <c r="AP29" s="3067"/>
      <c r="AQ29" s="3067"/>
      <c r="AR29" s="3067"/>
      <c r="AS29" s="3067"/>
      <c r="AT29" s="3067"/>
      <c r="AU29" s="3067"/>
      <c r="AV29" s="3067"/>
      <c r="AW29" s="3067"/>
      <c r="AX29" s="506"/>
      <c r="AY29" s="2902">
        <f ca="1">-INDEX(INDIRECT("'"&amp;AY$4&amp;"'!Year.NetBalance"), MATCH('Intermediate output'!$C29, INDIRECT("'"&amp;AY$4&amp;"'!Year.Vectors"), 0))</f>
        <v>0.74791511999999993</v>
      </c>
      <c r="AZ29" s="2902">
        <f ca="1">-INDEX(INDIRECT("'"&amp;AZ$4&amp;"'!Year.NetBalance"), MATCH('Intermediate output'!$C29, INDIRECT("'"&amp;AZ$4&amp;"'!Year.Vectors"), 0))</f>
        <v>0.74791511999999993</v>
      </c>
      <c r="BA29" s="2902">
        <f ca="1">-INDEX(INDIRECT("'"&amp;BA$4&amp;"'!Year.NetBalance"), MATCH('Intermediate output'!$C29, INDIRECT("'"&amp;BA$4&amp;"'!Year.Vectors"), 0))</f>
        <v>0.74791511999999993</v>
      </c>
      <c r="BB29" s="2902">
        <f ca="1">-INDEX(INDIRECT("'"&amp;BB$4&amp;"'!Year.NetBalance"), MATCH('Intermediate output'!$C29, INDIRECT("'"&amp;BB$4&amp;"'!Year.Vectors"), 0))</f>
        <v>0.78946596000000002</v>
      </c>
      <c r="BC29" s="2902">
        <f ca="1">-INDEX(INDIRECT("'"&amp;BC$4&amp;"'!Year.NetBalance"), MATCH('Intermediate output'!$C29, INDIRECT("'"&amp;BC$4&amp;"'!Year.Vectors"), 0))</f>
        <v>0.50632416000000002</v>
      </c>
      <c r="BD29" s="2902">
        <f ca="1">-INDEX(INDIRECT("'"&amp;BD$4&amp;"'!Year.NetBalance"), MATCH('Intermediate output'!$C29, INDIRECT("'"&amp;BD$4&amp;"'!Year.Vectors"), 0))</f>
        <v>0.33310800000000007</v>
      </c>
      <c r="BE29" s="2902">
        <f ca="1">-INDEX(INDIRECT("'"&amp;BE$4&amp;"'!Year.NetBalance"), MATCH('Intermediate output'!$C29, INDIRECT("'"&amp;BE$4&amp;"'!Year.Vectors"), 0))</f>
        <v>0.23317560000000004</v>
      </c>
      <c r="BF29" s="2902">
        <f ca="1">-INDEX(INDIRECT("'"&amp;BF$4&amp;"'!Year.NetBalance"), MATCH('Intermediate output'!$C29, INDIRECT("'"&amp;BF$4&amp;"'!Year.Vectors"), 0))</f>
        <v>0.16655400000000004</v>
      </c>
      <c r="BG29" s="2902">
        <f ca="1">-INDEX(INDIRECT("'"&amp;BG$4&amp;"'!Year.NetBalance"), MATCH('Intermediate output'!$C29, INDIRECT("'"&amp;BG$4&amp;"'!Year.Vectors"), 0))</f>
        <v>0</v>
      </c>
      <c r="BH29" s="3068"/>
      <c r="BJ29" s="3064"/>
      <c r="BK29" s="3093"/>
      <c r="BL29" s="3066"/>
      <c r="BM29" s="506"/>
      <c r="BN29" s="2902"/>
      <c r="BO29" s="2902"/>
      <c r="BP29" s="3067"/>
      <c r="BQ29" s="3067"/>
      <c r="BR29" s="3067"/>
      <c r="BS29" s="3067"/>
      <c r="BT29" s="3067"/>
      <c r="BU29" s="3067"/>
    </row>
    <row r="30" spans="2:83" s="918" customFormat="1">
      <c r="B30" s="3064"/>
      <c r="C30" s="3093" t="s">
        <v>431</v>
      </c>
      <c r="D30" s="3066" t="str">
        <f>INDEX(Vectors[Description], MATCH($C30, Vectors[Code], 0))</f>
        <v>Electricity imports (exports in paranthesis)</v>
      </c>
      <c r="E30" s="506"/>
      <c r="F30" s="3700">
        <f>(Unit.TWh)*2.5</f>
        <v>2.5</v>
      </c>
      <c r="G30" s="2902"/>
      <c r="H30" s="3067"/>
      <c r="I30" s="3067"/>
      <c r="J30" s="3067"/>
      <c r="K30" s="3067"/>
      <c r="L30" s="3067"/>
      <c r="M30" s="3067"/>
      <c r="N30" s="3067"/>
      <c r="O30" s="3067"/>
      <c r="P30" s="3067"/>
      <c r="Q30" s="3067"/>
      <c r="R30" s="3067"/>
      <c r="S30" s="3067"/>
      <c r="T30" s="3067"/>
      <c r="U30" s="3067"/>
      <c r="V30" s="3067"/>
      <c r="W30" s="3067"/>
      <c r="X30" s="3067"/>
      <c r="Y30" s="3067"/>
      <c r="Z30" s="3067"/>
      <c r="AA30" s="3067"/>
      <c r="AB30" s="3067"/>
      <c r="AC30" s="3067"/>
      <c r="AD30" s="3067"/>
      <c r="AE30" s="3067"/>
      <c r="AF30" s="3067"/>
      <c r="AG30" s="3067"/>
      <c r="AH30" s="3067"/>
      <c r="AI30" s="3067"/>
      <c r="AJ30" s="3067"/>
      <c r="AK30" s="3067"/>
      <c r="AL30" s="3067"/>
      <c r="AM30" s="3067"/>
      <c r="AN30" s="3067"/>
      <c r="AO30" s="3067"/>
      <c r="AP30" s="3067"/>
      <c r="AQ30" s="3067"/>
      <c r="AR30" s="3067"/>
      <c r="AS30" s="3067"/>
      <c r="AT30" s="3067"/>
      <c r="AU30" s="3067"/>
      <c r="AV30" s="3067"/>
      <c r="AW30" s="3067"/>
      <c r="AX30" s="3561"/>
      <c r="AY30" s="2902">
        <f ca="1">-INDEX(INDIRECT("'"&amp;AY$4&amp;"'!Year.NetBalance"), MATCH('Intermediate output'!$C30, INDIRECT("'"&amp;AY$4&amp;"'!Year.Vectors"), 0))</f>
        <v>2.5</v>
      </c>
      <c r="AZ30" s="2902">
        <f ca="1">-INDEX(INDIRECT("'"&amp;AZ$4&amp;"'!Year.NetBalance"), MATCH('Intermediate output'!$C30, INDIRECT("'"&amp;AZ$4&amp;"'!Year.Vectors"), 0))</f>
        <v>2.4999999999999964</v>
      </c>
      <c r="BA30" s="2902">
        <f ca="1">-INDEX(INDIRECT("'"&amp;BA$4&amp;"'!Year.NetBalance"), MATCH('Intermediate output'!$C30, INDIRECT("'"&amp;BA$4&amp;"'!Year.Vectors"), 0))</f>
        <v>2.5</v>
      </c>
      <c r="BB30" s="2902">
        <f ca="1">-INDEX(INDIRECT("'"&amp;BB$4&amp;"'!Year.NetBalance"), MATCH('Intermediate output'!$C30, INDIRECT("'"&amp;BB$4&amp;"'!Year.Vectors"), 0))</f>
        <v>1.4999999999999964</v>
      </c>
      <c r="BC30" s="2902">
        <f ca="1">-INDEX(INDIRECT("'"&amp;BC$4&amp;"'!Year.NetBalance"), MATCH('Intermediate output'!$C30, INDIRECT("'"&amp;BC$4&amp;"'!Year.Vectors"), 0))</f>
        <v>1</v>
      </c>
      <c r="BD30" s="2902">
        <f ca="1">-INDEX(INDIRECT("'"&amp;BD$4&amp;"'!Year.NetBalance"), MATCH('Intermediate output'!$C30, INDIRECT("'"&amp;BD$4&amp;"'!Year.Vectors"), 0))</f>
        <v>3.5527136788005009E-15</v>
      </c>
      <c r="BE30" s="2902">
        <f ca="1">-INDEX(INDIRECT("'"&amp;BE$4&amp;"'!Year.NetBalance"), MATCH('Intermediate output'!$C30, INDIRECT("'"&amp;BE$4&amp;"'!Year.Vectors"), 0))</f>
        <v>7.1054273576010019E-15</v>
      </c>
      <c r="BF30" s="2902">
        <f ca="1">-INDEX(INDIRECT("'"&amp;BF$4&amp;"'!Year.NetBalance"), MATCH('Intermediate output'!$C30, INDIRECT("'"&amp;BF$4&amp;"'!Year.Vectors"), 0))</f>
        <v>0</v>
      </c>
      <c r="BG30" s="2902">
        <f ca="1">-INDEX(INDIRECT("'"&amp;BG$4&amp;"'!Year.NetBalance"), MATCH('Intermediate output'!$C30, INDIRECT("'"&amp;BG$4&amp;"'!Year.Vectors"), 0))</f>
        <v>0</v>
      </c>
      <c r="BH30" s="3068"/>
      <c r="BJ30" s="3064"/>
      <c r="BK30" s="3093"/>
      <c r="BL30" s="3066"/>
      <c r="BM30" s="506"/>
      <c r="BN30" s="3700"/>
      <c r="BO30" s="2902"/>
      <c r="BP30" s="3067"/>
      <c r="BQ30" s="3067"/>
      <c r="BR30" s="3067"/>
      <c r="BS30" s="3067"/>
      <c r="BT30" s="3067"/>
      <c r="BU30" s="3067"/>
    </row>
    <row r="31" spans="2:83">
      <c r="B31" s="505"/>
      <c r="C31" s="3074"/>
      <c r="D31" s="3301" t="s">
        <v>2462</v>
      </c>
      <c r="E31" s="3301"/>
      <c r="F31" s="3302">
        <f>SUM(F23:F30)</f>
        <v>7.77</v>
      </c>
      <c r="G31" s="3302"/>
      <c r="H31" s="3085"/>
      <c r="I31" s="3085"/>
      <c r="J31" s="3085"/>
      <c r="K31" s="3085"/>
      <c r="L31" s="3085"/>
      <c r="M31" s="3085"/>
      <c r="N31" s="3085"/>
      <c r="O31" s="3085"/>
      <c r="P31" s="3085"/>
      <c r="Q31" s="3085"/>
      <c r="R31" s="3085"/>
      <c r="S31" s="3085"/>
      <c r="T31" s="3085"/>
      <c r="U31" s="3085"/>
      <c r="V31" s="3085"/>
      <c r="W31" s="3085"/>
      <c r="X31" s="3085"/>
      <c r="Y31" s="3085"/>
      <c r="Z31" s="3085"/>
      <c r="AA31" s="3085"/>
      <c r="AB31" s="3085"/>
      <c r="AC31" s="3085"/>
      <c r="AD31" s="3085"/>
      <c r="AE31" s="3085"/>
      <c r="AF31" s="3085"/>
      <c r="AG31" s="3085"/>
      <c r="AH31" s="3085"/>
      <c r="AI31" s="3085"/>
      <c r="AJ31" s="3085"/>
      <c r="AK31" s="3085"/>
      <c r="AL31" s="3085"/>
      <c r="AM31" s="3085"/>
      <c r="AN31" s="3085"/>
      <c r="AO31" s="3085"/>
      <c r="AP31" s="3085"/>
      <c r="AQ31" s="3085"/>
      <c r="AR31" s="3085"/>
      <c r="AS31" s="3085"/>
      <c r="AT31" s="3085"/>
      <c r="AU31" s="3085"/>
      <c r="AV31" s="3085"/>
      <c r="AW31" s="3085"/>
      <c r="AX31" s="3301"/>
      <c r="AY31" s="3302">
        <f t="shared" ref="AY31:BG31" ca="1" si="5">SUM(AY23:AY30)</f>
        <v>7.790311007428989</v>
      </c>
      <c r="AZ31" s="3302">
        <f t="shared" ca="1" si="5"/>
        <v>8.9220456958516472</v>
      </c>
      <c r="BA31" s="3302">
        <f t="shared" ca="1" si="5"/>
        <v>8.938365278364472</v>
      </c>
      <c r="BB31" s="3302">
        <f t="shared" ca="1" si="5"/>
        <v>5.6970470101542219</v>
      </c>
      <c r="BC31" s="3302">
        <f t="shared" ca="1" si="5"/>
        <v>2.7272984075678126</v>
      </c>
      <c r="BD31" s="3302">
        <f t="shared" ca="1" si="5"/>
        <v>0.45830669936088952</v>
      </c>
      <c r="BE31" s="3302">
        <f t="shared" ca="1" si="5"/>
        <v>0.36180543144288668</v>
      </c>
      <c r="BF31" s="3302">
        <f t="shared" ca="1" si="5"/>
        <v>0.28557654485991651</v>
      </c>
      <c r="BG31" s="3302">
        <f t="shared" ca="1" si="5"/>
        <v>0.122610416458489</v>
      </c>
      <c r="BH31" s="3073"/>
      <c r="BJ31" s="505"/>
      <c r="BK31" s="3074"/>
      <c r="BL31" s="3301"/>
      <c r="BM31" s="3301"/>
      <c r="BN31" s="3302"/>
      <c r="BO31" s="3302"/>
      <c r="BP31" s="3085"/>
      <c r="BQ31" s="3085"/>
      <c r="BR31" s="3085"/>
      <c r="BS31" s="3085"/>
      <c r="BT31" s="3085"/>
      <c r="BU31" s="3085"/>
    </row>
    <row r="32" spans="2:83">
      <c r="B32" s="505"/>
      <c r="C32" s="3074" t="s">
        <v>101</v>
      </c>
      <c r="D32" s="3066" t="str">
        <f>INDEX(Vectors[Description], MATCH($C32, Vectors[Code], 0))</f>
        <v>Environmental heat</v>
      </c>
      <c r="E32" s="506"/>
      <c r="F32" s="3071">
        <f>'Irl. Energy Balance 2013 (TWh)'!AL7</f>
        <v>0</v>
      </c>
      <c r="G32" s="3071"/>
      <c r="H32" s="3072"/>
      <c r="I32" s="3072"/>
      <c r="J32" s="3072"/>
      <c r="K32" s="3072"/>
      <c r="L32" s="3072"/>
      <c r="M32" s="3072"/>
      <c r="N32" s="3072"/>
      <c r="O32" s="3072"/>
      <c r="P32" s="3072"/>
      <c r="Q32" s="3072"/>
      <c r="R32" s="3072"/>
      <c r="S32" s="3072"/>
      <c r="T32" s="3072"/>
      <c r="U32" s="3072"/>
      <c r="V32" s="3072"/>
      <c r="W32" s="3072"/>
      <c r="X32" s="3072"/>
      <c r="Y32" s="3072"/>
      <c r="Z32" s="3072"/>
      <c r="AA32" s="3072"/>
      <c r="AB32" s="3072"/>
      <c r="AC32" s="3072"/>
      <c r="AD32" s="3072"/>
      <c r="AE32" s="3072"/>
      <c r="AF32" s="3072"/>
      <c r="AG32" s="3072"/>
      <c r="AH32" s="3072"/>
      <c r="AI32" s="3072"/>
      <c r="AJ32" s="3072"/>
      <c r="AK32" s="3072"/>
      <c r="AL32" s="3072"/>
      <c r="AM32" s="3072"/>
      <c r="AN32" s="3072"/>
      <c r="AO32" s="3072"/>
      <c r="AP32" s="3072"/>
      <c r="AQ32" s="3072"/>
      <c r="AR32" s="3072"/>
      <c r="AS32" s="3072"/>
      <c r="AT32" s="3072"/>
      <c r="AU32" s="3072"/>
      <c r="AV32" s="3072"/>
      <c r="AW32" s="3072"/>
      <c r="AX32" s="506"/>
      <c r="AY32" s="2902">
        <f ca="1">-INDEX(INDIRECT("'"&amp;AY$4&amp;"'!Year.NetBalance"), MATCH('Intermediate output'!$C32, INDIRECT("'"&amp;AY$4&amp;"'!Year.Vectors"), 0))</f>
        <v>0.11119904983501781</v>
      </c>
      <c r="AZ32" s="2902">
        <f ca="1">-INDEX(INDIRECT("'"&amp;AZ$4&amp;"'!Year.NetBalance"), MATCH('Intermediate output'!$C32, INDIRECT("'"&amp;AZ$4&amp;"'!Year.Vectors"), 0))</f>
        <v>0.1434054871385817</v>
      </c>
      <c r="BA32" s="2902">
        <f ca="1">-INDEX(INDIRECT("'"&amp;BA$4&amp;"'!Year.NetBalance"), MATCH('Intermediate output'!$C32, INDIRECT("'"&amp;BA$4&amp;"'!Year.Vectors"), 0))</f>
        <v>0.23314146875358133</v>
      </c>
      <c r="BB32" s="2902">
        <f ca="1">-INDEX(INDIRECT("'"&amp;BB$4&amp;"'!Year.NetBalance"), MATCH('Intermediate output'!$C32, INDIRECT("'"&amp;BB$4&amp;"'!Year.Vectors"), 0))</f>
        <v>0.3313595195314073</v>
      </c>
      <c r="BC32" s="2902">
        <f ca="1">-INDEX(INDIRECT("'"&amp;BC$4&amp;"'!Year.NetBalance"), MATCH('Intermediate output'!$C32, INDIRECT("'"&amp;BC$4&amp;"'!Year.Vectors"), 0))</f>
        <v>0.43792102798625754</v>
      </c>
      <c r="BD32" s="2902">
        <f ca="1">-INDEX(INDIRECT("'"&amp;BD$4&amp;"'!Year.NetBalance"), MATCH('Intermediate output'!$C32, INDIRECT("'"&amp;BD$4&amp;"'!Year.Vectors"), 0))</f>
        <v>0.55304324430206342</v>
      </c>
      <c r="BE32" s="2902">
        <f ca="1">-INDEX(INDIRECT("'"&amp;BE$4&amp;"'!Year.NetBalance"), MATCH('Intermediate output'!$C32, INDIRECT("'"&amp;BE$4&amp;"'!Year.Vectors"), 0))</f>
        <v>0.67669216126185838</v>
      </c>
      <c r="BF32" s="2902">
        <f ca="1">-INDEX(INDIRECT("'"&amp;BF$4&amp;"'!Year.NetBalance"), MATCH('Intermediate output'!$C32, INDIRECT("'"&amp;BF$4&amp;"'!Year.Vectors"), 0))</f>
        <v>0.80883168050723919</v>
      </c>
      <c r="BG32" s="2902">
        <f ca="1">-INDEX(INDIRECT("'"&amp;BG$4&amp;"'!Year.NetBalance"), MATCH('Intermediate output'!$C32, INDIRECT("'"&amp;BG$4&amp;"'!Year.Vectors"), 0))</f>
        <v>0.9494999999999999</v>
      </c>
      <c r="BH32" s="3073"/>
      <c r="BJ32" s="505"/>
      <c r="BK32" s="3074"/>
      <c r="BL32" s="3066"/>
      <c r="BM32" s="506"/>
      <c r="BN32" s="3071"/>
      <c r="BO32" s="3071"/>
      <c r="BP32" s="3072"/>
      <c r="BQ32" s="3072"/>
      <c r="BR32" s="3072"/>
      <c r="BS32" s="3072"/>
      <c r="BT32" s="3072"/>
      <c r="BU32" s="3072"/>
      <c r="CE32" s="918" t="s">
        <v>3359</v>
      </c>
    </row>
    <row r="33" spans="2:83" s="918" customFormat="1">
      <c r="B33" s="3064"/>
      <c r="C33" s="3066" t="s">
        <v>444</v>
      </c>
      <c r="D33" s="3066" t="str">
        <f>INDEX(Vectors[Description], MATCH($C33, Vectors[Code], 0))</f>
        <v>Waste (all forms of biomass)</v>
      </c>
      <c r="E33" s="506"/>
      <c r="F33" s="2902">
        <f>(Unit.TWh)*0.7</f>
        <v>0.7</v>
      </c>
      <c r="G33" s="2902"/>
      <c r="H33" s="3067"/>
      <c r="I33" s="3067"/>
      <c r="J33" s="3067"/>
      <c r="K33" s="3067"/>
      <c r="L33" s="3067"/>
      <c r="M33" s="3067"/>
      <c r="N33" s="3067"/>
      <c r="O33" s="3067"/>
      <c r="P33" s="3067"/>
      <c r="Q33" s="3067"/>
      <c r="R33" s="3067"/>
      <c r="S33" s="3067"/>
      <c r="T33" s="3067"/>
      <c r="U33" s="3067"/>
      <c r="V33" s="3067"/>
      <c r="W33" s="3067"/>
      <c r="X33" s="3067"/>
      <c r="Y33" s="3067"/>
      <c r="Z33" s="3067"/>
      <c r="AA33" s="3067"/>
      <c r="AB33" s="3067"/>
      <c r="AC33" s="3067"/>
      <c r="AD33" s="3067"/>
      <c r="AE33" s="3067"/>
      <c r="AF33" s="3067"/>
      <c r="AG33" s="3067"/>
      <c r="AH33" s="3067"/>
      <c r="AI33" s="3067"/>
      <c r="AJ33" s="3067"/>
      <c r="AK33" s="3067"/>
      <c r="AL33" s="3067"/>
      <c r="AM33" s="3067"/>
      <c r="AN33" s="3067"/>
      <c r="AO33" s="3067"/>
      <c r="AP33" s="3067"/>
      <c r="AQ33" s="3067"/>
      <c r="AR33" s="3067"/>
      <c r="AS33" s="3067"/>
      <c r="AT33" s="3067"/>
      <c r="AU33" s="3067"/>
      <c r="AV33" s="3067"/>
      <c r="AW33" s="3067"/>
      <c r="AX33" s="506"/>
      <c r="AY33" s="3699">
        <f ca="1">-INDEX(INDIRECT("'"&amp;AY$4&amp;"'!Year.NetBalance"), MATCH('Intermediate output'!$C33, INDIRECT("'"&amp;AY$4&amp;"'!Year.Vectors"), 0))</f>
        <v>1.3469022662175592</v>
      </c>
      <c r="AZ33" s="2902">
        <f ca="1">-INDEX(INDIRECT("'"&amp;AZ$4&amp;"'!Year.NetBalance"), MATCH('Intermediate output'!$C33, INDIRECT("'"&amp;AZ$4&amp;"'!Year.Vectors"), 0))</f>
        <v>1.8746115688184966</v>
      </c>
      <c r="BA33" s="2902">
        <f ca="1">-INDEX(INDIRECT("'"&amp;BA$4&amp;"'!Year.NetBalance"), MATCH('Intermediate output'!$C33, INDIRECT("'"&amp;BA$4&amp;"'!Year.Vectors"), 0))</f>
        <v>2.5939350670133425</v>
      </c>
      <c r="BB33" s="2902">
        <f ca="1">-INDEX(INDIRECT("'"&amp;BB$4&amp;"'!Year.NetBalance"), MATCH('Intermediate output'!$C33, INDIRECT("'"&amp;BB$4&amp;"'!Year.Vectors"), 0))</f>
        <v>3.1510020039229341</v>
      </c>
      <c r="BC33" s="2902">
        <f ca="1">-INDEX(INDIRECT("'"&amp;BC$4&amp;"'!Year.NetBalance"), MATCH('Intermediate output'!$C33, INDIRECT("'"&amp;BC$4&amp;"'!Year.Vectors"), 0))</f>
        <v>3.2175631879671385</v>
      </c>
      <c r="BD33" s="2902">
        <f ca="1">-INDEX(INDIRECT("'"&amp;BD$4&amp;"'!Year.NetBalance"), MATCH('Intermediate output'!$C33, INDIRECT("'"&amp;BD$4&amp;"'!Year.Vectors"), 0))</f>
        <v>3.4481065044894366</v>
      </c>
      <c r="BE33" s="2902">
        <f ca="1">-INDEX(INDIRECT("'"&amp;BE$4&amp;"'!Year.NetBalance"), MATCH('Intermediate output'!$C33, INDIRECT("'"&amp;BE$4&amp;"'!Year.Vectors"), 0))</f>
        <v>3.6950346199087507</v>
      </c>
      <c r="BF33" s="2902">
        <f ca="1">-INDEX(INDIRECT("'"&amp;BF$4&amp;"'!Year.NetBalance"), MATCH('Intermediate output'!$C33, INDIRECT("'"&amp;BF$4&amp;"'!Year.Vectors"), 0))</f>
        <v>3.9589143994025449</v>
      </c>
      <c r="BG33" s="2902">
        <f ca="1">-INDEX(INDIRECT("'"&amp;BG$4&amp;"'!Year.NetBalance"), MATCH('Intermediate output'!$C33, INDIRECT("'"&amp;BG$4&amp;"'!Year.Vectors"), 0))</f>
        <v>4.0753442102770014</v>
      </c>
      <c r="BH33" s="3068"/>
      <c r="BJ33" s="3064"/>
      <c r="BK33" s="3066"/>
      <c r="BL33" s="3066"/>
      <c r="BM33" s="506"/>
      <c r="BN33" s="2902"/>
      <c r="BO33" s="2902"/>
      <c r="BP33" s="3067"/>
      <c r="BQ33" s="3067"/>
      <c r="BR33" s="3067"/>
      <c r="BS33" s="3067"/>
      <c r="BT33" s="3067"/>
      <c r="BU33" s="3067"/>
      <c r="CE33" s="918" t="s">
        <v>3360</v>
      </c>
    </row>
    <row r="34" spans="2:83" s="918" customFormat="1">
      <c r="B34" s="3064"/>
      <c r="C34" s="3066" t="s">
        <v>443</v>
      </c>
      <c r="D34" s="3066" t="str">
        <f>INDEX(Vectors[Description], MATCH($C34, Vectors[Code], 0))</f>
        <v>Agriculture</v>
      </c>
      <c r="E34" s="506"/>
      <c r="F34" s="2902"/>
      <c r="G34" s="2902"/>
      <c r="H34" s="3067"/>
      <c r="I34" s="3067"/>
      <c r="J34" s="3067"/>
      <c r="K34" s="3067"/>
      <c r="L34" s="3067"/>
      <c r="M34" s="3067"/>
      <c r="N34" s="3067"/>
      <c r="O34" s="3067"/>
      <c r="P34" s="3067"/>
      <c r="Q34" s="3067"/>
      <c r="R34" s="3067"/>
      <c r="S34" s="3067"/>
      <c r="T34" s="3067"/>
      <c r="U34" s="3067"/>
      <c r="V34" s="3067"/>
      <c r="W34" s="3067"/>
      <c r="X34" s="3067"/>
      <c r="Y34" s="3067"/>
      <c r="Z34" s="3067"/>
      <c r="AA34" s="3067"/>
      <c r="AB34" s="3067"/>
      <c r="AC34" s="3067"/>
      <c r="AD34" s="3067"/>
      <c r="AE34" s="3067"/>
      <c r="AF34" s="3067"/>
      <c r="AG34" s="3067"/>
      <c r="AH34" s="3067"/>
      <c r="AI34" s="3067"/>
      <c r="AJ34" s="3067"/>
      <c r="AK34" s="3067"/>
      <c r="AL34" s="3067"/>
      <c r="AM34" s="3067"/>
      <c r="AN34" s="3067"/>
      <c r="AO34" s="3067"/>
      <c r="AP34" s="3067"/>
      <c r="AQ34" s="3067"/>
      <c r="AR34" s="3067"/>
      <c r="AS34" s="3067"/>
      <c r="AT34" s="3067"/>
      <c r="AU34" s="3067"/>
      <c r="AV34" s="3067"/>
      <c r="AW34" s="3067"/>
      <c r="AX34" s="506"/>
      <c r="AY34" s="3699">
        <f ca="1">-INDEX(INDIRECT("'"&amp;AY$4&amp;"'!Year.NetBalance"), MATCH('Intermediate output'!$C34, INDIRECT("'"&amp;AY$4&amp;"'!Year.Vectors"), 0))</f>
        <v>0.31308333333333338</v>
      </c>
      <c r="AZ34" s="2902">
        <f ca="1">-INDEX(INDIRECT("'"&amp;AZ$4&amp;"'!Year.NetBalance"), MATCH('Intermediate output'!$C34, INDIRECT("'"&amp;AZ$4&amp;"'!Year.Vectors"), 0))</f>
        <v>0.31819825788025435</v>
      </c>
      <c r="BA34" s="2902">
        <f ca="1">-INDEX(INDIRECT("'"&amp;BA$4&amp;"'!Year.NetBalance"), MATCH('Intermediate output'!$C34, INDIRECT("'"&amp;BA$4&amp;"'!Year.Vectors"), 0))</f>
        <v>0.33156731444804843</v>
      </c>
      <c r="BB34" s="2902">
        <f ca="1">-INDEX(INDIRECT("'"&amp;BB$4&amp;"'!Year.NetBalance"), MATCH('Intermediate output'!$C34, INDIRECT("'"&amp;BB$4&amp;"'!Year.Vectors"), 0))</f>
        <v>0.34581642466848794</v>
      </c>
      <c r="BC34" s="2902">
        <f ca="1">-INDEX(INDIRECT("'"&amp;BC$4&amp;"'!Year.NetBalance"), MATCH('Intermediate output'!$C34, INDIRECT("'"&amp;BC$4&amp;"'!Year.Vectors"), 0))</f>
        <v>0.36101075337977562</v>
      </c>
      <c r="BD34" s="2902">
        <f ca="1">-INDEX(INDIRECT("'"&amp;BD$4&amp;"'!Year.NetBalance"), MATCH('Intermediate output'!$C34, INDIRECT("'"&amp;BD$4&amp;"'!Year.Vectors"), 0))</f>
        <v>0.37722039553007852</v>
      </c>
      <c r="BE34" s="2902">
        <f ca="1">-INDEX(INDIRECT("'"&amp;BE$4&amp;"'!Year.NetBalance"), MATCH('Intermediate output'!$C34, INDIRECT("'"&amp;BE$4&amp;"'!Year.Vectors"), 0))</f>
        <v>0.39452075052198765</v>
      </c>
      <c r="BF34" s="2902">
        <f ca="1">-INDEX(INDIRECT("'"&amp;BF$4&amp;"'!Year.NetBalance"), MATCH('Intermediate output'!$C34, INDIRECT("'"&amp;BF$4&amp;"'!Year.Vectors"), 0))</f>
        <v>0.41299292499810381</v>
      </c>
      <c r="BG34" s="2902">
        <f ca="1">-INDEX(INDIRECT("'"&amp;BG$4&amp;"'!Year.NetBalance"), MATCH('Intermediate output'!$C34, INDIRECT("'"&amp;BG$4&amp;"'!Year.Vectors"), 0))</f>
        <v>0.43272416622880361</v>
      </c>
      <c r="BH34" s="3068"/>
      <c r="BJ34" s="3064"/>
      <c r="BK34" s="3066"/>
      <c r="BL34" s="3066"/>
      <c r="BM34" s="506"/>
      <c r="BN34" s="2902"/>
      <c r="BO34" s="2902"/>
      <c r="BP34" s="3067"/>
      <c r="BQ34" s="3067"/>
      <c r="BR34" s="3067"/>
      <c r="BS34" s="3067"/>
      <c r="BT34" s="3067"/>
      <c r="BU34" s="3067"/>
    </row>
    <row r="35" spans="2:83" s="918" customFormat="1">
      <c r="B35" s="3064"/>
      <c r="C35" s="3066" t="s">
        <v>430</v>
      </c>
      <c r="D35" s="3066" t="str">
        <f>INDEX(Vectors[Description], MATCH($C35, Vectors[Code], 0))</f>
        <v>Biomass imports (exports in parenthesis)</v>
      </c>
      <c r="E35" s="506"/>
      <c r="F35" s="2902">
        <f>(Unit.TWh)*0.2</f>
        <v>0.2</v>
      </c>
      <c r="G35" s="2902"/>
      <c r="H35" s="3067"/>
      <c r="I35" s="3067"/>
      <c r="J35" s="3067"/>
      <c r="K35" s="3067"/>
      <c r="L35" s="3067"/>
      <c r="M35" s="3067"/>
      <c r="N35" s="3067"/>
      <c r="O35" s="3067"/>
      <c r="P35" s="3067"/>
      <c r="Q35" s="3067"/>
      <c r="R35" s="3067"/>
      <c r="S35" s="3067"/>
      <c r="T35" s="3067"/>
      <c r="U35" s="3067"/>
      <c r="V35" s="3067"/>
      <c r="W35" s="3067"/>
      <c r="X35" s="3067"/>
      <c r="Y35" s="3067"/>
      <c r="Z35" s="3067"/>
      <c r="AA35" s="3067"/>
      <c r="AB35" s="3067"/>
      <c r="AC35" s="3067"/>
      <c r="AD35" s="3067"/>
      <c r="AE35" s="3067"/>
      <c r="AF35" s="3067"/>
      <c r="AG35" s="3067"/>
      <c r="AH35" s="3067"/>
      <c r="AI35" s="3067"/>
      <c r="AJ35" s="3067"/>
      <c r="AK35" s="3067"/>
      <c r="AL35" s="3067"/>
      <c r="AM35" s="3067"/>
      <c r="AN35" s="3067"/>
      <c r="AO35" s="3067"/>
      <c r="AP35" s="3067"/>
      <c r="AQ35" s="3067"/>
      <c r="AR35" s="3067"/>
      <c r="AS35" s="3067"/>
      <c r="AT35" s="3067"/>
      <c r="AU35" s="3067"/>
      <c r="AV35" s="3067"/>
      <c r="AW35" s="3067"/>
      <c r="AX35" s="506"/>
      <c r="AY35" s="3699">
        <f ca="1">-INDEX(INDIRECT("'"&amp;AY$4&amp;"'!Year.NetBalance"), MATCH('Intermediate output'!$C35, INDIRECT("'"&amp;AY$4&amp;"'!Year.Vectors"), 0))</f>
        <v>1.0954366666666666</v>
      </c>
      <c r="AZ35" s="2902">
        <f ca="1">-INDEX(INDIRECT("'"&amp;AZ$4&amp;"'!Year.NetBalance"), MATCH('Intermediate output'!$C35, INDIRECT("'"&amp;AZ$4&amp;"'!Year.Vectors"), 0))</f>
        <v>1.2967</v>
      </c>
      <c r="BA35" s="2902">
        <f ca="1">-INDEX(INDIRECT("'"&amp;BA$4&amp;"'!Year.NetBalance"), MATCH('Intermediate output'!$C35, INDIRECT("'"&amp;BA$4&amp;"'!Year.Vectors"), 0))</f>
        <v>1.2967</v>
      </c>
      <c r="BB35" s="2902">
        <f ca="1">-INDEX(INDIRECT("'"&amp;BB$4&amp;"'!Year.NetBalance"), MATCH('Intermediate output'!$C35, INDIRECT("'"&amp;BB$4&amp;"'!Year.Vectors"), 0))</f>
        <v>1.2466999999999999</v>
      </c>
      <c r="BC35" s="2902">
        <f ca="1">-INDEX(INDIRECT("'"&amp;BC$4&amp;"'!Year.NetBalance"), MATCH('Intermediate output'!$C35, INDIRECT("'"&amp;BC$4&amp;"'!Year.Vectors"), 0))</f>
        <v>1.6</v>
      </c>
      <c r="BD35" s="2902">
        <f ca="1">-INDEX(INDIRECT("'"&amp;BD$4&amp;"'!Year.NetBalance"), MATCH('Intermediate output'!$C35, INDIRECT("'"&amp;BD$4&amp;"'!Year.Vectors"), 0))</f>
        <v>1.45</v>
      </c>
      <c r="BE35" s="2902">
        <f ca="1">-INDEX(INDIRECT("'"&amp;BE$4&amp;"'!Year.NetBalance"), MATCH('Intermediate output'!$C35, INDIRECT("'"&amp;BE$4&amp;"'!Year.Vectors"), 0))</f>
        <v>0.79999999999999993</v>
      </c>
      <c r="BF35" s="2902">
        <f ca="1">-INDEX(INDIRECT("'"&amp;BF$4&amp;"'!Year.NetBalance"), MATCH('Intermediate output'!$C35, INDIRECT("'"&amp;BF$4&amp;"'!Year.Vectors"), 0))</f>
        <v>0.14999999999999991</v>
      </c>
      <c r="BG35" s="2902">
        <f ca="1">-INDEX(INDIRECT("'"&amp;BG$4&amp;"'!Year.NetBalance"), MATCH('Intermediate output'!$C35, INDIRECT("'"&amp;BG$4&amp;"'!Year.Vectors"), 0))</f>
        <v>0</v>
      </c>
      <c r="BH35" s="3068"/>
      <c r="BJ35" s="3064"/>
      <c r="BK35" s="3066"/>
      <c r="BL35" s="3066"/>
      <c r="BM35" s="506"/>
      <c r="BN35" s="2902"/>
      <c r="BO35" s="2902"/>
      <c r="BP35" s="3067"/>
      <c r="BQ35" s="3067"/>
      <c r="BR35" s="3067"/>
      <c r="BS35" s="3067"/>
      <c r="BT35" s="3067"/>
      <c r="BU35" s="3067"/>
    </row>
    <row r="36" spans="2:83">
      <c r="B36" s="505"/>
      <c r="C36" s="506"/>
      <c r="D36" s="3301" t="s">
        <v>3355</v>
      </c>
      <c r="E36" s="3301"/>
      <c r="F36" s="3302"/>
      <c r="G36" s="3302"/>
      <c r="H36" s="3085"/>
      <c r="I36" s="3085"/>
      <c r="J36" s="3085"/>
      <c r="K36" s="3085"/>
      <c r="L36" s="3085"/>
      <c r="M36" s="3085"/>
      <c r="N36" s="3085"/>
      <c r="O36" s="3085"/>
      <c r="P36" s="3085"/>
      <c r="Q36" s="3085"/>
      <c r="R36" s="3085"/>
      <c r="S36" s="3085"/>
      <c r="T36" s="3085"/>
      <c r="U36" s="3085"/>
      <c r="V36" s="3085"/>
      <c r="W36" s="3085"/>
      <c r="X36" s="3085"/>
      <c r="Y36" s="3085"/>
      <c r="Z36" s="3085"/>
      <c r="AA36" s="3085"/>
      <c r="AB36" s="3085"/>
      <c r="AC36" s="3085"/>
      <c r="AD36" s="3085"/>
      <c r="AE36" s="3085"/>
      <c r="AF36" s="3085"/>
      <c r="AG36" s="3085"/>
      <c r="AH36" s="3085"/>
      <c r="AI36" s="3085"/>
      <c r="AJ36" s="3085"/>
      <c r="AK36" s="3085"/>
      <c r="AL36" s="3085"/>
      <c r="AM36" s="3085"/>
      <c r="AN36" s="3085"/>
      <c r="AO36" s="3085"/>
      <c r="AP36" s="3085"/>
      <c r="AQ36" s="3085"/>
      <c r="AR36" s="3085"/>
      <c r="AS36" s="3085"/>
      <c r="AT36" s="3085"/>
      <c r="AU36" s="3085"/>
      <c r="AV36" s="3085"/>
      <c r="AW36" s="3085"/>
      <c r="AX36" s="3301"/>
      <c r="AY36" s="3698">
        <f t="shared" ref="AY36:BG36" ca="1" si="6">SUM(AY33:AY35)</f>
        <v>2.7554222662175594</v>
      </c>
      <c r="AZ36" s="3302">
        <f t="shared" ca="1" si="6"/>
        <v>3.4895098266987508</v>
      </c>
      <c r="BA36" s="3302">
        <f t="shared" ca="1" si="6"/>
        <v>4.2222023814613916</v>
      </c>
      <c r="BB36" s="3302">
        <f t="shared" ca="1" si="6"/>
        <v>4.7435184285914218</v>
      </c>
      <c r="BC36" s="3302">
        <f t="shared" ca="1" si="6"/>
        <v>5.1785739413469143</v>
      </c>
      <c r="BD36" s="3302">
        <f t="shared" ca="1" si="6"/>
        <v>5.2753269000195147</v>
      </c>
      <c r="BE36" s="3302">
        <f t="shared" ca="1" si="6"/>
        <v>4.8895553704307382</v>
      </c>
      <c r="BF36" s="3302">
        <f t="shared" ca="1" si="6"/>
        <v>4.5219073244006491</v>
      </c>
      <c r="BG36" s="3302">
        <f t="shared" ca="1" si="6"/>
        <v>4.5080683765058049</v>
      </c>
      <c r="BH36" s="3073"/>
      <c r="BJ36" s="505"/>
      <c r="BK36" s="506"/>
      <c r="BL36" s="3301"/>
      <c r="BM36" s="3301"/>
      <c r="BN36" s="3302"/>
      <c r="BO36" s="3302"/>
      <c r="BP36" s="3085"/>
      <c r="BQ36" s="3085"/>
      <c r="BR36" s="3085"/>
      <c r="BS36" s="3085"/>
      <c r="BT36" s="3085"/>
      <c r="BU36" s="3085"/>
    </row>
    <row r="37" spans="2:83" s="918" customFormat="1">
      <c r="B37" s="3064"/>
      <c r="C37" s="3066" t="s">
        <v>433</v>
      </c>
      <c r="D37" s="3066" t="str">
        <f>INDEX(Vectors[Description], MATCH($C37, Vectors[Code], 0))</f>
        <v>Coal imports (exports in paranthesis)</v>
      </c>
      <c r="E37" s="506"/>
      <c r="F37" s="2902">
        <f>(Unit.TWh)*'Irl. Energy Balance 2013 (TWh)'!D8</f>
        <v>14.656822134585569</v>
      </c>
      <c r="G37" s="2902"/>
      <c r="H37" s="3067"/>
      <c r="I37" s="3067"/>
      <c r="J37" s="3067"/>
      <c r="K37" s="3067"/>
      <c r="L37" s="3067"/>
      <c r="M37" s="3067"/>
      <c r="N37" s="3067"/>
      <c r="O37" s="3067"/>
      <c r="P37" s="3067"/>
      <c r="Q37" s="3067"/>
      <c r="R37" s="3067"/>
      <c r="S37" s="3067"/>
      <c r="T37" s="3067"/>
      <c r="U37" s="3067"/>
      <c r="V37" s="3067"/>
      <c r="W37" s="3067"/>
      <c r="X37" s="3067"/>
      <c r="Y37" s="3067"/>
      <c r="Z37" s="3067"/>
      <c r="AA37" s="3067"/>
      <c r="AB37" s="3067"/>
      <c r="AC37" s="3067"/>
      <c r="AD37" s="3067"/>
      <c r="AE37" s="3067"/>
      <c r="AF37" s="3067"/>
      <c r="AG37" s="3067"/>
      <c r="AH37" s="3067"/>
      <c r="AI37" s="3067"/>
      <c r="AJ37" s="3067"/>
      <c r="AK37" s="3067"/>
      <c r="AL37" s="3067"/>
      <c r="AM37" s="3067"/>
      <c r="AN37" s="3067"/>
      <c r="AO37" s="3067"/>
      <c r="AP37" s="3067"/>
      <c r="AQ37" s="3067"/>
      <c r="AR37" s="3067"/>
      <c r="AS37" s="3067"/>
      <c r="AT37" s="3067"/>
      <c r="AU37" s="3067"/>
      <c r="AV37" s="3067"/>
      <c r="AW37" s="3067"/>
      <c r="AX37" s="506"/>
      <c r="AY37" s="3699">
        <f ca="1">-INDEX(INDIRECT("'"&amp;AY$4&amp;"'!Year.NetBalance"), MATCH('Intermediate output'!$C37, INDIRECT("'"&amp;AY$4&amp;"'!Year.Vectors"), 0))</f>
        <v>14.911266915263244</v>
      </c>
      <c r="AZ37" s="2902">
        <f ca="1">-INDEX(INDIRECT("'"&amp;AZ$4&amp;"'!Year.NetBalance"), MATCH('Intermediate output'!$C37, INDIRECT("'"&amp;AZ$4&amp;"'!Year.Vectors"), 0))</f>
        <v>16.267581324784786</v>
      </c>
      <c r="BA37" s="2902">
        <f ca="1">-INDEX(INDIRECT("'"&amp;BA$4&amp;"'!Year.NetBalance"), MATCH('Intermediate output'!$C37, INDIRECT("'"&amp;BA$4&amp;"'!Year.Vectors"), 0))</f>
        <v>18.650649187310073</v>
      </c>
      <c r="BB37" s="2902">
        <f ca="1">-INDEX(INDIRECT("'"&amp;BB$4&amp;"'!Year.NetBalance"), MATCH('Intermediate output'!$C37, INDIRECT("'"&amp;BB$4&amp;"'!Year.Vectors"), 0))</f>
        <v>18.40843063217299</v>
      </c>
      <c r="BC37" s="2902">
        <f ca="1">-INDEX(INDIRECT("'"&amp;BC$4&amp;"'!Year.NetBalance"), MATCH('Intermediate output'!$C37, INDIRECT("'"&amp;BC$4&amp;"'!Year.Vectors"), 0))</f>
        <v>13.883093074912559</v>
      </c>
      <c r="BD37" s="2902">
        <f ca="1">-INDEX(INDIRECT("'"&amp;BD$4&amp;"'!Year.NetBalance"), MATCH('Intermediate output'!$C37, INDIRECT("'"&amp;BD$4&amp;"'!Year.Vectors"), 0))</f>
        <v>1.0246834611179927</v>
      </c>
      <c r="BE37" s="2902">
        <f ca="1">-INDEX(INDIRECT("'"&amp;BE$4&amp;"'!Year.NetBalance"), MATCH('Intermediate output'!$C37, INDIRECT("'"&amp;BE$4&amp;"'!Year.Vectors"), 0))</f>
        <v>1.7111936919719914</v>
      </c>
      <c r="BF37" s="2902">
        <f ca="1">-INDEX(INDIRECT("'"&amp;BF$4&amp;"'!Year.NetBalance"), MATCH('Intermediate output'!$C37, INDIRECT("'"&amp;BF$4&amp;"'!Year.Vectors"), 0))</f>
        <v>2.4238277679140663</v>
      </c>
      <c r="BG37" s="2902">
        <f ca="1">-INDEX(INDIRECT("'"&amp;BG$4&amp;"'!Year.NetBalance"), MATCH('Intermediate output'!$C37, INDIRECT("'"&amp;BG$4&amp;"'!Year.Vectors"), 0))</f>
        <v>2.6655686309587772</v>
      </c>
      <c r="BH37" s="3068"/>
      <c r="BJ37" s="3064"/>
      <c r="BK37" s="3066"/>
      <c r="BL37" s="3066"/>
      <c r="BM37" s="506"/>
      <c r="BN37" s="2902"/>
      <c r="BO37" s="2902"/>
      <c r="BP37" s="3067"/>
      <c r="BQ37" s="3067"/>
      <c r="BR37" s="3067"/>
      <c r="BS37" s="3067"/>
      <c r="BT37" s="3067"/>
      <c r="BU37" s="3067"/>
    </row>
    <row r="38" spans="2:83" s="918" customFormat="1">
      <c r="B38" s="3064"/>
      <c r="C38" s="3066" t="s">
        <v>427</v>
      </c>
      <c r="D38" s="3066" t="str">
        <f>INDEX(Vectors[Description], MATCH($C38, Vectors[Code], 0))</f>
        <v>Peat reserves</v>
      </c>
      <c r="E38" s="506"/>
      <c r="F38" s="2902">
        <f>(Unit.TWh)*'Irl. Energy Balance 2013 (TWh)'!$H$7</f>
        <v>8.4099484316203554</v>
      </c>
      <c r="G38" s="2902"/>
      <c r="H38" s="3067"/>
      <c r="I38" s="3067"/>
      <c r="J38" s="3067"/>
      <c r="K38" s="3067"/>
      <c r="L38" s="3067"/>
      <c r="M38" s="3067"/>
      <c r="N38" s="3067"/>
      <c r="O38" s="3067"/>
      <c r="P38" s="3067"/>
      <c r="Q38" s="3067"/>
      <c r="R38" s="3067"/>
      <c r="S38" s="3067"/>
      <c r="T38" s="3067"/>
      <c r="U38" s="3067"/>
      <c r="V38" s="3067"/>
      <c r="W38" s="3067"/>
      <c r="X38" s="3067"/>
      <c r="Y38" s="3067"/>
      <c r="Z38" s="3067"/>
      <c r="AA38" s="3067"/>
      <c r="AB38" s="3067"/>
      <c r="AC38" s="3067"/>
      <c r="AD38" s="3067"/>
      <c r="AE38" s="3067"/>
      <c r="AF38" s="3067"/>
      <c r="AG38" s="3067"/>
      <c r="AH38" s="3067"/>
      <c r="AI38" s="3067"/>
      <c r="AJ38" s="3067"/>
      <c r="AK38" s="3067"/>
      <c r="AL38" s="3067"/>
      <c r="AM38" s="3067"/>
      <c r="AN38" s="3067"/>
      <c r="AO38" s="3067"/>
      <c r="AP38" s="3067"/>
      <c r="AQ38" s="3067"/>
      <c r="AR38" s="3067"/>
      <c r="AS38" s="3067"/>
      <c r="AT38" s="3067"/>
      <c r="AU38" s="3067"/>
      <c r="AV38" s="3067"/>
      <c r="AW38" s="3067"/>
      <c r="AX38" s="506"/>
      <c r="AY38" s="2902">
        <f ca="1">-INDEX(INDIRECT("'"&amp;AY$4&amp;"'!Year.NetBalance"), MATCH('Intermediate output'!$C38, INDIRECT("'"&amp;AY$4&amp;"'!Year.Vectors"), 0))</f>
        <v>8.4</v>
      </c>
      <c r="AZ38" s="2902">
        <f ca="1">-INDEX(INDIRECT("'"&amp;AZ$4&amp;"'!Year.NetBalance"), MATCH('Intermediate output'!$C38, INDIRECT("'"&amp;AZ$4&amp;"'!Year.Vectors"), 0))</f>
        <v>7</v>
      </c>
      <c r="BA38" s="2902">
        <f ca="1">-INDEX(INDIRECT("'"&amp;BA$4&amp;"'!Year.NetBalance"), MATCH('Intermediate output'!$C38, INDIRECT("'"&amp;BA$4&amp;"'!Year.Vectors"), 0))</f>
        <v>2</v>
      </c>
      <c r="BB38" s="2902">
        <f ca="1">-INDEX(INDIRECT("'"&amp;BB$4&amp;"'!Year.NetBalance"), MATCH('Intermediate output'!$C38, INDIRECT("'"&amp;BB$4&amp;"'!Year.Vectors"), 0))</f>
        <v>2</v>
      </c>
      <c r="BC38" s="2902">
        <f ca="1">-INDEX(INDIRECT("'"&amp;BC$4&amp;"'!Year.NetBalance"), MATCH('Intermediate output'!$C38, INDIRECT("'"&amp;BC$4&amp;"'!Year.Vectors"), 0))</f>
        <v>0</v>
      </c>
      <c r="BD38" s="2902">
        <f ca="1">-INDEX(INDIRECT("'"&amp;BD$4&amp;"'!Year.NetBalance"), MATCH('Intermediate output'!$C38, INDIRECT("'"&amp;BD$4&amp;"'!Year.Vectors"), 0))</f>
        <v>0</v>
      </c>
      <c r="BE38" s="2902">
        <f ca="1">-INDEX(INDIRECT("'"&amp;BE$4&amp;"'!Year.NetBalance"), MATCH('Intermediate output'!$C38, INDIRECT("'"&amp;BE$4&amp;"'!Year.Vectors"), 0))</f>
        <v>0</v>
      </c>
      <c r="BF38" s="2902">
        <f ca="1">-INDEX(INDIRECT("'"&amp;BF$4&amp;"'!Year.NetBalance"), MATCH('Intermediate output'!$C38, INDIRECT("'"&amp;BF$4&amp;"'!Year.Vectors"), 0))</f>
        <v>0</v>
      </c>
      <c r="BG38" s="2902">
        <f ca="1">-INDEX(INDIRECT("'"&amp;BG$4&amp;"'!Year.NetBalance"), MATCH('Intermediate output'!$C38, INDIRECT("'"&amp;BG$4&amp;"'!Year.Vectors"), 0))</f>
        <v>0</v>
      </c>
      <c r="BH38" s="3068"/>
      <c r="BJ38" s="3064"/>
      <c r="BK38" s="3066"/>
      <c r="BL38" s="3066"/>
      <c r="BM38" s="506"/>
      <c r="BN38" s="2902"/>
      <c r="BO38" s="2902"/>
      <c r="BP38" s="3067"/>
      <c r="BQ38" s="3067"/>
      <c r="BR38" s="3067"/>
      <c r="BS38" s="3067"/>
      <c r="BT38" s="3067"/>
      <c r="BU38" s="3067"/>
    </row>
    <row r="39" spans="2:83">
      <c r="B39" s="505"/>
      <c r="C39" s="506"/>
      <c r="D39" s="3301" t="s">
        <v>1683</v>
      </c>
      <c r="E39" s="3301"/>
      <c r="F39" s="3302">
        <f>SUM(F37:F38)</f>
        <v>23.066770566205925</v>
      </c>
      <c r="G39" s="3071"/>
      <c r="H39" s="3072"/>
      <c r="I39" s="3072"/>
      <c r="J39" s="3072"/>
      <c r="K39" s="3072"/>
      <c r="L39" s="3072"/>
      <c r="M39" s="3072"/>
      <c r="N39" s="3072"/>
      <c r="O39" s="3072"/>
      <c r="P39" s="3072"/>
      <c r="Q39" s="3072"/>
      <c r="R39" s="3072"/>
      <c r="S39" s="3072"/>
      <c r="T39" s="3072"/>
      <c r="U39" s="3072"/>
      <c r="V39" s="3072"/>
      <c r="W39" s="3072"/>
      <c r="X39" s="3072"/>
      <c r="Y39" s="3072"/>
      <c r="Z39" s="3072"/>
      <c r="AA39" s="3072"/>
      <c r="AB39" s="3072"/>
      <c r="AC39" s="3072"/>
      <c r="AD39" s="3072"/>
      <c r="AE39" s="3072"/>
      <c r="AF39" s="3072"/>
      <c r="AG39" s="3072"/>
      <c r="AH39" s="3072"/>
      <c r="AI39" s="3072"/>
      <c r="AJ39" s="3072"/>
      <c r="AK39" s="3072"/>
      <c r="AL39" s="3072"/>
      <c r="AM39" s="3072"/>
      <c r="AN39" s="3072"/>
      <c r="AO39" s="3072"/>
      <c r="AP39" s="3072"/>
      <c r="AQ39" s="3072"/>
      <c r="AR39" s="3072"/>
      <c r="AS39" s="3072"/>
      <c r="AT39" s="3072"/>
      <c r="AU39" s="3072"/>
      <c r="AV39" s="3072"/>
      <c r="AW39" s="3072"/>
      <c r="AX39" s="506"/>
      <c r="AY39" s="3302">
        <f t="shared" ref="AY39:BG39" ca="1" si="7">SUM(AY37:AY38)</f>
        <v>23.311266915263246</v>
      </c>
      <c r="AZ39" s="3302">
        <f t="shared" ca="1" si="7"/>
        <v>23.267581324784786</v>
      </c>
      <c r="BA39" s="3302">
        <f t="shared" ca="1" si="7"/>
        <v>20.650649187310073</v>
      </c>
      <c r="BB39" s="3302">
        <f t="shared" ca="1" si="7"/>
        <v>20.40843063217299</v>
      </c>
      <c r="BC39" s="3302">
        <f t="shared" ca="1" si="7"/>
        <v>13.883093074912559</v>
      </c>
      <c r="BD39" s="3302">
        <f t="shared" ca="1" si="7"/>
        <v>1.0246834611179927</v>
      </c>
      <c r="BE39" s="3302">
        <f t="shared" ca="1" si="7"/>
        <v>1.7111936919719914</v>
      </c>
      <c r="BF39" s="3302">
        <f t="shared" ca="1" si="7"/>
        <v>2.4238277679140663</v>
      </c>
      <c r="BG39" s="3302">
        <f t="shared" ca="1" si="7"/>
        <v>2.6655686309587772</v>
      </c>
      <c r="BH39" s="3073"/>
      <c r="BJ39" s="505"/>
      <c r="BK39" s="506"/>
      <c r="BL39" s="3301"/>
      <c r="BM39" s="3301"/>
      <c r="BN39" s="3302"/>
      <c r="BO39" s="3071"/>
      <c r="BP39" s="3072"/>
      <c r="BQ39" s="3072"/>
      <c r="BR39" s="3072"/>
      <c r="BS39" s="3072"/>
      <c r="BT39" s="3072"/>
      <c r="BU39" s="3072"/>
    </row>
    <row r="40" spans="2:83" s="918" customFormat="1">
      <c r="B40" s="3064"/>
      <c r="C40" s="3066" t="s">
        <v>428</v>
      </c>
      <c r="D40" s="3066" t="str">
        <f>INDEX(Vectors[Description], MATCH($C40, Vectors[Code], 0))</f>
        <v>Oil reserves</v>
      </c>
      <c r="E40" s="506"/>
      <c r="F40" s="2902">
        <f>'Irl. Energy Balance 2013 (TWh)'!L2</f>
        <v>0</v>
      </c>
      <c r="G40" s="2902"/>
      <c r="H40" s="3067"/>
      <c r="I40" s="3067"/>
      <c r="J40" s="3067"/>
      <c r="K40" s="3067"/>
      <c r="L40" s="3067"/>
      <c r="M40" s="3067"/>
      <c r="N40" s="3067"/>
      <c r="O40" s="3067"/>
      <c r="P40" s="3067"/>
      <c r="Q40" s="3067"/>
      <c r="R40" s="3067"/>
      <c r="S40" s="3067"/>
      <c r="T40" s="3067"/>
      <c r="U40" s="3067"/>
      <c r="V40" s="3067"/>
      <c r="W40" s="3067"/>
      <c r="X40" s="3067"/>
      <c r="Y40" s="3067"/>
      <c r="Z40" s="3067"/>
      <c r="AA40" s="3067"/>
      <c r="AB40" s="3067"/>
      <c r="AC40" s="3067"/>
      <c r="AD40" s="3067"/>
      <c r="AE40" s="3067"/>
      <c r="AF40" s="3067"/>
      <c r="AG40" s="3067"/>
      <c r="AH40" s="3067"/>
      <c r="AI40" s="3067"/>
      <c r="AJ40" s="3067"/>
      <c r="AK40" s="3067"/>
      <c r="AL40" s="3067"/>
      <c r="AM40" s="3067"/>
      <c r="AN40" s="3067"/>
      <c r="AO40" s="3067"/>
      <c r="AP40" s="3067"/>
      <c r="AQ40" s="3067"/>
      <c r="AR40" s="3067"/>
      <c r="AS40" s="3067"/>
      <c r="AT40" s="3067"/>
      <c r="AU40" s="3067"/>
      <c r="AV40" s="3067"/>
      <c r="AW40" s="3067"/>
      <c r="AX40" s="506"/>
      <c r="AY40" s="2902">
        <f ca="1">-INDEX(INDIRECT("'"&amp;AY$4&amp;"'!Year.NetBalance"), MATCH('Intermediate output'!$C40, INDIRECT("'"&amp;AY$4&amp;"'!Year.Vectors"), 0))</f>
        <v>0</v>
      </c>
      <c r="AZ40" s="2902">
        <f ca="1">-INDEX(INDIRECT("'"&amp;AZ$4&amp;"'!Year.NetBalance"), MATCH('Intermediate output'!$C40, INDIRECT("'"&amp;AZ$4&amp;"'!Year.Vectors"), 0))</f>
        <v>0</v>
      </c>
      <c r="BA40" s="2902">
        <f ca="1">-INDEX(INDIRECT("'"&amp;BA$4&amp;"'!Year.NetBalance"), MATCH('Intermediate output'!$C40, INDIRECT("'"&amp;BA$4&amp;"'!Year.Vectors"), 0))</f>
        <v>0</v>
      </c>
      <c r="BB40" s="2902">
        <f ca="1">-INDEX(INDIRECT("'"&amp;BB$4&amp;"'!Year.NetBalance"), MATCH('Intermediate output'!$C40, INDIRECT("'"&amp;BB$4&amp;"'!Year.Vectors"), 0))</f>
        <v>0</v>
      </c>
      <c r="BC40" s="2902">
        <f ca="1">-INDEX(INDIRECT("'"&amp;BC$4&amp;"'!Year.NetBalance"), MATCH('Intermediate output'!$C40, INDIRECT("'"&amp;BC$4&amp;"'!Year.Vectors"), 0))</f>
        <v>0</v>
      </c>
      <c r="BD40" s="2902">
        <f ca="1">-INDEX(INDIRECT("'"&amp;BD$4&amp;"'!Year.NetBalance"), MATCH('Intermediate output'!$C40, INDIRECT("'"&amp;BD$4&amp;"'!Year.Vectors"), 0))</f>
        <v>0</v>
      </c>
      <c r="BE40" s="2902">
        <f ca="1">-INDEX(INDIRECT("'"&amp;BE$4&amp;"'!Year.NetBalance"), MATCH('Intermediate output'!$C40, INDIRECT("'"&amp;BE$4&amp;"'!Year.Vectors"), 0))</f>
        <v>0</v>
      </c>
      <c r="BF40" s="2902">
        <f ca="1">-INDEX(INDIRECT("'"&amp;BF$4&amp;"'!Year.NetBalance"), MATCH('Intermediate output'!$C40, INDIRECT("'"&amp;BF$4&amp;"'!Year.Vectors"), 0))</f>
        <v>0</v>
      </c>
      <c r="BG40" s="2902">
        <f ca="1">-INDEX(INDIRECT("'"&amp;BG$4&amp;"'!Year.NetBalance"), MATCH('Intermediate output'!$C40, INDIRECT("'"&amp;BG$4&amp;"'!Year.Vectors"), 0))</f>
        <v>0</v>
      </c>
      <c r="BH40" s="3068"/>
      <c r="BJ40" s="3064"/>
      <c r="BK40" s="3066"/>
      <c r="BL40" s="3066"/>
      <c r="BM40" s="506"/>
      <c r="BN40" s="2902"/>
      <c r="BO40" s="2902"/>
      <c r="BP40" s="3067"/>
      <c r="BQ40" s="3067"/>
      <c r="BR40" s="3067"/>
      <c r="BS40" s="3067"/>
      <c r="BT40" s="3067"/>
      <c r="BU40" s="3067"/>
      <c r="CE40" s="918" t="s">
        <v>5</v>
      </c>
    </row>
    <row r="41" spans="2:83" s="918" customFormat="1">
      <c r="B41" s="3064"/>
      <c r="C41" s="3066" t="s">
        <v>434</v>
      </c>
      <c r="D41" s="3066" t="str">
        <f>INDEX(Vectors[Description], MATCH($C41, Vectors[Code], 0))</f>
        <v>Oil and petroleum products imports (exports in parenthesis)</v>
      </c>
      <c r="E41" s="506"/>
      <c r="F41" s="2902">
        <f>(Unit.TWh)*'Irl. Energy Balance 2013 (TWh)'!L7</f>
        <v>76.116012246733362</v>
      </c>
      <c r="G41" s="2902"/>
      <c r="H41" s="3067"/>
      <c r="I41" s="3067"/>
      <c r="J41" s="3067"/>
      <c r="K41" s="3067"/>
      <c r="L41" s="3067"/>
      <c r="M41" s="3067"/>
      <c r="N41" s="3067"/>
      <c r="O41" s="3067"/>
      <c r="P41" s="3067"/>
      <c r="Q41" s="3067"/>
      <c r="R41" s="3067"/>
      <c r="S41" s="3067"/>
      <c r="T41" s="3067"/>
      <c r="U41" s="3067"/>
      <c r="V41" s="3067"/>
      <c r="W41" s="3067"/>
      <c r="X41" s="3067"/>
      <c r="Y41" s="3067"/>
      <c r="Z41" s="3067"/>
      <c r="AA41" s="3067"/>
      <c r="AB41" s="3067"/>
      <c r="AC41" s="3067"/>
      <c r="AD41" s="3067"/>
      <c r="AE41" s="3067"/>
      <c r="AF41" s="3067"/>
      <c r="AG41" s="3067"/>
      <c r="AH41" s="3067"/>
      <c r="AI41" s="3067"/>
      <c r="AJ41" s="3067"/>
      <c r="AK41" s="3067"/>
      <c r="AL41" s="3067"/>
      <c r="AM41" s="3067"/>
      <c r="AN41" s="3067"/>
      <c r="AO41" s="3067"/>
      <c r="AP41" s="3067"/>
      <c r="AQ41" s="3067"/>
      <c r="AR41" s="3067"/>
      <c r="AS41" s="3067"/>
      <c r="AT41" s="3067"/>
      <c r="AU41" s="3067"/>
      <c r="AV41" s="3067"/>
      <c r="AW41" s="3067"/>
      <c r="AX41" s="506"/>
      <c r="AY41" s="2902">
        <f ca="1">-INDEX(INDIRECT("'"&amp;AY$4&amp;"'!Year.NetBalance"), MATCH('Intermediate output'!$C41, INDIRECT("'"&amp;AY$4&amp;"'!Year.Vectors"), 0))</f>
        <v>76.526836320775942</v>
      </c>
      <c r="AZ41" s="2902">
        <f ca="1">-INDEX(INDIRECT("'"&amp;AZ$4&amp;"'!Year.NetBalance"), MATCH('Intermediate output'!$C41, INDIRECT("'"&amp;AZ$4&amp;"'!Year.Vectors"), 0))</f>
        <v>74.08927995898263</v>
      </c>
      <c r="BA41" s="2902">
        <f ca="1">-INDEX(INDIRECT("'"&amp;BA$4&amp;"'!Year.NetBalance"), MATCH('Intermediate output'!$C41, INDIRECT("'"&amp;BA$4&amp;"'!Year.Vectors"), 0))</f>
        <v>75.114909897863313</v>
      </c>
      <c r="BB41" s="2902">
        <f ca="1">-INDEX(INDIRECT("'"&amp;BB$4&amp;"'!Year.NetBalance"), MATCH('Intermediate output'!$C41, INDIRECT("'"&amp;BB$4&amp;"'!Year.Vectors"), 0))</f>
        <v>75.036510281436605</v>
      </c>
      <c r="BC41" s="2902">
        <f ca="1">-INDEX(INDIRECT("'"&amp;BC$4&amp;"'!Year.NetBalance"), MATCH('Intermediate output'!$C41, INDIRECT("'"&amp;BC$4&amp;"'!Year.Vectors"), 0))</f>
        <v>75.220892589846784</v>
      </c>
      <c r="BD41" s="2902">
        <f ca="1">-INDEX(INDIRECT("'"&amp;BD$4&amp;"'!Year.NetBalance"), MATCH('Intermediate output'!$C41, INDIRECT("'"&amp;BD$4&amp;"'!Year.Vectors"), 0))</f>
        <v>75.174956561456597</v>
      </c>
      <c r="BE41" s="2902">
        <f ca="1">-INDEX(INDIRECT("'"&amp;BE$4&amp;"'!Year.NetBalance"), MATCH('Intermediate output'!$C41, INDIRECT("'"&amp;BE$4&amp;"'!Year.Vectors"), 0))</f>
        <v>75.040093616616304</v>
      </c>
      <c r="BF41" s="2902">
        <f ca="1">-INDEX(INDIRECT("'"&amp;BF$4&amp;"'!Year.NetBalance"), MATCH('Intermediate output'!$C41, INDIRECT("'"&amp;BF$4&amp;"'!Year.Vectors"), 0))</f>
        <v>75.04125554596699</v>
      </c>
      <c r="BG41" s="2902">
        <f ca="1">-INDEX(INDIRECT("'"&amp;BG$4&amp;"'!Year.NetBalance"), MATCH('Intermediate output'!$C41, INDIRECT("'"&amp;BG$4&amp;"'!Year.Vectors"), 0))</f>
        <v>74.505208807877793</v>
      </c>
      <c r="BH41" s="3068"/>
      <c r="BJ41" s="3064"/>
      <c r="BK41" s="3066"/>
      <c r="BL41" s="3066"/>
      <c r="BM41" s="506"/>
      <c r="BN41" s="2902"/>
      <c r="BO41" s="2902"/>
      <c r="BP41" s="3067"/>
      <c r="BQ41" s="3067"/>
      <c r="BR41" s="3067"/>
      <c r="BS41" s="3067"/>
      <c r="BT41" s="3067"/>
      <c r="BU41" s="3067"/>
    </row>
    <row r="42" spans="2:83" s="918" customFormat="1">
      <c r="B42" s="3064"/>
      <c r="C42" s="3066" t="s">
        <v>432</v>
      </c>
      <c r="D42" s="3066" t="s">
        <v>2958</v>
      </c>
      <c r="E42" s="3561"/>
      <c r="F42" s="2902"/>
      <c r="G42" s="2902"/>
      <c r="H42" s="3067"/>
      <c r="I42" s="3067"/>
      <c r="J42" s="3067"/>
      <c r="K42" s="3067"/>
      <c r="L42" s="3067"/>
      <c r="M42" s="3067"/>
      <c r="N42" s="3067"/>
      <c r="O42" s="3067"/>
      <c r="P42" s="3067"/>
      <c r="Q42" s="3067"/>
      <c r="R42" s="3067"/>
      <c r="S42" s="3067"/>
      <c r="T42" s="3067"/>
      <c r="U42" s="3067"/>
      <c r="V42" s="3067"/>
      <c r="W42" s="3067"/>
      <c r="X42" s="3067"/>
      <c r="Y42" s="3067"/>
      <c r="Z42" s="3067"/>
      <c r="AA42" s="3067"/>
      <c r="AB42" s="3067"/>
      <c r="AC42" s="3067"/>
      <c r="AD42" s="3067"/>
      <c r="AE42" s="3067"/>
      <c r="AF42" s="3067"/>
      <c r="AG42" s="3067"/>
      <c r="AH42" s="3067"/>
      <c r="AI42" s="3067"/>
      <c r="AJ42" s="3067"/>
      <c r="AK42" s="3067"/>
      <c r="AL42" s="3067"/>
      <c r="AM42" s="3067"/>
      <c r="AN42" s="3067"/>
      <c r="AO42" s="3067"/>
      <c r="AP42" s="3067"/>
      <c r="AQ42" s="3067"/>
      <c r="AR42" s="3067"/>
      <c r="AS42" s="3067"/>
      <c r="AT42" s="3067"/>
      <c r="AU42" s="3067"/>
      <c r="AV42" s="3067"/>
      <c r="AW42" s="3067"/>
      <c r="AX42" s="506"/>
      <c r="AY42" s="2902">
        <f ca="1">-INDEX(INDIRECT("'"&amp;AY$4&amp;"'!Year.NetBalance"), MATCH('Intermediate output'!$C42, INDIRECT("'"&amp;AY$4&amp;"'!Year.Vectors"), 0))</f>
        <v>0</v>
      </c>
      <c r="AZ42" s="2902">
        <f ca="1">-INDEX(INDIRECT("'"&amp;AZ$4&amp;"'!Year.NetBalance"), MATCH('Intermediate output'!$C42, INDIRECT("'"&amp;AZ$4&amp;"'!Year.Vectors"), 0))</f>
        <v>0</v>
      </c>
      <c r="BA42" s="2902">
        <f ca="1">-INDEX(INDIRECT("'"&amp;BA$4&amp;"'!Year.NetBalance"), MATCH('Intermediate output'!$C42, INDIRECT("'"&amp;BA$4&amp;"'!Year.Vectors"), 0))</f>
        <v>0</v>
      </c>
      <c r="BB42" s="2902">
        <f ca="1">-INDEX(INDIRECT("'"&amp;BB$4&amp;"'!Year.NetBalance"), MATCH('Intermediate output'!$C42, INDIRECT("'"&amp;BB$4&amp;"'!Year.Vectors"), 0))</f>
        <v>0</v>
      </c>
      <c r="BC42" s="2902">
        <f ca="1">-INDEX(INDIRECT("'"&amp;BC$4&amp;"'!Year.NetBalance"), MATCH('Intermediate output'!$C42, INDIRECT("'"&amp;BC$4&amp;"'!Year.Vectors"), 0))</f>
        <v>0</v>
      </c>
      <c r="BD42" s="2902">
        <f ca="1">-INDEX(INDIRECT("'"&amp;BD$4&amp;"'!Year.NetBalance"), MATCH('Intermediate output'!$C42, INDIRECT("'"&amp;BD$4&amp;"'!Year.Vectors"), 0))</f>
        <v>0</v>
      </c>
      <c r="BE42" s="2902">
        <f ca="1">-INDEX(INDIRECT("'"&amp;BE$4&amp;"'!Year.NetBalance"), MATCH('Intermediate output'!$C42, INDIRECT("'"&amp;BE$4&amp;"'!Year.Vectors"), 0))</f>
        <v>0</v>
      </c>
      <c r="BF42" s="2902">
        <f ca="1">-INDEX(INDIRECT("'"&amp;BF$4&amp;"'!Year.NetBalance"), MATCH('Intermediate output'!$C42, INDIRECT("'"&amp;BF$4&amp;"'!Year.Vectors"), 0))</f>
        <v>0</v>
      </c>
      <c r="BG42" s="2902">
        <f ca="1">-INDEX(INDIRECT("'"&amp;BG$4&amp;"'!Year.NetBalance"), MATCH('Intermediate output'!$C42, INDIRECT("'"&amp;BG$4&amp;"'!Year.Vectors"), 0))</f>
        <v>0</v>
      </c>
      <c r="BH42" s="3068"/>
      <c r="BJ42" s="3064"/>
      <c r="BK42" s="3066"/>
      <c r="BL42" s="3066"/>
      <c r="BM42" s="3561"/>
      <c r="BN42" s="2902"/>
      <c r="BO42" s="2902"/>
      <c r="BP42" s="3067"/>
      <c r="BQ42" s="3067"/>
      <c r="BR42" s="3067"/>
      <c r="BS42" s="3067"/>
      <c r="BT42" s="3067"/>
      <c r="BU42" s="3067"/>
    </row>
    <row r="43" spans="2:83">
      <c r="B43" s="505"/>
      <c r="C43" s="506"/>
      <c r="D43" s="3301" t="s">
        <v>368</v>
      </c>
      <c r="E43" s="506"/>
      <c r="F43" s="3302">
        <f>SUM(F40:F42)</f>
        <v>76.116012246733362</v>
      </c>
      <c r="G43" s="3071"/>
      <c r="H43" s="3072"/>
      <c r="I43" s="3072"/>
      <c r="J43" s="3072"/>
      <c r="K43" s="3072"/>
      <c r="L43" s="3072"/>
      <c r="M43" s="3072"/>
      <c r="N43" s="3072"/>
      <c r="O43" s="3072"/>
      <c r="P43" s="3072"/>
      <c r="Q43" s="3072"/>
      <c r="R43" s="3072"/>
      <c r="S43" s="3072"/>
      <c r="T43" s="3072"/>
      <c r="U43" s="3072"/>
      <c r="V43" s="3072"/>
      <c r="W43" s="3072"/>
      <c r="X43" s="3072"/>
      <c r="Y43" s="3072"/>
      <c r="Z43" s="3072"/>
      <c r="AA43" s="3072"/>
      <c r="AB43" s="3072"/>
      <c r="AC43" s="3072"/>
      <c r="AD43" s="3072"/>
      <c r="AE43" s="3072"/>
      <c r="AF43" s="3072"/>
      <c r="AG43" s="3072"/>
      <c r="AH43" s="3072"/>
      <c r="AI43" s="3072"/>
      <c r="AJ43" s="3072"/>
      <c r="AK43" s="3072"/>
      <c r="AL43" s="3072"/>
      <c r="AM43" s="3072"/>
      <c r="AN43" s="3072"/>
      <c r="AO43" s="3072"/>
      <c r="AP43" s="3072"/>
      <c r="AQ43" s="3072"/>
      <c r="AR43" s="3072"/>
      <c r="AS43" s="3072"/>
      <c r="AT43" s="3072"/>
      <c r="AU43" s="3072"/>
      <c r="AV43" s="3072"/>
      <c r="AW43" s="3072"/>
      <c r="AX43" s="506"/>
      <c r="AY43" s="3302">
        <f t="shared" ref="AY43:BG43" ca="1" si="8">SUM(AY40:AY42)</f>
        <v>76.526836320775942</v>
      </c>
      <c r="AZ43" s="3302">
        <f t="shared" ca="1" si="8"/>
        <v>74.08927995898263</v>
      </c>
      <c r="BA43" s="3302">
        <f t="shared" ca="1" si="8"/>
        <v>75.114909897863313</v>
      </c>
      <c r="BB43" s="3302">
        <f t="shared" ca="1" si="8"/>
        <v>75.036510281436605</v>
      </c>
      <c r="BC43" s="3302">
        <f t="shared" ca="1" si="8"/>
        <v>75.220892589846784</v>
      </c>
      <c r="BD43" s="3302">
        <f t="shared" ca="1" si="8"/>
        <v>75.174956561456597</v>
      </c>
      <c r="BE43" s="3302">
        <f t="shared" ca="1" si="8"/>
        <v>75.040093616616304</v>
      </c>
      <c r="BF43" s="3302">
        <f t="shared" ca="1" si="8"/>
        <v>75.04125554596699</v>
      </c>
      <c r="BG43" s="3302">
        <f t="shared" ca="1" si="8"/>
        <v>74.505208807877793</v>
      </c>
      <c r="BH43" s="3073"/>
      <c r="BJ43" s="505"/>
      <c r="BK43" s="506"/>
      <c r="BL43" s="3301"/>
      <c r="BM43" s="506"/>
      <c r="BN43" s="3302"/>
      <c r="BO43" s="3071"/>
      <c r="BP43" s="3072"/>
      <c r="BQ43" s="3072"/>
      <c r="BR43" s="3072"/>
      <c r="BS43" s="3072"/>
      <c r="BT43" s="3072"/>
      <c r="BU43" s="3072"/>
    </row>
    <row r="44" spans="2:83" s="918" customFormat="1">
      <c r="B44" s="3064"/>
      <c r="C44" s="3066" t="s">
        <v>435</v>
      </c>
      <c r="D44" s="3066" t="str">
        <f>INDEX(Vectors[Description], MATCH($C44, Vectors[Code], 0))</f>
        <v>Gas imports (exports in parenthesis)</v>
      </c>
      <c r="E44" s="506"/>
      <c r="F44" s="2902">
        <f>(Unit.TWh)*'Irl. Energy Balance 2013 (TWh)'!Z3</f>
        <v>43.232993583303433</v>
      </c>
      <c r="G44" s="2902"/>
      <c r="H44" s="3067"/>
      <c r="I44" s="3067"/>
      <c r="J44" s="3067"/>
      <c r="K44" s="3067"/>
      <c r="L44" s="3067"/>
      <c r="M44" s="3067"/>
      <c r="N44" s="3067"/>
      <c r="O44" s="3067"/>
      <c r="P44" s="3067"/>
      <c r="Q44" s="3067"/>
      <c r="R44" s="3067"/>
      <c r="S44" s="3067"/>
      <c r="T44" s="3067"/>
      <c r="U44" s="3067"/>
      <c r="V44" s="3067"/>
      <c r="W44" s="3067"/>
      <c r="X44" s="3067"/>
      <c r="Y44" s="3067"/>
      <c r="Z44" s="3067"/>
      <c r="AA44" s="3067"/>
      <c r="AB44" s="3067"/>
      <c r="AC44" s="3067"/>
      <c r="AD44" s="3067"/>
      <c r="AE44" s="3067"/>
      <c r="AF44" s="3067"/>
      <c r="AG44" s="3067"/>
      <c r="AH44" s="3067"/>
      <c r="AI44" s="3067"/>
      <c r="AJ44" s="3067"/>
      <c r="AK44" s="3067"/>
      <c r="AL44" s="3067"/>
      <c r="AM44" s="3067"/>
      <c r="AN44" s="3067"/>
      <c r="AO44" s="3067"/>
      <c r="AP44" s="3067"/>
      <c r="AQ44" s="3067"/>
      <c r="AR44" s="3067"/>
      <c r="AS44" s="3067"/>
      <c r="AT44" s="3067"/>
      <c r="AU44" s="3067"/>
      <c r="AV44" s="3067"/>
      <c r="AW44" s="3067"/>
      <c r="AX44" s="506"/>
      <c r="AY44" s="2902">
        <f ca="1">-INDEX(INDIRECT("'"&amp;AY$4&amp;"'!Year.NetBalance"), MATCH('Intermediate output'!$C44, INDIRECT("'"&amp;AY$4&amp;"'!Year.Vectors"), 0))</f>
        <v>47.473619810652579</v>
      </c>
      <c r="AZ44" s="2902">
        <f ca="1">-INDEX(INDIRECT("'"&amp;AZ$4&amp;"'!Year.NetBalance"), MATCH('Intermediate output'!$C44, INDIRECT("'"&amp;AZ$4&amp;"'!Year.Vectors"), 0))</f>
        <v>47.697968206868779</v>
      </c>
      <c r="BA44" s="2902">
        <f ca="1">-INDEX(INDIRECT("'"&amp;BA$4&amp;"'!Year.NetBalance"), MATCH('Intermediate output'!$C44, INDIRECT("'"&amp;BA$4&amp;"'!Year.Vectors"), 0))</f>
        <v>22.74172392909157</v>
      </c>
      <c r="BB44" s="2902">
        <f ca="1">-INDEX(INDIRECT("'"&amp;BB$4&amp;"'!Year.NetBalance"), MATCH('Intermediate output'!$C44, INDIRECT("'"&amp;BB$4&amp;"'!Year.Vectors"), 0))</f>
        <v>59.295640467804589</v>
      </c>
      <c r="BC44" s="2902">
        <f ca="1">-INDEX(INDIRECT("'"&amp;BC$4&amp;"'!Year.NetBalance"), MATCH('Intermediate output'!$C44, INDIRECT("'"&amp;BC$4&amp;"'!Year.Vectors"), 0))</f>
        <v>85.907348315610292</v>
      </c>
      <c r="BD44" s="2902">
        <f ca="1">-INDEX(INDIRECT("'"&amp;BD$4&amp;"'!Year.NetBalance"), MATCH('Intermediate output'!$C44, INDIRECT("'"&amp;BD$4&amp;"'!Year.Vectors"), 0))</f>
        <v>106.91717023293266</v>
      </c>
      <c r="BE44" s="2902">
        <f ca="1">-INDEX(INDIRECT("'"&amp;BE$4&amp;"'!Year.NetBalance"), MATCH('Intermediate output'!$C44, INDIRECT("'"&amp;BE$4&amp;"'!Year.Vectors"), 0))</f>
        <v>116.07842350144173</v>
      </c>
      <c r="BF44" s="2902">
        <f ca="1">-INDEX(INDIRECT("'"&amp;BF$4&amp;"'!Year.NetBalance"), MATCH('Intermediate output'!$C44, INDIRECT("'"&amp;BF$4&amp;"'!Year.Vectors"), 0))</f>
        <v>125.61125120472862</v>
      </c>
      <c r="BG44" s="2902">
        <f ca="1">-INDEX(INDIRECT("'"&amp;BG$4&amp;"'!Year.NetBalance"), MATCH('Intermediate output'!$C44, INDIRECT("'"&amp;BG$4&amp;"'!Year.Vectors"), 0))</f>
        <v>135.74178666175516</v>
      </c>
      <c r="BH44" s="3068"/>
      <c r="BJ44" s="3064"/>
      <c r="BK44" s="3066"/>
      <c r="BL44" s="3066"/>
      <c r="BM44" s="506"/>
      <c r="BN44" s="2902"/>
      <c r="BO44" s="2902"/>
      <c r="BP44" s="3067"/>
      <c r="BQ44" s="3067"/>
      <c r="BR44" s="3067"/>
      <c r="BS44" s="3067"/>
      <c r="BT44" s="3067"/>
      <c r="BU44" s="3067"/>
    </row>
    <row r="45" spans="2:83" s="918" customFormat="1">
      <c r="B45" s="3064"/>
      <c r="C45" s="3066" t="s">
        <v>429</v>
      </c>
      <c r="D45" s="3066" t="str">
        <f>INDEX(Vectors[Description], MATCH($C45, Vectors[Code], 0))</f>
        <v>Gas reserves</v>
      </c>
      <c r="E45" s="506"/>
      <c r="F45" s="2902">
        <f>(Unit.TWh)*'Irl. Energy Balance 2013 (TWh)'!Z2</f>
        <v>1.7555282514130177</v>
      </c>
      <c r="G45" s="2902"/>
      <c r="H45" s="3067"/>
      <c r="I45" s="3067"/>
      <c r="J45" s="3067"/>
      <c r="K45" s="3067"/>
      <c r="L45" s="3067"/>
      <c r="M45" s="3067"/>
      <c r="N45" s="3067"/>
      <c r="O45" s="3067"/>
      <c r="P45" s="3067"/>
      <c r="Q45" s="3067"/>
      <c r="R45" s="3067"/>
      <c r="S45" s="3067"/>
      <c r="T45" s="3067"/>
      <c r="U45" s="3067"/>
      <c r="V45" s="3067"/>
      <c r="W45" s="3067"/>
      <c r="X45" s="3067"/>
      <c r="Y45" s="3067"/>
      <c r="Z45" s="3067"/>
      <c r="AA45" s="3067"/>
      <c r="AB45" s="3067"/>
      <c r="AC45" s="3067"/>
      <c r="AD45" s="3067"/>
      <c r="AE45" s="3067"/>
      <c r="AF45" s="3067"/>
      <c r="AG45" s="3067"/>
      <c r="AH45" s="3067"/>
      <c r="AI45" s="3067"/>
      <c r="AJ45" s="3067"/>
      <c r="AK45" s="3067"/>
      <c r="AL45" s="3067"/>
      <c r="AM45" s="3067"/>
      <c r="AN45" s="3067"/>
      <c r="AO45" s="3067"/>
      <c r="AP45" s="3067"/>
      <c r="AQ45" s="3067"/>
      <c r="AR45" s="3067"/>
      <c r="AS45" s="3067"/>
      <c r="AT45" s="3067"/>
      <c r="AU45" s="3067"/>
      <c r="AV45" s="3067"/>
      <c r="AW45" s="3067"/>
      <c r="AX45" s="506"/>
      <c r="AY45" s="2902">
        <f ca="1">-INDEX(INDIRECT("'"&amp;AY$4&amp;"'!Year.NetBalance"), MATCH('Intermediate output'!$C45, INDIRECT("'"&amp;AY$4&amp;"'!Year.Vectors"), 0))</f>
        <v>0</v>
      </c>
      <c r="AZ45" s="2902">
        <f ca="1">-INDEX(INDIRECT("'"&amp;AZ$4&amp;"'!Year.NetBalance"), MATCH('Intermediate output'!$C45, INDIRECT("'"&amp;AZ$4&amp;"'!Year.Vectors"), 0))</f>
        <v>1.7555282514130199</v>
      </c>
      <c r="BA45" s="2902">
        <f ca="1">-INDEX(INDIRECT("'"&amp;BA$4&amp;"'!Year.NetBalance"), MATCH('Intermediate output'!$C45, INDIRECT("'"&amp;BA$4&amp;"'!Year.Vectors"), 0))</f>
        <v>35</v>
      </c>
      <c r="BB45" s="2902">
        <f ca="1">-INDEX(INDIRECT("'"&amp;BB$4&amp;"'!Year.NetBalance"), MATCH('Intermediate output'!$C45, INDIRECT("'"&amp;BB$4&amp;"'!Year.Vectors"), 0))</f>
        <v>10</v>
      </c>
      <c r="BC45" s="2902">
        <f ca="1">-INDEX(INDIRECT("'"&amp;BC$4&amp;"'!Year.NetBalance"), MATCH('Intermediate output'!$C45, INDIRECT("'"&amp;BC$4&amp;"'!Year.Vectors"), 0))</f>
        <v>0</v>
      </c>
      <c r="BD45" s="2902">
        <f ca="1">-INDEX(INDIRECT("'"&amp;BD$4&amp;"'!Year.NetBalance"), MATCH('Intermediate output'!$C45, INDIRECT("'"&amp;BD$4&amp;"'!Year.Vectors"), 0))</f>
        <v>0</v>
      </c>
      <c r="BE45" s="2902">
        <f ca="1">-INDEX(INDIRECT("'"&amp;BE$4&amp;"'!Year.NetBalance"), MATCH('Intermediate output'!$C45, INDIRECT("'"&amp;BE$4&amp;"'!Year.Vectors"), 0))</f>
        <v>0</v>
      </c>
      <c r="BF45" s="2902">
        <f ca="1">-INDEX(INDIRECT("'"&amp;BF$4&amp;"'!Year.NetBalance"), MATCH('Intermediate output'!$C45, INDIRECT("'"&amp;BF$4&amp;"'!Year.Vectors"), 0))</f>
        <v>0</v>
      </c>
      <c r="BG45" s="2902">
        <f ca="1">-INDEX(INDIRECT("'"&amp;BG$4&amp;"'!Year.NetBalance"), MATCH('Intermediate output'!$C45, INDIRECT("'"&amp;BG$4&amp;"'!Year.Vectors"), 0))</f>
        <v>0</v>
      </c>
      <c r="BH45" s="3068"/>
      <c r="BI45" s="918" t="s">
        <v>5</v>
      </c>
      <c r="BJ45" s="3064"/>
      <c r="BK45" s="3066"/>
      <c r="BL45" s="3066"/>
      <c r="BM45" s="506"/>
      <c r="BN45" s="2902"/>
      <c r="BO45" s="2902"/>
      <c r="BP45" s="3067"/>
      <c r="BQ45" s="3067"/>
      <c r="BR45" s="3067"/>
      <c r="BS45" s="3067"/>
      <c r="BT45" s="3067"/>
      <c r="BU45" s="3067"/>
    </row>
    <row r="46" spans="2:83">
      <c r="B46" s="505"/>
      <c r="C46" s="506"/>
      <c r="D46" s="3301" t="s">
        <v>141</v>
      </c>
      <c r="E46" s="506"/>
      <c r="F46" s="3302">
        <f>SUM(F44:F45)</f>
        <v>44.988521834716451</v>
      </c>
      <c r="G46" s="3071"/>
      <c r="H46" s="3072"/>
      <c r="I46" s="3072"/>
      <c r="J46" s="3072"/>
      <c r="K46" s="3072"/>
      <c r="L46" s="3072"/>
      <c r="M46" s="3072"/>
      <c r="N46" s="3072"/>
      <c r="O46" s="3072"/>
      <c r="P46" s="3072"/>
      <c r="Q46" s="3072"/>
      <c r="R46" s="3072"/>
      <c r="S46" s="3072"/>
      <c r="T46" s="3072"/>
      <c r="U46" s="3072"/>
      <c r="V46" s="3072"/>
      <c r="W46" s="3072"/>
      <c r="X46" s="3072"/>
      <c r="Y46" s="3072"/>
      <c r="Z46" s="3072"/>
      <c r="AA46" s="3072"/>
      <c r="AB46" s="3072"/>
      <c r="AC46" s="3072"/>
      <c r="AD46" s="3072"/>
      <c r="AE46" s="3072"/>
      <c r="AF46" s="3072"/>
      <c r="AG46" s="3072"/>
      <c r="AH46" s="3072"/>
      <c r="AI46" s="3072"/>
      <c r="AJ46" s="3072"/>
      <c r="AK46" s="3072"/>
      <c r="AL46" s="3072"/>
      <c r="AM46" s="3072"/>
      <c r="AN46" s="3072"/>
      <c r="AO46" s="3072"/>
      <c r="AP46" s="3072"/>
      <c r="AQ46" s="3072"/>
      <c r="AR46" s="3072"/>
      <c r="AS46" s="3072"/>
      <c r="AT46" s="3072"/>
      <c r="AU46" s="3072"/>
      <c r="AV46" s="3072"/>
      <c r="AW46" s="3072"/>
      <c r="AX46" s="506"/>
      <c r="AY46" s="3302">
        <f t="shared" ref="AY46:BG46" ca="1" si="9">SUM(AY44:AY45)</f>
        <v>47.473619810652579</v>
      </c>
      <c r="AZ46" s="3302">
        <f t="shared" ca="1" si="9"/>
        <v>49.453496458281798</v>
      </c>
      <c r="BA46" s="3302">
        <f t="shared" ca="1" si="9"/>
        <v>57.74172392909157</v>
      </c>
      <c r="BB46" s="3302">
        <f t="shared" ca="1" si="9"/>
        <v>69.295640467804589</v>
      </c>
      <c r="BC46" s="3302">
        <f t="shared" ca="1" si="9"/>
        <v>85.907348315610292</v>
      </c>
      <c r="BD46" s="3302">
        <f t="shared" ca="1" si="9"/>
        <v>106.91717023293266</v>
      </c>
      <c r="BE46" s="3302">
        <f t="shared" ca="1" si="9"/>
        <v>116.07842350144173</v>
      </c>
      <c r="BF46" s="3302">
        <f t="shared" ca="1" si="9"/>
        <v>125.61125120472862</v>
      </c>
      <c r="BG46" s="3302">
        <f t="shared" ca="1" si="9"/>
        <v>135.74178666175516</v>
      </c>
      <c r="BH46" s="3073"/>
      <c r="BJ46" s="505"/>
      <c r="BK46" s="506"/>
      <c r="BL46" s="3301"/>
      <c r="BM46" s="506"/>
      <c r="BN46" s="3302"/>
      <c r="BO46" s="3071"/>
      <c r="BP46" s="3072"/>
      <c r="BQ46" s="3072"/>
      <c r="BR46" s="3072"/>
      <c r="BS46" s="3072"/>
      <c r="BT46" s="3072"/>
      <c r="BU46" s="3072"/>
    </row>
    <row r="47" spans="2:83" s="372" customFormat="1" ht="18.5">
      <c r="B47" s="3076"/>
      <c r="C47" s="23"/>
      <c r="D47" s="3078" t="s">
        <v>2463</v>
      </c>
      <c r="E47" s="506"/>
      <c r="F47" s="3079">
        <f>F31+F32+F36+F39+F43+F46</f>
        <v>151.94130464765573</v>
      </c>
      <c r="G47" s="3080"/>
      <c r="H47" s="3075"/>
      <c r="I47" s="3075"/>
      <c r="J47" s="3075"/>
      <c r="K47" s="3075"/>
      <c r="L47" s="3075"/>
      <c r="M47" s="3075"/>
      <c r="N47" s="3075"/>
      <c r="O47" s="3075"/>
      <c r="P47" s="3075"/>
      <c r="Q47" s="3075"/>
      <c r="R47" s="3075"/>
      <c r="S47" s="3075"/>
      <c r="T47" s="3075"/>
      <c r="U47" s="3075"/>
      <c r="V47" s="3075"/>
      <c r="W47" s="3075"/>
      <c r="X47" s="3075"/>
      <c r="Y47" s="3075"/>
      <c r="Z47" s="3075"/>
      <c r="AA47" s="3075"/>
      <c r="AB47" s="3075"/>
      <c r="AC47" s="3075"/>
      <c r="AD47" s="3075"/>
      <c r="AE47" s="3075"/>
      <c r="AF47" s="3075"/>
      <c r="AG47" s="3075"/>
      <c r="AH47" s="3075"/>
      <c r="AI47" s="3075"/>
      <c r="AJ47" s="3075"/>
      <c r="AK47" s="3075"/>
      <c r="AL47" s="3075"/>
      <c r="AM47" s="3075"/>
      <c r="AN47" s="3075"/>
      <c r="AO47" s="3075"/>
      <c r="AP47" s="3075"/>
      <c r="AQ47" s="3075"/>
      <c r="AR47" s="3075"/>
      <c r="AS47" s="3075"/>
      <c r="AT47" s="3075"/>
      <c r="AU47" s="3075"/>
      <c r="AV47" s="3075"/>
      <c r="AW47" s="3075"/>
      <c r="AX47" s="506"/>
      <c r="AY47" s="3079">
        <f ca="1">AY31+AY32+AY36+AY39+AY43+AY46</f>
        <v>157.96865537017334</v>
      </c>
      <c r="AZ47" s="3079">
        <f t="shared" ref="AZ47:BG47" ca="1" si="10">AZ31+AZ32+AZ36+AZ39+AZ43+AZ46</f>
        <v>159.36531875173819</v>
      </c>
      <c r="BA47" s="3079">
        <f t="shared" ca="1" si="10"/>
        <v>166.90099214284439</v>
      </c>
      <c r="BB47" s="3079">
        <f t="shared" ca="1" si="10"/>
        <v>175.51250633969124</v>
      </c>
      <c r="BC47" s="3079">
        <f t="shared" ca="1" si="10"/>
        <v>183.35512735727062</v>
      </c>
      <c r="BD47" s="3079">
        <f t="shared" ca="1" si="10"/>
        <v>189.4034870991897</v>
      </c>
      <c r="BE47" s="3079">
        <f t="shared" ca="1" si="10"/>
        <v>198.75776377316549</v>
      </c>
      <c r="BF47" s="3079">
        <f t="shared" ca="1" si="10"/>
        <v>208.69265006837747</v>
      </c>
      <c r="BG47" s="3079">
        <f t="shared" ca="1" si="10"/>
        <v>218.49274289355603</v>
      </c>
      <c r="BH47" s="3081"/>
      <c r="BJ47" s="3076"/>
      <c r="BK47" s="23"/>
      <c r="BL47" s="23"/>
      <c r="BM47" s="506"/>
      <c r="BN47" s="3080"/>
      <c r="BO47" s="3080"/>
      <c r="BP47" s="3075"/>
      <c r="BQ47" s="3075"/>
      <c r="BR47" s="3075"/>
      <c r="BS47" s="3075"/>
      <c r="BT47" s="3075"/>
      <c r="BU47" s="3075"/>
    </row>
    <row r="48" spans="2:83" s="405" customFormat="1">
      <c r="B48" s="3087"/>
      <c r="C48" s="3089"/>
      <c r="D48" s="3089"/>
      <c r="E48" s="506"/>
      <c r="F48" s="3089"/>
      <c r="G48" s="3089"/>
      <c r="H48" s="3094"/>
      <c r="I48" s="3094"/>
      <c r="J48" s="3094"/>
      <c r="K48" s="3094"/>
      <c r="L48" s="3094"/>
      <c r="M48" s="3094"/>
      <c r="N48" s="3094"/>
      <c r="O48" s="3094"/>
      <c r="P48" s="3094"/>
      <c r="Q48" s="3094"/>
      <c r="R48" s="3094"/>
      <c r="S48" s="3094"/>
      <c r="T48" s="3094"/>
      <c r="U48" s="3094"/>
      <c r="V48" s="3094"/>
      <c r="W48" s="3094"/>
      <c r="X48" s="3094"/>
      <c r="Y48" s="3094"/>
      <c r="Z48" s="3094"/>
      <c r="AA48" s="3094"/>
      <c r="AB48" s="3094"/>
      <c r="AC48" s="3094"/>
      <c r="AD48" s="3094"/>
      <c r="AE48" s="3094"/>
      <c r="AF48" s="3094"/>
      <c r="AG48" s="3094"/>
      <c r="AH48" s="3094"/>
      <c r="AI48" s="3094"/>
      <c r="AJ48" s="3094"/>
      <c r="AK48" s="3094"/>
      <c r="AL48" s="3094"/>
      <c r="AM48" s="3094"/>
      <c r="AN48" s="3094"/>
      <c r="AO48" s="3094"/>
      <c r="AP48" s="3094"/>
      <c r="AQ48" s="3094"/>
      <c r="AR48" s="3094"/>
      <c r="AS48" s="3094"/>
      <c r="AT48" s="3094"/>
      <c r="AU48" s="3094"/>
      <c r="AV48" s="3094"/>
      <c r="AW48" s="3094"/>
      <c r="AX48" s="506"/>
      <c r="AY48" s="3090"/>
      <c r="AZ48" s="3090"/>
      <c r="BA48" s="3090"/>
      <c r="BB48" s="3090"/>
      <c r="BC48" s="3090"/>
      <c r="BD48" s="3090"/>
      <c r="BE48" s="3090"/>
      <c r="BF48" s="3090"/>
      <c r="BG48" s="3090"/>
      <c r="BH48" s="3092"/>
      <c r="BJ48" s="3087"/>
      <c r="BK48" s="3089"/>
      <c r="BL48" s="3089"/>
      <c r="BM48" s="506"/>
      <c r="BN48" s="3089"/>
      <c r="BO48" s="3089"/>
      <c r="BP48" s="3094"/>
      <c r="BQ48" s="3094"/>
      <c r="BR48" s="3094"/>
      <c r="BS48" s="3094"/>
      <c r="BT48" s="3094"/>
      <c r="BU48" s="3094"/>
    </row>
    <row r="49" spans="2:73" s="405" customFormat="1">
      <c r="B49" s="3087"/>
      <c r="C49" s="3089"/>
      <c r="D49" s="3089" t="s">
        <v>2464</v>
      </c>
      <c r="E49" s="506"/>
      <c r="F49" s="3089"/>
      <c r="G49" s="3089"/>
      <c r="H49" s="3094"/>
      <c r="I49" s="3094"/>
      <c r="J49" s="3094"/>
      <c r="K49" s="3094"/>
      <c r="L49" s="3094"/>
      <c r="M49" s="3094"/>
      <c r="N49" s="3094"/>
      <c r="O49" s="3094"/>
      <c r="P49" s="3094"/>
      <c r="Q49" s="3094"/>
      <c r="R49" s="3094"/>
      <c r="S49" s="3094"/>
      <c r="T49" s="3094"/>
      <c r="U49" s="3094"/>
      <c r="V49" s="3094"/>
      <c r="W49" s="3094"/>
      <c r="X49" s="3094"/>
      <c r="Y49" s="3094"/>
      <c r="Z49" s="3094"/>
      <c r="AA49" s="3094"/>
      <c r="AB49" s="3094"/>
      <c r="AC49" s="3094"/>
      <c r="AD49" s="3094"/>
      <c r="AE49" s="3094"/>
      <c r="AF49" s="3094"/>
      <c r="AG49" s="3094"/>
      <c r="AH49" s="3094"/>
      <c r="AI49" s="3094"/>
      <c r="AJ49" s="3094"/>
      <c r="AK49" s="3094"/>
      <c r="AL49" s="3094"/>
      <c r="AM49" s="3094"/>
      <c r="AN49" s="3094"/>
      <c r="AO49" s="3094"/>
      <c r="AP49" s="3094"/>
      <c r="AQ49" s="3094"/>
      <c r="AR49" s="3094"/>
      <c r="AS49" s="3094"/>
      <c r="AT49" s="3094"/>
      <c r="AU49" s="3094"/>
      <c r="AV49" s="3094"/>
      <c r="AW49" s="3094"/>
      <c r="AX49" s="506"/>
      <c r="AY49" s="3090">
        <f t="shared" ref="AY49:BG49" ca="1" si="11">MAX(0,-(AY$47-AY$18))</f>
        <v>0</v>
      </c>
      <c r="AZ49" s="3090">
        <f t="shared" ca="1" si="11"/>
        <v>0</v>
      </c>
      <c r="BA49" s="3090">
        <f t="shared" ca="1" si="11"/>
        <v>0</v>
      </c>
      <c r="BB49" s="3090">
        <f t="shared" ca="1" si="11"/>
        <v>0</v>
      </c>
      <c r="BC49" s="3090">
        <f t="shared" ca="1" si="11"/>
        <v>0</v>
      </c>
      <c r="BD49" s="3090">
        <f t="shared" ca="1" si="11"/>
        <v>0</v>
      </c>
      <c r="BE49" s="3090">
        <f t="shared" ca="1" si="11"/>
        <v>0</v>
      </c>
      <c r="BF49" s="3090">
        <f t="shared" ca="1" si="11"/>
        <v>0</v>
      </c>
      <c r="BG49" s="3090">
        <f t="shared" ca="1" si="11"/>
        <v>0</v>
      </c>
      <c r="BH49" s="3092"/>
      <c r="BJ49" s="3087"/>
      <c r="BK49" s="3089"/>
      <c r="BL49" s="3089"/>
      <c r="BM49" s="506"/>
      <c r="BN49" s="3089"/>
      <c r="BO49" s="3089"/>
      <c r="BP49" s="3094"/>
      <c r="BQ49" s="3094"/>
      <c r="BR49" s="3094"/>
      <c r="BS49" s="3094"/>
      <c r="BT49" s="3094"/>
      <c r="BU49" s="3094"/>
    </row>
    <row r="50" spans="2:73">
      <c r="B50" s="505"/>
      <c r="C50" s="506"/>
      <c r="D50" s="506"/>
      <c r="E50" s="506"/>
      <c r="F50" s="506"/>
      <c r="G50" s="506"/>
      <c r="H50" s="3057"/>
      <c r="I50" s="3057"/>
      <c r="J50" s="3057"/>
      <c r="K50" s="3057"/>
      <c r="L50" s="3057"/>
      <c r="M50" s="3057"/>
      <c r="N50" s="3057"/>
      <c r="O50" s="3057"/>
      <c r="P50" s="3057"/>
      <c r="Q50" s="3057"/>
      <c r="R50" s="3057"/>
      <c r="S50" s="3057"/>
      <c r="T50" s="3057"/>
      <c r="U50" s="3057"/>
      <c r="V50" s="3057"/>
      <c r="W50" s="3057"/>
      <c r="X50" s="3057"/>
      <c r="Y50" s="3057"/>
      <c r="Z50" s="3057"/>
      <c r="AA50" s="3057"/>
      <c r="AB50" s="3057"/>
      <c r="AC50" s="3057"/>
      <c r="AD50" s="3057"/>
      <c r="AE50" s="3057"/>
      <c r="AF50" s="3057"/>
      <c r="AG50" s="3057"/>
      <c r="AH50" s="3057"/>
      <c r="AI50" s="3057"/>
      <c r="AJ50" s="3057"/>
      <c r="AK50" s="3057"/>
      <c r="AL50" s="3057"/>
      <c r="AM50" s="3057"/>
      <c r="AN50" s="3057"/>
      <c r="AO50" s="3057"/>
      <c r="AP50" s="3057"/>
      <c r="AQ50" s="3057"/>
      <c r="AR50" s="3057"/>
      <c r="AS50" s="3057"/>
      <c r="AT50" s="3057"/>
      <c r="AU50" s="3057"/>
      <c r="AV50" s="3057"/>
      <c r="AW50" s="3057"/>
      <c r="AX50" s="506"/>
      <c r="AY50" s="3071"/>
      <c r="AZ50" s="3071"/>
      <c r="BA50" s="3071"/>
      <c r="BB50" s="3071"/>
      <c r="BC50" s="3071"/>
      <c r="BD50" s="3071"/>
      <c r="BE50" s="3071"/>
      <c r="BF50" s="3071"/>
      <c r="BG50" s="3071"/>
      <c r="BH50" s="3073"/>
      <c r="BJ50" s="505"/>
      <c r="BK50" s="506"/>
      <c r="BL50" s="506"/>
      <c r="BM50" s="506"/>
      <c r="BN50" s="506"/>
      <c r="BO50" s="506"/>
      <c r="BP50" s="3057"/>
      <c r="BQ50" s="3057"/>
      <c r="BR50" s="3057"/>
      <c r="BS50" s="3057"/>
      <c r="BT50" s="3057"/>
      <c r="BU50" s="3057"/>
    </row>
    <row r="51" spans="2:73">
      <c r="B51" s="505"/>
      <c r="C51" s="3082" t="s">
        <v>2465</v>
      </c>
      <c r="D51" s="506"/>
      <c r="E51" s="506"/>
      <c r="F51" s="506"/>
      <c r="G51" s="506"/>
      <c r="H51" s="3057"/>
      <c r="I51" s="3057"/>
      <c r="J51" s="3057"/>
      <c r="K51" s="3057"/>
      <c r="L51" s="3057"/>
      <c r="M51" s="3057"/>
      <c r="N51" s="3057"/>
      <c r="O51" s="3057"/>
      <c r="P51" s="3057"/>
      <c r="Q51" s="3057"/>
      <c r="R51" s="3057"/>
      <c r="S51" s="3057"/>
      <c r="T51" s="3057"/>
      <c r="U51" s="3057"/>
      <c r="V51" s="3057"/>
      <c r="W51" s="3057"/>
      <c r="X51" s="3057"/>
      <c r="Y51" s="3057"/>
      <c r="Z51" s="3057"/>
      <c r="AA51" s="3057"/>
      <c r="AB51" s="3057"/>
      <c r="AC51" s="3057"/>
      <c r="AD51" s="3057"/>
      <c r="AE51" s="3057"/>
      <c r="AF51" s="3057"/>
      <c r="AG51" s="3057"/>
      <c r="AH51" s="3057"/>
      <c r="AI51" s="3057"/>
      <c r="AJ51" s="3057"/>
      <c r="AK51" s="3057"/>
      <c r="AL51" s="3057"/>
      <c r="AM51" s="3057"/>
      <c r="AN51" s="3057"/>
      <c r="AO51" s="3057"/>
      <c r="AP51" s="3057"/>
      <c r="AQ51" s="3057"/>
      <c r="AR51" s="3057"/>
      <c r="AS51" s="3057"/>
      <c r="AT51" s="3057"/>
      <c r="AU51" s="3057"/>
      <c r="AV51" s="3057"/>
      <c r="AW51" s="3057"/>
      <c r="AX51" s="506"/>
      <c r="AY51" s="3071"/>
      <c r="AZ51" s="3071"/>
      <c r="BA51" s="3071"/>
      <c r="BB51" s="3071"/>
      <c r="BC51" s="3071"/>
      <c r="BD51" s="3071"/>
      <c r="BE51" s="3071"/>
      <c r="BF51" s="3071"/>
      <c r="BG51" s="3071"/>
      <c r="BH51" s="3073"/>
      <c r="BJ51" s="505"/>
      <c r="BK51" s="3082"/>
      <c r="BL51" s="506"/>
      <c r="BM51" s="506"/>
      <c r="BN51" s="506"/>
      <c r="BO51" s="506"/>
      <c r="BP51" s="3057"/>
      <c r="BQ51" s="3057"/>
      <c r="BR51" s="3057"/>
      <c r="BS51" s="3057"/>
      <c r="BT51" s="3057"/>
      <c r="BU51" s="3057"/>
    </row>
    <row r="52" spans="2:73">
      <c r="B52" s="505"/>
      <c r="C52" s="3074" t="s">
        <v>103</v>
      </c>
      <c r="D52" s="3066" t="str">
        <f>INDEX(Vectors[Description], MATCH($C52, Vectors[Code], 0))</f>
        <v>Conversion losses</v>
      </c>
      <c r="E52" s="506"/>
      <c r="F52" s="2902">
        <f>(Unit.TWh)*23.3</f>
        <v>23.3</v>
      </c>
      <c r="G52" s="2902"/>
      <c r="H52" s="3067"/>
      <c r="I52" s="3067"/>
      <c r="J52" s="3067"/>
      <c r="K52" s="3067"/>
      <c r="L52" s="3067"/>
      <c r="M52" s="3067"/>
      <c r="N52" s="3067"/>
      <c r="O52" s="3067"/>
      <c r="P52" s="3067"/>
      <c r="Q52" s="3067"/>
      <c r="R52" s="3067"/>
      <c r="S52" s="3067"/>
      <c r="T52" s="3067"/>
      <c r="U52" s="3067"/>
      <c r="V52" s="3067"/>
      <c r="W52" s="3067"/>
      <c r="X52" s="3067"/>
      <c r="Y52" s="3067"/>
      <c r="Z52" s="3067"/>
      <c r="AA52" s="3067"/>
      <c r="AB52" s="3067"/>
      <c r="AC52" s="3067"/>
      <c r="AD52" s="3067"/>
      <c r="AE52" s="3067"/>
      <c r="AF52" s="3067"/>
      <c r="AG52" s="3067"/>
      <c r="AH52" s="3067"/>
      <c r="AI52" s="3067"/>
      <c r="AJ52" s="3067"/>
      <c r="AK52" s="3067"/>
      <c r="AL52" s="3067"/>
      <c r="AM52" s="3067"/>
      <c r="AN52" s="3067"/>
      <c r="AO52" s="3067"/>
      <c r="AP52" s="3067"/>
      <c r="AQ52" s="3067"/>
      <c r="AR52" s="3067"/>
      <c r="AS52" s="3067"/>
      <c r="AT52" s="3067"/>
      <c r="AU52" s="3067"/>
      <c r="AV52" s="3067"/>
      <c r="AW52" s="3067"/>
      <c r="AX52" s="506"/>
      <c r="AY52" s="2902">
        <f ca="1">INDEX(INDIRECT("'"&amp;AY$4&amp;"'!Year.NetBalance"), MATCH('Intermediate output'!$C52, INDIRECT("'"&amp;AY$4&amp;"'!Year.Vectors"), 0))</f>
        <v>27.64001878247058</v>
      </c>
      <c r="AZ52" s="2902">
        <f ca="1">INDEX(INDIRECT("'"&amp;AZ$4&amp;"'!Year.NetBalance"), MATCH('Intermediate output'!$C52, INDIRECT("'"&amp;AZ$4&amp;"'!Year.Vectors"), 0))</f>
        <v>26.357647895301653</v>
      </c>
      <c r="BA52" s="2902">
        <f ca="1">INDEX(INDIRECT("'"&amp;BA$4&amp;"'!Year.NetBalance"), MATCH('Intermediate output'!$C52, INDIRECT("'"&amp;BA$4&amp;"'!Year.Vectors"), 0))</f>
        <v>25.263105420816423</v>
      </c>
      <c r="BB52" s="2902">
        <f ca="1">INDEX(INDIRECT("'"&amp;BB$4&amp;"'!Year.NetBalance"), MATCH('Intermediate output'!$C52, INDIRECT("'"&amp;BB$4&amp;"'!Year.Vectors"), 0))</f>
        <v>29.342815541570179</v>
      </c>
      <c r="BC52" s="2902">
        <f ca="1">INDEX(INDIRECT("'"&amp;BC$4&amp;"'!Year.NetBalance"), MATCH('Intermediate output'!$C52, INDIRECT("'"&amp;BC$4&amp;"'!Year.Vectors"), 0))</f>
        <v>31.411115306362241</v>
      </c>
      <c r="BD52" s="2902">
        <f ca="1">INDEX(INDIRECT("'"&amp;BD$4&amp;"'!Year.NetBalance"), MATCH('Intermediate output'!$C52, INDIRECT("'"&amp;BD$4&amp;"'!Year.Vectors"), 0))</f>
        <v>30.456722977330742</v>
      </c>
      <c r="BE52" s="2902">
        <f ca="1">INDEX(INDIRECT("'"&amp;BE$4&amp;"'!Year.NetBalance"), MATCH('Intermediate output'!$C52, INDIRECT("'"&amp;BE$4&amp;"'!Year.Vectors"), 0))</f>
        <v>32.605165442040715</v>
      </c>
      <c r="BF52" s="2902">
        <f ca="1">INDEX(INDIRECT("'"&amp;BF$4&amp;"'!Year.NetBalance"), MATCH('Intermediate output'!$C52, INDIRECT("'"&amp;BF$4&amp;"'!Year.Vectors"), 0))</f>
        <v>34.831865218807863</v>
      </c>
      <c r="BG52" s="2902">
        <f ca="1">INDEX(INDIRECT("'"&amp;BG$4&amp;"'!Year.NetBalance"), MATCH('Intermediate output'!$C52, INDIRECT("'"&amp;BG$4&amp;"'!Year.Vectors"), 0))</f>
        <v>37.118622345664114</v>
      </c>
      <c r="BH52" s="3073"/>
      <c r="BJ52" s="505"/>
      <c r="BK52" s="3074"/>
      <c r="BL52" s="3066"/>
      <c r="BM52" s="506"/>
      <c r="BN52" s="2902"/>
      <c r="BO52" s="2902"/>
      <c r="BP52" s="3067"/>
      <c r="BQ52" s="3067"/>
      <c r="BR52" s="3067"/>
      <c r="BS52" s="3067"/>
      <c r="BT52" s="3067"/>
      <c r="BU52" s="3067"/>
    </row>
    <row r="53" spans="2:73">
      <c r="B53" s="505"/>
      <c r="C53" s="3074" t="s">
        <v>445</v>
      </c>
      <c r="D53" s="3066" t="str">
        <f>INDEX(Vectors[Description], MATCH($C53, Vectors[Code], 0))</f>
        <v>Distribution losses and own use</v>
      </c>
      <c r="E53" s="506"/>
      <c r="F53" s="2902">
        <f>(Unit.TWh)*5.9</f>
        <v>5.9</v>
      </c>
      <c r="G53" s="2902"/>
      <c r="H53" s="3067"/>
      <c r="I53" s="3067"/>
      <c r="J53" s="3067"/>
      <c r="K53" s="3067"/>
      <c r="L53" s="3067"/>
      <c r="M53" s="3067"/>
      <c r="N53" s="3067"/>
      <c r="O53" s="3067"/>
      <c r="P53" s="3067"/>
      <c r="Q53" s="3067"/>
      <c r="R53" s="3067"/>
      <c r="S53" s="3067"/>
      <c r="T53" s="3067"/>
      <c r="U53" s="3067"/>
      <c r="V53" s="3067"/>
      <c r="W53" s="3067"/>
      <c r="X53" s="3067"/>
      <c r="Y53" s="3067"/>
      <c r="Z53" s="3067"/>
      <c r="AA53" s="3067"/>
      <c r="AB53" s="3067"/>
      <c r="AC53" s="3067"/>
      <c r="AD53" s="3067"/>
      <c r="AE53" s="3067"/>
      <c r="AF53" s="3067"/>
      <c r="AG53" s="3067"/>
      <c r="AH53" s="3067"/>
      <c r="AI53" s="3067"/>
      <c r="AJ53" s="3067"/>
      <c r="AK53" s="3067"/>
      <c r="AL53" s="3067"/>
      <c r="AM53" s="3067"/>
      <c r="AN53" s="3067"/>
      <c r="AO53" s="3067"/>
      <c r="AP53" s="3067"/>
      <c r="AQ53" s="3067"/>
      <c r="AR53" s="3067"/>
      <c r="AS53" s="3067"/>
      <c r="AT53" s="3067"/>
      <c r="AU53" s="3067"/>
      <c r="AV53" s="3067"/>
      <c r="AW53" s="3067"/>
      <c r="AX53" s="506"/>
      <c r="AY53" s="2902">
        <f ca="1">INDEX(INDIRECT("'"&amp;AY$4&amp;"'!Year.NetBalance"), MATCH('Intermediate output'!$C53, INDIRECT("'"&amp;AY$4&amp;"'!Year.Vectors"), 0))</f>
        <v>6.9375593680534902</v>
      </c>
      <c r="AZ53" s="2902">
        <f ca="1">INDEX(INDIRECT("'"&amp;AZ$4&amp;"'!Year.NetBalance"), MATCH('Intermediate output'!$C53, INDIRECT("'"&amp;AZ$4&amp;"'!Year.Vectors"), 0))</f>
        <v>6.9719728253531121</v>
      </c>
      <c r="BA53" s="2902">
        <f ca="1">INDEX(INDIRECT("'"&amp;BA$4&amp;"'!Year.NetBalance"), MATCH('Intermediate output'!$C53, INDIRECT("'"&amp;BA$4&amp;"'!Year.Vectors"), 0))</f>
        <v>7.4296103787728942</v>
      </c>
      <c r="BB53" s="2902">
        <f ca="1">INDEX(INDIRECT("'"&amp;BB$4&amp;"'!Year.NetBalance"), MATCH('Intermediate output'!$C53, INDIRECT("'"&amp;BB$4&amp;"'!Year.Vectors"), 0))</f>
        <v>7.8111391357725637</v>
      </c>
      <c r="BC53" s="2902">
        <f ca="1">INDEX(INDIRECT("'"&amp;BC$4&amp;"'!Year.NetBalance"), MATCH('Intermediate output'!$C53, INDIRECT("'"&amp;BC$4&amp;"'!Year.Vectors"), 0))</f>
        <v>8.3946429748253983</v>
      </c>
      <c r="BD53" s="2902">
        <f ca="1">INDEX(INDIRECT("'"&amp;BD$4&amp;"'!Year.NetBalance"), MATCH('Intermediate output'!$C53, INDIRECT("'"&amp;BD$4&amp;"'!Year.Vectors"), 0))</f>
        <v>9.0329099782095152</v>
      </c>
      <c r="BE53" s="2902">
        <f ca="1">INDEX(INDIRECT("'"&amp;BE$4&amp;"'!Year.NetBalance"), MATCH('Intermediate output'!$C53, INDIRECT("'"&amp;BE$4&amp;"'!Year.Vectors"), 0))</f>
        <v>9.521421335861147</v>
      </c>
      <c r="BF53" s="2902">
        <f ca="1">INDEX(INDIRECT("'"&amp;BF$4&amp;"'!Year.NetBalance"), MATCH('Intermediate output'!$C53, INDIRECT("'"&amp;BF$4&amp;"'!Year.Vectors"), 0))</f>
        <v>10.031025277854006</v>
      </c>
      <c r="BG53" s="2902">
        <f ca="1">INDEX(INDIRECT("'"&amp;BG$4&amp;"'!Year.NetBalance"), MATCH('Intermediate output'!$C53, INDIRECT("'"&amp;BG$4&amp;"'!Year.Vectors"), 0))</f>
        <v>10.552798308188942</v>
      </c>
      <c r="BH53" s="3073"/>
      <c r="BJ53" s="505"/>
      <c r="BK53" s="3074"/>
      <c r="BL53" s="3066"/>
      <c r="BM53" s="506"/>
      <c r="BN53" s="2902"/>
      <c r="BO53" s="2902"/>
      <c r="BP53" s="3067"/>
      <c r="BQ53" s="3067"/>
      <c r="BR53" s="3067"/>
      <c r="BS53" s="3067"/>
      <c r="BT53" s="3067"/>
      <c r="BU53" s="3067"/>
    </row>
    <row r="54" spans="2:73" s="6" customFormat="1" ht="18.5">
      <c r="B54" s="3095"/>
      <c r="C54" s="17"/>
      <c r="D54" s="3078" t="s">
        <v>2466</v>
      </c>
      <c r="E54" s="506"/>
      <c r="F54" s="3079">
        <f>F47-SUM(F52:F53)</f>
        <v>122.74130464765572</v>
      </c>
      <c r="G54" s="3080"/>
      <c r="H54" s="3075"/>
      <c r="I54" s="3075"/>
      <c r="J54" s="3075"/>
      <c r="K54" s="3075"/>
      <c r="L54" s="3075"/>
      <c r="M54" s="3075"/>
      <c r="N54" s="3075"/>
      <c r="O54" s="3075"/>
      <c r="P54" s="3075"/>
      <c r="Q54" s="3075"/>
      <c r="R54" s="3075"/>
      <c r="S54" s="3075"/>
      <c r="T54" s="3075"/>
      <c r="U54" s="3075"/>
      <c r="V54" s="3075"/>
      <c r="W54" s="3075"/>
      <c r="X54" s="3075"/>
      <c r="Y54" s="3075"/>
      <c r="Z54" s="3075"/>
      <c r="AA54" s="3075"/>
      <c r="AB54" s="3075"/>
      <c r="AC54" s="3075"/>
      <c r="AD54" s="3075"/>
      <c r="AE54" s="3075"/>
      <c r="AF54" s="3075"/>
      <c r="AG54" s="3075"/>
      <c r="AH54" s="3075"/>
      <c r="AI54" s="3075"/>
      <c r="AJ54" s="3075"/>
      <c r="AK54" s="3075"/>
      <c r="AL54" s="3075"/>
      <c r="AM54" s="3075"/>
      <c r="AN54" s="3075"/>
      <c r="AO54" s="3075"/>
      <c r="AP54" s="3075"/>
      <c r="AQ54" s="3075"/>
      <c r="AR54" s="3075"/>
      <c r="AS54" s="3075"/>
      <c r="AT54" s="3075"/>
      <c r="AU54" s="3075"/>
      <c r="AV54" s="3075"/>
      <c r="AW54" s="3075"/>
      <c r="AX54" s="506"/>
      <c r="AY54" s="3079">
        <f t="shared" ref="AY54:BG54" ca="1" si="12">AY47-SUM(AY52:AY53)</f>
        <v>123.39107721964928</v>
      </c>
      <c r="AZ54" s="3079">
        <f t="shared" ca="1" si="12"/>
        <v>126.03569803108343</v>
      </c>
      <c r="BA54" s="3079">
        <f t="shared" ca="1" si="12"/>
        <v>134.20827634325508</v>
      </c>
      <c r="BB54" s="3079">
        <f t="shared" ca="1" si="12"/>
        <v>138.3585516623485</v>
      </c>
      <c r="BC54" s="3079">
        <f t="shared" ca="1" si="12"/>
        <v>143.549369076083</v>
      </c>
      <c r="BD54" s="3079">
        <f t="shared" ca="1" si="12"/>
        <v>149.91385414364944</v>
      </c>
      <c r="BE54" s="3079">
        <f t="shared" ca="1" si="12"/>
        <v>156.63117699526362</v>
      </c>
      <c r="BF54" s="3079">
        <f t="shared" ca="1" si="12"/>
        <v>163.82975957171561</v>
      </c>
      <c r="BG54" s="3079">
        <f t="shared" ca="1" si="12"/>
        <v>170.82132223970297</v>
      </c>
      <c r="BH54" s="3096"/>
      <c r="BJ54" s="3095"/>
      <c r="BK54" s="17"/>
      <c r="BL54" s="23"/>
      <c r="BM54" s="506"/>
      <c r="BN54" s="3080"/>
      <c r="BO54" s="3080"/>
      <c r="BP54" s="3075"/>
      <c r="BQ54" s="3075"/>
      <c r="BR54" s="3075"/>
      <c r="BS54" s="3075"/>
      <c r="BT54" s="3075"/>
      <c r="BU54" s="3075"/>
    </row>
    <row r="55" spans="2:73">
      <c r="B55" s="505"/>
      <c r="C55" s="506"/>
      <c r="D55" s="506"/>
      <c r="E55" s="506"/>
      <c r="F55" s="506"/>
      <c r="G55" s="506"/>
      <c r="H55" s="3057"/>
      <c r="I55" s="3057"/>
      <c r="J55" s="3057"/>
      <c r="K55" s="3057"/>
      <c r="L55" s="3057"/>
      <c r="M55" s="3057"/>
      <c r="N55" s="3057"/>
      <c r="O55" s="3057"/>
      <c r="P55" s="3057"/>
      <c r="Q55" s="3057"/>
      <c r="R55" s="3057"/>
      <c r="S55" s="3057"/>
      <c r="T55" s="3057"/>
      <c r="U55" s="3057"/>
      <c r="V55" s="3057"/>
      <c r="W55" s="3057"/>
      <c r="X55" s="3057"/>
      <c r="Y55" s="3057"/>
      <c r="Z55" s="3057"/>
      <c r="AA55" s="3057"/>
      <c r="AB55" s="3057"/>
      <c r="AC55" s="3057"/>
      <c r="AD55" s="3057"/>
      <c r="AE55" s="3057"/>
      <c r="AF55" s="3057"/>
      <c r="AG55" s="3057"/>
      <c r="AH55" s="3057"/>
      <c r="AI55" s="3057"/>
      <c r="AJ55" s="3057"/>
      <c r="AK55" s="3057"/>
      <c r="AL55" s="3057"/>
      <c r="AM55" s="3057"/>
      <c r="AN55" s="3057"/>
      <c r="AO55" s="3057"/>
      <c r="AP55" s="3057"/>
      <c r="AQ55" s="3057"/>
      <c r="AR55" s="3057"/>
      <c r="AS55" s="3057"/>
      <c r="AT55" s="3057"/>
      <c r="AU55" s="3057"/>
      <c r="AV55" s="3057"/>
      <c r="AW55" s="3057"/>
      <c r="AX55" s="506"/>
      <c r="AY55" s="3071"/>
      <c r="AZ55" s="3071"/>
      <c r="BA55" s="3071"/>
      <c r="BB55" s="3071"/>
      <c r="BC55" s="3071"/>
      <c r="BD55" s="3071"/>
      <c r="BE55" s="3071"/>
      <c r="BF55" s="3071"/>
      <c r="BG55" s="3071"/>
      <c r="BH55" s="3073"/>
      <c r="BJ55" s="505"/>
      <c r="BK55" s="506"/>
      <c r="BL55" s="506"/>
      <c r="BM55" s="506"/>
      <c r="BN55" s="506"/>
      <c r="BO55" s="506"/>
      <c r="BP55" s="3057"/>
      <c r="BQ55" s="3057"/>
      <c r="BR55" s="3057"/>
      <c r="BS55" s="3057"/>
      <c r="BT55" s="3057"/>
      <c r="BU55" s="3057"/>
    </row>
    <row r="56" spans="2:73">
      <c r="B56" s="505"/>
      <c r="C56" s="3082" t="s">
        <v>2467</v>
      </c>
      <c r="D56" s="506"/>
      <c r="E56" s="506"/>
      <c r="F56" s="506"/>
      <c r="G56" s="506"/>
      <c r="H56" s="3057"/>
      <c r="I56" s="3057"/>
      <c r="J56" s="3057"/>
      <c r="K56" s="3057"/>
      <c r="L56" s="3057"/>
      <c r="M56" s="3057"/>
      <c r="N56" s="3057"/>
      <c r="O56" s="3057"/>
      <c r="P56" s="3057"/>
      <c r="Q56" s="3057"/>
      <c r="R56" s="3057"/>
      <c r="S56" s="3057"/>
      <c r="T56" s="3057"/>
      <c r="U56" s="3057"/>
      <c r="V56" s="3057"/>
      <c r="W56" s="3057"/>
      <c r="X56" s="3057"/>
      <c r="Y56" s="3057"/>
      <c r="Z56" s="3057"/>
      <c r="AA56" s="3057"/>
      <c r="AB56" s="3057"/>
      <c r="AC56" s="3057"/>
      <c r="AD56" s="3057"/>
      <c r="AE56" s="3057"/>
      <c r="AF56" s="3057"/>
      <c r="AG56" s="3057"/>
      <c r="AH56" s="3057"/>
      <c r="AI56" s="3057"/>
      <c r="AJ56" s="3057"/>
      <c r="AK56" s="3057"/>
      <c r="AL56" s="3057"/>
      <c r="AM56" s="3057"/>
      <c r="AN56" s="3057"/>
      <c r="AO56" s="3057"/>
      <c r="AP56" s="3057"/>
      <c r="AQ56" s="3057"/>
      <c r="AR56" s="3057"/>
      <c r="AS56" s="3057"/>
      <c r="AT56" s="3057"/>
      <c r="AU56" s="3057"/>
      <c r="AV56" s="3057"/>
      <c r="AW56" s="3057"/>
      <c r="AX56" s="506"/>
      <c r="AY56" s="3071"/>
      <c r="AZ56" s="3071"/>
      <c r="BA56" s="3071"/>
      <c r="BB56" s="3071"/>
      <c r="BC56" s="3071"/>
      <c r="BD56" s="3071"/>
      <c r="BE56" s="3071"/>
      <c r="BF56" s="3071"/>
      <c r="BG56" s="3071"/>
      <c r="BH56" s="3073"/>
      <c r="BJ56" s="505"/>
      <c r="BK56" s="3082"/>
      <c r="BL56" s="506"/>
      <c r="BM56" s="506"/>
      <c r="BN56" s="506"/>
      <c r="BO56" s="506"/>
      <c r="BP56" s="3057"/>
      <c r="BQ56" s="3057"/>
      <c r="BR56" s="3057"/>
      <c r="BS56" s="3057"/>
      <c r="BT56" s="3057"/>
      <c r="BU56" s="3057"/>
    </row>
    <row r="57" spans="2:73">
      <c r="B57" s="505"/>
      <c r="C57" s="506"/>
      <c r="D57" s="506"/>
      <c r="E57" s="506"/>
      <c r="F57" s="506"/>
      <c r="G57" s="506"/>
      <c r="H57" s="3057"/>
      <c r="I57" s="3057"/>
      <c r="J57" s="3057"/>
      <c r="K57" s="3057"/>
      <c r="L57" s="3057"/>
      <c r="M57" s="3057"/>
      <c r="N57" s="3057"/>
      <c r="O57" s="3057"/>
      <c r="P57" s="3057"/>
      <c r="Q57" s="3057"/>
      <c r="R57" s="3057"/>
      <c r="S57" s="3057"/>
      <c r="T57" s="3057"/>
      <c r="U57" s="3057"/>
      <c r="V57" s="3057"/>
      <c r="W57" s="3057"/>
      <c r="X57" s="3057"/>
      <c r="Y57" s="3057"/>
      <c r="Z57" s="3057"/>
      <c r="AA57" s="3057"/>
      <c r="AB57" s="3057"/>
      <c r="AC57" s="3057"/>
      <c r="AD57" s="3057"/>
      <c r="AE57" s="3057"/>
      <c r="AF57" s="3057"/>
      <c r="AG57" s="3057"/>
      <c r="AH57" s="3057"/>
      <c r="AI57" s="3057"/>
      <c r="AJ57" s="3057"/>
      <c r="AK57" s="3057"/>
      <c r="AL57" s="3057"/>
      <c r="AM57" s="3057"/>
      <c r="AN57" s="3057"/>
      <c r="AO57" s="3057"/>
      <c r="AP57" s="3057"/>
      <c r="AQ57" s="3057"/>
      <c r="AR57" s="3057"/>
      <c r="AS57" s="3057"/>
      <c r="AT57" s="3057"/>
      <c r="AU57" s="3057"/>
      <c r="AV57" s="3057"/>
      <c r="AW57" s="3057"/>
      <c r="AX57" s="506"/>
      <c r="AY57" s="3071"/>
      <c r="AZ57" s="3071"/>
      <c r="BA57" s="3071"/>
      <c r="BB57" s="3071"/>
      <c r="BC57" s="3071"/>
      <c r="BD57" s="3071"/>
      <c r="BE57" s="3071"/>
      <c r="BF57" s="3071"/>
      <c r="BG57" s="3071"/>
      <c r="BH57" s="3073"/>
      <c r="BJ57" s="505"/>
      <c r="BK57" s="506"/>
      <c r="BL57" s="506"/>
      <c r="BM57" s="506"/>
      <c r="BN57" s="506"/>
      <c r="BO57" s="506"/>
      <c r="BP57" s="3057"/>
      <c r="BQ57" s="3057"/>
      <c r="BR57" s="3057"/>
      <c r="BS57" s="3057"/>
      <c r="BT57" s="3057"/>
      <c r="BU57" s="3057"/>
    </row>
    <row r="58" spans="2:73">
      <c r="B58" s="505"/>
      <c r="C58" s="3074" t="s">
        <v>416</v>
      </c>
      <c r="D58" s="3066" t="str">
        <f>INDEX(Vectors[Description], MATCH($C58, Vectors[Code], 0))</f>
        <v>Coal, peat and solid fuels</v>
      </c>
      <c r="E58" s="506"/>
      <c r="F58" s="2902"/>
      <c r="G58" s="2902"/>
      <c r="H58" s="3067"/>
      <c r="I58" s="3067"/>
      <c r="J58" s="3067"/>
      <c r="K58" s="3067"/>
      <c r="L58" s="3067"/>
      <c r="M58" s="3067"/>
      <c r="N58" s="3067"/>
      <c r="O58" s="3067"/>
      <c r="P58" s="3067"/>
      <c r="Q58" s="3067"/>
      <c r="R58" s="3067"/>
      <c r="S58" s="3067"/>
      <c r="T58" s="3067"/>
      <c r="U58" s="3067"/>
      <c r="V58" s="3067"/>
      <c r="W58" s="3067"/>
      <c r="X58" s="3067"/>
      <c r="Y58" s="3067"/>
      <c r="Z58" s="3067"/>
      <c r="AA58" s="3067"/>
      <c r="AB58" s="3067"/>
      <c r="AC58" s="3067"/>
      <c r="AD58" s="3067"/>
      <c r="AE58" s="3067"/>
      <c r="AF58" s="3067"/>
      <c r="AG58" s="3067"/>
      <c r="AH58" s="3067"/>
      <c r="AI58" s="3067"/>
      <c r="AJ58" s="3067"/>
      <c r="AK58" s="3067"/>
      <c r="AL58" s="3067"/>
      <c r="AM58" s="3067"/>
      <c r="AN58" s="3067"/>
      <c r="AO58" s="3067"/>
      <c r="AP58" s="3067"/>
      <c r="AQ58" s="3067"/>
      <c r="AR58" s="3067"/>
      <c r="AS58" s="3067"/>
      <c r="AT58" s="3067"/>
      <c r="AU58" s="3067"/>
      <c r="AV58" s="3067"/>
      <c r="AW58" s="3067"/>
      <c r="AX58" s="506"/>
      <c r="AY58" s="2902">
        <f ca="1">INDEX(INDIRECT("'"&amp;AY$4&amp;"'!Year.NetBalance"), MATCH('Intermediate output'!$C58, INDIRECT("'"&amp;AY$4&amp;"'!Year.Vectors"), 0))</f>
        <v>0</v>
      </c>
      <c r="AZ58" s="2902">
        <f ca="1">INDEX(INDIRECT("'"&amp;AZ$4&amp;"'!Year.NetBalance"), MATCH('Intermediate output'!$C58, INDIRECT("'"&amp;AZ$4&amp;"'!Year.Vectors"), 0))</f>
        <v>0</v>
      </c>
      <c r="BA58" s="2902">
        <f ca="1">INDEX(INDIRECT("'"&amp;BA$4&amp;"'!Year.NetBalance"), MATCH('Intermediate output'!$C58, INDIRECT("'"&amp;BA$4&amp;"'!Year.Vectors"), 0))</f>
        <v>0</v>
      </c>
      <c r="BB58" s="2902">
        <f ca="1">INDEX(INDIRECT("'"&amp;BB$4&amp;"'!Year.NetBalance"), MATCH('Intermediate output'!$C58, INDIRECT("'"&amp;BB$4&amp;"'!Year.Vectors"), 0))</f>
        <v>0</v>
      </c>
      <c r="BC58" s="2902">
        <f ca="1">INDEX(INDIRECT("'"&amp;BC$4&amp;"'!Year.NetBalance"), MATCH('Intermediate output'!$C58, INDIRECT("'"&amp;BC$4&amp;"'!Year.Vectors"), 0))</f>
        <v>7.2164496600635175E-16</v>
      </c>
      <c r="BD58" s="2902">
        <f ca="1">INDEX(INDIRECT("'"&amp;BD$4&amp;"'!Year.NetBalance"), MATCH('Intermediate output'!$C58, INDIRECT("'"&amp;BD$4&amp;"'!Year.Vectors"), 0))</f>
        <v>0</v>
      </c>
      <c r="BE58" s="2902">
        <f ca="1">INDEX(INDIRECT("'"&amp;BE$4&amp;"'!Year.NetBalance"), MATCH('Intermediate output'!$C58, INDIRECT("'"&amp;BE$4&amp;"'!Year.Vectors"), 0))</f>
        <v>0</v>
      </c>
      <c r="BF58" s="2902">
        <f ca="1">INDEX(INDIRECT("'"&amp;BF$4&amp;"'!Year.NetBalance"), MATCH('Intermediate output'!$C58, INDIRECT("'"&amp;BF$4&amp;"'!Year.Vectors"), 0))</f>
        <v>0</v>
      </c>
      <c r="BG58" s="2902">
        <f ca="1">INDEX(INDIRECT("'"&amp;BG$4&amp;"'!Year.NetBalance"), MATCH('Intermediate output'!$C58, INDIRECT("'"&amp;BG$4&amp;"'!Year.Vectors"), 0))</f>
        <v>0</v>
      </c>
      <c r="BH58" s="3073"/>
      <c r="BJ58" s="505"/>
      <c r="BK58" s="3074"/>
      <c r="BL58" s="3066"/>
      <c r="BM58" s="506"/>
      <c r="BN58" s="2902"/>
      <c r="BO58" s="2902"/>
      <c r="BP58" s="3067"/>
      <c r="BQ58" s="3067"/>
      <c r="BR58" s="3067"/>
      <c r="BS58" s="3067"/>
      <c r="BT58" s="3067"/>
      <c r="BU58" s="3067"/>
    </row>
    <row r="59" spans="2:73">
      <c r="B59" s="505"/>
      <c r="C59" s="3074" t="s">
        <v>417</v>
      </c>
      <c r="D59" s="3066" t="str">
        <f>INDEX(Vectors[Description], MATCH($C59, Vectors[Code], 0))</f>
        <v>Oil and petroleum products</v>
      </c>
      <c r="E59" s="506"/>
      <c r="F59" s="2902"/>
      <c r="G59" s="2902"/>
      <c r="H59" s="3067"/>
      <c r="I59" s="3067"/>
      <c r="J59" s="3067"/>
      <c r="K59" s="3067"/>
      <c r="L59" s="3067"/>
      <c r="M59" s="3067"/>
      <c r="N59" s="3067"/>
      <c r="O59" s="3067"/>
      <c r="P59" s="3067"/>
      <c r="Q59" s="3067"/>
      <c r="R59" s="3067"/>
      <c r="S59" s="3067"/>
      <c r="T59" s="3067"/>
      <c r="U59" s="3067"/>
      <c r="V59" s="3067"/>
      <c r="W59" s="3067"/>
      <c r="X59" s="3067"/>
      <c r="Y59" s="3067"/>
      <c r="Z59" s="3067"/>
      <c r="AA59" s="3067"/>
      <c r="AB59" s="3067"/>
      <c r="AC59" s="3067"/>
      <c r="AD59" s="3067"/>
      <c r="AE59" s="3067"/>
      <c r="AF59" s="3067"/>
      <c r="AG59" s="3067"/>
      <c r="AH59" s="3067"/>
      <c r="AI59" s="3067"/>
      <c r="AJ59" s="3067"/>
      <c r="AK59" s="3067"/>
      <c r="AL59" s="3067"/>
      <c r="AM59" s="3067"/>
      <c r="AN59" s="3067"/>
      <c r="AO59" s="3067"/>
      <c r="AP59" s="3067"/>
      <c r="AQ59" s="3067"/>
      <c r="AR59" s="3067"/>
      <c r="AS59" s="3067"/>
      <c r="AT59" s="3067"/>
      <c r="AU59" s="3067"/>
      <c r="AV59" s="3067"/>
      <c r="AW59" s="3067"/>
      <c r="AX59" s="506"/>
      <c r="AY59" s="2902">
        <f ca="1">INDEX(INDIRECT("'"&amp;AY$4&amp;"'!Year.NetBalance"), MATCH('Intermediate output'!$C59, INDIRECT("'"&amp;AY$4&amp;"'!Year.Vectors"), 0))</f>
        <v>0</v>
      </c>
      <c r="AZ59" s="2902">
        <f ca="1">INDEX(INDIRECT("'"&amp;AZ$4&amp;"'!Year.NetBalance"), MATCH('Intermediate output'!$C59, INDIRECT("'"&amp;AZ$4&amp;"'!Year.Vectors"), 0))</f>
        <v>0</v>
      </c>
      <c r="BA59" s="2902">
        <f ca="1">INDEX(INDIRECT("'"&amp;BA$4&amp;"'!Year.NetBalance"), MATCH('Intermediate output'!$C59, INDIRECT("'"&amp;BA$4&amp;"'!Year.Vectors"), 0))</f>
        <v>0</v>
      </c>
      <c r="BB59" s="2902">
        <f ca="1">INDEX(INDIRECT("'"&amp;BB$4&amp;"'!Year.NetBalance"), MATCH('Intermediate output'!$C59, INDIRECT("'"&amp;BB$4&amp;"'!Year.Vectors"), 0))</f>
        <v>0</v>
      </c>
      <c r="BC59" s="2902">
        <f ca="1">INDEX(INDIRECT("'"&amp;BC$4&amp;"'!Year.NetBalance"), MATCH('Intermediate output'!$C59, INDIRECT("'"&amp;BC$4&amp;"'!Year.Vectors"), 0))</f>
        <v>0</v>
      </c>
      <c r="BD59" s="2902">
        <f ca="1">INDEX(INDIRECT("'"&amp;BD$4&amp;"'!Year.NetBalance"), MATCH('Intermediate output'!$C59, INDIRECT("'"&amp;BD$4&amp;"'!Year.Vectors"), 0))</f>
        <v>0</v>
      </c>
      <c r="BE59" s="2902">
        <f ca="1">INDEX(INDIRECT("'"&amp;BE$4&amp;"'!Year.NetBalance"), MATCH('Intermediate output'!$C59, INDIRECT("'"&amp;BE$4&amp;"'!Year.Vectors"), 0))</f>
        <v>0</v>
      </c>
      <c r="BF59" s="2902">
        <f ca="1">INDEX(INDIRECT("'"&amp;BF$4&amp;"'!Year.NetBalance"), MATCH('Intermediate output'!$C59, INDIRECT("'"&amp;BF$4&amp;"'!Year.Vectors"), 0))</f>
        <v>0</v>
      </c>
      <c r="BG59" s="2902">
        <f ca="1">INDEX(INDIRECT("'"&amp;BG$4&amp;"'!Year.NetBalance"), MATCH('Intermediate output'!$C59, INDIRECT("'"&amp;BG$4&amp;"'!Year.Vectors"), 0))</f>
        <v>0</v>
      </c>
      <c r="BH59" s="3073"/>
      <c r="BJ59" s="505"/>
      <c r="BK59" s="3074"/>
      <c r="BL59" s="3066"/>
      <c r="BM59" s="506"/>
      <c r="BN59" s="2902"/>
      <c r="BO59" s="2902"/>
      <c r="BP59" s="3067"/>
      <c r="BQ59" s="3067"/>
      <c r="BR59" s="3067"/>
      <c r="BS59" s="3067"/>
      <c r="BT59" s="3067"/>
      <c r="BU59" s="3067"/>
    </row>
    <row r="60" spans="2:73">
      <c r="B60" s="505"/>
      <c r="C60" s="3074" t="s">
        <v>418</v>
      </c>
      <c r="D60" s="3066" t="str">
        <f>INDEX(Vectors[Description], MATCH($C60, Vectors[Code], 0))</f>
        <v>Natural gas</v>
      </c>
      <c r="E60" s="506"/>
      <c r="F60" s="2902"/>
      <c r="G60" s="2902"/>
      <c r="H60" s="3067"/>
      <c r="I60" s="3067"/>
      <c r="J60" s="3067"/>
      <c r="K60" s="3067"/>
      <c r="L60" s="3067"/>
      <c r="M60" s="3067"/>
      <c r="N60" s="3067"/>
      <c r="O60" s="3067"/>
      <c r="P60" s="3067"/>
      <c r="Q60" s="3067"/>
      <c r="R60" s="3067"/>
      <c r="S60" s="3067"/>
      <c r="T60" s="3067"/>
      <c r="U60" s="3067"/>
      <c r="V60" s="3067"/>
      <c r="W60" s="3067"/>
      <c r="X60" s="3067"/>
      <c r="Y60" s="3067"/>
      <c r="Z60" s="3067"/>
      <c r="AA60" s="3067"/>
      <c r="AB60" s="3067"/>
      <c r="AC60" s="3067"/>
      <c r="AD60" s="3067"/>
      <c r="AE60" s="3067"/>
      <c r="AF60" s="3067"/>
      <c r="AG60" s="3067"/>
      <c r="AH60" s="3067"/>
      <c r="AI60" s="3067"/>
      <c r="AJ60" s="3067"/>
      <c r="AK60" s="3067"/>
      <c r="AL60" s="3067"/>
      <c r="AM60" s="3067"/>
      <c r="AN60" s="3067"/>
      <c r="AO60" s="3067"/>
      <c r="AP60" s="3067"/>
      <c r="AQ60" s="3067"/>
      <c r="AR60" s="3067"/>
      <c r="AS60" s="3067"/>
      <c r="AT60" s="3067"/>
      <c r="AU60" s="3067"/>
      <c r="AV60" s="3067"/>
      <c r="AW60" s="3067"/>
      <c r="AX60" s="506"/>
      <c r="AY60" s="2902">
        <f ca="1">INDEX(INDIRECT("'"&amp;AY$4&amp;"'!Year.NetBalance"), MATCH('Intermediate output'!$C60, INDIRECT("'"&amp;AY$4&amp;"'!Year.Vectors"), 0))</f>
        <v>0</v>
      </c>
      <c r="AZ60" s="2902">
        <f ca="1">INDEX(INDIRECT("'"&amp;AZ$4&amp;"'!Year.NetBalance"), MATCH('Intermediate output'!$C60, INDIRECT("'"&amp;AZ$4&amp;"'!Year.Vectors"), 0))</f>
        <v>0</v>
      </c>
      <c r="BA60" s="2902">
        <f ca="1">INDEX(INDIRECT("'"&amp;BA$4&amp;"'!Year.NetBalance"), MATCH('Intermediate output'!$C60, INDIRECT("'"&amp;BA$4&amp;"'!Year.Vectors"), 0))</f>
        <v>0</v>
      </c>
      <c r="BB60" s="2902">
        <f ca="1">INDEX(INDIRECT("'"&amp;BB$4&amp;"'!Year.NetBalance"), MATCH('Intermediate output'!$C60, INDIRECT("'"&amp;BB$4&amp;"'!Year.Vectors"), 0))</f>
        <v>0</v>
      </c>
      <c r="BC60" s="2902">
        <f ca="1">INDEX(INDIRECT("'"&amp;BC$4&amp;"'!Year.NetBalance"), MATCH('Intermediate output'!$C60, INDIRECT("'"&amp;BC$4&amp;"'!Year.Vectors"), 0))</f>
        <v>0</v>
      </c>
      <c r="BD60" s="2902">
        <f ca="1">INDEX(INDIRECT("'"&amp;BD$4&amp;"'!Year.NetBalance"), MATCH('Intermediate output'!$C60, INDIRECT("'"&amp;BD$4&amp;"'!Year.Vectors"), 0))</f>
        <v>0</v>
      </c>
      <c r="BE60" s="2902">
        <f ca="1">INDEX(INDIRECT("'"&amp;BE$4&amp;"'!Year.NetBalance"), MATCH('Intermediate output'!$C60, INDIRECT("'"&amp;BE$4&amp;"'!Year.Vectors"), 0))</f>
        <v>0</v>
      </c>
      <c r="BF60" s="2902">
        <f ca="1">INDEX(INDIRECT("'"&amp;BF$4&amp;"'!Year.NetBalance"), MATCH('Intermediate output'!$C60, INDIRECT("'"&amp;BF$4&amp;"'!Year.Vectors"), 0))</f>
        <v>0</v>
      </c>
      <c r="BG60" s="2902">
        <f ca="1">INDEX(INDIRECT("'"&amp;BG$4&amp;"'!Year.NetBalance"), MATCH('Intermediate output'!$C60, INDIRECT("'"&amp;BG$4&amp;"'!Year.Vectors"), 0))</f>
        <v>0</v>
      </c>
      <c r="BH60" s="3073"/>
      <c r="BJ60" s="505"/>
      <c r="BK60" s="3074"/>
      <c r="BL60" s="3066"/>
      <c r="BM60" s="506"/>
      <c r="BN60" s="2902"/>
      <c r="BO60" s="2902"/>
      <c r="BP60" s="3067"/>
      <c r="BQ60" s="3067"/>
      <c r="BR60" s="3067"/>
      <c r="BS60" s="3067"/>
      <c r="BT60" s="3067"/>
      <c r="BU60" s="3067"/>
    </row>
    <row r="61" spans="2:73">
      <c r="B61" s="505"/>
      <c r="C61" s="3074" t="s">
        <v>97</v>
      </c>
      <c r="D61" s="3066" t="str">
        <f>INDEX(Vectors[Description], MATCH($C61, Vectors[Code], 0))</f>
        <v>Solid hydrocarbons</v>
      </c>
      <c r="E61" s="506"/>
      <c r="F61" s="2902"/>
      <c r="G61" s="2902"/>
      <c r="H61" s="3067"/>
      <c r="I61" s="3067"/>
      <c r="J61" s="3067"/>
      <c r="K61" s="3067"/>
      <c r="L61" s="3067"/>
      <c r="M61" s="3067"/>
      <c r="N61" s="3067"/>
      <c r="O61" s="3067"/>
      <c r="P61" s="3067"/>
      <c r="Q61" s="3067"/>
      <c r="R61" s="3067"/>
      <c r="S61" s="3067"/>
      <c r="T61" s="3067"/>
      <c r="U61" s="3067"/>
      <c r="V61" s="3067"/>
      <c r="W61" s="3067"/>
      <c r="X61" s="3067"/>
      <c r="Y61" s="3067"/>
      <c r="Z61" s="3067"/>
      <c r="AA61" s="3067"/>
      <c r="AB61" s="3067"/>
      <c r="AC61" s="3067"/>
      <c r="AD61" s="3067"/>
      <c r="AE61" s="3067"/>
      <c r="AF61" s="3067"/>
      <c r="AG61" s="3067"/>
      <c r="AH61" s="3067"/>
      <c r="AI61" s="3067"/>
      <c r="AJ61" s="3067"/>
      <c r="AK61" s="3067"/>
      <c r="AL61" s="3067"/>
      <c r="AM61" s="3067"/>
      <c r="AN61" s="3067"/>
      <c r="AO61" s="3067"/>
      <c r="AP61" s="3067"/>
      <c r="AQ61" s="3067"/>
      <c r="AR61" s="3067"/>
      <c r="AS61" s="3067"/>
      <c r="AT61" s="3067"/>
      <c r="AU61" s="3067"/>
      <c r="AV61" s="3067"/>
      <c r="AW61" s="3067"/>
      <c r="AX61" s="506"/>
      <c r="AY61" s="2902">
        <f ca="1">INDEX(INDIRECT("'"&amp;AY$4&amp;"'!Year.NetBalance"), MATCH('Intermediate output'!$C61, INDIRECT("'"&amp;AY$4&amp;"'!Year.Vectors"), 0))</f>
        <v>0</v>
      </c>
      <c r="AZ61" s="2902">
        <f ca="1">INDEX(INDIRECT("'"&amp;AZ$4&amp;"'!Year.NetBalance"), MATCH('Intermediate output'!$C61, INDIRECT("'"&amp;AZ$4&amp;"'!Year.Vectors"), 0))</f>
        <v>0</v>
      </c>
      <c r="BA61" s="2902">
        <f ca="1">INDEX(INDIRECT("'"&amp;BA$4&amp;"'!Year.NetBalance"), MATCH('Intermediate output'!$C61, INDIRECT("'"&amp;BA$4&amp;"'!Year.Vectors"), 0))</f>
        <v>0</v>
      </c>
      <c r="BB61" s="2902">
        <f ca="1">INDEX(INDIRECT("'"&amp;BB$4&amp;"'!Year.NetBalance"), MATCH('Intermediate output'!$C61, INDIRECT("'"&amp;BB$4&amp;"'!Year.Vectors"), 0))</f>
        <v>0</v>
      </c>
      <c r="BC61" s="2902">
        <f ca="1">INDEX(INDIRECT("'"&amp;BC$4&amp;"'!Year.NetBalance"), MATCH('Intermediate output'!$C61, INDIRECT("'"&amp;BC$4&amp;"'!Year.Vectors"), 0))</f>
        <v>0</v>
      </c>
      <c r="BD61" s="2902">
        <f ca="1">INDEX(INDIRECT("'"&amp;BD$4&amp;"'!Year.NetBalance"), MATCH('Intermediate output'!$C61, INDIRECT("'"&amp;BD$4&amp;"'!Year.Vectors"), 0))</f>
        <v>0</v>
      </c>
      <c r="BE61" s="2902">
        <f ca="1">INDEX(INDIRECT("'"&amp;BE$4&amp;"'!Year.NetBalance"), MATCH('Intermediate output'!$C61, INDIRECT("'"&amp;BE$4&amp;"'!Year.Vectors"), 0))</f>
        <v>0</v>
      </c>
      <c r="BF61" s="2902">
        <f ca="1">INDEX(INDIRECT("'"&amp;BF$4&amp;"'!Year.NetBalance"), MATCH('Intermediate output'!$C61, INDIRECT("'"&amp;BF$4&amp;"'!Year.Vectors"), 0))</f>
        <v>0</v>
      </c>
      <c r="BG61" s="2902">
        <f ca="1">INDEX(INDIRECT("'"&amp;BG$4&amp;"'!Year.NetBalance"), MATCH('Intermediate output'!$C61, INDIRECT("'"&amp;BG$4&amp;"'!Year.Vectors"), 0))</f>
        <v>0</v>
      </c>
      <c r="BH61" s="3073"/>
      <c r="BJ61" s="505"/>
      <c r="BK61" s="3074"/>
      <c r="BL61" s="3066"/>
      <c r="BM61" s="506"/>
      <c r="BN61" s="2902"/>
      <c r="BO61" s="2902"/>
      <c r="BP61" s="3067"/>
      <c r="BQ61" s="3067"/>
      <c r="BR61" s="3067"/>
      <c r="BS61" s="3067"/>
      <c r="BT61" s="3067"/>
      <c r="BU61" s="3067"/>
    </row>
    <row r="62" spans="2:73">
      <c r="B62" s="505"/>
      <c r="C62" s="3074" t="s">
        <v>98</v>
      </c>
      <c r="D62" s="3066" t="str">
        <f>INDEX(Vectors[Description], MATCH($C62, Vectors[Code], 0))</f>
        <v>Liquid hydrocarbons</v>
      </c>
      <c r="E62" s="506"/>
      <c r="F62" s="2902"/>
      <c r="G62" s="2902"/>
      <c r="H62" s="3067"/>
      <c r="I62" s="3067"/>
      <c r="J62" s="3067"/>
      <c r="K62" s="3067"/>
      <c r="L62" s="3067"/>
      <c r="M62" s="3067"/>
      <c r="N62" s="3067"/>
      <c r="O62" s="3067"/>
      <c r="P62" s="3067"/>
      <c r="Q62" s="3067"/>
      <c r="R62" s="3067"/>
      <c r="S62" s="3067"/>
      <c r="T62" s="3067"/>
      <c r="U62" s="3067"/>
      <c r="V62" s="3067"/>
      <c r="W62" s="3067"/>
      <c r="X62" s="3067"/>
      <c r="Y62" s="3067"/>
      <c r="Z62" s="3067"/>
      <c r="AA62" s="3067"/>
      <c r="AB62" s="3067"/>
      <c r="AC62" s="3067"/>
      <c r="AD62" s="3067"/>
      <c r="AE62" s="3067"/>
      <c r="AF62" s="3067"/>
      <c r="AG62" s="3067"/>
      <c r="AH62" s="3067"/>
      <c r="AI62" s="3067"/>
      <c r="AJ62" s="3067"/>
      <c r="AK62" s="3067"/>
      <c r="AL62" s="3067"/>
      <c r="AM62" s="3067"/>
      <c r="AN62" s="3067"/>
      <c r="AO62" s="3067"/>
      <c r="AP62" s="3067"/>
      <c r="AQ62" s="3067"/>
      <c r="AR62" s="3067"/>
      <c r="AS62" s="3067"/>
      <c r="AT62" s="3067"/>
      <c r="AU62" s="3067"/>
      <c r="AV62" s="3067"/>
      <c r="AW62" s="3067"/>
      <c r="AX62" s="506"/>
      <c r="AY62" s="2902">
        <f ca="1">INDEX(INDIRECT("'"&amp;AY$4&amp;"'!Year.NetBalance"), MATCH('Intermediate output'!$C62, INDIRECT("'"&amp;AY$4&amp;"'!Year.Vectors"), 0))</f>
        <v>0</v>
      </c>
      <c r="AZ62" s="2902">
        <f ca="1">INDEX(INDIRECT("'"&amp;AZ$4&amp;"'!Year.NetBalance"), MATCH('Intermediate output'!$C62, INDIRECT("'"&amp;AZ$4&amp;"'!Year.Vectors"), 0))</f>
        <v>0</v>
      </c>
      <c r="BA62" s="2902">
        <f ca="1">INDEX(INDIRECT("'"&amp;BA$4&amp;"'!Year.NetBalance"), MATCH('Intermediate output'!$C62, INDIRECT("'"&amp;BA$4&amp;"'!Year.Vectors"), 0))</f>
        <v>0</v>
      </c>
      <c r="BB62" s="2902">
        <f ca="1">INDEX(INDIRECT("'"&amp;BB$4&amp;"'!Year.NetBalance"), MATCH('Intermediate output'!$C62, INDIRECT("'"&amp;BB$4&amp;"'!Year.Vectors"), 0))</f>
        <v>0</v>
      </c>
      <c r="BC62" s="2902">
        <f ca="1">INDEX(INDIRECT("'"&amp;BC$4&amp;"'!Year.NetBalance"), MATCH('Intermediate output'!$C62, INDIRECT("'"&amp;BC$4&amp;"'!Year.Vectors"), 0))</f>
        <v>0</v>
      </c>
      <c r="BD62" s="2902">
        <f ca="1">INDEX(INDIRECT("'"&amp;BD$4&amp;"'!Year.NetBalance"), MATCH('Intermediate output'!$C62, INDIRECT("'"&amp;BD$4&amp;"'!Year.Vectors"), 0))</f>
        <v>0</v>
      </c>
      <c r="BE62" s="2902">
        <f ca="1">INDEX(INDIRECT("'"&amp;BE$4&amp;"'!Year.NetBalance"), MATCH('Intermediate output'!$C62, INDIRECT("'"&amp;BE$4&amp;"'!Year.Vectors"), 0))</f>
        <v>0</v>
      </c>
      <c r="BF62" s="2902">
        <f ca="1">INDEX(INDIRECT("'"&amp;BF$4&amp;"'!Year.NetBalance"), MATCH('Intermediate output'!$C62, INDIRECT("'"&amp;BF$4&amp;"'!Year.Vectors"), 0))</f>
        <v>0</v>
      </c>
      <c r="BG62" s="2902">
        <f ca="1">INDEX(INDIRECT("'"&amp;BG$4&amp;"'!Year.NetBalance"), MATCH('Intermediate output'!$C62, INDIRECT("'"&amp;BG$4&amp;"'!Year.Vectors"), 0))</f>
        <v>0</v>
      </c>
      <c r="BH62" s="3073"/>
      <c r="BJ62" s="505"/>
      <c r="BK62" s="3074"/>
      <c r="BL62" s="3066"/>
      <c r="BM62" s="506"/>
      <c r="BN62" s="2902"/>
      <c r="BO62" s="2902"/>
      <c r="BP62" s="3067"/>
      <c r="BQ62" s="3067"/>
      <c r="BR62" s="3067"/>
      <c r="BS62" s="3067"/>
      <c r="BT62" s="3067"/>
      <c r="BU62" s="3067"/>
    </row>
    <row r="63" spans="2:73">
      <c r="B63" s="505"/>
      <c r="C63" s="3074" t="s">
        <v>99</v>
      </c>
      <c r="D63" s="3066" t="str">
        <f>INDEX(Vectors[Description], MATCH($C63, Vectors[Code], 0))</f>
        <v>Gaseous hydrocarbons</v>
      </c>
      <c r="E63" s="506"/>
      <c r="F63" s="2902"/>
      <c r="G63" s="2902"/>
      <c r="H63" s="3067"/>
      <c r="I63" s="3067"/>
      <c r="J63" s="3067"/>
      <c r="K63" s="3067"/>
      <c r="L63" s="3067"/>
      <c r="M63" s="3067"/>
      <c r="N63" s="3067"/>
      <c r="O63" s="3067"/>
      <c r="P63" s="3067"/>
      <c r="Q63" s="3067"/>
      <c r="R63" s="3067"/>
      <c r="S63" s="3067"/>
      <c r="T63" s="3067"/>
      <c r="U63" s="3067"/>
      <c r="V63" s="3067"/>
      <c r="W63" s="3067"/>
      <c r="X63" s="3067"/>
      <c r="Y63" s="3067"/>
      <c r="Z63" s="3067"/>
      <c r="AA63" s="3067"/>
      <c r="AB63" s="3067"/>
      <c r="AC63" s="3067"/>
      <c r="AD63" s="3067"/>
      <c r="AE63" s="3067"/>
      <c r="AF63" s="3067"/>
      <c r="AG63" s="3067"/>
      <c r="AH63" s="3067"/>
      <c r="AI63" s="3067"/>
      <c r="AJ63" s="3067"/>
      <c r="AK63" s="3067"/>
      <c r="AL63" s="3067"/>
      <c r="AM63" s="3067"/>
      <c r="AN63" s="3067"/>
      <c r="AO63" s="3067"/>
      <c r="AP63" s="3067"/>
      <c r="AQ63" s="3067"/>
      <c r="AR63" s="3067"/>
      <c r="AS63" s="3067"/>
      <c r="AT63" s="3067"/>
      <c r="AU63" s="3067"/>
      <c r="AV63" s="3067"/>
      <c r="AW63" s="3067"/>
      <c r="AX63" s="506"/>
      <c r="AY63" s="2902">
        <f ca="1">INDEX(INDIRECT("'"&amp;AY$4&amp;"'!Year.NetBalance"), MATCH('Intermediate output'!$C63, INDIRECT("'"&amp;AY$4&amp;"'!Year.Vectors"), 0))</f>
        <v>0</v>
      </c>
      <c r="AZ63" s="2902">
        <f ca="1">INDEX(INDIRECT("'"&amp;AZ$4&amp;"'!Year.NetBalance"), MATCH('Intermediate output'!$C63, INDIRECT("'"&amp;AZ$4&amp;"'!Year.Vectors"), 0))</f>
        <v>0</v>
      </c>
      <c r="BA63" s="2902">
        <f ca="1">INDEX(INDIRECT("'"&amp;BA$4&amp;"'!Year.NetBalance"), MATCH('Intermediate output'!$C63, INDIRECT("'"&amp;BA$4&amp;"'!Year.Vectors"), 0))</f>
        <v>0</v>
      </c>
      <c r="BB63" s="2902">
        <f ca="1">INDEX(INDIRECT("'"&amp;BB$4&amp;"'!Year.NetBalance"), MATCH('Intermediate output'!$C63, INDIRECT("'"&amp;BB$4&amp;"'!Year.Vectors"), 0))</f>
        <v>0</v>
      </c>
      <c r="BC63" s="2902">
        <f ca="1">INDEX(INDIRECT("'"&amp;BC$4&amp;"'!Year.NetBalance"), MATCH('Intermediate output'!$C63, INDIRECT("'"&amp;BC$4&amp;"'!Year.Vectors"), 0))</f>
        <v>0</v>
      </c>
      <c r="BD63" s="2902">
        <f ca="1">INDEX(INDIRECT("'"&amp;BD$4&amp;"'!Year.NetBalance"), MATCH('Intermediate output'!$C63, INDIRECT("'"&amp;BD$4&amp;"'!Year.Vectors"), 0))</f>
        <v>0</v>
      </c>
      <c r="BE63" s="2902">
        <f ca="1">INDEX(INDIRECT("'"&amp;BE$4&amp;"'!Year.NetBalance"), MATCH('Intermediate output'!$C63, INDIRECT("'"&amp;BE$4&amp;"'!Year.Vectors"), 0))</f>
        <v>0</v>
      </c>
      <c r="BF63" s="2902">
        <f ca="1">INDEX(INDIRECT("'"&amp;BF$4&amp;"'!Year.NetBalance"), MATCH('Intermediate output'!$C63, INDIRECT("'"&amp;BF$4&amp;"'!Year.Vectors"), 0))</f>
        <v>0</v>
      </c>
      <c r="BG63" s="2902">
        <f ca="1">INDEX(INDIRECT("'"&amp;BG$4&amp;"'!Year.NetBalance"), MATCH('Intermediate output'!$C63, INDIRECT("'"&amp;BG$4&amp;"'!Year.Vectors"), 0))</f>
        <v>0</v>
      </c>
      <c r="BH63" s="3073"/>
      <c r="BJ63" s="505"/>
      <c r="BK63" s="3074"/>
      <c r="BL63" s="3066"/>
      <c r="BM63" s="506"/>
      <c r="BN63" s="2902"/>
      <c r="BO63" s="2902"/>
      <c r="BP63" s="3067"/>
      <c r="BQ63" s="3067"/>
      <c r="BR63" s="3067"/>
      <c r="BS63" s="3067"/>
      <c r="BT63" s="3067"/>
      <c r="BU63" s="3067"/>
    </row>
    <row r="64" spans="2:73">
      <c r="B64" s="505"/>
      <c r="C64" s="3074" t="s">
        <v>419</v>
      </c>
      <c r="D64" s="3066" t="str">
        <f>INDEX(Vectors[Description], MATCH($C64, Vectors[Code], 0))</f>
        <v>Blast furnace gas</v>
      </c>
      <c r="E64" s="506"/>
      <c r="F64" s="2902"/>
      <c r="G64" s="2902"/>
      <c r="H64" s="3067"/>
      <c r="I64" s="3067"/>
      <c r="J64" s="3067"/>
      <c r="K64" s="3067"/>
      <c r="L64" s="3067"/>
      <c r="M64" s="3067"/>
      <c r="N64" s="3067"/>
      <c r="O64" s="3067"/>
      <c r="P64" s="3067"/>
      <c r="Q64" s="3067"/>
      <c r="R64" s="3067"/>
      <c r="S64" s="3067"/>
      <c r="T64" s="3067"/>
      <c r="U64" s="3067"/>
      <c r="V64" s="3067"/>
      <c r="W64" s="3067"/>
      <c r="X64" s="3067"/>
      <c r="Y64" s="3067"/>
      <c r="Z64" s="3067"/>
      <c r="AA64" s="3067"/>
      <c r="AB64" s="3067"/>
      <c r="AC64" s="3067"/>
      <c r="AD64" s="3067"/>
      <c r="AE64" s="3067"/>
      <c r="AF64" s="3067"/>
      <c r="AG64" s="3067"/>
      <c r="AH64" s="3067"/>
      <c r="AI64" s="3067"/>
      <c r="AJ64" s="3067"/>
      <c r="AK64" s="3067"/>
      <c r="AL64" s="3067"/>
      <c r="AM64" s="3067"/>
      <c r="AN64" s="3067"/>
      <c r="AO64" s="3067"/>
      <c r="AP64" s="3067"/>
      <c r="AQ64" s="3067"/>
      <c r="AR64" s="3067"/>
      <c r="AS64" s="3067"/>
      <c r="AT64" s="3067"/>
      <c r="AU64" s="3067"/>
      <c r="AV64" s="3067"/>
      <c r="AW64" s="3067"/>
      <c r="AX64" s="506"/>
      <c r="AY64" s="2902">
        <f ca="1">INDEX(INDIRECT("'"&amp;AY$4&amp;"'!Year.NetBalance"), MATCH('Intermediate output'!$C64, INDIRECT("'"&amp;AY$4&amp;"'!Year.Vectors"), 0))</f>
        <v>0</v>
      </c>
      <c r="AZ64" s="2902">
        <f ca="1">INDEX(INDIRECT("'"&amp;AZ$4&amp;"'!Year.NetBalance"), MATCH('Intermediate output'!$C64, INDIRECT("'"&amp;AZ$4&amp;"'!Year.Vectors"), 0))</f>
        <v>0</v>
      </c>
      <c r="BA64" s="2902">
        <f ca="1">INDEX(INDIRECT("'"&amp;BA$4&amp;"'!Year.NetBalance"), MATCH('Intermediate output'!$C64, INDIRECT("'"&amp;BA$4&amp;"'!Year.Vectors"), 0))</f>
        <v>0</v>
      </c>
      <c r="BB64" s="2902">
        <f ca="1">INDEX(INDIRECT("'"&amp;BB$4&amp;"'!Year.NetBalance"), MATCH('Intermediate output'!$C64, INDIRECT("'"&amp;BB$4&amp;"'!Year.Vectors"), 0))</f>
        <v>0</v>
      </c>
      <c r="BC64" s="2902">
        <f ca="1">INDEX(INDIRECT("'"&amp;BC$4&amp;"'!Year.NetBalance"), MATCH('Intermediate output'!$C64, INDIRECT("'"&amp;BC$4&amp;"'!Year.Vectors"), 0))</f>
        <v>0</v>
      </c>
      <c r="BD64" s="2902">
        <f ca="1">INDEX(INDIRECT("'"&amp;BD$4&amp;"'!Year.NetBalance"), MATCH('Intermediate output'!$C64, INDIRECT("'"&amp;BD$4&amp;"'!Year.Vectors"), 0))</f>
        <v>0</v>
      </c>
      <c r="BE64" s="2902">
        <f ca="1">INDEX(INDIRECT("'"&amp;BE$4&amp;"'!Year.NetBalance"), MATCH('Intermediate output'!$C64, INDIRECT("'"&amp;BE$4&amp;"'!Year.Vectors"), 0))</f>
        <v>0</v>
      </c>
      <c r="BF64" s="2902">
        <f ca="1">INDEX(INDIRECT("'"&amp;BF$4&amp;"'!Year.NetBalance"), MATCH('Intermediate output'!$C64, INDIRECT("'"&amp;BF$4&amp;"'!Year.Vectors"), 0))</f>
        <v>0</v>
      </c>
      <c r="BG64" s="2902">
        <f ca="1">INDEX(INDIRECT("'"&amp;BG$4&amp;"'!Year.NetBalance"), MATCH('Intermediate output'!$C64, INDIRECT("'"&amp;BG$4&amp;"'!Year.Vectors"), 0))</f>
        <v>0</v>
      </c>
      <c r="BH64" s="3073"/>
      <c r="BJ64" s="505"/>
      <c r="BK64" s="3074"/>
      <c r="BL64" s="3066"/>
      <c r="BM64" s="506"/>
      <c r="BN64" s="2902"/>
      <c r="BO64" s="2902"/>
      <c r="BP64" s="3067"/>
      <c r="BQ64" s="3067"/>
      <c r="BR64" s="3067"/>
      <c r="BS64" s="3067"/>
      <c r="BT64" s="3067"/>
      <c r="BU64" s="3067"/>
    </row>
    <row r="65" spans="1:73">
      <c r="B65" s="505"/>
      <c r="C65" s="3074" t="s">
        <v>420</v>
      </c>
      <c r="D65" s="3066" t="str">
        <f>INDEX(Vectors[Description], MATCH($C65, Vectors[Code], 0))</f>
        <v>Edible biomass</v>
      </c>
      <c r="E65" s="506"/>
      <c r="F65" s="2902"/>
      <c r="G65" s="2902"/>
      <c r="H65" s="3067"/>
      <c r="I65" s="3067"/>
      <c r="J65" s="3067"/>
      <c r="K65" s="3067"/>
      <c r="L65" s="3067"/>
      <c r="M65" s="3067"/>
      <c r="N65" s="3067"/>
      <c r="O65" s="3067"/>
      <c r="P65" s="3067"/>
      <c r="Q65" s="3067"/>
      <c r="R65" s="3067"/>
      <c r="S65" s="3067"/>
      <c r="T65" s="3067"/>
      <c r="U65" s="3067"/>
      <c r="V65" s="3067"/>
      <c r="W65" s="3067"/>
      <c r="X65" s="3067"/>
      <c r="Y65" s="3067"/>
      <c r="Z65" s="3067"/>
      <c r="AA65" s="3067"/>
      <c r="AB65" s="3067"/>
      <c r="AC65" s="3067"/>
      <c r="AD65" s="3067"/>
      <c r="AE65" s="3067"/>
      <c r="AF65" s="3067"/>
      <c r="AG65" s="3067"/>
      <c r="AH65" s="3067"/>
      <c r="AI65" s="3067"/>
      <c r="AJ65" s="3067"/>
      <c r="AK65" s="3067"/>
      <c r="AL65" s="3067"/>
      <c r="AM65" s="3067"/>
      <c r="AN65" s="3067"/>
      <c r="AO65" s="3067"/>
      <c r="AP65" s="3067"/>
      <c r="AQ65" s="3067"/>
      <c r="AR65" s="3067"/>
      <c r="AS65" s="3067"/>
      <c r="AT65" s="3067"/>
      <c r="AU65" s="3067"/>
      <c r="AV65" s="3067"/>
      <c r="AW65" s="3067"/>
      <c r="AX65" s="506"/>
      <c r="AY65" s="2902">
        <f ca="1">INDEX(INDIRECT("'"&amp;AY$4&amp;"'!Year.NetBalance"), MATCH('Intermediate output'!$C65, INDIRECT("'"&amp;AY$4&amp;"'!Year.Vectors"), 0))</f>
        <v>0</v>
      </c>
      <c r="AZ65" s="2902">
        <f ca="1">INDEX(INDIRECT("'"&amp;AZ$4&amp;"'!Year.NetBalance"), MATCH('Intermediate output'!$C65, INDIRECT("'"&amp;AZ$4&amp;"'!Year.Vectors"), 0))</f>
        <v>0</v>
      </c>
      <c r="BA65" s="2902">
        <f ca="1">INDEX(INDIRECT("'"&amp;BA$4&amp;"'!Year.NetBalance"), MATCH('Intermediate output'!$C65, INDIRECT("'"&amp;BA$4&amp;"'!Year.Vectors"), 0))</f>
        <v>0</v>
      </c>
      <c r="BB65" s="2902">
        <f ca="1">INDEX(INDIRECT("'"&amp;BB$4&amp;"'!Year.NetBalance"), MATCH('Intermediate output'!$C65, INDIRECT("'"&amp;BB$4&amp;"'!Year.Vectors"), 0))</f>
        <v>0</v>
      </c>
      <c r="BC65" s="2902">
        <f ca="1">INDEX(INDIRECT("'"&amp;BC$4&amp;"'!Year.NetBalance"), MATCH('Intermediate output'!$C65, INDIRECT("'"&amp;BC$4&amp;"'!Year.Vectors"), 0))</f>
        <v>0</v>
      </c>
      <c r="BD65" s="2902">
        <f ca="1">INDEX(INDIRECT("'"&amp;BD$4&amp;"'!Year.NetBalance"), MATCH('Intermediate output'!$C65, INDIRECT("'"&amp;BD$4&amp;"'!Year.Vectors"), 0))</f>
        <v>0</v>
      </c>
      <c r="BE65" s="2902">
        <f ca="1">INDEX(INDIRECT("'"&amp;BE$4&amp;"'!Year.NetBalance"), MATCH('Intermediate output'!$C65, INDIRECT("'"&amp;BE$4&amp;"'!Year.Vectors"), 0))</f>
        <v>0</v>
      </c>
      <c r="BF65" s="2902">
        <f ca="1">INDEX(INDIRECT("'"&amp;BF$4&amp;"'!Year.NetBalance"), MATCH('Intermediate output'!$C65, INDIRECT("'"&amp;BF$4&amp;"'!Year.Vectors"), 0))</f>
        <v>0</v>
      </c>
      <c r="BG65" s="2902">
        <f ca="1">INDEX(INDIRECT("'"&amp;BG$4&amp;"'!Year.NetBalance"), MATCH('Intermediate output'!$C65, INDIRECT("'"&amp;BG$4&amp;"'!Year.Vectors"), 0))</f>
        <v>0</v>
      </c>
      <c r="BH65" s="3073"/>
      <c r="BJ65" s="505"/>
      <c r="BK65" s="3074"/>
      <c r="BL65" s="3066"/>
      <c r="BM65" s="506"/>
      <c r="BN65" s="2902"/>
      <c r="BO65" s="2902"/>
      <c r="BP65" s="3067"/>
      <c r="BQ65" s="3067"/>
      <c r="BR65" s="3067"/>
      <c r="BS65" s="3067"/>
      <c r="BT65" s="3067"/>
      <c r="BU65" s="3067"/>
    </row>
    <row r="66" spans="1:73">
      <c r="B66" s="505"/>
      <c r="C66" s="3074" t="s">
        <v>100</v>
      </c>
      <c r="D66" s="3066" t="str">
        <f>INDEX(Vectors[Description], MATCH($C66, Vectors[Code], 0))</f>
        <v>Heat transport</v>
      </c>
      <c r="E66" s="506"/>
      <c r="F66" s="2902"/>
      <c r="G66" s="2902"/>
      <c r="H66" s="3067"/>
      <c r="I66" s="3067"/>
      <c r="J66" s="3067"/>
      <c r="K66" s="3067"/>
      <c r="L66" s="3067"/>
      <c r="M66" s="3067"/>
      <c r="N66" s="3067"/>
      <c r="O66" s="3067"/>
      <c r="P66" s="3067"/>
      <c r="Q66" s="3067"/>
      <c r="R66" s="3067"/>
      <c r="S66" s="3067"/>
      <c r="T66" s="3067"/>
      <c r="U66" s="3067"/>
      <c r="V66" s="3067"/>
      <c r="W66" s="3067"/>
      <c r="X66" s="3067"/>
      <c r="Y66" s="3067"/>
      <c r="Z66" s="3067"/>
      <c r="AA66" s="3067"/>
      <c r="AB66" s="3067"/>
      <c r="AC66" s="3067"/>
      <c r="AD66" s="3067"/>
      <c r="AE66" s="3067"/>
      <c r="AF66" s="3067"/>
      <c r="AG66" s="3067"/>
      <c r="AH66" s="3067"/>
      <c r="AI66" s="3067"/>
      <c r="AJ66" s="3067"/>
      <c r="AK66" s="3067"/>
      <c r="AL66" s="3067"/>
      <c r="AM66" s="3067"/>
      <c r="AN66" s="3067"/>
      <c r="AO66" s="3067"/>
      <c r="AP66" s="3067"/>
      <c r="AQ66" s="3067"/>
      <c r="AR66" s="3067"/>
      <c r="AS66" s="3067"/>
      <c r="AT66" s="3067"/>
      <c r="AU66" s="3067"/>
      <c r="AV66" s="3067"/>
      <c r="AW66" s="3067"/>
      <c r="AX66" s="506"/>
      <c r="AY66" s="2902">
        <f ca="1">INDEX(INDIRECT("'"&amp;AY$4&amp;"'!Year.NetBalance"), MATCH('Intermediate output'!$C66, INDIRECT("'"&amp;AY$4&amp;"'!Year.Vectors"), 0))</f>
        <v>0</v>
      </c>
      <c r="AZ66" s="2902">
        <f ca="1">INDEX(INDIRECT("'"&amp;AZ$4&amp;"'!Year.NetBalance"), MATCH('Intermediate output'!$C66, INDIRECT("'"&amp;AZ$4&amp;"'!Year.Vectors"), 0))</f>
        <v>0</v>
      </c>
      <c r="BA66" s="2902">
        <f ca="1">INDEX(INDIRECT("'"&amp;BA$4&amp;"'!Year.NetBalance"), MATCH('Intermediate output'!$C66, INDIRECT("'"&amp;BA$4&amp;"'!Year.Vectors"), 0))</f>
        <v>0</v>
      </c>
      <c r="BB66" s="2902">
        <f ca="1">INDEX(INDIRECT("'"&amp;BB$4&amp;"'!Year.NetBalance"), MATCH('Intermediate output'!$C66, INDIRECT("'"&amp;BB$4&amp;"'!Year.Vectors"), 0))</f>
        <v>0</v>
      </c>
      <c r="BC66" s="2902">
        <f ca="1">INDEX(INDIRECT("'"&amp;BC$4&amp;"'!Year.NetBalance"), MATCH('Intermediate output'!$C66, INDIRECT("'"&amp;BC$4&amp;"'!Year.Vectors"), 0))</f>
        <v>0</v>
      </c>
      <c r="BD66" s="2902">
        <f ca="1">INDEX(INDIRECT("'"&amp;BD$4&amp;"'!Year.NetBalance"), MATCH('Intermediate output'!$C66, INDIRECT("'"&amp;BD$4&amp;"'!Year.Vectors"), 0))</f>
        <v>0</v>
      </c>
      <c r="BE66" s="2902">
        <f ca="1">INDEX(INDIRECT("'"&amp;BE$4&amp;"'!Year.NetBalance"), MATCH('Intermediate output'!$C66, INDIRECT("'"&amp;BE$4&amp;"'!Year.Vectors"), 0))</f>
        <v>0</v>
      </c>
      <c r="BF66" s="2902">
        <f ca="1">INDEX(INDIRECT("'"&amp;BF$4&amp;"'!Year.NetBalance"), MATCH('Intermediate output'!$C66, INDIRECT("'"&amp;BF$4&amp;"'!Year.Vectors"), 0))</f>
        <v>0</v>
      </c>
      <c r="BG66" s="2902">
        <f ca="1">INDEX(INDIRECT("'"&amp;BG$4&amp;"'!Year.NetBalance"), MATCH('Intermediate output'!$C66, INDIRECT("'"&amp;BG$4&amp;"'!Year.Vectors"), 0))</f>
        <v>0</v>
      </c>
      <c r="BH66" s="3073"/>
      <c r="BJ66" s="505"/>
      <c r="BK66" s="3074"/>
      <c r="BL66" s="3066"/>
      <c r="BM66" s="506"/>
      <c r="BN66" s="2902"/>
      <c r="BO66" s="2902"/>
      <c r="BP66" s="3067"/>
      <c r="BQ66" s="3067"/>
      <c r="BR66" s="3067"/>
      <c r="BS66" s="3067"/>
      <c r="BT66" s="3067"/>
      <c r="BU66" s="3067"/>
    </row>
    <row r="67" spans="1:73">
      <c r="B67" s="505"/>
      <c r="C67" s="3074" t="s">
        <v>423</v>
      </c>
      <c r="D67" s="3066" t="str">
        <f>INDEX(Vectors[Description], MATCH($C67, Vectors[Code], 0))</f>
        <v>Dry biomass and waste</v>
      </c>
      <c r="E67" s="506"/>
      <c r="F67" s="2902"/>
      <c r="G67" s="2902"/>
      <c r="H67" s="3067"/>
      <c r="I67" s="3067"/>
      <c r="J67" s="3067"/>
      <c r="K67" s="3067"/>
      <c r="L67" s="3067"/>
      <c r="M67" s="3067"/>
      <c r="N67" s="3067"/>
      <c r="O67" s="3067"/>
      <c r="P67" s="3067"/>
      <c r="Q67" s="3067"/>
      <c r="R67" s="3067"/>
      <c r="S67" s="3067"/>
      <c r="T67" s="3067"/>
      <c r="U67" s="3067"/>
      <c r="V67" s="3067"/>
      <c r="W67" s="3067"/>
      <c r="X67" s="3067"/>
      <c r="Y67" s="3067"/>
      <c r="Z67" s="3067"/>
      <c r="AA67" s="3067"/>
      <c r="AB67" s="3067"/>
      <c r="AC67" s="3067"/>
      <c r="AD67" s="3067"/>
      <c r="AE67" s="3067"/>
      <c r="AF67" s="3067"/>
      <c r="AG67" s="3067"/>
      <c r="AH67" s="3067"/>
      <c r="AI67" s="3067"/>
      <c r="AJ67" s="3067"/>
      <c r="AK67" s="3067"/>
      <c r="AL67" s="3067"/>
      <c r="AM67" s="3067"/>
      <c r="AN67" s="3067"/>
      <c r="AO67" s="3067"/>
      <c r="AP67" s="3067"/>
      <c r="AQ67" s="3067"/>
      <c r="AR67" s="3067"/>
      <c r="AS67" s="3067"/>
      <c r="AT67" s="3067"/>
      <c r="AU67" s="3067"/>
      <c r="AV67" s="3067"/>
      <c r="AW67" s="3067"/>
      <c r="AX67" s="506"/>
      <c r="AY67" s="2902">
        <f ca="1">INDEX(INDIRECT("'"&amp;AY$4&amp;"'!Year.NetBalance"), MATCH('Intermediate output'!$C67, INDIRECT("'"&amp;AY$4&amp;"'!Year.Vectors"), 0))</f>
        <v>0</v>
      </c>
      <c r="AZ67" s="2902">
        <f ca="1">INDEX(INDIRECT("'"&amp;AZ$4&amp;"'!Year.NetBalance"), MATCH('Intermediate output'!$C67, INDIRECT("'"&amp;AZ$4&amp;"'!Year.Vectors"), 0))</f>
        <v>0</v>
      </c>
      <c r="BA67" s="2902">
        <f ca="1">INDEX(INDIRECT("'"&amp;BA$4&amp;"'!Year.NetBalance"), MATCH('Intermediate output'!$C67, INDIRECT("'"&amp;BA$4&amp;"'!Year.Vectors"), 0))</f>
        <v>0</v>
      </c>
      <c r="BB67" s="2902">
        <f ca="1">INDEX(INDIRECT("'"&amp;BB$4&amp;"'!Year.NetBalance"), MATCH('Intermediate output'!$C67, INDIRECT("'"&amp;BB$4&amp;"'!Year.Vectors"), 0))</f>
        <v>0</v>
      </c>
      <c r="BC67" s="2902">
        <f ca="1">INDEX(INDIRECT("'"&amp;BC$4&amp;"'!Year.NetBalance"), MATCH('Intermediate output'!$C67, INDIRECT("'"&amp;BC$4&amp;"'!Year.Vectors"), 0))</f>
        <v>0</v>
      </c>
      <c r="BD67" s="2902">
        <f ca="1">INDEX(INDIRECT("'"&amp;BD$4&amp;"'!Year.NetBalance"), MATCH('Intermediate output'!$C67, INDIRECT("'"&amp;BD$4&amp;"'!Year.Vectors"), 0))</f>
        <v>0</v>
      </c>
      <c r="BE67" s="2902">
        <f ca="1">INDEX(INDIRECT("'"&amp;BE$4&amp;"'!Year.NetBalance"), MATCH('Intermediate output'!$C67, INDIRECT("'"&amp;BE$4&amp;"'!Year.Vectors"), 0))</f>
        <v>0</v>
      </c>
      <c r="BF67" s="2902">
        <f ca="1">INDEX(INDIRECT("'"&amp;BF$4&amp;"'!Year.NetBalance"), MATCH('Intermediate output'!$C67, INDIRECT("'"&amp;BF$4&amp;"'!Year.Vectors"), 0))</f>
        <v>0</v>
      </c>
      <c r="BG67" s="2902">
        <f ca="1">INDEX(INDIRECT("'"&amp;BG$4&amp;"'!Year.NetBalance"), MATCH('Intermediate output'!$C67, INDIRECT("'"&amp;BG$4&amp;"'!Year.Vectors"), 0))</f>
        <v>0</v>
      </c>
      <c r="BH67" s="3073"/>
      <c r="BJ67" s="505"/>
      <c r="BK67" s="3074"/>
      <c r="BL67" s="3066"/>
      <c r="BM67" s="506"/>
      <c r="BN67" s="2902"/>
      <c r="BO67" s="2902"/>
      <c r="BP67" s="3067"/>
      <c r="BQ67" s="3067"/>
      <c r="BR67" s="3067"/>
      <c r="BS67" s="3067"/>
      <c r="BT67" s="3067"/>
      <c r="BU67" s="3067"/>
    </row>
    <row r="68" spans="1:73">
      <c r="B68" s="505"/>
      <c r="C68" s="3074" t="s">
        <v>424</v>
      </c>
      <c r="D68" s="3066" t="str">
        <f>INDEX(Vectors[Description], MATCH($C68, Vectors[Code], 0))</f>
        <v>Wet biomass and waste</v>
      </c>
      <c r="E68" s="506"/>
      <c r="F68" s="2902"/>
      <c r="G68" s="2902"/>
      <c r="H68" s="3067"/>
      <c r="I68" s="3067"/>
      <c r="J68" s="3067"/>
      <c r="K68" s="3067"/>
      <c r="L68" s="3067"/>
      <c r="M68" s="3067"/>
      <c r="N68" s="3067"/>
      <c r="O68" s="3067"/>
      <c r="P68" s="3067"/>
      <c r="Q68" s="3067"/>
      <c r="R68" s="3067"/>
      <c r="S68" s="3067"/>
      <c r="T68" s="3067"/>
      <c r="U68" s="3067"/>
      <c r="V68" s="3067"/>
      <c r="W68" s="3067"/>
      <c r="X68" s="3067"/>
      <c r="Y68" s="3067"/>
      <c r="Z68" s="3067"/>
      <c r="AA68" s="3067"/>
      <c r="AB68" s="3067"/>
      <c r="AC68" s="3067"/>
      <c r="AD68" s="3067"/>
      <c r="AE68" s="3067"/>
      <c r="AF68" s="3067"/>
      <c r="AG68" s="3067"/>
      <c r="AH68" s="3067"/>
      <c r="AI68" s="3067"/>
      <c r="AJ68" s="3067"/>
      <c r="AK68" s="3067"/>
      <c r="AL68" s="3067"/>
      <c r="AM68" s="3067"/>
      <c r="AN68" s="3067"/>
      <c r="AO68" s="3067"/>
      <c r="AP68" s="3067"/>
      <c r="AQ68" s="3067"/>
      <c r="AR68" s="3067"/>
      <c r="AS68" s="3067"/>
      <c r="AT68" s="3067"/>
      <c r="AU68" s="3067"/>
      <c r="AV68" s="3067"/>
      <c r="AW68" s="3067"/>
      <c r="AX68" s="506"/>
      <c r="AY68" s="2902">
        <f ca="1">INDEX(INDIRECT("'"&amp;AY$4&amp;"'!Year.NetBalance"), MATCH('Intermediate output'!$C68, INDIRECT("'"&amp;AY$4&amp;"'!Year.Vectors"), 0))</f>
        <v>0</v>
      </c>
      <c r="AZ68" s="2902">
        <f ca="1">INDEX(INDIRECT("'"&amp;AZ$4&amp;"'!Year.NetBalance"), MATCH('Intermediate output'!$C68, INDIRECT("'"&amp;AZ$4&amp;"'!Year.Vectors"), 0))</f>
        <v>0</v>
      </c>
      <c r="BA68" s="2902">
        <f ca="1">INDEX(INDIRECT("'"&amp;BA$4&amp;"'!Year.NetBalance"), MATCH('Intermediate output'!$C68, INDIRECT("'"&amp;BA$4&amp;"'!Year.Vectors"), 0))</f>
        <v>0</v>
      </c>
      <c r="BB68" s="2902">
        <f ca="1">INDEX(INDIRECT("'"&amp;BB$4&amp;"'!Year.NetBalance"), MATCH('Intermediate output'!$C68, INDIRECT("'"&amp;BB$4&amp;"'!Year.Vectors"), 0))</f>
        <v>0</v>
      </c>
      <c r="BC68" s="2902">
        <f ca="1">INDEX(INDIRECT("'"&amp;BC$4&amp;"'!Year.NetBalance"), MATCH('Intermediate output'!$C68, INDIRECT("'"&amp;BC$4&amp;"'!Year.Vectors"), 0))</f>
        <v>0</v>
      </c>
      <c r="BD68" s="2902">
        <f ca="1">INDEX(INDIRECT("'"&amp;BD$4&amp;"'!Year.NetBalance"), MATCH('Intermediate output'!$C68, INDIRECT("'"&amp;BD$4&amp;"'!Year.Vectors"), 0))</f>
        <v>0</v>
      </c>
      <c r="BE68" s="2902">
        <f ca="1">INDEX(INDIRECT("'"&amp;BE$4&amp;"'!Year.NetBalance"), MATCH('Intermediate output'!$C68, INDIRECT("'"&amp;BE$4&amp;"'!Year.Vectors"), 0))</f>
        <v>0</v>
      </c>
      <c r="BF68" s="2902">
        <f ca="1">INDEX(INDIRECT("'"&amp;BF$4&amp;"'!Year.NetBalance"), MATCH('Intermediate output'!$C68, INDIRECT("'"&amp;BF$4&amp;"'!Year.Vectors"), 0))</f>
        <v>0</v>
      </c>
      <c r="BG68" s="2902">
        <f ca="1">INDEX(INDIRECT("'"&amp;BG$4&amp;"'!Year.NetBalance"), MATCH('Intermediate output'!$C68, INDIRECT("'"&amp;BG$4&amp;"'!Year.Vectors"), 0))</f>
        <v>0</v>
      </c>
      <c r="BH68" s="3073"/>
      <c r="BJ68" s="505"/>
      <c r="BK68" s="3074"/>
      <c r="BL68" s="3066"/>
      <c r="BM68" s="506"/>
      <c r="BN68" s="2902"/>
      <c r="BO68" s="2902"/>
      <c r="BP68" s="3067"/>
      <c r="BQ68" s="3067"/>
      <c r="BR68" s="3067"/>
      <c r="BS68" s="3067"/>
      <c r="BT68" s="3067"/>
      <c r="BU68" s="3067"/>
    </row>
    <row r="69" spans="1:73">
      <c r="B69" s="505"/>
      <c r="C69" s="3074" t="s">
        <v>31</v>
      </c>
      <c r="D69" s="3066" t="str">
        <f>INDEX(Vectors[Description], MATCH($C69, Vectors[Code], 0))</f>
        <v>Domestic solar thermal</v>
      </c>
      <c r="E69" s="506"/>
      <c r="F69" s="2902"/>
      <c r="G69" s="2902"/>
      <c r="H69" s="3067"/>
      <c r="I69" s="3067"/>
      <c r="J69" s="3067"/>
      <c r="K69" s="3067"/>
      <c r="L69" s="3067"/>
      <c r="M69" s="3067"/>
      <c r="N69" s="3067"/>
      <c r="O69" s="3067"/>
      <c r="P69" s="3067"/>
      <c r="Q69" s="3067"/>
      <c r="R69" s="3067"/>
      <c r="S69" s="3067"/>
      <c r="T69" s="3067"/>
      <c r="U69" s="3067"/>
      <c r="V69" s="3067"/>
      <c r="W69" s="3067"/>
      <c r="X69" s="3067"/>
      <c r="Y69" s="3067"/>
      <c r="Z69" s="3067"/>
      <c r="AA69" s="3067"/>
      <c r="AB69" s="3067"/>
      <c r="AC69" s="3067"/>
      <c r="AD69" s="3067"/>
      <c r="AE69" s="3067"/>
      <c r="AF69" s="3067"/>
      <c r="AG69" s="3067"/>
      <c r="AH69" s="3067"/>
      <c r="AI69" s="3067"/>
      <c r="AJ69" s="3067"/>
      <c r="AK69" s="3067"/>
      <c r="AL69" s="3067"/>
      <c r="AM69" s="3067"/>
      <c r="AN69" s="3067"/>
      <c r="AO69" s="3067"/>
      <c r="AP69" s="3067"/>
      <c r="AQ69" s="3067"/>
      <c r="AR69" s="3067"/>
      <c r="AS69" s="3067"/>
      <c r="AT69" s="3067"/>
      <c r="AU69" s="3067"/>
      <c r="AV69" s="3067"/>
      <c r="AW69" s="3067"/>
      <c r="AX69" s="506"/>
      <c r="AY69" s="2902">
        <f ca="1">INDEX(INDIRECT("'"&amp;AY$4&amp;"'!Year.NetBalance"), MATCH('Intermediate output'!$C69, INDIRECT("'"&amp;AY$4&amp;"'!Year.Vectors"), 0))</f>
        <v>0</v>
      </c>
      <c r="AZ69" s="2902">
        <f ca="1">INDEX(INDIRECT("'"&amp;AZ$4&amp;"'!Year.NetBalance"), MATCH('Intermediate output'!$C69, INDIRECT("'"&amp;AZ$4&amp;"'!Year.Vectors"), 0))</f>
        <v>0</v>
      </c>
      <c r="BA69" s="2902">
        <f ca="1">INDEX(INDIRECT("'"&amp;BA$4&amp;"'!Year.NetBalance"), MATCH('Intermediate output'!$C69, INDIRECT("'"&amp;BA$4&amp;"'!Year.Vectors"), 0))</f>
        <v>0</v>
      </c>
      <c r="BB69" s="2902">
        <f ca="1">INDEX(INDIRECT("'"&amp;BB$4&amp;"'!Year.NetBalance"), MATCH('Intermediate output'!$C69, INDIRECT("'"&amp;BB$4&amp;"'!Year.Vectors"), 0))</f>
        <v>0</v>
      </c>
      <c r="BC69" s="2902">
        <f ca="1">INDEX(INDIRECT("'"&amp;BC$4&amp;"'!Year.NetBalance"), MATCH('Intermediate output'!$C69, INDIRECT("'"&amp;BC$4&amp;"'!Year.Vectors"), 0))</f>
        <v>0</v>
      </c>
      <c r="BD69" s="2902">
        <f ca="1">INDEX(INDIRECT("'"&amp;BD$4&amp;"'!Year.NetBalance"), MATCH('Intermediate output'!$C69, INDIRECT("'"&amp;BD$4&amp;"'!Year.Vectors"), 0))</f>
        <v>0</v>
      </c>
      <c r="BE69" s="2902">
        <f ca="1">INDEX(INDIRECT("'"&amp;BE$4&amp;"'!Year.NetBalance"), MATCH('Intermediate output'!$C69, INDIRECT("'"&amp;BE$4&amp;"'!Year.Vectors"), 0))</f>
        <v>0</v>
      </c>
      <c r="BF69" s="2902">
        <f ca="1">INDEX(INDIRECT("'"&amp;BF$4&amp;"'!Year.NetBalance"), MATCH('Intermediate output'!$C69, INDIRECT("'"&amp;BF$4&amp;"'!Year.Vectors"), 0))</f>
        <v>0</v>
      </c>
      <c r="BG69" s="2902">
        <f ca="1">INDEX(INDIRECT("'"&amp;BG$4&amp;"'!Year.NetBalance"), MATCH('Intermediate output'!$C69, INDIRECT("'"&amp;BG$4&amp;"'!Year.Vectors"), 0))</f>
        <v>0</v>
      </c>
      <c r="BH69" s="3073"/>
      <c r="BJ69" s="505"/>
      <c r="BK69" s="3074"/>
      <c r="BL69" s="3066"/>
      <c r="BM69" s="506"/>
      <c r="BN69" s="2902"/>
      <c r="BO69" s="2902"/>
      <c r="BP69" s="3067"/>
      <c r="BQ69" s="3067"/>
      <c r="BR69" s="3067"/>
      <c r="BS69" s="3067"/>
      <c r="BT69" s="3067"/>
      <c r="BU69" s="3067"/>
    </row>
    <row r="70" spans="1:73">
      <c r="B70" s="505"/>
      <c r="C70" s="3074" t="s">
        <v>426</v>
      </c>
      <c r="D70" s="3066" t="str">
        <f>INDEX(Vectors[Description], MATCH($C70, Vectors[Code], 0))</f>
        <v>H2</v>
      </c>
      <c r="E70" s="506"/>
      <c r="F70" s="2902"/>
      <c r="G70" s="2902"/>
      <c r="H70" s="3067"/>
      <c r="I70" s="3067"/>
      <c r="J70" s="3067"/>
      <c r="K70" s="3067"/>
      <c r="L70" s="3067"/>
      <c r="M70" s="3067"/>
      <c r="N70" s="3067"/>
      <c r="O70" s="3067"/>
      <c r="P70" s="3067"/>
      <c r="Q70" s="3067"/>
      <c r="R70" s="3067"/>
      <c r="S70" s="3067"/>
      <c r="T70" s="3067"/>
      <c r="U70" s="3067"/>
      <c r="V70" s="3067"/>
      <c r="W70" s="3067"/>
      <c r="X70" s="3067"/>
      <c r="Y70" s="3067"/>
      <c r="Z70" s="3067"/>
      <c r="AA70" s="3067"/>
      <c r="AB70" s="3067"/>
      <c r="AC70" s="3067"/>
      <c r="AD70" s="3067"/>
      <c r="AE70" s="3067"/>
      <c r="AF70" s="3067"/>
      <c r="AG70" s="3067"/>
      <c r="AH70" s="3067"/>
      <c r="AI70" s="3067"/>
      <c r="AJ70" s="3067"/>
      <c r="AK70" s="3067"/>
      <c r="AL70" s="3067"/>
      <c r="AM70" s="3067"/>
      <c r="AN70" s="3067"/>
      <c r="AO70" s="3067"/>
      <c r="AP70" s="3067"/>
      <c r="AQ70" s="3067"/>
      <c r="AR70" s="3067"/>
      <c r="AS70" s="3067"/>
      <c r="AT70" s="3067"/>
      <c r="AU70" s="3067"/>
      <c r="AV70" s="3067"/>
      <c r="AW70" s="3067"/>
      <c r="AX70" s="506"/>
      <c r="AY70" s="2902">
        <f ca="1">INDEX(INDIRECT("'"&amp;AY$4&amp;"'!Year.NetBalance"), MATCH('Intermediate output'!$C70, INDIRECT("'"&amp;AY$4&amp;"'!Year.Vectors"), 0))</f>
        <v>0</v>
      </c>
      <c r="AZ70" s="2902">
        <f ca="1">INDEX(INDIRECT("'"&amp;AZ$4&amp;"'!Year.NetBalance"), MATCH('Intermediate output'!$C70, INDIRECT("'"&amp;AZ$4&amp;"'!Year.Vectors"), 0))</f>
        <v>0</v>
      </c>
      <c r="BA70" s="2902">
        <f ca="1">INDEX(INDIRECT("'"&amp;BA$4&amp;"'!Year.NetBalance"), MATCH('Intermediate output'!$C70, INDIRECT("'"&amp;BA$4&amp;"'!Year.Vectors"), 0))</f>
        <v>0</v>
      </c>
      <c r="BB70" s="2902">
        <f ca="1">INDEX(INDIRECT("'"&amp;BB$4&amp;"'!Year.NetBalance"), MATCH('Intermediate output'!$C70, INDIRECT("'"&amp;BB$4&amp;"'!Year.Vectors"), 0))</f>
        <v>0</v>
      </c>
      <c r="BC70" s="2902">
        <f ca="1">INDEX(INDIRECT("'"&amp;BC$4&amp;"'!Year.NetBalance"), MATCH('Intermediate output'!$C70, INDIRECT("'"&amp;BC$4&amp;"'!Year.Vectors"), 0))</f>
        <v>0</v>
      </c>
      <c r="BD70" s="2902">
        <f ca="1">INDEX(INDIRECT("'"&amp;BD$4&amp;"'!Year.NetBalance"), MATCH('Intermediate output'!$C70, INDIRECT("'"&amp;BD$4&amp;"'!Year.Vectors"), 0))</f>
        <v>0</v>
      </c>
      <c r="BE70" s="2902">
        <f ca="1">INDEX(INDIRECT("'"&amp;BE$4&amp;"'!Year.NetBalance"), MATCH('Intermediate output'!$C70, INDIRECT("'"&amp;BE$4&amp;"'!Year.Vectors"), 0))</f>
        <v>0</v>
      </c>
      <c r="BF70" s="2902">
        <f ca="1">INDEX(INDIRECT("'"&amp;BF$4&amp;"'!Year.NetBalance"), MATCH('Intermediate output'!$C70, INDIRECT("'"&amp;BF$4&amp;"'!Year.Vectors"), 0))</f>
        <v>0</v>
      </c>
      <c r="BG70" s="2902">
        <f ca="1">INDEX(INDIRECT("'"&amp;BG$4&amp;"'!Year.NetBalance"), MATCH('Intermediate output'!$C70, INDIRECT("'"&amp;BG$4&amp;"'!Year.Vectors"), 0))</f>
        <v>0</v>
      </c>
      <c r="BH70" s="3073"/>
      <c r="BJ70" s="505"/>
      <c r="BK70" s="3074"/>
      <c r="BL70" s="3066"/>
      <c r="BM70" s="506"/>
      <c r="BN70" s="2902"/>
      <c r="BO70" s="2902"/>
      <c r="BP70" s="3067"/>
      <c r="BQ70" s="3067"/>
      <c r="BR70" s="3067"/>
      <c r="BS70" s="3067"/>
      <c r="BT70" s="3067"/>
      <c r="BU70" s="3067"/>
    </row>
    <row r="71" spans="1:73">
      <c r="B71" s="505"/>
      <c r="C71" s="3074" t="s">
        <v>421</v>
      </c>
      <c r="D71" s="3066" t="str">
        <f>INDEX(Vectors[Description], MATCH($C71, Vectors[Code], 0))</f>
        <v>Energy crops (second generation)</v>
      </c>
      <c r="E71" s="506"/>
      <c r="F71" s="2902"/>
      <c r="G71" s="2902"/>
      <c r="H71" s="3067"/>
      <c r="I71" s="3067"/>
      <c r="J71" s="3067"/>
      <c r="K71" s="3067"/>
      <c r="L71" s="3067"/>
      <c r="M71" s="3067"/>
      <c r="N71" s="3067"/>
      <c r="O71" s="3067"/>
      <c r="P71" s="3067"/>
      <c r="Q71" s="3067"/>
      <c r="R71" s="3067"/>
      <c r="S71" s="3067"/>
      <c r="T71" s="3067"/>
      <c r="U71" s="3067"/>
      <c r="V71" s="3067"/>
      <c r="W71" s="3067"/>
      <c r="X71" s="3067"/>
      <c r="Y71" s="3067"/>
      <c r="Z71" s="3067"/>
      <c r="AA71" s="3067"/>
      <c r="AB71" s="3067"/>
      <c r="AC71" s="3067"/>
      <c r="AD71" s="3067"/>
      <c r="AE71" s="3067"/>
      <c r="AF71" s="3067"/>
      <c r="AG71" s="3067"/>
      <c r="AH71" s="3067"/>
      <c r="AI71" s="3067"/>
      <c r="AJ71" s="3067"/>
      <c r="AK71" s="3067"/>
      <c r="AL71" s="3067"/>
      <c r="AM71" s="3067"/>
      <c r="AN71" s="3067"/>
      <c r="AO71" s="3067"/>
      <c r="AP71" s="3067"/>
      <c r="AQ71" s="3067"/>
      <c r="AR71" s="3067"/>
      <c r="AS71" s="3067"/>
      <c r="AT71" s="3067"/>
      <c r="AU71" s="3067"/>
      <c r="AV71" s="3067"/>
      <c r="AW71" s="3067"/>
      <c r="AX71" s="506"/>
      <c r="AY71" s="2902">
        <f ca="1">INDEX(INDIRECT("'"&amp;AY$4&amp;"'!Year.NetBalance"), MATCH('Intermediate output'!$C71, INDIRECT("'"&amp;AY$4&amp;"'!Year.Vectors"), 0))</f>
        <v>0</v>
      </c>
      <c r="AZ71" s="2902">
        <f ca="1">INDEX(INDIRECT("'"&amp;AZ$4&amp;"'!Year.NetBalance"), MATCH('Intermediate output'!$C71, INDIRECT("'"&amp;AZ$4&amp;"'!Year.Vectors"), 0))</f>
        <v>0</v>
      </c>
      <c r="BA71" s="2902">
        <f ca="1">INDEX(INDIRECT("'"&amp;BA$4&amp;"'!Year.NetBalance"), MATCH('Intermediate output'!$C71, INDIRECT("'"&amp;BA$4&amp;"'!Year.Vectors"), 0))</f>
        <v>0</v>
      </c>
      <c r="BB71" s="2902">
        <f ca="1">INDEX(INDIRECT("'"&amp;BB$4&amp;"'!Year.NetBalance"), MATCH('Intermediate output'!$C71, INDIRECT("'"&amp;BB$4&amp;"'!Year.Vectors"), 0))</f>
        <v>0</v>
      </c>
      <c r="BC71" s="2902">
        <f ca="1">INDEX(INDIRECT("'"&amp;BC$4&amp;"'!Year.NetBalance"), MATCH('Intermediate output'!$C71, INDIRECT("'"&amp;BC$4&amp;"'!Year.Vectors"), 0))</f>
        <v>0</v>
      </c>
      <c r="BD71" s="2902">
        <f ca="1">INDEX(INDIRECT("'"&amp;BD$4&amp;"'!Year.NetBalance"), MATCH('Intermediate output'!$C71, INDIRECT("'"&amp;BD$4&amp;"'!Year.Vectors"), 0))</f>
        <v>0</v>
      </c>
      <c r="BE71" s="2902">
        <f ca="1">INDEX(INDIRECT("'"&amp;BE$4&amp;"'!Year.NetBalance"), MATCH('Intermediate output'!$C71, INDIRECT("'"&amp;BE$4&amp;"'!Year.Vectors"), 0))</f>
        <v>0</v>
      </c>
      <c r="BF71" s="2902">
        <f ca="1">INDEX(INDIRECT("'"&amp;BF$4&amp;"'!Year.NetBalance"), MATCH('Intermediate output'!$C71, INDIRECT("'"&amp;BF$4&amp;"'!Year.Vectors"), 0))</f>
        <v>0</v>
      </c>
      <c r="BG71" s="2902">
        <f ca="1">INDEX(INDIRECT("'"&amp;BG$4&amp;"'!Year.NetBalance"), MATCH('Intermediate output'!$C71, INDIRECT("'"&amp;BG$4&amp;"'!Year.Vectors"), 0))</f>
        <v>0</v>
      </c>
      <c r="BH71" s="3073"/>
      <c r="BJ71" s="505"/>
      <c r="BK71" s="3074"/>
      <c r="BL71" s="3066"/>
      <c r="BM71" s="506"/>
      <c r="BN71" s="2902"/>
      <c r="BO71" s="2902"/>
      <c r="BP71" s="3067"/>
      <c r="BQ71" s="3067"/>
      <c r="BR71" s="3067"/>
      <c r="BS71" s="3067"/>
      <c r="BT71" s="3067"/>
      <c r="BU71" s="3067"/>
    </row>
    <row r="72" spans="1:73" s="6" customFormat="1" ht="18.5">
      <c r="B72" s="3095"/>
      <c r="C72" s="17"/>
      <c r="D72" s="3078" t="s">
        <v>2468</v>
      </c>
      <c r="E72" s="506"/>
      <c r="F72" s="3079"/>
      <c r="G72" s="3080"/>
      <c r="H72" s="3075"/>
      <c r="I72" s="3075"/>
      <c r="J72" s="3075"/>
      <c r="K72" s="3075"/>
      <c r="L72" s="3075"/>
      <c r="M72" s="3075"/>
      <c r="N72" s="3075"/>
      <c r="O72" s="3075"/>
      <c r="P72" s="3075"/>
      <c r="Q72" s="3075"/>
      <c r="R72" s="3075"/>
      <c r="S72" s="3075"/>
      <c r="T72" s="3075"/>
      <c r="U72" s="3075"/>
      <c r="V72" s="3075"/>
      <c r="W72" s="3075"/>
      <c r="X72" s="3075"/>
      <c r="Y72" s="3075"/>
      <c r="Z72" s="3075"/>
      <c r="AA72" s="3075"/>
      <c r="AB72" s="3075"/>
      <c r="AC72" s="3075"/>
      <c r="AD72" s="3075"/>
      <c r="AE72" s="3075"/>
      <c r="AF72" s="3075"/>
      <c r="AG72" s="3075"/>
      <c r="AH72" s="3075"/>
      <c r="AI72" s="3075"/>
      <c r="AJ72" s="3075"/>
      <c r="AK72" s="3075"/>
      <c r="AL72" s="3075"/>
      <c r="AM72" s="3075"/>
      <c r="AN72" s="3075"/>
      <c r="AO72" s="3075"/>
      <c r="AP72" s="3075"/>
      <c r="AQ72" s="3075"/>
      <c r="AR72" s="3075"/>
      <c r="AS72" s="3075"/>
      <c r="AT72" s="3075"/>
      <c r="AU72" s="3075"/>
      <c r="AV72" s="3075"/>
      <c r="AW72" s="3075"/>
      <c r="AX72" s="506"/>
      <c r="AY72" s="3079">
        <f t="shared" ref="AY72:BG72" ca="1" si="13">SUM(AY58:AY71)</f>
        <v>0</v>
      </c>
      <c r="AZ72" s="3079">
        <f t="shared" ca="1" si="13"/>
        <v>0</v>
      </c>
      <c r="BA72" s="3079">
        <f t="shared" ca="1" si="13"/>
        <v>0</v>
      </c>
      <c r="BB72" s="3079">
        <f t="shared" ca="1" si="13"/>
        <v>0</v>
      </c>
      <c r="BC72" s="3079">
        <f t="shared" ca="1" si="13"/>
        <v>7.2164496600635175E-16</v>
      </c>
      <c r="BD72" s="3079">
        <f t="shared" ca="1" si="13"/>
        <v>0</v>
      </c>
      <c r="BE72" s="3079">
        <f t="shared" ca="1" si="13"/>
        <v>0</v>
      </c>
      <c r="BF72" s="3079">
        <f t="shared" ca="1" si="13"/>
        <v>0</v>
      </c>
      <c r="BG72" s="3079">
        <f t="shared" ca="1" si="13"/>
        <v>0</v>
      </c>
      <c r="BH72" s="3096"/>
      <c r="BJ72" s="3095"/>
      <c r="BK72" s="17"/>
      <c r="BL72" s="23"/>
      <c r="BM72" s="506"/>
      <c r="BN72" s="3080"/>
      <c r="BO72" s="3080"/>
      <c r="BP72" s="3075"/>
      <c r="BQ72" s="3075"/>
      <c r="BR72" s="3075"/>
      <c r="BS72" s="3075"/>
      <c r="BT72" s="3075"/>
      <c r="BU72" s="3075"/>
    </row>
    <row r="73" spans="1:73">
      <c r="B73" s="505"/>
      <c r="C73" s="506"/>
      <c r="D73" s="506"/>
      <c r="E73" s="506"/>
      <c r="F73" s="506"/>
      <c r="G73" s="506"/>
      <c r="H73" s="3057"/>
      <c r="I73" s="3057"/>
      <c r="J73" s="3057"/>
      <c r="K73" s="3057"/>
      <c r="L73" s="3057"/>
      <c r="M73" s="3057"/>
      <c r="N73" s="3057"/>
      <c r="O73" s="3057"/>
      <c r="P73" s="3057"/>
      <c r="Q73" s="3057"/>
      <c r="R73" s="3057"/>
      <c r="S73" s="3057"/>
      <c r="T73" s="3057"/>
      <c r="U73" s="3057"/>
      <c r="V73" s="3057"/>
      <c r="W73" s="3057"/>
      <c r="X73" s="3057"/>
      <c r="Y73" s="3057"/>
      <c r="Z73" s="3057"/>
      <c r="AA73" s="3057"/>
      <c r="AB73" s="3057"/>
      <c r="AC73" s="3057"/>
      <c r="AD73" s="3057"/>
      <c r="AE73" s="3057"/>
      <c r="AF73" s="3057"/>
      <c r="AG73" s="3057"/>
      <c r="AH73" s="3057"/>
      <c r="AI73" s="3057"/>
      <c r="AJ73" s="3057"/>
      <c r="AK73" s="3057"/>
      <c r="AL73" s="3057"/>
      <c r="AM73" s="3057"/>
      <c r="AN73" s="3057"/>
      <c r="AO73" s="3057"/>
      <c r="AP73" s="3057"/>
      <c r="AQ73" s="3057"/>
      <c r="AR73" s="3057"/>
      <c r="AS73" s="3057"/>
      <c r="AT73" s="3057"/>
      <c r="AU73" s="3057"/>
      <c r="AV73" s="3057"/>
      <c r="AW73" s="3057"/>
      <c r="AX73" s="506"/>
      <c r="AY73" s="3071"/>
      <c r="AZ73" s="3071"/>
      <c r="BA73" s="3071"/>
      <c r="BB73" s="3071"/>
      <c r="BC73" s="3071"/>
      <c r="BD73" s="3071"/>
      <c r="BE73" s="3071"/>
      <c r="BF73" s="3071"/>
      <c r="BG73" s="3071"/>
      <c r="BH73" s="3073"/>
      <c r="BJ73" s="505"/>
      <c r="BK73" s="506"/>
      <c r="BL73" s="506"/>
      <c r="BM73" s="506"/>
      <c r="BN73" s="506"/>
      <c r="BO73" s="506"/>
      <c r="BP73" s="3057"/>
      <c r="BQ73" s="3057"/>
      <c r="BR73" s="3057"/>
      <c r="BS73" s="3057"/>
      <c r="BT73" s="3057"/>
      <c r="BU73" s="3057"/>
    </row>
    <row r="74" spans="1:73" s="372" customFormat="1" ht="18.5">
      <c r="B74" s="3076"/>
      <c r="C74" s="23"/>
      <c r="D74" s="3078" t="s">
        <v>2469</v>
      </c>
      <c r="E74" s="506"/>
      <c r="F74" s="3079"/>
      <c r="G74" s="3080"/>
      <c r="H74" s="3075"/>
      <c r="I74" s="3075"/>
      <c r="J74" s="3075"/>
      <c r="K74" s="3075"/>
      <c r="L74" s="3075"/>
      <c r="M74" s="3075"/>
      <c r="N74" s="3075"/>
      <c r="O74" s="3075"/>
      <c r="P74" s="3075"/>
      <c r="Q74" s="3075"/>
      <c r="R74" s="3075"/>
      <c r="S74" s="3075"/>
      <c r="T74" s="3075"/>
      <c r="U74" s="3075"/>
      <c r="V74" s="3075"/>
      <c r="W74" s="3075"/>
      <c r="X74" s="3075"/>
      <c r="Y74" s="3075"/>
      <c r="Z74" s="3075"/>
      <c r="AA74" s="3075"/>
      <c r="AB74" s="3075"/>
      <c r="AC74" s="3075"/>
      <c r="AD74" s="3075"/>
      <c r="AE74" s="3075"/>
      <c r="AF74" s="3075"/>
      <c r="AG74" s="3075"/>
      <c r="AH74" s="3075"/>
      <c r="AI74" s="3075"/>
      <c r="AJ74" s="3075"/>
      <c r="AK74" s="3075"/>
      <c r="AL74" s="3075"/>
      <c r="AM74" s="3075"/>
      <c r="AN74" s="3075"/>
      <c r="AO74" s="3075"/>
      <c r="AP74" s="3075"/>
      <c r="AQ74" s="3075"/>
      <c r="AR74" s="3075"/>
      <c r="AS74" s="3075"/>
      <c r="AT74" s="3075"/>
      <c r="AU74" s="3075"/>
      <c r="AV74" s="3075"/>
      <c r="AW74" s="3075"/>
      <c r="AX74" s="506"/>
      <c r="AY74" s="3079">
        <f ca="1">AY18-AY54+AY72</f>
        <v>-1.4210854715202004E-14</v>
      </c>
      <c r="AZ74" s="3079">
        <f t="shared" ref="AZ74:BG74" ca="1" si="14">AZ18-AZ54+AZ72</f>
        <v>1.4210854715202004E-14</v>
      </c>
      <c r="BA74" s="3079">
        <f t="shared" ca="1" si="14"/>
        <v>0</v>
      </c>
      <c r="BB74" s="3079">
        <f t="shared" ca="1" si="14"/>
        <v>0</v>
      </c>
      <c r="BC74" s="3079">
        <f t="shared" ca="1" si="14"/>
        <v>-2.7700064464397656E-14</v>
      </c>
      <c r="BD74" s="3079">
        <f t="shared" ca="1" si="14"/>
        <v>2.8421709430404007E-14</v>
      </c>
      <c r="BE74" s="3079">
        <f t="shared" ca="1" si="14"/>
        <v>2.8421709430404007E-14</v>
      </c>
      <c r="BF74" s="3079">
        <f t="shared" ca="1" si="14"/>
        <v>0</v>
      </c>
      <c r="BG74" s="3079">
        <f t="shared" ca="1" si="14"/>
        <v>0</v>
      </c>
      <c r="BH74" s="3081"/>
      <c r="BJ74" s="3076"/>
      <c r="BK74" s="23"/>
      <c r="BL74" s="23"/>
      <c r="BM74" s="506"/>
      <c r="BN74" s="3080"/>
      <c r="BO74" s="3080"/>
      <c r="BP74" s="3075"/>
      <c r="BQ74" s="3075"/>
      <c r="BR74" s="3075"/>
      <c r="BS74" s="3075"/>
      <c r="BT74" s="3075"/>
      <c r="BU74" s="3075"/>
    </row>
    <row r="75" spans="1:73" s="372" customFormat="1" ht="18.5">
      <c r="B75" s="3076"/>
      <c r="C75" s="23"/>
      <c r="D75" s="23"/>
      <c r="E75" s="506"/>
      <c r="F75" s="3080"/>
      <c r="G75" s="3080"/>
      <c r="H75" s="3075"/>
      <c r="I75" s="3075"/>
      <c r="J75" s="3075"/>
      <c r="K75" s="3075"/>
      <c r="L75" s="3075"/>
      <c r="M75" s="3075"/>
      <c r="N75" s="3075"/>
      <c r="O75" s="3075"/>
      <c r="P75" s="3075"/>
      <c r="Q75" s="3075"/>
      <c r="R75" s="3075"/>
      <c r="S75" s="3075"/>
      <c r="T75" s="3075"/>
      <c r="U75" s="3075"/>
      <c r="V75" s="3075"/>
      <c r="W75" s="3075"/>
      <c r="X75" s="3075"/>
      <c r="Y75" s="3075"/>
      <c r="Z75" s="3075"/>
      <c r="AA75" s="3075"/>
      <c r="AB75" s="3075"/>
      <c r="AC75" s="3075"/>
      <c r="AD75" s="3075"/>
      <c r="AE75" s="3075"/>
      <c r="AF75" s="3075"/>
      <c r="AG75" s="3075"/>
      <c r="AH75" s="3075"/>
      <c r="AI75" s="3075"/>
      <c r="AJ75" s="3075"/>
      <c r="AK75" s="3075"/>
      <c r="AL75" s="3075"/>
      <c r="AM75" s="3075"/>
      <c r="AN75" s="3075"/>
      <c r="AO75" s="3075"/>
      <c r="AP75" s="3075"/>
      <c r="AQ75" s="3075"/>
      <c r="AR75" s="3075"/>
      <c r="AS75" s="3075"/>
      <c r="AT75" s="3075"/>
      <c r="AU75" s="3075"/>
      <c r="AV75" s="3075"/>
      <c r="AW75" s="3075"/>
      <c r="AX75" s="506"/>
      <c r="AY75" s="3080"/>
      <c r="AZ75" s="3080"/>
      <c r="BA75" s="3080"/>
      <c r="BB75" s="3080"/>
      <c r="BC75" s="3080"/>
      <c r="BD75" s="3080"/>
      <c r="BE75" s="3080"/>
      <c r="BF75" s="3080"/>
      <c r="BG75" s="3080"/>
      <c r="BH75" s="3081"/>
      <c r="BJ75" s="3076"/>
      <c r="BK75" s="23"/>
      <c r="BL75" s="23"/>
      <c r="BM75" s="506"/>
      <c r="BN75" s="3080"/>
      <c r="BO75" s="3080"/>
      <c r="BP75" s="3075"/>
      <c r="BQ75" s="3075"/>
      <c r="BR75" s="3075"/>
      <c r="BS75" s="3075"/>
      <c r="BT75" s="3075"/>
      <c r="BU75" s="3075"/>
    </row>
    <row r="76" spans="1:73" s="372" customFormat="1" ht="18.5">
      <c r="B76" s="3097"/>
      <c r="C76" s="3098"/>
      <c r="D76" s="3098"/>
      <c r="E76" s="860"/>
      <c r="F76" s="3099"/>
      <c r="G76" s="3099"/>
      <c r="H76" s="3100"/>
      <c r="I76" s="3100"/>
      <c r="J76" s="3100"/>
      <c r="K76" s="3100"/>
      <c r="L76" s="3100"/>
      <c r="M76" s="3100"/>
      <c r="N76" s="3100"/>
      <c r="O76" s="3100"/>
      <c r="P76" s="3100"/>
      <c r="Q76" s="3100"/>
      <c r="R76" s="3100"/>
      <c r="S76" s="3100"/>
      <c r="T76" s="3100"/>
      <c r="U76" s="3100"/>
      <c r="V76" s="3100"/>
      <c r="W76" s="3100"/>
      <c r="X76" s="3100"/>
      <c r="Y76" s="3100"/>
      <c r="Z76" s="3100"/>
      <c r="AA76" s="3100"/>
      <c r="AB76" s="3100"/>
      <c r="AC76" s="3100"/>
      <c r="AD76" s="3100"/>
      <c r="AE76" s="3100"/>
      <c r="AF76" s="3100"/>
      <c r="AG76" s="3100"/>
      <c r="AH76" s="3100"/>
      <c r="AI76" s="3100"/>
      <c r="AJ76" s="3100"/>
      <c r="AK76" s="3100"/>
      <c r="AL76" s="3100"/>
      <c r="AM76" s="3100"/>
      <c r="AN76" s="3100"/>
      <c r="AO76" s="3100"/>
      <c r="AP76" s="3100"/>
      <c r="AQ76" s="3100"/>
      <c r="AR76" s="3100"/>
      <c r="AS76" s="3100"/>
      <c r="AT76" s="3100"/>
      <c r="AU76" s="3100"/>
      <c r="AV76" s="3100"/>
      <c r="AW76" s="3100"/>
      <c r="AX76" s="860"/>
      <c r="AY76" s="3099"/>
      <c r="AZ76" s="3099"/>
      <c r="BA76" s="3099"/>
      <c r="BB76" s="3099"/>
      <c r="BC76" s="3099"/>
      <c r="BD76" s="3099"/>
      <c r="BE76" s="3099"/>
      <c r="BF76" s="3099"/>
      <c r="BG76" s="3099"/>
      <c r="BH76" s="3101"/>
      <c r="BJ76" s="3097"/>
      <c r="BK76" s="3098"/>
      <c r="BL76" s="3098"/>
      <c r="BM76" s="860"/>
      <c r="BN76" s="3099"/>
      <c r="BO76" s="3099"/>
      <c r="BP76" s="3100"/>
      <c r="BQ76" s="3100"/>
      <c r="BR76" s="3100"/>
      <c r="BS76" s="3100"/>
      <c r="BT76" s="3100"/>
      <c r="BU76" s="3100"/>
    </row>
    <row r="77" spans="1:73" s="372" customFormat="1" ht="18.5">
      <c r="B77" s="3102"/>
      <c r="D77" s="3103"/>
      <c r="E77" s="3034"/>
      <c r="F77" s="3104"/>
      <c r="G77" s="3104"/>
      <c r="H77" s="3105"/>
      <c r="I77" s="3105"/>
      <c r="J77" s="3105"/>
      <c r="K77" s="3105"/>
      <c r="L77" s="3105"/>
      <c r="M77" s="3105"/>
      <c r="N77" s="3105"/>
      <c r="O77" s="3105"/>
      <c r="P77" s="3105"/>
      <c r="Q77" s="3105"/>
      <c r="R77" s="3105"/>
      <c r="S77" s="3105"/>
      <c r="T77" s="3105"/>
      <c r="U77" s="3105"/>
      <c r="V77" s="3105"/>
      <c r="W77" s="3105"/>
      <c r="X77" s="3105"/>
      <c r="Y77" s="3105"/>
      <c r="Z77" s="3105"/>
      <c r="AA77" s="3105"/>
      <c r="AB77" s="3105"/>
      <c r="AC77" s="3105"/>
      <c r="AD77" s="3105"/>
      <c r="AE77" s="3105"/>
      <c r="AF77" s="3105"/>
      <c r="AG77" s="3105"/>
      <c r="AH77" s="3105"/>
      <c r="AI77" s="3105"/>
      <c r="AJ77" s="3105"/>
      <c r="AK77" s="3105"/>
      <c r="AL77" s="3105"/>
      <c r="AM77" s="3105"/>
      <c r="AN77" s="3105"/>
      <c r="AO77" s="3105"/>
      <c r="AP77" s="3105"/>
      <c r="AQ77" s="3105"/>
      <c r="AR77" s="3105"/>
      <c r="AS77" s="3105"/>
      <c r="AT77" s="3105"/>
      <c r="AU77" s="3105"/>
      <c r="AV77" s="3105"/>
      <c r="AW77" s="3105"/>
      <c r="AX77" s="3034"/>
      <c r="AY77" s="3104"/>
      <c r="AZ77" s="3104"/>
      <c r="BA77" s="3104"/>
      <c r="BB77" s="3104"/>
      <c r="BC77" s="3104"/>
      <c r="BD77" s="3104"/>
      <c r="BE77" s="3104"/>
      <c r="BF77" s="3104"/>
      <c r="BG77" s="3104"/>
      <c r="BH77" s="2450"/>
      <c r="BJ77" s="3102"/>
      <c r="BL77" s="3103"/>
      <c r="BM77" s="3945"/>
      <c r="BN77" s="3104"/>
      <c r="BO77" s="3104"/>
      <c r="BP77" s="3105"/>
      <c r="BQ77" s="3105"/>
      <c r="BR77" s="3105"/>
      <c r="BS77" s="3105"/>
      <c r="BT77" s="3105"/>
      <c r="BU77" s="3105"/>
    </row>
    <row r="78" spans="1:73" ht="23.5">
      <c r="A78" s="7"/>
      <c r="B78" s="3106" t="s">
        <v>2470</v>
      </c>
      <c r="C78" s="3107"/>
      <c r="D78" s="3107"/>
      <c r="E78" s="3107"/>
      <c r="F78" s="3107"/>
      <c r="G78" s="3107"/>
      <c r="H78" s="3108"/>
      <c r="I78" s="3108"/>
      <c r="J78" s="3108"/>
      <c r="K78" s="3108"/>
      <c r="L78" s="3108"/>
      <c r="M78" s="3108"/>
      <c r="N78" s="3108"/>
      <c r="O78" s="3108"/>
      <c r="P78" s="3108"/>
      <c r="Q78" s="3108"/>
      <c r="R78" s="3108"/>
      <c r="S78" s="3108"/>
      <c r="T78" s="3108"/>
      <c r="U78" s="3108"/>
      <c r="V78" s="3108"/>
      <c r="W78" s="3108"/>
      <c r="X78" s="3108"/>
      <c r="Y78" s="3108"/>
      <c r="Z78" s="3108"/>
      <c r="AA78" s="3108"/>
      <c r="AB78" s="3108"/>
      <c r="AC78" s="3108"/>
      <c r="AD78" s="3108"/>
      <c r="AE78" s="3108"/>
      <c r="AF78" s="3108"/>
      <c r="AG78" s="3108"/>
      <c r="AH78" s="3108"/>
      <c r="AI78" s="3108"/>
      <c r="AJ78" s="3108"/>
      <c r="AK78" s="3108"/>
      <c r="AL78" s="3108"/>
      <c r="AM78" s="3108"/>
      <c r="AN78" s="3108"/>
      <c r="AO78" s="3108"/>
      <c r="AP78" s="3108"/>
      <c r="AQ78" s="3108"/>
      <c r="AR78" s="3108"/>
      <c r="AS78" s="3108"/>
      <c r="AT78" s="3108"/>
      <c r="AU78" s="3108"/>
      <c r="AV78" s="3108"/>
      <c r="AW78" s="3108"/>
      <c r="AX78" s="3107"/>
      <c r="AY78" s="3109"/>
      <c r="AZ78" s="3109"/>
      <c r="BA78" s="3109"/>
      <c r="BB78" s="3109"/>
      <c r="BC78" s="3109"/>
      <c r="BD78" s="3109"/>
      <c r="BE78" s="3109"/>
      <c r="BF78" s="3109"/>
      <c r="BG78" s="3109"/>
      <c r="BH78" s="3110"/>
      <c r="BJ78" s="3106"/>
      <c r="BK78" s="3107"/>
      <c r="BL78" s="3107"/>
      <c r="BM78" s="3107"/>
      <c r="BN78" s="3107"/>
      <c r="BO78" s="3107"/>
      <c r="BP78" s="3108"/>
      <c r="BQ78" s="3108"/>
      <c r="BR78" s="3108"/>
      <c r="BS78" s="3108"/>
      <c r="BT78" s="3108"/>
      <c r="BU78" s="3108"/>
    </row>
    <row r="79" spans="1:73">
      <c r="B79" s="3111"/>
      <c r="C79" s="3112"/>
      <c r="D79" s="3112"/>
      <c r="E79" s="3112"/>
      <c r="F79" s="3112"/>
      <c r="G79" s="3112"/>
      <c r="H79" s="3113"/>
      <c r="I79" s="3113"/>
      <c r="J79" s="3113"/>
      <c r="K79" s="3113"/>
      <c r="L79" s="3113"/>
      <c r="M79" s="3113"/>
      <c r="N79" s="3113"/>
      <c r="O79" s="3113"/>
      <c r="P79" s="3113"/>
      <c r="Q79" s="3113"/>
      <c r="R79" s="3113"/>
      <c r="S79" s="3113"/>
      <c r="T79" s="3113"/>
      <c r="U79" s="3113"/>
      <c r="V79" s="3113"/>
      <c r="W79" s="3113"/>
      <c r="X79" s="3113"/>
      <c r="Y79" s="3113"/>
      <c r="Z79" s="3113"/>
      <c r="AA79" s="3113"/>
      <c r="AB79" s="3113"/>
      <c r="AC79" s="3113"/>
      <c r="AD79" s="3113"/>
      <c r="AE79" s="3113"/>
      <c r="AF79" s="3113"/>
      <c r="AG79" s="3113"/>
      <c r="AH79" s="3113"/>
      <c r="AI79" s="3113"/>
      <c r="AJ79" s="3113"/>
      <c r="AK79" s="3113"/>
      <c r="AL79" s="3113"/>
      <c r="AM79" s="3113"/>
      <c r="AN79" s="3113"/>
      <c r="AO79" s="3113"/>
      <c r="AP79" s="3113"/>
      <c r="AQ79" s="3113"/>
      <c r="AR79" s="3113"/>
      <c r="AS79" s="3113"/>
      <c r="AT79" s="3113"/>
      <c r="AU79" s="3113"/>
      <c r="AV79" s="3113"/>
      <c r="AW79" s="3113"/>
      <c r="AX79" s="3112"/>
      <c r="AY79" s="3114"/>
      <c r="AZ79" s="3114"/>
      <c r="BA79" s="3114"/>
      <c r="BB79" s="3114"/>
      <c r="BC79" s="3114"/>
      <c r="BD79" s="3114"/>
      <c r="BE79" s="3114"/>
      <c r="BF79" s="3114"/>
      <c r="BG79" s="3114"/>
      <c r="BH79" s="3115"/>
      <c r="BJ79" s="3111"/>
      <c r="BK79" s="3112"/>
      <c r="BL79" s="3112"/>
      <c r="BM79" s="3112"/>
      <c r="BN79" s="3112"/>
      <c r="BO79" s="3112"/>
      <c r="BP79" s="3113"/>
      <c r="BQ79" s="3113"/>
      <c r="BR79" s="3113"/>
      <c r="BS79" s="3113"/>
      <c r="BT79" s="3113"/>
      <c r="BU79" s="3113"/>
    </row>
    <row r="80" spans="1:73">
      <c r="B80" s="3116"/>
      <c r="C80" s="823" t="s">
        <v>95</v>
      </c>
      <c r="D80" s="823" t="s">
        <v>85</v>
      </c>
      <c r="E80" s="823"/>
      <c r="F80" s="3117"/>
      <c r="G80" s="3117"/>
      <c r="H80" s="3118"/>
      <c r="I80" s="3118"/>
      <c r="J80" s="3118"/>
      <c r="K80" s="3118"/>
      <c r="L80" s="3118"/>
      <c r="M80" s="3118"/>
      <c r="N80" s="3118"/>
      <c r="O80" s="3118"/>
      <c r="P80" s="3118"/>
      <c r="Q80" s="3118"/>
      <c r="R80" s="3118"/>
      <c r="S80" s="3118"/>
      <c r="T80" s="3118"/>
      <c r="U80" s="3118"/>
      <c r="V80" s="3118"/>
      <c r="W80" s="3118"/>
      <c r="X80" s="3118"/>
      <c r="Y80" s="3118"/>
      <c r="Z80" s="3118"/>
      <c r="AA80" s="3118"/>
      <c r="AB80" s="3118"/>
      <c r="AC80" s="3118"/>
      <c r="AD80" s="3118"/>
      <c r="AE80" s="3118"/>
      <c r="AF80" s="3118"/>
      <c r="AG80" s="3118"/>
      <c r="AH80" s="3118"/>
      <c r="AI80" s="3118"/>
      <c r="AJ80" s="3118"/>
      <c r="AK80" s="3118"/>
      <c r="AL80" s="3118"/>
      <c r="AM80" s="3118"/>
      <c r="AN80" s="3118"/>
      <c r="AO80" s="3118"/>
      <c r="AP80" s="3118"/>
      <c r="AQ80" s="3118"/>
      <c r="AR80" s="3118"/>
      <c r="AS80" s="3118"/>
      <c r="AT80" s="3118"/>
      <c r="AU80" s="3118"/>
      <c r="AV80" s="3118"/>
      <c r="AW80" s="3118"/>
      <c r="AX80" s="823"/>
      <c r="AY80" s="3119">
        <f ca="1">INDEX(INDIRECT("'"&amp;AY$4&amp;"'!Year.NetBalance"), MATCH('Intermediate output'!$C80, INDIRECT("'"&amp;AY$4&amp;"'!Year.Vectors"), 0))</f>
        <v>-24.08816123287685</v>
      </c>
      <c r="AZ80" s="3119">
        <f ca="1">INDEX(INDIRECT("'"&amp;AZ$4&amp;"'!Year.NetBalance"), MATCH('Intermediate output'!$C80, INDIRECT("'"&amp;AZ$4&amp;"'!Year.Vectors"), 0))</f>
        <v>-24.811521893199021</v>
      </c>
      <c r="BA80" s="3119">
        <f ca="1">INDEX(INDIRECT("'"&amp;BA$4&amp;"'!Year.NetBalance"), MATCH('Intermediate output'!$C80, INDIRECT("'"&amp;BA$4&amp;"'!Year.Vectors"), 0))</f>
        <v>-26.31138768996038</v>
      </c>
      <c r="BB80" s="3119">
        <f ca="1">INDEX(INDIRECT("'"&amp;BB$4&amp;"'!Year.NetBalance"), MATCH('Intermediate output'!$C80, INDIRECT("'"&amp;BB$4&amp;"'!Year.Vectors"), 0))</f>
        <v>-28.055451795581007</v>
      </c>
      <c r="BC80" s="3119">
        <f ca="1">INDEX(INDIRECT("'"&amp;BC$4&amp;"'!Year.NetBalance"), MATCH('Intermediate output'!$C80, INDIRECT("'"&amp;BC$4&amp;"'!Year.Vectors"), 0))</f>
        <v>-29.856802850034068</v>
      </c>
      <c r="BD80" s="3119">
        <f ca="1">INDEX(INDIRECT("'"&amp;BD$4&amp;"'!Year.NetBalance"), MATCH('Intermediate output'!$C80, INDIRECT("'"&amp;BD$4&amp;"'!Year.Vectors"), 0))</f>
        <v>-31.827880936203819</v>
      </c>
      <c r="BE80" s="3119">
        <f ca="1">INDEX(INDIRECT("'"&amp;BE$4&amp;"'!Year.NetBalance"), MATCH('Intermediate output'!$C80, INDIRECT("'"&amp;BE$4&amp;"'!Year.Vectors"), 0))</f>
        <v>-33.94707664991239</v>
      </c>
      <c r="BF80" s="3119">
        <f ca="1">INDEX(INDIRECT("'"&amp;BF$4&amp;"'!Year.NetBalance"), MATCH('Intermediate output'!$C80, INDIRECT("'"&amp;BF$4&amp;"'!Year.Vectors"), 0))</f>
        <v>-36.162871893616611</v>
      </c>
      <c r="BG80" s="3119">
        <f ca="1">INDEX(INDIRECT("'"&amp;BG$4&amp;"'!Year.NetBalance"), MATCH('Intermediate output'!$C80, INDIRECT("'"&amp;BG$4&amp;"'!Year.Vectors"), 0))</f>
        <v>-38.38831997780612</v>
      </c>
      <c r="BH80" s="3120"/>
      <c r="BJ80" s="3116"/>
      <c r="BK80" s="823"/>
      <c r="BL80" s="823"/>
      <c r="BM80" s="823"/>
      <c r="BN80" s="3117"/>
      <c r="BO80" s="3117"/>
      <c r="BP80" s="3118"/>
      <c r="BQ80" s="3118"/>
      <c r="BR80" s="3118"/>
      <c r="BS80" s="3118"/>
      <c r="BT80" s="3118"/>
      <c r="BU80" s="3118"/>
    </row>
    <row r="81" spans="1:73">
      <c r="B81" s="3116"/>
      <c r="C81" s="823" t="s">
        <v>96</v>
      </c>
      <c r="D81" s="823" t="s">
        <v>86</v>
      </c>
      <c r="E81" s="823"/>
      <c r="F81" s="3117"/>
      <c r="G81" s="3117"/>
      <c r="H81" s="3118"/>
      <c r="I81" s="3118"/>
      <c r="J81" s="3118"/>
      <c r="K81" s="3118"/>
      <c r="L81" s="3118"/>
      <c r="M81" s="3118"/>
      <c r="N81" s="3118"/>
      <c r="O81" s="3118"/>
      <c r="P81" s="3118"/>
      <c r="Q81" s="3118"/>
      <c r="R81" s="3118"/>
      <c r="S81" s="3118"/>
      <c r="T81" s="3118"/>
      <c r="U81" s="3118"/>
      <c r="V81" s="3118"/>
      <c r="W81" s="3118"/>
      <c r="X81" s="3118"/>
      <c r="Y81" s="3118"/>
      <c r="Z81" s="3118"/>
      <c r="AA81" s="3118"/>
      <c r="AB81" s="3118"/>
      <c r="AC81" s="3118"/>
      <c r="AD81" s="3118"/>
      <c r="AE81" s="3118"/>
      <c r="AF81" s="3118"/>
      <c r="AG81" s="3118"/>
      <c r="AH81" s="3118"/>
      <c r="AI81" s="3118"/>
      <c r="AJ81" s="3118"/>
      <c r="AK81" s="3118"/>
      <c r="AL81" s="3118"/>
      <c r="AM81" s="3118"/>
      <c r="AN81" s="3118"/>
      <c r="AO81" s="3118"/>
      <c r="AP81" s="3118"/>
      <c r="AQ81" s="3118"/>
      <c r="AR81" s="3118"/>
      <c r="AS81" s="3118"/>
      <c r="AT81" s="3118"/>
      <c r="AU81" s="3118"/>
      <c r="AV81" s="3118"/>
      <c r="AW81" s="3118"/>
      <c r="AX81" s="823"/>
      <c r="AY81" s="3119">
        <f ca="1">INDEX(INDIRECT("'"&amp;AY$4&amp;"'!Year.NetBalance"), MATCH('Intermediate output'!$C81, INDIRECT("'"&amp;AY$4&amp;"'!Year.Vectors"), 0))</f>
        <v>24.08816123287685</v>
      </c>
      <c r="AZ81" s="3119">
        <f ca="1">INDEX(INDIRECT("'"&amp;AZ$4&amp;"'!Year.NetBalance"), MATCH('Intermediate output'!$C81, INDIRECT("'"&amp;AZ$4&amp;"'!Year.Vectors"), 0))</f>
        <v>24.811521893199021</v>
      </c>
      <c r="BA81" s="3119">
        <f ca="1">INDEX(INDIRECT("'"&amp;BA$4&amp;"'!Year.NetBalance"), MATCH('Intermediate output'!$C81, INDIRECT("'"&amp;BA$4&amp;"'!Year.Vectors"), 0))</f>
        <v>26.31138768996038</v>
      </c>
      <c r="BB81" s="3119">
        <f ca="1">INDEX(INDIRECT("'"&amp;BB$4&amp;"'!Year.NetBalance"), MATCH('Intermediate output'!$C81, INDIRECT("'"&amp;BB$4&amp;"'!Year.Vectors"), 0))</f>
        <v>28.055451795581007</v>
      </c>
      <c r="BC81" s="3119">
        <f ca="1">INDEX(INDIRECT("'"&amp;BC$4&amp;"'!Year.NetBalance"), MATCH('Intermediate output'!$C81, INDIRECT("'"&amp;BC$4&amp;"'!Year.Vectors"), 0))</f>
        <v>29.856802850034068</v>
      </c>
      <c r="BD81" s="3119">
        <f ca="1">INDEX(INDIRECT("'"&amp;BD$4&amp;"'!Year.NetBalance"), MATCH('Intermediate output'!$C81, INDIRECT("'"&amp;BD$4&amp;"'!Year.Vectors"), 0))</f>
        <v>31.827880936203819</v>
      </c>
      <c r="BE81" s="3119">
        <f ca="1">INDEX(INDIRECT("'"&amp;BE$4&amp;"'!Year.NetBalance"), MATCH('Intermediate output'!$C81, INDIRECT("'"&amp;BE$4&amp;"'!Year.Vectors"), 0))</f>
        <v>33.94707664991239</v>
      </c>
      <c r="BF81" s="3119">
        <f ca="1">INDEX(INDIRECT("'"&amp;BF$4&amp;"'!Year.NetBalance"), MATCH('Intermediate output'!$C81, INDIRECT("'"&amp;BF$4&amp;"'!Year.Vectors"), 0))</f>
        <v>36.162871893616611</v>
      </c>
      <c r="BG81" s="3119">
        <f ca="1">INDEX(INDIRECT("'"&amp;BG$4&amp;"'!Year.NetBalance"), MATCH('Intermediate output'!$C81, INDIRECT("'"&amp;BG$4&amp;"'!Year.Vectors"), 0))</f>
        <v>38.38831997780612</v>
      </c>
      <c r="BH81" s="3120"/>
      <c r="BJ81" s="3116"/>
      <c r="BK81" s="823"/>
      <c r="BL81" s="823"/>
      <c r="BM81" s="823"/>
      <c r="BN81" s="3117"/>
      <c r="BO81" s="3117"/>
      <c r="BP81" s="3118"/>
      <c r="BQ81" s="3118"/>
      <c r="BR81" s="3118"/>
      <c r="BS81" s="3118"/>
      <c r="BT81" s="3118"/>
      <c r="BU81" s="3118"/>
    </row>
    <row r="82" spans="1:73" s="6" customFormat="1" ht="18.5">
      <c r="B82" s="3121"/>
      <c r="C82" s="777"/>
      <c r="D82" s="3122" t="s">
        <v>2471</v>
      </c>
      <c r="E82" s="823"/>
      <c r="F82" s="3123"/>
      <c r="G82" s="3124"/>
      <c r="H82" s="3125"/>
      <c r="I82" s="3125"/>
      <c r="J82" s="3125"/>
      <c r="K82" s="3125"/>
      <c r="L82" s="3125"/>
      <c r="M82" s="3125"/>
      <c r="N82" s="3125"/>
      <c r="O82" s="3125"/>
      <c r="P82" s="3125"/>
      <c r="Q82" s="3125"/>
      <c r="R82" s="3125"/>
      <c r="S82" s="3125"/>
      <c r="T82" s="3125"/>
      <c r="U82" s="3125"/>
      <c r="V82" s="3125"/>
      <c r="W82" s="3125"/>
      <c r="X82" s="3125"/>
      <c r="Y82" s="3125"/>
      <c r="Z82" s="3125"/>
      <c r="AA82" s="3125"/>
      <c r="AB82" s="3125"/>
      <c r="AC82" s="3125"/>
      <c r="AD82" s="3125"/>
      <c r="AE82" s="3125"/>
      <c r="AF82" s="3125"/>
      <c r="AG82" s="3125"/>
      <c r="AH82" s="3125"/>
      <c r="AI82" s="3125"/>
      <c r="AJ82" s="3125"/>
      <c r="AK82" s="3125"/>
      <c r="AL82" s="3125"/>
      <c r="AM82" s="3125"/>
      <c r="AN82" s="3125"/>
      <c r="AO82" s="3125"/>
      <c r="AP82" s="3125"/>
      <c r="AQ82" s="3125"/>
      <c r="AR82" s="3125"/>
      <c r="AS82" s="3125"/>
      <c r="AT82" s="3125"/>
      <c r="AU82" s="3125"/>
      <c r="AV82" s="3125"/>
      <c r="AW82" s="3125"/>
      <c r="AX82" s="823"/>
      <c r="AY82" s="3123">
        <f t="shared" ref="AY82:BG82" ca="1" si="15">SUM(AY80:AY81)</f>
        <v>0</v>
      </c>
      <c r="AZ82" s="3123">
        <f t="shared" ca="1" si="15"/>
        <v>0</v>
      </c>
      <c r="BA82" s="3123">
        <f t="shared" ca="1" si="15"/>
        <v>0</v>
      </c>
      <c r="BB82" s="3123">
        <f t="shared" ca="1" si="15"/>
        <v>0</v>
      </c>
      <c r="BC82" s="3123">
        <f t="shared" ca="1" si="15"/>
        <v>0</v>
      </c>
      <c r="BD82" s="3123">
        <f t="shared" ca="1" si="15"/>
        <v>0</v>
      </c>
      <c r="BE82" s="3123">
        <f t="shared" ca="1" si="15"/>
        <v>0</v>
      </c>
      <c r="BF82" s="3123">
        <f t="shared" ca="1" si="15"/>
        <v>0</v>
      </c>
      <c r="BG82" s="3123">
        <f t="shared" ca="1" si="15"/>
        <v>0</v>
      </c>
      <c r="BH82" s="3126"/>
      <c r="BJ82" s="3121"/>
      <c r="BK82" s="777"/>
      <c r="BL82" s="812"/>
      <c r="BM82" s="823"/>
      <c r="BN82" s="3124"/>
      <c r="BO82" s="3124"/>
      <c r="BP82" s="3125"/>
      <c r="BQ82" s="3125"/>
      <c r="BR82" s="3125"/>
      <c r="BS82" s="3125"/>
      <c r="BT82" s="3125"/>
      <c r="BU82" s="3125"/>
    </row>
    <row r="83" spans="1:73">
      <c r="B83" s="3116"/>
      <c r="C83" s="823"/>
      <c r="D83" s="823"/>
      <c r="E83" s="823"/>
      <c r="F83" s="823"/>
      <c r="G83" s="823"/>
      <c r="H83" s="3127"/>
      <c r="I83" s="3127"/>
      <c r="J83" s="3127"/>
      <c r="K83" s="3127"/>
      <c r="L83" s="3127"/>
      <c r="M83" s="3127"/>
      <c r="N83" s="3127"/>
      <c r="O83" s="3127"/>
      <c r="P83" s="3127"/>
      <c r="Q83" s="3127"/>
      <c r="R83" s="3127"/>
      <c r="S83" s="3127"/>
      <c r="T83" s="3127"/>
      <c r="U83" s="3127"/>
      <c r="V83" s="3127"/>
      <c r="W83" s="3127"/>
      <c r="X83" s="3127"/>
      <c r="Y83" s="3127"/>
      <c r="Z83" s="3127"/>
      <c r="AA83" s="3127"/>
      <c r="AB83" s="3127"/>
      <c r="AC83" s="3127"/>
      <c r="AD83" s="3127"/>
      <c r="AE83" s="3127"/>
      <c r="AF83" s="3127"/>
      <c r="AG83" s="3127"/>
      <c r="AH83" s="3127"/>
      <c r="AI83" s="3127"/>
      <c r="AJ83" s="3127"/>
      <c r="AK83" s="3127"/>
      <c r="AL83" s="3127"/>
      <c r="AM83" s="3127"/>
      <c r="AN83" s="3127"/>
      <c r="AO83" s="3127"/>
      <c r="AP83" s="3127"/>
      <c r="AQ83" s="3127"/>
      <c r="AR83" s="3127"/>
      <c r="AS83" s="3127"/>
      <c r="AT83" s="3127"/>
      <c r="AU83" s="3127"/>
      <c r="AV83" s="3127"/>
      <c r="AW83" s="3127"/>
      <c r="AX83" s="823"/>
      <c r="AY83" s="3119"/>
      <c r="AZ83" s="3119"/>
      <c r="BA83" s="3119"/>
      <c r="BB83" s="3119"/>
      <c r="BC83" s="3119"/>
      <c r="BD83" s="3119"/>
      <c r="BE83" s="3119"/>
      <c r="BF83" s="3119"/>
      <c r="BG83" s="3119"/>
      <c r="BH83" s="3120"/>
      <c r="BJ83" s="3116"/>
      <c r="BK83" s="823"/>
      <c r="BL83" s="823"/>
      <c r="BM83" s="823"/>
      <c r="BN83" s="823"/>
      <c r="BO83" s="823"/>
      <c r="BP83" s="3127"/>
      <c r="BQ83" s="3127"/>
      <c r="BR83" s="3127"/>
      <c r="BS83" s="3127"/>
      <c r="BT83" s="3127"/>
      <c r="BU83" s="3127"/>
    </row>
    <row r="84" spans="1:73" s="405" customFormat="1" ht="13">
      <c r="B84" s="3128"/>
      <c r="C84" s="819" t="s">
        <v>96</v>
      </c>
      <c r="D84" s="819" t="s">
        <v>1741</v>
      </c>
      <c r="E84" s="819"/>
      <c r="F84" s="819"/>
      <c r="G84" s="819"/>
      <c r="H84" s="3129"/>
      <c r="I84" s="3129"/>
      <c r="J84" s="3129"/>
      <c r="K84" s="3129"/>
      <c r="L84" s="3129"/>
      <c r="M84" s="3129"/>
      <c r="N84" s="3129"/>
      <c r="O84" s="3129"/>
      <c r="P84" s="3129"/>
      <c r="Q84" s="3129"/>
      <c r="R84" s="3129"/>
      <c r="S84" s="3129"/>
      <c r="T84" s="3129"/>
      <c r="U84" s="3129"/>
      <c r="V84" s="3129"/>
      <c r="W84" s="3129"/>
      <c r="X84" s="3129"/>
      <c r="Y84" s="3129"/>
      <c r="Z84" s="3129"/>
      <c r="AA84" s="3129"/>
      <c r="AB84" s="3129"/>
      <c r="AC84" s="3129"/>
      <c r="AD84" s="3129"/>
      <c r="AE84" s="3129"/>
      <c r="AF84" s="3129"/>
      <c r="AG84" s="3129"/>
      <c r="AH84" s="3129"/>
      <c r="AI84" s="3129"/>
      <c r="AJ84" s="3129"/>
      <c r="AK84" s="3129"/>
      <c r="AL84" s="3129"/>
      <c r="AM84" s="3129"/>
      <c r="AN84" s="3129"/>
      <c r="AO84" s="3129"/>
      <c r="AP84" s="3129"/>
      <c r="AQ84" s="3129"/>
      <c r="AR84" s="3129"/>
      <c r="AS84" s="3129"/>
      <c r="AT84" s="3129"/>
      <c r="AU84" s="3129"/>
      <c r="AV84" s="3129"/>
      <c r="AW84" s="3129"/>
      <c r="AX84" s="819"/>
      <c r="AY84" s="3130">
        <f ca="1">INDEX(INDIRECT("'"&amp;AY$4&amp;"'!Year.Matrix"), MATCH("VII.b", INDIRECT("'"&amp;AY$4&amp;"'!Year.Modules"), 0), MATCH('Intermediate output'!$C84, INDIRECT("'"&amp;AY$4&amp;"'!Year.Vectors"), 0))</f>
        <v>-3.4405178272791836</v>
      </c>
      <c r="AZ84" s="3130">
        <f ca="1">INDEX(INDIRECT("'"&amp;AZ$4&amp;"'!Year.Matrix"), MATCH("VII.b", INDIRECT("'"&amp;AZ$4&amp;"'!Year.Modules"), 0), MATCH('Intermediate output'!$C84, INDIRECT("'"&amp;AZ$4&amp;"'!Year.Vectors"), 0))</f>
        <v>-3.5437271686042386</v>
      </c>
      <c r="BA84" s="3130">
        <f ca="1">INDEX(INDIRECT("'"&amp;BA$4&amp;"'!Year.Matrix"), MATCH("VII.b", INDIRECT("'"&amp;BA$4&amp;"'!Year.Modules"), 0), MATCH('Intermediate output'!$C84, INDIRECT("'"&amp;BA$4&amp;"'!Year.Vectors"), 0))</f>
        <v>-3.7579500379608319</v>
      </c>
      <c r="BB84" s="3130">
        <f ca="1">INDEX(INDIRECT("'"&amp;BB$4&amp;"'!Year.Matrix"), MATCH("VII.b", INDIRECT("'"&amp;BB$4&amp;"'!Year.Modules"), 0), MATCH('Intermediate output'!$C84, INDIRECT("'"&amp;BB$4&amp;"'!Year.Vectors"), 0))</f>
        <v>-4.0070562240869201</v>
      </c>
      <c r="BC84" s="3130">
        <f ca="1">INDEX(INDIRECT("'"&amp;BC$4&amp;"'!Year.Matrix"), MATCH("VII.b", INDIRECT("'"&amp;BC$4&amp;"'!Year.Modules"), 0), MATCH('Intermediate output'!$C84, INDIRECT("'"&amp;BC$4&amp;"'!Year.Vectors"), 0))</f>
        <v>-4.264257942261505</v>
      </c>
      <c r="BD84" s="3130">
        <f ca="1">INDEX(INDIRECT("'"&amp;BD$4&amp;"'!Year.Matrix"), MATCH("VII.b", INDIRECT("'"&amp;BD$4&amp;"'!Year.Modules"), 0), MATCH('Intermediate output'!$C84, INDIRECT("'"&amp;BD$4&amp;"'!Year.Vectors"), 0))</f>
        <v>-4.5457884936212984</v>
      </c>
      <c r="BE84" s="3130">
        <f ca="1">INDEX(INDIRECT("'"&amp;BE$4&amp;"'!Year.Matrix"), MATCH("VII.b", INDIRECT("'"&amp;BE$4&amp;"'!Year.Modules"), 0), MATCH('Intermediate output'!$C84, INDIRECT("'"&amp;BE$4&amp;"'!Year.Vectors"), 0))</f>
        <v>-4.8484755681702083</v>
      </c>
      <c r="BF84" s="3130">
        <f ca="1">INDEX(INDIRECT("'"&amp;BF$4&amp;"'!Year.Matrix"), MATCH("VII.b", INDIRECT("'"&amp;BF$4&amp;"'!Year.Modules"), 0), MATCH('Intermediate output'!$C84, INDIRECT("'"&amp;BF$4&amp;"'!Year.Vectors"), 0))</f>
        <v>-5.164961869911977</v>
      </c>
      <c r="BG84" s="3130">
        <f ca="1">INDEX(INDIRECT("'"&amp;BG$4&amp;"'!Year.Matrix"), MATCH("VII.b", INDIRECT("'"&amp;BG$4&amp;"'!Year.Modules"), 0), MATCH('Intermediate output'!$C84, INDIRECT("'"&amp;BG$4&amp;"'!Year.Vectors"), 0))</f>
        <v>-5.4828252444174481</v>
      </c>
      <c r="BH84" s="3131"/>
      <c r="BJ84" s="3128"/>
      <c r="BK84" s="819"/>
      <c r="BL84" s="819"/>
      <c r="BM84" s="819"/>
      <c r="BN84" s="819"/>
      <c r="BO84" s="819"/>
      <c r="BP84" s="3129"/>
      <c r="BQ84" s="3129"/>
      <c r="BR84" s="3129"/>
      <c r="BS84" s="3129"/>
      <c r="BT84" s="3129"/>
      <c r="BU84" s="3129"/>
    </row>
    <row r="85" spans="1:73" s="824" customFormat="1" ht="13">
      <c r="B85" s="3132"/>
      <c r="C85" s="830"/>
      <c r="D85" s="830" t="s">
        <v>2472</v>
      </c>
      <c r="E85" s="819"/>
      <c r="F85" s="3133"/>
      <c r="G85" s="3133"/>
      <c r="H85" s="3134"/>
      <c r="I85" s="3134"/>
      <c r="J85" s="3134"/>
      <c r="K85" s="3134"/>
      <c r="L85" s="3134"/>
      <c r="M85" s="3134"/>
      <c r="N85" s="3134"/>
      <c r="O85" s="3134"/>
      <c r="P85" s="3134"/>
      <c r="Q85" s="3134"/>
      <c r="R85" s="3134"/>
      <c r="S85" s="3134"/>
      <c r="T85" s="3134"/>
      <c r="U85" s="3134"/>
      <c r="V85" s="3134"/>
      <c r="W85" s="3134"/>
      <c r="X85" s="3134"/>
      <c r="Y85" s="3134"/>
      <c r="Z85" s="3134"/>
      <c r="AA85" s="3134"/>
      <c r="AB85" s="3134"/>
      <c r="AC85" s="3134"/>
      <c r="AD85" s="3134"/>
      <c r="AE85" s="3134"/>
      <c r="AF85" s="3134"/>
      <c r="AG85" s="3134"/>
      <c r="AH85" s="3134"/>
      <c r="AI85" s="3134"/>
      <c r="AJ85" s="3134"/>
      <c r="AK85" s="3134"/>
      <c r="AL85" s="3134"/>
      <c r="AM85" s="3134"/>
      <c r="AN85" s="3134"/>
      <c r="AO85" s="3134"/>
      <c r="AP85" s="3134"/>
      <c r="AQ85" s="3134"/>
      <c r="AR85" s="3134"/>
      <c r="AS85" s="3134"/>
      <c r="AT85" s="3134"/>
      <c r="AU85" s="3134"/>
      <c r="AV85" s="3134"/>
      <c r="AW85" s="3134"/>
      <c r="AX85" s="819"/>
      <c r="AY85" s="3133">
        <f t="shared" ref="AY85:BG85" ca="1" si="16">-AY80-AY84</f>
        <v>27.528679060156033</v>
      </c>
      <c r="AZ85" s="3133">
        <f t="shared" ca="1" si="16"/>
        <v>28.35524906180326</v>
      </c>
      <c r="BA85" s="3133">
        <f t="shared" ca="1" si="16"/>
        <v>30.069337727921212</v>
      </c>
      <c r="BB85" s="3133">
        <f t="shared" ca="1" si="16"/>
        <v>32.062508019667931</v>
      </c>
      <c r="BC85" s="3133">
        <f t="shared" ca="1" si="16"/>
        <v>34.121060792295573</v>
      </c>
      <c r="BD85" s="3133">
        <f t="shared" ca="1" si="16"/>
        <v>36.373669429825114</v>
      </c>
      <c r="BE85" s="3133">
        <f t="shared" ca="1" si="16"/>
        <v>38.795552218082598</v>
      </c>
      <c r="BF85" s="3133">
        <f t="shared" ca="1" si="16"/>
        <v>41.327833763528588</v>
      </c>
      <c r="BG85" s="3133">
        <f t="shared" ca="1" si="16"/>
        <v>43.871145222223568</v>
      </c>
      <c r="BH85" s="3135"/>
      <c r="BJ85" s="3132"/>
      <c r="BK85" s="830"/>
      <c r="BL85" s="830"/>
      <c r="BM85" s="819"/>
      <c r="BN85" s="3133"/>
      <c r="BO85" s="3133"/>
      <c r="BP85" s="3134"/>
      <c r="BQ85" s="3134"/>
      <c r="BR85" s="3134"/>
      <c r="BS85" s="3134"/>
      <c r="BT85" s="3134"/>
      <c r="BU85" s="3134"/>
    </row>
    <row r="86" spans="1:73" s="824" customFormat="1" ht="13">
      <c r="B86" s="3132"/>
      <c r="C86" s="830"/>
      <c r="D86" s="830" t="s">
        <v>2473</v>
      </c>
      <c r="E86" s="819"/>
      <c r="F86" s="3133"/>
      <c r="G86" s="3133"/>
      <c r="H86" s="3134"/>
      <c r="I86" s="3134"/>
      <c r="J86" s="3134"/>
      <c r="K86" s="3134"/>
      <c r="L86" s="3134"/>
      <c r="M86" s="3134"/>
      <c r="N86" s="3134"/>
      <c r="O86" s="3134"/>
      <c r="P86" s="3134"/>
      <c r="Q86" s="3134"/>
      <c r="R86" s="3134"/>
      <c r="S86" s="3134"/>
      <c r="T86" s="3134"/>
      <c r="U86" s="3134"/>
      <c r="V86" s="3134"/>
      <c r="W86" s="3134"/>
      <c r="X86" s="3134"/>
      <c r="Y86" s="3134"/>
      <c r="Z86" s="3134"/>
      <c r="AA86" s="3134"/>
      <c r="AB86" s="3134"/>
      <c r="AC86" s="3134"/>
      <c r="AD86" s="3134"/>
      <c r="AE86" s="3134"/>
      <c r="AF86" s="3134"/>
      <c r="AG86" s="3134"/>
      <c r="AH86" s="3134"/>
      <c r="AI86" s="3134"/>
      <c r="AJ86" s="3134"/>
      <c r="AK86" s="3134"/>
      <c r="AL86" s="3134"/>
      <c r="AM86" s="3134"/>
      <c r="AN86" s="3134"/>
      <c r="AO86" s="3134"/>
      <c r="AP86" s="3134"/>
      <c r="AQ86" s="3134"/>
      <c r="AR86" s="3134"/>
      <c r="AS86" s="3134"/>
      <c r="AT86" s="3134"/>
      <c r="AU86" s="3134"/>
      <c r="AV86" s="3134"/>
      <c r="AW86" s="3134"/>
      <c r="AX86" s="819"/>
      <c r="AY86" s="3133">
        <f t="shared" ref="AY86:BG86" ca="1" si="17">AY111</f>
        <v>27.532470202973808</v>
      </c>
      <c r="AZ86" s="3133">
        <f t="shared" ca="1" si="17"/>
        <v>28.359040204621035</v>
      </c>
      <c r="BA86" s="3133">
        <f t="shared" ca="1" si="17"/>
        <v>30.073128870738987</v>
      </c>
      <c r="BB86" s="3133">
        <f t="shared" ca="1" si="17"/>
        <v>32.066299162485706</v>
      </c>
      <c r="BC86" s="3133">
        <f t="shared" ca="1" si="17"/>
        <v>34.124851935113348</v>
      </c>
      <c r="BD86" s="3133">
        <f t="shared" ca="1" si="17"/>
        <v>36.377460572642889</v>
      </c>
      <c r="BE86" s="3133">
        <f t="shared" ca="1" si="17"/>
        <v>38.799343360900366</v>
      </c>
      <c r="BF86" s="3133">
        <f t="shared" ca="1" si="17"/>
        <v>41.331624906346363</v>
      </c>
      <c r="BG86" s="3133">
        <f t="shared" ca="1" si="17"/>
        <v>43.874936365041343</v>
      </c>
      <c r="BH86" s="3135"/>
      <c r="BJ86" s="3132"/>
      <c r="BK86" s="830"/>
      <c r="BL86" s="830"/>
      <c r="BM86" s="819"/>
      <c r="BN86" s="3133"/>
      <c r="BO86" s="3133"/>
      <c r="BP86" s="3134"/>
      <c r="BQ86" s="3134"/>
      <c r="BR86" s="3134"/>
      <c r="BS86" s="3134"/>
      <c r="BT86" s="3134"/>
      <c r="BU86" s="3134"/>
    </row>
    <row r="87" spans="1:73">
      <c r="B87" s="3136"/>
      <c r="C87" s="823"/>
      <c r="D87" s="823"/>
      <c r="E87" s="823"/>
      <c r="F87" s="823"/>
      <c r="G87" s="823"/>
      <c r="H87" s="3127"/>
      <c r="I87" s="3127"/>
      <c r="J87" s="3127"/>
      <c r="K87" s="3127"/>
      <c r="L87" s="3127"/>
      <c r="M87" s="3127"/>
      <c r="N87" s="3127"/>
      <c r="O87" s="3127"/>
      <c r="P87" s="3127"/>
      <c r="Q87" s="3127"/>
      <c r="R87" s="3127"/>
      <c r="S87" s="3127"/>
      <c r="T87" s="3127"/>
      <c r="U87" s="3127"/>
      <c r="V87" s="3127"/>
      <c r="W87" s="3127"/>
      <c r="X87" s="3127"/>
      <c r="Y87" s="3127"/>
      <c r="Z87" s="3127"/>
      <c r="AA87" s="3127"/>
      <c r="AB87" s="3127"/>
      <c r="AC87" s="3127"/>
      <c r="AD87" s="3127"/>
      <c r="AE87" s="3127"/>
      <c r="AF87" s="3127"/>
      <c r="AG87" s="3127"/>
      <c r="AH87" s="3127"/>
      <c r="AI87" s="3127"/>
      <c r="AJ87" s="3127"/>
      <c r="AK87" s="3127"/>
      <c r="AL87" s="3127"/>
      <c r="AM87" s="3127"/>
      <c r="AN87" s="3127"/>
      <c r="AO87" s="3127"/>
      <c r="AP87" s="3127"/>
      <c r="AQ87" s="3127"/>
      <c r="AR87" s="3127"/>
      <c r="AS87" s="3127"/>
      <c r="AT87" s="3127"/>
      <c r="AU87" s="3127"/>
      <c r="AV87" s="3127"/>
      <c r="AW87" s="3127"/>
      <c r="AX87" s="823"/>
      <c r="AY87" s="823"/>
      <c r="AZ87" s="823"/>
      <c r="BA87" s="823"/>
      <c r="BB87" s="823"/>
      <c r="BC87" s="823"/>
      <c r="BD87" s="823"/>
      <c r="BE87" s="823"/>
      <c r="BF87" s="823"/>
      <c r="BG87" s="823"/>
      <c r="BH87" s="3137"/>
      <c r="BJ87" s="3136"/>
      <c r="BK87" s="823"/>
      <c r="BL87" s="823"/>
      <c r="BM87" s="823"/>
      <c r="BN87" s="823"/>
      <c r="BO87" s="823"/>
      <c r="BP87" s="3127"/>
      <c r="BQ87" s="3127"/>
      <c r="BR87" s="3127"/>
      <c r="BS87" s="3127"/>
      <c r="BT87" s="3127"/>
      <c r="BU87" s="3127"/>
    </row>
    <row r="88" spans="1:73">
      <c r="B88" s="1177"/>
      <c r="C88" s="1068"/>
      <c r="D88" s="1068"/>
      <c r="E88" s="1068"/>
      <c r="F88" s="1068"/>
      <c r="G88" s="1068"/>
      <c r="H88" s="3138"/>
      <c r="I88" s="3138"/>
      <c r="J88" s="3138"/>
      <c r="K88" s="3138"/>
      <c r="L88" s="3138"/>
      <c r="M88" s="3138"/>
      <c r="N88" s="3138"/>
      <c r="O88" s="3138"/>
      <c r="P88" s="3138"/>
      <c r="Q88" s="3138"/>
      <c r="R88" s="3138"/>
      <c r="S88" s="3138"/>
      <c r="T88" s="3138"/>
      <c r="U88" s="3138"/>
      <c r="V88" s="3138"/>
      <c r="W88" s="3138"/>
      <c r="X88" s="3138"/>
      <c r="Y88" s="3138"/>
      <c r="Z88" s="3138"/>
      <c r="AA88" s="3138"/>
      <c r="AB88" s="3138"/>
      <c r="AC88" s="3138"/>
      <c r="AD88" s="3138"/>
      <c r="AE88" s="3138"/>
      <c r="AF88" s="3138"/>
      <c r="AG88" s="3138"/>
      <c r="AH88" s="3138"/>
      <c r="AI88" s="3138"/>
      <c r="AJ88" s="3138"/>
      <c r="AK88" s="3138"/>
      <c r="AL88" s="3138"/>
      <c r="AM88" s="3138"/>
      <c r="AN88" s="3138"/>
      <c r="AO88" s="3138"/>
      <c r="AP88" s="3138"/>
      <c r="AQ88" s="3138"/>
      <c r="AR88" s="3138"/>
      <c r="AS88" s="3138"/>
      <c r="AT88" s="3138"/>
      <c r="AU88" s="3138"/>
      <c r="AV88" s="3138"/>
      <c r="AW88" s="3138"/>
      <c r="AX88" s="1068"/>
      <c r="AY88" s="1068"/>
      <c r="AZ88" s="1068"/>
      <c r="BA88" s="1068"/>
      <c r="BB88" s="1068"/>
      <c r="BC88" s="1068"/>
      <c r="BD88" s="1068"/>
      <c r="BE88" s="1068"/>
      <c r="BF88" s="1068"/>
      <c r="BG88" s="1068"/>
      <c r="BH88" s="2467"/>
      <c r="BJ88" s="1177"/>
      <c r="BK88" s="1068"/>
      <c r="BL88" s="1068"/>
      <c r="BM88" s="1068"/>
      <c r="BN88" s="1068"/>
      <c r="BO88" s="1068"/>
      <c r="BP88" s="3138"/>
      <c r="BQ88" s="3138"/>
      <c r="BR88" s="3138"/>
      <c r="BS88" s="3138"/>
      <c r="BT88" s="3138"/>
      <c r="BU88" s="3138"/>
    </row>
    <row r="89" spans="1:73">
      <c r="B89" s="1177"/>
      <c r="C89" s="1068" t="s">
        <v>446</v>
      </c>
      <c r="D89" s="1068" t="s">
        <v>397</v>
      </c>
      <c r="E89" s="1068"/>
      <c r="F89" s="3139">
        <v>0</v>
      </c>
      <c r="G89" s="3139"/>
      <c r="H89" s="3140"/>
      <c r="I89" s="3140"/>
      <c r="J89" s="3140"/>
      <c r="K89" s="3140"/>
      <c r="L89" s="3140"/>
      <c r="M89" s="3140"/>
      <c r="N89" s="3140"/>
      <c r="O89" s="3140"/>
      <c r="P89" s="3140"/>
      <c r="Q89" s="3140"/>
      <c r="R89" s="3140"/>
      <c r="S89" s="3140"/>
      <c r="T89" s="3140"/>
      <c r="U89" s="3140"/>
      <c r="V89" s="3140"/>
      <c r="W89" s="3140"/>
      <c r="X89" s="3140"/>
      <c r="Y89" s="3140"/>
      <c r="Z89" s="3140"/>
      <c r="AA89" s="3140"/>
      <c r="AB89" s="3140"/>
      <c r="AC89" s="3140"/>
      <c r="AD89" s="3140"/>
      <c r="AE89" s="3140"/>
      <c r="AF89" s="3140"/>
      <c r="AG89" s="3140"/>
      <c r="AH89" s="3140"/>
      <c r="AI89" s="3140"/>
      <c r="AJ89" s="3140"/>
      <c r="AK89" s="3140"/>
      <c r="AL89" s="3140"/>
      <c r="AM89" s="3140"/>
      <c r="AN89" s="3140"/>
      <c r="AO89" s="3140"/>
      <c r="AP89" s="3140"/>
      <c r="AQ89" s="3140"/>
      <c r="AR89" s="3140"/>
      <c r="AS89" s="3140"/>
      <c r="AT89" s="3140"/>
      <c r="AU89" s="3140"/>
      <c r="AV89" s="3140"/>
      <c r="AW89" s="3140"/>
      <c r="AX89" s="1068"/>
      <c r="AY89" s="3139">
        <f ca="1">INDEX(INDIRECT("'"&amp;AY$4&amp;"'!Year.NetBalance"), MATCH('Intermediate output'!$C89, INDIRECT("'"&amp;AY$4&amp;"'!Year.Vectors"), 0))</f>
        <v>0</v>
      </c>
      <c r="AZ89" s="3139">
        <f ca="1">INDEX(INDIRECT("'"&amp;AZ$4&amp;"'!Year.NetBalance"), MATCH('Intermediate output'!$C89, INDIRECT("'"&amp;AZ$4&amp;"'!Year.Vectors"), 0))</f>
        <v>6.3948846218409017E-14</v>
      </c>
      <c r="BA89" s="3139">
        <f ca="1">INDEX(INDIRECT("'"&amp;BA$4&amp;"'!Year.NetBalance"), MATCH('Intermediate output'!$C89, INDIRECT("'"&amp;BA$4&amp;"'!Year.Vectors"), 0))</f>
        <v>0</v>
      </c>
      <c r="BB89" s="3139">
        <f ca="1">INDEX(INDIRECT("'"&amp;BB$4&amp;"'!Year.NetBalance"), MATCH('Intermediate output'!$C89, INDIRECT("'"&amp;BB$4&amp;"'!Year.Vectors"), 0))</f>
        <v>0</v>
      </c>
      <c r="BC89" s="3139">
        <f ca="1">INDEX(INDIRECT("'"&amp;BC$4&amp;"'!Year.NetBalance"), MATCH('Intermediate output'!$C89, INDIRECT("'"&amp;BC$4&amp;"'!Year.Vectors"), 0))</f>
        <v>0</v>
      </c>
      <c r="BD89" s="3139">
        <f ca="1">INDEX(INDIRECT("'"&amp;BD$4&amp;"'!Year.NetBalance"), MATCH('Intermediate output'!$C89, INDIRECT("'"&amp;BD$4&amp;"'!Year.Vectors"), 0))</f>
        <v>0</v>
      </c>
      <c r="BE89" s="3139">
        <f ca="1">INDEX(INDIRECT("'"&amp;BE$4&amp;"'!Year.NetBalance"), MATCH('Intermediate output'!$C89, INDIRECT("'"&amp;BE$4&amp;"'!Year.Vectors"), 0))</f>
        <v>0</v>
      </c>
      <c r="BF89" s="3139">
        <f ca="1">INDEX(INDIRECT("'"&amp;BF$4&amp;"'!Year.NetBalance"), MATCH('Intermediate output'!$C89, INDIRECT("'"&amp;BF$4&amp;"'!Year.Vectors"), 0))</f>
        <v>0</v>
      </c>
      <c r="BG89" s="3139">
        <f ca="1">INDEX(INDIRECT("'"&amp;BG$4&amp;"'!Year.NetBalance"), MATCH('Intermediate output'!$C89, INDIRECT("'"&amp;BG$4&amp;"'!Year.Vectors"), 0))</f>
        <v>0</v>
      </c>
      <c r="BH89" s="3141"/>
      <c r="BJ89" s="1177"/>
      <c r="BK89" s="1068"/>
      <c r="BL89" s="1068"/>
      <c r="BM89" s="1068"/>
      <c r="BN89" s="3139"/>
      <c r="BO89" s="3139"/>
      <c r="BP89" s="3140"/>
      <c r="BQ89" s="3140"/>
      <c r="BR89" s="3140"/>
      <c r="BS89" s="3140"/>
      <c r="BT89" s="3140"/>
      <c r="BU89" s="3140"/>
    </row>
    <row r="90" spans="1:73">
      <c r="B90" s="1177"/>
      <c r="C90" s="1068"/>
      <c r="D90" s="1068"/>
      <c r="E90" s="1068"/>
      <c r="F90" s="3142"/>
      <c r="G90" s="3142"/>
      <c r="H90" s="3143"/>
      <c r="I90" s="3143"/>
      <c r="J90" s="3143"/>
      <c r="K90" s="3143"/>
      <c r="L90" s="3143"/>
      <c r="M90" s="3143"/>
      <c r="N90" s="3143"/>
      <c r="O90" s="3143"/>
      <c r="P90" s="3143"/>
      <c r="Q90" s="3143"/>
      <c r="R90" s="3143"/>
      <c r="S90" s="3143"/>
      <c r="T90" s="3143"/>
      <c r="U90" s="3143"/>
      <c r="V90" s="3143"/>
      <c r="W90" s="3143"/>
      <c r="X90" s="3143"/>
      <c r="Y90" s="3143"/>
      <c r="Z90" s="3143"/>
      <c r="AA90" s="3143"/>
      <c r="AB90" s="3143"/>
      <c r="AC90" s="3143"/>
      <c r="AD90" s="3143"/>
      <c r="AE90" s="3143"/>
      <c r="AF90" s="3143"/>
      <c r="AG90" s="3143"/>
      <c r="AH90" s="3143"/>
      <c r="AI90" s="3143"/>
      <c r="AJ90" s="3143"/>
      <c r="AK90" s="3143"/>
      <c r="AL90" s="3143"/>
      <c r="AM90" s="3143"/>
      <c r="AN90" s="3143"/>
      <c r="AO90" s="3143"/>
      <c r="AP90" s="3143"/>
      <c r="AQ90" s="3143"/>
      <c r="AR90" s="3143"/>
      <c r="AS90" s="3143"/>
      <c r="AT90" s="3143"/>
      <c r="AU90" s="3143"/>
      <c r="AV90" s="3143"/>
      <c r="AW90" s="3143"/>
      <c r="AX90" s="1068"/>
      <c r="AY90" s="3139"/>
      <c r="AZ90" s="3139"/>
      <c r="BA90" s="3139"/>
      <c r="BB90" s="3139"/>
      <c r="BC90" s="3139"/>
      <c r="BD90" s="3139"/>
      <c r="BE90" s="3139"/>
      <c r="BF90" s="3139"/>
      <c r="BG90" s="3139"/>
      <c r="BH90" s="2467"/>
      <c r="BJ90" s="1177"/>
      <c r="BK90" s="1068"/>
      <c r="BL90" s="1068"/>
      <c r="BM90" s="1068"/>
      <c r="BN90" s="3142"/>
      <c r="BO90" s="3142"/>
      <c r="BP90" s="3143"/>
      <c r="BQ90" s="3143"/>
      <c r="BR90" s="3143"/>
      <c r="BS90" s="3143"/>
      <c r="BT90" s="3143"/>
      <c r="BU90" s="3143"/>
    </row>
    <row r="91" spans="1:73" s="6" customFormat="1" ht="18.5">
      <c r="B91" s="3144"/>
      <c r="C91" s="647"/>
      <c r="D91" s="3145" t="s">
        <v>2474</v>
      </c>
      <c r="E91" s="1068"/>
      <c r="F91" s="3146">
        <v>6.2616578588858829E-14</v>
      </c>
      <c r="G91" s="3147"/>
      <c r="H91" s="3148"/>
      <c r="I91" s="3148"/>
      <c r="J91" s="3148"/>
      <c r="K91" s="3148"/>
      <c r="L91" s="3148"/>
      <c r="M91" s="3148"/>
      <c r="N91" s="3148"/>
      <c r="O91" s="3148"/>
      <c r="P91" s="3148"/>
      <c r="Q91" s="3148"/>
      <c r="R91" s="3148"/>
      <c r="S91" s="3148"/>
      <c r="T91" s="3148"/>
      <c r="U91" s="3148"/>
      <c r="V91" s="3148"/>
      <c r="W91" s="3148"/>
      <c r="X91" s="3148"/>
      <c r="Y91" s="3148"/>
      <c r="Z91" s="3148"/>
      <c r="AA91" s="3148"/>
      <c r="AB91" s="3148"/>
      <c r="AC91" s="3148"/>
      <c r="AD91" s="3148"/>
      <c r="AE91" s="3148"/>
      <c r="AF91" s="3148"/>
      <c r="AG91" s="3148"/>
      <c r="AH91" s="3148"/>
      <c r="AI91" s="3148"/>
      <c r="AJ91" s="3148"/>
      <c r="AK91" s="3148"/>
      <c r="AL91" s="3148"/>
      <c r="AM91" s="3148"/>
      <c r="AN91" s="3148"/>
      <c r="AO91" s="3148"/>
      <c r="AP91" s="3148"/>
      <c r="AQ91" s="3148"/>
      <c r="AR91" s="3148"/>
      <c r="AS91" s="3148"/>
      <c r="AT91" s="3148"/>
      <c r="AU91" s="3148"/>
      <c r="AV91" s="3148"/>
      <c r="AW91" s="3148"/>
      <c r="AX91" s="1068"/>
      <c r="AY91" s="3146">
        <f t="shared" ref="AY91:BF91" ca="1" si="18">AY74+AY82+AY89</f>
        <v>-1.4210854715202004E-14</v>
      </c>
      <c r="AZ91" s="3146">
        <f t="shared" ca="1" si="18"/>
        <v>7.815970093361102E-14</v>
      </c>
      <c r="BA91" s="3146">
        <f t="shared" ca="1" si="18"/>
        <v>0</v>
      </c>
      <c r="BB91" s="3146">
        <f t="shared" ca="1" si="18"/>
        <v>0</v>
      </c>
      <c r="BC91" s="3146">
        <f t="shared" ca="1" si="18"/>
        <v>-2.7700064464397656E-14</v>
      </c>
      <c r="BD91" s="3146">
        <f t="shared" ca="1" si="18"/>
        <v>2.8421709430404007E-14</v>
      </c>
      <c r="BE91" s="3146">
        <f t="shared" ca="1" si="18"/>
        <v>2.8421709430404007E-14</v>
      </c>
      <c r="BF91" s="3146">
        <f t="shared" ca="1" si="18"/>
        <v>0</v>
      </c>
      <c r="BG91" s="3146">
        <f ca="1">BG74+BG82+BG89</f>
        <v>0</v>
      </c>
      <c r="BH91"/>
      <c r="BJ91" s="3144"/>
      <c r="BK91" s="647"/>
      <c r="BL91" s="608"/>
      <c r="BM91" s="1068"/>
      <c r="BN91" s="3147"/>
      <c r="BO91" s="3147"/>
      <c r="BP91" s="3148"/>
      <c r="BQ91" s="3148"/>
      <c r="BR91" s="3148"/>
      <c r="BS91" s="3148"/>
      <c r="BT91" s="3148"/>
      <c r="BU91" s="3148"/>
    </row>
    <row r="92" spans="1:73" s="39" customFormat="1">
      <c r="B92" s="1177"/>
      <c r="C92" s="1068"/>
      <c r="D92" s="1068"/>
      <c r="E92" s="1068"/>
      <c r="F92" s="1068"/>
      <c r="G92" s="1068"/>
      <c r="H92" s="3138"/>
      <c r="I92" s="3138"/>
      <c r="J92" s="3138"/>
      <c r="K92" s="3138"/>
      <c r="L92" s="3138"/>
      <c r="M92" s="3138"/>
      <c r="N92" s="3138"/>
      <c r="O92" s="3138"/>
      <c r="P92" s="3138"/>
      <c r="Q92" s="3138"/>
      <c r="R92" s="3138"/>
      <c r="S92" s="3138"/>
      <c r="T92" s="3138"/>
      <c r="U92" s="3138"/>
      <c r="V92" s="3138"/>
      <c r="W92" s="3138"/>
      <c r="X92" s="3138"/>
      <c r="Y92" s="3138"/>
      <c r="Z92" s="3138"/>
      <c r="AA92" s="3138"/>
      <c r="AB92" s="3138"/>
      <c r="AC92" s="3138"/>
      <c r="AD92" s="3138"/>
      <c r="AE92" s="3138"/>
      <c r="AF92" s="3138"/>
      <c r="AG92" s="3138"/>
      <c r="AH92" s="3138"/>
      <c r="AI92" s="3138"/>
      <c r="AJ92" s="3138"/>
      <c r="AK92" s="3138"/>
      <c r="AL92" s="3138"/>
      <c r="AM92" s="3138"/>
      <c r="AN92" s="3138"/>
      <c r="AO92" s="3138"/>
      <c r="AP92" s="3138"/>
      <c r="AQ92" s="3138"/>
      <c r="AR92" s="3138"/>
      <c r="AS92" s="3138"/>
      <c r="AT92" s="3138"/>
      <c r="AU92" s="3138"/>
      <c r="AV92" s="3138"/>
      <c r="AW92" s="3138"/>
      <c r="AX92" s="1068"/>
      <c r="AY92" s="1068"/>
      <c r="AZ92" s="1068"/>
      <c r="BA92" s="1068"/>
      <c r="BB92" s="1068"/>
      <c r="BC92" s="1068"/>
      <c r="BD92" s="1068"/>
      <c r="BE92" s="1068"/>
      <c r="BF92" s="1068"/>
      <c r="BG92" s="1068"/>
      <c r="BH92" s="2467"/>
      <c r="BJ92" s="1177"/>
      <c r="BK92" s="1068"/>
      <c r="BL92" s="1068"/>
      <c r="BM92" s="1068"/>
      <c r="BN92" s="1068"/>
      <c r="BO92" s="1068"/>
      <c r="BP92" s="3138"/>
      <c r="BQ92" s="3138"/>
      <c r="BR92" s="3138"/>
      <c r="BS92" s="3138"/>
      <c r="BT92" s="3138"/>
      <c r="BU92" s="3138"/>
    </row>
    <row r="93" spans="1:73" ht="23.5">
      <c r="A93" s="7"/>
      <c r="B93" s="3106" t="s">
        <v>602</v>
      </c>
      <c r="C93" s="3107"/>
      <c r="D93" s="3107"/>
      <c r="E93" s="3107"/>
      <c r="F93" s="3107"/>
      <c r="G93" s="3107"/>
      <c r="H93" s="3108"/>
      <c r="I93" s="3108"/>
      <c r="J93" s="3108"/>
      <c r="K93" s="3108"/>
      <c r="L93" s="3108"/>
      <c r="M93" s="3108"/>
      <c r="N93" s="3108"/>
      <c r="O93" s="3108"/>
      <c r="P93" s="3108"/>
      <c r="Q93" s="3108"/>
      <c r="R93" s="3108"/>
      <c r="S93" s="3108"/>
      <c r="T93" s="3108"/>
      <c r="U93" s="3108"/>
      <c r="V93" s="3108"/>
      <c r="W93" s="3108"/>
      <c r="X93" s="3108"/>
      <c r="Y93" s="3108"/>
      <c r="Z93" s="3108"/>
      <c r="AA93" s="3108"/>
      <c r="AB93" s="3108"/>
      <c r="AC93" s="3108"/>
      <c r="AD93" s="3108"/>
      <c r="AE93" s="3108"/>
      <c r="AF93" s="3108"/>
      <c r="AG93" s="3108"/>
      <c r="AH93" s="3108"/>
      <c r="AI93" s="3108"/>
      <c r="AJ93" s="3108"/>
      <c r="AK93" s="3108"/>
      <c r="AL93" s="3108"/>
      <c r="AM93" s="3108"/>
      <c r="AN93" s="3108"/>
      <c r="AO93" s="3108"/>
      <c r="AP93" s="3108"/>
      <c r="AQ93" s="3108"/>
      <c r="AR93" s="3108"/>
      <c r="AS93" s="3108"/>
      <c r="AT93" s="3108"/>
      <c r="AU93" s="3108"/>
      <c r="AV93" s="3108"/>
      <c r="AW93" s="3108"/>
      <c r="AX93" s="3107"/>
      <c r="AY93" s="3109"/>
      <c r="AZ93" s="3109"/>
      <c r="BA93" s="3109"/>
      <c r="BB93" s="3109"/>
      <c r="BC93" s="3109"/>
      <c r="BD93" s="3109"/>
      <c r="BE93" s="3109"/>
      <c r="BF93" s="3109"/>
      <c r="BG93" s="3109"/>
      <c r="BH93" s="3110"/>
      <c r="BJ93" s="3106"/>
      <c r="BK93" s="3107"/>
      <c r="BL93" s="3107"/>
      <c r="BM93" s="3107"/>
      <c r="BN93" s="3107"/>
      <c r="BO93" s="3107"/>
      <c r="BP93" s="3108"/>
      <c r="BQ93" s="3108"/>
      <c r="BR93" s="3108"/>
      <c r="BS93" s="3108"/>
      <c r="BT93" s="3108"/>
      <c r="BU93" s="3108"/>
    </row>
    <row r="94" spans="1:73" s="39" customFormat="1" ht="15">
      <c r="A94" s="38"/>
      <c r="B94" s="3149"/>
      <c r="C94" s="823"/>
      <c r="D94" s="3112"/>
      <c r="E94" s="3112"/>
      <c r="F94" s="3112"/>
      <c r="G94" s="3112"/>
      <c r="H94" s="3113"/>
      <c r="I94" s="3113"/>
      <c r="J94" s="3113"/>
      <c r="K94" s="3113"/>
      <c r="L94" s="3113"/>
      <c r="M94" s="3113"/>
      <c r="N94" s="3113"/>
      <c r="O94" s="3113"/>
      <c r="P94" s="3113"/>
      <c r="Q94" s="3113"/>
      <c r="R94" s="3113"/>
      <c r="S94" s="3113"/>
      <c r="T94" s="3113"/>
      <c r="U94" s="3113"/>
      <c r="V94" s="3113"/>
      <c r="W94" s="3113"/>
      <c r="X94" s="3113"/>
      <c r="Y94" s="3113"/>
      <c r="Z94" s="3113"/>
      <c r="AA94" s="3113"/>
      <c r="AB94" s="3113"/>
      <c r="AC94" s="3113"/>
      <c r="AD94" s="3113"/>
      <c r="AE94" s="3113"/>
      <c r="AF94" s="3113"/>
      <c r="AG94" s="3113"/>
      <c r="AH94" s="3113"/>
      <c r="AI94" s="3113"/>
      <c r="AJ94" s="3113"/>
      <c r="AK94" s="3113"/>
      <c r="AL94" s="3113"/>
      <c r="AM94" s="3113"/>
      <c r="AN94" s="3113"/>
      <c r="AO94" s="3113"/>
      <c r="AP94" s="3113"/>
      <c r="AQ94" s="3113"/>
      <c r="AR94" s="3113"/>
      <c r="AS94" s="3113"/>
      <c r="AT94" s="3113"/>
      <c r="AU94" s="3113"/>
      <c r="AV94" s="3113"/>
      <c r="AW94" s="3113"/>
      <c r="AX94" s="3112"/>
      <c r="AY94" s="3114"/>
      <c r="AZ94" s="3119"/>
      <c r="BA94" s="3119"/>
      <c r="BB94" s="3119"/>
      <c r="BC94" s="3119"/>
      <c r="BD94" s="3119"/>
      <c r="BE94" s="3119"/>
      <c r="BF94" s="3119"/>
      <c r="BG94" s="3119"/>
      <c r="BH94" s="3120"/>
      <c r="BJ94" s="3149"/>
      <c r="BK94" s="823"/>
      <c r="BL94" s="3112"/>
      <c r="BM94" s="3112"/>
      <c r="BN94" s="3112"/>
      <c r="BO94" s="3112"/>
      <c r="BP94" s="3113"/>
      <c r="BQ94" s="3113"/>
      <c r="BR94" s="3113"/>
      <c r="BS94" s="3113"/>
      <c r="BT94" s="3113"/>
      <c r="BU94" s="3113"/>
    </row>
    <row r="95" spans="1:73">
      <c r="B95" s="3116"/>
      <c r="C95" s="823" t="s">
        <v>96</v>
      </c>
      <c r="D95" s="820" t="str">
        <f>Preferences.EnergyUnits</f>
        <v>TWh</v>
      </c>
      <c r="E95" s="823"/>
      <c r="F95" s="820"/>
      <c r="G95" s="823"/>
      <c r="H95" s="3127"/>
      <c r="I95" s="3127"/>
      <c r="J95" s="3127"/>
      <c r="K95" s="3127"/>
      <c r="L95" s="3127"/>
      <c r="M95" s="3127"/>
      <c r="N95" s="3127"/>
      <c r="O95" s="3127"/>
      <c r="P95" s="3127"/>
      <c r="Q95" s="3127"/>
      <c r="R95" s="3127"/>
      <c r="S95" s="3127"/>
      <c r="T95" s="3127"/>
      <c r="U95" s="3127"/>
      <c r="V95" s="3127"/>
      <c r="W95" s="3127"/>
      <c r="X95" s="3127"/>
      <c r="Y95" s="3127"/>
      <c r="Z95" s="3127"/>
      <c r="AA95" s="3127"/>
      <c r="AB95" s="3127"/>
      <c r="AC95" s="3127"/>
      <c r="AD95" s="3127"/>
      <c r="AE95" s="3127"/>
      <c r="AF95" s="3127"/>
      <c r="AG95" s="3127"/>
      <c r="AH95" s="3127"/>
      <c r="AI95" s="3127"/>
      <c r="AJ95" s="3127"/>
      <c r="AK95" s="3127"/>
      <c r="AL95" s="3127"/>
      <c r="AM95" s="3127"/>
      <c r="AN95" s="3127"/>
      <c r="AO95" s="3127"/>
      <c r="AP95" s="3127"/>
      <c r="AQ95" s="3127"/>
      <c r="AR95" s="3127"/>
      <c r="AS95" s="3127"/>
      <c r="AT95" s="3127"/>
      <c r="AU95" s="3127"/>
      <c r="AV95" s="3127"/>
      <c r="AW95" s="3127"/>
      <c r="AX95" s="823"/>
      <c r="AY95" s="3150">
        <v>2013</v>
      </c>
      <c r="AZ95" s="3150">
        <v>2015</v>
      </c>
      <c r="BA95" s="3150">
        <v>2020</v>
      </c>
      <c r="BB95" s="3150">
        <v>2025</v>
      </c>
      <c r="BC95" s="3150">
        <v>2030</v>
      </c>
      <c r="BD95" s="3150">
        <v>2035</v>
      </c>
      <c r="BE95" s="3150">
        <v>2040</v>
      </c>
      <c r="BF95" s="3150">
        <v>2045</v>
      </c>
      <c r="BG95" s="3150">
        <v>2050</v>
      </c>
      <c r="BH95" s="3137"/>
      <c r="BJ95" s="3116"/>
      <c r="BK95" s="823"/>
      <c r="BL95" s="823"/>
      <c r="BM95" s="823"/>
      <c r="BN95" s="823"/>
      <c r="BO95" s="823"/>
      <c r="BP95" s="3127"/>
      <c r="BQ95" s="3127"/>
      <c r="BR95" s="3127"/>
      <c r="BS95" s="3127"/>
      <c r="BT95" s="3127"/>
      <c r="BU95" s="3127"/>
    </row>
    <row r="96" spans="1:73">
      <c r="B96" s="3116"/>
      <c r="C96" s="3151" t="s">
        <v>547</v>
      </c>
      <c r="D96" s="823" t="s">
        <v>3357</v>
      </c>
      <c r="E96" s="3151"/>
      <c r="F96" s="3119">
        <f>'Irl. Energy Balance 2013 (TWh)'!AK15</f>
        <v>21.003910878328096</v>
      </c>
      <c r="G96" s="3119"/>
      <c r="H96" s="3152"/>
      <c r="I96" s="3152"/>
      <c r="J96" s="3152"/>
      <c r="K96" s="3152"/>
      <c r="L96" s="3152"/>
      <c r="M96" s="3152"/>
      <c r="N96" s="3152"/>
      <c r="O96" s="3152"/>
      <c r="P96" s="3152"/>
      <c r="Q96" s="3152"/>
      <c r="R96" s="3152"/>
      <c r="S96" s="3152"/>
      <c r="T96" s="3152"/>
      <c r="U96" s="3152"/>
      <c r="V96" s="3152"/>
      <c r="W96" s="3152"/>
      <c r="X96" s="3152"/>
      <c r="Y96" s="3152"/>
      <c r="Z96" s="3152"/>
      <c r="AA96" s="3152"/>
      <c r="AB96" s="3152"/>
      <c r="AC96" s="3152"/>
      <c r="AD96" s="3152"/>
      <c r="AE96" s="3152"/>
      <c r="AF96" s="3152"/>
      <c r="AG96" s="3152"/>
      <c r="AH96" s="3152"/>
      <c r="AI96" s="3152"/>
      <c r="AJ96" s="3152"/>
      <c r="AK96" s="3152"/>
      <c r="AL96" s="3152"/>
      <c r="AM96" s="3152"/>
      <c r="AN96" s="3152"/>
      <c r="AO96" s="3152"/>
      <c r="AP96" s="3152"/>
      <c r="AQ96" s="3152"/>
      <c r="AR96" s="3152"/>
      <c r="AS96" s="3152"/>
      <c r="AT96" s="3152"/>
      <c r="AU96" s="3152"/>
      <c r="AV96" s="3152"/>
      <c r="AW96" s="3152"/>
      <c r="AX96" s="3151"/>
      <c r="AY96" s="3119">
        <f ca="1">INDEX(INDIRECT("'"&amp;AY$4&amp;"'!Year.Matrix"), MATCH($C96, INDIRECT("'"&amp;AY$4&amp;"'!Year.Modules"), 0), MATCH($C$95, INDIRECT("'"&amp;AY$4&amp;"'!Year.Vectors"), 0))</f>
        <v>19.783214082973807</v>
      </c>
      <c r="AZ96" s="3119">
        <f t="shared" ref="AZ96:BG110" ca="1" si="19">INDEX(INDIRECT("'"&amp;AZ$4&amp;"'!Year.Matrix"), MATCH($C96, INDIRECT("'"&amp;AZ$4&amp;"'!Year.Modules"), 0), MATCH($C$95, INDIRECT("'"&amp;AZ$4&amp;"'!Year.Vectors"), 0))</f>
        <v>19.48990957229227</v>
      </c>
      <c r="BA96" s="3119">
        <f t="shared" ca="1" si="19"/>
        <v>21.190560440738988</v>
      </c>
      <c r="BB96" s="3119">
        <f t="shared" ca="1" si="19"/>
        <v>26.427914392485704</v>
      </c>
      <c r="BC96" s="3119">
        <f t="shared" ca="1" si="19"/>
        <v>31.467683465113346</v>
      </c>
      <c r="BD96" s="3119">
        <f t="shared" ca="1" si="19"/>
        <v>35.992545512642891</v>
      </c>
      <c r="BE96" s="3119">
        <f t="shared" ca="1" si="19"/>
        <v>38.514360700900369</v>
      </c>
      <c r="BF96" s="3119">
        <f t="shared" ca="1" si="19"/>
        <v>41.126281356346361</v>
      </c>
      <c r="BG96" s="3119">
        <f t="shared" ca="1" si="19"/>
        <v>43.836146815041346</v>
      </c>
      <c r="BH96" s="3137"/>
      <c r="BJ96" s="3116"/>
      <c r="BK96" s="3151"/>
      <c r="BL96" s="823"/>
      <c r="BM96" s="3151"/>
      <c r="BN96" s="3119"/>
      <c r="BO96" s="3119"/>
      <c r="BP96" s="3152"/>
      <c r="BQ96" s="3152"/>
      <c r="BR96" s="3152"/>
      <c r="BS96" s="3152"/>
      <c r="BT96" s="3152"/>
      <c r="BU96" s="3152"/>
    </row>
    <row r="97" spans="2:83" s="918" customFormat="1">
      <c r="B97" s="3153"/>
      <c r="C97" s="3154" t="s">
        <v>2</v>
      </c>
      <c r="D97" s="3154" t="s">
        <v>3</v>
      </c>
      <c r="E97" s="3151"/>
      <c r="F97" s="3155"/>
      <c r="G97" s="3155"/>
      <c r="H97" s="3156"/>
      <c r="I97" s="3156"/>
      <c r="J97" s="3156"/>
      <c r="K97" s="3156"/>
      <c r="L97" s="3156"/>
      <c r="M97" s="3156"/>
      <c r="N97" s="3156"/>
      <c r="O97" s="3156"/>
      <c r="P97" s="3156"/>
      <c r="Q97" s="3156"/>
      <c r="R97" s="3156"/>
      <c r="S97" s="3156"/>
      <c r="T97" s="3156"/>
      <c r="U97" s="3156"/>
      <c r="V97" s="3156"/>
      <c r="W97" s="3156"/>
      <c r="X97" s="3156"/>
      <c r="Y97" s="3156"/>
      <c r="Z97" s="3156"/>
      <c r="AA97" s="3156"/>
      <c r="AB97" s="3156"/>
      <c r="AC97" s="3156"/>
      <c r="AD97" s="3156"/>
      <c r="AE97" s="3156"/>
      <c r="AF97" s="3156"/>
      <c r="AG97" s="3156"/>
      <c r="AH97" s="3156"/>
      <c r="AI97" s="3156"/>
      <c r="AJ97" s="3156"/>
      <c r="AK97" s="3156"/>
      <c r="AL97" s="3156"/>
      <c r="AM97" s="3156"/>
      <c r="AN97" s="3156"/>
      <c r="AO97" s="3156"/>
      <c r="AP97" s="3156"/>
      <c r="AQ97" s="3156"/>
      <c r="AR97" s="3156"/>
      <c r="AS97" s="3156"/>
      <c r="AT97" s="3156"/>
      <c r="AU97" s="3156"/>
      <c r="AV97" s="3156"/>
      <c r="AW97" s="3156"/>
      <c r="AX97" s="3151"/>
      <c r="AY97" s="3155">
        <f t="shared" ref="AY97:AY110" ca="1" si="20">INDEX(INDIRECT("'"&amp;AY$4&amp;"'!Year.Matrix"), MATCH($C97, INDIRECT("'"&amp;AY$4&amp;"'!Year.Modules"), 0), MATCH($C$95, INDIRECT("'"&amp;AY$4&amp;"'!Year.Vectors"), 0))</f>
        <v>0</v>
      </c>
      <c r="AZ97" s="3155">
        <f t="shared" ca="1" si="19"/>
        <v>0</v>
      </c>
      <c r="BA97" s="3155">
        <f t="shared" ca="1" si="19"/>
        <v>0</v>
      </c>
      <c r="BB97" s="3155">
        <f t="shared" ca="1" si="19"/>
        <v>0</v>
      </c>
      <c r="BC97" s="3155">
        <f t="shared" ca="1" si="19"/>
        <v>0</v>
      </c>
      <c r="BD97" s="3155">
        <f t="shared" ca="1" si="19"/>
        <v>0</v>
      </c>
      <c r="BE97" s="3155">
        <f t="shared" ca="1" si="19"/>
        <v>0</v>
      </c>
      <c r="BF97" s="3155">
        <f t="shared" ca="1" si="19"/>
        <v>0</v>
      </c>
      <c r="BG97" s="3155">
        <f t="shared" ca="1" si="19"/>
        <v>0</v>
      </c>
      <c r="BH97" s="3157"/>
      <c r="BJ97" s="3153"/>
      <c r="BK97" s="3154"/>
      <c r="BL97" s="3154"/>
      <c r="BM97" s="3151"/>
      <c r="BN97" s="3155"/>
      <c r="BO97" s="3155"/>
      <c r="BP97" s="3156"/>
      <c r="BQ97" s="3156"/>
      <c r="BR97" s="3156"/>
      <c r="BS97" s="3156"/>
      <c r="BT97" s="3156"/>
      <c r="BU97" s="3156"/>
    </row>
    <row r="98" spans="2:83" s="918" customFormat="1">
      <c r="B98" s="3153"/>
      <c r="C98" s="3154" t="s">
        <v>456</v>
      </c>
      <c r="D98" s="3154" t="s">
        <v>457</v>
      </c>
      <c r="E98" s="3151"/>
      <c r="F98" s="3155"/>
      <c r="G98" s="3155"/>
      <c r="H98" s="3156"/>
      <c r="I98" s="3156"/>
      <c r="J98" s="3156"/>
      <c r="K98" s="3156"/>
      <c r="L98" s="3156"/>
      <c r="M98" s="3156"/>
      <c r="N98" s="3156"/>
      <c r="O98" s="3156"/>
      <c r="P98" s="3156"/>
      <c r="Q98" s="3156"/>
      <c r="R98" s="3156"/>
      <c r="S98" s="3156"/>
      <c r="T98" s="3156"/>
      <c r="U98" s="3156"/>
      <c r="V98" s="3156"/>
      <c r="W98" s="3156"/>
      <c r="X98" s="3156"/>
      <c r="Y98" s="3156"/>
      <c r="Z98" s="3156"/>
      <c r="AA98" s="3156"/>
      <c r="AB98" s="3156"/>
      <c r="AC98" s="3156"/>
      <c r="AD98" s="3156"/>
      <c r="AE98" s="3156"/>
      <c r="AF98" s="3156"/>
      <c r="AG98" s="3156"/>
      <c r="AH98" s="3156"/>
      <c r="AI98" s="3156"/>
      <c r="AJ98" s="3156"/>
      <c r="AK98" s="3156"/>
      <c r="AL98" s="3156"/>
      <c r="AM98" s="3156"/>
      <c r="AN98" s="3156"/>
      <c r="AO98" s="3156"/>
      <c r="AP98" s="3156"/>
      <c r="AQ98" s="3156"/>
      <c r="AR98" s="3156"/>
      <c r="AS98" s="3156"/>
      <c r="AT98" s="3156"/>
      <c r="AU98" s="3156"/>
      <c r="AV98" s="3156"/>
      <c r="AW98" s="3156"/>
      <c r="AX98" s="3151"/>
      <c r="AY98" s="3155">
        <f t="shared" ca="1" si="20"/>
        <v>0</v>
      </c>
      <c r="AZ98" s="3155">
        <f t="shared" ca="1" si="19"/>
        <v>0</v>
      </c>
      <c r="BA98" s="3155">
        <f t="shared" ca="1" si="19"/>
        <v>0</v>
      </c>
      <c r="BB98" s="3155">
        <f t="shared" ca="1" si="19"/>
        <v>0</v>
      </c>
      <c r="BC98" s="3155">
        <f t="shared" ca="1" si="19"/>
        <v>0</v>
      </c>
      <c r="BD98" s="3155">
        <f t="shared" ca="1" si="19"/>
        <v>0</v>
      </c>
      <c r="BE98" s="3155">
        <f t="shared" ca="1" si="19"/>
        <v>0</v>
      </c>
      <c r="BF98" s="3155">
        <f t="shared" ca="1" si="19"/>
        <v>0</v>
      </c>
      <c r="BG98" s="3155">
        <f t="shared" ca="1" si="19"/>
        <v>0</v>
      </c>
      <c r="BH98" s="3157"/>
      <c r="BJ98" s="3153"/>
      <c r="BK98" s="3154"/>
      <c r="BL98" s="3154"/>
      <c r="BM98" s="3151"/>
      <c r="BN98" s="3155"/>
      <c r="BO98" s="3155"/>
      <c r="BP98" s="3156"/>
      <c r="BQ98" s="3156"/>
      <c r="BR98" s="3156"/>
      <c r="BS98" s="3156"/>
      <c r="BT98" s="3156"/>
      <c r="BU98" s="3156"/>
    </row>
    <row r="99" spans="2:83" s="918" customFormat="1">
      <c r="B99" s="3153"/>
      <c r="C99" s="3154"/>
      <c r="D99" s="3154" t="s">
        <v>2475</v>
      </c>
      <c r="E99" s="3151"/>
      <c r="F99" s="3155">
        <f>F96+F97+F98</f>
        <v>21.003910878328096</v>
      </c>
      <c r="G99" s="3155"/>
      <c r="H99" s="3156"/>
      <c r="I99" s="3156"/>
      <c r="J99" s="3156"/>
      <c r="K99" s="3156"/>
      <c r="L99" s="3156"/>
      <c r="M99" s="3156"/>
      <c r="N99" s="3156"/>
      <c r="O99" s="3156"/>
      <c r="P99" s="3156"/>
      <c r="Q99" s="3156"/>
      <c r="R99" s="3156"/>
      <c r="S99" s="3156"/>
      <c r="T99" s="3156"/>
      <c r="U99" s="3156"/>
      <c r="V99" s="3156"/>
      <c r="W99" s="3156"/>
      <c r="X99" s="3156"/>
      <c r="Y99" s="3156"/>
      <c r="Z99" s="3156"/>
      <c r="AA99" s="3156"/>
      <c r="AB99" s="3156"/>
      <c r="AC99" s="3156"/>
      <c r="AD99" s="3156"/>
      <c r="AE99" s="3156"/>
      <c r="AF99" s="3156"/>
      <c r="AG99" s="3156"/>
      <c r="AH99" s="3156"/>
      <c r="AI99" s="3156"/>
      <c r="AJ99" s="3156"/>
      <c r="AK99" s="3156"/>
      <c r="AL99" s="3156"/>
      <c r="AM99" s="3156"/>
      <c r="AN99" s="3156"/>
      <c r="AO99" s="3156"/>
      <c r="AP99" s="3156"/>
      <c r="AQ99" s="3156"/>
      <c r="AR99" s="3156"/>
      <c r="AS99" s="3156"/>
      <c r="AT99" s="3156"/>
      <c r="AU99" s="3156"/>
      <c r="AV99" s="3156"/>
      <c r="AW99" s="3156"/>
      <c r="AX99" s="3155"/>
      <c r="AY99" s="3155">
        <f t="shared" ref="AY99:BG99" ca="1" si="21">AY96+AY97+AY98</f>
        <v>19.783214082973807</v>
      </c>
      <c r="AZ99" s="3155">
        <f t="shared" ca="1" si="21"/>
        <v>19.48990957229227</v>
      </c>
      <c r="BA99" s="3155">
        <f t="shared" ca="1" si="21"/>
        <v>21.190560440738988</v>
      </c>
      <c r="BB99" s="3155">
        <f t="shared" ca="1" si="21"/>
        <v>26.427914392485704</v>
      </c>
      <c r="BC99" s="3155">
        <f t="shared" ca="1" si="21"/>
        <v>31.467683465113346</v>
      </c>
      <c r="BD99" s="3155">
        <f t="shared" ca="1" si="21"/>
        <v>35.992545512642891</v>
      </c>
      <c r="BE99" s="3155">
        <f t="shared" ca="1" si="21"/>
        <v>38.514360700900369</v>
      </c>
      <c r="BF99" s="3155">
        <f t="shared" ca="1" si="21"/>
        <v>41.126281356346361</v>
      </c>
      <c r="BG99" s="3155">
        <f t="shared" ca="1" si="21"/>
        <v>43.836146815041346</v>
      </c>
      <c r="BH99" s="3157"/>
      <c r="BJ99" s="3153"/>
      <c r="BK99" s="3154"/>
      <c r="BL99" s="3154"/>
      <c r="BM99" s="3151"/>
      <c r="BN99" s="3155"/>
      <c r="BO99" s="3155"/>
      <c r="BP99" s="3156"/>
      <c r="BQ99" s="3156"/>
      <c r="BR99" s="3156"/>
      <c r="BS99" s="3156"/>
      <c r="BT99" s="3156"/>
      <c r="BU99" s="3156"/>
    </row>
    <row r="100" spans="2:83">
      <c r="B100" s="3116"/>
      <c r="C100" s="3151" t="s">
        <v>544</v>
      </c>
      <c r="D100" s="3151" t="s">
        <v>545</v>
      </c>
      <c r="E100" s="3151"/>
      <c r="F100" s="3119"/>
      <c r="G100" s="3119"/>
      <c r="H100" s="3152"/>
      <c r="I100" s="3152"/>
      <c r="J100" s="3152"/>
      <c r="K100" s="3152"/>
      <c r="L100" s="3152"/>
      <c r="M100" s="3152"/>
      <c r="N100" s="3152"/>
      <c r="O100" s="3152"/>
      <c r="P100" s="3152"/>
      <c r="Q100" s="3152"/>
      <c r="R100" s="3152"/>
      <c r="S100" s="3152"/>
      <c r="T100" s="3152"/>
      <c r="U100" s="3152"/>
      <c r="V100" s="3152"/>
      <c r="W100" s="3152"/>
      <c r="X100" s="3152"/>
      <c r="Y100" s="3152"/>
      <c r="Z100" s="3152"/>
      <c r="AA100" s="3152"/>
      <c r="AB100" s="3152"/>
      <c r="AC100" s="3152"/>
      <c r="AD100" s="3152"/>
      <c r="AE100" s="3152"/>
      <c r="AF100" s="3152"/>
      <c r="AG100" s="3152"/>
      <c r="AH100" s="3152"/>
      <c r="AI100" s="3152"/>
      <c r="AJ100" s="3152"/>
      <c r="AK100" s="3152"/>
      <c r="AL100" s="3152"/>
      <c r="AM100" s="3152"/>
      <c r="AN100" s="3152"/>
      <c r="AO100" s="3152"/>
      <c r="AP100" s="3152"/>
      <c r="AQ100" s="3152"/>
      <c r="AR100" s="3152"/>
      <c r="AS100" s="3152"/>
      <c r="AT100" s="3152"/>
      <c r="AU100" s="3152"/>
      <c r="AV100" s="3152"/>
      <c r="AW100" s="3152"/>
      <c r="AX100" s="3151"/>
      <c r="AY100" s="3119">
        <f t="shared" ca="1" si="20"/>
        <v>0</v>
      </c>
      <c r="AZ100" s="3119">
        <f t="shared" ca="1" si="19"/>
        <v>0</v>
      </c>
      <c r="BA100" s="3119">
        <f t="shared" ca="1" si="19"/>
        <v>0</v>
      </c>
      <c r="BB100" s="3119">
        <f t="shared" ca="1" si="19"/>
        <v>0</v>
      </c>
      <c r="BC100" s="3119">
        <f t="shared" ca="1" si="19"/>
        <v>0</v>
      </c>
      <c r="BD100" s="3119">
        <f t="shared" ca="1" si="19"/>
        <v>0</v>
      </c>
      <c r="BE100" s="3119">
        <f t="shared" ca="1" si="19"/>
        <v>0</v>
      </c>
      <c r="BF100" s="3119">
        <f t="shared" ca="1" si="19"/>
        <v>0</v>
      </c>
      <c r="BG100" s="3119">
        <f t="shared" ca="1" si="19"/>
        <v>0</v>
      </c>
      <c r="BH100" s="3137"/>
      <c r="BJ100" s="3116"/>
      <c r="BK100" s="3151"/>
      <c r="BL100" s="3151"/>
      <c r="BM100" s="3151"/>
      <c r="BN100" s="3119"/>
      <c r="BO100" s="3119"/>
      <c r="BP100" s="3152"/>
      <c r="BQ100" s="3152"/>
      <c r="BR100" s="3152"/>
      <c r="BS100" s="3152"/>
      <c r="BT100" s="3152"/>
      <c r="BU100" s="3152"/>
    </row>
    <row r="101" spans="2:83">
      <c r="B101" s="3116"/>
      <c r="C101" s="3151" t="s">
        <v>539</v>
      </c>
      <c r="D101" s="3151" t="s">
        <v>540</v>
      </c>
      <c r="E101" s="3151"/>
      <c r="F101" s="3119"/>
      <c r="G101" s="3119"/>
      <c r="H101" s="3152"/>
      <c r="I101" s="3152"/>
      <c r="J101" s="3152"/>
      <c r="K101" s="3152"/>
      <c r="L101" s="3152"/>
      <c r="M101" s="3152"/>
      <c r="N101" s="3152"/>
      <c r="O101" s="3152"/>
      <c r="P101" s="3152"/>
      <c r="Q101" s="3152"/>
      <c r="R101" s="3152"/>
      <c r="S101" s="3152"/>
      <c r="T101" s="3152"/>
      <c r="U101" s="3152"/>
      <c r="V101" s="3152"/>
      <c r="W101" s="3152"/>
      <c r="X101" s="3152"/>
      <c r="Y101" s="3152"/>
      <c r="Z101" s="3152"/>
      <c r="AA101" s="3152"/>
      <c r="AB101" s="3152"/>
      <c r="AC101" s="3152"/>
      <c r="AD101" s="3152"/>
      <c r="AE101" s="3152"/>
      <c r="AF101" s="3152"/>
      <c r="AG101" s="3152"/>
      <c r="AH101" s="3152"/>
      <c r="AI101" s="3152"/>
      <c r="AJ101" s="3152"/>
      <c r="AK101" s="3152"/>
      <c r="AL101" s="3152"/>
      <c r="AM101" s="3152"/>
      <c r="AN101" s="3152"/>
      <c r="AO101" s="3152"/>
      <c r="AP101" s="3152"/>
      <c r="AQ101" s="3152"/>
      <c r="AR101" s="3152"/>
      <c r="AS101" s="3152"/>
      <c r="AT101" s="3152"/>
      <c r="AU101" s="3152"/>
      <c r="AV101" s="3152"/>
      <c r="AW101" s="3152"/>
      <c r="AX101" s="3151"/>
      <c r="AY101" s="3119">
        <f t="shared" ca="1" si="20"/>
        <v>0</v>
      </c>
      <c r="AZ101" s="3119">
        <f t="shared" ca="1" si="19"/>
        <v>0</v>
      </c>
      <c r="BA101" s="3119">
        <f t="shared" ca="1" si="19"/>
        <v>0</v>
      </c>
      <c r="BB101" s="3119">
        <f t="shared" ca="1" si="19"/>
        <v>0</v>
      </c>
      <c r="BC101" s="3119">
        <f t="shared" ca="1" si="19"/>
        <v>0</v>
      </c>
      <c r="BD101" s="3119">
        <f t="shared" ca="1" si="19"/>
        <v>0</v>
      </c>
      <c r="BE101" s="3119">
        <f t="shared" ca="1" si="19"/>
        <v>0</v>
      </c>
      <c r="BF101" s="3119">
        <f t="shared" ca="1" si="19"/>
        <v>0</v>
      </c>
      <c r="BG101" s="3119">
        <f t="shared" ca="1" si="19"/>
        <v>0</v>
      </c>
      <c r="BH101" s="3137"/>
      <c r="BJ101" s="3116"/>
      <c r="BK101" s="3151"/>
      <c r="BL101" s="3151"/>
      <c r="BM101" s="3151"/>
      <c r="BN101" s="3119"/>
      <c r="BO101" s="3119"/>
      <c r="BP101" s="3152"/>
      <c r="BQ101" s="3152"/>
      <c r="BR101" s="3152"/>
      <c r="BS101" s="3152"/>
      <c r="BT101" s="3152"/>
      <c r="BU101" s="3152"/>
    </row>
    <row r="102" spans="2:83" s="918" customFormat="1">
      <c r="B102" s="3153"/>
      <c r="C102" s="3154" t="s">
        <v>511</v>
      </c>
      <c r="D102" s="3154" t="s">
        <v>512</v>
      </c>
      <c r="E102" s="3151"/>
      <c r="F102" s="3155"/>
      <c r="G102" s="3155"/>
      <c r="H102" s="3156"/>
      <c r="I102" s="3156"/>
      <c r="J102" s="3156"/>
      <c r="K102" s="3156"/>
      <c r="L102" s="3156"/>
      <c r="M102" s="3156"/>
      <c r="N102" s="3156"/>
      <c r="O102" s="3156"/>
      <c r="P102" s="3156"/>
      <c r="Q102" s="3156"/>
      <c r="R102" s="3156"/>
      <c r="S102" s="3156"/>
      <c r="T102" s="3156"/>
      <c r="U102" s="3156"/>
      <c r="V102" s="3156"/>
      <c r="W102" s="3156"/>
      <c r="X102" s="3156"/>
      <c r="Y102" s="3156"/>
      <c r="Z102" s="3156"/>
      <c r="AA102" s="3156"/>
      <c r="AB102" s="3156"/>
      <c r="AC102" s="3156"/>
      <c r="AD102" s="3156"/>
      <c r="AE102" s="3156"/>
      <c r="AF102" s="3156"/>
      <c r="AG102" s="3156"/>
      <c r="AH102" s="3156"/>
      <c r="AI102" s="3156"/>
      <c r="AJ102" s="3156"/>
      <c r="AK102" s="3156"/>
      <c r="AL102" s="3156"/>
      <c r="AM102" s="3156"/>
      <c r="AN102" s="3156"/>
      <c r="AO102" s="3156"/>
      <c r="AP102" s="3156"/>
      <c r="AQ102" s="3156"/>
      <c r="AR102" s="3156"/>
      <c r="AS102" s="3156"/>
      <c r="AT102" s="3156"/>
      <c r="AU102" s="3156"/>
      <c r="AV102" s="3156"/>
      <c r="AW102" s="3156"/>
      <c r="AX102" s="3151"/>
      <c r="AY102" s="3155">
        <f t="shared" ca="1" si="20"/>
        <v>4.4180640000000011</v>
      </c>
      <c r="AZ102" s="3155">
        <f t="shared" ca="1" si="19"/>
        <v>5.5339757999999994</v>
      </c>
      <c r="BA102" s="3155">
        <f t="shared" ca="1" si="19"/>
        <v>5.5339757999999994</v>
      </c>
      <c r="BB102" s="3155">
        <f t="shared" ca="1" si="19"/>
        <v>3.3359012999999997</v>
      </c>
      <c r="BC102" s="3155">
        <f t="shared" ca="1" si="19"/>
        <v>1.1378267999999998</v>
      </c>
      <c r="BD102" s="3155">
        <f t="shared" ca="1" si="19"/>
        <v>3.8789549999999742E-2</v>
      </c>
      <c r="BE102" s="3155">
        <f t="shared" ca="1" si="19"/>
        <v>3.8789549999999742E-2</v>
      </c>
      <c r="BF102" s="3155">
        <f t="shared" ca="1" si="19"/>
        <v>3.8789549999999742E-2</v>
      </c>
      <c r="BG102" s="3155">
        <f t="shared" ca="1" si="19"/>
        <v>3.8789549999999742E-2</v>
      </c>
      <c r="BH102" s="3157"/>
      <c r="BJ102" s="3153"/>
      <c r="BK102" s="3154"/>
      <c r="BL102" s="3154"/>
      <c r="BM102" s="3151"/>
      <c r="BN102" s="3155"/>
      <c r="BO102" s="3155"/>
      <c r="BP102" s="3156"/>
      <c r="BQ102" s="3156"/>
      <c r="BR102" s="3156"/>
      <c r="BS102" s="3156"/>
      <c r="BT102" s="3156"/>
      <c r="BU102" s="3156"/>
    </row>
    <row r="103" spans="2:83" s="918" customFormat="1">
      <c r="B103" s="3153"/>
      <c r="C103" s="3154" t="s">
        <v>513</v>
      </c>
      <c r="D103" s="3154" t="s">
        <v>514</v>
      </c>
      <c r="E103" s="3151"/>
      <c r="F103" s="3155"/>
      <c r="G103" s="3155"/>
      <c r="H103" s="3156"/>
      <c r="I103" s="3156"/>
      <c r="J103" s="3156"/>
      <c r="K103" s="3156"/>
      <c r="L103" s="3156"/>
      <c r="M103" s="3156"/>
      <c r="N103" s="3156"/>
      <c r="O103" s="3156"/>
      <c r="P103" s="3156"/>
      <c r="Q103" s="3156"/>
      <c r="R103" s="3156"/>
      <c r="S103" s="3156"/>
      <c r="T103" s="3156"/>
      <c r="U103" s="3156"/>
      <c r="V103" s="3156"/>
      <c r="W103" s="3156"/>
      <c r="X103" s="3156"/>
      <c r="Y103" s="3156"/>
      <c r="Z103" s="3156"/>
      <c r="AA103" s="3156"/>
      <c r="AB103" s="3156"/>
      <c r="AC103" s="3156"/>
      <c r="AD103" s="3156"/>
      <c r="AE103" s="3156"/>
      <c r="AF103" s="3156"/>
      <c r="AG103" s="3156"/>
      <c r="AH103" s="3156"/>
      <c r="AI103" s="3156"/>
      <c r="AJ103" s="3156"/>
      <c r="AK103" s="3156"/>
      <c r="AL103" s="3156"/>
      <c r="AM103" s="3156"/>
      <c r="AN103" s="3156"/>
      <c r="AO103" s="3156"/>
      <c r="AP103" s="3156"/>
      <c r="AQ103" s="3156"/>
      <c r="AR103" s="3156"/>
      <c r="AS103" s="3156"/>
      <c r="AT103" s="3156"/>
      <c r="AU103" s="3156"/>
      <c r="AV103" s="3156"/>
      <c r="AW103" s="3156"/>
      <c r="AX103" s="3151"/>
      <c r="AY103" s="3155">
        <f t="shared" ca="1" si="20"/>
        <v>8.3277000000000018E-2</v>
      </c>
      <c r="AZ103" s="3155">
        <f t="shared" ca="1" si="19"/>
        <v>8.3277000000000018E-2</v>
      </c>
      <c r="BA103" s="3155">
        <f t="shared" ca="1" si="19"/>
        <v>8.7660000000000016E-2</v>
      </c>
      <c r="BB103" s="3155">
        <f t="shared" ca="1" si="19"/>
        <v>0</v>
      </c>
      <c r="BC103" s="3155">
        <f t="shared" ca="1" si="19"/>
        <v>0</v>
      </c>
      <c r="BD103" s="3155">
        <f t="shared" ca="1" si="19"/>
        <v>0</v>
      </c>
      <c r="BE103" s="3155">
        <f t="shared" ca="1" si="19"/>
        <v>0</v>
      </c>
      <c r="BF103" s="3155">
        <f t="shared" ca="1" si="19"/>
        <v>0</v>
      </c>
      <c r="BG103" s="3155">
        <f t="shared" ca="1" si="19"/>
        <v>0</v>
      </c>
      <c r="BH103" s="3157"/>
      <c r="BJ103" s="3153"/>
      <c r="BK103" s="3154"/>
      <c r="BL103" s="3154"/>
      <c r="BM103" s="3151"/>
      <c r="BN103" s="3155"/>
      <c r="BO103" s="3155"/>
      <c r="BP103" s="3156"/>
      <c r="BQ103" s="3156"/>
      <c r="BR103" s="3156"/>
      <c r="BS103" s="3156"/>
      <c r="BT103" s="3156"/>
      <c r="BU103" s="3156"/>
    </row>
    <row r="104" spans="2:83" s="918" customFormat="1">
      <c r="B104" s="3153"/>
      <c r="C104" s="3154" t="s">
        <v>515</v>
      </c>
      <c r="D104" s="3154" t="s">
        <v>516</v>
      </c>
      <c r="E104" s="3151"/>
      <c r="F104" s="3155"/>
      <c r="G104" s="3155"/>
      <c r="H104" s="3156"/>
      <c r="I104" s="3156"/>
      <c r="J104" s="3156"/>
      <c r="K104" s="3156"/>
      <c r="L104" s="3156"/>
      <c r="M104" s="3156"/>
      <c r="N104" s="3156"/>
      <c r="O104" s="3156"/>
      <c r="P104" s="3156"/>
      <c r="Q104" s="3156"/>
      <c r="R104" s="3156"/>
      <c r="S104" s="3156"/>
      <c r="T104" s="3156"/>
      <c r="U104" s="3156"/>
      <c r="V104" s="3156"/>
      <c r="W104" s="3156"/>
      <c r="X104" s="3156"/>
      <c r="Y104" s="3156"/>
      <c r="Z104" s="3156"/>
      <c r="AA104" s="3156"/>
      <c r="AB104" s="3156"/>
      <c r="AC104" s="3156"/>
      <c r="AD104" s="3156"/>
      <c r="AE104" s="3156"/>
      <c r="AF104" s="3156"/>
      <c r="AG104" s="3156"/>
      <c r="AH104" s="3156"/>
      <c r="AI104" s="3156"/>
      <c r="AJ104" s="3156"/>
      <c r="AK104" s="3156"/>
      <c r="AL104" s="3156"/>
      <c r="AM104" s="3156"/>
      <c r="AN104" s="3156"/>
      <c r="AO104" s="3156"/>
      <c r="AP104" s="3156"/>
      <c r="AQ104" s="3156"/>
      <c r="AR104" s="3156"/>
      <c r="AS104" s="3156"/>
      <c r="AT104" s="3156"/>
      <c r="AU104" s="3156"/>
      <c r="AV104" s="3156"/>
      <c r="AW104" s="3156"/>
      <c r="AX104" s="3151"/>
      <c r="AY104" s="3155">
        <f t="shared" ca="1" si="20"/>
        <v>0.74791511999999993</v>
      </c>
      <c r="AZ104" s="3155">
        <f t="shared" ca="1" si="19"/>
        <v>0.74791511999999993</v>
      </c>
      <c r="BA104" s="3155">
        <f t="shared" ca="1" si="19"/>
        <v>0.74791511999999993</v>
      </c>
      <c r="BB104" s="3155">
        <f t="shared" ca="1" si="19"/>
        <v>0.78946596000000002</v>
      </c>
      <c r="BC104" s="3155">
        <f t="shared" ca="1" si="19"/>
        <v>0.50632416000000002</v>
      </c>
      <c r="BD104" s="3155">
        <f t="shared" ca="1" si="19"/>
        <v>0.33310800000000007</v>
      </c>
      <c r="BE104" s="3155">
        <f t="shared" ca="1" si="19"/>
        <v>0.23317560000000004</v>
      </c>
      <c r="BF104" s="3155">
        <f t="shared" ca="1" si="19"/>
        <v>0.16655400000000004</v>
      </c>
      <c r="BG104" s="3155">
        <f t="shared" ca="1" si="19"/>
        <v>0</v>
      </c>
      <c r="BH104" s="3157"/>
      <c r="BJ104" s="3153"/>
      <c r="BK104" s="3154"/>
      <c r="BL104" s="3154"/>
      <c r="BM104" s="3151"/>
      <c r="BN104" s="3155"/>
      <c r="BO104" s="3155"/>
      <c r="BP104" s="3156"/>
      <c r="BQ104" s="3156"/>
      <c r="BR104" s="3156"/>
      <c r="BS104" s="3156"/>
      <c r="BT104" s="3156"/>
      <c r="BU104" s="3156"/>
    </row>
    <row r="105" spans="2:83" s="918" customFormat="1">
      <c r="B105" s="3153"/>
      <c r="C105" s="3154" t="s">
        <v>517</v>
      </c>
      <c r="D105" s="3154" t="s">
        <v>518</v>
      </c>
      <c r="E105" s="3151"/>
      <c r="F105" s="3155"/>
      <c r="G105" s="3155"/>
      <c r="H105" s="3156"/>
      <c r="I105" s="3156"/>
      <c r="J105" s="3156"/>
      <c r="K105" s="3156"/>
      <c r="L105" s="3156"/>
      <c r="M105" s="3156"/>
      <c r="N105" s="3156"/>
      <c r="O105" s="3156"/>
      <c r="P105" s="3156"/>
      <c r="Q105" s="3156"/>
      <c r="R105" s="3156"/>
      <c r="S105" s="3156"/>
      <c r="T105" s="3156"/>
      <c r="U105" s="3156"/>
      <c r="V105" s="3156"/>
      <c r="W105" s="3156"/>
      <c r="X105" s="3156"/>
      <c r="Y105" s="3156"/>
      <c r="Z105" s="3156"/>
      <c r="AA105" s="3156"/>
      <c r="AB105" s="3156"/>
      <c r="AC105" s="3156"/>
      <c r="AD105" s="3156"/>
      <c r="AE105" s="3156"/>
      <c r="AF105" s="3156"/>
      <c r="AG105" s="3156"/>
      <c r="AH105" s="3156"/>
      <c r="AI105" s="3156"/>
      <c r="AJ105" s="3156"/>
      <c r="AK105" s="3156"/>
      <c r="AL105" s="3156"/>
      <c r="AM105" s="3156"/>
      <c r="AN105" s="3156"/>
      <c r="AO105" s="3156"/>
      <c r="AP105" s="3156"/>
      <c r="AQ105" s="3156"/>
      <c r="AR105" s="3156"/>
      <c r="AS105" s="3156"/>
      <c r="AT105" s="3156"/>
      <c r="AU105" s="3156"/>
      <c r="AV105" s="3156"/>
      <c r="AW105" s="3156"/>
      <c r="AX105" s="3151"/>
      <c r="AY105" s="3155">
        <f t="shared" ca="1" si="20"/>
        <v>0</v>
      </c>
      <c r="AZ105" s="3155">
        <f t="shared" ca="1" si="19"/>
        <v>3.9627123287671231E-3</v>
      </c>
      <c r="BA105" s="3155">
        <f t="shared" ca="1" si="19"/>
        <v>1.3017510000000001E-2</v>
      </c>
      <c r="BB105" s="3155">
        <f t="shared" ca="1" si="19"/>
        <v>1.3017510000000001E-2</v>
      </c>
      <c r="BC105" s="3155">
        <f t="shared" ca="1" si="19"/>
        <v>1.3017510000000001E-2</v>
      </c>
      <c r="BD105" s="3155">
        <f t="shared" ca="1" si="19"/>
        <v>1.3017510000000001E-2</v>
      </c>
      <c r="BE105" s="3155">
        <f t="shared" ca="1" si="19"/>
        <v>1.3017510000000001E-2</v>
      </c>
      <c r="BF105" s="3155">
        <f t="shared" ca="1" si="19"/>
        <v>0</v>
      </c>
      <c r="BG105" s="3155">
        <f t="shared" ca="1" si="19"/>
        <v>0</v>
      </c>
      <c r="BH105" s="3157"/>
      <c r="BJ105" s="3153"/>
      <c r="BK105" s="3154"/>
      <c r="BL105" s="3154"/>
      <c r="BM105" s="3151"/>
      <c r="BN105" s="3155"/>
      <c r="BO105" s="3155"/>
      <c r="BP105" s="3156"/>
      <c r="BQ105" s="3156"/>
      <c r="BR105" s="3156"/>
      <c r="BS105" s="3156"/>
      <c r="BT105" s="3156"/>
      <c r="BU105" s="3156"/>
      <c r="CE105" s="918" t="s">
        <v>3359</v>
      </c>
    </row>
    <row r="106" spans="2:83" s="918" customFormat="1">
      <c r="B106" s="3153"/>
      <c r="C106" s="3154" t="s">
        <v>519</v>
      </c>
      <c r="D106" s="3154" t="s">
        <v>520</v>
      </c>
      <c r="E106" s="3151"/>
      <c r="F106" s="3155"/>
      <c r="G106" s="3155"/>
      <c r="H106" s="3156"/>
      <c r="I106" s="3156"/>
      <c r="J106" s="3156"/>
      <c r="K106" s="3156"/>
      <c r="L106" s="3156"/>
      <c r="M106" s="3156"/>
      <c r="N106" s="3156"/>
      <c r="O106" s="3156"/>
      <c r="P106" s="3156"/>
      <c r="Q106" s="3156"/>
      <c r="R106" s="3156"/>
      <c r="S106" s="3156"/>
      <c r="T106" s="3156"/>
      <c r="U106" s="3156"/>
      <c r="V106" s="3156"/>
      <c r="W106" s="3156"/>
      <c r="X106" s="3156"/>
      <c r="Y106" s="3156"/>
      <c r="Z106" s="3156"/>
      <c r="AA106" s="3156"/>
      <c r="AB106" s="3156"/>
      <c r="AC106" s="3156"/>
      <c r="AD106" s="3156"/>
      <c r="AE106" s="3156"/>
      <c r="AF106" s="3156"/>
      <c r="AG106" s="3156"/>
      <c r="AH106" s="3156"/>
      <c r="AI106" s="3156"/>
      <c r="AJ106" s="3156"/>
      <c r="AK106" s="3156"/>
      <c r="AL106" s="3156"/>
      <c r="AM106" s="3156"/>
      <c r="AN106" s="3156"/>
      <c r="AO106" s="3156"/>
      <c r="AP106" s="3156"/>
      <c r="AQ106" s="3156"/>
      <c r="AR106" s="3156"/>
      <c r="AS106" s="3156"/>
      <c r="AT106" s="3156"/>
      <c r="AU106" s="3156"/>
      <c r="AV106" s="3156"/>
      <c r="AW106" s="3156"/>
      <c r="AX106" s="3151"/>
      <c r="AY106" s="3155">
        <f t="shared" ca="1" si="20"/>
        <v>0</v>
      </c>
      <c r="AZ106" s="3155">
        <f t="shared" ca="1" si="19"/>
        <v>0</v>
      </c>
      <c r="BA106" s="3155">
        <f t="shared" ca="1" si="19"/>
        <v>0</v>
      </c>
      <c r="BB106" s="3155">
        <f t="shared" ca="1" si="19"/>
        <v>0</v>
      </c>
      <c r="BC106" s="3155">
        <f t="shared" ca="1" si="19"/>
        <v>0</v>
      </c>
      <c r="BD106" s="3155">
        <f t="shared" ca="1" si="19"/>
        <v>0</v>
      </c>
      <c r="BE106" s="3155">
        <f t="shared" ca="1" si="19"/>
        <v>0</v>
      </c>
      <c r="BF106" s="3155">
        <f t="shared" ca="1" si="19"/>
        <v>0</v>
      </c>
      <c r="BG106" s="3155">
        <f t="shared" ca="1" si="19"/>
        <v>0</v>
      </c>
      <c r="BH106" s="3157"/>
      <c r="BJ106" s="3153"/>
      <c r="BK106" s="3154"/>
      <c r="BL106" s="3154"/>
      <c r="BM106" s="3151"/>
      <c r="BN106" s="3155"/>
      <c r="BO106" s="3155"/>
      <c r="BP106" s="3156"/>
      <c r="BQ106" s="3156"/>
      <c r="BR106" s="3156"/>
      <c r="BS106" s="3156"/>
      <c r="BT106" s="3156"/>
      <c r="BU106" s="3156"/>
      <c r="CE106" s="918" t="s">
        <v>3360</v>
      </c>
    </row>
    <row r="107" spans="2:83" s="918" customFormat="1">
      <c r="B107" s="3153"/>
      <c r="C107" s="3154" t="s">
        <v>521</v>
      </c>
      <c r="D107" s="3154" t="s">
        <v>522</v>
      </c>
      <c r="E107" s="3151"/>
      <c r="F107" s="3155"/>
      <c r="G107" s="3155"/>
      <c r="H107" s="3156"/>
      <c r="I107" s="3156"/>
      <c r="J107" s="3156"/>
      <c r="K107" s="3156"/>
      <c r="L107" s="3156"/>
      <c r="M107" s="3156"/>
      <c r="N107" s="3156"/>
      <c r="O107" s="3156"/>
      <c r="P107" s="3156"/>
      <c r="Q107" s="3156"/>
      <c r="R107" s="3156"/>
      <c r="S107" s="3156"/>
      <c r="T107" s="3156"/>
      <c r="U107" s="3156"/>
      <c r="V107" s="3156"/>
      <c r="W107" s="3156"/>
      <c r="X107" s="3156"/>
      <c r="Y107" s="3156"/>
      <c r="Z107" s="3156"/>
      <c r="AA107" s="3156"/>
      <c r="AB107" s="3156"/>
      <c r="AC107" s="3156"/>
      <c r="AD107" s="3156"/>
      <c r="AE107" s="3156"/>
      <c r="AF107" s="3156"/>
      <c r="AG107" s="3156"/>
      <c r="AH107" s="3156"/>
      <c r="AI107" s="3156"/>
      <c r="AJ107" s="3156"/>
      <c r="AK107" s="3156"/>
      <c r="AL107" s="3156"/>
      <c r="AM107" s="3156"/>
      <c r="AN107" s="3156"/>
      <c r="AO107" s="3156"/>
      <c r="AP107" s="3156"/>
      <c r="AQ107" s="3156"/>
      <c r="AR107" s="3156"/>
      <c r="AS107" s="3156"/>
      <c r="AT107" s="3156"/>
      <c r="AU107" s="3156"/>
      <c r="AV107" s="3156"/>
      <c r="AW107" s="3156"/>
      <c r="AX107" s="3151"/>
      <c r="AY107" s="3155">
        <f t="shared" ca="1" si="20"/>
        <v>0</v>
      </c>
      <c r="AZ107" s="3155">
        <f t="shared" ca="1" si="19"/>
        <v>0</v>
      </c>
      <c r="BA107" s="3155">
        <f t="shared" ca="1" si="19"/>
        <v>0</v>
      </c>
      <c r="BB107" s="3155">
        <f t="shared" ca="1" si="19"/>
        <v>0</v>
      </c>
      <c r="BC107" s="3155">
        <f t="shared" ca="1" si="19"/>
        <v>0</v>
      </c>
      <c r="BD107" s="3155">
        <f t="shared" ca="1" si="19"/>
        <v>0</v>
      </c>
      <c r="BE107" s="3155">
        <f t="shared" ca="1" si="19"/>
        <v>0</v>
      </c>
      <c r="BF107" s="3155">
        <f t="shared" ca="1" si="19"/>
        <v>0</v>
      </c>
      <c r="BG107" s="3155">
        <f t="shared" ca="1" si="19"/>
        <v>0</v>
      </c>
      <c r="BH107" s="3157"/>
      <c r="BJ107" s="3153"/>
      <c r="BK107" s="3154"/>
      <c r="BL107" s="3154"/>
      <c r="BM107" s="3151"/>
      <c r="BN107" s="3155"/>
      <c r="BO107" s="3155"/>
      <c r="BP107" s="3156"/>
      <c r="BQ107" s="3156"/>
      <c r="BR107" s="3156"/>
      <c r="BS107" s="3156"/>
      <c r="BT107" s="3156"/>
      <c r="BU107" s="3156"/>
    </row>
    <row r="108" spans="2:83" s="918" customFormat="1">
      <c r="B108" s="3153"/>
      <c r="C108" s="3154" t="s">
        <v>525</v>
      </c>
      <c r="D108" s="3154" t="s">
        <v>526</v>
      </c>
      <c r="E108" s="3151"/>
      <c r="F108" s="3155"/>
      <c r="G108" s="3155"/>
      <c r="H108" s="3156"/>
      <c r="I108" s="3156"/>
      <c r="J108" s="3156"/>
      <c r="K108" s="3156"/>
      <c r="L108" s="3156"/>
      <c r="M108" s="3156"/>
      <c r="N108" s="3156"/>
      <c r="O108" s="3156"/>
      <c r="P108" s="3156"/>
      <c r="Q108" s="3156"/>
      <c r="R108" s="3156"/>
      <c r="S108" s="3156"/>
      <c r="T108" s="3156"/>
      <c r="U108" s="3156"/>
      <c r="V108" s="3156"/>
      <c r="W108" s="3156"/>
      <c r="X108" s="3156"/>
      <c r="Y108" s="3156"/>
      <c r="Z108" s="3156"/>
      <c r="AA108" s="3156"/>
      <c r="AB108" s="3156"/>
      <c r="AC108" s="3156"/>
      <c r="AD108" s="3156"/>
      <c r="AE108" s="3156"/>
      <c r="AF108" s="3156"/>
      <c r="AG108" s="3156"/>
      <c r="AH108" s="3156"/>
      <c r="AI108" s="3156"/>
      <c r="AJ108" s="3156"/>
      <c r="AK108" s="3156"/>
      <c r="AL108" s="3156"/>
      <c r="AM108" s="3156"/>
      <c r="AN108" s="3156"/>
      <c r="AO108" s="3156"/>
      <c r="AP108" s="3156"/>
      <c r="AQ108" s="3156"/>
      <c r="AR108" s="3156"/>
      <c r="AS108" s="3156"/>
      <c r="AT108" s="3156"/>
      <c r="AU108" s="3156"/>
      <c r="AV108" s="3156"/>
      <c r="AW108" s="3156"/>
      <c r="AX108" s="3151"/>
      <c r="AY108" s="3155">
        <f t="shared" ca="1" si="20"/>
        <v>0</v>
      </c>
      <c r="AZ108" s="3155">
        <f t="shared" ca="1" si="19"/>
        <v>0</v>
      </c>
      <c r="BA108" s="3155">
        <f t="shared" ca="1" si="19"/>
        <v>0</v>
      </c>
      <c r="BB108" s="3155">
        <f t="shared" ca="1" si="19"/>
        <v>0</v>
      </c>
      <c r="BC108" s="3155">
        <f t="shared" ca="1" si="19"/>
        <v>0</v>
      </c>
      <c r="BD108" s="3155">
        <f t="shared" ca="1" si="19"/>
        <v>0</v>
      </c>
      <c r="BE108" s="3155">
        <f t="shared" ca="1" si="19"/>
        <v>0</v>
      </c>
      <c r="BF108" s="3155">
        <f t="shared" ca="1" si="19"/>
        <v>0</v>
      </c>
      <c r="BG108" s="3155">
        <f t="shared" ca="1" si="19"/>
        <v>0</v>
      </c>
      <c r="BH108" s="3157"/>
      <c r="BJ108" s="3153"/>
      <c r="BK108" s="3154"/>
      <c r="BL108" s="3154"/>
      <c r="BM108" s="3151"/>
      <c r="BN108" s="3155"/>
      <c r="BO108" s="3155"/>
      <c r="BP108" s="3156"/>
      <c r="BQ108" s="3156"/>
      <c r="BR108" s="3156"/>
      <c r="BS108" s="3156"/>
      <c r="BT108" s="3156"/>
      <c r="BU108" s="3156"/>
    </row>
    <row r="109" spans="2:83">
      <c r="B109" s="3116"/>
      <c r="C109" s="3151"/>
      <c r="D109" s="3151" t="s">
        <v>2476</v>
      </c>
      <c r="E109" s="3151"/>
      <c r="F109" s="3119">
        <f>'Irl. Energy Balance 2013 (TWh)'!AK22</f>
        <v>5.1209235764676979</v>
      </c>
      <c r="G109" s="3119"/>
      <c r="H109" s="3152"/>
      <c r="I109" s="3152"/>
      <c r="J109" s="3152"/>
      <c r="K109" s="3152"/>
      <c r="L109" s="3152"/>
      <c r="M109" s="3152"/>
      <c r="N109" s="3152"/>
      <c r="O109" s="3152"/>
      <c r="P109" s="3152"/>
      <c r="Q109" s="3152"/>
      <c r="R109" s="3152"/>
      <c r="S109" s="3152"/>
      <c r="T109" s="3152"/>
      <c r="U109" s="3152"/>
      <c r="V109" s="3152"/>
      <c r="W109" s="3152"/>
      <c r="X109" s="3152"/>
      <c r="Y109" s="3152"/>
      <c r="Z109" s="3152"/>
      <c r="AA109" s="3152"/>
      <c r="AB109" s="3152"/>
      <c r="AC109" s="3152"/>
      <c r="AD109" s="3152"/>
      <c r="AE109" s="3152"/>
      <c r="AF109" s="3152"/>
      <c r="AG109" s="3152"/>
      <c r="AH109" s="3152"/>
      <c r="AI109" s="3152"/>
      <c r="AJ109" s="3152"/>
      <c r="AK109" s="3152"/>
      <c r="AL109" s="3152"/>
      <c r="AM109" s="3152"/>
      <c r="AN109" s="3152"/>
      <c r="AO109" s="3152"/>
      <c r="AP109" s="3152"/>
      <c r="AQ109" s="3152"/>
      <c r="AR109" s="3152"/>
      <c r="AS109" s="3152"/>
      <c r="AT109" s="3152"/>
      <c r="AU109" s="3152"/>
      <c r="AV109" s="3152"/>
      <c r="AW109" s="3152"/>
      <c r="AX109" s="3151"/>
      <c r="AY109" s="3119">
        <f t="shared" ref="AY109:BG109" ca="1" si="22">SUM(AY102:AY108)</f>
        <v>5.249256120000001</v>
      </c>
      <c r="AZ109" s="3119">
        <f t="shared" ca="1" si="22"/>
        <v>6.3691306323287664</v>
      </c>
      <c r="BA109" s="3119">
        <f t="shared" ca="1" si="22"/>
        <v>6.3825684299999992</v>
      </c>
      <c r="BB109" s="3119">
        <f t="shared" ca="1" si="22"/>
        <v>4.13838477</v>
      </c>
      <c r="BC109" s="3119">
        <f t="shared" ca="1" si="22"/>
        <v>1.6571684699999998</v>
      </c>
      <c r="BD109" s="3119">
        <f t="shared" ca="1" si="22"/>
        <v>0.38491505999999981</v>
      </c>
      <c r="BE109" s="3119">
        <f t="shared" ca="1" si="22"/>
        <v>0.28498265999999978</v>
      </c>
      <c r="BF109" s="3119">
        <f t="shared" ca="1" si="22"/>
        <v>0.20534354999999976</v>
      </c>
      <c r="BG109" s="3119">
        <f t="shared" ca="1" si="22"/>
        <v>3.8789549999999742E-2</v>
      </c>
      <c r="BH109" s="3137"/>
      <c r="BJ109" s="3116"/>
      <c r="BK109" s="3151"/>
      <c r="BL109" s="3151"/>
      <c r="BM109" s="3151"/>
      <c r="BN109" s="3119"/>
      <c r="BO109" s="3119"/>
      <c r="BP109" s="3152"/>
      <c r="BQ109" s="3152"/>
      <c r="BR109" s="3152"/>
      <c r="BS109" s="3152"/>
      <c r="BT109" s="3152"/>
      <c r="BU109" s="3152"/>
    </row>
    <row r="110" spans="2:83">
      <c r="B110" s="3116"/>
      <c r="C110" s="3151" t="s">
        <v>554</v>
      </c>
      <c r="D110" s="3151" t="s">
        <v>555</v>
      </c>
      <c r="E110" s="3151"/>
      <c r="F110" s="3119">
        <f>'Irl. Energy Balance 2013 (TWh)'!AK3</f>
        <v>2.5079796250885993</v>
      </c>
      <c r="G110" s="3119"/>
      <c r="H110" s="3152"/>
      <c r="I110" s="3152"/>
      <c r="J110" s="3152"/>
      <c r="K110" s="3152"/>
      <c r="L110" s="3152"/>
      <c r="M110" s="3152"/>
      <c r="N110" s="3152"/>
      <c r="O110" s="3152"/>
      <c r="P110" s="3152"/>
      <c r="Q110" s="3152"/>
      <c r="R110" s="3152"/>
      <c r="S110" s="3152"/>
      <c r="T110" s="3152"/>
      <c r="U110" s="3152"/>
      <c r="V110" s="3152"/>
      <c r="W110" s="3152"/>
      <c r="X110" s="3152"/>
      <c r="Y110" s="3152"/>
      <c r="Z110" s="3152"/>
      <c r="AA110" s="3152"/>
      <c r="AB110" s="3152"/>
      <c r="AC110" s="3152"/>
      <c r="AD110" s="3152"/>
      <c r="AE110" s="3152"/>
      <c r="AF110" s="3152"/>
      <c r="AG110" s="3152"/>
      <c r="AH110" s="3152"/>
      <c r="AI110" s="3152"/>
      <c r="AJ110" s="3152"/>
      <c r="AK110" s="3152"/>
      <c r="AL110" s="3152"/>
      <c r="AM110" s="3152"/>
      <c r="AN110" s="3152"/>
      <c r="AO110" s="3152"/>
      <c r="AP110" s="3152"/>
      <c r="AQ110" s="3152"/>
      <c r="AR110" s="3152"/>
      <c r="AS110" s="3152"/>
      <c r="AT110" s="3152"/>
      <c r="AU110" s="3152"/>
      <c r="AV110" s="3152"/>
      <c r="AW110" s="3152"/>
      <c r="AX110" s="3151"/>
      <c r="AY110" s="3119">
        <f t="shared" ca="1" si="20"/>
        <v>2.5</v>
      </c>
      <c r="AZ110" s="3119">
        <f t="shared" ca="1" si="19"/>
        <v>2.5</v>
      </c>
      <c r="BA110" s="3119">
        <f t="shared" ca="1" si="19"/>
        <v>2.5</v>
      </c>
      <c r="BB110" s="3119">
        <f t="shared" ca="1" si="19"/>
        <v>1.5</v>
      </c>
      <c r="BC110" s="3119">
        <f t="shared" ca="1" si="19"/>
        <v>1</v>
      </c>
      <c r="BD110" s="3119">
        <f t="shared" ca="1" si="19"/>
        <v>0</v>
      </c>
      <c r="BE110" s="3119">
        <f t="shared" ca="1" si="19"/>
        <v>0</v>
      </c>
      <c r="BF110" s="3119">
        <f t="shared" ca="1" si="19"/>
        <v>0</v>
      </c>
      <c r="BG110" s="3119">
        <f t="shared" ca="1" si="19"/>
        <v>0</v>
      </c>
      <c r="BH110" s="3137"/>
      <c r="BI110" s="377"/>
      <c r="BJ110" s="3116"/>
      <c r="BK110" s="3151"/>
      <c r="BL110" s="3151"/>
      <c r="BM110" s="3151"/>
      <c r="BN110" s="3119"/>
      <c r="BO110" s="3119"/>
      <c r="BP110" s="3152"/>
      <c r="BQ110" s="3152"/>
      <c r="BR110" s="3152"/>
      <c r="BS110" s="3152"/>
      <c r="BT110" s="3152"/>
      <c r="BU110" s="3152"/>
    </row>
    <row r="111" spans="2:83">
      <c r="B111" s="3116"/>
      <c r="C111" s="3151"/>
      <c r="D111" s="3158" t="s">
        <v>2477</v>
      </c>
      <c r="E111" s="3151"/>
      <c r="F111" s="3159">
        <f>F99+F100+F101+F109+F110</f>
        <v>28.632814079884394</v>
      </c>
      <c r="G111" s="3160"/>
      <c r="H111" s="3161"/>
      <c r="I111" s="3161"/>
      <c r="J111" s="3161"/>
      <c r="K111" s="3161"/>
      <c r="L111" s="3161"/>
      <c r="M111" s="3161"/>
      <c r="N111" s="3161"/>
      <c r="O111" s="3161"/>
      <c r="P111" s="3161"/>
      <c r="Q111" s="3161"/>
      <c r="R111" s="3161"/>
      <c r="S111" s="3161"/>
      <c r="T111" s="3161"/>
      <c r="U111" s="3161"/>
      <c r="V111" s="3161"/>
      <c r="W111" s="3161"/>
      <c r="X111" s="3161"/>
      <c r="Y111" s="3161"/>
      <c r="Z111" s="3161"/>
      <c r="AA111" s="3161"/>
      <c r="AB111" s="3161"/>
      <c r="AC111" s="3161"/>
      <c r="AD111" s="3161"/>
      <c r="AE111" s="3161"/>
      <c r="AF111" s="3161"/>
      <c r="AG111" s="3161"/>
      <c r="AH111" s="3161"/>
      <c r="AI111" s="3161"/>
      <c r="AJ111" s="3161"/>
      <c r="AK111" s="3161"/>
      <c r="AL111" s="3161"/>
      <c r="AM111" s="3161"/>
      <c r="AN111" s="3161"/>
      <c r="AO111" s="3161"/>
      <c r="AP111" s="3161"/>
      <c r="AQ111" s="3161"/>
      <c r="AR111" s="3161"/>
      <c r="AS111" s="3161"/>
      <c r="AT111" s="3161"/>
      <c r="AU111" s="3161"/>
      <c r="AV111" s="3161"/>
      <c r="AW111" s="3161"/>
      <c r="AX111" s="3151"/>
      <c r="AY111" s="3159">
        <f t="shared" ref="AY111:BG111" ca="1" si="23">AY99+AY100+AY101+AY109+AY110</f>
        <v>27.532470202973808</v>
      </c>
      <c r="AZ111" s="3159">
        <f t="shared" ca="1" si="23"/>
        <v>28.359040204621035</v>
      </c>
      <c r="BA111" s="3159">
        <f t="shared" ca="1" si="23"/>
        <v>30.073128870738987</v>
      </c>
      <c r="BB111" s="3159">
        <f t="shared" ca="1" si="23"/>
        <v>32.066299162485706</v>
      </c>
      <c r="BC111" s="3159">
        <f t="shared" ca="1" si="23"/>
        <v>34.124851935113348</v>
      </c>
      <c r="BD111" s="3159">
        <f t="shared" ca="1" si="23"/>
        <v>36.377460572642889</v>
      </c>
      <c r="BE111" s="3159">
        <f t="shared" ca="1" si="23"/>
        <v>38.799343360900366</v>
      </c>
      <c r="BF111" s="3159">
        <f t="shared" ca="1" si="23"/>
        <v>41.331624906346363</v>
      </c>
      <c r="BG111" s="3159">
        <f t="shared" ca="1" si="23"/>
        <v>43.874936365041343</v>
      </c>
      <c r="BH111" s="3137"/>
      <c r="BI111" s="377"/>
      <c r="BJ111" s="3116"/>
      <c r="BK111" s="3151"/>
      <c r="BL111" s="3162"/>
      <c r="BM111" s="3151"/>
      <c r="BN111" s="3160"/>
      <c r="BO111" s="3160"/>
      <c r="BP111" s="3161"/>
      <c r="BQ111" s="3161"/>
      <c r="BR111" s="3161"/>
      <c r="BS111" s="3161"/>
      <c r="BT111" s="3161"/>
      <c r="BU111" s="3161"/>
    </row>
    <row r="112" spans="2:83">
      <c r="B112" s="3116"/>
      <c r="C112" s="3151"/>
      <c r="D112" s="3162"/>
      <c r="E112" s="3151"/>
      <c r="F112" s="3160" t="s">
        <v>5</v>
      </c>
      <c r="G112" s="3160"/>
      <c r="H112" s="3161"/>
      <c r="I112" s="3161"/>
      <c r="J112" s="3161"/>
      <c r="K112" s="3161"/>
      <c r="L112" s="3161"/>
      <c r="M112" s="3161"/>
      <c r="N112" s="3161"/>
      <c r="O112" s="3161"/>
      <c r="P112" s="3161"/>
      <c r="Q112" s="3161"/>
      <c r="R112" s="3161"/>
      <c r="S112" s="3161"/>
      <c r="T112" s="3161"/>
      <c r="U112" s="3161"/>
      <c r="V112" s="3161"/>
      <c r="W112" s="3161"/>
      <c r="X112" s="3161"/>
      <c r="Y112" s="3161"/>
      <c r="Z112" s="3161"/>
      <c r="AA112" s="3161"/>
      <c r="AB112" s="3161"/>
      <c r="AC112" s="3161"/>
      <c r="AD112" s="3161"/>
      <c r="AE112" s="3161"/>
      <c r="AF112" s="3161"/>
      <c r="AG112" s="3161"/>
      <c r="AH112" s="3161"/>
      <c r="AI112" s="3161"/>
      <c r="AJ112" s="3161"/>
      <c r="AK112" s="3161"/>
      <c r="AL112" s="3161"/>
      <c r="AM112" s="3161"/>
      <c r="AN112" s="3161"/>
      <c r="AO112" s="3161"/>
      <c r="AP112" s="3161"/>
      <c r="AQ112" s="3161"/>
      <c r="AR112" s="3161"/>
      <c r="AS112" s="3161"/>
      <c r="AT112" s="3161"/>
      <c r="AU112" s="3161"/>
      <c r="AV112" s="3161"/>
      <c r="AW112" s="3161"/>
      <c r="AX112" s="3151"/>
      <c r="AY112" s="3160"/>
      <c r="AZ112" s="3160" t="s">
        <v>5</v>
      </c>
      <c r="BA112" s="3160"/>
      <c r="BB112" s="3160"/>
      <c r="BC112" s="3160"/>
      <c r="BD112" s="3160"/>
      <c r="BE112" s="3160"/>
      <c r="BF112" s="3160"/>
      <c r="BG112" s="3160"/>
      <c r="BH112" s="3137"/>
      <c r="BJ112" s="3116"/>
      <c r="BK112" s="3151"/>
      <c r="BL112" s="3162"/>
      <c r="BM112" s="3151"/>
      <c r="BN112" s="3160"/>
      <c r="BO112" s="3160"/>
      <c r="BP112" s="3161"/>
      <c r="BQ112" s="3161"/>
      <c r="BR112" s="3161"/>
      <c r="BS112" s="3161"/>
      <c r="BT112" s="3161"/>
      <c r="BU112" s="3161"/>
    </row>
    <row r="113" spans="2:84">
      <c r="B113" s="3116"/>
      <c r="C113" s="823"/>
      <c r="D113" s="819" t="s">
        <v>2478</v>
      </c>
      <c r="E113" s="823"/>
      <c r="F113" s="3163">
        <v>0</v>
      </c>
      <c r="G113" s="3163"/>
      <c r="H113" s="3152"/>
      <c r="I113" s="3152"/>
      <c r="J113" s="3152"/>
      <c r="K113" s="3152"/>
      <c r="L113" s="3152"/>
      <c r="M113" s="3152"/>
      <c r="N113" s="3152"/>
      <c r="O113" s="3152"/>
      <c r="P113" s="3152"/>
      <c r="Q113" s="3152"/>
      <c r="R113" s="3152"/>
      <c r="S113" s="3152"/>
      <c r="T113" s="3152"/>
      <c r="U113" s="3152"/>
      <c r="V113" s="3152"/>
      <c r="W113" s="3152"/>
      <c r="X113" s="3152"/>
      <c r="Y113" s="3152"/>
      <c r="Z113" s="3152"/>
      <c r="AA113" s="3152"/>
      <c r="AB113" s="3152"/>
      <c r="AC113" s="3152"/>
      <c r="AD113" s="3152"/>
      <c r="AE113" s="3152"/>
      <c r="AF113" s="3152"/>
      <c r="AG113" s="3152"/>
      <c r="AH113" s="3152"/>
      <c r="AI113" s="3152"/>
      <c r="AJ113" s="3152"/>
      <c r="AK113" s="3152"/>
      <c r="AL113" s="3152"/>
      <c r="AM113" s="3152"/>
      <c r="AN113" s="3152"/>
      <c r="AO113" s="3152"/>
      <c r="AP113" s="3152"/>
      <c r="AQ113" s="3152"/>
      <c r="AR113" s="3152"/>
      <c r="AS113" s="3152"/>
      <c r="AT113" s="3152"/>
      <c r="AU113" s="3152"/>
      <c r="AV113" s="3152"/>
      <c r="AW113" s="3152"/>
      <c r="AX113" s="3163">
        <v>0</v>
      </c>
      <c r="AY113" s="3792">
        <f ca="1">AY30-AY110</f>
        <v>0</v>
      </c>
      <c r="AZ113" s="3163">
        <f t="shared" ref="AZ113:BG113" ca="1" si="24">AZ30-AZ110</f>
        <v>-3.5527136788005009E-15</v>
      </c>
      <c r="BA113" s="3163">
        <f t="shared" ca="1" si="24"/>
        <v>0</v>
      </c>
      <c r="BB113" s="3163">
        <f t="shared" ca="1" si="24"/>
        <v>-3.5527136788005009E-15</v>
      </c>
      <c r="BC113" s="3163">
        <f t="shared" ca="1" si="24"/>
        <v>0</v>
      </c>
      <c r="BD113" s="3163">
        <f t="shared" ca="1" si="24"/>
        <v>3.5527136788005009E-15</v>
      </c>
      <c r="BE113" s="3163">
        <f t="shared" ca="1" si="24"/>
        <v>7.1054273576010019E-15</v>
      </c>
      <c r="BF113" s="3163">
        <f t="shared" ca="1" si="24"/>
        <v>0</v>
      </c>
      <c r="BG113" s="3163">
        <f t="shared" ca="1" si="24"/>
        <v>0</v>
      </c>
      <c r="BH113" s="3137"/>
      <c r="BI113" s="377"/>
      <c r="BJ113" s="3116"/>
      <c r="BK113" s="823"/>
      <c r="BL113" s="819"/>
      <c r="BM113" s="823"/>
      <c r="BN113" s="3163"/>
      <c r="BO113" s="3163"/>
      <c r="BP113" s="3152"/>
      <c r="BQ113" s="3152"/>
      <c r="BR113" s="3152"/>
      <c r="BS113" s="3152"/>
      <c r="BT113" s="3152"/>
      <c r="BU113" s="3152"/>
    </row>
    <row r="114" spans="2:84">
      <c r="B114" s="3116"/>
      <c r="C114" s="823"/>
      <c r="D114" s="819" t="s">
        <v>2609</v>
      </c>
      <c r="E114" s="823"/>
      <c r="F114" s="3163"/>
      <c r="G114" s="3163"/>
      <c r="H114" s="3152"/>
      <c r="I114" s="3152"/>
      <c r="J114" s="3152"/>
      <c r="K114" s="3152"/>
      <c r="L114" s="3152"/>
      <c r="M114" s="3152"/>
      <c r="N114" s="3152"/>
      <c r="O114" s="3152"/>
      <c r="P114" s="3152"/>
      <c r="Q114" s="3152"/>
      <c r="R114" s="3152"/>
      <c r="S114" s="3152"/>
      <c r="T114" s="3152"/>
      <c r="U114" s="3152"/>
      <c r="V114" s="3152"/>
      <c r="W114" s="3152"/>
      <c r="X114" s="3152"/>
      <c r="Y114" s="3152"/>
      <c r="Z114" s="3152"/>
      <c r="AA114" s="3152"/>
      <c r="AB114" s="3152"/>
      <c r="AC114" s="3152"/>
      <c r="AD114" s="3152"/>
      <c r="AE114" s="3152"/>
      <c r="AF114" s="3152"/>
      <c r="AG114" s="3152"/>
      <c r="AH114" s="3152"/>
      <c r="AI114" s="3152"/>
      <c r="AJ114" s="3152"/>
      <c r="AK114" s="3152"/>
      <c r="AL114" s="3152"/>
      <c r="AM114" s="3152"/>
      <c r="AN114" s="3152"/>
      <c r="AO114" s="3152"/>
      <c r="AP114" s="3152"/>
      <c r="AQ114" s="3152"/>
      <c r="AR114" s="3152"/>
      <c r="AS114" s="3152"/>
      <c r="AT114" s="3152"/>
      <c r="AU114" s="3152"/>
      <c r="AV114" s="3152"/>
      <c r="AW114" s="3152"/>
      <c r="AX114" s="3163">
        <v>0</v>
      </c>
      <c r="AY114" s="3163">
        <f t="shared" ref="AY114:BG114" ca="1" si="25">IF(AY113&lt;0,AY113+AY111,AY111)</f>
        <v>27.532470202973808</v>
      </c>
      <c r="AZ114" s="3163">
        <f t="shared" ca="1" si="25"/>
        <v>28.359040204621031</v>
      </c>
      <c r="BA114" s="3163">
        <f t="shared" ca="1" si="25"/>
        <v>30.073128870738987</v>
      </c>
      <c r="BB114" s="3163">
        <f t="shared" ca="1" si="25"/>
        <v>32.066299162485706</v>
      </c>
      <c r="BC114" s="3163">
        <f t="shared" ca="1" si="25"/>
        <v>34.124851935113348</v>
      </c>
      <c r="BD114" s="3163">
        <f t="shared" ca="1" si="25"/>
        <v>36.377460572642889</v>
      </c>
      <c r="BE114" s="3163">
        <f t="shared" ca="1" si="25"/>
        <v>38.799343360900366</v>
      </c>
      <c r="BF114" s="3163">
        <f t="shared" ca="1" si="25"/>
        <v>41.331624906346363</v>
      </c>
      <c r="BG114" s="3163">
        <f t="shared" ca="1" si="25"/>
        <v>43.874936365041343</v>
      </c>
      <c r="BH114" s="3137"/>
      <c r="BI114" s="3788"/>
      <c r="BJ114" s="3116"/>
      <c r="BK114" s="823"/>
      <c r="BL114" s="819"/>
      <c r="BM114" s="823"/>
      <c r="BN114" s="3163"/>
      <c r="BO114" s="3163"/>
      <c r="BP114" s="3152"/>
      <c r="BQ114" s="3152"/>
      <c r="BR114" s="3152"/>
      <c r="BS114" s="3152"/>
      <c r="BT114" s="3152"/>
      <c r="BU114" s="3152"/>
    </row>
    <row r="115" spans="2:84">
      <c r="B115" s="3116"/>
      <c r="C115" s="3162"/>
      <c r="D115" s="823"/>
      <c r="E115" s="3160"/>
      <c r="F115" s="823"/>
      <c r="G115" s="823"/>
      <c r="H115" s="3127"/>
      <c r="I115" s="3127"/>
      <c r="J115" s="3127"/>
      <c r="K115" s="3127"/>
      <c r="L115" s="3127"/>
      <c r="M115" s="3127"/>
      <c r="N115" s="3127"/>
      <c r="O115" s="3127"/>
      <c r="P115" s="3127"/>
      <c r="Q115" s="3127"/>
      <c r="R115" s="3127"/>
      <c r="S115" s="3127"/>
      <c r="T115" s="3127"/>
      <c r="U115" s="3127"/>
      <c r="V115" s="3127"/>
      <c r="W115" s="3127"/>
      <c r="X115" s="3127"/>
      <c r="Y115" s="3127"/>
      <c r="Z115" s="3127"/>
      <c r="AA115" s="3127"/>
      <c r="AB115" s="3127"/>
      <c r="AC115" s="3127"/>
      <c r="AD115" s="3127"/>
      <c r="AE115" s="3127"/>
      <c r="AF115" s="3127"/>
      <c r="AG115" s="3127"/>
      <c r="AH115" s="3127"/>
      <c r="AI115" s="3127"/>
      <c r="AJ115" s="3127"/>
      <c r="AK115" s="3127"/>
      <c r="AL115" s="3127"/>
      <c r="AM115" s="3127"/>
      <c r="AN115" s="3127"/>
      <c r="AO115" s="3127"/>
      <c r="AP115" s="3127"/>
      <c r="AQ115" s="3127"/>
      <c r="AR115" s="3127"/>
      <c r="AS115" s="3127"/>
      <c r="AT115" s="3127"/>
      <c r="AU115" s="3127"/>
      <c r="AV115" s="3127"/>
      <c r="AW115" s="3127"/>
      <c r="AX115" s="3160"/>
      <c r="AY115" s="3160"/>
      <c r="AZ115" s="3160"/>
      <c r="BA115" s="3160"/>
      <c r="BB115" s="3160"/>
      <c r="BC115" s="3160"/>
      <c r="BD115" s="3160"/>
      <c r="BE115" s="3160"/>
      <c r="BF115" s="3160"/>
      <c r="BG115" s="3160"/>
      <c r="BH115" s="3137"/>
      <c r="BJ115" s="3116"/>
      <c r="BK115" s="3162"/>
      <c r="BL115" s="823"/>
      <c r="BM115" s="3160"/>
      <c r="BN115" s="823"/>
      <c r="BO115" s="823"/>
      <c r="BP115" s="3127"/>
      <c r="BQ115" s="3127"/>
      <c r="BR115" s="3127"/>
      <c r="BS115" s="3127"/>
      <c r="BT115" s="3127"/>
      <c r="BU115" s="3127"/>
    </row>
    <row r="116" spans="2:84">
      <c r="B116" s="3116"/>
      <c r="C116" s="820"/>
      <c r="D116" s="820" t="str">
        <f>Preferences.PowerUnits&amp;" installed capacity"</f>
        <v>GW installed capacity</v>
      </c>
      <c r="E116" s="820"/>
      <c r="F116" s="820" t="s">
        <v>2611</v>
      </c>
      <c r="G116" s="820"/>
      <c r="H116" s="3164"/>
      <c r="I116" s="3164"/>
      <c r="J116" s="3164"/>
      <c r="K116" s="3164"/>
      <c r="L116" s="3164"/>
      <c r="M116" s="3164"/>
      <c r="N116" s="3164"/>
      <c r="O116" s="3164"/>
      <c r="P116" s="3164"/>
      <c r="Q116" s="3164"/>
      <c r="R116" s="3164"/>
      <c r="S116" s="3164"/>
      <c r="T116" s="3164"/>
      <c r="U116" s="3164"/>
      <c r="V116" s="3164"/>
      <c r="W116" s="3164"/>
      <c r="X116" s="3164"/>
      <c r="Y116" s="3164"/>
      <c r="Z116" s="3164"/>
      <c r="AA116" s="3164"/>
      <c r="AB116" s="3164"/>
      <c r="AC116" s="3164"/>
      <c r="AD116" s="3164"/>
      <c r="AE116" s="3164"/>
      <c r="AF116" s="3164"/>
      <c r="AG116" s="3164"/>
      <c r="AH116" s="3164"/>
      <c r="AI116" s="3164"/>
      <c r="AJ116" s="3164"/>
      <c r="AK116" s="3164"/>
      <c r="AL116" s="3164"/>
      <c r="AM116" s="3164"/>
      <c r="AN116" s="3164"/>
      <c r="AO116" s="3164"/>
      <c r="AP116" s="3164"/>
      <c r="AQ116" s="3164"/>
      <c r="AR116" s="3164"/>
      <c r="AS116" s="3164"/>
      <c r="AT116" s="3164"/>
      <c r="AU116" s="3164"/>
      <c r="AV116" s="3164"/>
      <c r="AW116" s="3164"/>
      <c r="AX116" s="820"/>
      <c r="AY116" s="3150">
        <v>2013</v>
      </c>
      <c r="AZ116" s="3150">
        <v>2015</v>
      </c>
      <c r="BA116" s="3150">
        <v>2020</v>
      </c>
      <c r="BB116" s="3150">
        <v>2025</v>
      </c>
      <c r="BC116" s="3150">
        <v>2030</v>
      </c>
      <c r="BD116" s="3150">
        <v>2035</v>
      </c>
      <c r="BE116" s="3150">
        <v>2040</v>
      </c>
      <c r="BF116" s="3150">
        <v>2045</v>
      </c>
      <c r="BG116" s="3150">
        <v>2050</v>
      </c>
      <c r="BH116" s="3137"/>
      <c r="BJ116" s="3116"/>
      <c r="BK116" s="823"/>
      <c r="BL116" s="823"/>
      <c r="BM116" s="823"/>
      <c r="BN116" s="823"/>
      <c r="BO116" s="823"/>
      <c r="BP116" s="3127"/>
      <c r="BQ116" s="3127"/>
      <c r="BR116" s="3127"/>
      <c r="BS116" s="3127"/>
      <c r="BT116" s="3127"/>
      <c r="BU116" s="3127"/>
      <c r="CF116" s="4082" t="s">
        <v>5</v>
      </c>
    </row>
    <row r="117" spans="2:84">
      <c r="B117" s="3116"/>
      <c r="C117" s="3151" t="s">
        <v>547</v>
      </c>
      <c r="D117" s="823" t="s">
        <v>2479</v>
      </c>
      <c r="E117" s="3151"/>
      <c r="F117" s="3160">
        <f>SUM(F118:F120)</f>
        <v>6.05</v>
      </c>
      <c r="G117" s="3160"/>
      <c r="H117" s="3161"/>
      <c r="I117" s="3161"/>
      <c r="J117" s="3161"/>
      <c r="K117" s="3161"/>
      <c r="L117" s="3161"/>
      <c r="M117" s="3161"/>
      <c r="N117" s="3161"/>
      <c r="O117" s="3161"/>
      <c r="P117" s="3161"/>
      <c r="Q117" s="3161"/>
      <c r="R117" s="3161"/>
      <c r="S117" s="3161"/>
      <c r="T117" s="3161"/>
      <c r="U117" s="3161"/>
      <c r="V117" s="3161"/>
      <c r="W117" s="3161"/>
      <c r="X117" s="3161"/>
      <c r="Y117" s="3161"/>
      <c r="Z117" s="3161"/>
      <c r="AA117" s="3161"/>
      <c r="AB117" s="3161"/>
      <c r="AC117" s="3161"/>
      <c r="AD117" s="3161"/>
      <c r="AE117" s="3161"/>
      <c r="AF117" s="3161"/>
      <c r="AG117" s="3161"/>
      <c r="AH117" s="3161"/>
      <c r="AI117" s="3161"/>
      <c r="AJ117" s="3161"/>
      <c r="AK117" s="3161"/>
      <c r="AL117" s="3161"/>
      <c r="AM117" s="3161"/>
      <c r="AN117" s="3161"/>
      <c r="AO117" s="3161"/>
      <c r="AP117" s="3161"/>
      <c r="AQ117" s="3161"/>
      <c r="AR117" s="3161"/>
      <c r="AS117" s="3161"/>
      <c r="AT117" s="3161"/>
      <c r="AU117" s="3161"/>
      <c r="AV117" s="3161"/>
      <c r="AW117" s="3161"/>
      <c r="AX117" s="3151"/>
      <c r="AY117" s="3165">
        <f ca="1">IFERROR(INDEX(INDIRECT($C117&amp;".info["&amp;AY$116&amp;"]"), MATCH("B.02", INDIRECT($C117&amp;".info[Vector]"), 0)), 0)</f>
        <v>6.046731460937262</v>
      </c>
      <c r="AZ117" s="3165">
        <f t="shared" ref="AZ117:BG131" ca="1" si="26">IFERROR(INDEX(INDIRECT($C117&amp;".info["&amp;AZ$116&amp;"]"), MATCH("B.02", INDIRECT($C117&amp;".info[Vector]"), 0)), 0)</f>
        <v>5.9222509775073338</v>
      </c>
      <c r="BA117" s="3165">
        <f t="shared" ca="1" si="26"/>
        <v>5.4513950606716248</v>
      </c>
      <c r="BB117" s="3165">
        <f t="shared" ca="1" si="26"/>
        <v>6.9450506480965375</v>
      </c>
      <c r="BC117" s="3165">
        <f t="shared" ca="1" si="26"/>
        <v>8.6673564525192059</v>
      </c>
      <c r="BD117" s="3165">
        <f t="shared" ca="1" si="26"/>
        <v>10.264814485695553</v>
      </c>
      <c r="BE117" s="3165">
        <f t="shared" ca="1" si="26"/>
        <v>10.984017995921848</v>
      </c>
      <c r="BF117" s="3165">
        <f t="shared" ca="1" si="26"/>
        <v>11.728918935759285</v>
      </c>
      <c r="BG117" s="3165">
        <f t="shared" ca="1" si="26"/>
        <v>12.50175302733326</v>
      </c>
      <c r="BH117" s="3137"/>
      <c r="BJ117" s="3116"/>
      <c r="BK117" s="3151"/>
      <c r="BL117" s="823"/>
      <c r="BM117" s="3151"/>
      <c r="BN117" s="3160"/>
      <c r="BO117" s="3160"/>
      <c r="BP117" s="3161"/>
      <c r="BQ117" s="3161"/>
      <c r="BR117" s="3161"/>
      <c r="BS117" s="3161"/>
      <c r="BT117" s="3161"/>
      <c r="BU117" s="3161"/>
    </row>
    <row r="118" spans="2:84">
      <c r="B118" s="3116"/>
      <c r="C118" s="823" t="s">
        <v>2339</v>
      </c>
      <c r="D118" s="823" t="s">
        <v>2480</v>
      </c>
      <c r="E118" s="3151"/>
      <c r="F118" s="3160">
        <f>(Unit.GW)*1.1</f>
        <v>1.1000000000000001</v>
      </c>
      <c r="G118" s="3160"/>
      <c r="H118" s="3161"/>
      <c r="I118" s="3161"/>
      <c r="J118" s="3161"/>
      <c r="K118" s="3161"/>
      <c r="L118" s="3161"/>
      <c r="M118" s="3161"/>
      <c r="N118" s="3161"/>
      <c r="O118" s="3161"/>
      <c r="P118" s="3161"/>
      <c r="Q118" s="3161"/>
      <c r="R118" s="3161"/>
      <c r="S118" s="3161"/>
      <c r="T118" s="3161"/>
      <c r="U118" s="3161"/>
      <c r="V118" s="3161"/>
      <c r="W118" s="3161"/>
      <c r="X118" s="3161"/>
      <c r="Y118" s="3161"/>
      <c r="Z118" s="3161"/>
      <c r="AA118" s="3161"/>
      <c r="AB118" s="3161"/>
      <c r="AC118" s="3161"/>
      <c r="AD118" s="3161"/>
      <c r="AE118" s="3161"/>
      <c r="AF118" s="3161"/>
      <c r="AG118" s="3161"/>
      <c r="AH118" s="3161"/>
      <c r="AI118" s="3161"/>
      <c r="AJ118" s="3161"/>
      <c r="AK118" s="3161"/>
      <c r="AL118" s="3161"/>
      <c r="AM118" s="3161"/>
      <c r="AN118" s="3161"/>
      <c r="AO118" s="3161"/>
      <c r="AP118" s="3161"/>
      <c r="AQ118" s="3161"/>
      <c r="AR118" s="3161"/>
      <c r="AS118" s="3161"/>
      <c r="AT118" s="3161"/>
      <c r="AU118" s="3161"/>
      <c r="AV118" s="3161"/>
      <c r="AW118" s="3161"/>
      <c r="AX118" s="3151"/>
      <c r="AY118" s="3165">
        <f t="shared" ref="AY118:AY131" ca="1" si="27">IFERROR(INDEX(INDIRECT($C118&amp;".info["&amp;AY$116&amp;"]"), MATCH("B.02", INDIRECT($C118&amp;".info[Vector]"), 0)), 0)</f>
        <v>1.1000000000000001</v>
      </c>
      <c r="AZ118" s="3165">
        <f t="shared" ca="1" si="26"/>
        <v>0.91600000000000004</v>
      </c>
      <c r="BA118" s="3165">
        <f t="shared" ca="1" si="26"/>
        <v>0.32400000000000001</v>
      </c>
      <c r="BB118" s="3165">
        <f t="shared" ca="1" si="26"/>
        <v>0.32400000000000001</v>
      </c>
      <c r="BC118" s="3165">
        <f t="shared" ca="1" si="26"/>
        <v>0.32400000000000001</v>
      </c>
      <c r="BD118" s="3165">
        <f t="shared" ca="1" si="26"/>
        <v>0</v>
      </c>
      <c r="BE118" s="3165">
        <f t="shared" ca="1" si="26"/>
        <v>0</v>
      </c>
      <c r="BF118" s="3165">
        <f t="shared" ca="1" si="26"/>
        <v>0</v>
      </c>
      <c r="BG118" s="3165">
        <f t="shared" ca="1" si="26"/>
        <v>0</v>
      </c>
      <c r="BH118" s="3137"/>
      <c r="BJ118" s="3116"/>
      <c r="BK118" s="823"/>
      <c r="BL118" s="823"/>
      <c r="BM118" s="3151"/>
      <c r="BN118" s="3160"/>
      <c r="BO118" s="3160"/>
      <c r="BP118" s="3161"/>
      <c r="BQ118" s="3161"/>
      <c r="BR118" s="3161"/>
      <c r="BS118" s="3161"/>
      <c r="BT118" s="3161"/>
      <c r="BU118" s="3161"/>
    </row>
    <row r="119" spans="2:84">
      <c r="B119" s="3116"/>
      <c r="C119" s="823" t="s">
        <v>2340</v>
      </c>
      <c r="D119" s="823" t="s">
        <v>2778</v>
      </c>
      <c r="E119" s="3151"/>
      <c r="F119" s="3160">
        <f>(Unit.GW)*1.2</f>
        <v>1.2</v>
      </c>
      <c r="G119" s="3160"/>
      <c r="H119" s="3161"/>
      <c r="I119" s="3161"/>
      <c r="J119" s="3161"/>
      <c r="K119" s="3161"/>
      <c r="L119" s="3161"/>
      <c r="M119" s="3161"/>
      <c r="N119" s="3161"/>
      <c r="O119" s="3161"/>
      <c r="P119" s="3161"/>
      <c r="Q119" s="3161"/>
      <c r="R119" s="3161"/>
      <c r="S119" s="3161"/>
      <c r="T119" s="3161"/>
      <c r="U119" s="3161"/>
      <c r="V119" s="3161"/>
      <c r="W119" s="3161"/>
      <c r="X119" s="3161"/>
      <c r="Y119" s="3161"/>
      <c r="Z119" s="3161"/>
      <c r="AA119" s="3161"/>
      <c r="AB119" s="3161"/>
      <c r="AC119" s="3161"/>
      <c r="AD119" s="3161"/>
      <c r="AE119" s="3161"/>
      <c r="AF119" s="3161"/>
      <c r="AG119" s="3161"/>
      <c r="AH119" s="3161"/>
      <c r="AI119" s="3161"/>
      <c r="AJ119" s="3161"/>
      <c r="AK119" s="3161"/>
      <c r="AL119" s="3161"/>
      <c r="AM119" s="3161"/>
      <c r="AN119" s="3161"/>
      <c r="AO119" s="3161"/>
      <c r="AP119" s="3161"/>
      <c r="AQ119" s="3161"/>
      <c r="AR119" s="3161"/>
      <c r="AS119" s="3161"/>
      <c r="AT119" s="3161"/>
      <c r="AU119" s="3161"/>
      <c r="AV119" s="3161"/>
      <c r="AW119" s="3161"/>
      <c r="AX119" s="3151"/>
      <c r="AY119" s="3165">
        <f t="shared" ca="1" si="27"/>
        <v>1.216</v>
      </c>
      <c r="AZ119" s="3165">
        <f t="shared" ca="1" si="26"/>
        <v>1.2009999999999998</v>
      </c>
      <c r="BA119" s="3165">
        <f t="shared" ca="1" si="26"/>
        <v>0.91600000000000004</v>
      </c>
      <c r="BB119" s="3165">
        <f t="shared" ca="1" si="26"/>
        <v>0.91600000000000004</v>
      </c>
      <c r="BC119" s="3165">
        <f t="shared" ca="1" si="26"/>
        <v>0.63100000000000012</v>
      </c>
      <c r="BD119" s="3317">
        <f t="shared" ca="1" si="26"/>
        <v>0</v>
      </c>
      <c r="BE119" s="3165">
        <f t="shared" ca="1" si="26"/>
        <v>0</v>
      </c>
      <c r="BF119" s="3165">
        <f t="shared" ca="1" si="26"/>
        <v>0</v>
      </c>
      <c r="BG119" s="3165">
        <f t="shared" ca="1" si="26"/>
        <v>0</v>
      </c>
      <c r="BH119" s="3137"/>
      <c r="BJ119" s="3116"/>
      <c r="BK119" s="823"/>
      <c r="BL119" s="823"/>
      <c r="BM119" s="3151"/>
      <c r="BN119" s="3160"/>
      <c r="BO119" s="3160"/>
      <c r="BP119" s="3161"/>
      <c r="BQ119" s="3161"/>
      <c r="BR119" s="3161"/>
      <c r="BS119" s="3161"/>
      <c r="BT119" s="3161"/>
      <c r="BU119" s="3161"/>
    </row>
    <row r="120" spans="2:84">
      <c r="B120" s="3116"/>
      <c r="C120" s="823" t="s">
        <v>2337</v>
      </c>
      <c r="D120" s="823" t="s">
        <v>2481</v>
      </c>
      <c r="E120" s="3151"/>
      <c r="F120" s="3160">
        <f>(Unit.GW)*3.75</f>
        <v>3.75</v>
      </c>
      <c r="G120" s="3160"/>
      <c r="H120" s="3161"/>
      <c r="I120" s="3161"/>
      <c r="J120" s="3161"/>
      <c r="K120" s="3161"/>
      <c r="L120" s="3161"/>
      <c r="M120" s="3161"/>
      <c r="N120" s="3161"/>
      <c r="O120" s="3161"/>
      <c r="P120" s="3161"/>
      <c r="Q120" s="3161"/>
      <c r="R120" s="3161"/>
      <c r="S120" s="3161"/>
      <c r="T120" s="3161"/>
      <c r="U120" s="3161"/>
      <c r="V120" s="3161"/>
      <c r="W120" s="3161"/>
      <c r="X120" s="3161"/>
      <c r="Y120" s="3161"/>
      <c r="Z120" s="3161"/>
      <c r="AA120" s="3161"/>
      <c r="AB120" s="3161"/>
      <c r="AC120" s="3161"/>
      <c r="AD120" s="3161"/>
      <c r="AE120" s="3161"/>
      <c r="AF120" s="3161"/>
      <c r="AG120" s="3161"/>
      <c r="AH120" s="3161"/>
      <c r="AI120" s="3161"/>
      <c r="AJ120" s="3161"/>
      <c r="AK120" s="3161"/>
      <c r="AL120" s="3161"/>
      <c r="AM120" s="3161"/>
      <c r="AN120" s="3161"/>
      <c r="AO120" s="3161"/>
      <c r="AP120" s="3161"/>
      <c r="AQ120" s="3161"/>
      <c r="AR120" s="3161"/>
      <c r="AS120" s="3161"/>
      <c r="AT120" s="3161"/>
      <c r="AU120" s="3161"/>
      <c r="AV120" s="3161"/>
      <c r="AW120" s="3161"/>
      <c r="AX120" s="3151"/>
      <c r="AY120" s="3165">
        <f t="shared" ca="1" si="27"/>
        <v>3.7307314609372622</v>
      </c>
      <c r="AZ120" s="3165">
        <f t="shared" ca="1" si="26"/>
        <v>3.8052509775073333</v>
      </c>
      <c r="BA120" s="3165">
        <f t="shared" ca="1" si="26"/>
        <v>4.2113950606716246</v>
      </c>
      <c r="BB120" s="3165">
        <f t="shared" ca="1" si="26"/>
        <v>5.7050506480965373</v>
      </c>
      <c r="BC120" s="3165">
        <f t="shared" ca="1" si="26"/>
        <v>7.7123564525192059</v>
      </c>
      <c r="BD120" s="3165">
        <f t="shared" ca="1" si="26"/>
        <v>10.264814485695553</v>
      </c>
      <c r="BE120" s="3165">
        <f t="shared" ca="1" si="26"/>
        <v>10.984017995921848</v>
      </c>
      <c r="BF120" s="3165">
        <f t="shared" ca="1" si="26"/>
        <v>11.728918935759285</v>
      </c>
      <c r="BG120" s="3165">
        <f t="shared" ca="1" si="26"/>
        <v>12.50175302733326</v>
      </c>
      <c r="BH120" s="3137"/>
      <c r="BJ120" s="3116"/>
      <c r="BK120" s="823"/>
      <c r="BL120" s="823"/>
      <c r="BM120" s="3151"/>
      <c r="BN120" s="3160"/>
      <c r="BO120" s="3160"/>
      <c r="BP120" s="3161"/>
      <c r="BQ120" s="3161"/>
      <c r="BR120" s="3161"/>
      <c r="BS120" s="3161"/>
      <c r="BT120" s="3161"/>
      <c r="BU120" s="3161"/>
    </row>
    <row r="121" spans="2:84">
      <c r="B121" s="3116"/>
      <c r="C121" s="3151" t="s">
        <v>544</v>
      </c>
      <c r="D121" s="3151" t="s">
        <v>545</v>
      </c>
      <c r="E121" s="3151"/>
      <c r="F121" s="3160">
        <v>0</v>
      </c>
      <c r="G121" s="3160"/>
      <c r="H121" s="3161"/>
      <c r="I121" s="3161"/>
      <c r="J121" s="3161"/>
      <c r="K121" s="3161"/>
      <c r="L121" s="3161"/>
      <c r="M121" s="3161"/>
      <c r="N121" s="3161"/>
      <c r="O121" s="3161"/>
      <c r="P121" s="3161"/>
      <c r="Q121" s="3161"/>
      <c r="R121" s="3161"/>
      <c r="S121" s="3161"/>
      <c r="T121" s="3161"/>
      <c r="U121" s="3161"/>
      <c r="V121" s="3161"/>
      <c r="W121" s="3161"/>
      <c r="X121" s="3161"/>
      <c r="Y121" s="3161"/>
      <c r="Z121" s="3161"/>
      <c r="AA121" s="3161"/>
      <c r="AB121" s="3161"/>
      <c r="AC121" s="3161"/>
      <c r="AD121" s="3161"/>
      <c r="AE121" s="3161"/>
      <c r="AF121" s="3161"/>
      <c r="AG121" s="3161"/>
      <c r="AH121" s="3161"/>
      <c r="AI121" s="3161"/>
      <c r="AJ121" s="3161"/>
      <c r="AK121" s="3161"/>
      <c r="AL121" s="3161"/>
      <c r="AM121" s="3161"/>
      <c r="AN121" s="3161"/>
      <c r="AO121" s="3161"/>
      <c r="AP121" s="3161"/>
      <c r="AQ121" s="3161"/>
      <c r="AR121" s="3161"/>
      <c r="AS121" s="3161"/>
      <c r="AT121" s="3161"/>
      <c r="AU121" s="3161"/>
      <c r="AV121" s="3161"/>
      <c r="AW121" s="3161"/>
      <c r="AX121" s="3151"/>
      <c r="AY121" s="3165">
        <f t="shared" ca="1" si="27"/>
        <v>0</v>
      </c>
      <c r="AZ121" s="3165">
        <f t="shared" ca="1" si="26"/>
        <v>0</v>
      </c>
      <c r="BA121" s="3165">
        <f t="shared" ca="1" si="26"/>
        <v>0</v>
      </c>
      <c r="BB121" s="3165">
        <f t="shared" ca="1" si="26"/>
        <v>0</v>
      </c>
      <c r="BC121" s="3165">
        <f t="shared" ca="1" si="26"/>
        <v>0</v>
      </c>
      <c r="BD121" s="3165">
        <f t="shared" ca="1" si="26"/>
        <v>0</v>
      </c>
      <c r="BE121" s="3165">
        <f t="shared" ca="1" si="26"/>
        <v>0</v>
      </c>
      <c r="BF121" s="3165">
        <f t="shared" ca="1" si="26"/>
        <v>0</v>
      </c>
      <c r="BG121" s="3165">
        <f t="shared" ca="1" si="26"/>
        <v>0</v>
      </c>
      <c r="BH121" s="3137"/>
      <c r="BJ121" s="3116"/>
      <c r="BK121" s="3151"/>
      <c r="BL121" s="3151"/>
      <c r="BM121" s="3151"/>
      <c r="BN121" s="3160"/>
      <c r="BO121" s="3160"/>
      <c r="BP121" s="3161"/>
      <c r="BQ121" s="3161"/>
      <c r="BR121" s="3161"/>
      <c r="BS121" s="3161"/>
      <c r="BT121" s="3161"/>
      <c r="BU121" s="3161"/>
    </row>
    <row r="122" spans="2:84">
      <c r="B122" s="3116"/>
      <c r="C122" s="3151" t="s">
        <v>539</v>
      </c>
      <c r="D122" s="3151" t="s">
        <v>540</v>
      </c>
      <c r="E122" s="3151"/>
      <c r="F122" s="3160">
        <v>0</v>
      </c>
      <c r="G122" s="3160"/>
      <c r="H122" s="3161"/>
      <c r="I122" s="3161"/>
      <c r="J122" s="3161"/>
      <c r="K122" s="3161"/>
      <c r="L122" s="3161"/>
      <c r="M122" s="3161"/>
      <c r="N122" s="3161"/>
      <c r="O122" s="3161"/>
      <c r="P122" s="3161"/>
      <c r="Q122" s="3161"/>
      <c r="R122" s="3161"/>
      <c r="S122" s="3161"/>
      <c r="T122" s="3161"/>
      <c r="U122" s="3161"/>
      <c r="V122" s="3161"/>
      <c r="W122" s="3161"/>
      <c r="X122" s="3161"/>
      <c r="Y122" s="3161"/>
      <c r="Z122" s="3161"/>
      <c r="AA122" s="3161"/>
      <c r="AB122" s="3161"/>
      <c r="AC122" s="3161"/>
      <c r="AD122" s="3161"/>
      <c r="AE122" s="3161"/>
      <c r="AF122" s="3161"/>
      <c r="AG122" s="3161"/>
      <c r="AH122" s="3161"/>
      <c r="AI122" s="3161"/>
      <c r="AJ122" s="3161"/>
      <c r="AK122" s="3161"/>
      <c r="AL122" s="3161"/>
      <c r="AM122" s="3161"/>
      <c r="AN122" s="3161"/>
      <c r="AO122" s="3161"/>
      <c r="AP122" s="3161"/>
      <c r="AQ122" s="3161"/>
      <c r="AR122" s="3161"/>
      <c r="AS122" s="3161"/>
      <c r="AT122" s="3161"/>
      <c r="AU122" s="3161"/>
      <c r="AV122" s="3161"/>
      <c r="AW122" s="3161"/>
      <c r="AX122" s="3151"/>
      <c r="AY122" s="3165">
        <f t="shared" ca="1" si="27"/>
        <v>0</v>
      </c>
      <c r="AZ122" s="3165">
        <f t="shared" ca="1" si="26"/>
        <v>0</v>
      </c>
      <c r="BA122" s="3165">
        <f t="shared" ca="1" si="26"/>
        <v>0</v>
      </c>
      <c r="BB122" s="3165">
        <f t="shared" ca="1" si="26"/>
        <v>0</v>
      </c>
      <c r="BC122" s="3165">
        <f t="shared" ca="1" si="26"/>
        <v>0</v>
      </c>
      <c r="BD122" s="3165">
        <f t="shared" ca="1" si="26"/>
        <v>0</v>
      </c>
      <c r="BE122" s="3165">
        <f t="shared" ca="1" si="26"/>
        <v>0</v>
      </c>
      <c r="BF122" s="3165">
        <f t="shared" ca="1" si="26"/>
        <v>0</v>
      </c>
      <c r="BG122" s="3165">
        <f t="shared" ca="1" si="26"/>
        <v>0</v>
      </c>
      <c r="BH122" s="3137"/>
      <c r="BJ122" s="3116"/>
      <c r="BK122" s="3151"/>
      <c r="BL122" s="3151"/>
      <c r="BM122" s="3151"/>
      <c r="BN122" s="3160"/>
      <c r="BO122" s="3160"/>
      <c r="BP122" s="3161"/>
      <c r="BQ122" s="3161"/>
      <c r="BR122" s="3161"/>
      <c r="BS122" s="3161"/>
      <c r="BT122" s="3161"/>
      <c r="BU122" s="3161"/>
    </row>
    <row r="123" spans="2:84">
      <c r="B123" s="3116"/>
      <c r="C123" s="3154" t="s">
        <v>511</v>
      </c>
      <c r="D123" s="3154" t="s">
        <v>512</v>
      </c>
      <c r="E123" s="3151"/>
      <c r="F123" s="3160">
        <f>(Unit.GW)*1.817</f>
        <v>1.8169999999999999</v>
      </c>
      <c r="G123" s="3160"/>
      <c r="H123" s="3161"/>
      <c r="I123" s="3161"/>
      <c r="J123" s="3161"/>
      <c r="K123" s="3161"/>
      <c r="L123" s="3161"/>
      <c r="M123" s="3161"/>
      <c r="N123" s="3161"/>
      <c r="O123" s="3161"/>
      <c r="P123" s="3161"/>
      <c r="Q123" s="3161"/>
      <c r="R123" s="3161"/>
      <c r="S123" s="3161"/>
      <c r="T123" s="3161"/>
      <c r="U123" s="3161"/>
      <c r="V123" s="3161"/>
      <c r="W123" s="3161"/>
      <c r="X123" s="3161"/>
      <c r="Y123" s="3161"/>
      <c r="Z123" s="3161"/>
      <c r="AA123" s="3161"/>
      <c r="AB123" s="3161"/>
      <c r="AC123" s="3161"/>
      <c r="AD123" s="3161"/>
      <c r="AE123" s="3161"/>
      <c r="AF123" s="3161"/>
      <c r="AG123" s="3161"/>
      <c r="AH123" s="3161"/>
      <c r="AI123" s="3161"/>
      <c r="AJ123" s="3161"/>
      <c r="AK123" s="3161"/>
      <c r="AL123" s="3161"/>
      <c r="AM123" s="3161"/>
      <c r="AN123" s="3161"/>
      <c r="AO123" s="3161"/>
      <c r="AP123" s="3161"/>
      <c r="AQ123" s="3161"/>
      <c r="AR123" s="3161"/>
      <c r="AS123" s="3161"/>
      <c r="AT123" s="3161"/>
      <c r="AU123" s="3161"/>
      <c r="AV123" s="3161"/>
      <c r="AW123" s="3161"/>
      <c r="AX123" s="3151"/>
      <c r="AY123" s="3317">
        <f t="shared" ca="1" si="27"/>
        <v>1.8</v>
      </c>
      <c r="AZ123" s="3165">
        <f t="shared" ca="1" si="26"/>
        <v>2.14</v>
      </c>
      <c r="BA123" s="3165">
        <f t="shared" ca="1" si="26"/>
        <v>2.14</v>
      </c>
      <c r="BB123" s="3165">
        <f t="shared" ca="1" si="26"/>
        <v>1.29</v>
      </c>
      <c r="BC123" s="3165">
        <f t="shared" ca="1" si="26"/>
        <v>0.43999999999999995</v>
      </c>
      <c r="BD123" s="3165">
        <f t="shared" ca="1" si="26"/>
        <v>1.4999999999999902E-2</v>
      </c>
      <c r="BE123" s="3165">
        <f t="shared" ca="1" si="26"/>
        <v>1.4999999999999902E-2</v>
      </c>
      <c r="BF123" s="3165">
        <f t="shared" ca="1" si="26"/>
        <v>1.4999999999999902E-2</v>
      </c>
      <c r="BG123" s="3165">
        <f t="shared" ca="1" si="26"/>
        <v>1.4999999999999902E-2</v>
      </c>
      <c r="BH123" s="3137"/>
      <c r="BJ123" s="3116"/>
      <c r="BK123" s="3154"/>
      <c r="BL123" s="3154"/>
      <c r="BM123" s="3151"/>
      <c r="BN123" s="3160"/>
      <c r="BO123" s="3160"/>
      <c r="BP123" s="3161"/>
      <c r="BQ123" s="3161"/>
      <c r="BR123" s="3161"/>
      <c r="BS123" s="3161"/>
      <c r="BT123" s="3161"/>
      <c r="BU123" s="3161"/>
    </row>
    <row r="124" spans="2:84">
      <c r="B124" s="3116"/>
      <c r="C124" s="3154" t="s">
        <v>513</v>
      </c>
      <c r="D124" s="3154" t="s">
        <v>514</v>
      </c>
      <c r="E124" s="3151"/>
      <c r="F124" s="3160">
        <f>(Unit.GW)*0.025</f>
        <v>2.5000000000000001E-2</v>
      </c>
      <c r="G124" s="3160"/>
      <c r="H124" s="3161"/>
      <c r="I124" s="3161"/>
      <c r="J124" s="3161"/>
      <c r="K124" s="3161"/>
      <c r="L124" s="3161"/>
      <c r="M124" s="3161"/>
      <c r="N124" s="3161"/>
      <c r="O124" s="3161"/>
      <c r="P124" s="3161"/>
      <c r="Q124" s="3161"/>
      <c r="R124" s="3161"/>
      <c r="S124" s="3161"/>
      <c r="T124" s="3161"/>
      <c r="U124" s="3161"/>
      <c r="V124" s="3161"/>
      <c r="W124" s="3161"/>
      <c r="X124" s="3161"/>
      <c r="Y124" s="3161"/>
      <c r="Z124" s="3161"/>
      <c r="AA124" s="3161"/>
      <c r="AB124" s="3161"/>
      <c r="AC124" s="3161"/>
      <c r="AD124" s="3161"/>
      <c r="AE124" s="3161"/>
      <c r="AF124" s="3161"/>
      <c r="AG124" s="3161"/>
      <c r="AH124" s="3161"/>
      <c r="AI124" s="3161"/>
      <c r="AJ124" s="3161"/>
      <c r="AK124" s="3161"/>
      <c r="AL124" s="3161"/>
      <c r="AM124" s="3161"/>
      <c r="AN124" s="3161"/>
      <c r="AO124" s="3161"/>
      <c r="AP124" s="3161"/>
      <c r="AQ124" s="3161"/>
      <c r="AR124" s="3161"/>
      <c r="AS124" s="3161"/>
      <c r="AT124" s="3161"/>
      <c r="AU124" s="3161"/>
      <c r="AV124" s="3161"/>
      <c r="AW124" s="3161"/>
      <c r="AX124" s="3151"/>
      <c r="AY124" s="4231">
        <f t="shared" ca="1" si="27"/>
        <v>2.5000000000000001E-2</v>
      </c>
      <c r="AZ124" s="3165">
        <f t="shared" ca="1" si="26"/>
        <v>2.5000000000000001E-2</v>
      </c>
      <c r="BA124" s="3165">
        <f t="shared" ca="1" si="26"/>
        <v>2.5000000000000001E-2</v>
      </c>
      <c r="BB124" s="3165">
        <f t="shared" ca="1" si="26"/>
        <v>0</v>
      </c>
      <c r="BC124" s="3165">
        <f t="shared" ca="1" si="26"/>
        <v>0</v>
      </c>
      <c r="BD124" s="3165">
        <f t="shared" ca="1" si="26"/>
        <v>0</v>
      </c>
      <c r="BE124" s="3165">
        <f t="shared" ca="1" si="26"/>
        <v>0</v>
      </c>
      <c r="BF124" s="3165">
        <f t="shared" ca="1" si="26"/>
        <v>0</v>
      </c>
      <c r="BG124" s="3165">
        <f t="shared" ca="1" si="26"/>
        <v>0</v>
      </c>
      <c r="BH124" s="3137"/>
      <c r="BJ124" s="3116"/>
      <c r="BK124" s="3154"/>
      <c r="BL124" s="3154"/>
      <c r="BM124" s="3151"/>
      <c r="BN124" s="3160"/>
      <c r="BO124" s="3160"/>
      <c r="BP124" s="3161"/>
      <c r="BQ124" s="3161"/>
      <c r="BR124" s="3161"/>
      <c r="BS124" s="3161"/>
      <c r="BT124" s="3161"/>
      <c r="BU124" s="3161"/>
      <c r="CE124" s="918" t="s">
        <v>3362</v>
      </c>
    </row>
    <row r="125" spans="2:84">
      <c r="B125" s="3116"/>
      <c r="C125" s="3154" t="s">
        <v>515</v>
      </c>
      <c r="D125" s="3154" t="s">
        <v>516</v>
      </c>
      <c r="E125" s="3151"/>
      <c r="F125" s="3160">
        <f>(Unit.GW)*0.216</f>
        <v>0.216</v>
      </c>
      <c r="G125" s="3160"/>
      <c r="H125" s="3161"/>
      <c r="I125" s="3161"/>
      <c r="J125" s="3161"/>
      <c r="K125" s="3161"/>
      <c r="L125" s="3161"/>
      <c r="M125" s="3161"/>
      <c r="N125" s="3161"/>
      <c r="O125" s="3161"/>
      <c r="P125" s="3161"/>
      <c r="Q125" s="3161"/>
      <c r="R125" s="3161"/>
      <c r="S125" s="3161"/>
      <c r="T125" s="3161"/>
      <c r="U125" s="3161"/>
      <c r="V125" s="3161"/>
      <c r="W125" s="3161"/>
      <c r="X125" s="3161"/>
      <c r="Y125" s="3161"/>
      <c r="Z125" s="3161"/>
      <c r="AA125" s="3161"/>
      <c r="AB125" s="3161"/>
      <c r="AC125" s="3161"/>
      <c r="AD125" s="3161"/>
      <c r="AE125" s="3161"/>
      <c r="AF125" s="3161"/>
      <c r="AG125" s="3161"/>
      <c r="AH125" s="3161"/>
      <c r="AI125" s="3161"/>
      <c r="AJ125" s="3161"/>
      <c r="AK125" s="3161"/>
      <c r="AL125" s="3161"/>
      <c r="AM125" s="3161"/>
      <c r="AN125" s="3161"/>
      <c r="AO125" s="3161"/>
      <c r="AP125" s="3161"/>
      <c r="AQ125" s="3161"/>
      <c r="AR125" s="3161"/>
      <c r="AS125" s="3161"/>
      <c r="AT125" s="3161"/>
      <c r="AU125" s="3161"/>
      <c r="AV125" s="3161"/>
      <c r="AW125" s="3161"/>
      <c r="AX125" s="3151"/>
      <c r="AY125" s="3165">
        <f t="shared" ca="1" si="27"/>
        <v>0.23699999999999999</v>
      </c>
      <c r="AZ125" s="3165">
        <f t="shared" ca="1" si="26"/>
        <v>0.23699999999999999</v>
      </c>
      <c r="BA125" s="3165">
        <f t="shared" ca="1" si="26"/>
        <v>0.23699999999999999</v>
      </c>
      <c r="BB125" s="3165">
        <f t="shared" ca="1" si="26"/>
        <v>0.23699999999999999</v>
      </c>
      <c r="BC125" s="3165">
        <f t="shared" ca="1" si="26"/>
        <v>0.152</v>
      </c>
      <c r="BD125" s="3165">
        <f t="shared" ca="1" si="26"/>
        <v>0.1</v>
      </c>
      <c r="BE125" s="3165">
        <f t="shared" ca="1" si="26"/>
        <v>7.0000000000000007E-2</v>
      </c>
      <c r="BF125" s="3165">
        <f t="shared" ca="1" si="26"/>
        <v>0.05</v>
      </c>
      <c r="BG125" s="3165">
        <f t="shared" ca="1" si="26"/>
        <v>0</v>
      </c>
      <c r="BH125" s="3137"/>
      <c r="BJ125" s="3116"/>
      <c r="BK125" s="3154"/>
      <c r="BL125" s="3154"/>
      <c r="BM125" s="3151"/>
      <c r="BN125" s="3160"/>
      <c r="BO125" s="3160"/>
      <c r="BP125" s="3161"/>
      <c r="BQ125" s="3161"/>
      <c r="BR125" s="3161"/>
      <c r="BS125" s="3161"/>
      <c r="BT125" s="3161"/>
      <c r="BU125" s="3161"/>
      <c r="CE125" s="918" t="s">
        <v>3360</v>
      </c>
    </row>
    <row r="126" spans="2:84">
      <c r="B126" s="3116"/>
      <c r="C126" s="3154" t="s">
        <v>612</v>
      </c>
      <c r="D126" s="3154" t="s">
        <v>390</v>
      </c>
      <c r="E126" s="3151"/>
      <c r="F126" s="3160">
        <v>0</v>
      </c>
      <c r="G126" s="3160"/>
      <c r="H126" s="3161"/>
      <c r="I126" s="3161"/>
      <c r="J126" s="3161"/>
      <c r="K126" s="3161"/>
      <c r="L126" s="3161"/>
      <c r="M126" s="3161"/>
      <c r="N126" s="3161"/>
      <c r="O126" s="3161"/>
      <c r="P126" s="3161"/>
      <c r="Q126" s="3161"/>
      <c r="R126" s="3161"/>
      <c r="S126" s="3161"/>
      <c r="T126" s="3161"/>
      <c r="U126" s="3161"/>
      <c r="V126" s="3161"/>
      <c r="W126" s="3161"/>
      <c r="X126" s="3161"/>
      <c r="Y126" s="3161"/>
      <c r="Z126" s="3161"/>
      <c r="AA126" s="3161"/>
      <c r="AB126" s="3161"/>
      <c r="AC126" s="3161"/>
      <c r="AD126" s="3161"/>
      <c r="AE126" s="3161"/>
      <c r="AF126" s="3161"/>
      <c r="AG126" s="3161"/>
      <c r="AH126" s="3161"/>
      <c r="AI126" s="3161"/>
      <c r="AJ126" s="3161"/>
      <c r="AK126" s="3161"/>
      <c r="AL126" s="3161"/>
      <c r="AM126" s="3161"/>
      <c r="AN126" s="3161"/>
      <c r="AO126" s="3161"/>
      <c r="AP126" s="3161"/>
      <c r="AQ126" s="3161"/>
      <c r="AR126" s="3161"/>
      <c r="AS126" s="3161"/>
      <c r="AT126" s="3161"/>
      <c r="AU126" s="3161"/>
      <c r="AV126" s="3161"/>
      <c r="AW126" s="3161"/>
      <c r="AX126" s="3151"/>
      <c r="AY126" s="3165">
        <f t="shared" ca="1" si="27"/>
        <v>0</v>
      </c>
      <c r="AZ126" s="3165">
        <f t="shared" ca="1" si="26"/>
        <v>1.5220700152207001E-3</v>
      </c>
      <c r="BA126" s="3165">
        <f t="shared" ca="1" si="26"/>
        <v>5.0000000000000001E-3</v>
      </c>
      <c r="BB126" s="3165">
        <f t="shared" ca="1" si="26"/>
        <v>5.0000000000000001E-3</v>
      </c>
      <c r="BC126" s="3165">
        <f t="shared" ca="1" si="26"/>
        <v>5.0000000000000001E-3</v>
      </c>
      <c r="BD126" s="3165">
        <f t="shared" ca="1" si="26"/>
        <v>5.0000000000000001E-3</v>
      </c>
      <c r="BE126" s="3165">
        <f t="shared" ca="1" si="26"/>
        <v>5.0000000000000001E-3</v>
      </c>
      <c r="BF126" s="3165">
        <f t="shared" ca="1" si="26"/>
        <v>0</v>
      </c>
      <c r="BG126" s="3165">
        <f t="shared" ca="1" si="26"/>
        <v>0</v>
      </c>
      <c r="BH126" s="3137"/>
      <c r="BJ126" s="3116"/>
      <c r="BK126" s="3154"/>
      <c r="BL126" s="3154"/>
      <c r="BM126" s="3151"/>
      <c r="BN126" s="3160"/>
      <c r="BO126" s="3160"/>
      <c r="BP126" s="3161"/>
      <c r="BQ126" s="3161"/>
      <c r="BR126" s="3161"/>
      <c r="BS126" s="3161"/>
      <c r="BT126" s="3161"/>
      <c r="BU126" s="3161"/>
    </row>
    <row r="127" spans="2:84">
      <c r="B127" s="3116"/>
      <c r="C127" s="3154" t="s">
        <v>614</v>
      </c>
      <c r="D127" s="3154" t="s">
        <v>615</v>
      </c>
      <c r="E127" s="3151"/>
      <c r="F127" s="3160">
        <v>0</v>
      </c>
      <c r="G127" s="3160"/>
      <c r="H127" s="3161"/>
      <c r="I127" s="3161"/>
      <c r="J127" s="3161"/>
      <c r="K127" s="3161"/>
      <c r="L127" s="3161"/>
      <c r="M127" s="3161"/>
      <c r="N127" s="3161"/>
      <c r="O127" s="3161"/>
      <c r="P127" s="3161"/>
      <c r="Q127" s="3161"/>
      <c r="R127" s="3161"/>
      <c r="S127" s="3161"/>
      <c r="T127" s="3161"/>
      <c r="U127" s="3161"/>
      <c r="V127" s="3161"/>
      <c r="W127" s="3161"/>
      <c r="X127" s="3161"/>
      <c r="Y127" s="3161"/>
      <c r="Z127" s="3161"/>
      <c r="AA127" s="3161"/>
      <c r="AB127" s="3161"/>
      <c r="AC127" s="3161"/>
      <c r="AD127" s="3161"/>
      <c r="AE127" s="3161"/>
      <c r="AF127" s="3161"/>
      <c r="AG127" s="3161"/>
      <c r="AH127" s="3161"/>
      <c r="AI127" s="3161"/>
      <c r="AJ127" s="3161"/>
      <c r="AK127" s="3161"/>
      <c r="AL127" s="3161"/>
      <c r="AM127" s="3161"/>
      <c r="AN127" s="3161"/>
      <c r="AO127" s="3161"/>
      <c r="AP127" s="3161"/>
      <c r="AQ127" s="3161"/>
      <c r="AR127" s="3161"/>
      <c r="AS127" s="3161"/>
      <c r="AT127" s="3161"/>
      <c r="AU127" s="3161"/>
      <c r="AV127" s="3161"/>
      <c r="AW127" s="3161"/>
      <c r="AX127" s="3151"/>
      <c r="AY127" s="3165">
        <f t="shared" ca="1" si="27"/>
        <v>0</v>
      </c>
      <c r="AZ127" s="3165">
        <f t="shared" ca="1" si="26"/>
        <v>0</v>
      </c>
      <c r="BA127" s="3165">
        <f t="shared" ca="1" si="26"/>
        <v>0</v>
      </c>
      <c r="BB127" s="3165">
        <f t="shared" ca="1" si="26"/>
        <v>0</v>
      </c>
      <c r="BC127" s="3165">
        <f t="shared" ca="1" si="26"/>
        <v>0</v>
      </c>
      <c r="BD127" s="3165">
        <f t="shared" ca="1" si="26"/>
        <v>0</v>
      </c>
      <c r="BE127" s="3165">
        <f t="shared" ca="1" si="26"/>
        <v>0</v>
      </c>
      <c r="BF127" s="3165">
        <f t="shared" ca="1" si="26"/>
        <v>0</v>
      </c>
      <c r="BG127" s="3165">
        <f t="shared" ca="1" si="26"/>
        <v>0</v>
      </c>
      <c r="BH127" s="3137"/>
      <c r="BJ127" s="3116"/>
      <c r="BK127" s="3154"/>
      <c r="BL127" s="3154"/>
      <c r="BM127" s="3151"/>
      <c r="BN127" s="3160"/>
      <c r="BO127" s="3160"/>
      <c r="BP127" s="3161"/>
      <c r="BQ127" s="3161"/>
      <c r="BR127" s="3161"/>
      <c r="BS127" s="3161"/>
      <c r="BT127" s="3161"/>
      <c r="BU127" s="3161"/>
    </row>
    <row r="128" spans="2:84">
      <c r="B128" s="3116"/>
      <c r="C128" s="3154" t="s">
        <v>616</v>
      </c>
      <c r="D128" s="3154" t="s">
        <v>617</v>
      </c>
      <c r="E128" s="3151"/>
      <c r="F128" s="3160">
        <v>0</v>
      </c>
      <c r="G128" s="3160"/>
      <c r="H128" s="3161"/>
      <c r="I128" s="3161"/>
      <c r="J128" s="3161"/>
      <c r="K128" s="3161"/>
      <c r="L128" s="3161"/>
      <c r="M128" s="3161"/>
      <c r="N128" s="3161"/>
      <c r="O128" s="3161"/>
      <c r="P128" s="3161"/>
      <c r="Q128" s="3161"/>
      <c r="R128" s="3161"/>
      <c r="S128" s="3161"/>
      <c r="T128" s="3161"/>
      <c r="U128" s="3161"/>
      <c r="V128" s="3161"/>
      <c r="W128" s="3161"/>
      <c r="X128" s="3161"/>
      <c r="Y128" s="3161"/>
      <c r="Z128" s="3161"/>
      <c r="AA128" s="3161"/>
      <c r="AB128" s="3161"/>
      <c r="AC128" s="3161"/>
      <c r="AD128" s="3161"/>
      <c r="AE128" s="3161"/>
      <c r="AF128" s="3161"/>
      <c r="AG128" s="3161"/>
      <c r="AH128" s="3161"/>
      <c r="AI128" s="3161"/>
      <c r="AJ128" s="3161"/>
      <c r="AK128" s="3161"/>
      <c r="AL128" s="3161"/>
      <c r="AM128" s="3161"/>
      <c r="AN128" s="3161"/>
      <c r="AO128" s="3161"/>
      <c r="AP128" s="3161"/>
      <c r="AQ128" s="3161"/>
      <c r="AR128" s="3161"/>
      <c r="AS128" s="3161"/>
      <c r="AT128" s="3161"/>
      <c r="AU128" s="3161"/>
      <c r="AV128" s="3161"/>
      <c r="AW128" s="3161"/>
      <c r="AX128" s="3151"/>
      <c r="AY128" s="3165">
        <f t="shared" ca="1" si="27"/>
        <v>0</v>
      </c>
      <c r="AZ128" s="3165">
        <f t="shared" ca="1" si="26"/>
        <v>0</v>
      </c>
      <c r="BA128" s="3165">
        <f t="shared" ca="1" si="26"/>
        <v>0</v>
      </c>
      <c r="BB128" s="3165">
        <f t="shared" ca="1" si="26"/>
        <v>0</v>
      </c>
      <c r="BC128" s="3165">
        <f t="shared" ca="1" si="26"/>
        <v>0</v>
      </c>
      <c r="BD128" s="3165">
        <f t="shared" ca="1" si="26"/>
        <v>0</v>
      </c>
      <c r="BE128" s="3165">
        <f t="shared" ca="1" si="26"/>
        <v>0</v>
      </c>
      <c r="BF128" s="3165">
        <f t="shared" ca="1" si="26"/>
        <v>0</v>
      </c>
      <c r="BG128" s="3165">
        <f t="shared" ca="1" si="26"/>
        <v>0</v>
      </c>
      <c r="BH128" s="3137"/>
      <c r="BJ128" s="3116"/>
      <c r="BK128" s="3154"/>
      <c r="BL128" s="3154"/>
      <c r="BM128" s="3151"/>
      <c r="BN128" s="3160"/>
      <c r="BO128" s="3160"/>
      <c r="BP128" s="3161"/>
      <c r="BQ128" s="3161"/>
      <c r="BR128" s="3161"/>
      <c r="BS128" s="3161"/>
      <c r="BT128" s="3161"/>
      <c r="BU128" s="3161"/>
    </row>
    <row r="129" spans="1:73">
      <c r="B129" s="3116"/>
      <c r="C129" s="3154" t="s">
        <v>519</v>
      </c>
      <c r="D129" s="3154" t="s">
        <v>520</v>
      </c>
      <c r="E129" s="3151"/>
      <c r="F129" s="3160">
        <v>0</v>
      </c>
      <c r="G129" s="3160"/>
      <c r="H129" s="3161"/>
      <c r="I129" s="3161"/>
      <c r="J129" s="3161"/>
      <c r="K129" s="3161"/>
      <c r="L129" s="3161"/>
      <c r="M129" s="3161"/>
      <c r="N129" s="3161"/>
      <c r="O129" s="3161"/>
      <c r="P129" s="3161"/>
      <c r="Q129" s="3161"/>
      <c r="R129" s="3161"/>
      <c r="S129" s="3161"/>
      <c r="T129" s="3161"/>
      <c r="U129" s="3161"/>
      <c r="V129" s="3161"/>
      <c r="W129" s="3161"/>
      <c r="X129" s="3161"/>
      <c r="Y129" s="3161"/>
      <c r="Z129" s="3161"/>
      <c r="AA129" s="3161"/>
      <c r="AB129" s="3161"/>
      <c r="AC129" s="3161"/>
      <c r="AD129" s="3161"/>
      <c r="AE129" s="3161"/>
      <c r="AF129" s="3161"/>
      <c r="AG129" s="3161"/>
      <c r="AH129" s="3161"/>
      <c r="AI129" s="3161"/>
      <c r="AJ129" s="3161"/>
      <c r="AK129" s="3161"/>
      <c r="AL129" s="3161"/>
      <c r="AM129" s="3161"/>
      <c r="AN129" s="3161"/>
      <c r="AO129" s="3161"/>
      <c r="AP129" s="3161"/>
      <c r="AQ129" s="3161"/>
      <c r="AR129" s="3161"/>
      <c r="AS129" s="3161"/>
      <c r="AT129" s="3161"/>
      <c r="AU129" s="3161"/>
      <c r="AV129" s="3161"/>
      <c r="AW129" s="3161"/>
      <c r="AX129" s="3151"/>
      <c r="AY129" s="3165">
        <f t="shared" ca="1" si="27"/>
        <v>0</v>
      </c>
      <c r="AZ129" s="3165">
        <f t="shared" ca="1" si="26"/>
        <v>0</v>
      </c>
      <c r="BA129" s="3165">
        <f t="shared" ca="1" si="26"/>
        <v>0</v>
      </c>
      <c r="BB129" s="3165">
        <f t="shared" ca="1" si="26"/>
        <v>0</v>
      </c>
      <c r="BC129" s="3165">
        <f t="shared" ca="1" si="26"/>
        <v>0</v>
      </c>
      <c r="BD129" s="3165">
        <f t="shared" ca="1" si="26"/>
        <v>0</v>
      </c>
      <c r="BE129" s="3165">
        <f t="shared" ca="1" si="26"/>
        <v>0</v>
      </c>
      <c r="BF129" s="3165">
        <f t="shared" ca="1" si="26"/>
        <v>0</v>
      </c>
      <c r="BG129" s="3165">
        <f t="shared" ca="1" si="26"/>
        <v>0</v>
      </c>
      <c r="BH129" s="3137"/>
      <c r="BJ129" s="3116"/>
      <c r="BK129" s="3154"/>
      <c r="BL129" s="3154"/>
      <c r="BM129" s="3151"/>
      <c r="BN129" s="3160"/>
      <c r="BO129" s="3160"/>
      <c r="BP129" s="3161"/>
      <c r="BQ129" s="3161"/>
      <c r="BR129" s="3161"/>
      <c r="BS129" s="3161"/>
      <c r="BT129" s="3161"/>
      <c r="BU129" s="3161"/>
    </row>
    <row r="130" spans="1:73">
      <c r="B130" s="3116"/>
      <c r="C130" s="3154" t="s">
        <v>525</v>
      </c>
      <c r="D130" s="3154" t="s">
        <v>526</v>
      </c>
      <c r="E130" s="3151"/>
      <c r="F130" s="3160">
        <v>0</v>
      </c>
      <c r="G130" s="3154"/>
      <c r="H130" s="3166"/>
      <c r="I130" s="3166"/>
      <c r="J130" s="3166"/>
      <c r="K130" s="3166"/>
      <c r="L130" s="3166"/>
      <c r="M130" s="3166"/>
      <c r="N130" s="3166"/>
      <c r="O130" s="3166"/>
      <c r="P130" s="3166"/>
      <c r="Q130" s="3166"/>
      <c r="R130" s="3166"/>
      <c r="S130" s="3166"/>
      <c r="T130" s="3166"/>
      <c r="U130" s="3166"/>
      <c r="V130" s="3166"/>
      <c r="W130" s="3166"/>
      <c r="X130" s="3166"/>
      <c r="Y130" s="3166"/>
      <c r="Z130" s="3166"/>
      <c r="AA130" s="3166"/>
      <c r="AB130" s="3166"/>
      <c r="AC130" s="3166"/>
      <c r="AD130" s="3166"/>
      <c r="AE130" s="3166"/>
      <c r="AF130" s="3166"/>
      <c r="AG130" s="3166"/>
      <c r="AH130" s="3166"/>
      <c r="AI130" s="3166"/>
      <c r="AJ130" s="3166"/>
      <c r="AK130" s="3166"/>
      <c r="AL130" s="3166"/>
      <c r="AM130" s="3166"/>
      <c r="AN130" s="3166"/>
      <c r="AO130" s="3166"/>
      <c r="AP130" s="3166"/>
      <c r="AQ130" s="3166"/>
      <c r="AR130" s="3166"/>
      <c r="AS130" s="3166"/>
      <c r="AT130" s="3166"/>
      <c r="AU130" s="3166"/>
      <c r="AV130" s="3166"/>
      <c r="AW130" s="3166"/>
      <c r="AX130" s="823" t="s">
        <v>5</v>
      </c>
      <c r="AY130" s="3165">
        <f t="shared" ca="1" si="27"/>
        <v>0</v>
      </c>
      <c r="AZ130" s="3165">
        <f t="shared" ca="1" si="26"/>
        <v>0</v>
      </c>
      <c r="BA130" s="3165">
        <f t="shared" ca="1" si="26"/>
        <v>0</v>
      </c>
      <c r="BB130" s="3165">
        <f t="shared" ca="1" si="26"/>
        <v>0</v>
      </c>
      <c r="BC130" s="3165">
        <f t="shared" ca="1" si="26"/>
        <v>0</v>
      </c>
      <c r="BD130" s="3165">
        <f t="shared" ca="1" si="26"/>
        <v>0</v>
      </c>
      <c r="BE130" s="3165">
        <f t="shared" ca="1" si="26"/>
        <v>0</v>
      </c>
      <c r="BF130" s="3165">
        <f t="shared" ca="1" si="26"/>
        <v>0</v>
      </c>
      <c r="BG130" s="3165">
        <f t="shared" ca="1" si="26"/>
        <v>0</v>
      </c>
      <c r="BH130" s="3137"/>
      <c r="BJ130" s="3116"/>
      <c r="BK130" s="3154"/>
      <c r="BL130" s="3154"/>
      <c r="BM130" s="3151"/>
      <c r="BN130" s="3160"/>
      <c r="BO130" s="3154"/>
      <c r="BP130" s="3166"/>
      <c r="BQ130" s="3166"/>
      <c r="BR130" s="3166"/>
      <c r="BS130" s="3166"/>
      <c r="BT130" s="3166"/>
      <c r="BU130" s="3166"/>
    </row>
    <row r="131" spans="1:73">
      <c r="B131" s="3116"/>
      <c r="C131" s="3154" t="s">
        <v>560</v>
      </c>
      <c r="D131" s="3154" t="s">
        <v>2482</v>
      </c>
      <c r="E131" s="3151"/>
      <c r="F131" s="3154"/>
      <c r="G131" s="3154"/>
      <c r="H131" s="3166"/>
      <c r="I131" s="3166"/>
      <c r="J131" s="3166"/>
      <c r="K131" s="3166"/>
      <c r="L131" s="3166"/>
      <c r="M131" s="3166"/>
      <c r="N131" s="3166"/>
      <c r="O131" s="3166"/>
      <c r="P131" s="3166"/>
      <c r="Q131" s="3166"/>
      <c r="R131" s="3166"/>
      <c r="S131" s="3166"/>
      <c r="T131" s="3166"/>
      <c r="U131" s="3166"/>
      <c r="V131" s="3166"/>
      <c r="W131" s="3166"/>
      <c r="X131" s="3166"/>
      <c r="Y131" s="3166"/>
      <c r="Z131" s="3166"/>
      <c r="AA131" s="3166"/>
      <c r="AB131" s="3166"/>
      <c r="AC131" s="3166"/>
      <c r="AD131" s="3166"/>
      <c r="AE131" s="3166"/>
      <c r="AF131" s="3166"/>
      <c r="AG131" s="3166"/>
      <c r="AH131" s="3166"/>
      <c r="AI131" s="3166"/>
      <c r="AJ131" s="3166"/>
      <c r="AK131" s="3166"/>
      <c r="AL131" s="3166"/>
      <c r="AM131" s="3166"/>
      <c r="AN131" s="3166"/>
      <c r="AO131" s="3166"/>
      <c r="AP131" s="3166"/>
      <c r="AQ131" s="3166"/>
      <c r="AR131" s="3166"/>
      <c r="AS131" s="3166"/>
      <c r="AT131" s="3166"/>
      <c r="AU131" s="3166"/>
      <c r="AV131" s="3166"/>
      <c r="AW131" s="3166"/>
      <c r="AX131" s="3151"/>
      <c r="AY131" s="3165">
        <f t="shared" ca="1" si="27"/>
        <v>0.28284987271456291</v>
      </c>
      <c r="AZ131" s="3165">
        <f t="shared" ca="1" si="26"/>
        <v>0.49101641110532723</v>
      </c>
      <c r="BA131" s="3165">
        <f t="shared" ca="1" si="26"/>
        <v>1.19226702680187</v>
      </c>
      <c r="BB131" s="3165">
        <f t="shared" ca="1" si="26"/>
        <v>0</v>
      </c>
      <c r="BC131" s="3165">
        <f t="shared" ca="1" si="26"/>
        <v>0</v>
      </c>
      <c r="BD131" s="3165">
        <f t="shared" ca="1" si="26"/>
        <v>0</v>
      </c>
      <c r="BE131" s="3165">
        <f t="shared" ca="1" si="26"/>
        <v>0</v>
      </c>
      <c r="BF131" s="3165">
        <f t="shared" ca="1" si="26"/>
        <v>0</v>
      </c>
      <c r="BG131" s="3165">
        <f t="shared" ca="1" si="26"/>
        <v>0</v>
      </c>
      <c r="BH131" s="3137"/>
      <c r="BJ131" s="3116"/>
      <c r="BK131" s="3154"/>
      <c r="BL131" s="3154"/>
      <c r="BM131" s="3151"/>
      <c r="BN131" s="3154"/>
      <c r="BO131" s="3154"/>
      <c r="BP131" s="3166"/>
      <c r="BQ131" s="3166"/>
      <c r="BR131" s="3166"/>
      <c r="BS131" s="3166"/>
      <c r="BT131" s="3166"/>
      <c r="BU131" s="3166"/>
    </row>
    <row r="132" spans="1:73">
      <c r="B132" s="3116"/>
      <c r="C132" s="3151"/>
      <c r="D132" s="3158" t="s">
        <v>1703</v>
      </c>
      <c r="E132" s="3158"/>
      <c r="F132" s="3894">
        <f>SUM(F118:F131)</f>
        <v>8.1080000000000005</v>
      </c>
      <c r="G132" s="3158"/>
      <c r="H132" s="3167"/>
      <c r="I132" s="3167"/>
      <c r="J132" s="3167"/>
      <c r="K132" s="3167"/>
      <c r="L132" s="3167"/>
      <c r="M132" s="3167"/>
      <c r="N132" s="3167"/>
      <c r="O132" s="3167"/>
      <c r="P132" s="3167"/>
      <c r="Q132" s="3167"/>
      <c r="R132" s="3167"/>
      <c r="S132" s="3167"/>
      <c r="T132" s="3167"/>
      <c r="U132" s="3167"/>
      <c r="V132" s="3167"/>
      <c r="W132" s="3167"/>
      <c r="X132" s="3167"/>
      <c r="Y132" s="3167"/>
      <c r="Z132" s="3167"/>
      <c r="AA132" s="3167"/>
      <c r="AB132" s="3167"/>
      <c r="AC132" s="3167"/>
      <c r="AD132" s="3167"/>
      <c r="AE132" s="3167"/>
      <c r="AF132" s="3167"/>
      <c r="AG132" s="3167"/>
      <c r="AH132" s="3167"/>
      <c r="AI132" s="3167"/>
      <c r="AJ132" s="3167"/>
      <c r="AK132" s="3167"/>
      <c r="AL132" s="3167"/>
      <c r="AM132" s="3167"/>
      <c r="AN132" s="3167"/>
      <c r="AO132" s="3167"/>
      <c r="AP132" s="3167"/>
      <c r="AQ132" s="3167"/>
      <c r="AR132" s="3168"/>
      <c r="AS132" s="3168"/>
      <c r="AT132" s="3168"/>
      <c r="AU132" s="3168"/>
      <c r="AV132" s="3168"/>
      <c r="AW132" s="3167"/>
      <c r="AX132" s="3158"/>
      <c r="AY132" s="3159">
        <f t="shared" ref="AY132:BG132" ca="1" si="28">SUM(AY118:AY131)</f>
        <v>8.3915813336518248</v>
      </c>
      <c r="AZ132" s="3159">
        <f t="shared" ca="1" si="28"/>
        <v>8.8167894586278823</v>
      </c>
      <c r="BA132" s="3159">
        <f t="shared" ca="1" si="28"/>
        <v>9.0506620874734942</v>
      </c>
      <c r="BB132" s="3159">
        <f t="shared" ca="1" si="28"/>
        <v>8.4770506480965384</v>
      </c>
      <c r="BC132" s="3159">
        <f t="shared" ca="1" si="28"/>
        <v>9.2643564525192055</v>
      </c>
      <c r="BD132" s="3159">
        <f t="shared" ca="1" si="28"/>
        <v>10.384814485695554</v>
      </c>
      <c r="BE132" s="3159">
        <f t="shared" ca="1" si="28"/>
        <v>11.074017995921849</v>
      </c>
      <c r="BF132" s="3159">
        <f t="shared" ca="1" si="28"/>
        <v>11.793918935759287</v>
      </c>
      <c r="BG132" s="3159">
        <f t="shared" ca="1" si="28"/>
        <v>12.516753027333261</v>
      </c>
      <c r="BH132" s="3137"/>
      <c r="BJ132" s="3116"/>
      <c r="BK132" s="3151"/>
      <c r="BL132" s="3162"/>
      <c r="BM132" s="3162"/>
      <c r="BN132" s="3962"/>
      <c r="BO132" s="3162"/>
      <c r="BP132" s="3963"/>
      <c r="BQ132" s="3963"/>
      <c r="BR132" s="3963"/>
      <c r="BS132" s="3963"/>
      <c r="BT132" s="3963"/>
      <c r="BU132" s="3963"/>
    </row>
    <row r="133" spans="1:73">
      <c r="B133" s="3116"/>
      <c r="C133" s="823"/>
      <c r="D133" s="3162"/>
      <c r="E133" s="823"/>
      <c r="F133" s="3160"/>
      <c r="G133" s="3160"/>
      <c r="H133" s="3161"/>
      <c r="I133" s="3161"/>
      <c r="J133" s="3161"/>
      <c r="K133" s="3161"/>
      <c r="L133" s="3161"/>
      <c r="M133" s="3161"/>
      <c r="N133" s="3161"/>
      <c r="O133" s="3161"/>
      <c r="P133" s="3161"/>
      <c r="Q133" s="3161"/>
      <c r="R133" s="3161"/>
      <c r="S133" s="3161"/>
      <c r="T133" s="3161"/>
      <c r="U133" s="3161"/>
      <c r="V133" s="3161"/>
      <c r="W133" s="3161"/>
      <c r="X133" s="3161"/>
      <c r="Y133" s="3161"/>
      <c r="Z133" s="3161"/>
      <c r="AA133" s="3161"/>
      <c r="AB133" s="3161"/>
      <c r="AC133" s="3161"/>
      <c r="AD133" s="3161"/>
      <c r="AE133" s="3161"/>
      <c r="AF133" s="3161"/>
      <c r="AG133" s="3161"/>
      <c r="AH133" s="3161"/>
      <c r="AI133" s="3161"/>
      <c r="AJ133" s="3161"/>
      <c r="AK133" s="3161"/>
      <c r="AL133" s="3161"/>
      <c r="AM133" s="3161"/>
      <c r="AN133" s="3161"/>
      <c r="AO133" s="3161"/>
      <c r="AP133" s="3161"/>
      <c r="AQ133" s="3161"/>
      <c r="AR133" s="3161"/>
      <c r="AS133" s="3161"/>
      <c r="AT133" s="3161"/>
      <c r="AU133" s="3161"/>
      <c r="AV133" s="3161"/>
      <c r="AW133" s="3161"/>
      <c r="AX133" s="823"/>
      <c r="AY133" s="3160"/>
      <c r="AZ133" s="3160"/>
      <c r="BA133" s="3160"/>
      <c r="BB133" s="3160"/>
      <c r="BC133" s="3160"/>
      <c r="BD133" s="3160"/>
      <c r="BE133" s="3160"/>
      <c r="BF133" s="3160"/>
      <c r="BG133" s="3160"/>
      <c r="BH133" s="3137"/>
      <c r="BJ133" s="3116"/>
      <c r="BK133" s="823"/>
      <c r="BL133" s="3162"/>
      <c r="BM133" s="823"/>
      <c r="BN133" s="3160"/>
      <c r="BO133" s="3160"/>
      <c r="BP133" s="3161"/>
      <c r="BQ133" s="3161"/>
      <c r="BR133" s="3161"/>
      <c r="BS133" s="3161"/>
      <c r="BT133" s="3161"/>
      <c r="BU133" s="3161"/>
    </row>
    <row r="134" spans="1:73">
      <c r="H134" s="3169"/>
      <c r="I134" s="3169"/>
      <c r="J134" s="3169"/>
      <c r="K134" s="3169"/>
      <c r="L134" s="3169"/>
      <c r="M134" s="3169"/>
      <c r="N134" s="3169"/>
      <c r="O134" s="3169"/>
      <c r="P134" s="3169"/>
      <c r="Q134" s="3169"/>
      <c r="R134" s="3169"/>
      <c r="S134" s="3169"/>
      <c r="T134" s="3169"/>
      <c r="U134" s="3169"/>
      <c r="V134" s="3169"/>
      <c r="W134" s="3169"/>
      <c r="X134" s="3169"/>
      <c r="Y134" s="3169"/>
      <c r="Z134" s="3169"/>
      <c r="AA134" s="3169"/>
      <c r="AB134" s="3169"/>
      <c r="AC134" s="3169"/>
      <c r="AD134" s="3169"/>
      <c r="AE134" s="3169"/>
      <c r="AF134" s="3169"/>
      <c r="AG134" s="3169"/>
      <c r="AH134" s="3169"/>
      <c r="AI134" s="3169"/>
      <c r="AJ134" s="3169"/>
      <c r="AK134" s="3169"/>
      <c r="AL134" s="3169"/>
      <c r="AM134" s="3169"/>
      <c r="AN134" s="3169"/>
      <c r="AO134" s="3169"/>
      <c r="AP134" s="3169"/>
      <c r="AQ134" s="3169"/>
      <c r="AR134" s="3169"/>
      <c r="AS134" s="3169"/>
      <c r="AT134" s="3169"/>
      <c r="AU134" s="3169"/>
      <c r="AV134" s="3169"/>
      <c r="AW134" s="3169"/>
      <c r="BI134" s="3034" t="s">
        <v>5</v>
      </c>
      <c r="BJ134" s="3945"/>
      <c r="BK134" s="3945"/>
      <c r="BL134" s="3945"/>
      <c r="BM134" s="3945"/>
      <c r="BN134" s="3945"/>
      <c r="BO134" s="3945"/>
      <c r="BP134" s="3169"/>
      <c r="BQ134" s="3169"/>
      <c r="BR134" s="3169"/>
      <c r="BS134" s="3169"/>
      <c r="BT134" s="3169"/>
      <c r="BU134" s="3169"/>
    </row>
    <row r="135" spans="1:73" ht="23.5">
      <c r="A135" s="7"/>
      <c r="B135" s="3170" t="s">
        <v>300</v>
      </c>
      <c r="C135" s="3171"/>
      <c r="D135" s="3171"/>
      <c r="E135" s="3171"/>
      <c r="F135" s="3171"/>
      <c r="G135" s="3171"/>
      <c r="H135" s="3172"/>
      <c r="I135" s="3172"/>
      <c r="J135" s="3172"/>
      <c r="K135" s="3172"/>
      <c r="L135" s="3172"/>
      <c r="M135" s="3172"/>
      <c r="N135" s="3172"/>
      <c r="O135" s="3172"/>
      <c r="P135" s="3172"/>
      <c r="Q135" s="3172"/>
      <c r="R135" s="3172"/>
      <c r="S135" s="3172"/>
      <c r="T135" s="3172"/>
      <c r="U135" s="3172"/>
      <c r="V135" s="3172"/>
      <c r="W135" s="3172"/>
      <c r="X135" s="3172"/>
      <c r="Y135" s="3172"/>
      <c r="Z135" s="3172"/>
      <c r="AA135" s="3172"/>
      <c r="AB135" s="3172"/>
      <c r="AC135" s="3172"/>
      <c r="AD135" s="3172"/>
      <c r="AE135" s="3172"/>
      <c r="AF135" s="3172"/>
      <c r="AG135" s="3172"/>
      <c r="AH135" s="3172"/>
      <c r="AI135" s="3172"/>
      <c r="AJ135" s="3172"/>
      <c r="AK135" s="3172"/>
      <c r="AL135" s="3172"/>
      <c r="AM135" s="3172"/>
      <c r="AN135" s="3172"/>
      <c r="AO135" s="3172"/>
      <c r="AP135" s="3172"/>
      <c r="AQ135" s="3172"/>
      <c r="AR135" s="3172"/>
      <c r="AS135" s="3172"/>
      <c r="AT135" s="3172"/>
      <c r="AU135" s="3172"/>
      <c r="AV135" s="3172"/>
      <c r="AW135" s="3172"/>
      <c r="AX135" s="3171"/>
      <c r="AY135" s="3171"/>
      <c r="AZ135" s="3171"/>
      <c r="BA135" s="3171"/>
      <c r="BB135" s="3171"/>
      <c r="BC135" s="3171"/>
      <c r="BD135" s="3171"/>
      <c r="BE135" s="3171"/>
      <c r="BF135" s="3171"/>
      <c r="BG135" s="3173"/>
      <c r="BH135" s="3174"/>
      <c r="BJ135" s="3170"/>
      <c r="BK135" s="3171"/>
      <c r="BL135" s="3171"/>
      <c r="BM135" s="3171"/>
      <c r="BN135" s="3171"/>
      <c r="BO135" s="3171"/>
      <c r="BP135" s="3172"/>
      <c r="BQ135" s="3172"/>
      <c r="BR135" s="3172"/>
      <c r="BS135" s="3172"/>
      <c r="BT135" s="3172"/>
      <c r="BU135" s="3172"/>
    </row>
    <row r="136" spans="1:73" ht="15.5">
      <c r="B136" s="3175"/>
      <c r="C136" s="3176"/>
      <c r="D136" s="3176"/>
      <c r="E136" s="3176"/>
      <c r="F136" s="3176"/>
      <c r="G136" s="3176"/>
      <c r="H136" s="3177"/>
      <c r="I136" s="3177"/>
      <c r="J136" s="3177"/>
      <c r="K136" s="3177"/>
      <c r="L136" s="3177"/>
      <c r="M136" s="3177"/>
      <c r="N136" s="3177"/>
      <c r="O136" s="3177"/>
      <c r="P136" s="3177"/>
      <c r="Q136" s="3177"/>
      <c r="R136" s="3177"/>
      <c r="S136" s="3177"/>
      <c r="T136" s="3177"/>
      <c r="U136" s="3177"/>
      <c r="V136" s="3177"/>
      <c r="W136" s="3177"/>
      <c r="X136" s="3177"/>
      <c r="Y136" s="3177"/>
      <c r="Z136" s="3177"/>
      <c r="AA136" s="3177"/>
      <c r="AB136" s="3177"/>
      <c r="AC136" s="3177"/>
      <c r="AD136" s="3177"/>
      <c r="AE136" s="3177"/>
      <c r="AF136" s="3177"/>
      <c r="AG136" s="3177"/>
      <c r="AH136" s="3177"/>
      <c r="AI136" s="3177"/>
      <c r="AJ136" s="3177"/>
      <c r="AK136" s="3177"/>
      <c r="AL136" s="3177"/>
      <c r="AM136" s="3177"/>
      <c r="AN136" s="3177"/>
      <c r="AO136" s="3177"/>
      <c r="AP136" s="3177"/>
      <c r="AQ136" s="3177"/>
      <c r="AR136" s="3177"/>
      <c r="AS136" s="3177"/>
      <c r="AT136" s="3177"/>
      <c r="AU136" s="3177"/>
      <c r="AV136" s="3177"/>
      <c r="AW136" s="3177"/>
      <c r="AX136" s="3176"/>
      <c r="AY136" s="3176"/>
      <c r="AZ136" s="3176"/>
      <c r="BA136" s="3176"/>
      <c r="BB136" s="3176"/>
      <c r="BC136" s="3176"/>
      <c r="BD136" s="3176"/>
      <c r="BE136" s="3176"/>
      <c r="BF136" s="3176"/>
      <c r="BG136" s="3178"/>
      <c r="BH136" s="3179"/>
      <c r="BJ136" s="3175"/>
      <c r="BK136" s="3176"/>
      <c r="BL136" s="3176"/>
      <c r="BM136" s="3176"/>
      <c r="BN136" s="3176"/>
      <c r="BO136" s="3176"/>
      <c r="BP136" s="3177"/>
      <c r="BQ136" s="3177"/>
      <c r="BR136" s="3177"/>
      <c r="BS136" s="3177"/>
      <c r="BT136" s="3177"/>
      <c r="BU136" s="3177"/>
    </row>
    <row r="137" spans="1:73" ht="15.5">
      <c r="B137" s="3175"/>
      <c r="C137" s="3180" t="s">
        <v>2606</v>
      </c>
      <c r="D137" s="3176"/>
      <c r="E137" s="3176"/>
      <c r="F137" s="3176"/>
      <c r="G137" s="3176"/>
      <c r="H137" s="3177"/>
      <c r="I137" s="3177"/>
      <c r="J137" s="3177"/>
      <c r="K137" s="3177"/>
      <c r="L137" s="3177"/>
      <c r="M137" s="3177"/>
      <c r="N137" s="3177"/>
      <c r="O137" s="3177"/>
      <c r="P137" s="3177"/>
      <c r="Q137" s="3177"/>
      <c r="R137" s="3177"/>
      <c r="S137" s="3177"/>
      <c r="T137" s="3177"/>
      <c r="U137" s="3177"/>
      <c r="V137" s="3177"/>
      <c r="W137" s="3177"/>
      <c r="X137" s="3177"/>
      <c r="Y137" s="3177"/>
      <c r="Z137" s="3177"/>
      <c r="AA137" s="3177"/>
      <c r="AB137" s="3177"/>
      <c r="AC137" s="3177"/>
      <c r="AD137" s="3177"/>
      <c r="AE137" s="3177"/>
      <c r="AF137" s="3177"/>
      <c r="AG137" s="3177"/>
      <c r="AH137" s="3177"/>
      <c r="AI137" s="3177"/>
      <c r="AJ137" s="3177"/>
      <c r="AK137" s="3177"/>
      <c r="AL137" s="3177"/>
      <c r="AM137" s="3177"/>
      <c r="AN137" s="3177"/>
      <c r="AO137" s="3177"/>
      <c r="AP137" s="3177"/>
      <c r="AQ137" s="3177"/>
      <c r="AR137" s="3177"/>
      <c r="AS137" s="3177"/>
      <c r="AT137" s="3177"/>
      <c r="AU137" s="3177"/>
      <c r="AV137" s="3177"/>
      <c r="AW137" s="3177"/>
      <c r="AX137" s="3176"/>
      <c r="AY137" s="3176"/>
      <c r="AZ137" s="3176"/>
      <c r="BA137" s="3176"/>
      <c r="BB137" s="3176"/>
      <c r="BC137" s="3176"/>
      <c r="BD137" s="3176"/>
      <c r="BE137" s="3176"/>
      <c r="BF137" s="3176"/>
      <c r="BG137" s="3178"/>
      <c r="BH137" s="3179"/>
      <c r="BJ137" s="3175"/>
      <c r="BK137" s="3180"/>
      <c r="BL137" s="3176"/>
      <c r="BM137" s="3176"/>
      <c r="BN137" s="3176"/>
      <c r="BO137" s="3176"/>
      <c r="BP137" s="3177"/>
      <c r="BQ137" s="3177"/>
      <c r="BR137" s="3177"/>
      <c r="BS137" s="3177"/>
      <c r="BT137" s="3177"/>
      <c r="BU137" s="3177"/>
    </row>
    <row r="138" spans="1:73">
      <c r="B138" s="3181"/>
      <c r="C138" s="3176"/>
      <c r="D138" s="3182" t="s">
        <v>303</v>
      </c>
      <c r="E138" s="3176"/>
      <c r="F138" s="3178" t="s">
        <v>3782</v>
      </c>
      <c r="G138" s="3176"/>
      <c r="H138" s="3177"/>
      <c r="I138" s="3177"/>
      <c r="J138" s="3177"/>
      <c r="K138" s="3177"/>
      <c r="L138" s="3177"/>
      <c r="M138" s="3177"/>
      <c r="N138" s="3177"/>
      <c r="O138" s="3177"/>
      <c r="P138" s="3177"/>
      <c r="Q138" s="3177"/>
      <c r="R138" s="3177"/>
      <c r="S138" s="3177"/>
      <c r="T138" s="3177"/>
      <c r="U138" s="3177"/>
      <c r="V138" s="3177"/>
      <c r="W138" s="3177"/>
      <c r="X138" s="3177"/>
      <c r="Y138" s="3177"/>
      <c r="Z138" s="3177"/>
      <c r="AA138" s="3177"/>
      <c r="AB138" s="3177"/>
      <c r="AC138" s="3177"/>
      <c r="AD138" s="3177"/>
      <c r="AE138" s="3177"/>
      <c r="AF138" s="3177"/>
      <c r="AG138" s="3177"/>
      <c r="AH138" s="3177"/>
      <c r="AI138" s="3177"/>
      <c r="AJ138" s="3177"/>
      <c r="AK138" s="3177"/>
      <c r="AL138" s="3177"/>
      <c r="AM138" s="3177"/>
      <c r="AN138" s="3177"/>
      <c r="AO138" s="3177"/>
      <c r="AP138" s="3177"/>
      <c r="AQ138" s="3177"/>
      <c r="AR138" s="3177"/>
      <c r="AS138" s="3177"/>
      <c r="AT138" s="3177"/>
      <c r="AU138" s="3177"/>
      <c r="AV138" s="3177"/>
      <c r="AW138" s="3177"/>
      <c r="AX138" s="3176"/>
      <c r="AY138" s="3176">
        <v>2013</v>
      </c>
      <c r="AZ138" s="3176">
        <v>2015</v>
      </c>
      <c r="BA138" s="3176">
        <v>2020</v>
      </c>
      <c r="BB138" s="3176">
        <v>2025</v>
      </c>
      <c r="BC138" s="3176">
        <v>2030</v>
      </c>
      <c r="BD138" s="3176">
        <v>2035</v>
      </c>
      <c r="BE138" s="3176">
        <v>2040</v>
      </c>
      <c r="BF138" s="3176">
        <v>2045</v>
      </c>
      <c r="BG138" s="3178">
        <v>2050</v>
      </c>
      <c r="BH138" s="3179"/>
      <c r="BI138" s="2"/>
      <c r="BJ138" s="3181"/>
      <c r="BK138" s="3176"/>
      <c r="BL138" s="3182"/>
      <c r="BM138" s="3176"/>
      <c r="BN138" s="3176"/>
      <c r="BO138" s="3176"/>
      <c r="BP138" s="3177"/>
      <c r="BQ138" s="3177"/>
      <c r="BR138" s="3177"/>
      <c r="BS138" s="3177"/>
      <c r="BT138" s="3177"/>
      <c r="BU138" s="3177"/>
    </row>
    <row r="139" spans="1:73" s="918" customFormat="1">
      <c r="B139" s="3183"/>
      <c r="C139" s="4071" t="s">
        <v>304</v>
      </c>
      <c r="D139" s="3258" t="s">
        <v>305</v>
      </c>
      <c r="E139" s="3176"/>
      <c r="F139" s="3186"/>
      <c r="G139" s="3186"/>
      <c r="H139" s="3187"/>
      <c r="I139" s="3187"/>
      <c r="J139" s="3187"/>
      <c r="K139" s="3187"/>
      <c r="L139" s="3187"/>
      <c r="M139" s="3187"/>
      <c r="N139" s="3187"/>
      <c r="O139" s="3187"/>
      <c r="P139" s="3187"/>
      <c r="Q139" s="3187"/>
      <c r="R139" s="3187"/>
      <c r="S139" s="3187"/>
      <c r="T139" s="3187"/>
      <c r="U139" s="3187"/>
      <c r="V139" s="3187"/>
      <c r="W139" s="3187"/>
      <c r="X139" s="3187"/>
      <c r="Y139" s="3187"/>
      <c r="Z139" s="3187"/>
      <c r="AA139" s="3187"/>
      <c r="AB139" s="3187"/>
      <c r="AC139" s="3187"/>
      <c r="AD139" s="3187"/>
      <c r="AE139" s="3187"/>
      <c r="AF139" s="3187"/>
      <c r="AG139" s="3187"/>
      <c r="AH139" s="3187"/>
      <c r="AI139" s="3187"/>
      <c r="AJ139" s="3187"/>
      <c r="AK139" s="3187"/>
      <c r="AL139" s="3187"/>
      <c r="AM139" s="3187"/>
      <c r="AN139" s="3187"/>
      <c r="AO139" s="3187"/>
      <c r="AP139" s="3187"/>
      <c r="AQ139" s="3187"/>
      <c r="AR139" s="3187"/>
      <c r="AS139" s="3187"/>
      <c r="AT139" s="3187"/>
      <c r="AU139" s="3187"/>
      <c r="AV139" s="3187"/>
      <c r="AW139" s="3187"/>
      <c r="AX139" s="3188"/>
      <c r="AY139" s="3186"/>
      <c r="AZ139" s="3186"/>
      <c r="BA139" s="3186"/>
      <c r="BB139" s="3186"/>
      <c r="BC139" s="3186"/>
      <c r="BD139" s="3186"/>
      <c r="BE139" s="3186"/>
      <c r="BF139" s="3186"/>
      <c r="BG139" s="3186"/>
      <c r="BH139" s="3189"/>
      <c r="BJ139" s="3183"/>
      <c r="BK139" s="3184"/>
      <c r="BL139" s="3185"/>
      <c r="BM139" s="3176"/>
      <c r="BN139" s="3186"/>
      <c r="BO139" s="3186"/>
      <c r="BP139" s="3187"/>
      <c r="BQ139" s="3187"/>
      <c r="BR139" s="3187"/>
      <c r="BS139" s="3187"/>
      <c r="BT139" s="3187"/>
      <c r="BU139" s="3187"/>
    </row>
    <row r="140" spans="1:73" s="918" customFormat="1">
      <c r="B140" s="3183"/>
      <c r="C140" s="4071" t="s">
        <v>447</v>
      </c>
      <c r="D140" s="3258" t="s">
        <v>398</v>
      </c>
      <c r="E140" s="3176"/>
      <c r="F140" s="3186"/>
      <c r="G140" s="3186"/>
      <c r="H140" s="3187"/>
      <c r="I140" s="3187"/>
      <c r="J140" s="3187"/>
      <c r="K140" s="3187"/>
      <c r="L140" s="3187"/>
      <c r="M140" s="3187"/>
      <c r="N140" s="3187"/>
      <c r="O140" s="3187"/>
      <c r="P140" s="3187"/>
      <c r="Q140" s="3187"/>
      <c r="R140" s="3187"/>
      <c r="S140" s="3187"/>
      <c r="T140" s="3187"/>
      <c r="U140" s="3187"/>
      <c r="V140" s="3187"/>
      <c r="W140" s="3187"/>
      <c r="X140" s="3187"/>
      <c r="Y140" s="3187"/>
      <c r="Z140" s="3187"/>
      <c r="AA140" s="3187"/>
      <c r="AB140" s="3187"/>
      <c r="AC140" s="3187"/>
      <c r="AD140" s="3187"/>
      <c r="AE140" s="3187"/>
      <c r="AF140" s="3187"/>
      <c r="AG140" s="3187"/>
      <c r="AH140" s="3187"/>
      <c r="AI140" s="3187"/>
      <c r="AJ140" s="3187"/>
      <c r="AK140" s="3187"/>
      <c r="AL140" s="3187"/>
      <c r="AM140" s="3187"/>
      <c r="AN140" s="3187"/>
      <c r="AO140" s="3187"/>
      <c r="AP140" s="3187"/>
      <c r="AQ140" s="3187"/>
      <c r="AR140" s="3187"/>
      <c r="AS140" s="3187"/>
      <c r="AT140" s="3187"/>
      <c r="AU140" s="3187"/>
      <c r="AV140" s="3187"/>
      <c r="AW140" s="3187"/>
      <c r="AX140" s="3188"/>
      <c r="AY140" s="3186"/>
      <c r="AZ140" s="3186"/>
      <c r="BA140" s="3186"/>
      <c r="BB140" s="3186"/>
      <c r="BC140" s="3186"/>
      <c r="BD140" s="3186"/>
      <c r="BE140" s="3186"/>
      <c r="BF140" s="3186"/>
      <c r="BG140" s="3186"/>
      <c r="BH140" s="3189"/>
      <c r="BJ140" s="3183"/>
      <c r="BK140" s="3184"/>
      <c r="BL140" s="3185"/>
      <c r="BM140" s="3176"/>
      <c r="BN140" s="3186"/>
      <c r="BO140" s="3186"/>
      <c r="BP140" s="3187"/>
      <c r="BQ140" s="3187"/>
      <c r="BR140" s="3187"/>
      <c r="BS140" s="3187"/>
      <c r="BT140" s="3187"/>
      <c r="BU140" s="3187"/>
    </row>
    <row r="141" spans="1:73">
      <c r="B141" s="3181"/>
      <c r="C141" s="3178">
        <v>1</v>
      </c>
      <c r="D141" s="3176" t="s">
        <v>305</v>
      </c>
      <c r="E141" s="3176"/>
      <c r="F141" s="3190">
        <f>F182/F$203</f>
        <v>0.61981138773319655</v>
      </c>
      <c r="G141" s="3190"/>
      <c r="H141" s="3191"/>
      <c r="I141" s="3191"/>
      <c r="J141" s="3191"/>
      <c r="K141" s="3191"/>
      <c r="L141" s="3191"/>
      <c r="M141" s="3191"/>
      <c r="N141" s="3191"/>
      <c r="O141" s="3191"/>
      <c r="P141" s="3191"/>
      <c r="Q141" s="3191"/>
      <c r="R141" s="3191"/>
      <c r="S141" s="3191"/>
      <c r="T141" s="3191"/>
      <c r="U141" s="3191"/>
      <c r="V141" s="3191"/>
      <c r="W141" s="3191"/>
      <c r="X141" s="3191"/>
      <c r="Y141" s="3191"/>
      <c r="Z141" s="3191"/>
      <c r="AA141" s="3191"/>
      <c r="AB141" s="3191"/>
      <c r="AC141" s="3191"/>
      <c r="AD141" s="3191"/>
      <c r="AE141" s="3191"/>
      <c r="AF141" s="3191"/>
      <c r="AG141" s="3191"/>
      <c r="AH141" s="3191"/>
      <c r="AI141" s="3191"/>
      <c r="AJ141" s="3191"/>
      <c r="AK141" s="3191"/>
      <c r="AL141" s="3191"/>
      <c r="AM141" s="3191"/>
      <c r="AN141" s="3191"/>
      <c r="AO141" s="3191"/>
      <c r="AP141" s="3191"/>
      <c r="AQ141" s="3191"/>
      <c r="AR141" s="3191"/>
      <c r="AS141" s="3191"/>
      <c r="AT141" s="3191"/>
      <c r="AU141" s="3191"/>
      <c r="AV141" s="3191"/>
      <c r="AW141" s="3191"/>
      <c r="AX141" s="3192"/>
      <c r="AY141" s="3190">
        <f ca="1">AY182*$AY$155/$F$205</f>
        <v>0.6307916867813399</v>
      </c>
      <c r="AZ141" s="3190">
        <f ca="1">AZ182*$AY$155/$F$205</f>
        <v>0.63044001730402788</v>
      </c>
      <c r="BA141" s="3190">
        <f t="shared" ref="AY141:BG150" ca="1" si="29">BA182*$AY$155/$F$205</f>
        <v>0.64910761037713005</v>
      </c>
      <c r="BB141" s="3190">
        <f t="shared" ca="1" si="29"/>
        <v>0.68845221200818363</v>
      </c>
      <c r="BC141" s="3190">
        <f t="shared" ca="1" si="29"/>
        <v>0.70769205702767857</v>
      </c>
      <c r="BD141" s="3190">
        <f t="shared" ca="1" si="29"/>
        <v>0.69875677343665332</v>
      </c>
      <c r="BE141" s="3190">
        <f t="shared" ca="1" si="29"/>
        <v>0.72791604789887576</v>
      </c>
      <c r="BF141" s="3190">
        <f t="shared" ca="1" si="29"/>
        <v>0.75893134838600496</v>
      </c>
      <c r="BG141" s="3190">
        <f t="shared" ca="1" si="29"/>
        <v>0.78896229786988514</v>
      </c>
      <c r="BH141" s="3179"/>
      <c r="BJ141" s="3181"/>
      <c r="BK141" s="3178"/>
      <c r="BL141" s="3176"/>
      <c r="BM141" s="3176"/>
      <c r="BN141" s="3190"/>
      <c r="BO141" s="3190"/>
      <c r="BP141" s="3191"/>
      <c r="BQ141" s="3191"/>
      <c r="BR141" s="3191"/>
      <c r="BS141" s="3191"/>
      <c r="BT141" s="3191"/>
      <c r="BU141" s="3191"/>
    </row>
    <row r="142" spans="1:73">
      <c r="B142" s="3181"/>
      <c r="C142" s="3178">
        <v>2</v>
      </c>
      <c r="D142" s="3176" t="s">
        <v>399</v>
      </c>
      <c r="E142" s="3176"/>
      <c r="F142" s="3190">
        <f t="shared" ref="F142:F149" si="30">F183/F$203</f>
        <v>4.0208541832125966E-2</v>
      </c>
      <c r="G142" s="3190"/>
      <c r="H142" s="3191"/>
      <c r="I142" s="3191"/>
      <c r="J142" s="3191"/>
      <c r="K142" s="3191"/>
      <c r="L142" s="3191"/>
      <c r="M142" s="3191"/>
      <c r="N142" s="3191"/>
      <c r="O142" s="3191"/>
      <c r="P142" s="3191"/>
      <c r="Q142" s="3191"/>
      <c r="R142" s="3191"/>
      <c r="S142" s="3191"/>
      <c r="T142" s="3191"/>
      <c r="U142" s="3191"/>
      <c r="V142" s="3191"/>
      <c r="W142" s="3191"/>
      <c r="X142" s="3191"/>
      <c r="Y142" s="3191"/>
      <c r="Z142" s="3191"/>
      <c r="AA142" s="3191"/>
      <c r="AB142" s="3191"/>
      <c r="AC142" s="3191"/>
      <c r="AD142" s="3191"/>
      <c r="AE142" s="3191"/>
      <c r="AF142" s="3191"/>
      <c r="AG142" s="3191"/>
      <c r="AH142" s="3191"/>
      <c r="AI142" s="3191"/>
      <c r="AJ142" s="3191"/>
      <c r="AK142" s="3191"/>
      <c r="AL142" s="3191"/>
      <c r="AM142" s="3191"/>
      <c r="AN142" s="3191"/>
      <c r="AO142" s="3191"/>
      <c r="AP142" s="3191"/>
      <c r="AQ142" s="3191"/>
      <c r="AR142" s="3191"/>
      <c r="AS142" s="3191"/>
      <c r="AT142" s="3191"/>
      <c r="AU142" s="3191"/>
      <c r="AV142" s="3191"/>
      <c r="AW142" s="3191"/>
      <c r="AX142" s="3192"/>
      <c r="AY142" s="3190">
        <f t="shared" ca="1" si="29"/>
        <v>3.940960924610775E-2</v>
      </c>
      <c r="AZ142" s="3190">
        <f t="shared" ca="1" si="29"/>
        <v>3.9961214708683745E-2</v>
      </c>
      <c r="BA142" s="3190">
        <f t="shared" ca="1" si="29"/>
        <v>4.1420099924316542E-2</v>
      </c>
      <c r="BB142" s="3190">
        <f t="shared" ca="1" si="29"/>
        <v>4.3000081615425581E-2</v>
      </c>
      <c r="BC142" s="3190">
        <f t="shared" ca="1" si="29"/>
        <v>4.4710475834885743E-2</v>
      </c>
      <c r="BD142" s="3190">
        <f t="shared" ca="1" si="29"/>
        <v>4.6561318836541375E-2</v>
      </c>
      <c r="BE142" s="3190">
        <f t="shared" ca="1" si="29"/>
        <v>4.8563422734098367E-2</v>
      </c>
      <c r="BF142" s="3190">
        <f t="shared" ca="1" si="29"/>
        <v>5.0728435461564025E-2</v>
      </c>
      <c r="BG142" s="3190">
        <f t="shared" ca="1" si="29"/>
        <v>5.3068905367675431E-2</v>
      </c>
      <c r="BH142" s="3179"/>
      <c r="BJ142" s="3181"/>
      <c r="BK142" s="3178"/>
      <c r="BL142" s="3176"/>
      <c r="BM142" s="3176"/>
      <c r="BN142" s="3190"/>
      <c r="BO142" s="3190"/>
      <c r="BP142" s="3191"/>
      <c r="BQ142" s="3191"/>
      <c r="BR142" s="3191"/>
      <c r="BS142" s="3191"/>
      <c r="BT142" s="3191"/>
      <c r="BU142" s="3191"/>
    </row>
    <row r="143" spans="1:73">
      <c r="B143" s="3181"/>
      <c r="C143" s="3178">
        <v>3</v>
      </c>
      <c r="D143" s="3176" t="s">
        <v>400</v>
      </c>
      <c r="E143" s="3176"/>
      <c r="F143" s="3190">
        <f t="shared" si="30"/>
        <v>9.2736930097405707E-3</v>
      </c>
      <c r="G143" s="3190"/>
      <c r="H143" s="3191"/>
      <c r="I143" s="3191"/>
      <c r="J143" s="3191"/>
      <c r="K143" s="3191"/>
      <c r="L143" s="3191"/>
      <c r="M143" s="3191"/>
      <c r="N143" s="3191"/>
      <c r="O143" s="3191"/>
      <c r="P143" s="3191"/>
      <c r="Q143" s="3191"/>
      <c r="R143" s="3191"/>
      <c r="S143" s="3191"/>
      <c r="T143" s="3191"/>
      <c r="U143" s="3191"/>
      <c r="V143" s="3191"/>
      <c r="W143" s="3191"/>
      <c r="X143" s="3191"/>
      <c r="Y143" s="3191"/>
      <c r="Z143" s="3191"/>
      <c r="AA143" s="3191"/>
      <c r="AB143" s="3191"/>
      <c r="AC143" s="3191"/>
      <c r="AD143" s="3191"/>
      <c r="AE143" s="3191"/>
      <c r="AF143" s="3191"/>
      <c r="AG143" s="3191"/>
      <c r="AH143" s="3191"/>
      <c r="AI143" s="3191"/>
      <c r="AJ143" s="3191"/>
      <c r="AK143" s="3191"/>
      <c r="AL143" s="3191"/>
      <c r="AM143" s="3191"/>
      <c r="AN143" s="3191"/>
      <c r="AO143" s="3191"/>
      <c r="AP143" s="3191"/>
      <c r="AQ143" s="3191"/>
      <c r="AR143" s="3191"/>
      <c r="AS143" s="3191"/>
      <c r="AT143" s="3191"/>
      <c r="AU143" s="3191"/>
      <c r="AV143" s="3191"/>
      <c r="AW143" s="3191"/>
      <c r="AX143" s="3192"/>
      <c r="AY143" s="3190">
        <f t="shared" ca="1" si="29"/>
        <v>0</v>
      </c>
      <c r="AZ143" s="3190">
        <f t="shared" ca="1" si="29"/>
        <v>0</v>
      </c>
      <c r="BA143" s="3190">
        <f t="shared" ca="1" si="29"/>
        <v>0</v>
      </c>
      <c r="BB143" s="3190">
        <f t="shared" ca="1" si="29"/>
        <v>0</v>
      </c>
      <c r="BC143" s="3190">
        <f t="shared" ca="1" si="29"/>
        <v>0</v>
      </c>
      <c r="BD143" s="3190">
        <f t="shared" ca="1" si="29"/>
        <v>0</v>
      </c>
      <c r="BE143" s="3190">
        <f t="shared" ca="1" si="29"/>
        <v>0</v>
      </c>
      <c r="BF143" s="3190">
        <f t="shared" ca="1" si="29"/>
        <v>0</v>
      </c>
      <c r="BG143" s="3190">
        <f t="shared" ca="1" si="29"/>
        <v>0</v>
      </c>
      <c r="BH143" s="3179"/>
      <c r="BJ143" s="3181"/>
      <c r="BK143" s="3178"/>
      <c r="BL143" s="3176"/>
      <c r="BM143" s="3176"/>
      <c r="BN143" s="3190"/>
      <c r="BO143" s="3190"/>
      <c r="BP143" s="3191"/>
      <c r="BQ143" s="3191"/>
      <c r="BR143" s="3191"/>
      <c r="BS143" s="3191"/>
      <c r="BT143" s="3191"/>
      <c r="BU143" s="3191"/>
    </row>
    <row r="144" spans="1:73">
      <c r="B144" s="3181"/>
      <c r="C144" s="3178">
        <v>4</v>
      </c>
      <c r="D144" s="3176" t="s">
        <v>392</v>
      </c>
      <c r="E144" s="3176"/>
      <c r="F144" s="3190">
        <f t="shared" si="30"/>
        <v>0.32241714998584003</v>
      </c>
      <c r="G144" s="3190"/>
      <c r="H144" s="3191"/>
      <c r="I144" s="3191"/>
      <c r="J144" s="3191"/>
      <c r="K144" s="3191"/>
      <c r="L144" s="3191"/>
      <c r="M144" s="3191"/>
      <c r="N144" s="3191"/>
      <c r="O144" s="3191"/>
      <c r="P144" s="3191"/>
      <c r="Q144" s="3191"/>
      <c r="R144" s="3191"/>
      <c r="S144" s="3191"/>
      <c r="T144" s="3191"/>
      <c r="U144" s="3191"/>
      <c r="V144" s="3191"/>
      <c r="W144" s="3191"/>
      <c r="X144" s="3191"/>
      <c r="Y144" s="3191"/>
      <c r="Z144" s="3191"/>
      <c r="AA144" s="3191"/>
      <c r="AB144" s="3191"/>
      <c r="AC144" s="3191"/>
      <c r="AD144" s="3191"/>
      <c r="AE144" s="3191"/>
      <c r="AF144" s="3191"/>
      <c r="AG144" s="3191"/>
      <c r="AH144" s="3191"/>
      <c r="AI144" s="3191"/>
      <c r="AJ144" s="3191"/>
      <c r="AK144" s="3191"/>
      <c r="AL144" s="3191"/>
      <c r="AM144" s="3191"/>
      <c r="AN144" s="3191"/>
      <c r="AO144" s="3191"/>
      <c r="AP144" s="3191"/>
      <c r="AQ144" s="3191"/>
      <c r="AR144" s="3191"/>
      <c r="AS144" s="3191"/>
      <c r="AT144" s="3191"/>
      <c r="AU144" s="3191"/>
      <c r="AV144" s="3191"/>
      <c r="AW144" s="3191"/>
      <c r="AX144" s="3192"/>
      <c r="AY144" s="3190">
        <f t="shared" ca="1" si="29"/>
        <v>0.29996709372604041</v>
      </c>
      <c r="AZ144" s="3190">
        <f t="shared" ca="1" si="29"/>
        <v>0.29428857433167255</v>
      </c>
      <c r="BA144" s="3190">
        <f t="shared" ca="1" si="29"/>
        <v>0.28988377444752156</v>
      </c>
      <c r="BB144" s="3190">
        <f t="shared" ca="1" si="29"/>
        <v>0.28554393311253001</v>
      </c>
      <c r="BC144" s="3190">
        <f t="shared" ca="1" si="29"/>
        <v>0.28633803060535734</v>
      </c>
      <c r="BD144" s="3190">
        <f t="shared" ca="1" si="29"/>
        <v>0.28720785262368859</v>
      </c>
      <c r="BE144" s="3190">
        <f t="shared" ca="1" si="29"/>
        <v>0.28815747098714101</v>
      </c>
      <c r="BF144" s="3190">
        <f t="shared" ca="1" si="29"/>
        <v>0.28919119502351509</v>
      </c>
      <c r="BG144" s="3190">
        <f t="shared" ca="1" si="29"/>
        <v>0.29031358608610019</v>
      </c>
      <c r="BH144" s="3179"/>
      <c r="BJ144" s="3181"/>
      <c r="BK144" s="3178"/>
      <c r="BL144" s="3176"/>
      <c r="BM144" s="3176"/>
      <c r="BN144" s="3190"/>
      <c r="BO144" s="3190"/>
      <c r="BP144" s="3191"/>
      <c r="BQ144" s="3191"/>
      <c r="BR144" s="3191"/>
      <c r="BS144" s="3191"/>
      <c r="BT144" s="3191"/>
      <c r="BU144" s="3191"/>
    </row>
    <row r="145" spans="1:73">
      <c r="B145" s="3181"/>
      <c r="C145" s="3178">
        <v>5</v>
      </c>
      <c r="D145" s="3176" t="s">
        <v>401</v>
      </c>
      <c r="E145" s="3176"/>
      <c r="F145" s="3190">
        <f t="shared" si="30"/>
        <v>6.6739335082199563E-2</v>
      </c>
      <c r="G145" s="3190"/>
      <c r="H145" s="3191"/>
      <c r="I145" s="3191"/>
      <c r="J145" s="3191"/>
      <c r="K145" s="3191"/>
      <c r="L145" s="3191"/>
      <c r="M145" s="3191"/>
      <c r="N145" s="3191"/>
      <c r="O145" s="3191"/>
      <c r="P145" s="3191"/>
      <c r="Q145" s="3191"/>
      <c r="R145" s="3191"/>
      <c r="S145" s="3191"/>
      <c r="T145" s="3191"/>
      <c r="U145" s="3191"/>
      <c r="V145" s="3191"/>
      <c r="W145" s="3191"/>
      <c r="X145" s="3191"/>
      <c r="Y145" s="3191"/>
      <c r="Z145" s="3191"/>
      <c r="AA145" s="3191"/>
      <c r="AB145" s="3191"/>
      <c r="AC145" s="3191"/>
      <c r="AD145" s="3191"/>
      <c r="AE145" s="3191"/>
      <c r="AF145" s="3191"/>
      <c r="AG145" s="3191"/>
      <c r="AH145" s="3191"/>
      <c r="AI145" s="3191"/>
      <c r="AJ145" s="3191"/>
      <c r="AK145" s="3191"/>
      <c r="AL145" s="3191"/>
      <c r="AM145" s="3191"/>
      <c r="AN145" s="3191"/>
      <c r="AO145" s="3191"/>
      <c r="AP145" s="3191"/>
      <c r="AQ145" s="3191"/>
      <c r="AR145" s="3191"/>
      <c r="AS145" s="3191"/>
      <c r="AT145" s="3191"/>
      <c r="AU145" s="3191"/>
      <c r="AV145" s="3191"/>
      <c r="AW145" s="3191"/>
      <c r="AX145" s="3192"/>
      <c r="AY145" s="3190">
        <f t="shared" ca="1" si="29"/>
        <v>6.5430516228065366E-2</v>
      </c>
      <c r="AZ145" s="3190">
        <f t="shared" ca="1" si="29"/>
        <v>6.4301799123843456E-2</v>
      </c>
      <c r="BA145" s="3190">
        <f t="shared" ca="1" si="29"/>
        <v>6.1480006363288923E-2</v>
      </c>
      <c r="BB145" s="3190">
        <f t="shared" ca="1" si="29"/>
        <v>5.8658213602734287E-2</v>
      </c>
      <c r="BC145" s="3190">
        <f t="shared" ca="1" si="29"/>
        <v>5.5836420842179747E-2</v>
      </c>
      <c r="BD145" s="3190">
        <f t="shared" ca="1" si="29"/>
        <v>5.3014628081625118E-2</v>
      </c>
      <c r="BE145" s="3190">
        <f t="shared" ca="1" si="29"/>
        <v>5.0192835321070495E-2</v>
      </c>
      <c r="BF145" s="3190">
        <f t="shared" ca="1" si="29"/>
        <v>4.7371042560515955E-2</v>
      </c>
      <c r="BG145" s="3190">
        <f t="shared" ca="1" si="29"/>
        <v>4.4549249799960999E-2</v>
      </c>
      <c r="BH145" s="3179"/>
      <c r="BJ145" s="3181"/>
      <c r="BK145" s="3178"/>
      <c r="BL145" s="3176"/>
      <c r="BM145" s="3176"/>
      <c r="BN145" s="3190"/>
      <c r="BO145" s="3190"/>
      <c r="BP145" s="3191"/>
      <c r="BQ145" s="3191"/>
      <c r="BR145" s="3191"/>
      <c r="BS145" s="3191"/>
      <c r="BT145" s="3191"/>
      <c r="BU145" s="3191"/>
    </row>
    <row r="146" spans="1:73">
      <c r="B146" s="3181"/>
      <c r="C146" s="3178">
        <v>6</v>
      </c>
      <c r="D146" s="3176" t="s">
        <v>393</v>
      </c>
      <c r="E146" s="3176"/>
      <c r="F146" s="3190">
        <f t="shared" si="30"/>
        <v>1.9889822722107008E-2</v>
      </c>
      <c r="G146" s="3190"/>
      <c r="H146" s="3191"/>
      <c r="I146" s="3191"/>
      <c r="J146" s="3191"/>
      <c r="K146" s="3191"/>
      <c r="L146" s="3191"/>
      <c r="M146" s="3191"/>
      <c r="N146" s="3191"/>
      <c r="O146" s="3191"/>
      <c r="P146" s="3191"/>
      <c r="Q146" s="3191"/>
      <c r="R146" s="3191"/>
      <c r="S146" s="3191"/>
      <c r="T146" s="3191"/>
      <c r="U146" s="3191"/>
      <c r="V146" s="3191"/>
      <c r="W146" s="3191"/>
      <c r="X146" s="3191"/>
      <c r="Y146" s="3191"/>
      <c r="Z146" s="3191"/>
      <c r="AA146" s="3191"/>
      <c r="AB146" s="3191"/>
      <c r="AC146" s="3191"/>
      <c r="AD146" s="3191"/>
      <c r="AE146" s="3191"/>
      <c r="AF146" s="3191"/>
      <c r="AG146" s="3191"/>
      <c r="AH146" s="3191"/>
      <c r="AI146" s="3191"/>
      <c r="AJ146" s="3191"/>
      <c r="AK146" s="3191"/>
      <c r="AL146" s="3191"/>
      <c r="AM146" s="3191"/>
      <c r="AN146" s="3191"/>
      <c r="AO146" s="3191"/>
      <c r="AP146" s="3191"/>
      <c r="AQ146" s="3191"/>
      <c r="AR146" s="3191"/>
      <c r="AS146" s="3191"/>
      <c r="AT146" s="3191"/>
      <c r="AU146" s="3191"/>
      <c r="AV146" s="3191"/>
      <c r="AW146" s="3191"/>
      <c r="AX146" s="3192"/>
      <c r="AY146" s="3190">
        <f t="shared" ca="1" si="29"/>
        <v>2.1261934677477688E-2</v>
      </c>
      <c r="AZ146" s="3190">
        <f t="shared" ca="1" si="29"/>
        <v>1.7666122751915949E-2</v>
      </c>
      <c r="BA146" s="3190">
        <f t="shared" ca="1" si="29"/>
        <v>1.3730931732858161E-2</v>
      </c>
      <c r="BB146" s="3190">
        <f t="shared" ca="1" si="29"/>
        <v>1.2713802039182103E-2</v>
      </c>
      <c r="BC146" s="3190">
        <f t="shared" ca="1" si="29"/>
        <v>1.2380482978113418E-2</v>
      </c>
      <c r="BD146" s="3190">
        <f t="shared" ca="1" si="29"/>
        <v>1.194800977026836E-2</v>
      </c>
      <c r="BE146" s="3190">
        <f t="shared" ca="1" si="29"/>
        <v>1.1416382415646929E-2</v>
      </c>
      <c r="BF146" s="3190">
        <f t="shared" ca="1" si="29"/>
        <v>1.0785600914249131E-2</v>
      </c>
      <c r="BG146" s="3190">
        <f t="shared" ca="1" si="29"/>
        <v>1.0055665266074964E-2</v>
      </c>
      <c r="BH146" s="3179"/>
      <c r="BJ146" s="3181"/>
      <c r="BK146" s="3178"/>
      <c r="BL146" s="3176"/>
      <c r="BM146" s="3176"/>
      <c r="BN146" s="3190"/>
      <c r="BO146" s="3190"/>
      <c r="BP146" s="3191"/>
      <c r="BQ146" s="3191"/>
      <c r="BR146" s="3191"/>
      <c r="BS146" s="3191"/>
      <c r="BT146" s="3191"/>
      <c r="BU146" s="3191"/>
    </row>
    <row r="147" spans="1:73">
      <c r="B147" s="3181"/>
      <c r="C147" s="3178">
        <v>7</v>
      </c>
      <c r="D147" s="3176" t="s">
        <v>402</v>
      </c>
      <c r="E147" s="3176"/>
      <c r="F147" s="3190">
        <f t="shared" si="30"/>
        <v>0</v>
      </c>
      <c r="G147" s="3190"/>
      <c r="H147" s="3191"/>
      <c r="I147" s="3191"/>
      <c r="J147" s="3191"/>
      <c r="K147" s="3191"/>
      <c r="L147" s="3191"/>
      <c r="M147" s="3191"/>
      <c r="N147" s="3191"/>
      <c r="O147" s="3191"/>
      <c r="P147" s="3191"/>
      <c r="Q147" s="3191"/>
      <c r="R147" s="3191"/>
      <c r="S147" s="3191"/>
      <c r="T147" s="3191"/>
      <c r="U147" s="3191"/>
      <c r="V147" s="3191"/>
      <c r="W147" s="3191"/>
      <c r="X147" s="3191"/>
      <c r="Y147" s="3191"/>
      <c r="Z147" s="3191"/>
      <c r="AA147" s="3191"/>
      <c r="AB147" s="3191"/>
      <c r="AC147" s="3191"/>
      <c r="AD147" s="3191"/>
      <c r="AE147" s="3191"/>
      <c r="AF147" s="3191"/>
      <c r="AG147" s="3191"/>
      <c r="AH147" s="3191"/>
      <c r="AI147" s="3191"/>
      <c r="AJ147" s="3191"/>
      <c r="AK147" s="3191"/>
      <c r="AL147" s="3191"/>
      <c r="AM147" s="3191"/>
      <c r="AN147" s="3191"/>
      <c r="AO147" s="3191"/>
      <c r="AP147" s="3191"/>
      <c r="AQ147" s="3191"/>
      <c r="AR147" s="3191"/>
      <c r="AS147" s="3191"/>
      <c r="AT147" s="3191"/>
      <c r="AU147" s="3191"/>
      <c r="AV147" s="3191"/>
      <c r="AW147" s="3191"/>
      <c r="AX147" s="3192"/>
      <c r="AY147" s="3190">
        <f t="shared" ca="1" si="29"/>
        <v>0</v>
      </c>
      <c r="AZ147" s="3190">
        <f t="shared" ca="1" si="29"/>
        <v>0</v>
      </c>
      <c r="BA147" s="3190">
        <f t="shared" ca="1" si="29"/>
        <v>0</v>
      </c>
      <c r="BB147" s="3190">
        <f t="shared" ca="1" si="29"/>
        <v>0</v>
      </c>
      <c r="BC147" s="3190">
        <f t="shared" ca="1" si="29"/>
        <v>0</v>
      </c>
      <c r="BD147" s="3190">
        <f t="shared" ca="1" si="29"/>
        <v>0</v>
      </c>
      <c r="BE147" s="3190">
        <f t="shared" ca="1" si="29"/>
        <v>0</v>
      </c>
      <c r="BF147" s="3190">
        <f t="shared" ca="1" si="29"/>
        <v>0</v>
      </c>
      <c r="BG147" s="3190">
        <f t="shared" ca="1" si="29"/>
        <v>0</v>
      </c>
      <c r="BH147" s="3179"/>
      <c r="BJ147" s="3181"/>
      <c r="BK147" s="3178"/>
      <c r="BL147" s="3176"/>
      <c r="BM147" s="3176"/>
      <c r="BN147" s="3190"/>
      <c r="BO147" s="3190"/>
      <c r="BP147" s="3191"/>
      <c r="BQ147" s="3191"/>
      <c r="BR147" s="3191"/>
      <c r="BS147" s="3191"/>
      <c r="BT147" s="3191"/>
      <c r="BU147" s="3191"/>
    </row>
    <row r="148" spans="1:73">
      <c r="B148" s="3181"/>
      <c r="C148" s="3178" t="s">
        <v>448</v>
      </c>
      <c r="D148" s="3176" t="s">
        <v>403</v>
      </c>
      <c r="E148" s="3176"/>
      <c r="F148" s="3190">
        <f t="shared" si="30"/>
        <v>3.3448523334013575E-2</v>
      </c>
      <c r="G148" s="3190"/>
      <c r="H148" s="3191"/>
      <c r="I148" s="3191"/>
      <c r="J148" s="3191"/>
      <c r="K148" s="3191"/>
      <c r="L148" s="3191"/>
      <c r="M148" s="3191"/>
      <c r="N148" s="3191"/>
      <c r="O148" s="3191"/>
      <c r="P148" s="3191"/>
      <c r="Q148" s="3191"/>
      <c r="R148" s="3191"/>
      <c r="S148" s="3191"/>
      <c r="T148" s="3191"/>
      <c r="U148" s="3191"/>
      <c r="V148" s="3191"/>
      <c r="W148" s="3191"/>
      <c r="X148" s="3191"/>
      <c r="Y148" s="3191"/>
      <c r="Z148" s="3191"/>
      <c r="AA148" s="3191"/>
      <c r="AB148" s="3191"/>
      <c r="AC148" s="3191"/>
      <c r="AD148" s="3191"/>
      <c r="AE148" s="3191"/>
      <c r="AF148" s="3191"/>
      <c r="AG148" s="3191"/>
      <c r="AH148" s="3191"/>
      <c r="AI148" s="3191"/>
      <c r="AJ148" s="3191"/>
      <c r="AK148" s="3191"/>
      <c r="AL148" s="3191"/>
      <c r="AM148" s="3191"/>
      <c r="AN148" s="3191"/>
      <c r="AO148" s="3191"/>
      <c r="AP148" s="3191"/>
      <c r="AQ148" s="3191"/>
      <c r="AR148" s="3191"/>
      <c r="AS148" s="3191"/>
      <c r="AT148" s="3191"/>
      <c r="AU148" s="3191"/>
      <c r="AV148" s="3191"/>
      <c r="AW148" s="3191"/>
      <c r="AX148" s="3192"/>
      <c r="AY148" s="3190">
        <f t="shared" ca="1" si="29"/>
        <v>3.276153151082542E-2</v>
      </c>
      <c r="AZ148" s="3190">
        <f t="shared" ca="1" si="29"/>
        <v>3.217447762768294E-2</v>
      </c>
      <c r="BA148" s="3190">
        <f t="shared" ca="1" si="29"/>
        <v>3.4793578980231062E-2</v>
      </c>
      <c r="BB148" s="3190">
        <f t="shared" ca="1" si="29"/>
        <v>3.7625883231495939E-2</v>
      </c>
      <c r="BC148" s="3190">
        <f t="shared" ca="1" si="29"/>
        <v>4.0688745752615461E-2</v>
      </c>
      <c r="BD148" s="3190">
        <f t="shared" ca="1" si="29"/>
        <v>4.4000934695271991E-2</v>
      </c>
      <c r="BE148" s="3190">
        <f t="shared" ca="1" si="29"/>
        <v>4.758274599637026E-2</v>
      </c>
      <c r="BF148" s="3190">
        <f t="shared" ca="1" si="29"/>
        <v>5.1456127744449388E-2</v>
      </c>
      <c r="BG148" s="3190">
        <f t="shared" ca="1" si="29"/>
        <v>5.5644814669903023E-2</v>
      </c>
      <c r="BH148" s="3179"/>
      <c r="BJ148" s="3181"/>
      <c r="BK148" s="3178"/>
      <c r="BL148" s="3176"/>
      <c r="BM148" s="3176"/>
      <c r="BN148" s="3190"/>
      <c r="BO148" s="3190"/>
      <c r="BP148" s="3191"/>
      <c r="BQ148" s="3191"/>
      <c r="BR148" s="3191"/>
      <c r="BS148" s="3191"/>
      <c r="BT148" s="3191"/>
      <c r="BU148" s="3191"/>
    </row>
    <row r="149" spans="1:73" s="918" customFormat="1">
      <c r="B149" s="3183"/>
      <c r="C149" s="3178" t="s">
        <v>449</v>
      </c>
      <c r="D149" s="3258" t="s">
        <v>404</v>
      </c>
      <c r="E149" s="3176"/>
      <c r="F149" s="3190">
        <f t="shared" si="30"/>
        <v>-1.244339017256489E-2</v>
      </c>
      <c r="G149" s="3186"/>
      <c r="H149" s="3187"/>
      <c r="I149" s="3187"/>
      <c r="J149" s="3187"/>
      <c r="K149" s="3187"/>
      <c r="L149" s="3187"/>
      <c r="M149" s="3187"/>
      <c r="N149" s="3187"/>
      <c r="O149" s="3187"/>
      <c r="P149" s="3187"/>
      <c r="Q149" s="3187"/>
      <c r="R149" s="3187"/>
      <c r="S149" s="3187"/>
      <c r="T149" s="3187"/>
      <c r="U149" s="3187"/>
      <c r="V149" s="3187"/>
      <c r="W149" s="3187"/>
      <c r="X149" s="3187"/>
      <c r="Y149" s="3187"/>
      <c r="Z149" s="3187"/>
      <c r="AA149" s="3187"/>
      <c r="AB149" s="3187"/>
      <c r="AC149" s="3187"/>
      <c r="AD149" s="3187"/>
      <c r="AE149" s="3187"/>
      <c r="AF149" s="3187"/>
      <c r="AG149" s="3187"/>
      <c r="AH149" s="3187"/>
      <c r="AI149" s="3187"/>
      <c r="AJ149" s="3187"/>
      <c r="AK149" s="3187"/>
      <c r="AL149" s="3187"/>
      <c r="AM149" s="3187"/>
      <c r="AN149" s="3187"/>
      <c r="AO149" s="3187"/>
      <c r="AP149" s="3187"/>
      <c r="AQ149" s="3187"/>
      <c r="AR149" s="3187"/>
      <c r="AS149" s="3187"/>
      <c r="AT149" s="3187"/>
      <c r="AU149" s="3187"/>
      <c r="AV149" s="3187"/>
      <c r="AW149" s="3187"/>
      <c r="AX149" s="3188"/>
      <c r="AY149" s="3190">
        <f t="shared" ca="1" si="29"/>
        <v>-1.2361910643182582E-2</v>
      </c>
      <c r="AZ149" s="3190">
        <f t="shared" ca="1" si="29"/>
        <v>-1.6125683735526836E-2</v>
      </c>
      <c r="BA149" s="3190">
        <f t="shared" ca="1" si="29"/>
        <v>-1.872798402553363E-2</v>
      </c>
      <c r="BB149" s="3190">
        <f t="shared" ca="1" si="29"/>
        <v>-2.1926906094728763E-2</v>
      </c>
      <c r="BC149" s="3190">
        <f t="shared" ca="1" si="29"/>
        <v>-2.4970681654293447E-2</v>
      </c>
      <c r="BD149" s="3190">
        <f t="shared" ca="1" si="29"/>
        <v>-2.5164747500389759E-2</v>
      </c>
      <c r="BE149" s="3190">
        <f t="shared" ca="1" si="29"/>
        <v>-2.2442378983133643E-2</v>
      </c>
      <c r="BF149" s="3190">
        <f t="shared" ca="1" si="29"/>
        <v>-1.9782183194663943E-2</v>
      </c>
      <c r="BG149" s="3190">
        <f t="shared" ca="1" si="29"/>
        <v>-1.9656027866758873E-2</v>
      </c>
      <c r="BH149" s="3189"/>
      <c r="BJ149" s="3183"/>
      <c r="BK149" s="3178"/>
      <c r="BL149" s="3185"/>
      <c r="BM149" s="3176"/>
      <c r="BN149" s="3186"/>
      <c r="BO149" s="3186"/>
      <c r="BP149" s="3187"/>
      <c r="BQ149" s="3187"/>
      <c r="BR149" s="3187"/>
      <c r="BS149" s="3187"/>
      <c r="BT149" s="3187"/>
      <c r="BU149" s="3187"/>
    </row>
    <row r="150" spans="1:73">
      <c r="B150" s="3181"/>
      <c r="C150" s="3178" t="s">
        <v>450</v>
      </c>
      <c r="D150" s="3258" t="s">
        <v>405</v>
      </c>
      <c r="E150" s="3176"/>
      <c r="F150" s="3186" t="s">
        <v>5</v>
      </c>
      <c r="G150" s="3186"/>
      <c r="H150" s="3187"/>
      <c r="I150" s="3187"/>
      <c r="J150" s="3187"/>
      <c r="K150" s="3187"/>
      <c r="L150" s="3187"/>
      <c r="M150" s="3187"/>
      <c r="N150" s="3187"/>
      <c r="O150" s="3187"/>
      <c r="P150" s="3187"/>
      <c r="Q150" s="3187"/>
      <c r="R150" s="3187"/>
      <c r="S150" s="3187"/>
      <c r="T150" s="3187"/>
      <c r="U150" s="3187"/>
      <c r="V150" s="3187"/>
      <c r="W150" s="3187"/>
      <c r="X150" s="3187"/>
      <c r="Y150" s="3187"/>
      <c r="Z150" s="3187"/>
      <c r="AA150" s="3187"/>
      <c r="AB150" s="3187"/>
      <c r="AC150" s="3187"/>
      <c r="AD150" s="3187"/>
      <c r="AE150" s="3187"/>
      <c r="AF150" s="3187"/>
      <c r="AG150" s="3187"/>
      <c r="AH150" s="3187"/>
      <c r="AI150" s="3187"/>
      <c r="AJ150" s="3187"/>
      <c r="AK150" s="3187"/>
      <c r="AL150" s="3187"/>
      <c r="AM150" s="3187"/>
      <c r="AN150" s="3187"/>
      <c r="AO150" s="3187"/>
      <c r="AP150" s="3187"/>
      <c r="AQ150" s="3187"/>
      <c r="AR150" s="3187"/>
      <c r="AS150" s="3187"/>
      <c r="AT150" s="3187"/>
      <c r="AU150" s="3187"/>
      <c r="AV150" s="3187"/>
      <c r="AW150" s="3187"/>
      <c r="AX150" s="3188"/>
      <c r="AY150" s="3190">
        <f t="shared" ca="1" si="29"/>
        <v>0</v>
      </c>
      <c r="AZ150" s="3190">
        <f t="shared" ca="1" si="29"/>
        <v>0</v>
      </c>
      <c r="BA150" s="3190">
        <f t="shared" ca="1" si="29"/>
        <v>0</v>
      </c>
      <c r="BB150" s="3190">
        <f t="shared" ca="1" si="29"/>
        <v>0</v>
      </c>
      <c r="BC150" s="3190">
        <f t="shared" ca="1" si="29"/>
        <v>0</v>
      </c>
      <c r="BD150" s="3190">
        <f t="shared" ca="1" si="29"/>
        <v>0</v>
      </c>
      <c r="BE150" s="3190">
        <f t="shared" ca="1" si="29"/>
        <v>0</v>
      </c>
      <c r="BF150" s="3190">
        <f t="shared" ca="1" si="29"/>
        <v>0</v>
      </c>
      <c r="BG150" s="3190">
        <f t="shared" ca="1" si="29"/>
        <v>0</v>
      </c>
      <c r="BH150" s="3179"/>
      <c r="BJ150" s="3181"/>
      <c r="BK150" s="3178"/>
      <c r="BL150" s="3185"/>
      <c r="BM150" s="3176"/>
      <c r="BN150" s="3186"/>
      <c r="BO150" s="3186"/>
      <c r="BP150" s="3187"/>
      <c r="BQ150" s="3187"/>
      <c r="BR150" s="3187"/>
      <c r="BS150" s="3187"/>
      <c r="BT150" s="3187"/>
      <c r="BU150" s="3187"/>
    </row>
    <row r="151" spans="1:73">
      <c r="B151" s="3181"/>
      <c r="C151" s="3176"/>
      <c r="D151" s="3182" t="s">
        <v>58</v>
      </c>
      <c r="E151" s="3176"/>
      <c r="F151" s="3193">
        <f>F192/F203</f>
        <v>1.0993450635266584</v>
      </c>
      <c r="G151" s="3193"/>
      <c r="H151" s="3194"/>
      <c r="I151" s="3194"/>
      <c r="J151" s="3194"/>
      <c r="K151" s="3194"/>
      <c r="L151" s="3194"/>
      <c r="M151" s="3194"/>
      <c r="N151" s="3194"/>
      <c r="O151" s="3194"/>
      <c r="P151" s="3194"/>
      <c r="Q151" s="3194"/>
      <c r="R151" s="3194"/>
      <c r="S151" s="3194"/>
      <c r="T151" s="3194"/>
      <c r="U151" s="3194"/>
      <c r="V151" s="3194"/>
      <c r="W151" s="3194"/>
      <c r="X151" s="3194"/>
      <c r="Y151" s="3194"/>
      <c r="Z151" s="3194"/>
      <c r="AA151" s="3194"/>
      <c r="AB151" s="3194"/>
      <c r="AC151" s="3194"/>
      <c r="AD151" s="3194"/>
      <c r="AE151" s="3194"/>
      <c r="AF151" s="3194"/>
      <c r="AG151" s="3194"/>
      <c r="AH151" s="3194"/>
      <c r="AI151" s="3194"/>
      <c r="AJ151" s="3194"/>
      <c r="AK151" s="3194"/>
      <c r="AL151" s="3194"/>
      <c r="AM151" s="3194"/>
      <c r="AN151" s="3194"/>
      <c r="AO151" s="3194"/>
      <c r="AP151" s="3194"/>
      <c r="AQ151" s="3194"/>
      <c r="AR151" s="3194"/>
      <c r="AS151" s="3194"/>
      <c r="AT151" s="3194"/>
      <c r="AU151" s="3194"/>
      <c r="AV151" s="3194"/>
      <c r="AW151" s="3194"/>
      <c r="AX151" s="3190"/>
      <c r="AY151" s="3193">
        <f t="shared" ref="AY151:BG151" ca="1" si="31">SUM(AY141:AY150)</f>
        <v>1.0772604615266739</v>
      </c>
      <c r="AZ151" s="3193">
        <f t="shared" ca="1" si="31"/>
        <v>1.0627065221122995</v>
      </c>
      <c r="BA151" s="3193">
        <f t="shared" ca="1" si="31"/>
        <v>1.0716880177998127</v>
      </c>
      <c r="BB151" s="3193">
        <f t="shared" ca="1" si="31"/>
        <v>1.1040672195148229</v>
      </c>
      <c r="BC151" s="3193">
        <f t="shared" ca="1" si="31"/>
        <v>1.1226755313865369</v>
      </c>
      <c r="BD151" s="3193">
        <f t="shared" ca="1" si="31"/>
        <v>1.1163247699436589</v>
      </c>
      <c r="BE151" s="3193">
        <f t="shared" ca="1" si="31"/>
        <v>1.1513865263700693</v>
      </c>
      <c r="BF151" s="3193">
        <f t="shared" ca="1" si="31"/>
        <v>1.1886815668956348</v>
      </c>
      <c r="BG151" s="3193">
        <f t="shared" ca="1" si="31"/>
        <v>1.2229384911928409</v>
      </c>
      <c r="BH151" s="3179"/>
      <c r="BJ151" s="3181"/>
      <c r="BK151" s="3176"/>
      <c r="BL151" s="3182"/>
      <c r="BM151" s="3176"/>
      <c r="BN151" s="3193"/>
      <c r="BO151" s="3193"/>
      <c r="BP151" s="3194"/>
      <c r="BQ151" s="3194"/>
      <c r="BR151" s="3194"/>
      <c r="BS151" s="3194"/>
      <c r="BT151" s="3194"/>
      <c r="BU151" s="3194"/>
    </row>
    <row r="152" spans="1:73">
      <c r="B152" s="3181"/>
      <c r="C152" s="3176"/>
      <c r="D152" s="3176"/>
      <c r="E152" s="3176"/>
      <c r="F152" s="3192"/>
      <c r="G152" s="3192"/>
      <c r="H152" s="3195"/>
      <c r="I152" s="3195"/>
      <c r="J152" s="3195"/>
      <c r="K152" s="3195"/>
      <c r="L152" s="3195"/>
      <c r="M152" s="3195"/>
      <c r="N152" s="3195"/>
      <c r="O152" s="3195"/>
      <c r="P152" s="3195"/>
      <c r="Q152" s="3195"/>
      <c r="R152" s="3195"/>
      <c r="S152" s="3195"/>
      <c r="T152" s="3195"/>
      <c r="U152" s="3195"/>
      <c r="V152" s="3195"/>
      <c r="W152" s="3195"/>
      <c r="X152" s="3195"/>
      <c r="Y152" s="3195"/>
      <c r="Z152" s="3195"/>
      <c r="AA152" s="3195"/>
      <c r="AB152" s="3195"/>
      <c r="AC152" s="3195"/>
      <c r="AD152" s="3195"/>
      <c r="AE152" s="3195"/>
      <c r="AF152" s="3195"/>
      <c r="AG152" s="3195"/>
      <c r="AH152" s="3195"/>
      <c r="AI152" s="3195"/>
      <c r="AJ152" s="3195"/>
      <c r="AK152" s="3195"/>
      <c r="AL152" s="3195"/>
      <c r="AM152" s="3195"/>
      <c r="AN152" s="3195"/>
      <c r="AO152" s="3195"/>
      <c r="AP152" s="3195"/>
      <c r="AQ152" s="3195"/>
      <c r="AR152" s="3195"/>
      <c r="AS152" s="3195"/>
      <c r="AT152" s="3195"/>
      <c r="AU152" s="3195"/>
      <c r="AV152" s="3195"/>
      <c r="AW152" s="3195"/>
      <c r="AX152" s="3192"/>
      <c r="AY152" s="3192"/>
      <c r="AZ152" s="3192"/>
      <c r="BA152" s="3192"/>
      <c r="BB152" s="3192"/>
      <c r="BC152" s="3192"/>
      <c r="BD152" s="3192"/>
      <c r="BE152" s="3192"/>
      <c r="BF152" s="3192"/>
      <c r="BG152" s="3192"/>
      <c r="BH152" s="3179"/>
      <c r="BJ152" s="3181"/>
      <c r="BK152" s="3176"/>
      <c r="BL152" s="3176"/>
      <c r="BM152" s="3176"/>
      <c r="BN152" s="3192"/>
      <c r="BO152" s="3192"/>
      <c r="BP152" s="3195"/>
      <c r="BQ152" s="3195"/>
      <c r="BR152" s="3195"/>
      <c r="BS152" s="3195"/>
      <c r="BT152" s="3195"/>
      <c r="BU152" s="3195"/>
    </row>
    <row r="153" spans="1:73" s="405" customFormat="1" ht="13">
      <c r="B153" s="3196"/>
      <c r="C153" s="3197" t="s">
        <v>2483</v>
      </c>
      <c r="D153" s="3197"/>
      <c r="E153" s="3197"/>
      <c r="F153" s="3198">
        <f>F$194/$F$203</f>
        <v>1.0658965401926448</v>
      </c>
      <c r="G153" s="3198"/>
      <c r="H153" s="3199"/>
      <c r="I153" s="3199"/>
      <c r="J153" s="3199"/>
      <c r="K153" s="3199"/>
      <c r="L153" s="3199"/>
      <c r="M153" s="3199"/>
      <c r="N153" s="3199"/>
      <c r="O153" s="3199"/>
      <c r="P153" s="3199"/>
      <c r="Q153" s="3199"/>
      <c r="R153" s="3199"/>
      <c r="S153" s="3199"/>
      <c r="T153" s="3199"/>
      <c r="U153" s="3199"/>
      <c r="V153" s="3199"/>
      <c r="W153" s="3199"/>
      <c r="X153" s="3199"/>
      <c r="Y153" s="3199"/>
      <c r="Z153" s="3199"/>
      <c r="AA153" s="3199"/>
      <c r="AB153" s="3199"/>
      <c r="AC153" s="3199"/>
      <c r="AD153" s="3199"/>
      <c r="AE153" s="3199"/>
      <c r="AF153" s="3199"/>
      <c r="AG153" s="3199"/>
      <c r="AH153" s="3199"/>
      <c r="AI153" s="3199"/>
      <c r="AJ153" s="3199"/>
      <c r="AK153" s="3199"/>
      <c r="AL153" s="3199"/>
      <c r="AM153" s="3199"/>
      <c r="AN153" s="3199"/>
      <c r="AO153" s="3199"/>
      <c r="AP153" s="3199"/>
      <c r="AQ153" s="3199"/>
      <c r="AR153" s="3199"/>
      <c r="AS153" s="3199"/>
      <c r="AT153" s="3199"/>
      <c r="AU153" s="3199"/>
      <c r="AV153" s="3199"/>
      <c r="AW153" s="3199"/>
      <c r="AX153" s="3198"/>
      <c r="AY153" s="3198">
        <f ca="1">(AY$194/$F$203)*$AY$155</f>
        <v>1.0659118974296149</v>
      </c>
      <c r="AZ153" s="3198">
        <f t="shared" ref="AZ153:BG153" ca="1" si="32">(AZ$194/$F$203)*$AY$155</f>
        <v>1.0516586808585344</v>
      </c>
      <c r="BA153" s="3198">
        <f t="shared" ca="1" si="32"/>
        <v>1.0581515087809863</v>
      </c>
      <c r="BB153" s="3198">
        <f t="shared" ca="1" si="32"/>
        <v>1.0883041385575063</v>
      </c>
      <c r="BC153" s="3198">
        <f t="shared" ca="1" si="32"/>
        <v>1.1041682806236326</v>
      </c>
      <c r="BD153" s="3198">
        <f t="shared" ca="1" si="32"/>
        <v>1.0943072329152761</v>
      </c>
      <c r="BE153" s="3198">
        <f t="shared" ca="1" si="32"/>
        <v>1.1264325391987324</v>
      </c>
      <c r="BF153" s="3198">
        <f t="shared" ca="1" si="32"/>
        <v>1.1605393656386744</v>
      </c>
      <c r="BG153" s="3198">
        <f t="shared" ca="1" si="32"/>
        <v>1.1912240231603461</v>
      </c>
      <c r="BH153" s="3200"/>
      <c r="BJ153" s="3196"/>
      <c r="BK153" s="3197"/>
      <c r="BL153" s="3197"/>
      <c r="BM153" s="3197"/>
      <c r="BN153" s="3198"/>
      <c r="BO153" s="3198"/>
      <c r="BP153" s="3199"/>
      <c r="BQ153" s="3199"/>
      <c r="BR153" s="3199"/>
      <c r="BS153" s="3199"/>
      <c r="BT153" s="3199"/>
      <c r="BU153" s="3199"/>
    </row>
    <row r="154" spans="1:73">
      <c r="B154" s="3181"/>
      <c r="C154" s="3176"/>
      <c r="D154" s="3176"/>
      <c r="E154" s="3176"/>
      <c r="F154" s="3176"/>
      <c r="G154" s="3176"/>
      <c r="H154" s="3177"/>
      <c r="I154" s="3177"/>
      <c r="J154" s="3177"/>
      <c r="K154" s="3177"/>
      <c r="L154" s="3177"/>
      <c r="M154" s="3177"/>
      <c r="N154" s="3177"/>
      <c r="O154" s="3177"/>
      <c r="P154" s="3177"/>
      <c r="Q154" s="3177"/>
      <c r="R154" s="3177"/>
      <c r="S154" s="3177"/>
      <c r="T154" s="3177"/>
      <c r="U154" s="3177"/>
      <c r="V154" s="3177"/>
      <c r="W154" s="3177"/>
      <c r="X154" s="3177"/>
      <c r="Y154" s="3177"/>
      <c r="Z154" s="3177"/>
      <c r="AA154" s="3177"/>
      <c r="AB154" s="3177"/>
      <c r="AC154" s="3177"/>
      <c r="AD154" s="3177"/>
      <c r="AE154" s="3177"/>
      <c r="AF154" s="3177"/>
      <c r="AG154" s="3177"/>
      <c r="AH154" s="3177"/>
      <c r="AI154" s="3177"/>
      <c r="AJ154" s="3177"/>
      <c r="AK154" s="3177"/>
      <c r="AL154" s="3177"/>
      <c r="AM154" s="3177"/>
      <c r="AN154" s="3177"/>
      <c r="AO154" s="3177"/>
      <c r="AP154" s="3177"/>
      <c r="AQ154" s="3177"/>
      <c r="AR154" s="3177"/>
      <c r="AS154" s="3177"/>
      <c r="AT154" s="3177"/>
      <c r="AU154" s="3177"/>
      <c r="AV154" s="3177"/>
      <c r="AW154" s="3177"/>
      <c r="AX154" s="3176"/>
      <c r="AY154" s="3176"/>
      <c r="AZ154" s="3176"/>
      <c r="BA154" s="3176"/>
      <c r="BB154" s="3176"/>
      <c r="BC154" s="3176"/>
      <c r="BD154" s="3176"/>
      <c r="BE154" s="3176"/>
      <c r="BF154" s="3176"/>
      <c r="BG154" s="3176"/>
      <c r="BH154" s="3179"/>
      <c r="BJ154" s="3181"/>
      <c r="BK154" s="3176"/>
      <c r="BL154" s="3176"/>
      <c r="BM154" s="3176"/>
      <c r="BN154" s="3176"/>
      <c r="BO154" s="3176"/>
      <c r="BP154" s="3177"/>
      <c r="BQ154" s="3177"/>
      <c r="BR154" s="3177"/>
      <c r="BS154" s="3177"/>
      <c r="BT154" s="3177"/>
      <c r="BU154" s="3177"/>
    </row>
    <row r="155" spans="1:73" s="6" customFormat="1">
      <c r="B155" s="3201"/>
      <c r="C155" s="3202"/>
      <c r="D155" s="3203"/>
      <c r="E155" s="3203" t="s">
        <v>2484</v>
      </c>
      <c r="F155" s="3204"/>
      <c r="G155" s="3204"/>
      <c r="H155" s="3205"/>
      <c r="I155" s="3205"/>
      <c r="J155" s="3205"/>
      <c r="K155" s="3205"/>
      <c r="L155" s="3205"/>
      <c r="M155" s="3205"/>
      <c r="N155" s="3205"/>
      <c r="O155" s="3205"/>
      <c r="P155" s="3205"/>
      <c r="Q155" s="3205"/>
      <c r="R155" s="3205"/>
      <c r="S155" s="3205"/>
      <c r="T155" s="3205"/>
      <c r="U155" s="3205"/>
      <c r="V155" s="3205"/>
      <c r="W155" s="3205"/>
      <c r="X155" s="3205"/>
      <c r="Y155" s="3205"/>
      <c r="Z155" s="3205"/>
      <c r="AA155" s="3205"/>
      <c r="AB155" s="3205"/>
      <c r="AC155" s="3205"/>
      <c r="AD155" s="3205"/>
      <c r="AE155" s="3205"/>
      <c r="AF155" s="3205"/>
      <c r="AG155" s="3205"/>
      <c r="AH155" s="3205"/>
      <c r="AI155" s="3205"/>
      <c r="AJ155" s="3205"/>
      <c r="AK155" s="3205"/>
      <c r="AL155" s="3205"/>
      <c r="AM155" s="3205"/>
      <c r="AN155" s="3205"/>
      <c r="AO155" s="3205"/>
      <c r="AP155" s="3205"/>
      <c r="AQ155" s="3205"/>
      <c r="AR155" s="3205"/>
      <c r="AS155" s="3205"/>
      <c r="AT155" s="3205"/>
      <c r="AU155" s="3205"/>
      <c r="AV155" s="3205"/>
      <c r="AW155" s="3205"/>
      <c r="AX155" s="3202"/>
      <c r="AY155" s="3206">
        <f ca="1">$F$192/$AY$192</f>
        <v>1.0002236415250194</v>
      </c>
      <c r="AZ155" s="3202"/>
      <c r="BA155" s="3202"/>
      <c r="BB155" s="3202"/>
      <c r="BC155" s="3202"/>
      <c r="BD155" s="3202"/>
      <c r="BE155" s="3946"/>
      <c r="BF155" s="3947" t="s">
        <v>2485</v>
      </c>
      <c r="BG155" s="3948">
        <f ca="1">1-BG151</f>
        <v>-0.22293849119284093</v>
      </c>
      <c r="BH155" s="3209"/>
      <c r="BJ155" s="3201"/>
      <c r="BK155" s="3202"/>
      <c r="BL155" s="3203"/>
      <c r="BM155" s="3203"/>
      <c r="BN155" s="3204"/>
      <c r="BO155" s="3204"/>
      <c r="BP155" s="3205"/>
      <c r="BQ155" s="3205"/>
      <c r="BR155" s="3205"/>
      <c r="BS155" s="3205"/>
      <c r="BT155" s="3205"/>
      <c r="BU155" s="3205"/>
    </row>
    <row r="156" spans="1:73" s="6" customFormat="1">
      <c r="B156" s="3201"/>
      <c r="C156" s="3202"/>
      <c r="D156" s="3203"/>
      <c r="E156" s="3203"/>
      <c r="F156" s="3204"/>
      <c r="G156" s="3204"/>
      <c r="H156" s="3205"/>
      <c r="I156" s="3205"/>
      <c r="J156" s="3205"/>
      <c r="K156" s="3205"/>
      <c r="L156" s="3205"/>
      <c r="M156" s="3205"/>
      <c r="N156" s="3205"/>
      <c r="O156" s="3205"/>
      <c r="P156" s="3205"/>
      <c r="Q156" s="3205"/>
      <c r="R156" s="3205"/>
      <c r="S156" s="3205"/>
      <c r="T156" s="3205"/>
      <c r="U156" s="3205"/>
      <c r="V156" s="3205"/>
      <c r="W156" s="3205"/>
      <c r="X156" s="3205"/>
      <c r="Y156" s="3205"/>
      <c r="Z156" s="3205"/>
      <c r="AA156" s="3205"/>
      <c r="AB156" s="3205"/>
      <c r="AC156" s="3205"/>
      <c r="AD156" s="3205"/>
      <c r="AE156" s="3205"/>
      <c r="AF156" s="3205"/>
      <c r="AG156" s="3205"/>
      <c r="AH156" s="3205"/>
      <c r="AI156" s="3205"/>
      <c r="AJ156" s="3205"/>
      <c r="AK156" s="3205"/>
      <c r="AL156" s="3205"/>
      <c r="AM156" s="3205"/>
      <c r="AN156" s="3205"/>
      <c r="AO156" s="3205"/>
      <c r="AP156" s="3205"/>
      <c r="AQ156" s="3205"/>
      <c r="AR156" s="3205"/>
      <c r="AS156" s="3205"/>
      <c r="AT156" s="3205"/>
      <c r="AU156" s="3205"/>
      <c r="AV156" s="3205"/>
      <c r="AW156" s="3205"/>
      <c r="AX156" s="3202"/>
      <c r="AY156" s="3206"/>
      <c r="AZ156" s="3202"/>
      <c r="BA156" s="3202"/>
      <c r="BB156" s="3202"/>
      <c r="BC156" s="3202"/>
      <c r="BD156" s="3202"/>
      <c r="BE156" s="3202"/>
      <c r="BF156" s="3207"/>
      <c r="BG156" s="3208"/>
      <c r="BH156" s="3209"/>
      <c r="BJ156" s="3201"/>
      <c r="BK156" s="3202"/>
      <c r="BL156" s="3203"/>
      <c r="BM156" s="3203"/>
      <c r="BN156" s="3204"/>
      <c r="BO156" s="3204"/>
      <c r="BP156" s="3205"/>
      <c r="BQ156" s="3205"/>
      <c r="BR156" s="3205"/>
      <c r="BS156" s="3205"/>
      <c r="BT156" s="3205"/>
      <c r="BU156" s="3205"/>
    </row>
    <row r="157" spans="1:73" s="6" customFormat="1">
      <c r="A157" s="850"/>
      <c r="B157" s="3201"/>
      <c r="C157" s="3202" t="s">
        <v>2486</v>
      </c>
      <c r="D157" s="3203"/>
      <c r="E157" s="3203"/>
      <c r="F157" s="3203" t="s">
        <v>406</v>
      </c>
      <c r="G157" s="3203"/>
      <c r="H157" s="3210"/>
      <c r="I157" s="3210"/>
      <c r="J157" s="3210"/>
      <c r="K157" s="3210"/>
      <c r="L157" s="3210"/>
      <c r="M157" s="3210"/>
      <c r="N157" s="3210"/>
      <c r="O157" s="3210"/>
      <c r="P157" s="3210"/>
      <c r="Q157" s="3210"/>
      <c r="R157" s="3210"/>
      <c r="S157" s="3210"/>
      <c r="T157" s="3210"/>
      <c r="U157" s="3210"/>
      <c r="V157" s="3210"/>
      <c r="W157" s="3210"/>
      <c r="X157" s="3210"/>
      <c r="Y157" s="3210"/>
      <c r="Z157" s="3210"/>
      <c r="AA157" s="3210"/>
      <c r="AB157" s="3210"/>
      <c r="AC157" s="3210"/>
      <c r="AD157" s="3210"/>
      <c r="AE157" s="3210"/>
      <c r="AF157" s="3210"/>
      <c r="AG157" s="3210"/>
      <c r="AH157" s="3210"/>
      <c r="AI157" s="3210"/>
      <c r="AJ157" s="3210"/>
      <c r="AK157" s="3210"/>
      <c r="AL157" s="3210"/>
      <c r="AM157" s="3210"/>
      <c r="AN157" s="3210"/>
      <c r="AO157" s="3210"/>
      <c r="AP157" s="3210"/>
      <c r="AQ157" s="3210"/>
      <c r="AR157" s="3210"/>
      <c r="AS157" s="3210"/>
      <c r="AT157" s="3210"/>
      <c r="AU157" s="3210"/>
      <c r="AV157" s="3210"/>
      <c r="AW157" s="3210"/>
      <c r="AX157" s="3202"/>
      <c r="AY157" s="3176">
        <v>2013</v>
      </c>
      <c r="AZ157" s="3176">
        <v>2015</v>
      </c>
      <c r="BA157" s="3176">
        <v>2020</v>
      </c>
      <c r="BB157" s="3176">
        <v>2025</v>
      </c>
      <c r="BC157" s="3176">
        <v>2030</v>
      </c>
      <c r="BD157" s="3176">
        <v>2035</v>
      </c>
      <c r="BE157" s="3176">
        <v>2040</v>
      </c>
      <c r="BF157" s="3176">
        <v>2045</v>
      </c>
      <c r="BG157" s="3178">
        <v>2050</v>
      </c>
      <c r="BH157" s="3209"/>
      <c r="BJ157" s="3201"/>
      <c r="BK157" s="3202"/>
      <c r="BL157" s="3203"/>
      <c r="BM157" s="3203"/>
      <c r="BN157" s="3203"/>
      <c r="BO157" s="3203"/>
      <c r="BP157" s="3210"/>
      <c r="BQ157" s="3210"/>
      <c r="BR157" s="3210"/>
      <c r="BS157" s="3210"/>
      <c r="BT157" s="3210"/>
      <c r="BU157" s="3210"/>
    </row>
    <row r="158" spans="1:73" s="6" customFormat="1">
      <c r="A158" s="850"/>
      <c r="B158" s="3201"/>
      <c r="C158" s="3203" t="s">
        <v>549</v>
      </c>
      <c r="D158" s="3203"/>
      <c r="E158" s="3203"/>
      <c r="F158" s="3211" t="s">
        <v>550</v>
      </c>
      <c r="G158" s="3211"/>
      <c r="H158" s="3212"/>
      <c r="I158" s="3212"/>
      <c r="J158" s="3212"/>
      <c r="K158" s="3212"/>
      <c r="L158" s="3212"/>
      <c r="M158" s="3212"/>
      <c r="N158" s="3212"/>
      <c r="O158" s="3212"/>
      <c r="P158" s="3212"/>
      <c r="Q158" s="3212"/>
      <c r="R158" s="3212"/>
      <c r="S158" s="3212"/>
      <c r="T158" s="3212"/>
      <c r="U158" s="3212"/>
      <c r="V158" s="3212"/>
      <c r="W158" s="3212"/>
      <c r="X158" s="3212"/>
      <c r="Y158" s="3212"/>
      <c r="Z158" s="3212"/>
      <c r="AA158" s="3212"/>
      <c r="AB158" s="3212"/>
      <c r="AC158" s="3212"/>
      <c r="AD158" s="3212"/>
      <c r="AE158" s="3212"/>
      <c r="AF158" s="3212"/>
      <c r="AG158" s="3212"/>
      <c r="AH158" s="3212"/>
      <c r="AI158" s="3212"/>
      <c r="AJ158" s="3212"/>
      <c r="AK158" s="3212"/>
      <c r="AL158" s="3212"/>
      <c r="AM158" s="3212"/>
      <c r="AN158" s="3212"/>
      <c r="AO158" s="3212"/>
      <c r="AP158" s="3212"/>
      <c r="AQ158" s="3212"/>
      <c r="AR158" s="3212"/>
      <c r="AS158" s="3212"/>
      <c r="AT158" s="3212"/>
      <c r="AU158" s="3212"/>
      <c r="AV158" s="3212"/>
      <c r="AW158" s="3212"/>
      <c r="AX158" s="3202"/>
      <c r="AY158" s="3213">
        <f t="shared" ref="AY158:AY174" ca="1" si="33">SUMIFS(INDIRECT("'"&amp;AY$157&amp;"'!Year.EmissionsBySector"), INDIRECT("'"&amp;AY$157&amp;"'!Year.Modules"),$C158)</f>
        <v>13.10989694268479</v>
      </c>
      <c r="AZ158" s="3213">
        <f t="shared" ref="AZ158:BG173" ca="1" si="34">SUMIFS(INDIRECT("'"&amp;AZ$157&amp;"'!Year.EmissionsBySector"), INDIRECT("'"&amp;AZ$157&amp;"'!Year.Modules"),$C158)</f>
        <v>12.643809309650932</v>
      </c>
      <c r="BA158" s="3213">
        <f t="shared" ca="1" si="34"/>
        <v>12.411424275242368</v>
      </c>
      <c r="BB158" s="3213">
        <f t="shared" ca="1" si="34"/>
        <v>14.432032224618373</v>
      </c>
      <c r="BC158" s="3213">
        <f t="shared" ca="1" si="34"/>
        <v>15.058454428799742</v>
      </c>
      <c r="BD158" s="3213">
        <f t="shared" ca="1" si="34"/>
        <v>13.886176922770101</v>
      </c>
      <c r="BE158" s="3213">
        <f t="shared" ca="1" si="34"/>
        <v>14.85911093929781</v>
      </c>
      <c r="BF158" s="3213">
        <f t="shared" ca="1" si="34"/>
        <v>15.866808278098716</v>
      </c>
      <c r="BG158" s="3213">
        <f t="shared" ca="1" si="34"/>
        <v>16.912293410099849</v>
      </c>
      <c r="BH158" s="3209"/>
      <c r="BJ158" s="3201"/>
      <c r="BK158" s="3203"/>
      <c r="BL158" s="3203"/>
      <c r="BM158" s="3203"/>
      <c r="BN158" s="3211"/>
      <c r="BO158" s="3211"/>
      <c r="BP158" s="3212"/>
      <c r="BQ158" s="3212"/>
      <c r="BR158" s="3212"/>
      <c r="BS158" s="3212"/>
      <c r="BT158" s="3212"/>
      <c r="BU158" s="3212"/>
    </row>
    <row r="159" spans="1:73" s="6" customFormat="1">
      <c r="A159" s="850"/>
      <c r="B159" s="3201"/>
      <c r="C159" s="3203" t="s">
        <v>541</v>
      </c>
      <c r="D159" s="3203"/>
      <c r="E159" s="3203"/>
      <c r="F159" s="3211" t="s">
        <v>542</v>
      </c>
      <c r="G159" s="3211"/>
      <c r="H159" s="3212"/>
      <c r="I159" s="3212"/>
      <c r="J159" s="3212"/>
      <c r="K159" s="3212"/>
      <c r="L159" s="3212"/>
      <c r="M159" s="3212"/>
      <c r="N159" s="3212"/>
      <c r="O159" s="3212"/>
      <c r="P159" s="3212"/>
      <c r="Q159" s="3212"/>
      <c r="R159" s="3212"/>
      <c r="S159" s="3212"/>
      <c r="T159" s="3212"/>
      <c r="U159" s="3212"/>
      <c r="V159" s="3212"/>
      <c r="W159" s="3212"/>
      <c r="X159" s="3212"/>
      <c r="Y159" s="3212"/>
      <c r="Z159" s="3212"/>
      <c r="AA159" s="3212"/>
      <c r="AB159" s="3212"/>
      <c r="AC159" s="3212"/>
      <c r="AD159" s="3212"/>
      <c r="AE159" s="3212"/>
      <c r="AF159" s="3212"/>
      <c r="AG159" s="3212"/>
      <c r="AH159" s="3212"/>
      <c r="AI159" s="3212"/>
      <c r="AJ159" s="3212"/>
      <c r="AK159" s="3212"/>
      <c r="AL159" s="3212"/>
      <c r="AM159" s="3212"/>
      <c r="AN159" s="3212"/>
      <c r="AO159" s="3212"/>
      <c r="AP159" s="3212"/>
      <c r="AQ159" s="3212"/>
      <c r="AR159" s="3212"/>
      <c r="AS159" s="3212"/>
      <c r="AT159" s="3212"/>
      <c r="AU159" s="3212"/>
      <c r="AV159" s="3212"/>
      <c r="AW159" s="3212"/>
      <c r="AX159" s="3202"/>
      <c r="AY159" s="3213">
        <f t="shared" ca="1" si="33"/>
        <v>0</v>
      </c>
      <c r="AZ159" s="3213">
        <f t="shared" ca="1" si="34"/>
        <v>0</v>
      </c>
      <c r="BA159" s="3213">
        <f t="shared" ca="1" si="34"/>
        <v>0</v>
      </c>
      <c r="BB159" s="3213">
        <f t="shared" ca="1" si="34"/>
        <v>0</v>
      </c>
      <c r="BC159" s="3213">
        <f t="shared" ca="1" si="34"/>
        <v>0</v>
      </c>
      <c r="BD159" s="3213">
        <f t="shared" ca="1" si="34"/>
        <v>0</v>
      </c>
      <c r="BE159" s="3213">
        <f t="shared" ca="1" si="34"/>
        <v>0</v>
      </c>
      <c r="BF159" s="3213">
        <f t="shared" ca="1" si="34"/>
        <v>0</v>
      </c>
      <c r="BG159" s="3213">
        <f t="shared" ca="1" si="34"/>
        <v>0</v>
      </c>
      <c r="BH159" s="3209"/>
      <c r="BJ159" s="3201"/>
      <c r="BK159" s="3203"/>
      <c r="BL159" s="3203"/>
      <c r="BM159" s="3203"/>
      <c r="BN159" s="3211"/>
      <c r="BO159" s="3211"/>
      <c r="BP159" s="3212"/>
      <c r="BQ159" s="3212"/>
      <c r="BR159" s="3212"/>
      <c r="BS159" s="3212"/>
      <c r="BT159" s="3212"/>
      <c r="BU159" s="3212"/>
    </row>
    <row r="160" spans="1:73" s="6" customFormat="1">
      <c r="A160" s="850"/>
      <c r="B160" s="3201"/>
      <c r="C160" s="3203" t="s">
        <v>523</v>
      </c>
      <c r="D160" s="3203"/>
      <c r="E160" s="3203"/>
      <c r="F160" s="3211" t="s">
        <v>524</v>
      </c>
      <c r="G160" s="3211"/>
      <c r="H160" s="3212"/>
      <c r="I160" s="3212"/>
      <c r="J160" s="3212"/>
      <c r="K160" s="3212"/>
      <c r="L160" s="3212"/>
      <c r="M160" s="3212"/>
      <c r="N160" s="3212"/>
      <c r="O160" s="3212"/>
      <c r="P160" s="3212"/>
      <c r="Q160" s="3212"/>
      <c r="R160" s="3212"/>
      <c r="S160" s="3212"/>
      <c r="T160" s="3212"/>
      <c r="U160" s="3212"/>
      <c r="V160" s="3212"/>
      <c r="W160" s="3212"/>
      <c r="X160" s="3212"/>
      <c r="Y160" s="3212"/>
      <c r="Z160" s="3212"/>
      <c r="AA160" s="3212"/>
      <c r="AB160" s="3212"/>
      <c r="AC160" s="3212"/>
      <c r="AD160" s="3212"/>
      <c r="AE160" s="3212"/>
      <c r="AF160" s="3212"/>
      <c r="AG160" s="3212"/>
      <c r="AH160" s="3212"/>
      <c r="AI160" s="3212"/>
      <c r="AJ160" s="3212"/>
      <c r="AK160" s="3212"/>
      <c r="AL160" s="3212"/>
      <c r="AM160" s="3212"/>
      <c r="AN160" s="3212"/>
      <c r="AO160" s="3212"/>
      <c r="AP160" s="3212"/>
      <c r="AQ160" s="3212"/>
      <c r="AR160" s="3212"/>
      <c r="AS160" s="3212"/>
      <c r="AT160" s="3212"/>
      <c r="AU160" s="3212"/>
      <c r="AV160" s="3212"/>
      <c r="AW160" s="3212"/>
      <c r="AX160" s="3202"/>
      <c r="AY160" s="3213">
        <f t="shared" ca="1" si="33"/>
        <v>0</v>
      </c>
      <c r="AZ160" s="3213">
        <f t="shared" ca="1" si="34"/>
        <v>0</v>
      </c>
      <c r="BA160" s="3213">
        <f t="shared" ca="1" si="34"/>
        <v>0</v>
      </c>
      <c r="BB160" s="3213">
        <f t="shared" ca="1" si="34"/>
        <v>0</v>
      </c>
      <c r="BC160" s="3213">
        <f t="shared" ca="1" si="34"/>
        <v>0</v>
      </c>
      <c r="BD160" s="3213">
        <f t="shared" ca="1" si="34"/>
        <v>0</v>
      </c>
      <c r="BE160" s="3213">
        <f t="shared" ca="1" si="34"/>
        <v>0</v>
      </c>
      <c r="BF160" s="3213">
        <f t="shared" ca="1" si="34"/>
        <v>0</v>
      </c>
      <c r="BG160" s="3213">
        <f t="shared" ca="1" si="34"/>
        <v>0</v>
      </c>
      <c r="BH160" s="3209"/>
      <c r="BJ160" s="3201"/>
      <c r="BK160" s="3203"/>
      <c r="BL160" s="3203"/>
      <c r="BM160" s="3203"/>
      <c r="BN160" s="3211"/>
      <c r="BO160" s="3211"/>
      <c r="BP160" s="3212"/>
      <c r="BQ160" s="3212"/>
      <c r="BR160" s="3212"/>
      <c r="BS160" s="3212"/>
      <c r="BT160" s="3212"/>
      <c r="BU160" s="3212"/>
    </row>
    <row r="161" spans="1:73" s="6" customFormat="1">
      <c r="A161" s="850"/>
      <c r="B161" s="3201"/>
      <c r="C161" s="3203" t="s">
        <v>529</v>
      </c>
      <c r="D161" s="3203"/>
      <c r="E161" s="3203"/>
      <c r="F161" s="3211" t="s">
        <v>530</v>
      </c>
      <c r="G161" s="3211"/>
      <c r="H161" s="3212"/>
      <c r="I161" s="3212"/>
      <c r="J161" s="3212"/>
      <c r="K161" s="3212"/>
      <c r="L161" s="3212"/>
      <c r="M161" s="3212"/>
      <c r="N161" s="3212"/>
      <c r="O161" s="3212"/>
      <c r="P161" s="3212"/>
      <c r="Q161" s="3212"/>
      <c r="R161" s="3212"/>
      <c r="S161" s="3212"/>
      <c r="T161" s="3212"/>
      <c r="U161" s="3212"/>
      <c r="V161" s="3212"/>
      <c r="W161" s="3212"/>
      <c r="X161" s="3212"/>
      <c r="Y161" s="3212"/>
      <c r="Z161" s="3212"/>
      <c r="AA161" s="3212"/>
      <c r="AB161" s="3212"/>
      <c r="AC161" s="3212"/>
      <c r="AD161" s="3212"/>
      <c r="AE161" s="3212"/>
      <c r="AF161" s="3212"/>
      <c r="AG161" s="3212"/>
      <c r="AH161" s="3212"/>
      <c r="AI161" s="3212"/>
      <c r="AJ161" s="3212"/>
      <c r="AK161" s="3212"/>
      <c r="AL161" s="3212"/>
      <c r="AM161" s="3212"/>
      <c r="AN161" s="3212"/>
      <c r="AO161" s="3212"/>
      <c r="AP161" s="3212"/>
      <c r="AQ161" s="3212"/>
      <c r="AR161" s="3212"/>
      <c r="AS161" s="3212"/>
      <c r="AT161" s="3212"/>
      <c r="AU161" s="3212"/>
      <c r="AV161" s="3212"/>
      <c r="AW161" s="3212"/>
      <c r="AX161" s="3202"/>
      <c r="AY161" s="3213">
        <f t="shared" ca="1" si="33"/>
        <v>0</v>
      </c>
      <c r="AZ161" s="3213">
        <f t="shared" ca="1" si="34"/>
        <v>0</v>
      </c>
      <c r="BA161" s="3213">
        <f t="shared" ca="1" si="34"/>
        <v>0</v>
      </c>
      <c r="BB161" s="3213">
        <f t="shared" ca="1" si="34"/>
        <v>0</v>
      </c>
      <c r="BC161" s="3213">
        <f t="shared" ca="1" si="34"/>
        <v>0</v>
      </c>
      <c r="BD161" s="3213">
        <f t="shared" ca="1" si="34"/>
        <v>0</v>
      </c>
      <c r="BE161" s="3213">
        <f t="shared" ca="1" si="34"/>
        <v>0</v>
      </c>
      <c r="BF161" s="3213">
        <f t="shared" ca="1" si="34"/>
        <v>0</v>
      </c>
      <c r="BG161" s="3213">
        <f t="shared" ca="1" si="34"/>
        <v>0</v>
      </c>
      <c r="BH161" s="3209"/>
      <c r="BJ161" s="3201"/>
      <c r="BK161" s="3203"/>
      <c r="BL161" s="3203"/>
      <c r="BM161" s="3203"/>
      <c r="BN161" s="3211"/>
      <c r="BO161" s="3211"/>
      <c r="BP161" s="3212"/>
      <c r="BQ161" s="3212"/>
      <c r="BR161" s="3212"/>
      <c r="BS161" s="3212"/>
      <c r="BT161" s="3212"/>
      <c r="BU161" s="3212"/>
    </row>
    <row r="162" spans="1:73" s="6" customFormat="1">
      <c r="A162" s="850"/>
      <c r="B162" s="3201"/>
      <c r="C162" s="3203" t="s">
        <v>571</v>
      </c>
      <c r="D162" s="3203"/>
      <c r="E162" s="3203"/>
      <c r="F162" s="3211" t="s">
        <v>572</v>
      </c>
      <c r="G162" s="3211"/>
      <c r="H162" s="3212"/>
      <c r="I162" s="3212"/>
      <c r="J162" s="3212"/>
      <c r="K162" s="3212"/>
      <c r="L162" s="3212"/>
      <c r="M162" s="3212"/>
      <c r="N162" s="3212"/>
      <c r="O162" s="3212"/>
      <c r="P162" s="3212"/>
      <c r="Q162" s="3212"/>
      <c r="R162" s="3212"/>
      <c r="S162" s="3212"/>
      <c r="T162" s="3212"/>
      <c r="U162" s="3212"/>
      <c r="V162" s="3212"/>
      <c r="W162" s="3212"/>
      <c r="X162" s="3212"/>
      <c r="Y162" s="3212"/>
      <c r="Z162" s="3212"/>
      <c r="AA162" s="3212"/>
      <c r="AB162" s="3212"/>
      <c r="AC162" s="3212"/>
      <c r="AD162" s="3212"/>
      <c r="AE162" s="3212"/>
      <c r="AF162" s="3212"/>
      <c r="AG162" s="3212"/>
      <c r="AH162" s="3212"/>
      <c r="AI162" s="3212"/>
      <c r="AJ162" s="3212"/>
      <c r="AK162" s="3212"/>
      <c r="AL162" s="3212"/>
      <c r="AM162" s="3212"/>
      <c r="AN162" s="3212"/>
      <c r="AO162" s="3212"/>
      <c r="AP162" s="3212"/>
      <c r="AQ162" s="3212"/>
      <c r="AR162" s="3212"/>
      <c r="AS162" s="3212"/>
      <c r="AT162" s="3212"/>
      <c r="AU162" s="3212"/>
      <c r="AV162" s="3212"/>
      <c r="AW162" s="3212"/>
      <c r="AX162" s="3202"/>
      <c r="AY162" s="3213">
        <f t="shared" ca="1" si="33"/>
        <v>-0.70135482576316632</v>
      </c>
      <c r="AZ162" s="3213">
        <f t="shared" ca="1" si="34"/>
        <v>-0.91489304793507442</v>
      </c>
      <c r="BA162" s="3213">
        <f t="shared" ca="1" si="34"/>
        <v>-1.0625349391574228</v>
      </c>
      <c r="BB162" s="3213">
        <f t="shared" ca="1" si="34"/>
        <v>-1.2440262551222085</v>
      </c>
      <c r="BC162" s="3213">
        <f t="shared" ca="1" si="34"/>
        <v>-1.4167153109533932</v>
      </c>
      <c r="BD162" s="3213">
        <f t="shared" ca="1" si="34"/>
        <v>-1.4277256653884112</v>
      </c>
      <c r="BE162" s="3213">
        <f t="shared" ca="1" si="34"/>
        <v>-1.2732716855631914</v>
      </c>
      <c r="BF162" s="3213">
        <f t="shared" ca="1" si="34"/>
        <v>-1.122345084686408</v>
      </c>
      <c r="BG162" s="3213">
        <f t="shared" ca="1" si="34"/>
        <v>-1.1151876435289807</v>
      </c>
      <c r="BH162" s="3209"/>
      <c r="BJ162" s="3201"/>
      <c r="BK162" s="3203"/>
      <c r="BL162" s="3203"/>
      <c r="BM162" s="3203"/>
      <c r="BN162" s="3211"/>
      <c r="BO162" s="3211"/>
      <c r="BP162" s="3212"/>
      <c r="BQ162" s="3212"/>
      <c r="BR162" s="3212"/>
      <c r="BS162" s="3212"/>
      <c r="BT162" s="3212"/>
      <c r="BU162" s="3212"/>
    </row>
    <row r="163" spans="1:73" s="6" customFormat="1">
      <c r="A163" s="850"/>
      <c r="B163" s="3201"/>
      <c r="C163" s="3203" t="s">
        <v>503</v>
      </c>
      <c r="D163" s="3203"/>
      <c r="E163" s="3203"/>
      <c r="F163" s="3211" t="s">
        <v>504</v>
      </c>
      <c r="G163" s="3211"/>
      <c r="H163" s="3212"/>
      <c r="I163" s="3212"/>
      <c r="J163" s="3212"/>
      <c r="K163" s="3212"/>
      <c r="L163" s="3212"/>
      <c r="M163" s="3212"/>
      <c r="N163" s="3212"/>
      <c r="O163" s="3212"/>
      <c r="P163" s="3212"/>
      <c r="Q163" s="3212"/>
      <c r="R163" s="3212"/>
      <c r="S163" s="3212"/>
      <c r="T163" s="3212"/>
      <c r="U163" s="3212"/>
      <c r="V163" s="3212"/>
      <c r="W163" s="3212"/>
      <c r="X163" s="3212"/>
      <c r="Y163" s="3212"/>
      <c r="Z163" s="3212"/>
      <c r="AA163" s="3212"/>
      <c r="AB163" s="3212"/>
      <c r="AC163" s="3212"/>
      <c r="AD163" s="3212"/>
      <c r="AE163" s="3212"/>
      <c r="AF163" s="3212"/>
      <c r="AG163" s="3212"/>
      <c r="AH163" s="3212"/>
      <c r="AI163" s="3212"/>
      <c r="AJ163" s="3212"/>
      <c r="AK163" s="3212"/>
      <c r="AL163" s="3212"/>
      <c r="AM163" s="3212"/>
      <c r="AN163" s="3212"/>
      <c r="AO163" s="3212"/>
      <c r="AP163" s="3212"/>
      <c r="AQ163" s="3212"/>
      <c r="AR163" s="3212"/>
      <c r="AS163" s="3212"/>
      <c r="AT163" s="3212"/>
      <c r="AU163" s="3212"/>
      <c r="AV163" s="3212"/>
      <c r="AW163" s="3212"/>
      <c r="AX163" s="3202"/>
      <c r="AY163" s="3213">
        <f t="shared" ca="1" si="33"/>
        <v>22.48312881993542</v>
      </c>
      <c r="AZ163" s="3213">
        <f t="shared" ca="1" si="34"/>
        <v>21.899679390397992</v>
      </c>
      <c r="BA163" s="3213">
        <f t="shared" ca="1" si="34"/>
        <v>21.283937844890687</v>
      </c>
      <c r="BB163" s="3213">
        <f t="shared" ca="1" si="34"/>
        <v>20.838332267412138</v>
      </c>
      <c r="BC163" s="3213">
        <f t="shared" ca="1" si="34"/>
        <v>20.72373705723469</v>
      </c>
      <c r="BD163" s="3213">
        <f t="shared" ca="1" si="34"/>
        <v>20.608799980183985</v>
      </c>
      <c r="BE163" s="3213">
        <f t="shared" ca="1" si="34"/>
        <v>20.493802419694518</v>
      </c>
      <c r="BF163" s="3213">
        <f t="shared" ca="1" si="34"/>
        <v>20.379041803544368</v>
      </c>
      <c r="BG163" s="3213">
        <f t="shared" ca="1" si="34"/>
        <v>20.264832558555796</v>
      </c>
      <c r="BH163" s="3209"/>
      <c r="BJ163" s="3201"/>
      <c r="BK163" s="3203"/>
      <c r="BL163" s="3203"/>
      <c r="BM163" s="3203"/>
      <c r="BN163" s="3211"/>
      <c r="BO163" s="3211"/>
      <c r="BP163" s="3212"/>
      <c r="BQ163" s="3212"/>
      <c r="BR163" s="3212"/>
      <c r="BS163" s="3212"/>
      <c r="BT163" s="3212"/>
      <c r="BU163" s="3212"/>
    </row>
    <row r="164" spans="1:73" s="6" customFormat="1">
      <c r="A164" s="850"/>
      <c r="B164" s="3201"/>
      <c r="C164" s="3203" t="s">
        <v>562</v>
      </c>
      <c r="D164" s="3203"/>
      <c r="E164" s="3203"/>
      <c r="F164" s="3211" t="s">
        <v>563</v>
      </c>
      <c r="G164" s="3211"/>
      <c r="H164" s="3212"/>
      <c r="I164" s="3212"/>
      <c r="J164" s="3212"/>
      <c r="K164" s="3212"/>
      <c r="L164" s="3212"/>
      <c r="M164" s="3212"/>
      <c r="N164" s="3212"/>
      <c r="O164" s="3212"/>
      <c r="P164" s="3212"/>
      <c r="Q164" s="3212"/>
      <c r="R164" s="3212"/>
      <c r="S164" s="3212"/>
      <c r="T164" s="3212"/>
      <c r="U164" s="3212"/>
      <c r="V164" s="3212"/>
      <c r="W164" s="3212"/>
      <c r="X164" s="3212"/>
      <c r="Y164" s="3212"/>
      <c r="Z164" s="3212"/>
      <c r="AA164" s="3212"/>
      <c r="AB164" s="3212"/>
      <c r="AC164" s="3212"/>
      <c r="AD164" s="3212"/>
      <c r="AE164" s="3212"/>
      <c r="AF164" s="3212"/>
      <c r="AG164" s="3212"/>
      <c r="AH164" s="3212"/>
      <c r="AI164" s="3212"/>
      <c r="AJ164" s="3212"/>
      <c r="AK164" s="3212"/>
      <c r="AL164" s="3212"/>
      <c r="AM164" s="3212"/>
      <c r="AN164" s="3212"/>
      <c r="AO164" s="3212"/>
      <c r="AP164" s="3212"/>
      <c r="AQ164" s="3212"/>
      <c r="AR164" s="3212"/>
      <c r="AS164" s="3212"/>
      <c r="AT164" s="3212"/>
      <c r="AU164" s="3212"/>
      <c r="AV164" s="3212"/>
      <c r="AW164" s="3212"/>
      <c r="AX164" s="3202"/>
      <c r="AY164" s="3213">
        <f t="shared" ca="1" si="33"/>
        <v>1.7652649242120958E-2</v>
      </c>
      <c r="AZ164" s="3213">
        <f t="shared" ca="1" si="34"/>
        <v>3.064431457642702E-2</v>
      </c>
      <c r="BA164" s="3213">
        <f t="shared" ca="1" si="34"/>
        <v>7.4409337452023633E-2</v>
      </c>
      <c r="BB164" s="3213">
        <f t="shared" ca="1" si="34"/>
        <v>0</v>
      </c>
      <c r="BC164" s="3213">
        <f t="shared" ca="1" si="34"/>
        <v>0</v>
      </c>
      <c r="BD164" s="3213">
        <f t="shared" ca="1" si="34"/>
        <v>0</v>
      </c>
      <c r="BE164" s="3213">
        <f t="shared" ca="1" si="34"/>
        <v>0</v>
      </c>
      <c r="BF164" s="3213">
        <f t="shared" ca="1" si="34"/>
        <v>0</v>
      </c>
      <c r="BG164" s="3213">
        <f t="shared" ca="1" si="34"/>
        <v>0</v>
      </c>
      <c r="BH164" s="3209"/>
      <c r="BJ164" s="3201"/>
      <c r="BK164" s="3203"/>
      <c r="BL164" s="3203"/>
      <c r="BM164" s="3203"/>
      <c r="BN164" s="3211"/>
      <c r="BO164" s="3211"/>
      <c r="BP164" s="3212"/>
      <c r="BQ164" s="3212"/>
      <c r="BR164" s="3212"/>
      <c r="BS164" s="3212"/>
      <c r="BT164" s="3212"/>
      <c r="BU164" s="3212"/>
    </row>
    <row r="165" spans="1:73" s="6" customFormat="1">
      <c r="A165" s="850"/>
      <c r="B165" s="3201"/>
      <c r="C165" s="3203" t="s">
        <v>495</v>
      </c>
      <c r="D165" s="3203"/>
      <c r="E165" s="3203"/>
      <c r="F165" s="3211" t="s">
        <v>496</v>
      </c>
      <c r="G165" s="3211"/>
      <c r="H165" s="3212"/>
      <c r="I165" s="3212"/>
      <c r="J165" s="3212"/>
      <c r="K165" s="3212"/>
      <c r="L165" s="3212"/>
      <c r="M165" s="3212"/>
      <c r="N165" s="3212"/>
      <c r="O165" s="3212"/>
      <c r="P165" s="3212"/>
      <c r="Q165" s="3212"/>
      <c r="R165" s="3212"/>
      <c r="S165" s="3212"/>
      <c r="T165" s="3212"/>
      <c r="U165" s="3212"/>
      <c r="V165" s="3212"/>
      <c r="W165" s="3212"/>
      <c r="X165" s="3212"/>
      <c r="Y165" s="3212"/>
      <c r="Z165" s="3212"/>
      <c r="AA165" s="3212"/>
      <c r="AB165" s="3212"/>
      <c r="AC165" s="3212"/>
      <c r="AD165" s="3212"/>
      <c r="AE165" s="3212"/>
      <c r="AF165" s="3212"/>
      <c r="AG165" s="3212"/>
      <c r="AH165" s="3212"/>
      <c r="AI165" s="3212"/>
      <c r="AJ165" s="3212"/>
      <c r="AK165" s="3212"/>
      <c r="AL165" s="3212"/>
      <c r="AM165" s="3212"/>
      <c r="AN165" s="3212"/>
      <c r="AO165" s="3212"/>
      <c r="AP165" s="3212"/>
      <c r="AQ165" s="3212"/>
      <c r="AR165" s="3212"/>
      <c r="AS165" s="3212"/>
      <c r="AT165" s="3212"/>
      <c r="AU165" s="3212"/>
      <c r="AV165" s="3212"/>
      <c r="AW165" s="3212"/>
      <c r="AX165" s="3202"/>
      <c r="AY165" s="3213">
        <f t="shared" ca="1" si="33"/>
        <v>0</v>
      </c>
      <c r="AZ165" s="3213">
        <f t="shared" ca="1" si="34"/>
        <v>0</v>
      </c>
      <c r="BA165" s="3213">
        <f t="shared" ca="1" si="34"/>
        <v>0</v>
      </c>
      <c r="BB165" s="3213">
        <f t="shared" ca="1" si="34"/>
        <v>0</v>
      </c>
      <c r="BC165" s="3213">
        <f t="shared" ca="1" si="34"/>
        <v>0</v>
      </c>
      <c r="BD165" s="3213">
        <f t="shared" ca="1" si="34"/>
        <v>0</v>
      </c>
      <c r="BE165" s="3213">
        <f t="shared" ca="1" si="34"/>
        <v>0</v>
      </c>
      <c r="BF165" s="3213">
        <f t="shared" ca="1" si="34"/>
        <v>0</v>
      </c>
      <c r="BG165" s="3213">
        <f t="shared" ca="1" si="34"/>
        <v>0</v>
      </c>
      <c r="BH165" s="3209"/>
      <c r="BJ165" s="3201"/>
      <c r="BK165" s="3203"/>
      <c r="BL165" s="3203"/>
      <c r="BM165" s="3203"/>
      <c r="BN165" s="3211"/>
      <c r="BO165" s="3211"/>
      <c r="BP165" s="3212"/>
      <c r="BQ165" s="3212"/>
      <c r="BR165" s="3212"/>
      <c r="BS165" s="3212"/>
      <c r="BT165" s="3212"/>
      <c r="BU165" s="3212"/>
    </row>
    <row r="166" spans="1:73" s="6" customFormat="1">
      <c r="A166" s="850"/>
      <c r="B166" s="3201"/>
      <c r="C166" s="3203" t="s">
        <v>0</v>
      </c>
      <c r="D166" s="3203"/>
      <c r="E166" s="3203"/>
      <c r="F166" s="3211" t="s">
        <v>1</v>
      </c>
      <c r="G166" s="3211"/>
      <c r="H166" s="3212"/>
      <c r="I166" s="3212"/>
      <c r="J166" s="3212"/>
      <c r="K166" s="3212"/>
      <c r="L166" s="3212"/>
      <c r="M166" s="3212"/>
      <c r="N166" s="3212"/>
      <c r="O166" s="3212"/>
      <c r="P166" s="3212"/>
      <c r="Q166" s="3212"/>
      <c r="R166" s="3212"/>
      <c r="S166" s="3212"/>
      <c r="T166" s="3212"/>
      <c r="U166" s="3212"/>
      <c r="V166" s="3212"/>
      <c r="W166" s="3212"/>
      <c r="X166" s="3212"/>
      <c r="Y166" s="3212"/>
      <c r="Z166" s="3212"/>
      <c r="AA166" s="3212"/>
      <c r="AB166" s="3212"/>
      <c r="AC166" s="3212"/>
      <c r="AD166" s="3212"/>
      <c r="AE166" s="3212"/>
      <c r="AF166" s="3212"/>
      <c r="AG166" s="3212"/>
      <c r="AH166" s="3212"/>
      <c r="AI166" s="3212"/>
      <c r="AJ166" s="3212"/>
      <c r="AK166" s="3212"/>
      <c r="AL166" s="3212"/>
      <c r="AM166" s="3212"/>
      <c r="AN166" s="3212"/>
      <c r="AO166" s="3212"/>
      <c r="AP166" s="3212"/>
      <c r="AQ166" s="3212"/>
      <c r="AR166" s="3212"/>
      <c r="AS166" s="3212"/>
      <c r="AT166" s="3212"/>
      <c r="AU166" s="3212"/>
      <c r="AV166" s="3212"/>
      <c r="AW166" s="3212"/>
      <c r="AX166" s="3202"/>
      <c r="AY166" s="3213">
        <f t="shared" ca="1" si="33"/>
        <v>7.8819432445848499</v>
      </c>
      <c r="AZ166" s="3213">
        <f t="shared" ca="1" si="34"/>
        <v>7.8586715294790181</v>
      </c>
      <c r="BA166" s="3213">
        <f t="shared" ca="1" si="34"/>
        <v>7.7290092772726462</v>
      </c>
      <c r="BB166" s="3213">
        <f t="shared" ca="1" si="34"/>
        <v>7.8494574204571288</v>
      </c>
      <c r="BC166" s="3213">
        <f t="shared" ca="1" si="34"/>
        <v>7.9331719001152523</v>
      </c>
      <c r="BD166" s="3213">
        <f t="shared" ca="1" si="34"/>
        <v>8.0158862662105843</v>
      </c>
      <c r="BE166" s="3213">
        <f t="shared" ca="1" si="34"/>
        <v>8.0940978171480946</v>
      </c>
      <c r="BF166" s="3213">
        <f t="shared" ca="1" si="34"/>
        <v>8.1532268870154709</v>
      </c>
      <c r="BG166" s="3213">
        <f t="shared" ca="1" si="34"/>
        <v>8.2078976145609932</v>
      </c>
      <c r="BH166" s="3209"/>
      <c r="BJ166" s="3201"/>
      <c r="BK166" s="3203"/>
      <c r="BL166" s="3203"/>
      <c r="BM166" s="3203"/>
      <c r="BN166" s="3211"/>
      <c r="BO166" s="3211"/>
      <c r="BP166" s="3212"/>
      <c r="BQ166" s="3212"/>
      <c r="BR166" s="3212"/>
      <c r="BS166" s="3212"/>
      <c r="BT166" s="3212"/>
      <c r="BU166" s="3212"/>
    </row>
    <row r="167" spans="1:73" s="6" customFormat="1">
      <c r="A167" s="850"/>
      <c r="B167" s="3201"/>
      <c r="C167" s="3203" t="s">
        <v>465</v>
      </c>
      <c r="D167" s="3203"/>
      <c r="E167" s="3203"/>
      <c r="F167" s="3211" t="s">
        <v>82</v>
      </c>
      <c r="G167" s="3211"/>
      <c r="H167" s="3212"/>
      <c r="I167" s="3212"/>
      <c r="J167" s="3212"/>
      <c r="K167" s="3212"/>
      <c r="L167" s="3212"/>
      <c r="M167" s="3212"/>
      <c r="N167" s="3212"/>
      <c r="O167" s="3212"/>
      <c r="P167" s="3212"/>
      <c r="Q167" s="3212"/>
      <c r="R167" s="3212"/>
      <c r="S167" s="3212"/>
      <c r="T167" s="3212"/>
      <c r="U167" s="3212"/>
      <c r="V167" s="3212"/>
      <c r="W167" s="3212"/>
      <c r="X167" s="3212"/>
      <c r="Y167" s="3212"/>
      <c r="Z167" s="3212"/>
      <c r="AA167" s="3212"/>
      <c r="AB167" s="3212"/>
      <c r="AC167" s="3212"/>
      <c r="AD167" s="3212"/>
      <c r="AE167" s="3212"/>
      <c r="AF167" s="3212"/>
      <c r="AG167" s="3212"/>
      <c r="AH167" s="3212"/>
      <c r="AI167" s="3212"/>
      <c r="AJ167" s="3212"/>
      <c r="AK167" s="3212"/>
      <c r="AL167" s="3212"/>
      <c r="AM167" s="3212"/>
      <c r="AN167" s="3212"/>
      <c r="AO167" s="3212"/>
      <c r="AP167" s="3212"/>
      <c r="AQ167" s="3212"/>
      <c r="AR167" s="3212"/>
      <c r="AS167" s="3212"/>
      <c r="AT167" s="3212"/>
      <c r="AU167" s="3212"/>
      <c r="AV167" s="3212"/>
      <c r="AW167" s="3212"/>
      <c r="AX167" s="3202"/>
      <c r="AY167" s="3213">
        <f t="shared" ca="1" si="33"/>
        <v>0.18651782716267357</v>
      </c>
      <c r="AZ167" s="3213">
        <f t="shared" ca="1" si="34"/>
        <v>0.18846995446901735</v>
      </c>
      <c r="BA167" s="3213">
        <f t="shared" ca="1" si="34"/>
        <v>0.19092792431315603</v>
      </c>
      <c r="BB167" s="3213">
        <f t="shared" ca="1" si="34"/>
        <v>0.19339447112096511</v>
      </c>
      <c r="BC167" s="3213">
        <f t="shared" ca="1" si="34"/>
        <v>0.19551104103417297</v>
      </c>
      <c r="BD167" s="3213">
        <f t="shared" ca="1" si="34"/>
        <v>0.19777210941828591</v>
      </c>
      <c r="BE167" s="3213">
        <f t="shared" ca="1" si="34"/>
        <v>0.20016518855287474</v>
      </c>
      <c r="BF167" s="3213">
        <f t="shared" ca="1" si="34"/>
        <v>0.20244913797605985</v>
      </c>
      <c r="BG167" s="3213">
        <f t="shared" ca="1" si="34"/>
        <v>0.20529023636603186</v>
      </c>
      <c r="BH167" s="3209"/>
      <c r="BJ167" s="3201"/>
      <c r="BK167" s="3203"/>
      <c r="BL167" s="3203"/>
      <c r="BM167" s="3203"/>
      <c r="BN167" s="3211"/>
      <c r="BO167" s="3211"/>
      <c r="BP167" s="3212"/>
      <c r="BQ167" s="3212"/>
      <c r="BR167" s="3212"/>
      <c r="BS167" s="3212"/>
      <c r="BT167" s="3212"/>
      <c r="BU167" s="3212"/>
    </row>
    <row r="168" spans="1:73" s="6" customFormat="1">
      <c r="A168" s="850"/>
      <c r="B168" s="3201"/>
      <c r="C168" s="3203" t="s">
        <v>468</v>
      </c>
      <c r="D168" s="3203"/>
      <c r="E168" s="3203"/>
      <c r="F168" s="3211" t="s">
        <v>359</v>
      </c>
      <c r="G168" s="3211"/>
      <c r="H168" s="3212"/>
      <c r="I168" s="3212"/>
      <c r="J168" s="3212"/>
      <c r="K168" s="3212"/>
      <c r="L168" s="3212"/>
      <c r="M168" s="3212"/>
      <c r="N168" s="3212"/>
      <c r="O168" s="3212"/>
      <c r="P168" s="3212"/>
      <c r="Q168" s="3212"/>
      <c r="R168" s="3212"/>
      <c r="S168" s="3212"/>
      <c r="T168" s="3212"/>
      <c r="U168" s="3212"/>
      <c r="V168" s="3212"/>
      <c r="W168" s="3212"/>
      <c r="X168" s="3212"/>
      <c r="Y168" s="3212"/>
      <c r="Z168" s="3212"/>
      <c r="AA168" s="3212"/>
      <c r="AB168" s="3212"/>
      <c r="AC168" s="3212"/>
      <c r="AD168" s="3212"/>
      <c r="AE168" s="3212"/>
      <c r="AF168" s="3212"/>
      <c r="AG168" s="3212"/>
      <c r="AH168" s="3212"/>
      <c r="AI168" s="3212"/>
      <c r="AJ168" s="3212"/>
      <c r="AK168" s="3212"/>
      <c r="AL168" s="3212"/>
      <c r="AM168" s="3212"/>
      <c r="AN168" s="3212"/>
      <c r="AO168" s="3212"/>
      <c r="AP168" s="3212"/>
      <c r="AQ168" s="3212"/>
      <c r="AR168" s="3212"/>
      <c r="AS168" s="3212"/>
      <c r="AT168" s="3212"/>
      <c r="AU168" s="3212"/>
      <c r="AV168" s="3212"/>
      <c r="AW168" s="3212"/>
      <c r="AX168" s="3202"/>
      <c r="AY168" s="3213">
        <f t="shared" ca="1" si="33"/>
        <v>6.4753061332000001</v>
      </c>
      <c r="AZ168" s="3213">
        <f t="shared" ca="1" si="34"/>
        <v>6.6305295378102631</v>
      </c>
      <c r="BA168" s="3213">
        <f t="shared" ca="1" si="34"/>
        <v>7.0448032614477407</v>
      </c>
      <c r="BB168" s="3213">
        <f t="shared" ca="1" si="34"/>
        <v>7.4994882153094391</v>
      </c>
      <c r="BC168" s="3213">
        <f t="shared" ca="1" si="34"/>
        <v>7.9986051530805984</v>
      </c>
      <c r="BD168" s="3213">
        <f t="shared" ca="1" si="34"/>
        <v>8.5465850503260477</v>
      </c>
      <c r="BE168" s="3213">
        <f t="shared" ca="1" si="34"/>
        <v>9.1483116677695477</v>
      </c>
      <c r="BF168" s="3213">
        <f t="shared" ca="1" si="34"/>
        <v>9.8091685836935643</v>
      </c>
      <c r="BG168" s="3213">
        <f t="shared" ca="1" si="34"/>
        <v>10.535091168752171</v>
      </c>
      <c r="BH168" s="3209"/>
      <c r="BJ168" s="3201"/>
      <c r="BK168" s="3203"/>
      <c r="BL168" s="3203"/>
      <c r="BM168" s="3203"/>
      <c r="BN168" s="3211"/>
      <c r="BO168" s="3211"/>
      <c r="BP168" s="3212"/>
      <c r="BQ168" s="3212"/>
      <c r="BR168" s="3212"/>
      <c r="BS168" s="3212"/>
      <c r="BT168" s="3212"/>
      <c r="BU168" s="3212"/>
    </row>
    <row r="169" spans="1:73" s="6" customFormat="1">
      <c r="A169" s="850"/>
      <c r="B169" s="3201"/>
      <c r="C169" s="3203" t="s">
        <v>481</v>
      </c>
      <c r="D169" s="3203"/>
      <c r="E169" s="3203"/>
      <c r="F169" s="3211" t="s">
        <v>482</v>
      </c>
      <c r="G169" s="3211"/>
      <c r="H169" s="3212"/>
      <c r="I169" s="3212"/>
      <c r="J169" s="3212"/>
      <c r="K169" s="3212"/>
      <c r="L169" s="3212"/>
      <c r="M169" s="3212"/>
      <c r="N169" s="3212"/>
      <c r="O169" s="3212"/>
      <c r="P169" s="3212"/>
      <c r="Q169" s="3212"/>
      <c r="R169" s="3212"/>
      <c r="S169" s="3212"/>
      <c r="T169" s="3212"/>
      <c r="U169" s="3212"/>
      <c r="V169" s="3212"/>
      <c r="W169" s="3212"/>
      <c r="X169" s="3212"/>
      <c r="Y169" s="3212"/>
      <c r="Z169" s="3212"/>
      <c r="AA169" s="3212"/>
      <c r="AB169" s="3212"/>
      <c r="AC169" s="3212"/>
      <c r="AD169" s="3212"/>
      <c r="AE169" s="3212"/>
      <c r="AF169" s="3212"/>
      <c r="AG169" s="3212"/>
      <c r="AH169" s="3212"/>
      <c r="AI169" s="3212"/>
      <c r="AJ169" s="3212"/>
      <c r="AK169" s="3212"/>
      <c r="AL169" s="3212"/>
      <c r="AM169" s="3212"/>
      <c r="AN169" s="3212"/>
      <c r="AO169" s="3212"/>
      <c r="AP169" s="3212"/>
      <c r="AQ169" s="3212"/>
      <c r="AR169" s="3212"/>
      <c r="AS169" s="3212"/>
      <c r="AT169" s="3212"/>
      <c r="AU169" s="3212"/>
      <c r="AV169" s="3212"/>
      <c r="AW169" s="3212"/>
      <c r="AX169" s="3202"/>
      <c r="AY169" s="3213">
        <f t="shared" ca="1" si="33"/>
        <v>11.137856655879659</v>
      </c>
      <c r="AZ169" s="3213">
        <f t="shared" ca="1" si="34"/>
        <v>11.403445720163411</v>
      </c>
      <c r="BA169" s="3213">
        <f t="shared" ca="1" si="34"/>
        <v>12.119270271965801</v>
      </c>
      <c r="BB169" s="3213">
        <f t="shared" ca="1" si="34"/>
        <v>12.397040876465818</v>
      </c>
      <c r="BC169" s="3213">
        <f t="shared" ca="1" si="34"/>
        <v>12.658622257428792</v>
      </c>
      <c r="BD169" s="3213">
        <f t="shared" ca="1" si="34"/>
        <v>12.954729318476677</v>
      </c>
      <c r="BE169" s="3213">
        <f t="shared" ca="1" si="34"/>
        <v>13.245382050081719</v>
      </c>
      <c r="BF169" s="3213">
        <f t="shared" ca="1" si="34"/>
        <v>13.591172370136055</v>
      </c>
      <c r="BG169" s="3213">
        <f t="shared" ca="1" si="34"/>
        <v>13.80860843066001</v>
      </c>
      <c r="BH169" s="3209"/>
      <c r="BJ169" s="3201"/>
      <c r="BK169" s="3203"/>
      <c r="BL169" s="3203"/>
      <c r="BM169" s="3203"/>
      <c r="BN169" s="3211"/>
      <c r="BO169" s="3211"/>
      <c r="BP169" s="3212"/>
      <c r="BQ169" s="3212"/>
      <c r="BR169" s="3212"/>
      <c r="BS169" s="3212"/>
      <c r="BT169" s="3212"/>
      <c r="BU169" s="3212"/>
    </row>
    <row r="170" spans="1:73" s="6" customFormat="1">
      <c r="A170" s="850"/>
      <c r="B170" s="3201"/>
      <c r="C170" s="3203" t="s">
        <v>484</v>
      </c>
      <c r="D170" s="3203"/>
      <c r="E170" s="3203"/>
      <c r="F170" s="3211" t="s">
        <v>366</v>
      </c>
      <c r="G170" s="3211"/>
      <c r="H170" s="3212"/>
      <c r="I170" s="3212"/>
      <c r="J170" s="3212"/>
      <c r="K170" s="3212"/>
      <c r="L170" s="3212"/>
      <c r="M170" s="3212"/>
      <c r="N170" s="3212"/>
      <c r="O170" s="3212"/>
      <c r="P170" s="3212"/>
      <c r="Q170" s="3212"/>
      <c r="R170" s="3212"/>
      <c r="S170" s="3212"/>
      <c r="T170" s="3212"/>
      <c r="U170" s="3212"/>
      <c r="V170" s="3212"/>
      <c r="W170" s="3212"/>
      <c r="X170" s="3212"/>
      <c r="Y170" s="3212"/>
      <c r="Z170" s="3212"/>
      <c r="AA170" s="3212"/>
      <c r="AB170" s="3212"/>
      <c r="AC170" s="3212"/>
      <c r="AD170" s="3212"/>
      <c r="AE170" s="3212"/>
      <c r="AF170" s="3212"/>
      <c r="AG170" s="3212"/>
      <c r="AH170" s="3212"/>
      <c r="AI170" s="3212"/>
      <c r="AJ170" s="3212"/>
      <c r="AK170" s="3212"/>
      <c r="AL170" s="3212"/>
      <c r="AM170" s="3212"/>
      <c r="AN170" s="3212"/>
      <c r="AO170" s="3212"/>
      <c r="AP170" s="3212"/>
      <c r="AQ170" s="3212"/>
      <c r="AR170" s="3212"/>
      <c r="AS170" s="3212"/>
      <c r="AT170" s="3212"/>
      <c r="AU170" s="3212"/>
      <c r="AV170" s="3212"/>
      <c r="AW170" s="3212"/>
      <c r="AX170" s="3202"/>
      <c r="AY170" s="3213">
        <f t="shared" ca="1" si="33"/>
        <v>0</v>
      </c>
      <c r="AZ170" s="3213">
        <f t="shared" ca="1" si="34"/>
        <v>0</v>
      </c>
      <c r="BA170" s="3213">
        <f t="shared" ca="1" si="34"/>
        <v>0</v>
      </c>
      <c r="BB170" s="3213">
        <f t="shared" ca="1" si="34"/>
        <v>0</v>
      </c>
      <c r="BC170" s="3213">
        <f t="shared" ca="1" si="34"/>
        <v>0</v>
      </c>
      <c r="BD170" s="3213">
        <f t="shared" ca="1" si="34"/>
        <v>0</v>
      </c>
      <c r="BE170" s="3213">
        <f t="shared" ca="1" si="34"/>
        <v>0</v>
      </c>
      <c r="BF170" s="3213">
        <f t="shared" ca="1" si="34"/>
        <v>0</v>
      </c>
      <c r="BG170" s="3213">
        <f t="shared" ca="1" si="34"/>
        <v>0</v>
      </c>
      <c r="BH170" s="3209"/>
      <c r="BJ170" s="3201"/>
      <c r="BK170" s="3203"/>
      <c r="BL170" s="3203"/>
      <c r="BM170" s="3203"/>
      <c r="BN170" s="3211"/>
      <c r="BO170" s="3211"/>
      <c r="BP170" s="3212"/>
      <c r="BQ170" s="3212"/>
      <c r="BR170" s="3212"/>
      <c r="BS170" s="3212"/>
      <c r="BT170" s="3212"/>
      <c r="BU170" s="3212"/>
    </row>
    <row r="171" spans="1:73" s="6" customFormat="1">
      <c r="A171" s="850"/>
      <c r="B171" s="3201"/>
      <c r="C171" s="3203" t="s">
        <v>487</v>
      </c>
      <c r="D171" s="3203"/>
      <c r="E171" s="3203"/>
      <c r="F171" s="3211" t="s">
        <v>486</v>
      </c>
      <c r="G171" s="3211"/>
      <c r="H171" s="3212"/>
      <c r="I171" s="3212"/>
      <c r="J171" s="3212"/>
      <c r="K171" s="3212"/>
      <c r="L171" s="3212"/>
      <c r="M171" s="3212"/>
      <c r="N171" s="3212"/>
      <c r="O171" s="3212"/>
      <c r="P171" s="3212"/>
      <c r="Q171" s="3212"/>
      <c r="R171" s="3212"/>
      <c r="S171" s="3212"/>
      <c r="T171" s="3212"/>
      <c r="U171" s="3212"/>
      <c r="V171" s="3212"/>
      <c r="W171" s="3212"/>
      <c r="X171" s="3212"/>
      <c r="Y171" s="3212"/>
      <c r="Z171" s="3212"/>
      <c r="AA171" s="3212"/>
      <c r="AB171" s="3212"/>
      <c r="AC171" s="3212"/>
      <c r="AD171" s="3212"/>
      <c r="AE171" s="3212"/>
      <c r="AF171" s="3212"/>
      <c r="AG171" s="3212"/>
      <c r="AH171" s="3212"/>
      <c r="AI171" s="3212"/>
      <c r="AJ171" s="3212"/>
      <c r="AK171" s="3212"/>
      <c r="AL171" s="3212"/>
      <c r="AM171" s="3212"/>
      <c r="AN171" s="3212"/>
      <c r="AO171" s="3212"/>
      <c r="AP171" s="3212"/>
      <c r="AQ171" s="3212"/>
      <c r="AR171" s="3212"/>
      <c r="AS171" s="3212"/>
      <c r="AT171" s="3212"/>
      <c r="AU171" s="3212"/>
      <c r="AV171" s="3212"/>
      <c r="AW171" s="3212"/>
      <c r="AX171" s="3202"/>
      <c r="AY171" s="3213">
        <f t="shared" ca="1" si="33"/>
        <v>0</v>
      </c>
      <c r="AZ171" s="3213">
        <f t="shared" ca="1" si="34"/>
        <v>0</v>
      </c>
      <c r="BA171" s="3213">
        <f t="shared" ca="1" si="34"/>
        <v>0</v>
      </c>
      <c r="BB171" s="3213">
        <f t="shared" ca="1" si="34"/>
        <v>0</v>
      </c>
      <c r="BC171" s="3213">
        <f t="shared" ca="1" si="34"/>
        <v>0</v>
      </c>
      <c r="BD171" s="3213">
        <f t="shared" ca="1" si="34"/>
        <v>0</v>
      </c>
      <c r="BE171" s="3213">
        <f t="shared" ca="1" si="34"/>
        <v>0</v>
      </c>
      <c r="BF171" s="3213">
        <f t="shared" ca="1" si="34"/>
        <v>0</v>
      </c>
      <c r="BG171" s="3213">
        <f t="shared" ca="1" si="34"/>
        <v>0</v>
      </c>
      <c r="BH171" s="3209"/>
      <c r="BJ171" s="3201"/>
      <c r="BK171" s="3203"/>
      <c r="BL171" s="3203"/>
      <c r="BM171" s="3203"/>
      <c r="BN171" s="3211"/>
      <c r="BO171" s="3211"/>
      <c r="BP171" s="3212"/>
      <c r="BQ171" s="3212"/>
      <c r="BR171" s="3212"/>
      <c r="BS171" s="3212"/>
      <c r="BT171" s="3212"/>
      <c r="BU171" s="3212"/>
    </row>
    <row r="172" spans="1:73" s="6" customFormat="1">
      <c r="A172" s="850"/>
      <c r="B172" s="3201"/>
      <c r="C172" s="3203" t="s">
        <v>509</v>
      </c>
      <c r="D172" s="3203"/>
      <c r="E172" s="3203"/>
      <c r="F172" s="3211" t="s">
        <v>510</v>
      </c>
      <c r="G172" s="3211"/>
      <c r="H172" s="3212"/>
      <c r="I172" s="3212"/>
      <c r="J172" s="3212"/>
      <c r="K172" s="3212"/>
      <c r="L172" s="3212"/>
      <c r="M172" s="3212"/>
      <c r="N172" s="3212"/>
      <c r="O172" s="3212"/>
      <c r="P172" s="3212"/>
      <c r="Q172" s="3212"/>
      <c r="R172" s="3212"/>
      <c r="S172" s="3212"/>
      <c r="T172" s="3212"/>
      <c r="U172" s="3212"/>
      <c r="V172" s="3212"/>
      <c r="W172" s="3212"/>
      <c r="X172" s="3212"/>
      <c r="Y172" s="3212"/>
      <c r="Z172" s="3212"/>
      <c r="AA172" s="3212"/>
      <c r="AB172" s="3212"/>
      <c r="AC172" s="3212"/>
      <c r="AD172" s="3212"/>
      <c r="AE172" s="3212"/>
      <c r="AF172" s="3212"/>
      <c r="AG172" s="3212"/>
      <c r="AH172" s="3212"/>
      <c r="AI172" s="3212"/>
      <c r="AJ172" s="3212"/>
      <c r="AK172" s="3212"/>
      <c r="AL172" s="3212"/>
      <c r="AM172" s="3212"/>
      <c r="AN172" s="3212"/>
      <c r="AO172" s="3212"/>
      <c r="AP172" s="3212"/>
      <c r="AQ172" s="3212"/>
      <c r="AR172" s="3212"/>
      <c r="AS172" s="3212"/>
      <c r="AT172" s="3212"/>
      <c r="AU172" s="3212"/>
      <c r="AV172" s="3212"/>
      <c r="AW172" s="3212"/>
      <c r="AX172" s="3202"/>
      <c r="AY172" s="3213">
        <f t="shared" ca="1" si="33"/>
        <v>0.50758391151371063</v>
      </c>
      <c r="AZ172" s="3213">
        <f t="shared" ca="1" si="34"/>
        <v>0.53162065253897084</v>
      </c>
      <c r="BA172" s="3213">
        <f t="shared" ca="1" si="34"/>
        <v>0.98680487261585303</v>
      </c>
      <c r="BB172" s="3213">
        <f t="shared" ca="1" si="34"/>
        <v>0.64450418611432281</v>
      </c>
      <c r="BC172" s="3213">
        <f t="shared" ca="1" si="34"/>
        <v>0.50758391151371063</v>
      </c>
      <c r="BD172" s="3213">
        <f t="shared" ca="1" si="34"/>
        <v>0.50758391151371063</v>
      </c>
      <c r="BE172" s="3213">
        <f t="shared" ca="1" si="34"/>
        <v>0.50758391151371063</v>
      </c>
      <c r="BF172" s="3213">
        <f t="shared" ca="1" si="34"/>
        <v>0.50758391151371063</v>
      </c>
      <c r="BG172" s="3213">
        <f t="shared" ca="1" si="34"/>
        <v>0.50758391151371063</v>
      </c>
      <c r="BH172" s="3209"/>
      <c r="BJ172" s="3201"/>
      <c r="BK172" s="3203"/>
      <c r="BL172" s="3203"/>
      <c r="BM172" s="3203"/>
      <c r="BN172" s="3211"/>
      <c r="BO172" s="3211"/>
      <c r="BP172" s="3212"/>
      <c r="BQ172" s="3212"/>
      <c r="BR172" s="3212"/>
      <c r="BS172" s="3212"/>
      <c r="BT172" s="3212"/>
      <c r="BU172" s="3212"/>
    </row>
    <row r="173" spans="1:73" s="6" customFormat="1">
      <c r="A173" s="850"/>
      <c r="B173" s="3201"/>
      <c r="C173" s="3203" t="s">
        <v>579</v>
      </c>
      <c r="D173" s="3203"/>
      <c r="E173" s="3203"/>
      <c r="F173" s="3211" t="s">
        <v>580</v>
      </c>
      <c r="G173" s="3211"/>
      <c r="H173" s="3212"/>
      <c r="I173" s="3212"/>
      <c r="J173" s="3212"/>
      <c r="K173" s="3212"/>
      <c r="L173" s="3212"/>
      <c r="M173" s="3212"/>
      <c r="N173" s="3212"/>
      <c r="O173" s="3212"/>
      <c r="P173" s="3212"/>
      <c r="Q173" s="3212"/>
      <c r="R173" s="3212"/>
      <c r="S173" s="3212"/>
      <c r="T173" s="3212"/>
      <c r="U173" s="3212"/>
      <c r="V173" s="3212"/>
      <c r="W173" s="3212"/>
      <c r="X173" s="3212"/>
      <c r="Y173" s="3212"/>
      <c r="Z173" s="3212"/>
      <c r="AA173" s="3212"/>
      <c r="AB173" s="3212"/>
      <c r="AC173" s="3212"/>
      <c r="AD173" s="3212"/>
      <c r="AE173" s="3212"/>
      <c r="AF173" s="3212"/>
      <c r="AG173" s="3212"/>
      <c r="AH173" s="3212"/>
      <c r="AI173" s="3212"/>
      <c r="AJ173" s="3212"/>
      <c r="AK173" s="3212"/>
      <c r="AL173" s="3212"/>
      <c r="AM173" s="3212"/>
      <c r="AN173" s="3212"/>
      <c r="AO173" s="3212"/>
      <c r="AP173" s="3212"/>
      <c r="AQ173" s="3212"/>
      <c r="AR173" s="3212"/>
      <c r="AS173" s="3212"/>
      <c r="AT173" s="3212"/>
      <c r="AU173" s="3212"/>
      <c r="AV173" s="3212"/>
      <c r="AW173" s="3212"/>
      <c r="AX173" s="3202"/>
      <c r="AY173" s="3213">
        <f t="shared" ca="1" si="33"/>
        <v>0.02</v>
      </c>
      <c r="AZ173" s="3213">
        <f t="shared" ca="1" si="34"/>
        <v>2.0834095506315257E-2</v>
      </c>
      <c r="BA173" s="3213">
        <f t="shared" ca="1" si="34"/>
        <v>2.4325814698518078E-2</v>
      </c>
      <c r="BB173" s="3213">
        <f t="shared" ca="1" si="34"/>
        <v>2.9193324943068855E-2</v>
      </c>
      <c r="BC173" s="3213">
        <f t="shared" ca="1" si="34"/>
        <v>3.6191614904551091E-2</v>
      </c>
      <c r="BD173" s="3213">
        <f t="shared" ca="1" si="34"/>
        <v>4.5042771399935073E-2</v>
      </c>
      <c r="BE173" s="3213">
        <f t="shared" ca="1" si="34"/>
        <v>4.8902284664374789E-2</v>
      </c>
      <c r="BF173" s="3213">
        <f t="shared" ca="1" si="34"/>
        <v>5.2918337260030368E-2</v>
      </c>
      <c r="BG173" s="3213">
        <f t="shared" ca="1" si="34"/>
        <v>5.71861961245669E-2</v>
      </c>
      <c r="BH173" s="3209"/>
      <c r="BJ173" s="3201"/>
      <c r="BK173" s="3203"/>
      <c r="BL173" s="3203"/>
      <c r="BM173" s="3203"/>
      <c r="BN173" s="3211"/>
      <c r="BO173" s="3211"/>
      <c r="BP173" s="3212"/>
      <c r="BQ173" s="3212"/>
      <c r="BR173" s="3212"/>
      <c r="BS173" s="3212"/>
      <c r="BT173" s="3212"/>
      <c r="BU173" s="3212"/>
    </row>
    <row r="174" spans="1:73" s="6" customFormat="1">
      <c r="A174" s="850"/>
      <c r="B174" s="3201"/>
      <c r="C174" s="3203" t="s">
        <v>535</v>
      </c>
      <c r="D174" s="3203"/>
      <c r="E174" s="3203"/>
      <c r="F174" s="3211" t="s">
        <v>536</v>
      </c>
      <c r="G174" s="3211"/>
      <c r="H174" s="3212"/>
      <c r="I174" s="3212"/>
      <c r="J174" s="3212"/>
      <c r="K174" s="3212"/>
      <c r="L174" s="3212"/>
      <c r="M174" s="3212"/>
      <c r="N174" s="3212"/>
      <c r="O174" s="3212"/>
      <c r="P174" s="3212"/>
      <c r="Q174" s="3212"/>
      <c r="R174" s="3212"/>
      <c r="S174" s="3212"/>
      <c r="T174" s="3212"/>
      <c r="U174" s="3212"/>
      <c r="V174" s="3212"/>
      <c r="W174" s="3212"/>
      <c r="X174" s="3212"/>
      <c r="Y174" s="3212"/>
      <c r="Z174" s="3212"/>
      <c r="AA174" s="3212"/>
      <c r="AB174" s="3212"/>
      <c r="AC174" s="3212"/>
      <c r="AD174" s="3212"/>
      <c r="AE174" s="3212"/>
      <c r="AF174" s="3212"/>
      <c r="AG174" s="3212"/>
      <c r="AH174" s="3212"/>
      <c r="AI174" s="3212"/>
      <c r="AJ174" s="3212"/>
      <c r="AK174" s="3212"/>
      <c r="AL174" s="3212"/>
      <c r="AM174" s="3212"/>
      <c r="AN174" s="3212"/>
      <c r="AO174" s="3212"/>
      <c r="AP174" s="3212"/>
      <c r="AQ174" s="3212"/>
      <c r="AR174" s="3212"/>
      <c r="AS174" s="3212"/>
      <c r="AT174" s="3212"/>
      <c r="AU174" s="3212"/>
      <c r="AV174" s="3212"/>
      <c r="AW174" s="3212"/>
      <c r="AX174" s="3202"/>
      <c r="AY174" s="3213">
        <f t="shared" ca="1" si="33"/>
        <v>0</v>
      </c>
      <c r="AZ174" s="3213">
        <f t="shared" ref="AZ174:BG174" ca="1" si="35">SUMIFS(INDIRECT("'"&amp;AZ$157&amp;"'!Year.EmissionsBySector"), INDIRECT("'"&amp;AZ$157&amp;"'!Year.Modules"),$C174)</f>
        <v>0</v>
      </c>
      <c r="BA174" s="3213">
        <f t="shared" ca="1" si="35"/>
        <v>0</v>
      </c>
      <c r="BB174" s="3213">
        <f t="shared" ca="1" si="35"/>
        <v>0</v>
      </c>
      <c r="BC174" s="3213">
        <f t="shared" ca="1" si="35"/>
        <v>0</v>
      </c>
      <c r="BD174" s="3213">
        <f t="shared" ca="1" si="35"/>
        <v>0</v>
      </c>
      <c r="BE174" s="3213">
        <f t="shared" ca="1" si="35"/>
        <v>0</v>
      </c>
      <c r="BF174" s="3213">
        <f t="shared" ca="1" si="35"/>
        <v>0</v>
      </c>
      <c r="BG174" s="3213">
        <f t="shared" ca="1" si="35"/>
        <v>0</v>
      </c>
      <c r="BH174" s="3209"/>
      <c r="BJ174" s="3201"/>
      <c r="BK174" s="3203"/>
      <c r="BL174" s="3203"/>
      <c r="BM174" s="3203"/>
      <c r="BN174" s="3211"/>
      <c r="BO174" s="3211"/>
      <c r="BP174" s="3212"/>
      <c r="BQ174" s="3212"/>
      <c r="BR174" s="3212"/>
      <c r="BS174" s="3212"/>
      <c r="BT174" s="3212"/>
      <c r="BU174" s="3212"/>
    </row>
    <row r="175" spans="1:73" s="6" customFormat="1">
      <c r="A175" s="850"/>
      <c r="B175" s="3201"/>
      <c r="C175" s="3202"/>
      <c r="D175" s="3203"/>
      <c r="E175" s="3203"/>
      <c r="F175" s="3203" t="s">
        <v>58</v>
      </c>
      <c r="G175" s="3203"/>
      <c r="H175" s="3210"/>
      <c r="I175" s="3210"/>
      <c r="J175" s="3210"/>
      <c r="K175" s="3210"/>
      <c r="L175" s="3210"/>
      <c r="M175" s="3210"/>
      <c r="N175" s="3210"/>
      <c r="O175" s="3210"/>
      <c r="P175" s="3210"/>
      <c r="Q175" s="3210"/>
      <c r="R175" s="3210"/>
      <c r="S175" s="3210"/>
      <c r="T175" s="3210"/>
      <c r="U175" s="3210"/>
      <c r="V175" s="3210"/>
      <c r="W175" s="3210"/>
      <c r="X175" s="3210"/>
      <c r="Y175" s="3210"/>
      <c r="Z175" s="3210"/>
      <c r="AA175" s="3210"/>
      <c r="AB175" s="3210"/>
      <c r="AC175" s="3210"/>
      <c r="AD175" s="3210"/>
      <c r="AE175" s="3210"/>
      <c r="AF175" s="3210"/>
      <c r="AG175" s="3210"/>
      <c r="AH175" s="3210"/>
      <c r="AI175" s="3210"/>
      <c r="AJ175" s="3210"/>
      <c r="AK175" s="3210"/>
      <c r="AL175" s="3210"/>
      <c r="AM175" s="3210"/>
      <c r="AN175" s="3210"/>
      <c r="AO175" s="3210"/>
      <c r="AP175" s="3210"/>
      <c r="AQ175" s="3210"/>
      <c r="AR175" s="3210"/>
      <c r="AS175" s="3210"/>
      <c r="AT175" s="3210"/>
      <c r="AU175" s="3210"/>
      <c r="AV175" s="3210"/>
      <c r="AW175" s="3210"/>
      <c r="AX175" s="3202"/>
      <c r="AY175" s="3214">
        <f t="shared" ref="AY175:BG175" ca="1" si="36">SUM(AY158:AY174)</f>
        <v>61.118531358440059</v>
      </c>
      <c r="AZ175" s="3214">
        <f t="shared" ca="1" si="36"/>
        <v>60.292811456657276</v>
      </c>
      <c r="BA175" s="3214">
        <f t="shared" ca="1" si="36"/>
        <v>60.80237794074138</v>
      </c>
      <c r="BB175" s="3214">
        <f t="shared" ca="1" si="36"/>
        <v>62.639416731319045</v>
      </c>
      <c r="BC175" s="3214">
        <f t="shared" ca="1" si="36"/>
        <v>63.695162053158121</v>
      </c>
      <c r="BD175" s="3214">
        <f t="shared" ca="1" si="36"/>
        <v>63.334850664910924</v>
      </c>
      <c r="BE175" s="3214">
        <f t="shared" ca="1" si="36"/>
        <v>65.324084593159455</v>
      </c>
      <c r="BF175" s="3214">
        <f t="shared" ca="1" si="36"/>
        <v>67.44002422455155</v>
      </c>
      <c r="BG175" s="3214">
        <f t="shared" ca="1" si="36"/>
        <v>69.383595883104135</v>
      </c>
      <c r="BH175" s="3209"/>
      <c r="BJ175" s="3201"/>
      <c r="BK175" s="3202"/>
      <c r="BL175" s="3203"/>
      <c r="BM175" s="3203"/>
      <c r="BN175" s="3203"/>
      <c r="BO175" s="3203"/>
      <c r="BP175" s="3210"/>
      <c r="BQ175" s="3210"/>
      <c r="BR175" s="3210"/>
      <c r="BS175" s="3210"/>
      <c r="BT175" s="3210"/>
      <c r="BU175" s="3210"/>
    </row>
    <row r="176" spans="1:73">
      <c r="A176" s="39"/>
      <c r="B176" s="3181"/>
      <c r="C176" s="3176"/>
      <c r="D176" s="3176"/>
      <c r="E176" s="3176"/>
      <c r="F176" s="3197" t="s">
        <v>2487</v>
      </c>
      <c r="G176" s="3197"/>
      <c r="H176" s="3215"/>
      <c r="I176" s="3215"/>
      <c r="J176" s="3215"/>
      <c r="K176" s="3215"/>
      <c r="L176" s="3215"/>
      <c r="M176" s="3215"/>
      <c r="N176" s="3215"/>
      <c r="O176" s="3215"/>
      <c r="P176" s="3215"/>
      <c r="Q176" s="3215"/>
      <c r="R176" s="3215"/>
      <c r="S176" s="3215"/>
      <c r="T176" s="3215"/>
      <c r="U176" s="3215"/>
      <c r="V176" s="3215"/>
      <c r="W176" s="3215"/>
      <c r="X176" s="3215"/>
      <c r="Y176" s="3215"/>
      <c r="Z176" s="3215"/>
      <c r="AA176" s="3215"/>
      <c r="AB176" s="3215"/>
      <c r="AC176" s="3215"/>
      <c r="AD176" s="3215"/>
      <c r="AE176" s="3215"/>
      <c r="AF176" s="3215"/>
      <c r="AG176" s="3215"/>
      <c r="AH176" s="3215"/>
      <c r="AI176" s="3215"/>
      <c r="AJ176" s="3215"/>
      <c r="AK176" s="3215"/>
      <c r="AL176" s="3215"/>
      <c r="AM176" s="3215"/>
      <c r="AN176" s="3215"/>
      <c r="AO176" s="3215"/>
      <c r="AP176" s="3215"/>
      <c r="AQ176" s="3215"/>
      <c r="AR176" s="3215"/>
      <c r="AS176" s="3215"/>
      <c r="AT176" s="3215"/>
      <c r="AU176" s="3215"/>
      <c r="AV176" s="3215"/>
      <c r="AW176" s="3215"/>
      <c r="AX176" s="3176"/>
      <c r="AY176" s="3176"/>
      <c r="AZ176" s="3216">
        <f ca="1">(AY175*(AZ157-AY157))+AZ175+((AZ175-AY175)*6/(AZ157-AY157))</f>
        <v>180.05271446818904</v>
      </c>
      <c r="BA176" s="3216">
        <f t="shared" ref="BA176:BG176" ca="1" si="37">(AZ175*(BA157-AZ157-1))+BA175+((BA175-AZ175)*10/(BA157-AZ157))</f>
        <v>302.99275673553871</v>
      </c>
      <c r="BB176" s="3216">
        <f t="shared" ca="1" si="37"/>
        <v>309.52300607543987</v>
      </c>
      <c r="BC176" s="3216">
        <f t="shared" ca="1" si="37"/>
        <v>316.36431962211248</v>
      </c>
      <c r="BD176" s="3216">
        <f t="shared" ca="1" si="37"/>
        <v>317.39487610104902</v>
      </c>
      <c r="BE176" s="3216">
        <f t="shared" ca="1" si="37"/>
        <v>322.64195510930023</v>
      </c>
      <c r="BF176" s="3216">
        <f t="shared" ca="1" si="37"/>
        <v>332.96824185997355</v>
      </c>
      <c r="BG176" s="3216">
        <f t="shared" ca="1" si="37"/>
        <v>343.03083609841553</v>
      </c>
      <c r="BH176" s="3179"/>
      <c r="BJ176" s="3181"/>
      <c r="BK176" s="3176"/>
      <c r="BL176" s="3176"/>
      <c r="BM176" s="3176"/>
      <c r="BN176" s="3197"/>
      <c r="BO176" s="3197"/>
      <c r="BP176" s="3215"/>
      <c r="BQ176" s="3215"/>
      <c r="BR176" s="3215"/>
      <c r="BS176" s="3215"/>
      <c r="BT176" s="3215"/>
      <c r="BU176" s="3215"/>
    </row>
    <row r="177" spans="1:82" ht="15.5">
      <c r="A177" s="39"/>
      <c r="B177" s="3181"/>
      <c r="C177" s="3180" t="s">
        <v>2488</v>
      </c>
      <c r="D177" s="3176"/>
      <c r="E177" s="3176"/>
      <c r="F177" s="3197" t="s">
        <v>2489</v>
      </c>
      <c r="G177" s="3197"/>
      <c r="H177" s="3215"/>
      <c r="I177" s="3215"/>
      <c r="J177" s="3215"/>
      <c r="K177" s="3215"/>
      <c r="L177" s="3215"/>
      <c r="M177" s="3215"/>
      <c r="N177" s="3215"/>
      <c r="O177" s="3215"/>
      <c r="P177" s="3215"/>
      <c r="Q177" s="3215"/>
      <c r="R177" s="3215"/>
      <c r="S177" s="3215"/>
      <c r="T177" s="3215"/>
      <c r="U177" s="3215"/>
      <c r="V177" s="3215"/>
      <c r="W177" s="3215"/>
      <c r="X177" s="3215"/>
      <c r="Y177" s="3215"/>
      <c r="Z177" s="3215"/>
      <c r="AA177" s="3215"/>
      <c r="AB177" s="3215"/>
      <c r="AC177" s="3215"/>
      <c r="AD177" s="3215"/>
      <c r="AE177" s="3215"/>
      <c r="AF177" s="3215"/>
      <c r="AG177" s="3215"/>
      <c r="AH177" s="3215"/>
      <c r="AI177" s="3215"/>
      <c r="AJ177" s="3215"/>
      <c r="AK177" s="3215"/>
      <c r="AL177" s="3215"/>
      <c r="AM177" s="3215"/>
      <c r="AN177" s="3215"/>
      <c r="AO177" s="3215"/>
      <c r="AP177" s="3215"/>
      <c r="AQ177" s="3215"/>
      <c r="AR177" s="3215"/>
      <c r="AS177" s="3215"/>
      <c r="AT177" s="3215"/>
      <c r="AU177" s="3215"/>
      <c r="AV177" s="3215"/>
      <c r="AW177" s="3215"/>
      <c r="AX177" s="3176"/>
      <c r="AY177" s="3176"/>
      <c r="AZ177" s="3217">
        <f ca="1">AZ176</f>
        <v>180.05271446818904</v>
      </c>
      <c r="BA177" s="3217">
        <f ca="1">BA176+AZ176</f>
        <v>483.04547120372774</v>
      </c>
      <c r="BB177" s="3217">
        <f t="shared" ref="BB177:BG177" ca="1" si="38">BB176+BA177</f>
        <v>792.56847727916761</v>
      </c>
      <c r="BC177" s="3217">
        <f t="shared" ca="1" si="38"/>
        <v>1108.9327969012802</v>
      </c>
      <c r="BD177" s="3217">
        <f t="shared" ca="1" si="38"/>
        <v>1426.3276730023292</v>
      </c>
      <c r="BE177" s="3217">
        <f t="shared" ca="1" si="38"/>
        <v>1748.9696281116294</v>
      </c>
      <c r="BF177" s="3217">
        <f t="shared" ca="1" si="38"/>
        <v>2081.937869971603</v>
      </c>
      <c r="BG177" s="3217">
        <f t="shared" ca="1" si="38"/>
        <v>2424.9687060700185</v>
      </c>
      <c r="BH177" s="3179"/>
      <c r="BJ177" s="3181"/>
      <c r="BK177" s="3180"/>
      <c r="BL177" s="3176"/>
      <c r="BM177" s="3176"/>
      <c r="BN177" s="3197"/>
      <c r="BO177" s="3197"/>
      <c r="BP177" s="3215"/>
      <c r="BQ177" s="3215"/>
      <c r="BR177" s="3215"/>
      <c r="BS177" s="3215"/>
      <c r="BT177" s="3215"/>
      <c r="BU177" s="3215"/>
    </row>
    <row r="178" spans="1:82">
      <c r="A178" s="39"/>
      <c r="B178" s="3181"/>
      <c r="C178" s="3176"/>
      <c r="D178" s="3176"/>
      <c r="E178" s="3176"/>
      <c r="F178" s="3176"/>
      <c r="G178" s="3176"/>
      <c r="H178" s="3177"/>
      <c r="I178" s="3177"/>
      <c r="J178" s="3177"/>
      <c r="K178" s="3177"/>
      <c r="L178" s="3177"/>
      <c r="M178" s="3177"/>
      <c r="N178" s="3177"/>
      <c r="O178" s="3177"/>
      <c r="P178" s="3177"/>
      <c r="Q178" s="3177"/>
      <c r="R178" s="3177"/>
      <c r="S178" s="3177"/>
      <c r="T178" s="3177"/>
      <c r="U178" s="3177"/>
      <c r="V178" s="3177"/>
      <c r="W178" s="3177"/>
      <c r="X178" s="3177"/>
      <c r="Y178" s="3177"/>
      <c r="Z178" s="3177"/>
      <c r="AA178" s="3177"/>
      <c r="AB178" s="3177"/>
      <c r="AC178" s="3177"/>
      <c r="AD178" s="3177"/>
      <c r="AE178" s="3177"/>
      <c r="AF178" s="3177"/>
      <c r="AG178" s="3177"/>
      <c r="AH178" s="3177"/>
      <c r="AI178" s="3177"/>
      <c r="AJ178" s="3177"/>
      <c r="AK178" s="3177"/>
      <c r="AL178" s="3177"/>
      <c r="AM178" s="3177"/>
      <c r="AN178" s="3177"/>
      <c r="AO178" s="3177"/>
      <c r="AP178" s="3177"/>
      <c r="AQ178" s="3177"/>
      <c r="AR178" s="3177"/>
      <c r="AS178" s="3177"/>
      <c r="AT178" s="3177"/>
      <c r="AU178" s="3177"/>
      <c r="AV178" s="3177"/>
      <c r="AW178" s="3177"/>
      <c r="AX178" s="3176"/>
      <c r="AY178" s="3176"/>
      <c r="AZ178" s="3176"/>
      <c r="BA178" s="3176"/>
      <c r="BB178" s="3176"/>
      <c r="BC178" s="3176"/>
      <c r="BD178" s="3176"/>
      <c r="BE178" s="3176"/>
      <c r="BF178" s="3176"/>
      <c r="BG178" s="3176"/>
      <c r="BH178" s="3179"/>
      <c r="BJ178" s="3181"/>
      <c r="BK178" s="3176"/>
      <c r="BL178" s="3176"/>
      <c r="BM178" s="3176"/>
      <c r="BN178" s="3176"/>
      <c r="BO178" s="3176"/>
      <c r="BP178" s="3177"/>
      <c r="BQ178" s="3177"/>
      <c r="BR178" s="3177"/>
      <c r="BS178" s="3177"/>
      <c r="BT178" s="3177"/>
      <c r="BU178" s="3177"/>
    </row>
    <row r="179" spans="1:82">
      <c r="A179" s="39"/>
      <c r="B179" s="3181"/>
      <c r="C179" s="3176"/>
      <c r="D179" s="3182" t="s">
        <v>303</v>
      </c>
      <c r="E179" s="3176"/>
      <c r="F179" s="3176" t="s">
        <v>3781</v>
      </c>
      <c r="G179" s="3176"/>
      <c r="H179" s="3177"/>
      <c r="I179" s="3177"/>
      <c r="J179" s="3177"/>
      <c r="K179" s="3177"/>
      <c r="L179" s="3177"/>
      <c r="M179" s="3177"/>
      <c r="N179" s="3177"/>
      <c r="O179" s="3177"/>
      <c r="P179" s="3177"/>
      <c r="Q179" s="3177"/>
      <c r="R179" s="3177"/>
      <c r="S179" s="3177"/>
      <c r="T179" s="3177"/>
      <c r="U179" s="3177"/>
      <c r="V179" s="3177"/>
      <c r="W179" s="3177"/>
      <c r="X179" s="3177"/>
      <c r="Y179" s="3177"/>
      <c r="Z179" s="3177"/>
      <c r="AA179" s="3177"/>
      <c r="AB179" s="3177"/>
      <c r="AC179" s="3177"/>
      <c r="AD179" s="3177"/>
      <c r="AE179" s="3177"/>
      <c r="AF179" s="3177"/>
      <c r="AG179" s="3177"/>
      <c r="AH179" s="3177"/>
      <c r="AI179" s="3177"/>
      <c r="AJ179" s="3177"/>
      <c r="AK179" s="3177"/>
      <c r="AL179" s="3177"/>
      <c r="AM179" s="3177"/>
      <c r="AN179" s="3177"/>
      <c r="AO179" s="3177"/>
      <c r="AP179" s="3177"/>
      <c r="AQ179" s="3177"/>
      <c r="AR179" s="3177"/>
      <c r="AS179" s="3177"/>
      <c r="AT179" s="3177"/>
      <c r="AU179" s="3177"/>
      <c r="AV179" s="3177"/>
      <c r="AW179" s="3177"/>
      <c r="AX179" s="3176"/>
      <c r="AY179" s="3176"/>
      <c r="AZ179" s="3176"/>
      <c r="BA179" s="3176"/>
      <c r="BB179" s="3176"/>
      <c r="BC179" s="3176"/>
      <c r="BD179" s="3176"/>
      <c r="BE179" s="3176"/>
      <c r="BF179" s="3176"/>
      <c r="BG179" s="3178" t="s">
        <v>251</v>
      </c>
      <c r="BH179" s="3179"/>
      <c r="BJ179" s="3181"/>
      <c r="BK179" s="3176"/>
      <c r="BL179" s="3182"/>
      <c r="BM179" s="3176"/>
      <c r="BN179" s="3176"/>
      <c r="BO179" s="3176"/>
      <c r="BP179" s="3177"/>
      <c r="BQ179" s="3177"/>
      <c r="BR179" s="3177"/>
      <c r="BS179" s="3177"/>
      <c r="BT179" s="3177"/>
      <c r="BU179" s="3177"/>
    </row>
    <row r="180" spans="1:82" s="918" customFormat="1">
      <c r="A180" s="1298"/>
      <c r="B180" s="3183"/>
      <c r="C180" s="3184" t="s">
        <v>304</v>
      </c>
      <c r="D180" s="3185" t="s">
        <v>305</v>
      </c>
      <c r="E180" s="3176"/>
      <c r="F180" s="3736">
        <f>F182-F181</f>
        <v>34.446370000000002</v>
      </c>
      <c r="G180" s="3186"/>
      <c r="H180" s="3187"/>
      <c r="I180" s="3187"/>
      <c r="J180" s="3187"/>
      <c r="K180" s="3187"/>
      <c r="L180" s="3187"/>
      <c r="M180" s="3187"/>
      <c r="N180" s="3187"/>
      <c r="O180" s="3187"/>
      <c r="P180" s="3187"/>
      <c r="Q180" s="3187"/>
      <c r="R180" s="3187"/>
      <c r="S180" s="3187"/>
      <c r="T180" s="3187"/>
      <c r="U180" s="3187"/>
      <c r="V180" s="3187"/>
      <c r="W180" s="3187"/>
      <c r="X180" s="3187"/>
      <c r="Y180" s="3187"/>
      <c r="Z180" s="3187"/>
      <c r="AA180" s="3187"/>
      <c r="AB180" s="3187"/>
      <c r="AC180" s="3187"/>
      <c r="AD180" s="3187"/>
      <c r="AE180" s="3187"/>
      <c r="AF180" s="3187"/>
      <c r="AG180" s="3187"/>
      <c r="AH180" s="3187"/>
      <c r="AI180" s="3187"/>
      <c r="AJ180" s="3187"/>
      <c r="AK180" s="3187"/>
      <c r="AL180" s="3187"/>
      <c r="AM180" s="3187"/>
      <c r="AN180" s="3187"/>
      <c r="AO180" s="3187"/>
      <c r="AP180" s="3187"/>
      <c r="AQ180" s="3187"/>
      <c r="AR180" s="3187"/>
      <c r="AS180" s="3187"/>
      <c r="AT180" s="3187"/>
      <c r="AU180" s="3187"/>
      <c r="AV180" s="3187"/>
      <c r="AW180" s="3218"/>
      <c r="AX180" s="3188"/>
      <c r="AY180" s="3736">
        <f t="shared" ref="AY180:BG181" ca="1" si="39">SUMIFS(INDIRECT("'"&amp;AY$4&amp;"'!Year.Emissions"), INDIRECT("'"&amp;AY$4&amp;"'!Year.IPCC"), $C180)</f>
        <v>35.768059495427799</v>
      </c>
      <c r="AZ180" s="3612">
        <f t="shared" ca="1" si="39"/>
        <v>35.747273380196894</v>
      </c>
      <c r="BA180" s="3612">
        <f t="shared" ca="1" si="39"/>
        <v>36.802890310558283</v>
      </c>
      <c r="BB180" s="3612">
        <f t="shared" ca="1" si="39"/>
        <v>39.030244583674282</v>
      </c>
      <c r="BC180" s="3612">
        <f t="shared" ca="1" si="39"/>
        <v>40.114821741946599</v>
      </c>
      <c r="BD180" s="3612">
        <f t="shared" ca="1" si="39"/>
        <v>39.59902595148526</v>
      </c>
      <c r="BE180" s="3612">
        <f t="shared" ca="1" si="39"/>
        <v>41.249522180640859</v>
      </c>
      <c r="BF180" s="3612">
        <f t="shared" ca="1" si="39"/>
        <v>43.005163781058485</v>
      </c>
      <c r="BG180" s="3612">
        <f t="shared" ca="1" si="39"/>
        <v>44.704706275683677</v>
      </c>
      <c r="BH180" s="3189"/>
      <c r="BI180" s="3820"/>
      <c r="BJ180" s="3183"/>
      <c r="BK180" s="3184"/>
      <c r="BL180" s="3185"/>
      <c r="BM180" s="3176"/>
      <c r="BN180" s="3736"/>
      <c r="BO180" s="3186"/>
      <c r="BP180" s="3187"/>
      <c r="BQ180" s="3187"/>
      <c r="BR180" s="3187"/>
      <c r="BS180" s="3187"/>
      <c r="BT180" s="3187"/>
      <c r="BU180" s="3187"/>
    </row>
    <row r="181" spans="1:82" s="918" customFormat="1">
      <c r="A181" s="1298"/>
      <c r="B181" s="3183"/>
      <c r="C181" s="3184" t="s">
        <v>447</v>
      </c>
      <c r="D181" s="3185" t="s">
        <v>398</v>
      </c>
      <c r="E181" s="3176"/>
      <c r="F181" s="3736">
        <v>0.02</v>
      </c>
      <c r="G181" s="3186"/>
      <c r="H181" s="3187"/>
      <c r="I181" s="3187"/>
      <c r="J181" s="3187"/>
      <c r="K181" s="3187"/>
      <c r="L181" s="3187"/>
      <c r="M181" s="3187"/>
      <c r="N181" s="3187"/>
      <c r="O181" s="3187"/>
      <c r="P181" s="3187"/>
      <c r="Q181" s="3187"/>
      <c r="R181" s="3187"/>
      <c r="S181" s="3187"/>
      <c r="T181" s="3187"/>
      <c r="U181" s="3187"/>
      <c r="V181" s="3187"/>
      <c r="W181" s="3187"/>
      <c r="X181" s="3187"/>
      <c r="Y181" s="3187"/>
      <c r="Z181" s="3187"/>
      <c r="AA181" s="3187"/>
      <c r="AB181" s="3187"/>
      <c r="AC181" s="3187"/>
      <c r="AD181" s="3187"/>
      <c r="AE181" s="3187"/>
      <c r="AF181" s="3187"/>
      <c r="AG181" s="3187"/>
      <c r="AH181" s="3187"/>
      <c r="AI181" s="3187"/>
      <c r="AJ181" s="3187"/>
      <c r="AK181" s="3187"/>
      <c r="AL181" s="3187"/>
      <c r="AM181" s="3187"/>
      <c r="AN181" s="3187"/>
      <c r="AO181" s="3187"/>
      <c r="AP181" s="3187"/>
      <c r="AQ181" s="3187"/>
      <c r="AR181" s="3187"/>
      <c r="AS181" s="3187"/>
      <c r="AT181" s="3187"/>
      <c r="AU181" s="3187"/>
      <c r="AV181" s="3187"/>
      <c r="AW181" s="3218"/>
      <c r="AX181" s="3188"/>
      <c r="AY181" s="3736">
        <f t="shared" ca="1" si="39"/>
        <v>0.02</v>
      </c>
      <c r="AZ181" s="3612">
        <f t="shared" ca="1" si="39"/>
        <v>2.0834095506315257E-2</v>
      </c>
      <c r="BA181" s="3612">
        <f t="shared" ca="1" si="39"/>
        <v>2.4325814698518078E-2</v>
      </c>
      <c r="BB181" s="3612">
        <f t="shared" ca="1" si="39"/>
        <v>2.9193324943068855E-2</v>
      </c>
      <c r="BC181" s="3612">
        <f t="shared" ca="1" si="39"/>
        <v>3.6191614904551091E-2</v>
      </c>
      <c r="BD181" s="3612">
        <f t="shared" ca="1" si="39"/>
        <v>4.5042771399935073E-2</v>
      </c>
      <c r="BE181" s="3612">
        <f t="shared" ca="1" si="39"/>
        <v>4.8902284664374789E-2</v>
      </c>
      <c r="BF181" s="3612">
        <f t="shared" ca="1" si="39"/>
        <v>5.2918337260030368E-2</v>
      </c>
      <c r="BG181" s="3612">
        <f t="shared" ca="1" si="39"/>
        <v>5.71861961245669E-2</v>
      </c>
      <c r="BH181" s="3189"/>
      <c r="BJ181" s="3183"/>
      <c r="BK181" s="3184"/>
      <c r="BL181" s="3185"/>
      <c r="BM181" s="3176"/>
      <c r="BN181" s="3736"/>
      <c r="BO181" s="3186"/>
      <c r="BP181" s="3187"/>
      <c r="BQ181" s="3187"/>
      <c r="BR181" s="3187"/>
      <c r="BS181" s="3187"/>
      <c r="BT181" s="3187"/>
      <c r="BU181" s="3187"/>
    </row>
    <row r="182" spans="1:82">
      <c r="A182" s="39"/>
      <c r="B182" s="3181"/>
      <c r="C182" s="3178">
        <v>1</v>
      </c>
      <c r="D182" s="3176" t="s">
        <v>305</v>
      </c>
      <c r="E182" s="3176"/>
      <c r="F182" s="3734">
        <f>'EPA Emissions 2013'!P5</f>
        <v>34.466370000000005</v>
      </c>
      <c r="G182" s="3219"/>
      <c r="H182" s="3218"/>
      <c r="I182" s="3218"/>
      <c r="J182" s="3218"/>
      <c r="K182" s="3218"/>
      <c r="L182" s="3218"/>
      <c r="M182" s="3218"/>
      <c r="N182" s="3218"/>
      <c r="O182" s="3218"/>
      <c r="P182" s="3218"/>
      <c r="Q182" s="3218"/>
      <c r="R182" s="3218"/>
      <c r="S182" s="3218"/>
      <c r="T182" s="3218"/>
      <c r="U182" s="3218"/>
      <c r="V182" s="3218"/>
      <c r="W182" s="3218"/>
      <c r="X182" s="3218"/>
      <c r="Y182" s="3218"/>
      <c r="Z182" s="3218"/>
      <c r="AA182" s="3218"/>
      <c r="AB182" s="3218"/>
      <c r="AC182" s="3218"/>
      <c r="AD182" s="3218"/>
      <c r="AE182" s="3218"/>
      <c r="AF182" s="3218"/>
      <c r="AG182" s="3218"/>
      <c r="AH182" s="3218"/>
      <c r="AI182" s="3218"/>
      <c r="AJ182" s="3218"/>
      <c r="AK182" s="3218"/>
      <c r="AL182" s="3218"/>
      <c r="AM182" s="3218"/>
      <c r="AN182" s="3218"/>
      <c r="AO182" s="3218"/>
      <c r="AP182" s="3218"/>
      <c r="AQ182" s="3218"/>
      <c r="AR182" s="3218"/>
      <c r="AS182" s="3218"/>
      <c r="AT182" s="3218"/>
      <c r="AU182" s="3218"/>
      <c r="AV182" s="3218"/>
      <c r="AW182" s="3218"/>
      <c r="AX182" s="3188"/>
      <c r="AY182" s="3734">
        <f ca="1">AY180+AY181</f>
        <v>35.788059495427802</v>
      </c>
      <c r="AZ182" s="3219">
        <f ca="1">AZ180+AZ181</f>
        <v>35.768107475703211</v>
      </c>
      <c r="BA182" s="3219">
        <f t="shared" ref="BA182:BG182" ca="1" si="40">BA180+BA181</f>
        <v>36.827216125256804</v>
      </c>
      <c r="BB182" s="3219">
        <f t="shared" ca="1" si="40"/>
        <v>39.059437908617348</v>
      </c>
      <c r="BC182" s="3219">
        <f t="shared" ca="1" si="40"/>
        <v>40.151013356851152</v>
      </c>
      <c r="BD182" s="3219">
        <f t="shared" ca="1" si="40"/>
        <v>39.644068722885194</v>
      </c>
      <c r="BE182" s="3219">
        <f t="shared" ca="1" si="40"/>
        <v>41.298424465305231</v>
      </c>
      <c r="BF182" s="3219">
        <f t="shared" ca="1" si="40"/>
        <v>43.058082118318517</v>
      </c>
      <c r="BG182" s="3219">
        <f t="shared" ca="1" si="40"/>
        <v>44.761892471808245</v>
      </c>
      <c r="BH182" s="3179"/>
      <c r="BJ182" s="3181"/>
      <c r="BK182" s="3178"/>
      <c r="BL182" s="3176"/>
      <c r="BM182" s="3176"/>
      <c r="BN182" s="3735"/>
      <c r="BO182" s="3219"/>
      <c r="BP182" s="3218"/>
      <c r="BQ182" s="3218"/>
      <c r="BR182" s="3218"/>
      <c r="BS182" s="3218"/>
      <c r="BT182" s="3218"/>
      <c r="BU182" s="3218"/>
    </row>
    <row r="183" spans="1:82">
      <c r="A183" s="39"/>
      <c r="B183" s="3181"/>
      <c r="C183" s="3178">
        <v>2</v>
      </c>
      <c r="D183" s="3176" t="s">
        <v>399</v>
      </c>
      <c r="E183" s="3176"/>
      <c r="F183" s="3735">
        <f>'EPA Emissions 2013'!P6</f>
        <v>2.2359100000000001</v>
      </c>
      <c r="G183" s="3219"/>
      <c r="H183" s="3218"/>
      <c r="I183" s="3218"/>
      <c r="J183" s="3218"/>
      <c r="K183" s="3218"/>
      <c r="L183" s="3218"/>
      <c r="M183" s="3218"/>
      <c r="N183" s="3218"/>
      <c r="O183" s="3218"/>
      <c r="P183" s="3218"/>
      <c r="Q183" s="3218"/>
      <c r="R183" s="3218"/>
      <c r="S183" s="3218"/>
      <c r="T183" s="3218"/>
      <c r="U183" s="3218"/>
      <c r="V183" s="3218"/>
      <c r="W183" s="3218"/>
      <c r="X183" s="3218"/>
      <c r="Y183" s="3218"/>
      <c r="Z183" s="3218"/>
      <c r="AA183" s="3218"/>
      <c r="AB183" s="3218"/>
      <c r="AC183" s="3218"/>
      <c r="AD183" s="3218"/>
      <c r="AE183" s="3218"/>
      <c r="AF183" s="3218"/>
      <c r="AG183" s="3218"/>
      <c r="AH183" s="3218"/>
      <c r="AI183" s="3218"/>
      <c r="AJ183" s="3218"/>
      <c r="AK183" s="3218"/>
      <c r="AL183" s="3218"/>
      <c r="AM183" s="3218"/>
      <c r="AN183" s="3218"/>
      <c r="AO183" s="3218"/>
      <c r="AP183" s="3218"/>
      <c r="AQ183" s="3218"/>
      <c r="AR183" s="3218"/>
      <c r="AS183" s="3218"/>
      <c r="AT183" s="3218"/>
      <c r="AU183" s="3218"/>
      <c r="AV183" s="3218"/>
      <c r="AW183" s="3218"/>
      <c r="AX183" s="3188"/>
      <c r="AY183" s="3734">
        <f t="shared" ref="AY183:BG191" ca="1" si="41">SUMIFS(INDIRECT("'"&amp;AY$4&amp;"'!Year.Emissions"), INDIRECT("'"&amp;AY$4&amp;"'!Year.IPCC"), $C183)</f>
        <v>2.2359100000000001</v>
      </c>
      <c r="AZ183" s="4267">
        <f t="shared" ca="1" si="41"/>
        <v>2.2672054173720992</v>
      </c>
      <c r="BA183" s="3611">
        <f t="shared" ca="1" si="41"/>
        <v>2.3499754855073904</v>
      </c>
      <c r="BB183" s="3611">
        <f t="shared" ca="1" si="41"/>
        <v>2.4396159800605437</v>
      </c>
      <c r="BC183" s="3611">
        <f t="shared" ca="1" si="41"/>
        <v>2.5366554486670707</v>
      </c>
      <c r="BD183" s="3611">
        <f t="shared" ca="1" si="41"/>
        <v>2.6416632996708347</v>
      </c>
      <c r="BE183" s="3611">
        <f t="shared" ca="1" si="41"/>
        <v>2.7552529599395106</v>
      </c>
      <c r="BF183" s="3611">
        <f t="shared" ca="1" si="41"/>
        <v>2.8780852767289957</v>
      </c>
      <c r="BG183" s="3611">
        <f t="shared" ca="1" si="41"/>
        <v>3.0108721824578417</v>
      </c>
      <c r="BH183" s="3179"/>
      <c r="BJ183" s="3181"/>
      <c r="BK183" s="3178"/>
      <c r="BL183" s="3176"/>
      <c r="BM183" s="3176"/>
      <c r="BN183" s="3735"/>
      <c r="BO183" s="3219"/>
      <c r="BP183" s="3218"/>
      <c r="BQ183" s="3218"/>
      <c r="BR183" s="3218"/>
      <c r="BS183" s="3218"/>
      <c r="BT183" s="3218"/>
      <c r="BU183" s="3218"/>
    </row>
    <row r="184" spans="1:82">
      <c r="A184" s="39"/>
      <c r="B184" s="3181"/>
      <c r="C184" s="3178">
        <v>3</v>
      </c>
      <c r="D184" s="3176" t="s">
        <v>400</v>
      </c>
      <c r="E184" s="3176"/>
      <c r="F184" s="3735">
        <f>'EPA Emissions 2013'!P7</f>
        <v>0.51569000000000009</v>
      </c>
      <c r="G184" s="3219"/>
      <c r="H184" s="3218"/>
      <c r="I184" s="3218"/>
      <c r="J184" s="3218"/>
      <c r="K184" s="3218"/>
      <c r="L184" s="3218"/>
      <c r="M184" s="3218"/>
      <c r="N184" s="3218"/>
      <c r="O184" s="3218"/>
      <c r="P184" s="3218"/>
      <c r="Q184" s="3218"/>
      <c r="R184" s="3218"/>
      <c r="S184" s="3218"/>
      <c r="T184" s="3218"/>
      <c r="U184" s="3218"/>
      <c r="V184" s="3218"/>
      <c r="W184" s="3218"/>
      <c r="X184" s="3218"/>
      <c r="Y184" s="3218"/>
      <c r="Z184" s="3218"/>
      <c r="AA184" s="3218"/>
      <c r="AB184" s="3218"/>
      <c r="AC184" s="3218"/>
      <c r="AD184" s="3218"/>
      <c r="AE184" s="3218"/>
      <c r="AF184" s="3218"/>
      <c r="AG184" s="3218"/>
      <c r="AH184" s="3218"/>
      <c r="AI184" s="3218"/>
      <c r="AJ184" s="3218"/>
      <c r="AK184" s="3218"/>
      <c r="AL184" s="3218"/>
      <c r="AM184" s="3218"/>
      <c r="AN184" s="3218"/>
      <c r="AO184" s="3218"/>
      <c r="AP184" s="3218"/>
      <c r="AQ184" s="3218"/>
      <c r="AR184" s="3218"/>
      <c r="AS184" s="3218"/>
      <c r="AT184" s="3218"/>
      <c r="AU184" s="3218"/>
      <c r="AV184" s="3218"/>
      <c r="AW184" s="3218"/>
      <c r="AX184" s="3188"/>
      <c r="AY184" s="3734">
        <f t="shared" ca="1" si="41"/>
        <v>0</v>
      </c>
      <c r="AZ184" s="3611">
        <f t="shared" ca="1" si="41"/>
        <v>0</v>
      </c>
      <c r="BA184" s="3611">
        <f t="shared" ca="1" si="41"/>
        <v>0</v>
      </c>
      <c r="BB184" s="3611">
        <f t="shared" ca="1" si="41"/>
        <v>0</v>
      </c>
      <c r="BC184" s="3611">
        <f t="shared" ca="1" si="41"/>
        <v>0</v>
      </c>
      <c r="BD184" s="3611">
        <f t="shared" ca="1" si="41"/>
        <v>0</v>
      </c>
      <c r="BE184" s="3611">
        <f t="shared" ca="1" si="41"/>
        <v>0</v>
      </c>
      <c r="BF184" s="3611">
        <f t="shared" ca="1" si="41"/>
        <v>0</v>
      </c>
      <c r="BG184" s="3611">
        <f t="shared" ca="1" si="41"/>
        <v>0</v>
      </c>
      <c r="BH184" s="3179"/>
      <c r="BJ184" s="3181"/>
      <c r="BK184" s="3178"/>
      <c r="BL184" s="3176"/>
      <c r="BM184" s="3176"/>
      <c r="BN184" s="3735"/>
      <c r="BO184" s="3219"/>
      <c r="BP184" s="3218"/>
      <c r="BQ184" s="3218"/>
      <c r="BR184" s="3218"/>
      <c r="BS184" s="3218"/>
      <c r="BT184" s="3218"/>
      <c r="BU184" s="3218"/>
    </row>
    <row r="185" spans="1:82">
      <c r="A185" s="39"/>
      <c r="B185" s="3181"/>
      <c r="C185" s="3178">
        <v>4</v>
      </c>
      <c r="D185" s="3176" t="s">
        <v>392</v>
      </c>
      <c r="E185" s="3176"/>
      <c r="F185" s="3735">
        <f>'EPA Emissions 2013'!P8</f>
        <v>17.928919999999994</v>
      </c>
      <c r="G185" s="3219"/>
      <c r="H185" s="3218"/>
      <c r="I185" s="3218"/>
      <c r="J185" s="3218"/>
      <c r="K185" s="3218"/>
      <c r="L185" s="3218"/>
      <c r="M185" s="3218"/>
      <c r="N185" s="3218"/>
      <c r="O185" s="3218"/>
      <c r="P185" s="3218"/>
      <c r="Q185" s="3218"/>
      <c r="R185" s="3218"/>
      <c r="S185" s="3218"/>
      <c r="T185" s="3218"/>
      <c r="U185" s="3218"/>
      <c r="V185" s="3218"/>
      <c r="W185" s="3218"/>
      <c r="X185" s="3218"/>
      <c r="Y185" s="3218"/>
      <c r="Z185" s="3218"/>
      <c r="AA185" s="3218"/>
      <c r="AB185" s="3218"/>
      <c r="AC185" s="3218"/>
      <c r="AD185" s="3218"/>
      <c r="AE185" s="3218"/>
      <c r="AF185" s="3218"/>
      <c r="AG185" s="3218"/>
      <c r="AH185" s="3218"/>
      <c r="AI185" s="3218"/>
      <c r="AJ185" s="3218"/>
      <c r="AK185" s="3218"/>
      <c r="AL185" s="3218"/>
      <c r="AM185" s="3218"/>
      <c r="AN185" s="3218"/>
      <c r="AO185" s="3218"/>
      <c r="AP185" s="3218"/>
      <c r="AQ185" s="3218"/>
      <c r="AR185" s="3218"/>
      <c r="AS185" s="3218"/>
      <c r="AT185" s="3218"/>
      <c r="AU185" s="3218"/>
      <c r="AV185" s="3218"/>
      <c r="AW185" s="3218"/>
      <c r="AX185" s="3188"/>
      <c r="AY185" s="3734">
        <f t="shared" ca="1" si="41"/>
        <v>17.018677357203991</v>
      </c>
      <c r="AZ185" s="3611">
        <f t="shared" ca="1" si="41"/>
        <v>16.696505720845657</v>
      </c>
      <c r="BA185" s="3611">
        <f t="shared" ca="1" si="41"/>
        <v>16.446598748983337</v>
      </c>
      <c r="BB185" s="3611">
        <f t="shared" ca="1" si="41"/>
        <v>16.200377209999687</v>
      </c>
      <c r="BC185" s="3611">
        <f t="shared" ca="1" si="41"/>
        <v>16.245430448515698</v>
      </c>
      <c r="BD185" s="3611">
        <f t="shared" ca="1" si="41"/>
        <v>16.294779929168037</v>
      </c>
      <c r="BE185" s="3611">
        <f t="shared" ca="1" si="41"/>
        <v>16.348656667243954</v>
      </c>
      <c r="BF185" s="3611">
        <f t="shared" ca="1" si="41"/>
        <v>16.407305153092555</v>
      </c>
      <c r="BG185" s="3611">
        <f t="shared" ca="1" si="41"/>
        <v>16.470984175766258</v>
      </c>
      <c r="BH185" s="3179"/>
      <c r="BI185" s="377"/>
      <c r="BJ185" s="3181"/>
      <c r="BK185" s="3178"/>
      <c r="BL185" s="3176"/>
      <c r="BM185" s="3176"/>
      <c r="BN185" s="3735"/>
      <c r="BO185" s="3219"/>
      <c r="BP185" s="3218"/>
      <c r="BQ185" s="3218"/>
      <c r="BR185" s="3218"/>
      <c r="BS185" s="3218"/>
      <c r="BT185" s="3218"/>
      <c r="BU185" s="3218"/>
      <c r="CD185" s="4082" t="s">
        <v>3361</v>
      </c>
    </row>
    <row r="186" spans="1:82">
      <c r="A186" s="39"/>
      <c r="B186" s="3181"/>
      <c r="C186" s="3178">
        <v>5</v>
      </c>
      <c r="D186" s="3176" t="s">
        <v>401</v>
      </c>
      <c r="E186" s="3176"/>
      <c r="F186" s="3735">
        <f>'EPA Emissions 2013'!P9</f>
        <v>3.7112299999999996</v>
      </c>
      <c r="G186" s="3219"/>
      <c r="H186" s="3218"/>
      <c r="I186" s="3218"/>
      <c r="J186" s="3218"/>
      <c r="K186" s="3218"/>
      <c r="L186" s="3218"/>
      <c r="M186" s="3218"/>
      <c r="N186" s="3218"/>
      <c r="O186" s="3218"/>
      <c r="P186" s="3218"/>
      <c r="Q186" s="3218"/>
      <c r="R186" s="3218"/>
      <c r="S186" s="3218"/>
      <c r="T186" s="3218"/>
      <c r="U186" s="3218"/>
      <c r="V186" s="3218"/>
      <c r="W186" s="3218"/>
      <c r="X186" s="3218"/>
      <c r="Y186" s="3218"/>
      <c r="Z186" s="3218"/>
      <c r="AA186" s="3218"/>
      <c r="AB186" s="3218"/>
      <c r="AC186" s="3218"/>
      <c r="AD186" s="3218"/>
      <c r="AE186" s="3218"/>
      <c r="AF186" s="3218"/>
      <c r="AG186" s="3218"/>
      <c r="AH186" s="3218"/>
      <c r="AI186" s="3218"/>
      <c r="AJ186" s="3218"/>
      <c r="AK186" s="3218"/>
      <c r="AL186" s="3218"/>
      <c r="AM186" s="3218"/>
      <c r="AN186" s="3218"/>
      <c r="AO186" s="3218"/>
      <c r="AP186" s="3218"/>
      <c r="AQ186" s="3218"/>
      <c r="AR186" s="3218"/>
      <c r="AS186" s="3218"/>
      <c r="AT186" s="3218"/>
      <c r="AU186" s="3218"/>
      <c r="AV186" s="3218"/>
      <c r="AW186" s="3218"/>
      <c r="AX186" s="3188"/>
      <c r="AY186" s="3734">
        <f t="shared" ca="1" si="41"/>
        <v>3.7122100000000002</v>
      </c>
      <c r="AZ186" s="3611">
        <f t="shared" ca="1" si="41"/>
        <v>3.6481720684198971</v>
      </c>
      <c r="BA186" s="3611">
        <f t="shared" ca="1" si="41"/>
        <v>3.4880772394696558</v>
      </c>
      <c r="BB186" s="3611">
        <f t="shared" ca="1" si="41"/>
        <v>3.3279824105194078</v>
      </c>
      <c r="BC186" s="3611">
        <f t="shared" ca="1" si="41"/>
        <v>3.1678875815691661</v>
      </c>
      <c r="BD186" s="3611">
        <f t="shared" ca="1" si="41"/>
        <v>3.007792752618919</v>
      </c>
      <c r="BE186" s="3611">
        <f t="shared" ca="1" si="41"/>
        <v>2.8476979236686719</v>
      </c>
      <c r="BF186" s="3611">
        <f t="shared" ca="1" si="41"/>
        <v>2.6876030947184297</v>
      </c>
      <c r="BG186" s="3611">
        <f t="shared" ca="1" si="41"/>
        <v>2.527508265768164</v>
      </c>
      <c r="BH186" s="3179"/>
      <c r="BJ186" s="3181"/>
      <c r="BK186" s="3178"/>
      <c r="BL186" s="3176"/>
      <c r="BM186" s="3176"/>
      <c r="BN186" s="3735"/>
      <c r="BO186" s="3219"/>
      <c r="BP186" s="3218"/>
      <c r="BQ186" s="3218"/>
      <c r="BR186" s="3218"/>
      <c r="BS186" s="3218"/>
      <c r="BT186" s="3218"/>
      <c r="BU186" s="3218"/>
      <c r="CD186" s="4082" t="s">
        <v>3360</v>
      </c>
    </row>
    <row r="187" spans="1:82">
      <c r="A187" s="39"/>
      <c r="B187" s="3181"/>
      <c r="C187" s="3178">
        <v>6</v>
      </c>
      <c r="D187" s="3176" t="s">
        <v>393</v>
      </c>
      <c r="E187" s="3176"/>
      <c r="F187" s="3735">
        <f>'EPA Emissions 2013'!P10</f>
        <v>1.1060300000000001</v>
      </c>
      <c r="G187" s="3219"/>
      <c r="H187" s="3218"/>
      <c r="I187" s="3218"/>
      <c r="J187" s="3218"/>
      <c r="K187" s="3218"/>
      <c r="L187" s="3218"/>
      <c r="M187" s="3218"/>
      <c r="N187" s="3218"/>
      <c r="O187" s="3218"/>
      <c r="P187" s="3218"/>
      <c r="Q187" s="3218"/>
      <c r="R187" s="3218"/>
      <c r="S187" s="3218"/>
      <c r="T187" s="3218"/>
      <c r="U187" s="3218"/>
      <c r="V187" s="3218"/>
      <c r="W187" s="3218"/>
      <c r="X187" s="3218"/>
      <c r="Y187" s="3218"/>
      <c r="Z187" s="3218"/>
      <c r="AA187" s="3218"/>
      <c r="AB187" s="3218"/>
      <c r="AC187" s="3218"/>
      <c r="AD187" s="3218"/>
      <c r="AE187" s="3218"/>
      <c r="AF187" s="3218"/>
      <c r="AG187" s="3218"/>
      <c r="AH187" s="3218"/>
      <c r="AI187" s="3218"/>
      <c r="AJ187" s="3218"/>
      <c r="AK187" s="3218"/>
      <c r="AL187" s="3218"/>
      <c r="AM187" s="3218"/>
      <c r="AN187" s="3218"/>
      <c r="AO187" s="3218"/>
      <c r="AP187" s="3218"/>
      <c r="AQ187" s="3218"/>
      <c r="AR187" s="3218"/>
      <c r="AS187" s="3218"/>
      <c r="AT187" s="3218"/>
      <c r="AU187" s="3218"/>
      <c r="AV187" s="3218"/>
      <c r="AW187" s="3218"/>
      <c r="AX187" s="3188"/>
      <c r="AY187" s="3735">
        <f t="shared" ca="1" si="41"/>
        <v>1.2062990035714285</v>
      </c>
      <c r="AZ187" s="3611">
        <f t="shared" ca="1" si="41"/>
        <v>1.0022900829989212</v>
      </c>
      <c r="BA187" s="3611">
        <f t="shared" ca="1" si="41"/>
        <v>0.7790264394424834</v>
      </c>
      <c r="BB187" s="3611">
        <f t="shared" ca="1" si="41"/>
        <v>0.72131943607726112</v>
      </c>
      <c r="BC187" s="3611">
        <f t="shared" ca="1" si="41"/>
        <v>0.70240852992795211</v>
      </c>
      <c r="BD187" s="3611">
        <f t="shared" ca="1" si="41"/>
        <v>0.67787209861968312</v>
      </c>
      <c r="BE187" s="3611">
        <f t="shared" ca="1" si="41"/>
        <v>0.64771014215245426</v>
      </c>
      <c r="BF187" s="3611">
        <f t="shared" ca="1" si="41"/>
        <v>0.61192266052626565</v>
      </c>
      <c r="BG187" s="3611">
        <f t="shared" ca="1" si="41"/>
        <v>0.57050965374111751</v>
      </c>
      <c r="BH187" s="3179"/>
      <c r="BJ187" s="3181"/>
      <c r="BK187" s="3178"/>
      <c r="BL187" s="3176"/>
      <c r="BM187" s="3176"/>
      <c r="BN187" s="3735"/>
      <c r="BO187" s="3219"/>
      <c r="BP187" s="3218"/>
      <c r="BQ187" s="3218"/>
      <c r="BR187" s="3218"/>
      <c r="BS187" s="3218"/>
      <c r="BT187" s="3218"/>
      <c r="BU187" s="3218"/>
    </row>
    <row r="188" spans="1:82">
      <c r="A188" s="39"/>
      <c r="B188" s="3181"/>
      <c r="C188" s="3178">
        <v>7</v>
      </c>
      <c r="D188" s="3176" t="s">
        <v>402</v>
      </c>
      <c r="E188" s="3176"/>
      <c r="F188" s="3735"/>
      <c r="G188" s="3188"/>
      <c r="H188" s="3220"/>
      <c r="I188" s="3220"/>
      <c r="J188" s="3220"/>
      <c r="K188" s="3220"/>
      <c r="L188" s="3220"/>
      <c r="M188" s="3220"/>
      <c r="N188" s="3220"/>
      <c r="O188" s="3220"/>
      <c r="P188" s="3220"/>
      <c r="Q188" s="3220"/>
      <c r="R188" s="3220"/>
      <c r="S188" s="3220"/>
      <c r="T188" s="3220"/>
      <c r="U188" s="3220"/>
      <c r="V188" s="3220"/>
      <c r="W188" s="3220"/>
      <c r="X188" s="3220"/>
      <c r="Y188" s="3220"/>
      <c r="Z188" s="3220"/>
      <c r="AA188" s="3220"/>
      <c r="AB188" s="3220"/>
      <c r="AC188" s="3220"/>
      <c r="AD188" s="3220"/>
      <c r="AE188" s="3220"/>
      <c r="AF188" s="3220"/>
      <c r="AG188" s="3220"/>
      <c r="AH188" s="3220"/>
      <c r="AI188" s="3220"/>
      <c r="AJ188" s="3220"/>
      <c r="AK188" s="3220"/>
      <c r="AL188" s="3220"/>
      <c r="AM188" s="3220"/>
      <c r="AN188" s="3220"/>
      <c r="AO188" s="3220"/>
      <c r="AP188" s="3220"/>
      <c r="AQ188" s="3220"/>
      <c r="AR188" s="3220"/>
      <c r="AS188" s="3220"/>
      <c r="AT188" s="3220"/>
      <c r="AU188" s="3220"/>
      <c r="AV188" s="3220"/>
      <c r="AW188" s="3220"/>
      <c r="AX188" s="3188"/>
      <c r="AY188" s="3734">
        <f t="shared" ca="1" si="41"/>
        <v>0</v>
      </c>
      <c r="AZ188" s="3611">
        <f t="shared" ca="1" si="41"/>
        <v>0</v>
      </c>
      <c r="BA188" s="3611">
        <f t="shared" ca="1" si="41"/>
        <v>0</v>
      </c>
      <c r="BB188" s="3611">
        <f t="shared" ca="1" si="41"/>
        <v>0</v>
      </c>
      <c r="BC188" s="3611">
        <f t="shared" ca="1" si="41"/>
        <v>0</v>
      </c>
      <c r="BD188" s="3611">
        <f t="shared" ca="1" si="41"/>
        <v>0</v>
      </c>
      <c r="BE188" s="3611">
        <f t="shared" ca="1" si="41"/>
        <v>0</v>
      </c>
      <c r="BF188" s="3611">
        <f t="shared" ca="1" si="41"/>
        <v>0</v>
      </c>
      <c r="BG188" s="3611">
        <f t="shared" ca="1" si="41"/>
        <v>0</v>
      </c>
      <c r="BH188" s="3179"/>
      <c r="BJ188" s="3181"/>
      <c r="BK188" s="3178"/>
      <c r="BL188" s="3176"/>
      <c r="BM188" s="3176"/>
      <c r="BN188" s="3735"/>
      <c r="BO188" s="3188"/>
      <c r="BP188" s="3220"/>
      <c r="BQ188" s="3220"/>
      <c r="BR188" s="3220"/>
      <c r="BS188" s="3220"/>
      <c r="BT188" s="3220"/>
      <c r="BU188" s="3220"/>
    </row>
    <row r="189" spans="1:82">
      <c r="A189" s="39"/>
      <c r="B189" s="3181"/>
      <c r="C189" s="3178" t="s">
        <v>448</v>
      </c>
      <c r="D189" s="3176" t="s">
        <v>2780</v>
      </c>
      <c r="E189" s="3176"/>
      <c r="F189" s="3735">
        <v>1.86</v>
      </c>
      <c r="G189" s="3219"/>
      <c r="H189" s="3218"/>
      <c r="I189" s="3218"/>
      <c r="J189" s="3218"/>
      <c r="K189" s="3218"/>
      <c r="L189" s="3218"/>
      <c r="M189" s="3218"/>
      <c r="N189" s="3218"/>
      <c r="O189" s="3218"/>
      <c r="P189" s="3218"/>
      <c r="Q189" s="3218"/>
      <c r="R189" s="3218"/>
      <c r="S189" s="3218"/>
      <c r="T189" s="3218"/>
      <c r="U189" s="3218"/>
      <c r="V189" s="3218"/>
      <c r="W189" s="3218"/>
      <c r="X189" s="3218"/>
      <c r="Y189" s="3218"/>
      <c r="Z189" s="3218"/>
      <c r="AA189" s="3218"/>
      <c r="AB189" s="3218"/>
      <c r="AC189" s="3218"/>
      <c r="AD189" s="3218"/>
      <c r="AE189" s="3218"/>
      <c r="AF189" s="3218"/>
      <c r="AG189" s="3218"/>
      <c r="AH189" s="3218"/>
      <c r="AI189" s="3218"/>
      <c r="AJ189" s="3218"/>
      <c r="AK189" s="3218"/>
      <c r="AL189" s="3218"/>
      <c r="AM189" s="3218"/>
      <c r="AN189" s="3218"/>
      <c r="AO189" s="3218"/>
      <c r="AP189" s="3218"/>
      <c r="AQ189" s="3218"/>
      <c r="AR189" s="3218"/>
      <c r="AS189" s="3218"/>
      <c r="AT189" s="3218"/>
      <c r="AU189" s="3218"/>
      <c r="AV189" s="3218"/>
      <c r="AW189" s="3218"/>
      <c r="AX189" s="3188"/>
      <c r="AY189" s="3734">
        <f t="shared" ca="1" si="41"/>
        <v>1.8587303279999996</v>
      </c>
      <c r="AZ189" s="3611">
        <f t="shared" ca="1" si="41"/>
        <v>1.8254237392525674</v>
      </c>
      <c r="BA189" s="3611">
        <f t="shared" ca="1" si="41"/>
        <v>1.9740188412391277</v>
      </c>
      <c r="BB189" s="3611">
        <f t="shared" ca="1" si="41"/>
        <v>2.1347100411670006</v>
      </c>
      <c r="BC189" s="3611">
        <f t="shared" ca="1" si="41"/>
        <v>2.3084819985804761</v>
      </c>
      <c r="BD189" s="3611">
        <f t="shared" ca="1" si="41"/>
        <v>2.4963995273366537</v>
      </c>
      <c r="BE189" s="3611">
        <f t="shared" ca="1" si="41"/>
        <v>2.6996141204128228</v>
      </c>
      <c r="BF189" s="3611">
        <f t="shared" ca="1" si="41"/>
        <v>2.9193710058532174</v>
      </c>
      <c r="BG189" s="3611">
        <f t="shared" ca="1" si="41"/>
        <v>3.1570167770915103</v>
      </c>
      <c r="BH189" s="3179"/>
      <c r="BJ189" s="3181"/>
      <c r="BK189" s="3178"/>
      <c r="BL189" s="3176"/>
      <c r="BM189" s="3176"/>
      <c r="BN189" s="3735"/>
      <c r="BO189" s="3219"/>
      <c r="BP189" s="3218"/>
      <c r="BQ189" s="3218"/>
      <c r="BR189" s="3218"/>
      <c r="BS189" s="3218"/>
      <c r="BT189" s="3218"/>
      <c r="BU189" s="3218"/>
    </row>
    <row r="190" spans="1:82" s="918" customFormat="1">
      <c r="A190" s="1298"/>
      <c r="B190" s="3183"/>
      <c r="C190" s="3178" t="s">
        <v>449</v>
      </c>
      <c r="D190" s="3176" t="s">
        <v>404</v>
      </c>
      <c r="E190" s="3176"/>
      <c r="F190" s="3735">
        <f>'EPA Emissions 2013'!G27</f>
        <v>-0.69195000000000007</v>
      </c>
      <c r="G190" s="3219"/>
      <c r="H190" s="3218"/>
      <c r="I190" s="3218"/>
      <c r="J190" s="3218"/>
      <c r="K190" s="3218"/>
      <c r="L190" s="3218"/>
      <c r="M190" s="3218"/>
      <c r="N190" s="3218"/>
      <c r="O190" s="3218"/>
      <c r="P190" s="3218"/>
      <c r="Q190" s="3218"/>
      <c r="R190" s="3218"/>
      <c r="S190" s="3218"/>
      <c r="T190" s="3218"/>
      <c r="U190" s="3218"/>
      <c r="V190" s="3218"/>
      <c r="W190" s="3218"/>
      <c r="X190" s="3218"/>
      <c r="Y190" s="3218"/>
      <c r="Z190" s="3218"/>
      <c r="AA190" s="3218"/>
      <c r="AB190" s="3218"/>
      <c r="AC190" s="3218"/>
      <c r="AD190" s="3218"/>
      <c r="AE190" s="3218"/>
      <c r="AF190" s="3218"/>
      <c r="AG190" s="3218"/>
      <c r="AH190" s="3218"/>
      <c r="AI190" s="3218"/>
      <c r="AJ190" s="3218"/>
      <c r="AK190" s="3218"/>
      <c r="AL190" s="3218"/>
      <c r="AM190" s="3218"/>
      <c r="AN190" s="3218"/>
      <c r="AO190" s="3218"/>
      <c r="AP190" s="3218"/>
      <c r="AQ190" s="3218"/>
      <c r="AR190" s="3218"/>
      <c r="AS190" s="3218"/>
      <c r="AT190" s="3218"/>
      <c r="AU190" s="3218"/>
      <c r="AV190" s="3218"/>
      <c r="AW190" s="3218"/>
      <c r="AX190" s="3188"/>
      <c r="AY190" s="3734">
        <f t="shared" ca="1" si="41"/>
        <v>-0.70135482576316632</v>
      </c>
      <c r="AZ190" s="3611">
        <f t="shared" ca="1" si="41"/>
        <v>-0.91489304793507442</v>
      </c>
      <c r="BA190" s="3611">
        <f t="shared" ca="1" si="41"/>
        <v>-1.0625349391574228</v>
      </c>
      <c r="BB190" s="3611">
        <f t="shared" ca="1" si="41"/>
        <v>-1.2440262551222085</v>
      </c>
      <c r="BC190" s="3611">
        <f t="shared" ca="1" si="41"/>
        <v>-1.4167153109533932</v>
      </c>
      <c r="BD190" s="3611">
        <f t="shared" ca="1" si="41"/>
        <v>-1.4277256653884112</v>
      </c>
      <c r="BE190" s="3611">
        <f t="shared" ca="1" si="41"/>
        <v>-1.2732716855631914</v>
      </c>
      <c r="BF190" s="3611">
        <f t="shared" ca="1" si="41"/>
        <v>-1.122345084686408</v>
      </c>
      <c r="BG190" s="3611">
        <f t="shared" ca="1" si="41"/>
        <v>-1.1151876435289807</v>
      </c>
      <c r="BH190" s="3189"/>
      <c r="BJ190" s="3183"/>
      <c r="BK190" s="3178"/>
      <c r="BL190" s="3176"/>
      <c r="BM190" s="3176"/>
      <c r="BN190" s="3735"/>
      <c r="BO190" s="3219"/>
      <c r="BP190" s="3218"/>
      <c r="BQ190" s="3218"/>
      <c r="BR190" s="3218"/>
      <c r="BS190" s="3218"/>
      <c r="BT190" s="3218"/>
      <c r="BU190" s="3218"/>
    </row>
    <row r="191" spans="1:82">
      <c r="A191" s="39"/>
      <c r="B191" s="3181"/>
      <c r="C191" s="3178" t="s">
        <v>450</v>
      </c>
      <c r="D191" s="3176" t="s">
        <v>405</v>
      </c>
      <c r="E191" s="3176"/>
      <c r="F191" s="3735">
        <v>0</v>
      </c>
      <c r="G191" s="3219"/>
      <c r="H191" s="3218"/>
      <c r="I191" s="3218"/>
      <c r="J191" s="3218"/>
      <c r="K191" s="3218"/>
      <c r="L191" s="3218"/>
      <c r="M191" s="3218"/>
      <c r="N191" s="3218"/>
      <c r="O191" s="3218"/>
      <c r="P191" s="3218"/>
      <c r="Q191" s="3218"/>
      <c r="R191" s="3218"/>
      <c r="S191" s="3218"/>
      <c r="T191" s="3218"/>
      <c r="U191" s="3218"/>
      <c r="V191" s="3218"/>
      <c r="W191" s="3218"/>
      <c r="X191" s="3218"/>
      <c r="Y191" s="3218"/>
      <c r="Z191" s="3218"/>
      <c r="AA191" s="3218"/>
      <c r="AB191" s="3218"/>
      <c r="AC191" s="3218"/>
      <c r="AD191" s="3218"/>
      <c r="AE191" s="3218"/>
      <c r="AF191" s="3218"/>
      <c r="AG191" s="3218"/>
      <c r="AH191" s="3218"/>
      <c r="AI191" s="3218"/>
      <c r="AJ191" s="3218"/>
      <c r="AK191" s="3218"/>
      <c r="AL191" s="3218"/>
      <c r="AM191" s="3218"/>
      <c r="AN191" s="3218"/>
      <c r="AO191" s="3218"/>
      <c r="AP191" s="3218"/>
      <c r="AQ191" s="3218"/>
      <c r="AR191" s="3218"/>
      <c r="AS191" s="3218"/>
      <c r="AT191" s="3218"/>
      <c r="AU191" s="3218"/>
      <c r="AV191" s="3218"/>
      <c r="AW191" s="3218"/>
      <c r="AX191" s="3188"/>
      <c r="AY191" s="3734">
        <f t="shared" ca="1" si="41"/>
        <v>0</v>
      </c>
      <c r="AZ191" s="3611">
        <f t="shared" ca="1" si="41"/>
        <v>0</v>
      </c>
      <c r="BA191" s="3611">
        <f t="shared" ca="1" si="41"/>
        <v>0</v>
      </c>
      <c r="BB191" s="3611">
        <f t="shared" ca="1" si="41"/>
        <v>0</v>
      </c>
      <c r="BC191" s="3611">
        <f t="shared" ca="1" si="41"/>
        <v>0</v>
      </c>
      <c r="BD191" s="3611">
        <f t="shared" ca="1" si="41"/>
        <v>0</v>
      </c>
      <c r="BE191" s="3611">
        <f t="shared" ca="1" si="41"/>
        <v>0</v>
      </c>
      <c r="BF191" s="3611">
        <f t="shared" ca="1" si="41"/>
        <v>0</v>
      </c>
      <c r="BG191" s="3611">
        <f t="shared" ca="1" si="41"/>
        <v>0</v>
      </c>
      <c r="BH191" s="3179"/>
      <c r="BJ191" s="3181"/>
      <c r="BK191" s="3178"/>
      <c r="BL191" s="3176"/>
      <c r="BM191" s="3176"/>
      <c r="BN191" s="3735"/>
      <c r="BO191" s="3219"/>
      <c r="BP191" s="3218"/>
      <c r="BQ191" s="3218"/>
      <c r="BR191" s="3218"/>
      <c r="BS191" s="3218"/>
      <c r="BT191" s="3218"/>
      <c r="BU191" s="3218"/>
    </row>
    <row r="192" spans="1:82">
      <c r="A192" s="39"/>
      <c r="B192" s="3181"/>
      <c r="C192" s="3176"/>
      <c r="D192" s="3176" t="s">
        <v>58</v>
      </c>
      <c r="E192" s="3176"/>
      <c r="F192" s="3735">
        <f>SUM(F182:F190)</f>
        <v>61.132199999999997</v>
      </c>
      <c r="G192" s="3221"/>
      <c r="H192" s="3222"/>
      <c r="I192" s="3222"/>
      <c r="J192" s="3222"/>
      <c r="K192" s="3222"/>
      <c r="L192" s="3222"/>
      <c r="M192" s="3222"/>
      <c r="N192" s="3222"/>
      <c r="O192" s="3222"/>
      <c r="P192" s="3222"/>
      <c r="Q192" s="3222"/>
      <c r="R192" s="3222"/>
      <c r="S192" s="3222"/>
      <c r="T192" s="3222"/>
      <c r="U192" s="3222"/>
      <c r="V192" s="3222"/>
      <c r="W192" s="3222"/>
      <c r="X192" s="3222"/>
      <c r="Y192" s="3222"/>
      <c r="Z192" s="3222"/>
      <c r="AA192" s="3222"/>
      <c r="AB192" s="3222"/>
      <c r="AC192" s="3222"/>
      <c r="AD192" s="3222"/>
      <c r="AE192" s="3222"/>
      <c r="AF192" s="3222"/>
      <c r="AG192" s="3222"/>
      <c r="AH192" s="3222"/>
      <c r="AI192" s="3222"/>
      <c r="AJ192" s="3222"/>
      <c r="AK192" s="3222"/>
      <c r="AL192" s="3222"/>
      <c r="AM192" s="3222"/>
      <c r="AN192" s="3222"/>
      <c r="AO192" s="3222"/>
      <c r="AP192" s="3222"/>
      <c r="AQ192" s="3222"/>
      <c r="AR192" s="3222"/>
      <c r="AS192" s="3222"/>
      <c r="AT192" s="3222"/>
      <c r="AU192" s="3222"/>
      <c r="AV192" s="3222"/>
      <c r="AW192" s="3222"/>
      <c r="AX192" s="3188"/>
      <c r="AY192" s="3735">
        <f ca="1">SUM(AY182:AY191)</f>
        <v>61.118531358440052</v>
      </c>
      <c r="AZ192" s="3221">
        <f ca="1">SUM(AZ182:AZ191)</f>
        <v>60.292811456657269</v>
      </c>
      <c r="BA192" s="3221">
        <f t="shared" ref="BA192:BG192" ca="1" si="42">SUM(BA182:BA191)</f>
        <v>60.802377940741373</v>
      </c>
      <c r="BB192" s="3221">
        <f t="shared" ca="1" si="42"/>
        <v>62.639416731319045</v>
      </c>
      <c r="BC192" s="3221">
        <f t="shared" ca="1" si="42"/>
        <v>63.695162053158128</v>
      </c>
      <c r="BD192" s="3221">
        <f t="shared" ca="1" si="42"/>
        <v>63.334850664910903</v>
      </c>
      <c r="BE192" s="3221">
        <f t="shared" ca="1" si="42"/>
        <v>65.324084593159455</v>
      </c>
      <c r="BF192" s="3221">
        <f t="shared" ca="1" si="42"/>
        <v>67.440024224551578</v>
      </c>
      <c r="BG192" s="3221">
        <f t="shared" ca="1" si="42"/>
        <v>69.383595883104149</v>
      </c>
      <c r="BH192" s="3179"/>
      <c r="BJ192" s="3181"/>
      <c r="BK192" s="3176"/>
      <c r="BL192" s="3176"/>
      <c r="BM192" s="3176"/>
      <c r="BN192" s="3735"/>
      <c r="BO192" s="3221"/>
      <c r="BP192" s="3222"/>
      <c r="BQ192" s="3222"/>
      <c r="BR192" s="3222"/>
      <c r="BS192" s="3222"/>
      <c r="BT192" s="3222"/>
      <c r="BU192" s="3222"/>
    </row>
    <row r="193" spans="1:73">
      <c r="A193" s="39"/>
      <c r="B193" s="3181"/>
      <c r="C193" s="3176"/>
      <c r="D193" s="3176"/>
      <c r="E193" s="3176"/>
      <c r="F193" s="3188"/>
      <c r="G193" s="3188"/>
      <c r="H193" s="3220"/>
      <c r="I193" s="3220"/>
      <c r="J193" s="3220"/>
      <c r="K193" s="3220"/>
      <c r="L193" s="3220"/>
      <c r="M193" s="3220"/>
      <c r="N193" s="3220"/>
      <c r="O193" s="3220"/>
      <c r="P193" s="3220"/>
      <c r="Q193" s="3220"/>
      <c r="R193" s="3220"/>
      <c r="S193" s="3220"/>
      <c r="T193" s="3220"/>
      <c r="U193" s="3220"/>
      <c r="V193" s="3220"/>
      <c r="W193" s="3220"/>
      <c r="X193" s="3220"/>
      <c r="Y193" s="3220"/>
      <c r="Z193" s="3220"/>
      <c r="AA193" s="3220"/>
      <c r="AB193" s="3220"/>
      <c r="AC193" s="3220"/>
      <c r="AD193" s="3220"/>
      <c r="AE193" s="3220"/>
      <c r="AF193" s="3220"/>
      <c r="AG193" s="3220"/>
      <c r="AH193" s="3220"/>
      <c r="AI193" s="3220"/>
      <c r="AJ193" s="3220"/>
      <c r="AK193" s="3220"/>
      <c r="AL193" s="3220"/>
      <c r="AM193" s="3220"/>
      <c r="AN193" s="3220"/>
      <c r="AO193" s="3220"/>
      <c r="AP193" s="3220"/>
      <c r="AQ193" s="3220"/>
      <c r="AR193" s="3220"/>
      <c r="AS193" s="3220"/>
      <c r="AT193" s="3220"/>
      <c r="AU193" s="3220"/>
      <c r="AV193" s="3220"/>
      <c r="AW193" s="3220"/>
      <c r="AX193" s="3188"/>
      <c r="AY193" s="3188"/>
      <c r="AZ193" s="3188"/>
      <c r="BA193" s="3188"/>
      <c r="BB193" s="3188"/>
      <c r="BC193" s="3188"/>
      <c r="BD193" s="3188"/>
      <c r="BE193" s="3188"/>
      <c r="BF193" s="3188"/>
      <c r="BG193" s="3188"/>
      <c r="BH193" s="3179"/>
      <c r="BJ193" s="3181"/>
      <c r="BK193" s="3176"/>
      <c r="BL193" s="3176"/>
      <c r="BM193" s="3176"/>
      <c r="BN193" s="3188"/>
      <c r="BO193" s="3188"/>
      <c r="BP193" s="3220"/>
      <c r="BQ193" s="3220"/>
      <c r="BR193" s="3220"/>
      <c r="BS193" s="3220"/>
      <c r="BT193" s="3220"/>
      <c r="BU193" s="3220"/>
    </row>
    <row r="194" spans="1:73" s="405" customFormat="1">
      <c r="A194" s="3530"/>
      <c r="B194" s="3196"/>
      <c r="C194" s="3197" t="s">
        <v>2779</v>
      </c>
      <c r="D194" s="3197"/>
      <c r="E194" s="3197"/>
      <c r="F194" s="3885">
        <f>F192-F189</f>
        <v>59.272199999999998</v>
      </c>
      <c r="G194" s="3885"/>
      <c r="H194" s="3886"/>
      <c r="I194" s="3886"/>
      <c r="J194" s="3886"/>
      <c r="K194" s="3886"/>
      <c r="L194" s="3886"/>
      <c r="M194" s="3886"/>
      <c r="N194" s="3886"/>
      <c r="O194" s="3886"/>
      <c r="P194" s="3886"/>
      <c r="Q194" s="3886"/>
      <c r="R194" s="3886"/>
      <c r="S194" s="3886"/>
      <c r="T194" s="3886"/>
      <c r="U194" s="3886"/>
      <c r="V194" s="3886"/>
      <c r="W194" s="3886"/>
      <c r="X194" s="3886"/>
      <c r="Y194" s="3886"/>
      <c r="Z194" s="3886"/>
      <c r="AA194" s="3886"/>
      <c r="AB194" s="3886"/>
      <c r="AC194" s="3886"/>
      <c r="AD194" s="3886"/>
      <c r="AE194" s="3886"/>
      <c r="AF194" s="3886"/>
      <c r="AG194" s="3886"/>
      <c r="AH194" s="3886"/>
      <c r="AI194" s="3886"/>
      <c r="AJ194" s="3886"/>
      <c r="AK194" s="3886"/>
      <c r="AL194" s="3886"/>
      <c r="AM194" s="3886"/>
      <c r="AN194" s="3886"/>
      <c r="AO194" s="3886"/>
      <c r="AP194" s="3886"/>
      <c r="AQ194" s="3886"/>
      <c r="AR194" s="3886"/>
      <c r="AS194" s="3886"/>
      <c r="AT194" s="3886"/>
      <c r="AU194" s="3886"/>
      <c r="AV194" s="3886"/>
      <c r="AW194" s="3886"/>
      <c r="AX194" s="3887"/>
      <c r="AY194" s="3885">
        <f t="shared" ref="AY194:BG194" ca="1" si="43">AY192-AY189</f>
        <v>59.259801030440052</v>
      </c>
      <c r="AZ194" s="3223">
        <f t="shared" ca="1" si="43"/>
        <v>58.467387717404705</v>
      </c>
      <c r="BA194" s="3223">
        <f t="shared" ca="1" si="43"/>
        <v>58.828359099502244</v>
      </c>
      <c r="BB194" s="3223">
        <f t="shared" ca="1" si="43"/>
        <v>60.504706690152048</v>
      </c>
      <c r="BC194" s="3223">
        <f t="shared" ca="1" si="43"/>
        <v>61.386680054577653</v>
      </c>
      <c r="BD194" s="3223">
        <f t="shared" ca="1" si="43"/>
        <v>60.838451137574246</v>
      </c>
      <c r="BE194" s="3223">
        <f t="shared" ca="1" si="43"/>
        <v>62.62447047274663</v>
      </c>
      <c r="BF194" s="3223">
        <f t="shared" ca="1" si="43"/>
        <v>64.520653218698357</v>
      </c>
      <c r="BG194" s="3223">
        <f t="shared" ca="1" si="43"/>
        <v>66.226579106012636</v>
      </c>
      <c r="BH194" s="3179"/>
      <c r="BJ194" s="3196"/>
      <c r="BK194" s="3197"/>
      <c r="BL194" s="3197"/>
      <c r="BM194" s="3197"/>
      <c r="BN194" s="3885"/>
      <c r="BO194" s="3885"/>
      <c r="BP194" s="3886"/>
      <c r="BQ194" s="3886"/>
      <c r="BR194" s="3886"/>
      <c r="BS194" s="3886"/>
      <c r="BT194" s="3886"/>
      <c r="BU194" s="3886"/>
    </row>
    <row r="195" spans="1:73" s="405" customFormat="1" ht="13">
      <c r="A195" s="3530"/>
      <c r="B195" s="3196"/>
      <c r="C195" s="3197"/>
      <c r="D195" s="3197"/>
      <c r="E195" s="3197"/>
      <c r="F195" s="3223"/>
      <c r="G195" s="3223"/>
      <c r="H195" s="3224"/>
      <c r="I195" s="3224"/>
      <c r="J195" s="3224"/>
      <c r="K195" s="3224"/>
      <c r="L195" s="3224"/>
      <c r="M195" s="3224"/>
      <c r="N195" s="3224"/>
      <c r="O195" s="3224"/>
      <c r="P195" s="3224"/>
      <c r="Q195" s="3224"/>
      <c r="R195" s="3224"/>
      <c r="S195" s="3224"/>
      <c r="T195" s="3224"/>
      <c r="U195" s="3224"/>
      <c r="V195" s="3224"/>
      <c r="W195" s="3224"/>
      <c r="X195" s="3224"/>
      <c r="Y195" s="3224"/>
      <c r="Z195" s="3224"/>
      <c r="AA195" s="3224"/>
      <c r="AB195" s="3224"/>
      <c r="AC195" s="3224"/>
      <c r="AD195" s="3224"/>
      <c r="AE195" s="3224"/>
      <c r="AF195" s="3224"/>
      <c r="AG195" s="3224"/>
      <c r="AH195" s="3224"/>
      <c r="AI195" s="3224"/>
      <c r="AJ195" s="3224"/>
      <c r="AK195" s="3224"/>
      <c r="AL195" s="3224"/>
      <c r="AM195" s="3224"/>
      <c r="AN195" s="3224"/>
      <c r="AO195" s="3224"/>
      <c r="AP195" s="3224"/>
      <c r="AQ195" s="3224"/>
      <c r="AR195" s="3224"/>
      <c r="AS195" s="3224"/>
      <c r="AT195" s="3224"/>
      <c r="AU195" s="3224"/>
      <c r="AV195" s="3224"/>
      <c r="AW195" s="3224"/>
      <c r="AX195" s="3225"/>
      <c r="AY195" s="3223"/>
      <c r="AZ195" s="3223"/>
      <c r="BA195" s="3223"/>
      <c r="BB195" s="3223"/>
      <c r="BC195" s="3223"/>
      <c r="BD195" s="3223"/>
      <c r="BE195" s="3223"/>
      <c r="BF195" s="3223"/>
      <c r="BG195" s="3223"/>
      <c r="BH195" s="3200"/>
      <c r="BJ195" s="3196"/>
      <c r="BK195" s="3197"/>
      <c r="BL195" s="3197"/>
      <c r="BM195" s="3197"/>
      <c r="BN195" s="3223"/>
      <c r="BO195" s="3223"/>
      <c r="BP195" s="3224"/>
      <c r="BQ195" s="3224"/>
      <c r="BR195" s="3224"/>
      <c r="BS195" s="3224"/>
      <c r="BT195" s="3224"/>
      <c r="BU195" s="3224"/>
    </row>
    <row r="196" spans="1:73" s="405" customFormat="1" ht="13">
      <c r="A196" s="3530"/>
      <c r="B196" s="3196"/>
      <c r="C196" s="3226"/>
      <c r="D196" s="3197"/>
      <c r="E196" s="3197"/>
      <c r="F196" s="3223"/>
      <c r="G196" s="3223"/>
      <c r="H196" s="3224"/>
      <c r="I196" s="3224"/>
      <c r="J196" s="3224"/>
      <c r="K196" s="3224"/>
      <c r="L196" s="3224"/>
      <c r="M196" s="3224"/>
      <c r="N196" s="3224"/>
      <c r="O196" s="3224"/>
      <c r="P196" s="3224"/>
      <c r="Q196" s="3224"/>
      <c r="R196" s="3224"/>
      <c r="S196" s="3224"/>
      <c r="T196" s="3224"/>
      <c r="U196" s="3224"/>
      <c r="V196" s="3224"/>
      <c r="W196" s="3224"/>
      <c r="X196" s="3224"/>
      <c r="Y196" s="3224"/>
      <c r="Z196" s="3224"/>
      <c r="AA196" s="3224"/>
      <c r="AB196" s="3224"/>
      <c r="AC196" s="3224"/>
      <c r="AD196" s="3224"/>
      <c r="AE196" s="3224"/>
      <c r="AF196" s="3224"/>
      <c r="AG196" s="3224"/>
      <c r="AH196" s="3224"/>
      <c r="AI196" s="3224"/>
      <c r="AJ196" s="3224"/>
      <c r="AK196" s="3224"/>
      <c r="AL196" s="3224"/>
      <c r="AM196" s="3224"/>
      <c r="AN196" s="3224"/>
      <c r="AO196" s="3224"/>
      <c r="AP196" s="3224"/>
      <c r="AQ196" s="3224"/>
      <c r="AR196" s="3224"/>
      <c r="AS196" s="3224"/>
      <c r="AT196" s="3224"/>
      <c r="AU196" s="3224"/>
      <c r="AV196" s="3224"/>
      <c r="AW196" s="3224"/>
      <c r="AX196" s="3225"/>
      <c r="AY196" s="3223"/>
      <c r="AZ196" s="3223"/>
      <c r="BA196" s="3223"/>
      <c r="BB196" s="3223"/>
      <c r="BC196" s="3223"/>
      <c r="BD196" s="3223"/>
      <c r="BE196" s="3223"/>
      <c r="BF196" s="3223"/>
      <c r="BG196" s="3223"/>
      <c r="BH196" s="3200"/>
      <c r="BJ196" s="3196"/>
      <c r="BK196" s="3226"/>
      <c r="BL196" s="3197"/>
      <c r="BM196" s="3197"/>
      <c r="BN196" s="3223"/>
      <c r="BO196" s="3223"/>
      <c r="BP196" s="3224"/>
      <c r="BQ196" s="3224"/>
      <c r="BR196" s="3224"/>
      <c r="BS196" s="3224"/>
      <c r="BT196" s="3224"/>
      <c r="BU196" s="3224"/>
    </row>
    <row r="197" spans="1:73">
      <c r="A197" s="39"/>
      <c r="B197" s="3181"/>
      <c r="C197" s="3176" t="s">
        <v>2490</v>
      </c>
      <c r="D197" s="3176"/>
      <c r="E197" s="3176"/>
      <c r="F197" s="3176"/>
      <c r="G197" s="3176"/>
      <c r="H197" s="3177"/>
      <c r="I197" s="3177"/>
      <c r="J197" s="3177"/>
      <c r="K197" s="3177"/>
      <c r="L197" s="3177"/>
      <c r="M197" s="3177"/>
      <c r="N197" s="3177"/>
      <c r="O197" s="3177"/>
      <c r="P197" s="3177"/>
      <c r="Q197" s="3177"/>
      <c r="R197" s="3177"/>
      <c r="S197" s="3177"/>
      <c r="T197" s="3177"/>
      <c r="U197" s="3177"/>
      <c r="V197" s="3177"/>
      <c r="W197" s="3177"/>
      <c r="X197" s="3177"/>
      <c r="Y197" s="3177"/>
      <c r="Z197" s="3177"/>
      <c r="AA197" s="3177"/>
      <c r="AB197" s="3177"/>
      <c r="AC197" s="3177"/>
      <c r="AD197" s="3177"/>
      <c r="AE197" s="3177"/>
      <c r="AF197" s="3177"/>
      <c r="AG197" s="3177"/>
      <c r="AH197" s="3177"/>
      <c r="AI197" s="3177"/>
      <c r="AJ197" s="3177"/>
      <c r="AK197" s="3177"/>
      <c r="AL197" s="3177"/>
      <c r="AM197" s="3177"/>
      <c r="AN197" s="3177"/>
      <c r="AO197" s="3177"/>
      <c r="AP197" s="3177"/>
      <c r="AQ197" s="3177"/>
      <c r="AR197" s="3177"/>
      <c r="AS197" s="3177"/>
      <c r="AT197" s="3177"/>
      <c r="AU197" s="3177"/>
      <c r="AV197" s="3177"/>
      <c r="AW197" s="3177"/>
      <c r="AX197" s="3176"/>
      <c r="AY197" s="3176"/>
      <c r="AZ197" s="3176"/>
      <c r="BA197" s="3176"/>
      <c r="BB197" s="3176"/>
      <c r="BC197" s="3176"/>
      <c r="BD197" s="3176"/>
      <c r="BE197" s="3176"/>
      <c r="BF197" s="3176"/>
      <c r="BG197" s="3176"/>
      <c r="BH197" s="3176"/>
      <c r="BJ197" s="3181"/>
      <c r="BK197" s="3176"/>
      <c r="BL197" s="3176"/>
      <c r="BM197" s="3176"/>
      <c r="BN197" s="3176"/>
      <c r="BO197" s="3176"/>
      <c r="BP197" s="3177"/>
      <c r="BQ197" s="3177"/>
      <c r="BR197" s="3177"/>
      <c r="BS197" s="3177"/>
      <c r="BT197" s="3177"/>
      <c r="BU197" s="3177"/>
    </row>
    <row r="198" spans="1:73">
      <c r="A198" s="39"/>
      <c r="B198" s="3181"/>
      <c r="C198" s="3176" t="s">
        <v>2491</v>
      </c>
      <c r="D198" s="3176"/>
      <c r="E198" s="3176"/>
      <c r="F198" s="3176"/>
      <c r="G198" s="3176"/>
      <c r="H198" s="3177"/>
      <c r="I198" s="3177"/>
      <c r="J198" s="3177"/>
      <c r="K198" s="3177"/>
      <c r="L198" s="3177"/>
      <c r="M198" s="3177"/>
      <c r="N198" s="3177"/>
      <c r="O198" s="3177"/>
      <c r="P198" s="3177"/>
      <c r="Q198" s="3177"/>
      <c r="R198" s="3177"/>
      <c r="S198" s="3177"/>
      <c r="T198" s="3177"/>
      <c r="U198" s="3177"/>
      <c r="V198" s="3177"/>
      <c r="W198" s="3177"/>
      <c r="X198" s="3177"/>
      <c r="Y198" s="3177"/>
      <c r="Z198" s="3177"/>
      <c r="AA198" s="3177"/>
      <c r="AB198" s="3177"/>
      <c r="AC198" s="3177"/>
      <c r="AD198" s="3177"/>
      <c r="AE198" s="3177"/>
      <c r="AF198" s="3177"/>
      <c r="AG198" s="3177"/>
      <c r="AH198" s="3177"/>
      <c r="AI198" s="3177"/>
      <c r="AJ198" s="3177"/>
      <c r="AK198" s="3177"/>
      <c r="AL198" s="3177"/>
      <c r="AM198" s="3177"/>
      <c r="AN198" s="3177"/>
      <c r="AO198" s="3177"/>
      <c r="AP198" s="3177"/>
      <c r="AQ198" s="3177"/>
      <c r="AR198" s="3177"/>
      <c r="AS198" s="3177"/>
      <c r="AT198" s="3177"/>
      <c r="AU198" s="3177"/>
      <c r="AV198" s="3177"/>
      <c r="AW198" s="3177"/>
      <c r="AX198" s="3176"/>
      <c r="AY198" s="3188"/>
      <c r="AZ198" s="3176"/>
      <c r="BA198" s="3176"/>
      <c r="BB198" s="3176"/>
      <c r="BC198" s="3188" t="s">
        <v>5</v>
      </c>
      <c r="BD198" s="3176"/>
      <c r="BE198" s="3176"/>
      <c r="BF198" s="3176"/>
      <c r="BG198" s="3176"/>
      <c r="BH198" s="3227"/>
      <c r="BJ198" s="3181"/>
      <c r="BK198" s="3176"/>
      <c r="BL198" s="3176"/>
      <c r="BM198" s="3176"/>
      <c r="BN198" s="3176"/>
      <c r="BO198" s="3176"/>
      <c r="BP198" s="3177"/>
      <c r="BQ198" s="3177"/>
      <c r="BR198" s="3177"/>
      <c r="BS198" s="3177"/>
      <c r="BT198" s="3177"/>
      <c r="BU198" s="3177"/>
    </row>
    <row r="199" spans="1:73">
      <c r="A199" s="39"/>
      <c r="B199" s="3181"/>
      <c r="C199" s="3176"/>
      <c r="D199" s="3176"/>
      <c r="E199" s="3176"/>
      <c r="F199" s="3176"/>
      <c r="G199" s="3176"/>
      <c r="H199" s="3177"/>
      <c r="I199" s="3177"/>
      <c r="J199" s="3177"/>
      <c r="K199" s="3177"/>
      <c r="L199" s="3177"/>
      <c r="M199" s="3177"/>
      <c r="N199" s="3177"/>
      <c r="O199" s="3177"/>
      <c r="P199" s="3177"/>
      <c r="Q199" s="3177"/>
      <c r="R199" s="3177"/>
      <c r="S199" s="3177"/>
      <c r="T199" s="3177"/>
      <c r="U199" s="3177"/>
      <c r="V199" s="3177"/>
      <c r="W199" s="3177"/>
      <c r="X199" s="3177"/>
      <c r="Y199" s="3177"/>
      <c r="Z199" s="3177"/>
      <c r="AA199" s="3177"/>
      <c r="AB199" s="3177"/>
      <c r="AC199" s="3177"/>
      <c r="AD199" s="3177"/>
      <c r="AE199" s="3177"/>
      <c r="AF199" s="3177"/>
      <c r="AG199" s="3177"/>
      <c r="AH199" s="3177"/>
      <c r="AI199" s="3177"/>
      <c r="AJ199" s="3177"/>
      <c r="AK199" s="3177"/>
      <c r="AL199" s="3177"/>
      <c r="AM199" s="3177"/>
      <c r="AN199" s="3177"/>
      <c r="AO199" s="3177"/>
      <c r="AP199" s="3177"/>
      <c r="AQ199" s="3177"/>
      <c r="AR199" s="3177"/>
      <c r="AS199" s="3177"/>
      <c r="AT199" s="3177"/>
      <c r="AU199" s="3177"/>
      <c r="AV199" s="3177"/>
      <c r="AW199" s="3177"/>
      <c r="AX199" s="3176"/>
      <c r="AY199" s="3176"/>
      <c r="AZ199" s="3176"/>
      <c r="BA199" s="3176"/>
      <c r="BB199" s="3176"/>
      <c r="BC199" s="3176"/>
      <c r="BD199" s="3176"/>
      <c r="BE199" s="3176"/>
      <c r="BF199" s="3176"/>
      <c r="BG199" s="3176"/>
      <c r="BH199" s="3179"/>
      <c r="BJ199" s="3181"/>
      <c r="BK199" s="3176"/>
      <c r="BL199" s="3176"/>
      <c r="BM199" s="3176"/>
      <c r="BN199" s="3176"/>
      <c r="BO199" s="3176"/>
      <c r="BP199" s="3177"/>
      <c r="BQ199" s="3177"/>
      <c r="BR199" s="3177"/>
      <c r="BS199" s="3177"/>
      <c r="BT199" s="3177"/>
      <c r="BU199" s="3177"/>
    </row>
    <row r="200" spans="1:73">
      <c r="A200" s="39"/>
      <c r="B200" s="3181"/>
      <c r="C200" s="4079"/>
      <c r="D200" s="3176"/>
      <c r="E200" s="3176"/>
      <c r="F200" s="3176"/>
      <c r="G200" s="3176"/>
      <c r="H200" s="3177"/>
      <c r="I200" s="3177"/>
      <c r="J200" s="3177"/>
      <c r="K200" s="3177"/>
      <c r="L200" s="3177"/>
      <c r="M200" s="3177"/>
      <c r="N200" s="3177"/>
      <c r="O200" s="3177"/>
      <c r="P200" s="3177"/>
      <c r="Q200" s="3177"/>
      <c r="R200" s="3177"/>
      <c r="S200" s="3177"/>
      <c r="T200" s="3177"/>
      <c r="U200" s="3177"/>
      <c r="V200" s="3177"/>
      <c r="W200" s="3177"/>
      <c r="X200" s="3177"/>
      <c r="Y200" s="3177"/>
      <c r="Z200" s="3177"/>
      <c r="AA200" s="3177"/>
      <c r="AB200" s="3177"/>
      <c r="AC200" s="3177"/>
      <c r="AD200" s="3177"/>
      <c r="AE200" s="3177"/>
      <c r="AF200" s="3177"/>
      <c r="AG200" s="3177"/>
      <c r="AH200" s="3177"/>
      <c r="AI200" s="3177"/>
      <c r="AJ200" s="3177"/>
      <c r="AK200" s="3177"/>
      <c r="AL200" s="3177"/>
      <c r="AM200" s="3177"/>
      <c r="AN200" s="3177"/>
      <c r="AO200" s="3177"/>
      <c r="AP200" s="3177"/>
      <c r="AQ200" s="3177"/>
      <c r="AR200" s="3177"/>
      <c r="AS200" s="3177"/>
      <c r="AT200" s="3177"/>
      <c r="AU200" s="3177"/>
      <c r="AV200" s="3177"/>
      <c r="AW200" s="3177"/>
      <c r="AX200" s="3176"/>
      <c r="AY200" s="3176"/>
      <c r="AZ200" s="3176"/>
      <c r="BA200" s="3176"/>
      <c r="BB200" s="3176"/>
      <c r="BC200" s="3176"/>
      <c r="BD200" s="3176"/>
      <c r="BE200" s="3176"/>
      <c r="BF200" s="3176"/>
      <c r="BG200" s="3176"/>
      <c r="BH200" s="3179"/>
      <c r="BJ200" s="3181"/>
      <c r="BK200" s="3176"/>
      <c r="BL200" s="3176"/>
      <c r="BM200" s="3176"/>
      <c r="BN200" s="3176"/>
      <c r="BO200" s="3176"/>
      <c r="BP200" s="3177"/>
      <c r="BQ200" s="3177"/>
      <c r="BR200" s="3177"/>
      <c r="BS200" s="3177"/>
      <c r="BT200" s="3177"/>
      <c r="BU200" s="3177"/>
    </row>
    <row r="201" spans="1:73" ht="15.5">
      <c r="A201" s="39"/>
      <c r="B201" s="3181"/>
      <c r="C201" s="3180" t="s">
        <v>2492</v>
      </c>
      <c r="D201" s="3176"/>
      <c r="E201" s="3176"/>
      <c r="F201" s="4079" t="s">
        <v>3354</v>
      </c>
      <c r="G201" s="3176"/>
      <c r="H201" s="3177"/>
      <c r="I201" s="3177"/>
      <c r="J201" s="3177"/>
      <c r="K201" s="3177"/>
      <c r="L201" s="3177"/>
      <c r="M201" s="3177"/>
      <c r="N201" s="3177"/>
      <c r="O201" s="3177"/>
      <c r="P201" s="3177"/>
      <c r="Q201" s="3177"/>
      <c r="R201" s="3177"/>
      <c r="S201" s="3177"/>
      <c r="T201" s="3177"/>
      <c r="U201" s="3177"/>
      <c r="V201" s="3177"/>
      <c r="W201" s="3177"/>
      <c r="X201" s="3177"/>
      <c r="Y201" s="3177"/>
      <c r="Z201" s="3177"/>
      <c r="AA201" s="3177"/>
      <c r="AB201" s="3177"/>
      <c r="AC201" s="3177"/>
      <c r="AD201" s="3177"/>
      <c r="AE201" s="3177"/>
      <c r="AF201" s="3177"/>
      <c r="AG201" s="3177"/>
      <c r="AH201" s="3177"/>
      <c r="AI201" s="3177"/>
      <c r="AJ201" s="3177"/>
      <c r="AK201" s="3177"/>
      <c r="AL201" s="3177"/>
      <c r="AM201" s="3177"/>
      <c r="AN201" s="3177"/>
      <c r="AO201" s="3177"/>
      <c r="AP201" s="3177"/>
      <c r="AQ201" s="3177"/>
      <c r="AR201" s="3177"/>
      <c r="AS201" s="3177"/>
      <c r="AT201" s="3177"/>
      <c r="AU201" s="3177"/>
      <c r="AV201" s="3177"/>
      <c r="AW201" s="3177"/>
      <c r="AX201" s="3176"/>
      <c r="AY201" s="3176" t="s">
        <v>2493</v>
      </c>
      <c r="AZ201" s="3176" t="s">
        <v>3352</v>
      </c>
      <c r="BA201" s="3176"/>
      <c r="BB201" s="3176" t="s">
        <v>2493</v>
      </c>
      <c r="BC201" s="3176" t="s">
        <v>2494</v>
      </c>
      <c r="BD201" s="3176"/>
      <c r="BE201" s="3176" t="s">
        <v>2607</v>
      </c>
      <c r="BF201" s="3176"/>
      <c r="BG201" s="3176"/>
      <c r="BH201" s="3179"/>
      <c r="BJ201" s="3181"/>
      <c r="BK201" s="3180"/>
      <c r="BL201" s="3176"/>
      <c r="BM201" s="3176"/>
      <c r="BN201" s="3176"/>
      <c r="BO201" s="3176"/>
      <c r="BP201" s="3177"/>
      <c r="BQ201" s="3177"/>
      <c r="BR201" s="3177"/>
      <c r="BS201" s="3177"/>
      <c r="BT201" s="3177"/>
      <c r="BU201" s="3177"/>
    </row>
    <row r="202" spans="1:73" ht="15.5">
      <c r="A202" s="39"/>
      <c r="B202" s="3175"/>
      <c r="C202" s="3180"/>
      <c r="D202" s="3176"/>
      <c r="E202" s="3176"/>
      <c r="F202" s="3228" t="s">
        <v>2495</v>
      </c>
      <c r="G202" s="3228"/>
      <c r="H202" s="3229"/>
      <c r="I202" s="3229"/>
      <c r="J202" s="3229"/>
      <c r="K202" s="3229"/>
      <c r="L202" s="3229"/>
      <c r="M202" s="3229"/>
      <c r="N202" s="3229"/>
      <c r="O202" s="3229"/>
      <c r="P202" s="3229"/>
      <c r="Q202" s="3229"/>
      <c r="R202" s="3229"/>
      <c r="S202" s="3229"/>
      <c r="T202" s="3229"/>
      <c r="U202" s="3229"/>
      <c r="V202" s="3229"/>
      <c r="W202" s="3229"/>
      <c r="X202" s="3229"/>
      <c r="Y202" s="3229"/>
      <c r="Z202" s="3229"/>
      <c r="AA202" s="3229"/>
      <c r="AB202" s="3229"/>
      <c r="AC202" s="3229"/>
      <c r="AD202" s="3229"/>
      <c r="AE202" s="3229"/>
      <c r="AF202" s="3229"/>
      <c r="AG202" s="3229"/>
      <c r="AH202" s="3229"/>
      <c r="AI202" s="3229"/>
      <c r="AJ202" s="3229"/>
      <c r="AK202" s="3229"/>
      <c r="AL202" s="3229"/>
      <c r="AM202" s="3229"/>
      <c r="AN202" s="3229"/>
      <c r="AO202" s="3229"/>
      <c r="AP202" s="3229"/>
      <c r="AQ202" s="3229"/>
      <c r="AR202" s="3229"/>
      <c r="AS202" s="3229"/>
      <c r="AT202" s="3229"/>
      <c r="AU202" s="3229"/>
      <c r="AV202" s="3229"/>
      <c r="AW202" s="3229"/>
      <c r="AX202" s="3176"/>
      <c r="AY202" s="3230" t="s">
        <v>2496</v>
      </c>
      <c r="AZ202" s="4077" t="s">
        <v>3353</v>
      </c>
      <c r="BA202" s="3176"/>
      <c r="BB202" s="3176" t="s">
        <v>2608</v>
      </c>
      <c r="BC202" s="3176" t="s">
        <v>2608</v>
      </c>
      <c r="BD202" s="3176"/>
      <c r="BE202" s="3176">
        <v>2020</v>
      </c>
      <c r="BF202" s="3176">
        <v>2030</v>
      </c>
      <c r="BG202" s="3176">
        <v>2050</v>
      </c>
      <c r="BH202" s="3179"/>
      <c r="BJ202" s="3175"/>
      <c r="BK202" s="3180"/>
      <c r="BL202" s="3176"/>
      <c r="BM202" s="3176"/>
      <c r="BN202" s="3228"/>
      <c r="BO202" s="3228"/>
      <c r="BP202" s="3229"/>
      <c r="BQ202" s="3229"/>
      <c r="BR202" s="3229"/>
      <c r="BS202" s="3229"/>
      <c r="BT202" s="3229"/>
      <c r="BU202" s="3229"/>
    </row>
    <row r="203" spans="1:73" s="354" customFormat="1">
      <c r="A203" s="399"/>
      <c r="B203" s="3231"/>
      <c r="C203" s="3182"/>
      <c r="D203" s="3182" t="s">
        <v>2497</v>
      </c>
      <c r="E203" s="3182"/>
      <c r="F203" s="3541">
        <v>55.607835999999999</v>
      </c>
      <c r="G203" s="3541"/>
      <c r="H203" s="3542"/>
      <c r="I203" s="3542"/>
      <c r="J203" s="3542"/>
      <c r="K203" s="3542"/>
      <c r="L203" s="3542"/>
      <c r="M203" s="3542"/>
      <c r="N203" s="3542"/>
      <c r="O203" s="3542"/>
      <c r="P203" s="3542"/>
      <c r="Q203" s="3542"/>
      <c r="R203" s="3542"/>
      <c r="S203" s="3542"/>
      <c r="T203" s="3542"/>
      <c r="U203" s="3542"/>
      <c r="V203" s="3542"/>
      <c r="W203" s="3542"/>
      <c r="X203" s="3542"/>
      <c r="Y203" s="3542"/>
      <c r="Z203" s="3542"/>
      <c r="AA203" s="3542"/>
      <c r="AB203" s="3542"/>
      <c r="AC203" s="3542"/>
      <c r="AD203" s="3542"/>
      <c r="AE203" s="3542"/>
      <c r="AF203" s="3542"/>
      <c r="AG203" s="3542"/>
      <c r="AH203" s="3542"/>
      <c r="AI203" s="3542"/>
      <c r="AJ203" s="3542"/>
      <c r="AK203" s="3542"/>
      <c r="AL203" s="3542"/>
      <c r="AM203" s="3542"/>
      <c r="AN203" s="3542"/>
      <c r="AO203" s="3542"/>
      <c r="AP203" s="3542"/>
      <c r="AQ203" s="3542"/>
      <c r="AR203" s="3542"/>
      <c r="AS203" s="3542"/>
      <c r="AT203" s="3542"/>
      <c r="AU203" s="3542"/>
      <c r="AV203" s="3542"/>
      <c r="AW203" s="3542"/>
      <c r="AX203" s="3541"/>
      <c r="AY203" s="3541">
        <f>F203*0.2</f>
        <v>11.121567200000001</v>
      </c>
      <c r="AZ203" s="4078">
        <f>0.669*$F203</f>
        <v>37.201642284000002</v>
      </c>
      <c r="BA203" s="3176"/>
      <c r="BB203" s="3176"/>
      <c r="BC203" s="3176"/>
      <c r="BD203" s="3176"/>
      <c r="BE203" s="3176"/>
      <c r="BF203" s="3176"/>
      <c r="BG203" s="3176"/>
      <c r="BH203" s="3232" t="s">
        <v>5</v>
      </c>
      <c r="BJ203" s="3231"/>
      <c r="BK203" s="3182"/>
      <c r="BL203" s="3182"/>
      <c r="BM203" s="3182"/>
      <c r="BN203" s="3541"/>
      <c r="BO203" s="3541"/>
      <c r="BP203" s="3542"/>
      <c r="BQ203" s="3542"/>
      <c r="BR203" s="3542"/>
      <c r="BS203" s="3542"/>
      <c r="BT203" s="3542"/>
      <c r="BU203" s="3542"/>
    </row>
    <row r="204" spans="1:73">
      <c r="A204" s="39"/>
      <c r="B204" s="3181"/>
      <c r="C204" s="3176"/>
      <c r="D204" s="3176" t="s">
        <v>2498</v>
      </c>
      <c r="E204" s="3176"/>
      <c r="F204" s="3541">
        <v>1.1399999999999999</v>
      </c>
      <c r="G204" s="3541"/>
      <c r="H204" s="3542"/>
      <c r="I204" s="3542"/>
      <c r="J204" s="3542"/>
      <c r="K204" s="3542"/>
      <c r="L204" s="3542"/>
      <c r="M204" s="3542"/>
      <c r="N204" s="3542"/>
      <c r="O204" s="3542"/>
      <c r="P204" s="3542"/>
      <c r="Q204" s="3542"/>
      <c r="R204" s="3542"/>
      <c r="S204" s="3542"/>
      <c r="T204" s="3542"/>
      <c r="U204" s="3542"/>
      <c r="V204" s="3542"/>
      <c r="W204" s="3542"/>
      <c r="X204" s="3542"/>
      <c r="Y204" s="3542"/>
      <c r="Z204" s="3542"/>
      <c r="AA204" s="3542"/>
      <c r="AB204" s="3542"/>
      <c r="AC204" s="3542"/>
      <c r="AD204" s="3542"/>
      <c r="AE204" s="3542"/>
      <c r="AF204" s="3542"/>
      <c r="AG204" s="3542"/>
      <c r="AH204" s="3542"/>
      <c r="AI204" s="3542"/>
      <c r="AJ204" s="3542"/>
      <c r="AK204" s="3542"/>
      <c r="AL204" s="3542"/>
      <c r="AM204" s="3542"/>
      <c r="AN204" s="3542"/>
      <c r="AO204" s="3542"/>
      <c r="AP204" s="3542"/>
      <c r="AQ204" s="3542"/>
      <c r="AR204" s="3542"/>
      <c r="AS204" s="3542"/>
      <c r="AT204" s="3542"/>
      <c r="AU204" s="3542"/>
      <c r="AV204" s="3542"/>
      <c r="AW204" s="3542"/>
      <c r="AX204" s="3541"/>
      <c r="AY204" s="3541"/>
      <c r="AZ204" s="3219"/>
      <c r="BA204" s="3219"/>
      <c r="BB204" s="3219">
        <f ca="1">BB205*AY151</f>
        <v>11.121567200000001</v>
      </c>
      <c r="BC204" s="3219">
        <f ca="1">BC205*AY151</f>
        <v>37.201642284000002</v>
      </c>
      <c r="BD204" s="3176"/>
      <c r="BE204" s="3176"/>
      <c r="BF204" s="3176"/>
      <c r="BG204" s="3176"/>
      <c r="BH204" s="3179"/>
      <c r="BJ204" s="3181"/>
      <c r="BK204" s="3176"/>
      <c r="BL204" s="3176"/>
      <c r="BM204" s="3176"/>
      <c r="BN204" s="3541"/>
      <c r="BO204" s="3541"/>
      <c r="BP204" s="3542"/>
      <c r="BQ204" s="3542"/>
      <c r="BR204" s="3542"/>
      <c r="BS204" s="3542"/>
      <c r="BT204" s="3542"/>
      <c r="BU204" s="3542"/>
    </row>
    <row r="205" spans="1:73">
      <c r="A205" s="39"/>
      <c r="B205" s="3181"/>
      <c r="C205" s="3176"/>
      <c r="D205" s="3182" t="s">
        <v>58</v>
      </c>
      <c r="E205" s="3176"/>
      <c r="F205" s="3543">
        <f>F203+F204</f>
        <v>56.747836</v>
      </c>
      <c r="G205" s="3543"/>
      <c r="H205" s="3544"/>
      <c r="I205" s="3544"/>
      <c r="J205" s="3544"/>
      <c r="K205" s="3544"/>
      <c r="L205" s="3544"/>
      <c r="M205" s="3544"/>
      <c r="N205" s="3544"/>
      <c r="O205" s="3544"/>
      <c r="P205" s="3544"/>
      <c r="Q205" s="3544"/>
      <c r="R205" s="3544"/>
      <c r="S205" s="3544"/>
      <c r="T205" s="3544"/>
      <c r="U205" s="3544"/>
      <c r="V205" s="3544"/>
      <c r="W205" s="3544"/>
      <c r="X205" s="3544"/>
      <c r="Y205" s="3544"/>
      <c r="Z205" s="3544"/>
      <c r="AA205" s="3544"/>
      <c r="AB205" s="3544"/>
      <c r="AC205" s="3544"/>
      <c r="AD205" s="3544"/>
      <c r="AE205" s="3544"/>
      <c r="AF205" s="3544"/>
      <c r="AG205" s="3544"/>
      <c r="AH205" s="3544"/>
      <c r="AI205" s="3544"/>
      <c r="AJ205" s="3544"/>
      <c r="AK205" s="3544"/>
      <c r="AL205" s="3544"/>
      <c r="AM205" s="3544"/>
      <c r="AN205" s="3544"/>
      <c r="AO205" s="3544"/>
      <c r="AP205" s="3544"/>
      <c r="AQ205" s="3544"/>
      <c r="AR205" s="3544"/>
      <c r="AS205" s="3544"/>
      <c r="AT205" s="3544"/>
      <c r="AU205" s="3544"/>
      <c r="AV205" s="3544"/>
      <c r="AW205" s="3544"/>
      <c r="AX205" s="3543"/>
      <c r="AY205" s="3543">
        <f>0.2*$F205</f>
        <v>11.349567200000001</v>
      </c>
      <c r="AZ205" s="4078">
        <f>0.669*$F205</f>
        <v>37.964302283999999</v>
      </c>
      <c r="BA205" s="4076"/>
      <c r="BB205" s="4076">
        <f>AY205/$F$151</f>
        <v>10.323935201556287</v>
      </c>
      <c r="BC205" s="4076">
        <f>AZ205/$F$151</f>
        <v>34.533563249205777</v>
      </c>
      <c r="BD205" s="3176"/>
      <c r="BE205" s="3540">
        <f ca="1">BA151/$AY151</f>
        <v>0.99482720852952866</v>
      </c>
      <c r="BF205" s="3540">
        <f ca="1">BC151/$AY151</f>
        <v>1.0421579288220619</v>
      </c>
      <c r="BG205" s="3540">
        <f ca="1">BG151/$AY151</f>
        <v>1.1352300904645798</v>
      </c>
      <c r="BH205" s="3179"/>
      <c r="BJ205" s="3181"/>
      <c r="BK205" s="3176"/>
      <c r="BL205" s="3182"/>
      <c r="BM205" s="3176"/>
      <c r="BN205" s="3543"/>
      <c r="BO205" s="3543"/>
      <c r="BP205" s="3544"/>
      <c r="BQ205" s="3544"/>
      <c r="BR205" s="3544"/>
      <c r="BS205" s="3544"/>
      <c r="BT205" s="3544"/>
      <c r="BU205" s="3544"/>
    </row>
    <row r="206" spans="1:73" s="405" customFormat="1">
      <c r="A206" s="3530"/>
      <c r="B206" s="3196"/>
      <c r="C206" s="3197"/>
      <c r="D206" s="3197" t="s">
        <v>2499</v>
      </c>
      <c r="E206" s="3197"/>
      <c r="F206" s="3538"/>
      <c r="G206" s="3538"/>
      <c r="H206" s="3539"/>
      <c r="I206" s="3539"/>
      <c r="J206" s="3539"/>
      <c r="K206" s="3539"/>
      <c r="L206" s="3539"/>
      <c r="M206" s="3539"/>
      <c r="N206" s="3539"/>
      <c r="O206" s="3539"/>
      <c r="P206" s="3539"/>
      <c r="Q206" s="3539"/>
      <c r="R206" s="3539"/>
      <c r="S206" s="3539"/>
      <c r="T206" s="3539"/>
      <c r="U206" s="3539"/>
      <c r="V206" s="3539"/>
      <c r="W206" s="3539"/>
      <c r="X206" s="3539"/>
      <c r="Y206" s="3539"/>
      <c r="Z206" s="3539"/>
      <c r="AA206" s="3539"/>
      <c r="AB206" s="3539"/>
      <c r="AC206" s="3539"/>
      <c r="AD206" s="3539"/>
      <c r="AE206" s="3539"/>
      <c r="AF206" s="3539"/>
      <c r="AG206" s="3539"/>
      <c r="AH206" s="3539"/>
      <c r="AI206" s="3539"/>
      <c r="AJ206" s="3539"/>
      <c r="AK206" s="3539"/>
      <c r="AL206" s="3539"/>
      <c r="AM206" s="3539"/>
      <c r="AN206" s="3539"/>
      <c r="AO206" s="3539"/>
      <c r="AP206" s="3539"/>
      <c r="AQ206" s="3539"/>
      <c r="AR206" s="3539"/>
      <c r="AS206" s="3539"/>
      <c r="AT206" s="3539"/>
      <c r="AU206" s="3539"/>
      <c r="AV206" s="3539"/>
      <c r="AW206" s="3539"/>
      <c r="AX206" s="3538"/>
      <c r="AY206" s="3538">
        <v>0.2</v>
      </c>
      <c r="AZ206" s="3538">
        <v>0.2</v>
      </c>
      <c r="BA206" s="3538">
        <v>0.2</v>
      </c>
      <c r="BB206" s="3538">
        <v>0.2</v>
      </c>
      <c r="BC206" s="3538">
        <v>0.2</v>
      </c>
      <c r="BD206" s="3538">
        <v>0.2</v>
      </c>
      <c r="BE206" s="3538">
        <v>0.2</v>
      </c>
      <c r="BF206" s="3538">
        <v>0.2</v>
      </c>
      <c r="BG206" s="3538">
        <v>0.2</v>
      </c>
      <c r="BH206" s="3200"/>
      <c r="BJ206" s="3196"/>
      <c r="BK206" s="3197"/>
      <c r="BL206" s="3197"/>
      <c r="BM206" s="3197"/>
      <c r="BN206" s="3538"/>
      <c r="BO206" s="3538"/>
      <c r="BP206" s="3539"/>
      <c r="BQ206" s="3539"/>
      <c r="BR206" s="3539"/>
      <c r="BS206" s="3539"/>
      <c r="BT206" s="3539"/>
      <c r="BU206" s="3539"/>
    </row>
    <row r="207" spans="1:73" s="405" customFormat="1">
      <c r="A207" s="3530"/>
      <c r="B207" s="3196"/>
      <c r="C207" s="3197"/>
      <c r="D207" s="3197" t="s">
        <v>2500</v>
      </c>
      <c r="E207" s="3197"/>
      <c r="F207" s="3538"/>
      <c r="G207" s="3538"/>
      <c r="H207" s="3539"/>
      <c r="I207" s="3539"/>
      <c r="J207" s="3539"/>
      <c r="K207" s="3539"/>
      <c r="L207" s="3539"/>
      <c r="M207" s="3539"/>
      <c r="N207" s="3539"/>
      <c r="O207" s="3539"/>
      <c r="P207" s="3539"/>
      <c r="Q207" s="3539"/>
      <c r="R207" s="3539"/>
      <c r="S207" s="3539"/>
      <c r="T207" s="3539"/>
      <c r="U207" s="3539"/>
      <c r="V207" s="3539"/>
      <c r="W207" s="3539"/>
      <c r="X207" s="3539"/>
      <c r="Y207" s="3539"/>
      <c r="Z207" s="3539"/>
      <c r="AA207" s="3539"/>
      <c r="AB207" s="3539"/>
      <c r="AC207" s="3539"/>
      <c r="AD207" s="3539"/>
      <c r="AE207" s="3539"/>
      <c r="AF207" s="3539"/>
      <c r="AG207" s="3539"/>
      <c r="AH207" s="3539"/>
      <c r="AI207" s="3539"/>
      <c r="AJ207" s="3539"/>
      <c r="AK207" s="3539"/>
      <c r="AL207" s="3539"/>
      <c r="AM207" s="3539"/>
      <c r="AN207" s="3539"/>
      <c r="AO207" s="3539"/>
      <c r="AP207" s="3539"/>
      <c r="AQ207" s="3539"/>
      <c r="AR207" s="3539"/>
      <c r="AS207" s="3539"/>
      <c r="AT207" s="3539"/>
      <c r="AU207" s="3539"/>
      <c r="AV207" s="3539"/>
      <c r="AW207" s="3539"/>
      <c r="AX207" s="3538"/>
      <c r="AY207" s="3538">
        <v>0</v>
      </c>
      <c r="AZ207" s="3538">
        <v>0</v>
      </c>
      <c r="BA207" s="3538">
        <v>0</v>
      </c>
      <c r="BB207" s="3538">
        <v>0</v>
      </c>
      <c r="BC207" s="3538">
        <v>0</v>
      </c>
      <c r="BD207" s="3538">
        <v>0</v>
      </c>
      <c r="BE207" s="3538">
        <v>0</v>
      </c>
      <c r="BF207" s="3538">
        <v>0</v>
      </c>
      <c r="BG207" s="3538">
        <v>0</v>
      </c>
      <c r="BH207" s="3200"/>
      <c r="BJ207" s="3196"/>
      <c r="BK207" s="3197"/>
      <c r="BL207" s="3197"/>
      <c r="BM207" s="3197"/>
      <c r="BN207" s="3538"/>
      <c r="BO207" s="3538"/>
      <c r="BP207" s="3539"/>
      <c r="BQ207" s="3539"/>
      <c r="BR207" s="3539"/>
      <c r="BS207" s="3539"/>
      <c r="BT207" s="3539"/>
      <c r="BU207" s="3539"/>
    </row>
    <row r="208" spans="1:73">
      <c r="A208" s="39"/>
      <c r="B208" s="3233"/>
      <c r="C208" s="3234"/>
      <c r="D208" s="3234"/>
      <c r="E208" s="3234"/>
      <c r="F208" s="3234"/>
      <c r="G208" s="3234"/>
      <c r="H208" s="3235"/>
      <c r="I208" s="3235"/>
      <c r="J208" s="3235"/>
      <c r="K208" s="3235"/>
      <c r="L208" s="3235"/>
      <c r="M208" s="3235"/>
      <c r="N208" s="3235"/>
      <c r="O208" s="3235"/>
      <c r="P208" s="3235"/>
      <c r="Q208" s="3235"/>
      <c r="R208" s="3235"/>
      <c r="S208" s="3235"/>
      <c r="T208" s="3235"/>
      <c r="U208" s="3235"/>
      <c r="V208" s="3235"/>
      <c r="W208" s="3235"/>
      <c r="X208" s="3235"/>
      <c r="Y208" s="3235"/>
      <c r="Z208" s="3235"/>
      <c r="AA208" s="3235"/>
      <c r="AB208" s="3235"/>
      <c r="AC208" s="3235"/>
      <c r="AD208" s="3235"/>
      <c r="AE208" s="3235"/>
      <c r="AF208" s="3235"/>
      <c r="AG208" s="3235"/>
      <c r="AH208" s="3235"/>
      <c r="AI208" s="3235"/>
      <c r="AJ208" s="3235"/>
      <c r="AK208" s="3235"/>
      <c r="AL208" s="3235"/>
      <c r="AM208" s="3235"/>
      <c r="AN208" s="3235"/>
      <c r="AO208" s="3235"/>
      <c r="AP208" s="3235"/>
      <c r="AQ208" s="3235"/>
      <c r="AR208" s="3235"/>
      <c r="AS208" s="3235"/>
      <c r="AT208" s="3235"/>
      <c r="AU208" s="3235"/>
      <c r="AV208" s="3235"/>
      <c r="AW208" s="3235"/>
      <c r="AX208" s="3234" t="s">
        <v>5</v>
      </c>
      <c r="AY208" s="3234"/>
      <c r="AZ208" s="3234"/>
      <c r="BA208" s="3234"/>
      <c r="BB208" s="3234"/>
      <c r="BC208" s="3234"/>
      <c r="BD208" s="3234"/>
      <c r="BE208" s="3234"/>
      <c r="BF208" s="3234"/>
      <c r="BG208" s="3234"/>
      <c r="BH208" s="3236"/>
      <c r="BJ208" s="3233"/>
      <c r="BK208" s="3234"/>
      <c r="BL208" s="3234"/>
      <c r="BM208" s="3234"/>
      <c r="BN208" s="3234"/>
      <c r="BO208" s="3234"/>
      <c r="BP208" s="3235"/>
      <c r="BQ208" s="3235"/>
      <c r="BR208" s="3235"/>
      <c r="BS208" s="3235"/>
      <c r="BT208" s="3235"/>
      <c r="BU208" s="3235"/>
    </row>
    <row r="209" spans="1:73" s="39" customFormat="1">
      <c r="B209" s="1068"/>
      <c r="C209" s="1068"/>
      <c r="D209" s="1068"/>
      <c r="E209" s="1068"/>
      <c r="F209" s="1068"/>
      <c r="G209" s="1068"/>
      <c r="H209" s="3138"/>
      <c r="I209" s="3138"/>
      <c r="J209" s="3138"/>
      <c r="K209" s="3138"/>
      <c r="L209" s="3138"/>
      <c r="M209" s="3138"/>
      <c r="N209" s="3138"/>
      <c r="O209" s="3138"/>
      <c r="P209" s="3138"/>
      <c r="Q209" s="3138"/>
      <c r="R209" s="3138"/>
      <c r="S209" s="3138"/>
      <c r="T209" s="3138"/>
      <c r="U209" s="3138"/>
      <c r="V209" s="3138"/>
      <c r="W209" s="3138"/>
      <c r="X209" s="3138"/>
      <c r="Y209" s="3138"/>
      <c r="Z209" s="3138"/>
      <c r="AA209" s="3138"/>
      <c r="AB209" s="3138"/>
      <c r="AC209" s="3138"/>
      <c r="AD209" s="3138"/>
      <c r="AE209" s="3138"/>
      <c r="AF209" s="3138"/>
      <c r="AG209" s="3138"/>
      <c r="AH209" s="3138"/>
      <c r="AI209" s="3138"/>
      <c r="AJ209" s="3138"/>
      <c r="AK209" s="3138"/>
      <c r="AL209" s="3138"/>
      <c r="AM209" s="3138"/>
      <c r="AN209" s="3138"/>
      <c r="AO209" s="3138"/>
      <c r="AP209" s="3138"/>
      <c r="AQ209" s="3138"/>
      <c r="AR209" s="3138"/>
      <c r="AS209" s="3138"/>
      <c r="AT209" s="3138"/>
      <c r="AU209" s="3138"/>
      <c r="AV209" s="3138"/>
      <c r="AW209" s="3138"/>
      <c r="AX209" s="1068"/>
      <c r="AY209" s="1068"/>
      <c r="AZ209" s="1068"/>
      <c r="BA209" s="1068"/>
      <c r="BB209" s="1068"/>
      <c r="BC209" s="1068"/>
      <c r="BD209" s="1068"/>
      <c r="BE209" s="1068"/>
      <c r="BF209" s="1068"/>
      <c r="BG209" s="1068"/>
      <c r="BH209" s="1068"/>
      <c r="BJ209" s="1068"/>
      <c r="BK209" s="1068"/>
      <c r="BL209" s="1068"/>
      <c r="BM209" s="1068"/>
      <c r="BN209" s="1068"/>
      <c r="BO209" s="1068"/>
      <c r="BP209" s="3138"/>
      <c r="BQ209" s="3138"/>
      <c r="BR209" s="3138"/>
      <c r="BS209" s="3138"/>
      <c r="BT209" s="3138"/>
      <c r="BU209" s="3138"/>
    </row>
    <row r="210" spans="1:73" ht="23.5">
      <c r="A210" s="3537"/>
      <c r="B210" s="3170" t="s">
        <v>2501</v>
      </c>
      <c r="C210" s="3171"/>
      <c r="D210" s="3171"/>
      <c r="E210" s="3171"/>
      <c r="F210" s="3171"/>
      <c r="G210" s="3171"/>
      <c r="H210" s="3172"/>
      <c r="I210" s="3172"/>
      <c r="J210" s="3172"/>
      <c r="K210" s="3172"/>
      <c r="L210" s="3172"/>
      <c r="M210" s="3172"/>
      <c r="N210" s="3172"/>
      <c r="O210" s="3172"/>
      <c r="P210" s="3172"/>
      <c r="Q210" s="3172"/>
      <c r="R210" s="3172"/>
      <c r="S210" s="3172"/>
      <c r="T210" s="3172"/>
      <c r="U210" s="3172"/>
      <c r="V210" s="3172"/>
      <c r="W210" s="3172"/>
      <c r="X210" s="3172"/>
      <c r="Y210" s="3172"/>
      <c r="Z210" s="3172"/>
      <c r="AA210" s="3172"/>
      <c r="AB210" s="3172"/>
      <c r="AC210" s="3172"/>
      <c r="AD210" s="3172"/>
      <c r="AE210" s="3172"/>
      <c r="AF210" s="3172"/>
      <c r="AG210" s="3172"/>
      <c r="AH210" s="3172"/>
      <c r="AI210" s="3172"/>
      <c r="AJ210" s="3172"/>
      <c r="AK210" s="3172"/>
      <c r="AL210" s="3172"/>
      <c r="AM210" s="3172"/>
      <c r="AN210" s="3172"/>
      <c r="AO210" s="3172"/>
      <c r="AP210" s="3172"/>
      <c r="AQ210" s="3172"/>
      <c r="AR210" s="3172"/>
      <c r="AS210" s="3172"/>
      <c r="AT210" s="3172"/>
      <c r="AU210" s="3172"/>
      <c r="AV210" s="3172"/>
      <c r="AW210" s="3172"/>
      <c r="AX210" s="3171"/>
      <c r="AY210" s="3171"/>
      <c r="AZ210" s="3171"/>
      <c r="BA210" s="3171"/>
      <c r="BB210" s="3171"/>
      <c r="BC210" s="3171"/>
      <c r="BD210" s="3171"/>
      <c r="BE210" s="3171"/>
      <c r="BF210" s="3171"/>
      <c r="BG210" s="3173"/>
      <c r="BH210" s="3174"/>
      <c r="BJ210" s="3170"/>
      <c r="BK210" s="3171"/>
      <c r="BL210" s="3171"/>
      <c r="BM210" s="3171"/>
      <c r="BN210" s="3171"/>
      <c r="BO210" s="3171"/>
      <c r="BP210" s="3172"/>
      <c r="BQ210" s="3172"/>
      <c r="BR210" s="3172"/>
      <c r="BS210" s="3172"/>
      <c r="BT210" s="3172"/>
      <c r="BU210" s="3172"/>
    </row>
    <row r="211" spans="1:73">
      <c r="A211" s="39"/>
      <c r="B211" s="3176"/>
      <c r="C211" s="3176"/>
      <c r="D211" s="3176"/>
      <c r="E211" s="3176"/>
      <c r="F211" s="3176"/>
      <c r="G211" s="3176"/>
      <c r="H211" s="3177"/>
      <c r="I211" s="3177"/>
      <c r="J211" s="3177"/>
      <c r="K211" s="3177"/>
      <c r="L211" s="3177"/>
      <c r="M211" s="3177"/>
      <c r="N211" s="3177"/>
      <c r="O211" s="3177"/>
      <c r="P211" s="3177"/>
      <c r="Q211" s="3177"/>
      <c r="R211" s="3177"/>
      <c r="S211" s="3177"/>
      <c r="T211" s="3177"/>
      <c r="U211" s="3177"/>
      <c r="V211" s="3177"/>
      <c r="W211" s="3177"/>
      <c r="X211" s="3177"/>
      <c r="Y211" s="3177"/>
      <c r="Z211" s="3177"/>
      <c r="AA211" s="3177"/>
      <c r="AB211" s="3177"/>
      <c r="AC211" s="3177"/>
      <c r="AD211" s="3177"/>
      <c r="AE211" s="3177"/>
      <c r="AF211" s="3177"/>
      <c r="AG211" s="3177"/>
      <c r="AH211" s="3177"/>
      <c r="AI211" s="3177"/>
      <c r="AJ211" s="3177"/>
      <c r="AK211" s="3177"/>
      <c r="AL211" s="3177"/>
      <c r="AM211" s="3177"/>
      <c r="AN211" s="3177"/>
      <c r="AO211" s="3177"/>
      <c r="AP211" s="3177"/>
      <c r="AQ211" s="3177"/>
      <c r="AR211" s="3177"/>
      <c r="AS211" s="3177"/>
      <c r="AT211" s="3177"/>
      <c r="AU211" s="3177"/>
      <c r="AV211" s="3177"/>
      <c r="AW211" s="3177"/>
      <c r="AX211" s="3176"/>
      <c r="AY211" s="3176"/>
      <c r="AZ211" s="3176"/>
      <c r="BA211" s="3176"/>
      <c r="BB211" s="3176"/>
      <c r="BC211" s="3176"/>
      <c r="BD211" s="3176"/>
      <c r="BE211" s="3176"/>
      <c r="BF211" s="3176"/>
      <c r="BG211" s="3176"/>
      <c r="BH211" s="3176"/>
      <c r="BJ211" s="3176"/>
      <c r="BK211" s="3176"/>
      <c r="BL211" s="3176"/>
      <c r="BM211" s="3176"/>
      <c r="BN211" s="3176"/>
      <c r="BO211" s="3176"/>
      <c r="BP211" s="3177"/>
      <c r="BQ211" s="3177"/>
      <c r="BR211" s="3177"/>
      <c r="BS211" s="3177"/>
      <c r="BT211" s="3177"/>
      <c r="BU211" s="3177"/>
    </row>
    <row r="212" spans="1:73">
      <c r="A212" s="39"/>
      <c r="B212" s="3182" t="s">
        <v>2502</v>
      </c>
      <c r="C212" s="3176"/>
      <c r="D212" s="3176"/>
      <c r="E212" s="3176"/>
      <c r="F212" s="3176"/>
      <c r="G212" s="3176"/>
      <c r="H212" s="3177"/>
      <c r="I212" s="3177"/>
      <c r="J212" s="3177"/>
      <c r="K212" s="3177"/>
      <c r="L212" s="3177"/>
      <c r="M212" s="3177"/>
      <c r="N212" s="3177"/>
      <c r="O212" s="3177"/>
      <c r="P212" s="3177"/>
      <c r="Q212" s="3177"/>
      <c r="R212" s="3177"/>
      <c r="S212" s="3177"/>
      <c r="T212" s="3177"/>
      <c r="U212" s="3177"/>
      <c r="V212" s="3177"/>
      <c r="W212" s="3177"/>
      <c r="X212" s="3177"/>
      <c r="Y212" s="3177"/>
      <c r="Z212" s="3177"/>
      <c r="AA212" s="3177"/>
      <c r="AB212" s="3177"/>
      <c r="AC212" s="3177"/>
      <c r="AD212" s="3177"/>
      <c r="AE212" s="3177"/>
      <c r="AF212" s="3177"/>
      <c r="AG212" s="3177"/>
      <c r="AH212" s="3177"/>
      <c r="AI212" s="3177"/>
      <c r="AJ212" s="3177"/>
      <c r="AK212" s="3177"/>
      <c r="AL212" s="3177"/>
      <c r="AM212" s="3177"/>
      <c r="AN212" s="3177"/>
      <c r="AO212" s="3177"/>
      <c r="AP212" s="3177"/>
      <c r="AQ212" s="3177"/>
      <c r="AR212" s="3177"/>
      <c r="AS212" s="3177"/>
      <c r="AT212" s="3177"/>
      <c r="AU212" s="3177"/>
      <c r="AV212" s="3177"/>
      <c r="AW212" s="3177"/>
      <c r="AX212" s="3176"/>
      <c r="AY212" s="3176"/>
      <c r="AZ212" s="3176"/>
      <c r="BA212" s="3176"/>
      <c r="BB212" s="3176"/>
      <c r="BC212" s="3176"/>
      <c r="BD212" s="3176"/>
      <c r="BE212" s="3176"/>
      <c r="BF212" s="3176"/>
      <c r="BG212" s="3176"/>
      <c r="BH212" s="3176"/>
      <c r="BJ212" s="3182"/>
      <c r="BK212" s="3176"/>
      <c r="BL212" s="3176"/>
      <c r="BM212" s="3176"/>
      <c r="BN212" s="3176"/>
      <c r="BO212" s="3176"/>
      <c r="BP212" s="3177"/>
      <c r="BQ212" s="3177"/>
      <c r="BR212" s="3177"/>
      <c r="BS212" s="3177"/>
      <c r="BT212" s="3177"/>
      <c r="BU212" s="3177"/>
    </row>
    <row r="213" spans="1:73">
      <c r="A213" s="39"/>
      <c r="B213" s="3176"/>
      <c r="C213" s="3176"/>
      <c r="D213" s="3176"/>
      <c r="E213" s="3176"/>
      <c r="F213" s="3176"/>
      <c r="G213" s="3176"/>
      <c r="H213" s="3177"/>
      <c r="I213" s="3177"/>
      <c r="J213" s="3177"/>
      <c r="K213" s="3177"/>
      <c r="L213" s="3177"/>
      <c r="M213" s="3177"/>
      <c r="N213" s="3177"/>
      <c r="O213" s="3177"/>
      <c r="P213" s="3177"/>
      <c r="Q213" s="3177"/>
      <c r="R213" s="3177"/>
      <c r="S213" s="3177"/>
      <c r="T213" s="3177"/>
      <c r="U213" s="3177"/>
      <c r="V213" s="3177"/>
      <c r="W213" s="3177"/>
      <c r="X213" s="3177"/>
      <c r="Y213" s="3177"/>
      <c r="Z213" s="3177"/>
      <c r="AA213" s="3177"/>
      <c r="AB213" s="3177"/>
      <c r="AC213" s="3177"/>
      <c r="AD213" s="3177"/>
      <c r="AE213" s="3177"/>
      <c r="AF213" s="3177"/>
      <c r="AG213" s="3177"/>
      <c r="AH213" s="3177"/>
      <c r="AI213" s="3177"/>
      <c r="AJ213" s="3177"/>
      <c r="AK213" s="3177"/>
      <c r="AL213" s="3177"/>
      <c r="AM213" s="3177"/>
      <c r="AN213" s="3177"/>
      <c r="AO213" s="3177"/>
      <c r="AP213" s="3177"/>
      <c r="AQ213" s="3177"/>
      <c r="AR213" s="3177"/>
      <c r="AS213" s="3177"/>
      <c r="AT213" s="3177"/>
      <c r="AU213" s="3177"/>
      <c r="AV213" s="3177"/>
      <c r="AW213" s="3177"/>
      <c r="AX213" s="3176"/>
      <c r="AY213" s="3176"/>
      <c r="AZ213" s="3176"/>
      <c r="BA213" s="3176"/>
      <c r="BB213" s="3176"/>
      <c r="BC213" s="3176"/>
      <c r="BD213" s="3176"/>
      <c r="BE213" s="3176"/>
      <c r="BF213" s="3176"/>
      <c r="BG213" s="3176"/>
      <c r="BH213" s="3176"/>
      <c r="BJ213" s="3176"/>
      <c r="BK213" s="3176"/>
      <c r="BL213" s="3176"/>
      <c r="BM213" s="3176"/>
      <c r="BN213" s="3176"/>
      <c r="BO213" s="3176"/>
      <c r="BP213" s="3177"/>
      <c r="BQ213" s="3177"/>
      <c r="BR213" s="3177"/>
      <c r="BS213" s="3177"/>
      <c r="BT213" s="3177"/>
      <c r="BU213" s="3177"/>
    </row>
    <row r="214" spans="1:73">
      <c r="A214" s="39"/>
      <c r="B214" s="3176"/>
      <c r="C214" s="3197" t="s">
        <v>2503</v>
      </c>
      <c r="D214" s="3176"/>
      <c r="E214" s="3176"/>
      <c r="F214" s="3176"/>
      <c r="G214" s="3176"/>
      <c r="H214" s="3177"/>
      <c r="I214" s="3177"/>
      <c r="J214" s="3177"/>
      <c r="K214" s="3177"/>
      <c r="L214" s="3177"/>
      <c r="M214" s="3177"/>
      <c r="N214" s="3177"/>
      <c r="O214" s="3177"/>
      <c r="P214" s="3177"/>
      <c r="Q214" s="3177"/>
      <c r="R214" s="3177"/>
      <c r="S214" s="3177"/>
      <c r="T214" s="3177"/>
      <c r="U214" s="3177"/>
      <c r="V214" s="3177"/>
      <c r="W214" s="3177"/>
      <c r="X214" s="3177"/>
      <c r="Y214" s="3177"/>
      <c r="Z214" s="3177"/>
      <c r="AA214" s="3177"/>
      <c r="AB214" s="3177"/>
      <c r="AC214" s="3177"/>
      <c r="AD214" s="3177"/>
      <c r="AE214" s="3177"/>
      <c r="AF214" s="3177"/>
      <c r="AG214" s="3177"/>
      <c r="AH214" s="3177"/>
      <c r="AI214" s="3177"/>
      <c r="AJ214" s="3177"/>
      <c r="AK214" s="3177"/>
      <c r="AL214" s="3177"/>
      <c r="AM214" s="3177"/>
      <c r="AN214" s="3177"/>
      <c r="AO214" s="3177"/>
      <c r="AP214" s="3177"/>
      <c r="AQ214" s="3177"/>
      <c r="AR214" s="3177"/>
      <c r="AS214" s="3177"/>
      <c r="AT214" s="3177"/>
      <c r="AU214" s="3177"/>
      <c r="AV214" s="3177"/>
      <c r="AW214" s="3177"/>
      <c r="AX214" s="3176"/>
      <c r="AY214" s="3237">
        <v>2013</v>
      </c>
      <c r="AZ214" s="3237" t="s">
        <v>132</v>
      </c>
      <c r="BA214" s="3237" t="s">
        <v>133</v>
      </c>
      <c r="BB214" s="3237" t="s">
        <v>134</v>
      </c>
      <c r="BC214" s="3237" t="s">
        <v>135</v>
      </c>
      <c r="BD214" s="3237" t="s">
        <v>136</v>
      </c>
      <c r="BE214" s="3237" t="s">
        <v>137</v>
      </c>
      <c r="BF214" s="3237" t="s">
        <v>138</v>
      </c>
      <c r="BG214" s="3237" t="s">
        <v>139</v>
      </c>
      <c r="BH214" s="3176"/>
      <c r="BJ214" s="3176"/>
      <c r="BK214" s="3197"/>
      <c r="BL214" s="3176"/>
      <c r="BM214" s="3176"/>
      <c r="BN214" s="3176"/>
      <c r="BO214" s="3176"/>
      <c r="BP214" s="3177"/>
      <c r="BQ214" s="3177"/>
      <c r="BR214" s="3177"/>
      <c r="BS214" s="3177"/>
      <c r="BT214" s="3177"/>
      <c r="BU214" s="3177"/>
    </row>
    <row r="215" spans="1:73">
      <c r="A215" s="39"/>
      <c r="B215" s="3176"/>
      <c r="C215" s="3238" t="s">
        <v>566</v>
      </c>
      <c r="D215" s="3238" t="s">
        <v>97</v>
      </c>
      <c r="E215" s="3176" t="s">
        <v>87</v>
      </c>
      <c r="F215" s="3239"/>
      <c r="G215" s="3239"/>
      <c r="H215" s="3240"/>
      <c r="I215" s="3240"/>
      <c r="J215" s="3240"/>
      <c r="K215" s="3240"/>
      <c r="L215" s="3240"/>
      <c r="M215" s="3240"/>
      <c r="N215" s="3240"/>
      <c r="O215" s="3240"/>
      <c r="P215" s="3240"/>
      <c r="Q215" s="3240"/>
      <c r="R215" s="3240"/>
      <c r="S215" s="3240"/>
      <c r="T215" s="3240"/>
      <c r="U215" s="3240"/>
      <c r="V215" s="3240"/>
      <c r="W215" s="3240"/>
      <c r="X215" s="3240"/>
      <c r="Y215" s="3240"/>
      <c r="Z215" s="3240"/>
      <c r="AA215" s="3240"/>
      <c r="AB215" s="3240"/>
      <c r="AC215" s="3240"/>
      <c r="AD215" s="3240"/>
      <c r="AE215" s="3240"/>
      <c r="AF215" s="3240"/>
      <c r="AG215" s="3240"/>
      <c r="AH215" s="3240"/>
      <c r="AI215" s="3240"/>
      <c r="AJ215" s="3240"/>
      <c r="AK215" s="3240"/>
      <c r="AL215" s="3240"/>
      <c r="AM215" s="3240"/>
      <c r="AN215" s="3240"/>
      <c r="AO215" s="3240"/>
      <c r="AP215" s="3240"/>
      <c r="AQ215" s="3240"/>
      <c r="AR215" s="3240"/>
      <c r="AS215" s="3240"/>
      <c r="AT215" s="3240"/>
      <c r="AU215" s="3240"/>
      <c r="AV215" s="3240"/>
      <c r="AW215" s="3240"/>
      <c r="AX215" s="3241"/>
      <c r="AY215" s="4228">
        <f t="shared" ref="AY215:BG217" ca="1" si="44">IFERROR(INDEX(INDIRECT($C215&amp;".Outputs["&amp;AY$4&amp;"]"),MATCH($D215,INDIRECT($C215&amp;".Outputs[Vector]"),0)),"na")</f>
        <v>0.99519481815300015</v>
      </c>
      <c r="AZ215" s="3242">
        <f t="shared" ca="1" si="44"/>
        <v>1.435815964378379</v>
      </c>
      <c r="BA215" s="3242">
        <f t="shared" ca="1" si="44"/>
        <v>1.8210288047733452</v>
      </c>
      <c r="BB215" s="3242">
        <f t="shared" ca="1" si="44"/>
        <v>2.30169899080897</v>
      </c>
      <c r="BC215" s="3242">
        <f t="shared" ca="1" si="44"/>
        <v>2.3500640448612282</v>
      </c>
      <c r="BD215" s="3242">
        <f t="shared" ca="1" si="44"/>
        <v>2.4111393239589378</v>
      </c>
      <c r="BE215" s="3242">
        <f t="shared" ca="1" si="44"/>
        <v>2.4747473841575749</v>
      </c>
      <c r="BF215" s="3242">
        <f t="shared" ca="1" si="44"/>
        <v>2.5408940930767048</v>
      </c>
      <c r="BG215" s="3242">
        <f t="shared" ca="1" si="44"/>
        <v>2.6102867681557558</v>
      </c>
      <c r="BH215" s="3176"/>
      <c r="BJ215" s="3176"/>
      <c r="BK215" s="3238"/>
      <c r="BL215" s="3238"/>
      <c r="BM215" s="3176"/>
      <c r="BN215" s="3239"/>
      <c r="BO215" s="3239"/>
      <c r="BP215" s="3240"/>
      <c r="BQ215" s="3240"/>
      <c r="BR215" s="3240"/>
      <c r="BS215" s="3240"/>
      <c r="BT215" s="3240"/>
      <c r="BU215" s="3240"/>
    </row>
    <row r="216" spans="1:73">
      <c r="A216" s="39"/>
      <c r="B216" s="3176"/>
      <c r="C216" s="3238" t="s">
        <v>566</v>
      </c>
      <c r="D216" s="3238" t="s">
        <v>98</v>
      </c>
      <c r="E216" s="3176" t="s">
        <v>88</v>
      </c>
      <c r="F216" s="3239"/>
      <c r="G216" s="3239"/>
      <c r="H216" s="3240"/>
      <c r="I216" s="3240"/>
      <c r="J216" s="3240"/>
      <c r="K216" s="3240"/>
      <c r="L216" s="3240"/>
      <c r="M216" s="3240"/>
      <c r="N216" s="3240"/>
      <c r="O216" s="3240"/>
      <c r="P216" s="3240"/>
      <c r="Q216" s="3240"/>
      <c r="R216" s="3240"/>
      <c r="S216" s="3240"/>
      <c r="T216" s="3240"/>
      <c r="U216" s="3240"/>
      <c r="V216" s="3240"/>
      <c r="W216" s="3240"/>
      <c r="X216" s="3240"/>
      <c r="Y216" s="3240"/>
      <c r="Z216" s="3240"/>
      <c r="AA216" s="3240"/>
      <c r="AB216" s="3240"/>
      <c r="AC216" s="3240"/>
      <c r="AD216" s="3240"/>
      <c r="AE216" s="3240"/>
      <c r="AF216" s="3240"/>
      <c r="AG216" s="3240"/>
      <c r="AH216" s="3240"/>
      <c r="AI216" s="3240"/>
      <c r="AJ216" s="3240"/>
      <c r="AK216" s="3240"/>
      <c r="AL216" s="3240"/>
      <c r="AM216" s="3240"/>
      <c r="AN216" s="3240"/>
      <c r="AO216" s="3240"/>
      <c r="AP216" s="3240"/>
      <c r="AQ216" s="3240"/>
      <c r="AR216" s="3240"/>
      <c r="AS216" s="3240"/>
      <c r="AT216" s="3240"/>
      <c r="AU216" s="3240"/>
      <c r="AV216" s="3240"/>
      <c r="AW216" s="3240"/>
      <c r="AX216" s="3241"/>
      <c r="AY216" s="4228">
        <f t="shared" ca="1" si="44"/>
        <v>0.10723083333333333</v>
      </c>
      <c r="AZ216" s="3242">
        <f t="shared" ca="1" si="44"/>
        <v>0.10886739853662886</v>
      </c>
      <c r="BA216" s="3242">
        <f t="shared" ca="1" si="44"/>
        <v>0.11314027102603014</v>
      </c>
      <c r="BB216" s="3242">
        <f t="shared" ca="1" si="44"/>
        <v>0.13269333413613754</v>
      </c>
      <c r="BC216" s="3242">
        <f t="shared" ca="1" si="44"/>
        <v>0.13778890093038501</v>
      </c>
      <c r="BD216" s="3242">
        <f t="shared" ca="1" si="44"/>
        <v>0.14320900218883223</v>
      </c>
      <c r="BE216" s="3242">
        <f t="shared" ca="1" si="44"/>
        <v>0.14897751054695804</v>
      </c>
      <c r="BF216" s="3242">
        <f t="shared" ca="1" si="44"/>
        <v>0.15512010271129639</v>
      </c>
      <c r="BG216" s="3242">
        <f t="shared" ca="1" si="44"/>
        <v>0.16166439641729724</v>
      </c>
      <c r="BH216" s="3176"/>
      <c r="BJ216" s="3176"/>
      <c r="BK216" s="3238"/>
      <c r="BL216" s="3238"/>
      <c r="BM216" s="3176"/>
      <c r="BN216" s="3239"/>
      <c r="BO216" s="3239"/>
      <c r="BP216" s="3240"/>
      <c r="BQ216" s="3240"/>
      <c r="BR216" s="3240"/>
      <c r="BS216" s="3240"/>
      <c r="BT216" s="3240"/>
      <c r="BU216" s="3240"/>
    </row>
    <row r="217" spans="1:73">
      <c r="A217" s="39"/>
      <c r="B217" s="3176"/>
      <c r="C217" s="3238" t="s">
        <v>566</v>
      </c>
      <c r="D217" s="3238" t="s">
        <v>99</v>
      </c>
      <c r="E217" s="3176" t="s">
        <v>89</v>
      </c>
      <c r="F217" s="3239"/>
      <c r="G217" s="3239"/>
      <c r="H217" s="3240"/>
      <c r="I217" s="3240"/>
      <c r="J217" s="3240"/>
      <c r="K217" s="3240"/>
      <c r="L217" s="3240"/>
      <c r="M217" s="3240"/>
      <c r="N217" s="3240"/>
      <c r="O217" s="3240"/>
      <c r="P217" s="3240"/>
      <c r="Q217" s="3240"/>
      <c r="R217" s="3240"/>
      <c r="S217" s="3240"/>
      <c r="T217" s="3240"/>
      <c r="U217" s="3240"/>
      <c r="V217" s="3240"/>
      <c r="W217" s="3240"/>
      <c r="X217" s="3240"/>
      <c r="Y217" s="3240"/>
      <c r="Z217" s="3240"/>
      <c r="AA217" s="3240"/>
      <c r="AB217" s="3240"/>
      <c r="AC217" s="3240"/>
      <c r="AD217" s="3240"/>
      <c r="AE217" s="3240"/>
      <c r="AF217" s="3240"/>
      <c r="AG217" s="3240"/>
      <c r="AH217" s="3240"/>
      <c r="AI217" s="3240"/>
      <c r="AJ217" s="3240"/>
      <c r="AK217" s="3240"/>
      <c r="AL217" s="3240"/>
      <c r="AM217" s="3240"/>
      <c r="AN217" s="3240"/>
      <c r="AO217" s="3240"/>
      <c r="AP217" s="3240"/>
      <c r="AQ217" s="3240"/>
      <c r="AR217" s="3240"/>
      <c r="AS217" s="3240"/>
      <c r="AT217" s="3240"/>
      <c r="AU217" s="3240"/>
      <c r="AV217" s="3240"/>
      <c r="AW217" s="3240"/>
      <c r="AX217" s="3241"/>
      <c r="AY217" s="4228">
        <f t="shared" ca="1" si="44"/>
        <v>0.17080321378922586</v>
      </c>
      <c r="AZ217" s="3242">
        <f t="shared" ca="1" si="44"/>
        <v>0.19925972961025004</v>
      </c>
      <c r="BA217" s="3242">
        <f t="shared" ca="1" si="44"/>
        <v>0.27965141325063358</v>
      </c>
      <c r="BB217" s="3242">
        <f t="shared" ca="1" si="44"/>
        <v>0.43072395411839237</v>
      </c>
      <c r="BC217" s="3242">
        <f t="shared" ca="1" si="44"/>
        <v>0.44436488647061306</v>
      </c>
      <c r="BD217" s="3242">
        <f t="shared" ca="1" si="44"/>
        <v>0.58378237623376583</v>
      </c>
      <c r="BE217" s="3242">
        <f t="shared" ca="1" si="44"/>
        <v>0.73492217145589944</v>
      </c>
      <c r="BF217" s="3242">
        <f t="shared" ca="1" si="44"/>
        <v>0.89862325021820177</v>
      </c>
      <c r="BG217" s="3242">
        <f t="shared" ca="1" si="44"/>
        <v>0.93413070678266041</v>
      </c>
      <c r="BH217" s="3176"/>
      <c r="BJ217" s="3176"/>
      <c r="BK217" s="3238"/>
      <c r="BL217" s="3238"/>
      <c r="BM217" s="3176"/>
      <c r="BN217" s="3239"/>
      <c r="BO217" s="3239"/>
      <c r="BP217" s="3240"/>
      <c r="BQ217" s="3240"/>
      <c r="BR217" s="3240"/>
      <c r="BS217" s="3240"/>
      <c r="BT217" s="3240"/>
      <c r="BU217" s="3240"/>
    </row>
    <row r="218" spans="1:73">
      <c r="A218" s="39"/>
      <c r="B218" s="3176"/>
      <c r="C218" s="3241"/>
      <c r="D218" s="3241"/>
      <c r="E218" s="3241"/>
      <c r="F218" s="3241"/>
      <c r="G218" s="3241"/>
      <c r="H218" s="3177"/>
      <c r="I218" s="3177"/>
      <c r="J218" s="3177"/>
      <c r="K218" s="3177"/>
      <c r="L218" s="3177"/>
      <c r="M218" s="3177"/>
      <c r="N218" s="3177"/>
      <c r="O218" s="3177"/>
      <c r="P218" s="3177"/>
      <c r="Q218" s="3177"/>
      <c r="R218" s="3177"/>
      <c r="S218" s="3177"/>
      <c r="T218" s="3177"/>
      <c r="U218" s="3177"/>
      <c r="V218" s="3177"/>
      <c r="W218" s="3177"/>
      <c r="X218" s="3177"/>
      <c r="Y218" s="3177"/>
      <c r="Z218" s="3177"/>
      <c r="AA218" s="3177"/>
      <c r="AB218" s="3177"/>
      <c r="AC218" s="3177"/>
      <c r="AD218" s="3177"/>
      <c r="AE218" s="3177"/>
      <c r="AF218" s="3177"/>
      <c r="AG218" s="3177"/>
      <c r="AH218" s="3177"/>
      <c r="AI218" s="3177"/>
      <c r="AJ218" s="3177"/>
      <c r="AK218" s="3177"/>
      <c r="AL218" s="3177"/>
      <c r="AM218" s="3177"/>
      <c r="AN218" s="3177"/>
      <c r="AO218" s="3177"/>
      <c r="AP218" s="3177"/>
      <c r="AQ218" s="3177"/>
      <c r="AR218" s="3177"/>
      <c r="AS218" s="3177"/>
      <c r="AT218" s="3177"/>
      <c r="AU218" s="3177"/>
      <c r="AV218" s="3177"/>
      <c r="AW218" s="3177"/>
      <c r="AX218" s="3241"/>
      <c r="AY218" s="4232"/>
      <c r="AZ218" s="3241"/>
      <c r="BA218" s="3241"/>
      <c r="BB218" s="3241"/>
      <c r="BC218" s="3241"/>
      <c r="BD218" s="3241"/>
      <c r="BE218" s="3241"/>
      <c r="BF218" s="3241"/>
      <c r="BG218" s="3241"/>
      <c r="BH218" s="3176"/>
      <c r="BJ218" s="3176"/>
      <c r="BK218" s="3241"/>
      <c r="BL218" s="3241"/>
      <c r="BM218" s="3241"/>
      <c r="BN218" s="3241"/>
      <c r="BO218" s="3241"/>
      <c r="BP218" s="3177"/>
      <c r="BQ218" s="3177"/>
      <c r="BR218" s="3177"/>
      <c r="BS218" s="3177"/>
      <c r="BT218" s="3177"/>
      <c r="BU218" s="3177"/>
    </row>
    <row r="219" spans="1:73">
      <c r="A219" s="39"/>
      <c r="B219" s="3176"/>
      <c r="C219" s="3243" t="s">
        <v>1371</v>
      </c>
      <c r="D219" s="3241"/>
      <c r="E219" s="3241"/>
      <c r="F219" s="3241"/>
      <c r="G219" s="3241"/>
      <c r="H219" s="3177"/>
      <c r="I219" s="3177"/>
      <c r="J219" s="3177"/>
      <c r="K219" s="3177"/>
      <c r="L219" s="3177"/>
      <c r="M219" s="3177"/>
      <c r="N219" s="3177"/>
      <c r="O219" s="3177"/>
      <c r="P219" s="3177"/>
      <c r="Q219" s="3177"/>
      <c r="R219" s="3177"/>
      <c r="S219" s="3177"/>
      <c r="T219" s="3177"/>
      <c r="U219" s="3177"/>
      <c r="V219" s="3177"/>
      <c r="W219" s="3177"/>
      <c r="X219" s="3177"/>
      <c r="Y219" s="3177"/>
      <c r="Z219" s="3177"/>
      <c r="AA219" s="3177"/>
      <c r="AB219" s="3177"/>
      <c r="AC219" s="3177"/>
      <c r="AD219" s="3177"/>
      <c r="AE219" s="3177"/>
      <c r="AF219" s="3177"/>
      <c r="AG219" s="3177"/>
      <c r="AH219" s="3177"/>
      <c r="AI219" s="3177"/>
      <c r="AJ219" s="3177"/>
      <c r="AK219" s="3177"/>
      <c r="AL219" s="3177"/>
      <c r="AM219" s="3177"/>
      <c r="AN219" s="3177"/>
      <c r="AO219" s="3177"/>
      <c r="AP219" s="3177"/>
      <c r="AQ219" s="3177"/>
      <c r="AR219" s="3177"/>
      <c r="AS219" s="3177"/>
      <c r="AT219" s="3177"/>
      <c r="AU219" s="3177"/>
      <c r="AV219" s="3177"/>
      <c r="AW219" s="3177"/>
      <c r="AX219" s="3241"/>
      <c r="AY219" s="4232"/>
      <c r="AZ219" s="3241"/>
      <c r="BA219" s="3241"/>
      <c r="BB219" s="3241"/>
      <c r="BC219" s="3241"/>
      <c r="BD219" s="3241"/>
      <c r="BE219" s="3241"/>
      <c r="BF219" s="3241"/>
      <c r="BG219" s="3241"/>
      <c r="BH219" s="3176"/>
      <c r="BJ219" s="3176"/>
      <c r="BK219" s="3243"/>
      <c r="BL219" s="3241"/>
      <c r="BM219" s="3241"/>
      <c r="BN219" s="3241"/>
      <c r="BO219" s="3241"/>
      <c r="BP219" s="3177"/>
      <c r="BQ219" s="3177"/>
      <c r="BR219" s="3177"/>
      <c r="BS219" s="3177"/>
      <c r="BT219" s="3177"/>
      <c r="BU219" s="3177"/>
    </row>
    <row r="220" spans="1:73">
      <c r="A220" s="39"/>
      <c r="B220" s="3176"/>
      <c r="C220" s="3238" t="s">
        <v>569</v>
      </c>
      <c r="D220" s="3238" t="s">
        <v>97</v>
      </c>
      <c r="E220" s="3176" t="s">
        <v>87</v>
      </c>
      <c r="F220" s="3239"/>
      <c r="G220" s="3239"/>
      <c r="H220" s="3240"/>
      <c r="I220" s="3240"/>
      <c r="J220" s="3240"/>
      <c r="K220" s="3240"/>
      <c r="L220" s="3240"/>
      <c r="M220" s="3240"/>
      <c r="N220" s="3240"/>
      <c r="O220" s="3240"/>
      <c r="P220" s="3240"/>
      <c r="Q220" s="3240"/>
      <c r="R220" s="3240"/>
      <c r="S220" s="3240"/>
      <c r="T220" s="3240"/>
      <c r="U220" s="3240"/>
      <c r="V220" s="3240"/>
      <c r="W220" s="3240"/>
      <c r="X220" s="3240"/>
      <c r="Y220" s="3240"/>
      <c r="Z220" s="3240"/>
      <c r="AA220" s="3240"/>
      <c r="AB220" s="3240"/>
      <c r="AC220" s="3240"/>
      <c r="AD220" s="3240"/>
      <c r="AE220" s="3240"/>
      <c r="AF220" s="3240"/>
      <c r="AG220" s="3240"/>
      <c r="AH220" s="3240"/>
      <c r="AI220" s="3240"/>
      <c r="AJ220" s="3240"/>
      <c r="AK220" s="3240"/>
      <c r="AL220" s="3240"/>
      <c r="AM220" s="3240"/>
      <c r="AN220" s="3240"/>
      <c r="AO220" s="3240"/>
      <c r="AP220" s="3240"/>
      <c r="AQ220" s="3240"/>
      <c r="AR220" s="3240"/>
      <c r="AS220" s="3240"/>
      <c r="AT220" s="3240"/>
      <c r="AU220" s="3240"/>
      <c r="AV220" s="3240"/>
      <c r="AW220" s="3240"/>
      <c r="AX220" s="3241"/>
      <c r="AY220" s="4228">
        <f t="shared" ref="AY220:BG222" ca="1" si="45">IFERROR(INDEX(INDIRECT($C220&amp;".Outputs["&amp;AY$4&amp;"]"),MATCH($D220,INDIRECT($C220&amp;".Outputs[Vector]"),0)),"na")</f>
        <v>0.17666666666666667</v>
      </c>
      <c r="AZ220" s="3242">
        <f t="shared" ca="1" si="45"/>
        <v>0.25</v>
      </c>
      <c r="BA220" s="3242">
        <f t="shared" ca="1" si="45"/>
        <v>0.25</v>
      </c>
      <c r="BB220" s="3242">
        <f t="shared" ca="1" si="45"/>
        <v>0.2</v>
      </c>
      <c r="BC220" s="3242">
        <f t="shared" ca="1" si="45"/>
        <v>1</v>
      </c>
      <c r="BD220" s="3242">
        <f t="shared" ca="1" si="45"/>
        <v>1</v>
      </c>
      <c r="BE220" s="3242">
        <f t="shared" ca="1" si="45"/>
        <v>0.5</v>
      </c>
      <c r="BF220" s="3242">
        <f t="shared" ca="1" si="45"/>
        <v>0</v>
      </c>
      <c r="BG220" s="3242">
        <f t="shared" ca="1" si="45"/>
        <v>0</v>
      </c>
      <c r="BH220" s="3176"/>
      <c r="BJ220" s="3176"/>
      <c r="BK220" s="3238"/>
      <c r="BL220" s="3238"/>
      <c r="BM220" s="3176"/>
      <c r="BN220" s="3239"/>
      <c r="BO220" s="3239"/>
      <c r="BP220" s="3240"/>
      <c r="BQ220" s="3240"/>
      <c r="BR220" s="3240"/>
      <c r="BS220" s="3240"/>
      <c r="BT220" s="3240"/>
      <c r="BU220" s="3240"/>
    </row>
    <row r="221" spans="1:73">
      <c r="A221" s="39"/>
      <c r="B221" s="3176"/>
      <c r="C221" s="3238" t="s">
        <v>569</v>
      </c>
      <c r="D221" s="3238" t="s">
        <v>98</v>
      </c>
      <c r="E221" s="3176" t="s">
        <v>88</v>
      </c>
      <c r="F221" s="3239"/>
      <c r="G221" s="3239"/>
      <c r="H221" s="3240"/>
      <c r="I221" s="3240"/>
      <c r="J221" s="3240"/>
      <c r="K221" s="3240"/>
      <c r="L221" s="3240"/>
      <c r="M221" s="3240"/>
      <c r="N221" s="3240"/>
      <c r="O221" s="3240"/>
      <c r="P221" s="3240"/>
      <c r="Q221" s="3240"/>
      <c r="R221" s="3240"/>
      <c r="S221" s="3240"/>
      <c r="T221" s="3240"/>
      <c r="U221" s="3240"/>
      <c r="V221" s="3240"/>
      <c r="W221" s="3240"/>
      <c r="X221" s="3240"/>
      <c r="Y221" s="3240"/>
      <c r="Z221" s="3240"/>
      <c r="AA221" s="3240"/>
      <c r="AB221" s="3240"/>
      <c r="AC221" s="3240"/>
      <c r="AD221" s="3240"/>
      <c r="AE221" s="3240"/>
      <c r="AF221" s="3240"/>
      <c r="AG221" s="3240"/>
      <c r="AH221" s="3240"/>
      <c r="AI221" s="3240"/>
      <c r="AJ221" s="3240"/>
      <c r="AK221" s="3240"/>
      <c r="AL221" s="3240"/>
      <c r="AM221" s="3240"/>
      <c r="AN221" s="3240"/>
      <c r="AO221" s="3240"/>
      <c r="AP221" s="3240"/>
      <c r="AQ221" s="3240"/>
      <c r="AR221" s="3240"/>
      <c r="AS221" s="3240"/>
      <c r="AT221" s="3240"/>
      <c r="AU221" s="3240"/>
      <c r="AV221" s="3240"/>
      <c r="AW221" s="3240"/>
      <c r="AX221" s="3241"/>
      <c r="AY221" s="4228">
        <f t="shared" ca="1" si="45"/>
        <v>0.91876999999999998</v>
      </c>
      <c r="AZ221" s="3242">
        <f t="shared" ca="1" si="45"/>
        <v>1.0467</v>
      </c>
      <c r="BA221" s="3242">
        <f t="shared" ca="1" si="45"/>
        <v>1.0467</v>
      </c>
      <c r="BB221" s="3242">
        <f t="shared" ca="1" si="45"/>
        <v>1.0467</v>
      </c>
      <c r="BC221" s="3242">
        <f t="shared" ca="1" si="45"/>
        <v>0.6</v>
      </c>
      <c r="BD221" s="3242">
        <f t="shared" ca="1" si="45"/>
        <v>0.44999999999999996</v>
      </c>
      <c r="BE221" s="3242">
        <f t="shared" ca="1" si="45"/>
        <v>0.29999999999999993</v>
      </c>
      <c r="BF221" s="3242">
        <f t="shared" ca="1" si="45"/>
        <v>0.14999999999999991</v>
      </c>
      <c r="BG221" s="3242">
        <f t="shared" ca="1" si="45"/>
        <v>0</v>
      </c>
      <c r="BH221" s="3176"/>
      <c r="BJ221" s="3176"/>
      <c r="BK221" s="3238"/>
      <c r="BL221" s="3238"/>
      <c r="BM221" s="3176"/>
      <c r="BN221" s="3239"/>
      <c r="BO221" s="3239"/>
      <c r="BP221" s="3240"/>
      <c r="BQ221" s="3240"/>
      <c r="BR221" s="3240"/>
      <c r="BS221" s="3240"/>
      <c r="BT221" s="3240"/>
      <c r="BU221" s="3240"/>
    </row>
    <row r="222" spans="1:73">
      <c r="A222" s="39"/>
      <c r="B222" s="3176"/>
      <c r="C222" s="3238" t="s">
        <v>569</v>
      </c>
      <c r="D222" s="3238" t="s">
        <v>99</v>
      </c>
      <c r="E222" s="3176" t="s">
        <v>89</v>
      </c>
      <c r="F222" s="3239"/>
      <c r="G222" s="3239"/>
      <c r="H222" s="3240"/>
      <c r="I222" s="3240"/>
      <c r="J222" s="3240"/>
      <c r="K222" s="3240"/>
      <c r="L222" s="3240"/>
      <c r="M222" s="3240"/>
      <c r="N222" s="3240"/>
      <c r="O222" s="3240"/>
      <c r="P222" s="3240"/>
      <c r="Q222" s="3240"/>
      <c r="R222" s="3240"/>
      <c r="S222" s="3240"/>
      <c r="T222" s="3240"/>
      <c r="U222" s="3240"/>
      <c r="V222" s="3240"/>
      <c r="W222" s="3240"/>
      <c r="X222" s="3240"/>
      <c r="Y222" s="3240"/>
      <c r="Z222" s="3240"/>
      <c r="AA222" s="3240"/>
      <c r="AB222" s="3240"/>
      <c r="AC222" s="3240"/>
      <c r="AD222" s="3240"/>
      <c r="AE222" s="3240"/>
      <c r="AF222" s="3240"/>
      <c r="AG222" s="3240"/>
      <c r="AH222" s="3240"/>
      <c r="AI222" s="3240"/>
      <c r="AJ222" s="3240"/>
      <c r="AK222" s="3240"/>
      <c r="AL222" s="3240"/>
      <c r="AM222" s="3240"/>
      <c r="AN222" s="3240"/>
      <c r="AO222" s="3240"/>
      <c r="AP222" s="3240"/>
      <c r="AQ222" s="3240"/>
      <c r="AR222" s="3240"/>
      <c r="AS222" s="3240"/>
      <c r="AT222" s="3240"/>
      <c r="AU222" s="3240"/>
      <c r="AV222" s="3240"/>
      <c r="AW222" s="3240"/>
      <c r="AX222" s="3241"/>
      <c r="AY222" s="4228">
        <f t="shared" ca="1" si="45"/>
        <v>0</v>
      </c>
      <c r="AZ222" s="3242">
        <f t="shared" ca="1" si="45"/>
        <v>0</v>
      </c>
      <c r="BA222" s="3242">
        <f t="shared" ca="1" si="45"/>
        <v>0</v>
      </c>
      <c r="BB222" s="3242">
        <f t="shared" ca="1" si="45"/>
        <v>0</v>
      </c>
      <c r="BC222" s="3242">
        <f t="shared" ca="1" si="45"/>
        <v>0</v>
      </c>
      <c r="BD222" s="3242">
        <f t="shared" ca="1" si="45"/>
        <v>0</v>
      </c>
      <c r="BE222" s="3242">
        <f t="shared" ca="1" si="45"/>
        <v>0</v>
      </c>
      <c r="BF222" s="3242">
        <f t="shared" ca="1" si="45"/>
        <v>0</v>
      </c>
      <c r="BG222" s="3242">
        <f t="shared" ca="1" si="45"/>
        <v>0</v>
      </c>
      <c r="BH222" s="3176"/>
      <c r="BJ222" s="3176"/>
      <c r="BK222" s="3238"/>
      <c r="BL222" s="3238"/>
      <c r="BM222" s="3176"/>
      <c r="BN222" s="3239"/>
      <c r="BO222" s="3239"/>
      <c r="BP222" s="3240"/>
      <c r="BQ222" s="3240"/>
      <c r="BR222" s="3240"/>
      <c r="BS222" s="3240"/>
      <c r="BT222" s="3240"/>
      <c r="BU222" s="3240"/>
    </row>
    <row r="223" spans="1:73">
      <c r="A223" s="39"/>
      <c r="B223" s="3176"/>
      <c r="C223" s="3176"/>
      <c r="D223" s="3176"/>
      <c r="E223" s="3176"/>
      <c r="F223" s="3176"/>
      <c r="G223" s="3176"/>
      <c r="H223" s="3177"/>
      <c r="I223" s="3177"/>
      <c r="J223" s="3177"/>
      <c r="K223" s="3177"/>
      <c r="L223" s="3177"/>
      <c r="M223" s="3177"/>
      <c r="N223" s="3177"/>
      <c r="O223" s="3177"/>
      <c r="P223" s="3177"/>
      <c r="Q223" s="3177"/>
      <c r="R223" s="3177"/>
      <c r="S223" s="3177"/>
      <c r="T223" s="3177"/>
      <c r="U223" s="3177"/>
      <c r="V223" s="3177"/>
      <c r="W223" s="3177"/>
      <c r="X223" s="3177"/>
      <c r="Y223" s="3177"/>
      <c r="Z223" s="3177"/>
      <c r="AA223" s="3177"/>
      <c r="AB223" s="3177"/>
      <c r="AC223" s="3177"/>
      <c r="AD223" s="3177"/>
      <c r="AE223" s="3177"/>
      <c r="AF223" s="3177"/>
      <c r="AG223" s="3177"/>
      <c r="AH223" s="3177"/>
      <c r="AI223" s="3177"/>
      <c r="AJ223" s="3177"/>
      <c r="AK223" s="3177"/>
      <c r="AL223" s="3177"/>
      <c r="AM223" s="3177"/>
      <c r="AN223" s="3177"/>
      <c r="AO223" s="3177"/>
      <c r="AP223" s="3177"/>
      <c r="AQ223" s="3177"/>
      <c r="AR223" s="3177"/>
      <c r="AS223" s="3177"/>
      <c r="AT223" s="3177"/>
      <c r="AU223" s="3177"/>
      <c r="AV223" s="3177"/>
      <c r="AW223" s="3177"/>
      <c r="AX223" s="3176"/>
      <c r="AY223" s="3176"/>
      <c r="AZ223" s="3176"/>
      <c r="BA223" s="3176"/>
      <c r="BB223" s="3176"/>
      <c r="BC223" s="3176"/>
      <c r="BD223" s="3176"/>
      <c r="BE223" s="3176"/>
      <c r="BF223" s="3176"/>
      <c r="BG223" s="3176"/>
      <c r="BH223" s="3176"/>
      <c r="BJ223" s="3176"/>
      <c r="BK223" s="3176"/>
      <c r="BL223" s="3176"/>
      <c r="BM223" s="3176"/>
      <c r="BN223" s="3176"/>
      <c r="BO223" s="3176"/>
      <c r="BP223" s="3177"/>
      <c r="BQ223" s="3177"/>
      <c r="BR223" s="3177"/>
      <c r="BS223" s="3177"/>
      <c r="BT223" s="3177"/>
      <c r="BU223" s="3177"/>
    </row>
    <row r="224" spans="1:73">
      <c r="A224" s="39"/>
      <c r="B224" s="3176"/>
      <c r="C224" s="3197" t="s">
        <v>58</v>
      </c>
      <c r="D224" s="3176"/>
      <c r="E224" s="3176"/>
      <c r="F224" s="3176"/>
      <c r="G224" s="3176"/>
      <c r="H224" s="3177"/>
      <c r="I224" s="3177"/>
      <c r="J224" s="3177"/>
      <c r="K224" s="3177"/>
      <c r="L224" s="3177"/>
      <c r="M224" s="3177"/>
      <c r="N224" s="3177"/>
      <c r="O224" s="3177"/>
      <c r="P224" s="3177"/>
      <c r="Q224" s="3177"/>
      <c r="R224" s="3177"/>
      <c r="S224" s="3177"/>
      <c r="T224" s="3177"/>
      <c r="U224" s="3177"/>
      <c r="V224" s="3177"/>
      <c r="W224" s="3177"/>
      <c r="X224" s="3177"/>
      <c r="Y224" s="3177"/>
      <c r="Z224" s="3177"/>
      <c r="AA224" s="3177"/>
      <c r="AB224" s="3177"/>
      <c r="AC224" s="3177"/>
      <c r="AD224" s="3177"/>
      <c r="AE224" s="3177"/>
      <c r="AF224" s="3177"/>
      <c r="AG224" s="3177"/>
      <c r="AH224" s="3177"/>
      <c r="AI224" s="3177"/>
      <c r="AJ224" s="3177"/>
      <c r="AK224" s="3177"/>
      <c r="AL224" s="3177"/>
      <c r="AM224" s="3177"/>
      <c r="AN224" s="3177"/>
      <c r="AO224" s="3177"/>
      <c r="AP224" s="3177"/>
      <c r="AQ224" s="3177"/>
      <c r="AR224" s="3177"/>
      <c r="AS224" s="3177"/>
      <c r="AT224" s="3177"/>
      <c r="AU224" s="3177"/>
      <c r="AV224" s="3177"/>
      <c r="AW224" s="3177"/>
      <c r="AX224" s="3176"/>
      <c r="AY224" s="3176"/>
      <c r="AZ224" s="3176"/>
      <c r="BA224" s="3176"/>
      <c r="BB224" s="3176"/>
      <c r="BC224" s="3176"/>
      <c r="BD224" s="3176"/>
      <c r="BE224" s="3176"/>
      <c r="BF224" s="3176"/>
      <c r="BG224" s="3176"/>
      <c r="BH224" s="3176"/>
      <c r="BJ224" s="3176"/>
      <c r="BK224" s="3197"/>
      <c r="BL224" s="3176"/>
      <c r="BM224" s="3176"/>
      <c r="BN224" s="3176"/>
      <c r="BO224" s="3176"/>
      <c r="BP224" s="3177"/>
      <c r="BQ224" s="3177"/>
      <c r="BR224" s="3177"/>
      <c r="BS224" s="3177"/>
      <c r="BT224" s="3177"/>
      <c r="BU224" s="3177"/>
    </row>
    <row r="225" spans="1:73">
      <c r="A225" s="39"/>
      <c r="B225" s="3176"/>
      <c r="C225" s="3238" t="s">
        <v>569</v>
      </c>
      <c r="D225" s="3238" t="s">
        <v>97</v>
      </c>
      <c r="E225" s="3176" t="s">
        <v>87</v>
      </c>
      <c r="F225" s="3239"/>
      <c r="G225" s="3239"/>
      <c r="H225" s="3240"/>
      <c r="I225" s="3240"/>
      <c r="J225" s="3240"/>
      <c r="K225" s="3240"/>
      <c r="L225" s="3240"/>
      <c r="M225" s="3240"/>
      <c r="N225" s="3240"/>
      <c r="O225" s="3240"/>
      <c r="P225" s="3240"/>
      <c r="Q225" s="3240"/>
      <c r="R225" s="3240"/>
      <c r="S225" s="3240"/>
      <c r="T225" s="3240"/>
      <c r="U225" s="3240"/>
      <c r="V225" s="3240"/>
      <c r="W225" s="3240"/>
      <c r="X225" s="3240"/>
      <c r="Y225" s="3240"/>
      <c r="Z225" s="3240"/>
      <c r="AA225" s="3240"/>
      <c r="AB225" s="3240"/>
      <c r="AC225" s="3240"/>
      <c r="AD225" s="3240"/>
      <c r="AE225" s="3240"/>
      <c r="AF225" s="3240"/>
      <c r="AG225" s="3240"/>
      <c r="AH225" s="3240"/>
      <c r="AI225" s="3240"/>
      <c r="AJ225" s="3240"/>
      <c r="AK225" s="3240"/>
      <c r="AL225" s="3240"/>
      <c r="AM225" s="3240"/>
      <c r="AN225" s="3240"/>
      <c r="AO225" s="3240"/>
      <c r="AP225" s="3240"/>
      <c r="AQ225" s="3240"/>
      <c r="AR225" s="3240"/>
      <c r="AS225" s="3240"/>
      <c r="AT225" s="3240"/>
      <c r="AU225" s="3240"/>
      <c r="AV225" s="3240"/>
      <c r="AW225" s="3240"/>
      <c r="AX225" s="3176"/>
      <c r="AY225" s="4229">
        <f t="shared" ref="AY225:BG227" ca="1" si="46">AY215+AY220</f>
        <v>1.1718614848196669</v>
      </c>
      <c r="AZ225" s="3188">
        <f t="shared" ca="1" si="46"/>
        <v>1.685815964378379</v>
      </c>
      <c r="BA225" s="3188">
        <f t="shared" ca="1" si="46"/>
        <v>2.0710288047733449</v>
      </c>
      <c r="BB225" s="3188">
        <f t="shared" ca="1" si="46"/>
        <v>2.5016989908089702</v>
      </c>
      <c r="BC225" s="3188">
        <f t="shared" ca="1" si="46"/>
        <v>3.3500640448612282</v>
      </c>
      <c r="BD225" s="3188">
        <f t="shared" ca="1" si="46"/>
        <v>3.4111393239589378</v>
      </c>
      <c r="BE225" s="3188">
        <f t="shared" ca="1" si="46"/>
        <v>2.9747473841575749</v>
      </c>
      <c r="BF225" s="3188">
        <f t="shared" ca="1" si="46"/>
        <v>2.5408940930767048</v>
      </c>
      <c r="BG225" s="3188">
        <f t="shared" ca="1" si="46"/>
        <v>2.6102867681557558</v>
      </c>
      <c r="BH225" s="3176"/>
      <c r="BJ225" s="3176"/>
      <c r="BK225" s="3238"/>
      <c r="BL225" s="3238"/>
      <c r="BM225" s="3176"/>
      <c r="BN225" s="3239"/>
      <c r="BO225" s="3239"/>
      <c r="BP225" s="3240"/>
      <c r="BQ225" s="3240"/>
      <c r="BR225" s="3240"/>
      <c r="BS225" s="3240"/>
      <c r="BT225" s="3240"/>
      <c r="BU225" s="3240"/>
    </row>
    <row r="226" spans="1:73">
      <c r="A226" s="39"/>
      <c r="B226" s="3176"/>
      <c r="C226" s="3238" t="s">
        <v>569</v>
      </c>
      <c r="D226" s="3238" t="s">
        <v>98</v>
      </c>
      <c r="E226" s="3176" t="s">
        <v>88</v>
      </c>
      <c r="F226" s="3239"/>
      <c r="G226" s="3239"/>
      <c r="H226" s="3240"/>
      <c r="I226" s="3240"/>
      <c r="J226" s="3240"/>
      <c r="K226" s="3240"/>
      <c r="L226" s="3240"/>
      <c r="M226" s="3240"/>
      <c r="N226" s="3240"/>
      <c r="O226" s="3240"/>
      <c r="P226" s="3240"/>
      <c r="Q226" s="3240"/>
      <c r="R226" s="3240"/>
      <c r="S226" s="3240"/>
      <c r="T226" s="3240"/>
      <c r="U226" s="3240"/>
      <c r="V226" s="3240"/>
      <c r="W226" s="3240"/>
      <c r="X226" s="3240"/>
      <c r="Y226" s="3240"/>
      <c r="Z226" s="3240"/>
      <c r="AA226" s="3240"/>
      <c r="AB226" s="3240"/>
      <c r="AC226" s="3240"/>
      <c r="AD226" s="3240"/>
      <c r="AE226" s="3240"/>
      <c r="AF226" s="3240"/>
      <c r="AG226" s="3240"/>
      <c r="AH226" s="3240"/>
      <c r="AI226" s="3240"/>
      <c r="AJ226" s="3240"/>
      <c r="AK226" s="3240"/>
      <c r="AL226" s="3240"/>
      <c r="AM226" s="3240"/>
      <c r="AN226" s="3240"/>
      <c r="AO226" s="3240"/>
      <c r="AP226" s="3240"/>
      <c r="AQ226" s="3240"/>
      <c r="AR226" s="3240"/>
      <c r="AS226" s="3240"/>
      <c r="AT226" s="3240"/>
      <c r="AU226" s="3240"/>
      <c r="AV226" s="3240"/>
      <c r="AW226" s="3240"/>
      <c r="AX226" s="3176"/>
      <c r="AY226" s="4229">
        <f t="shared" ca="1" si="46"/>
        <v>1.0260008333333333</v>
      </c>
      <c r="AZ226" s="3188">
        <f t="shared" ca="1" si="46"/>
        <v>1.1555673985366288</v>
      </c>
      <c r="BA226" s="3188">
        <f t="shared" ca="1" si="46"/>
        <v>1.15984027102603</v>
      </c>
      <c r="BB226" s="3188">
        <f t="shared" ca="1" si="46"/>
        <v>1.1793933341361376</v>
      </c>
      <c r="BC226" s="3188">
        <f t="shared" ca="1" si="46"/>
        <v>0.73778890093038496</v>
      </c>
      <c r="BD226" s="3188">
        <f t="shared" ca="1" si="46"/>
        <v>0.59320900218883221</v>
      </c>
      <c r="BE226" s="3188">
        <f t="shared" ca="1" si="46"/>
        <v>0.448977510546958</v>
      </c>
      <c r="BF226" s="3188">
        <f t="shared" ca="1" si="46"/>
        <v>0.3051201027112963</v>
      </c>
      <c r="BG226" s="3188">
        <f t="shared" ca="1" si="46"/>
        <v>0.16166439641729724</v>
      </c>
      <c r="BH226" s="3176"/>
      <c r="BJ226" s="3176"/>
      <c r="BK226" s="3238"/>
      <c r="BL226" s="3238"/>
      <c r="BM226" s="3176"/>
      <c r="BN226" s="3239"/>
      <c r="BO226" s="3239"/>
      <c r="BP226" s="3240"/>
      <c r="BQ226" s="3240"/>
      <c r="BR226" s="3240"/>
      <c r="BS226" s="3240"/>
      <c r="BT226" s="3240"/>
      <c r="BU226" s="3240"/>
    </row>
    <row r="227" spans="1:73">
      <c r="A227" s="39"/>
      <c r="B227" s="3176"/>
      <c r="C227" s="3238" t="s">
        <v>569</v>
      </c>
      <c r="D227" s="3238" t="s">
        <v>99</v>
      </c>
      <c r="E227" s="3176" t="s">
        <v>89</v>
      </c>
      <c r="F227" s="3239"/>
      <c r="G227" s="3239"/>
      <c r="H227" s="3240"/>
      <c r="I227" s="3240"/>
      <c r="J227" s="3240"/>
      <c r="K227" s="3240"/>
      <c r="L227" s="3240"/>
      <c r="M227" s="3240"/>
      <c r="N227" s="3240"/>
      <c r="O227" s="3240"/>
      <c r="P227" s="3240"/>
      <c r="Q227" s="3240"/>
      <c r="R227" s="3240"/>
      <c r="S227" s="3240"/>
      <c r="T227" s="3240"/>
      <c r="U227" s="3240"/>
      <c r="V227" s="3240"/>
      <c r="W227" s="3240"/>
      <c r="X227" s="3240"/>
      <c r="Y227" s="3240"/>
      <c r="Z227" s="3240"/>
      <c r="AA227" s="3240"/>
      <c r="AB227" s="3240"/>
      <c r="AC227" s="3240"/>
      <c r="AD227" s="3240"/>
      <c r="AE227" s="3240"/>
      <c r="AF227" s="3240"/>
      <c r="AG227" s="3240"/>
      <c r="AH227" s="3240"/>
      <c r="AI227" s="3240"/>
      <c r="AJ227" s="3240"/>
      <c r="AK227" s="3240"/>
      <c r="AL227" s="3240"/>
      <c r="AM227" s="3240"/>
      <c r="AN227" s="3240"/>
      <c r="AO227" s="3240"/>
      <c r="AP227" s="3240"/>
      <c r="AQ227" s="3240"/>
      <c r="AR227" s="3240"/>
      <c r="AS227" s="3240"/>
      <c r="AT227" s="3240"/>
      <c r="AU227" s="3240"/>
      <c r="AV227" s="3240"/>
      <c r="AW227" s="3240"/>
      <c r="AX227" s="3176"/>
      <c r="AY227" s="4229">
        <f t="shared" ca="1" si="46"/>
        <v>0.17080321378922586</v>
      </c>
      <c r="AZ227" s="3188">
        <f t="shared" ca="1" si="46"/>
        <v>0.19925972961025004</v>
      </c>
      <c r="BA227" s="3188">
        <f t="shared" ca="1" si="46"/>
        <v>0.27965141325063358</v>
      </c>
      <c r="BB227" s="3188">
        <f t="shared" ca="1" si="46"/>
        <v>0.43072395411839237</v>
      </c>
      <c r="BC227" s="3188">
        <f t="shared" ca="1" si="46"/>
        <v>0.44436488647061306</v>
      </c>
      <c r="BD227" s="3188">
        <f t="shared" ca="1" si="46"/>
        <v>0.58378237623376583</v>
      </c>
      <c r="BE227" s="3188">
        <f t="shared" ca="1" si="46"/>
        <v>0.73492217145589944</v>
      </c>
      <c r="BF227" s="3188">
        <f t="shared" ca="1" si="46"/>
        <v>0.89862325021820177</v>
      </c>
      <c r="BG227" s="4229">
        <f t="shared" ca="1" si="46"/>
        <v>0.93413070678266041</v>
      </c>
      <c r="BH227" s="3176"/>
      <c r="BJ227" s="3176"/>
      <c r="BK227" s="3238"/>
      <c r="BL227" s="3238"/>
      <c r="BM227" s="3176"/>
      <c r="BN227" s="3239"/>
      <c r="BO227" s="3239"/>
      <c r="BP227" s="3240"/>
      <c r="BQ227" s="3240"/>
      <c r="BR227" s="3240"/>
      <c r="BS227" s="3240"/>
      <c r="BT227" s="3240"/>
      <c r="BU227" s="3240"/>
    </row>
    <row r="228" spans="1:73">
      <c r="A228" s="39"/>
      <c r="B228" s="3176"/>
      <c r="C228" s="3176"/>
      <c r="D228" s="3176"/>
      <c r="E228" s="3176"/>
      <c r="F228" s="3176"/>
      <c r="G228" s="3176"/>
      <c r="H228" s="3177"/>
      <c r="I228" s="3177"/>
      <c r="J228" s="3177"/>
      <c r="K228" s="3177"/>
      <c r="L228" s="3177"/>
      <c r="M228" s="3177"/>
      <c r="N228" s="3177"/>
      <c r="O228" s="3177"/>
      <c r="P228" s="3177"/>
      <c r="Q228" s="3177"/>
      <c r="R228" s="3177"/>
      <c r="S228" s="3177"/>
      <c r="T228" s="3177"/>
      <c r="U228" s="3177"/>
      <c r="V228" s="3177"/>
      <c r="W228" s="3177"/>
      <c r="X228" s="3177"/>
      <c r="Y228" s="3177"/>
      <c r="Z228" s="3177"/>
      <c r="AA228" s="3177"/>
      <c r="AB228" s="3177"/>
      <c r="AC228" s="3177"/>
      <c r="AD228" s="3177"/>
      <c r="AE228" s="3177"/>
      <c r="AF228" s="3177"/>
      <c r="AG228" s="3177"/>
      <c r="AH228" s="3177"/>
      <c r="AI228" s="3177"/>
      <c r="AJ228" s="3177"/>
      <c r="AK228" s="3177"/>
      <c r="AL228" s="3177"/>
      <c r="AM228" s="3177"/>
      <c r="AN228" s="3177"/>
      <c r="AO228" s="3177"/>
      <c r="AP228" s="3177"/>
      <c r="AQ228" s="3177"/>
      <c r="AR228" s="3177"/>
      <c r="AS228" s="3177"/>
      <c r="AT228" s="3177"/>
      <c r="AU228" s="3177"/>
      <c r="AV228" s="3177"/>
      <c r="AW228" s="3177"/>
      <c r="AX228" s="3176"/>
      <c r="AY228" s="3176"/>
      <c r="AZ228" s="3176"/>
      <c r="BA228" s="3176"/>
      <c r="BB228" s="3176"/>
      <c r="BC228" s="3176"/>
      <c r="BD228" s="3176"/>
      <c r="BE228" s="3176"/>
      <c r="BF228" s="3176"/>
      <c r="BG228" s="3176"/>
      <c r="BH228" s="3176"/>
      <c r="BJ228" s="3176"/>
      <c r="BK228" s="3176"/>
      <c r="BL228" s="3176"/>
      <c r="BM228" s="3176"/>
      <c r="BN228" s="3176"/>
      <c r="BO228" s="3176"/>
      <c r="BP228" s="3177"/>
      <c r="BQ228" s="3177"/>
      <c r="BR228" s="3177"/>
      <c r="BS228" s="3177"/>
      <c r="BT228" s="3177"/>
      <c r="BU228" s="3177"/>
    </row>
    <row r="229" spans="1:73">
      <c r="A229" s="39"/>
      <c r="B229" s="3244" t="s">
        <v>2504</v>
      </c>
      <c r="C229" s="3241"/>
      <c r="D229" s="3241"/>
      <c r="E229" s="3241"/>
      <c r="F229" s="3241"/>
      <c r="G229" s="3241"/>
      <c r="H229" s="3177"/>
      <c r="I229" s="3177"/>
      <c r="J229" s="3177"/>
      <c r="K229" s="3177"/>
      <c r="L229" s="3177"/>
      <c r="M229" s="3177"/>
      <c r="N229" s="3177"/>
      <c r="O229" s="3177"/>
      <c r="P229" s="3177"/>
      <c r="Q229" s="3177"/>
      <c r="R229" s="3177"/>
      <c r="S229" s="3177"/>
      <c r="T229" s="3177"/>
      <c r="U229" s="3177"/>
      <c r="V229" s="3177"/>
      <c r="W229" s="3177"/>
      <c r="X229" s="3177"/>
      <c r="Y229" s="3177"/>
      <c r="Z229" s="3177"/>
      <c r="AA229" s="3177"/>
      <c r="AB229" s="3177"/>
      <c r="AC229" s="3177"/>
      <c r="AD229" s="3177"/>
      <c r="AE229" s="3177"/>
      <c r="AF229" s="3177"/>
      <c r="AG229" s="3177"/>
      <c r="AH229" s="3177"/>
      <c r="AI229" s="3177"/>
      <c r="AJ229" s="3177"/>
      <c r="AK229" s="3177"/>
      <c r="AL229" s="3177"/>
      <c r="AM229" s="3177"/>
      <c r="AN229" s="3177"/>
      <c r="AO229" s="3177"/>
      <c r="AP229" s="3177"/>
      <c r="AQ229" s="3177"/>
      <c r="AR229" s="3177"/>
      <c r="AS229" s="3177"/>
      <c r="AT229" s="3177"/>
      <c r="AU229" s="3177"/>
      <c r="AV229" s="3177"/>
      <c r="AW229" s="3177"/>
      <c r="AX229" s="3241"/>
      <c r="AY229" s="3241" t="s">
        <v>2505</v>
      </c>
      <c r="AZ229" s="3241"/>
      <c r="BA229" s="3241"/>
      <c r="BB229" s="3241"/>
      <c r="BC229" s="3241"/>
      <c r="BD229" s="3241"/>
      <c r="BE229" s="3241"/>
      <c r="BF229" s="3241"/>
      <c r="BG229" s="3241"/>
      <c r="BH229" s="3176"/>
      <c r="BJ229" s="3244"/>
      <c r="BK229" s="3241"/>
      <c r="BL229" s="3241"/>
      <c r="BM229" s="3241"/>
      <c r="BN229" s="3241"/>
      <c r="BO229" s="3241"/>
      <c r="BP229" s="3177"/>
      <c r="BQ229" s="3177"/>
      <c r="BR229" s="3177"/>
      <c r="BS229" s="3177"/>
      <c r="BT229" s="3177"/>
      <c r="BU229" s="3177"/>
    </row>
    <row r="230" spans="1:73">
      <c r="A230" s="39"/>
      <c r="B230" s="3176"/>
      <c r="C230" s="3176"/>
      <c r="D230" s="3176"/>
      <c r="E230" s="3176"/>
      <c r="F230" s="3176"/>
      <c r="G230" s="3176"/>
      <c r="H230" s="3177"/>
      <c r="I230" s="3177"/>
      <c r="J230" s="3177"/>
      <c r="K230" s="3177"/>
      <c r="L230" s="3177"/>
      <c r="M230" s="3177"/>
      <c r="N230" s="3177"/>
      <c r="O230" s="3177"/>
      <c r="P230" s="3177"/>
      <c r="Q230" s="3177"/>
      <c r="R230" s="3177"/>
      <c r="S230" s="3177"/>
      <c r="T230" s="3177"/>
      <c r="U230" s="3177"/>
      <c r="V230" s="3177"/>
      <c r="W230" s="3177"/>
      <c r="X230" s="3177"/>
      <c r="Y230" s="3177"/>
      <c r="Z230" s="3177"/>
      <c r="AA230" s="3177"/>
      <c r="AB230" s="3177"/>
      <c r="AC230" s="3177"/>
      <c r="AD230" s="3177"/>
      <c r="AE230" s="3177"/>
      <c r="AF230" s="3177"/>
      <c r="AG230" s="3177"/>
      <c r="AH230" s="3177"/>
      <c r="AI230" s="3177"/>
      <c r="AJ230" s="3177"/>
      <c r="AK230" s="3177"/>
      <c r="AL230" s="3177"/>
      <c r="AM230" s="3177"/>
      <c r="AN230" s="3177"/>
      <c r="AO230" s="3177"/>
      <c r="AP230" s="3177"/>
      <c r="AQ230" s="3177"/>
      <c r="AR230" s="3177"/>
      <c r="AS230" s="3177"/>
      <c r="AT230" s="3177"/>
      <c r="AU230" s="3177"/>
      <c r="AV230" s="3177"/>
      <c r="AW230" s="3177"/>
      <c r="AX230" s="3176"/>
      <c r="AY230" s="3176"/>
      <c r="AZ230" s="3176"/>
      <c r="BA230" s="3176"/>
      <c r="BB230" s="3176"/>
      <c r="BC230" s="3176"/>
      <c r="BD230" s="3176"/>
      <c r="BE230" s="3176"/>
      <c r="BF230" s="3176"/>
      <c r="BG230" s="3176"/>
      <c r="BH230" s="3176"/>
      <c r="BJ230" s="3176"/>
      <c r="BK230" s="3176"/>
      <c r="BL230" s="3176"/>
      <c r="BM230" s="3176"/>
      <c r="BN230" s="3176"/>
      <c r="BO230" s="3176"/>
      <c r="BP230" s="3177"/>
      <c r="BQ230" s="3177"/>
      <c r="BR230" s="3177"/>
      <c r="BS230" s="3177"/>
      <c r="BT230" s="3177"/>
      <c r="BU230" s="3177"/>
    </row>
    <row r="231" spans="1:73">
      <c r="A231" s="39"/>
      <c r="B231" s="3176"/>
      <c r="C231" s="3245" t="s">
        <v>2506</v>
      </c>
      <c r="D231" s="3241"/>
      <c r="E231" s="3241"/>
      <c r="F231" s="3241"/>
      <c r="G231" s="3241"/>
      <c r="H231" s="3177"/>
      <c r="I231" s="3177"/>
      <c r="J231" s="3177"/>
      <c r="K231" s="3177"/>
      <c r="L231" s="3177"/>
      <c r="M231" s="3177"/>
      <c r="N231" s="3177"/>
      <c r="O231" s="3177"/>
      <c r="P231" s="3177"/>
      <c r="Q231" s="3177"/>
      <c r="R231" s="3177"/>
      <c r="S231" s="3177"/>
      <c r="T231" s="3177"/>
      <c r="U231" s="3177"/>
      <c r="V231" s="3177"/>
      <c r="W231" s="3177"/>
      <c r="X231" s="3177"/>
      <c r="Y231" s="3177"/>
      <c r="Z231" s="3177"/>
      <c r="AA231" s="3177"/>
      <c r="AB231" s="3177"/>
      <c r="AC231" s="3177"/>
      <c r="AD231" s="3177"/>
      <c r="AE231" s="3177"/>
      <c r="AF231" s="3177"/>
      <c r="AG231" s="3177"/>
      <c r="AH231" s="3177"/>
      <c r="AI231" s="3177"/>
      <c r="AJ231" s="3177"/>
      <c r="AK231" s="3177"/>
      <c r="AL231" s="3177"/>
      <c r="AM231" s="3177"/>
      <c r="AN231" s="3177"/>
      <c r="AO231" s="3177"/>
      <c r="AP231" s="3177"/>
      <c r="AQ231" s="3177"/>
      <c r="AR231" s="3177"/>
      <c r="AS231" s="3177"/>
      <c r="AT231" s="3177"/>
      <c r="AU231" s="3177"/>
      <c r="AV231" s="3177"/>
      <c r="AW231" s="3177"/>
      <c r="AX231" s="3241"/>
      <c r="AY231" s="3246">
        <f t="shared" ref="AY231:BG231" ca="1" si="47">-(INDEX(INDIRECT(AY$214&amp;"!Year.Matrix"),MATCH("Subtotal.Supply",INDIRECT(AY$214&amp;"!Year.Modules"),0),MATCH("V.03",INDIRECT(AY$214&amp;"!Year.Vectors"),0))+INDEX(INDIRECT(AY$214&amp;"!Year.Matrix"),MATCH("Subtotal.Consumption",INDIRECT(AY$214&amp;"!Year.Modules"),0),MATCH("V.03",INDIRECT(AY$214&amp;"!Year.Vectors"),0)))</f>
        <v>24.546877780882909</v>
      </c>
      <c r="AZ231" s="3246">
        <f t="shared" ca="1" si="47"/>
        <v>25.019085289163165</v>
      </c>
      <c r="BA231" s="3246">
        <f t="shared" ca="1" si="47"/>
        <v>22.973379101023177</v>
      </c>
      <c r="BB231" s="3246">
        <f t="shared" ca="1" si="47"/>
        <v>23.158342737736056</v>
      </c>
      <c r="BC231" s="3246">
        <f t="shared" ca="1" si="47"/>
        <v>17.478475301591967</v>
      </c>
      <c r="BD231" s="3246">
        <f t="shared" ca="1" si="47"/>
        <v>4.6809644035740403</v>
      </c>
      <c r="BE231" s="3246">
        <f t="shared" ca="1" si="47"/>
        <v>4.9309217391129918</v>
      </c>
      <c r="BF231" s="3246">
        <f t="shared" ca="1" si="47"/>
        <v>5.2091308319670242</v>
      </c>
      <c r="BG231" s="3246">
        <f t="shared" ca="1" si="47"/>
        <v>5.5197297709738296</v>
      </c>
      <c r="BH231" s="3176"/>
      <c r="BJ231" s="3176"/>
      <c r="BK231" s="3245"/>
      <c r="BL231" s="3241"/>
      <c r="BM231" s="3241"/>
      <c r="BN231" s="3241"/>
      <c r="BO231" s="3241"/>
      <c r="BP231" s="3177"/>
      <c r="BQ231" s="3177"/>
      <c r="BR231" s="3177"/>
      <c r="BS231" s="3177"/>
      <c r="BT231" s="3177"/>
      <c r="BU231" s="3177"/>
    </row>
    <row r="232" spans="1:73">
      <c r="A232" s="39"/>
      <c r="B232" s="3176"/>
      <c r="C232" s="3247" t="s">
        <v>571</v>
      </c>
      <c r="D232" s="3245" t="s">
        <v>2507</v>
      </c>
      <c r="E232" s="3241"/>
      <c r="F232" s="3241"/>
      <c r="G232" s="3241"/>
      <c r="H232" s="3177"/>
      <c r="I232" s="3177"/>
      <c r="J232" s="3177"/>
      <c r="K232" s="3177"/>
      <c r="L232" s="3177"/>
      <c r="M232" s="3177"/>
      <c r="N232" s="3177"/>
      <c r="O232" s="3177"/>
      <c r="P232" s="3177"/>
      <c r="Q232" s="3177"/>
      <c r="R232" s="3177"/>
      <c r="S232" s="3177"/>
      <c r="T232" s="3177"/>
      <c r="U232" s="3177"/>
      <c r="V232" s="3177"/>
      <c r="W232" s="3177"/>
      <c r="X232" s="3177"/>
      <c r="Y232" s="3177"/>
      <c r="Z232" s="3177"/>
      <c r="AA232" s="3177"/>
      <c r="AB232" s="3177"/>
      <c r="AC232" s="3177"/>
      <c r="AD232" s="3177"/>
      <c r="AE232" s="3177"/>
      <c r="AF232" s="3177"/>
      <c r="AG232" s="3177"/>
      <c r="AH232" s="3177"/>
      <c r="AI232" s="3177"/>
      <c r="AJ232" s="3177"/>
      <c r="AK232" s="3177"/>
      <c r="AL232" s="3177"/>
      <c r="AM232" s="3177"/>
      <c r="AN232" s="3177"/>
      <c r="AO232" s="3177"/>
      <c r="AP232" s="3177"/>
      <c r="AQ232" s="3177"/>
      <c r="AR232" s="3177"/>
      <c r="AS232" s="3177"/>
      <c r="AT232" s="3177"/>
      <c r="AU232" s="3177"/>
      <c r="AV232" s="3177"/>
      <c r="AW232" s="3177"/>
      <c r="AX232" s="3241"/>
      <c r="AY232" s="3248">
        <f t="shared" ref="AY232:BG232" ca="1" si="48">INDEX(INDIRECT(AY$214&amp;"!Year.Matrix"),MATCH($C232,INDIRECT(AY$214&amp;"!Year.Modules"),0),MATCH("V.03",INDIRECT(AY$214&amp;"!Year.Vectors"),0))/AY$231</f>
        <v>4.7739736812162391E-2</v>
      </c>
      <c r="AZ232" s="3248">
        <f t="shared" ca="1" si="48"/>
        <v>6.7381198988460941E-2</v>
      </c>
      <c r="BA232" s="3248">
        <f t="shared" ca="1" si="48"/>
        <v>9.0149071917814058E-2</v>
      </c>
      <c r="BB232" s="3248">
        <f t="shared" ca="1" si="48"/>
        <v>0.10802582115396805</v>
      </c>
      <c r="BC232" s="3248">
        <f t="shared" ca="1" si="48"/>
        <v>0.19166797944647376</v>
      </c>
      <c r="BD232" s="3248">
        <f t="shared" ca="1" si="48"/>
        <v>0.7287257560331889</v>
      </c>
      <c r="BE232" s="3248">
        <f t="shared" ca="1" si="48"/>
        <v>0.60328424208425846</v>
      </c>
      <c r="BF232" s="3248">
        <f t="shared" ca="1" si="48"/>
        <v>0.48777697758787825</v>
      </c>
      <c r="BG232" s="3248">
        <f t="shared" ca="1" si="48"/>
        <v>0.47290118836655126</v>
      </c>
      <c r="BH232" s="3176"/>
      <c r="BJ232" s="3176"/>
      <c r="BK232" s="3247" t="s">
        <v>5</v>
      </c>
      <c r="BL232" s="3245"/>
      <c r="BM232" s="3241"/>
      <c r="BN232" s="3241"/>
      <c r="BO232" s="3241"/>
      <c r="BP232" s="3177"/>
      <c r="BQ232" s="3177"/>
      <c r="BR232" s="3177"/>
      <c r="BS232" s="3177"/>
      <c r="BT232" s="3177"/>
      <c r="BU232" s="3177"/>
    </row>
    <row r="233" spans="1:73">
      <c r="A233" s="39"/>
      <c r="B233" s="3176"/>
      <c r="C233" s="3249" t="s">
        <v>544</v>
      </c>
      <c r="D233" s="3250" t="s">
        <v>545</v>
      </c>
      <c r="E233" s="3241"/>
      <c r="F233" s="3241"/>
      <c r="G233" s="3241"/>
      <c r="H233" s="3177"/>
      <c r="I233" s="3177"/>
      <c r="J233" s="3177"/>
      <c r="K233" s="3177"/>
      <c r="L233" s="3177"/>
      <c r="M233" s="3177"/>
      <c r="N233" s="3177"/>
      <c r="O233" s="3177"/>
      <c r="P233" s="3177"/>
      <c r="Q233" s="3177"/>
      <c r="R233" s="3177"/>
      <c r="S233" s="3177"/>
      <c r="T233" s="3177"/>
      <c r="U233" s="3177"/>
      <c r="V233" s="3177"/>
      <c r="W233" s="3177"/>
      <c r="X233" s="3177"/>
      <c r="Y233" s="3177"/>
      <c r="Z233" s="3177"/>
      <c r="AA233" s="3177"/>
      <c r="AB233" s="3177"/>
      <c r="AC233" s="3177"/>
      <c r="AD233" s="3177"/>
      <c r="AE233" s="3177"/>
      <c r="AF233" s="3177"/>
      <c r="AG233" s="3177"/>
      <c r="AH233" s="3177"/>
      <c r="AI233" s="3177"/>
      <c r="AJ233" s="3177"/>
      <c r="AK233" s="3240"/>
      <c r="AL233" s="3240"/>
      <c r="AM233" s="3240"/>
      <c r="AN233" s="3240"/>
      <c r="AO233" s="3240"/>
      <c r="AP233" s="3240"/>
      <c r="AQ233" s="3240"/>
      <c r="AR233" s="3240"/>
      <c r="AS233" s="3240"/>
      <c r="AT233" s="3240"/>
      <c r="AU233" s="3240"/>
      <c r="AV233" s="3240"/>
      <c r="AW233" s="3177"/>
      <c r="AX233" s="3241"/>
      <c r="AY233" s="3251">
        <f t="shared" ref="AY233:BG236" ca="1" si="49">-INDEX(INDIRECT(AY$214&amp;"!Year.Matrix"),MATCH($C233,INDIRECT(AY$214&amp;"!Year.Modules"),0),MATCH("V.03",INDIRECT(AY$214&amp;"!Year.Vectors"),0))</f>
        <v>0</v>
      </c>
      <c r="AZ233" s="3251">
        <f t="shared" ca="1" si="49"/>
        <v>0</v>
      </c>
      <c r="BA233" s="3251">
        <f t="shared" ca="1" si="49"/>
        <v>0</v>
      </c>
      <c r="BB233" s="3251">
        <f t="shared" ca="1" si="49"/>
        <v>0</v>
      </c>
      <c r="BC233" s="3251">
        <f t="shared" ca="1" si="49"/>
        <v>0</v>
      </c>
      <c r="BD233" s="3251">
        <f t="shared" ca="1" si="49"/>
        <v>0</v>
      </c>
      <c r="BE233" s="3251">
        <f t="shared" ca="1" si="49"/>
        <v>0</v>
      </c>
      <c r="BF233" s="3251">
        <f t="shared" ca="1" si="49"/>
        <v>0</v>
      </c>
      <c r="BG233" s="3251">
        <f t="shared" ca="1" si="49"/>
        <v>0</v>
      </c>
      <c r="BH233" s="3176"/>
      <c r="BJ233" s="3176"/>
      <c r="BK233" s="3249"/>
      <c r="BL233" s="3250"/>
      <c r="BM233" s="3241"/>
      <c r="BN233" s="3241"/>
      <c r="BO233" s="3241"/>
      <c r="BP233" s="3177"/>
      <c r="BQ233" s="3177"/>
      <c r="BR233" s="3177"/>
      <c r="BS233" s="3177"/>
      <c r="BT233" s="3177"/>
      <c r="BU233" s="3177"/>
    </row>
    <row r="234" spans="1:73">
      <c r="A234" s="39"/>
      <c r="B234" s="3176"/>
      <c r="C234" s="3249" t="s">
        <v>547</v>
      </c>
      <c r="D234" s="3250" t="s">
        <v>548</v>
      </c>
      <c r="E234" s="3241"/>
      <c r="F234" s="3241"/>
      <c r="G234" s="3241"/>
      <c r="H234" s="3177"/>
      <c r="I234" s="3177"/>
      <c r="J234" s="3177"/>
      <c r="K234" s="3177"/>
      <c r="L234" s="3177"/>
      <c r="M234" s="3177"/>
      <c r="N234" s="3177"/>
      <c r="O234" s="3177"/>
      <c r="P234" s="3177"/>
      <c r="Q234" s="3177"/>
      <c r="R234" s="3177"/>
      <c r="S234" s="3177"/>
      <c r="T234" s="3177"/>
      <c r="U234" s="3177"/>
      <c r="V234" s="3177"/>
      <c r="W234" s="3177"/>
      <c r="X234" s="3177"/>
      <c r="Y234" s="3177"/>
      <c r="Z234" s="3177"/>
      <c r="AA234" s="3177"/>
      <c r="AB234" s="3177"/>
      <c r="AC234" s="3177"/>
      <c r="AD234" s="3177"/>
      <c r="AE234" s="3177"/>
      <c r="AF234" s="3177"/>
      <c r="AG234" s="3177"/>
      <c r="AH234" s="3177"/>
      <c r="AI234" s="3177"/>
      <c r="AJ234" s="3177"/>
      <c r="AK234" s="3240"/>
      <c r="AL234" s="3240"/>
      <c r="AM234" s="3240"/>
      <c r="AN234" s="3240"/>
      <c r="AO234" s="3240"/>
      <c r="AP234" s="3240"/>
      <c r="AQ234" s="3240"/>
      <c r="AR234" s="3240"/>
      <c r="AS234" s="3240"/>
      <c r="AT234" s="3240"/>
      <c r="AU234" s="3240"/>
      <c r="AV234" s="3240"/>
      <c r="AW234" s="3177"/>
      <c r="AX234" s="3241"/>
      <c r="AY234" s="3251">
        <f t="shared" ca="1" si="49"/>
        <v>20.691997156645641</v>
      </c>
      <c r="AZ234" s="3251">
        <f t="shared" ca="1" si="49"/>
        <v>21.10530957034457</v>
      </c>
      <c r="BA234" s="3251">
        <f t="shared" ca="1" si="49"/>
        <v>18.904104411428573</v>
      </c>
      <c r="BB234" s="3251">
        <f t="shared" ca="1" si="49"/>
        <v>18.904104411428573</v>
      </c>
      <c r="BC234" s="3251">
        <f t="shared" ca="1" si="49"/>
        <v>13.022368868571434</v>
      </c>
      <c r="BD234" s="3251">
        <f t="shared" ca="1" si="49"/>
        <v>0</v>
      </c>
      <c r="BE234" s="3251">
        <f t="shared" ca="1" si="49"/>
        <v>0</v>
      </c>
      <c r="BF234" s="3251">
        <f t="shared" ca="1" si="49"/>
        <v>0</v>
      </c>
      <c r="BG234" s="3251">
        <f t="shared" ca="1" si="49"/>
        <v>0</v>
      </c>
      <c r="BH234" s="3176"/>
      <c r="BJ234" s="3176"/>
      <c r="BK234" s="3249"/>
      <c r="BL234" s="3250"/>
      <c r="BM234" s="3241"/>
      <c r="BN234" s="3241"/>
      <c r="BO234" s="3241"/>
      <c r="BP234" s="3177"/>
      <c r="BQ234" s="3177"/>
      <c r="BR234" s="3177"/>
      <c r="BS234" s="3177"/>
      <c r="BT234" s="3177"/>
      <c r="BU234" s="3177"/>
    </row>
    <row r="235" spans="1:73">
      <c r="A235" s="39"/>
      <c r="B235" s="3176"/>
      <c r="C235" s="3249" t="s">
        <v>468</v>
      </c>
      <c r="D235" s="3250" t="s">
        <v>359</v>
      </c>
      <c r="E235" s="3241"/>
      <c r="F235" s="3241"/>
      <c r="G235" s="3241"/>
      <c r="H235" s="3177"/>
      <c r="I235" s="3177"/>
      <c r="J235" s="3177"/>
      <c r="K235" s="3177"/>
      <c r="L235" s="3177"/>
      <c r="M235" s="3177"/>
      <c r="N235" s="3177"/>
      <c r="O235" s="3177"/>
      <c r="P235" s="3177"/>
      <c r="Q235" s="3177"/>
      <c r="R235" s="3177"/>
      <c r="S235" s="3177"/>
      <c r="T235" s="3177"/>
      <c r="U235" s="3177"/>
      <c r="V235" s="3177"/>
      <c r="W235" s="3177"/>
      <c r="X235" s="3177"/>
      <c r="Y235" s="3177"/>
      <c r="Z235" s="3177"/>
      <c r="AA235" s="3177"/>
      <c r="AB235" s="3177"/>
      <c r="AC235" s="3177"/>
      <c r="AD235" s="3177"/>
      <c r="AE235" s="3177"/>
      <c r="AF235" s="3177"/>
      <c r="AG235" s="3177"/>
      <c r="AH235" s="3177"/>
      <c r="AI235" s="3177"/>
      <c r="AJ235" s="3177"/>
      <c r="AK235" s="3177"/>
      <c r="AL235" s="3177"/>
      <c r="AM235" s="3177"/>
      <c r="AN235" s="3177"/>
      <c r="AO235" s="3177"/>
      <c r="AP235" s="3177"/>
      <c r="AQ235" s="3177"/>
      <c r="AR235" s="3177"/>
      <c r="AS235" s="3177"/>
      <c r="AT235" s="3177"/>
      <c r="AU235" s="3177"/>
      <c r="AV235" s="3177"/>
      <c r="AW235" s="3177"/>
      <c r="AX235" s="3241"/>
      <c r="AY235" s="3251">
        <f t="shared" ca="1" si="49"/>
        <v>3.11</v>
      </c>
      <c r="AZ235" s="3251">
        <f t="shared" ca="1" si="49"/>
        <v>3.2009129574592907</v>
      </c>
      <c r="BA235" s="3251">
        <f t="shared" ca="1" si="49"/>
        <v>3.4441023967612487</v>
      </c>
      <c r="BB235" s="3251">
        <f t="shared" ca="1" si="49"/>
        <v>3.7118972035637521</v>
      </c>
      <c r="BC235" s="3251">
        <f t="shared" ca="1" si="49"/>
        <v>4.0068592429233831</v>
      </c>
      <c r="BD235" s="3251">
        <f t="shared" ca="1" si="49"/>
        <v>4.3318213414220113</v>
      </c>
      <c r="BE235" s="3251">
        <f t="shared" ca="1" si="49"/>
        <v>4.6899161948198707</v>
      </c>
      <c r="BF235" s="3251">
        <f t="shared" ca="1" si="49"/>
        <v>5.0846083752001414</v>
      </c>
      <c r="BG235" s="3251">
        <f t="shared" ca="1" si="49"/>
        <v>5.5197297709738296</v>
      </c>
      <c r="BH235" s="3176"/>
      <c r="BJ235" s="3176"/>
      <c r="BK235" s="3249"/>
      <c r="BL235" s="3250"/>
      <c r="BM235" s="3241"/>
      <c r="BN235" s="3241"/>
      <c r="BO235" s="3241"/>
      <c r="BP235" s="3177"/>
      <c r="BQ235" s="3177"/>
      <c r="BR235" s="3177"/>
      <c r="BS235" s="3177"/>
      <c r="BT235" s="3177"/>
      <c r="BU235" s="3177"/>
    </row>
    <row r="236" spans="1:73">
      <c r="A236" s="39"/>
      <c r="B236" s="3176"/>
      <c r="C236" s="3249" t="s">
        <v>0</v>
      </c>
      <c r="D236" s="3250" t="s">
        <v>1</v>
      </c>
      <c r="E236" s="3241"/>
      <c r="F236" s="3241"/>
      <c r="G236" s="3241"/>
      <c r="H236" s="3177"/>
      <c r="I236" s="3177"/>
      <c r="J236" s="3177"/>
      <c r="K236" s="3177"/>
      <c r="L236" s="3177"/>
      <c r="M236" s="3177"/>
      <c r="N236" s="3177"/>
      <c r="O236" s="3177"/>
      <c r="P236" s="3177"/>
      <c r="Q236" s="3177"/>
      <c r="R236" s="3177"/>
      <c r="S236" s="3177"/>
      <c r="T236" s="3177"/>
      <c r="U236" s="3177"/>
      <c r="V236" s="3177"/>
      <c r="W236" s="3177"/>
      <c r="X236" s="3177"/>
      <c r="Y236" s="3177"/>
      <c r="Z236" s="3177"/>
      <c r="AA236" s="3177"/>
      <c r="AB236" s="3177"/>
      <c r="AC236" s="3177"/>
      <c r="AD236" s="3177"/>
      <c r="AE236" s="3177"/>
      <c r="AF236" s="3177"/>
      <c r="AG236" s="3177"/>
      <c r="AH236" s="3177"/>
      <c r="AI236" s="3177"/>
      <c r="AJ236" s="3177"/>
      <c r="AK236" s="3177"/>
      <c r="AL236" s="3177"/>
      <c r="AM236" s="3177"/>
      <c r="AN236" s="3177"/>
      <c r="AO236" s="3177"/>
      <c r="AP236" s="3177"/>
      <c r="AQ236" s="3177"/>
      <c r="AR236" s="3177"/>
      <c r="AS236" s="3177"/>
      <c r="AT236" s="3177"/>
      <c r="AU236" s="3177"/>
      <c r="AV236" s="3177"/>
      <c r="AW236" s="3177"/>
      <c r="AX236" s="3241"/>
      <c r="AY236" s="3251">
        <f t="shared" ca="1" si="49"/>
        <v>0.74186270023003087</v>
      </c>
      <c r="AZ236" s="3251">
        <f t="shared" ca="1" si="49"/>
        <v>0.71034782468660551</v>
      </c>
      <c r="BA236" s="3251">
        <f t="shared" ca="1" si="49"/>
        <v>0.62445373949829786</v>
      </c>
      <c r="BB236" s="3251">
        <f t="shared" ca="1" si="49"/>
        <v>0.54162256940867293</v>
      </c>
      <c r="BC236" s="3251">
        <f t="shared" ca="1" si="49"/>
        <v>0.44924719009714997</v>
      </c>
      <c r="BD236" s="3251">
        <f t="shared" ca="1" si="49"/>
        <v>0.34914306215202917</v>
      </c>
      <c r="BE236" s="3251">
        <f t="shared" ca="1" si="49"/>
        <v>0.24100554429312099</v>
      </c>
      <c r="BF236" s="3251">
        <f t="shared" ca="1" si="49"/>
        <v>0.12452245676688246</v>
      </c>
      <c r="BG236" s="3251">
        <f t="shared" ca="1" si="49"/>
        <v>0</v>
      </c>
      <c r="BH236" s="3176"/>
      <c r="BJ236" s="3176"/>
      <c r="BK236" s="3249"/>
      <c r="BL236" s="3250"/>
      <c r="BM236" s="3241"/>
      <c r="BN236" s="3241"/>
      <c r="BO236" s="3241"/>
      <c r="BP236" s="3177"/>
      <c r="BQ236" s="3177"/>
      <c r="BR236" s="3177"/>
      <c r="BS236" s="3177"/>
      <c r="BT236" s="3177"/>
      <c r="BU236" s="3177"/>
    </row>
    <row r="237" spans="1:73">
      <c r="A237" s="39"/>
      <c r="B237" s="3176"/>
      <c r="C237" s="3252"/>
      <c r="D237" s="3241"/>
      <c r="E237" s="3241"/>
      <c r="F237" s="3241"/>
      <c r="G237" s="3241"/>
      <c r="H237" s="3177"/>
      <c r="I237" s="3177"/>
      <c r="J237" s="3177"/>
      <c r="K237" s="3177"/>
      <c r="L237" s="3177"/>
      <c r="M237" s="3177"/>
      <c r="N237" s="3177"/>
      <c r="O237" s="3177"/>
      <c r="P237" s="3177"/>
      <c r="Q237" s="3177"/>
      <c r="R237" s="3177"/>
      <c r="S237" s="3177"/>
      <c r="T237" s="3177"/>
      <c r="U237" s="3177"/>
      <c r="V237" s="3177"/>
      <c r="W237" s="3177"/>
      <c r="X237" s="3177"/>
      <c r="Y237" s="3177"/>
      <c r="Z237" s="3177"/>
      <c r="AA237" s="3177"/>
      <c r="AB237" s="3177"/>
      <c r="AC237" s="3177"/>
      <c r="AD237" s="3177"/>
      <c r="AE237" s="3177"/>
      <c r="AF237" s="3177"/>
      <c r="AG237" s="3177"/>
      <c r="AH237" s="3177"/>
      <c r="AI237" s="3177"/>
      <c r="AJ237" s="3177"/>
      <c r="AK237" s="3177"/>
      <c r="AL237" s="3177"/>
      <c r="AM237" s="3177"/>
      <c r="AN237" s="3177"/>
      <c r="AO237" s="3177"/>
      <c r="AP237" s="3177"/>
      <c r="AQ237" s="3177"/>
      <c r="AR237" s="3177"/>
      <c r="AS237" s="3177"/>
      <c r="AT237" s="3177"/>
      <c r="AU237" s="3177"/>
      <c r="AV237" s="3177"/>
      <c r="AW237" s="3177"/>
      <c r="AX237" s="3241"/>
      <c r="AY237" s="3241"/>
      <c r="AZ237" s="3241"/>
      <c r="BA237" s="3241"/>
      <c r="BB237" s="3241"/>
      <c r="BC237" s="3241"/>
      <c r="BD237" s="3241"/>
      <c r="BE237" s="3241"/>
      <c r="BF237" s="3241"/>
      <c r="BG237" s="3241"/>
      <c r="BH237" s="3176"/>
      <c r="BJ237" s="3176"/>
      <c r="BK237" s="3252"/>
      <c r="BL237" s="3241"/>
      <c r="BM237" s="3241"/>
      <c r="BN237" s="3241"/>
      <c r="BO237" s="3241"/>
      <c r="BP237" s="3177"/>
      <c r="BQ237" s="3177"/>
      <c r="BR237" s="3177"/>
      <c r="BS237" s="3177"/>
      <c r="BT237" s="3177"/>
      <c r="BU237" s="3177"/>
    </row>
    <row r="238" spans="1:73">
      <c r="A238" s="39"/>
      <c r="B238" s="3176"/>
      <c r="C238" s="3245" t="s">
        <v>2508</v>
      </c>
      <c r="D238" s="3241"/>
      <c r="E238" s="3241"/>
      <c r="F238" s="3241"/>
      <c r="G238" s="3241"/>
      <c r="H238" s="3177"/>
      <c r="I238" s="3177"/>
      <c r="J238" s="3177"/>
      <c r="K238" s="3177"/>
      <c r="L238" s="3177"/>
      <c r="M238" s="3177"/>
      <c r="N238" s="3177"/>
      <c r="O238" s="3177"/>
      <c r="P238" s="3177"/>
      <c r="Q238" s="3177"/>
      <c r="R238" s="3177"/>
      <c r="S238" s="3177"/>
      <c r="T238" s="3177"/>
      <c r="U238" s="3177"/>
      <c r="V238" s="3177"/>
      <c r="W238" s="3177"/>
      <c r="X238" s="3177"/>
      <c r="Y238" s="3177"/>
      <c r="Z238" s="3177"/>
      <c r="AA238" s="3177"/>
      <c r="AB238" s="3177"/>
      <c r="AC238" s="3177"/>
      <c r="AD238" s="3177"/>
      <c r="AE238" s="3177"/>
      <c r="AF238" s="3177"/>
      <c r="AG238" s="3177"/>
      <c r="AH238" s="3177"/>
      <c r="AI238" s="3177"/>
      <c r="AJ238" s="3177"/>
      <c r="AK238" s="3177"/>
      <c r="AL238" s="3177"/>
      <c r="AM238" s="3177"/>
      <c r="AN238" s="3177"/>
      <c r="AO238" s="3177"/>
      <c r="AP238" s="3177"/>
      <c r="AQ238" s="3177"/>
      <c r="AR238" s="3177"/>
      <c r="AS238" s="3177"/>
      <c r="AT238" s="3177"/>
      <c r="AU238" s="3177"/>
      <c r="AV238" s="3177"/>
      <c r="AW238" s="3177"/>
      <c r="AX238" s="3241"/>
      <c r="AY238" s="3246">
        <f t="shared" ref="AY238:BG238" ca="1" si="50">-(INDEX(INDIRECT(AY$214&amp;"!Year.Matrix"),MATCH("Subtotal.Supply",INDIRECT(AY$214&amp;"!Year.Modules"),0),MATCH("V.04",INDIRECT(AY$214&amp;"!Year.Vectors"),0))+INDEX(INDIRECT(AY$214&amp;"!Year.Matrix"),MATCH("Subtotal.Consumption",INDIRECT(AY$214&amp;"!Year.Modules"),0),MATCH("V.04",INDIRECT(AY$214&amp;"!Year.Vectors"),0)))</f>
        <v>77.55283715410927</v>
      </c>
      <c r="AZ238" s="3246">
        <f t="shared" ca="1" si="50"/>
        <v>75.244847357519262</v>
      </c>
      <c r="BA238" s="3246">
        <f t="shared" ca="1" si="50"/>
        <v>76.274750168889341</v>
      </c>
      <c r="BB238" s="3246">
        <f t="shared" ca="1" si="50"/>
        <v>76.215903615572742</v>
      </c>
      <c r="BC238" s="3246">
        <f t="shared" ca="1" si="50"/>
        <v>75.958681490777167</v>
      </c>
      <c r="BD238" s="3246">
        <f t="shared" ca="1" si="50"/>
        <v>75.768165563645425</v>
      </c>
      <c r="BE238" s="3246">
        <f t="shared" ca="1" si="50"/>
        <v>75.489071127163257</v>
      </c>
      <c r="BF238" s="3246">
        <f t="shared" ca="1" si="50"/>
        <v>75.34637564867829</v>
      </c>
      <c r="BG238" s="3246">
        <f t="shared" ca="1" si="50"/>
        <v>74.666873204295086</v>
      </c>
      <c r="BH238" s="3176"/>
      <c r="BJ238" s="3176"/>
      <c r="BK238" s="3245"/>
      <c r="BL238" s="3241"/>
      <c r="BM238" s="3241"/>
      <c r="BN238" s="3241"/>
      <c r="BO238" s="3241"/>
      <c r="BP238" s="3177"/>
      <c r="BQ238" s="3177"/>
      <c r="BR238" s="3177"/>
      <c r="BS238" s="3177"/>
      <c r="BT238" s="3177"/>
      <c r="BU238" s="3177"/>
    </row>
    <row r="239" spans="1:73">
      <c r="A239" s="39"/>
      <c r="B239" s="3176"/>
      <c r="C239" s="3247" t="s">
        <v>571</v>
      </c>
      <c r="D239" s="3245" t="s">
        <v>2509</v>
      </c>
      <c r="E239" s="3241"/>
      <c r="F239" s="3241"/>
      <c r="G239" s="3241"/>
      <c r="H239" s="3177"/>
      <c r="I239" s="3177"/>
      <c r="J239" s="3177"/>
      <c r="K239" s="3177"/>
      <c r="L239" s="3177"/>
      <c r="M239" s="3177"/>
      <c r="N239" s="3177"/>
      <c r="O239" s="3177"/>
      <c r="P239" s="3177"/>
      <c r="Q239" s="3177"/>
      <c r="R239" s="3177"/>
      <c r="S239" s="3177"/>
      <c r="T239" s="3177"/>
      <c r="U239" s="3177"/>
      <c r="V239" s="3177"/>
      <c r="W239" s="3177"/>
      <c r="X239" s="3177"/>
      <c r="Y239" s="3177"/>
      <c r="Z239" s="3177"/>
      <c r="AA239" s="3177"/>
      <c r="AB239" s="3177"/>
      <c r="AC239" s="3177"/>
      <c r="AD239" s="3177"/>
      <c r="AE239" s="3177"/>
      <c r="AF239" s="3177"/>
      <c r="AG239" s="3177"/>
      <c r="AH239" s="3177"/>
      <c r="AI239" s="3177"/>
      <c r="AJ239" s="3177"/>
      <c r="AK239" s="3177"/>
      <c r="AL239" s="3177"/>
      <c r="AM239" s="3177"/>
      <c r="AN239" s="3177"/>
      <c r="AO239" s="3177"/>
      <c r="AP239" s="3177"/>
      <c r="AQ239" s="3177"/>
      <c r="AR239" s="3177"/>
      <c r="AS239" s="3177"/>
      <c r="AT239" s="3177"/>
      <c r="AU239" s="3177"/>
      <c r="AV239" s="3177"/>
      <c r="AW239" s="3177"/>
      <c r="AX239" s="3241"/>
      <c r="AY239" s="3248">
        <f t="shared" ref="AY239:BG239" ca="1" si="51">INDEX(INDIRECT(AY$214&amp;"!Year.Matrix"),MATCH($C239,INDIRECT(AY$214&amp;"!Year.Modules"),0),MATCH("V.04",INDIRECT(AY$214&amp;"!Year.Vectors"),0))/AY$238</f>
        <v>1.3229700820545271E-2</v>
      </c>
      <c r="AZ239" s="3248">
        <f t="shared" ca="1" si="51"/>
        <v>1.5357428968472116E-2</v>
      </c>
      <c r="BA239" s="3248">
        <f t="shared" ca="1" si="51"/>
        <v>1.5206084168848596E-2</v>
      </c>
      <c r="BB239" s="3248">
        <f t="shared" ca="1" si="51"/>
        <v>1.547437317131223E-2</v>
      </c>
      <c r="BC239" s="3248">
        <f t="shared" ca="1" si="51"/>
        <v>9.713029326607869E-3</v>
      </c>
      <c r="BD239" s="3248">
        <f t="shared" ca="1" si="51"/>
        <v>7.8292644117209792E-3</v>
      </c>
      <c r="BE239" s="3248">
        <f t="shared" ca="1" si="51"/>
        <v>5.9475829261515746E-3</v>
      </c>
      <c r="BF239" s="3248">
        <f t="shared" ca="1" si="51"/>
        <v>4.0495657566064847E-3</v>
      </c>
      <c r="BG239" s="3248">
        <f t="shared" ca="1" si="51"/>
        <v>2.1651421772406264E-3</v>
      </c>
      <c r="BH239" s="3176"/>
      <c r="BJ239" s="3176"/>
      <c r="BK239" s="3247"/>
      <c r="BL239" s="3245"/>
      <c r="BM239" s="3241"/>
      <c r="BN239" s="3241"/>
      <c r="BO239" s="3241"/>
      <c r="BP239" s="3177"/>
      <c r="BQ239" s="3177"/>
      <c r="BR239" s="3177"/>
      <c r="BS239" s="3177"/>
      <c r="BT239" s="3177"/>
      <c r="BU239" s="3177"/>
    </row>
    <row r="240" spans="1:73">
      <c r="A240" s="39"/>
      <c r="B240" s="3176"/>
      <c r="C240" s="3249" t="s">
        <v>481</v>
      </c>
      <c r="D240" s="3250" t="s">
        <v>482</v>
      </c>
      <c r="E240" s="3241"/>
      <c r="F240" s="3241"/>
      <c r="G240" s="3241"/>
      <c r="H240" s="3177"/>
      <c r="I240" s="3177"/>
      <c r="J240" s="3177"/>
      <c r="K240" s="3177"/>
      <c r="L240" s="3177"/>
      <c r="M240" s="3177"/>
      <c r="N240" s="3177"/>
      <c r="O240" s="3177"/>
      <c r="P240" s="3177"/>
      <c r="Q240" s="3177"/>
      <c r="R240" s="3177"/>
      <c r="S240" s="3177"/>
      <c r="T240" s="3177"/>
      <c r="U240" s="3177"/>
      <c r="V240" s="3177"/>
      <c r="W240" s="3177"/>
      <c r="X240" s="3177"/>
      <c r="Y240" s="3177"/>
      <c r="Z240" s="3177"/>
      <c r="AA240" s="3177"/>
      <c r="AB240" s="3177"/>
      <c r="AC240" s="3177"/>
      <c r="AD240" s="3177"/>
      <c r="AE240" s="3177"/>
      <c r="AF240" s="3177"/>
      <c r="AG240" s="3177"/>
      <c r="AH240" s="3177"/>
      <c r="AI240" s="3177"/>
      <c r="AJ240" s="3177"/>
      <c r="AK240" s="3177"/>
      <c r="AL240" s="3177"/>
      <c r="AM240" s="3177"/>
      <c r="AN240" s="3177"/>
      <c r="AO240" s="3177"/>
      <c r="AP240" s="3177"/>
      <c r="AQ240" s="3177"/>
      <c r="AR240" s="3177"/>
      <c r="AS240" s="3177"/>
      <c r="AT240" s="3177"/>
      <c r="AU240" s="3177"/>
      <c r="AV240" s="3177"/>
      <c r="AW240" s="3177"/>
      <c r="AX240" s="3241"/>
      <c r="AY240" s="3251">
        <f t="shared" ref="AY240:BG242" ca="1" si="52">-INDEX(INDIRECT(AY$214&amp;"!Year.Matrix"),MATCH($C240,INDIRECT(AY$214&amp;"!Year.Modules"),0),MATCH("V.04",INDIRECT(AY$214&amp;"!Year.Vectors"),0))</f>
        <v>47.065141213037336</v>
      </c>
      <c r="AZ240" s="3251">
        <f t="shared" ca="1" si="52"/>
        <v>48.150568539620423</v>
      </c>
      <c r="BA240" s="3251">
        <f t="shared" ca="1" si="52"/>
        <v>51.065953584659304</v>
      </c>
      <c r="BB240" s="3251">
        <f t="shared" ca="1" si="52"/>
        <v>52.335741964295458</v>
      </c>
      <c r="BC240" s="3251">
        <f t="shared" ca="1" si="52"/>
        <v>53.553588648440751</v>
      </c>
      <c r="BD240" s="3251">
        <f t="shared" ca="1" si="52"/>
        <v>54.911415841670902</v>
      </c>
      <c r="BE240" s="3251">
        <f t="shared" ca="1" si="52"/>
        <v>56.258627763888541</v>
      </c>
      <c r="BF240" s="3251">
        <f t="shared" ca="1" si="52"/>
        <v>57.824482497251779</v>
      </c>
      <c r="BG240" s="3251">
        <f t="shared" ca="1" si="52"/>
        <v>58.916406830657778</v>
      </c>
      <c r="BH240" s="3176"/>
      <c r="BJ240" s="3176"/>
      <c r="BK240" s="3249"/>
      <c r="BL240" s="3250"/>
      <c r="BM240" s="3241"/>
      <c r="BN240" s="3241"/>
      <c r="BO240" s="3241"/>
      <c r="BP240" s="3177"/>
      <c r="BQ240" s="3177"/>
      <c r="BR240" s="3177"/>
      <c r="BS240" s="3177"/>
      <c r="BT240" s="3177"/>
      <c r="BU240" s="3177"/>
    </row>
    <row r="241" spans="1:73">
      <c r="A241" s="39"/>
      <c r="B241" s="3176"/>
      <c r="C241" s="3249" t="s">
        <v>468</v>
      </c>
      <c r="D241" s="3250" t="s">
        <v>359</v>
      </c>
      <c r="E241" s="3241"/>
      <c r="F241" s="3241"/>
      <c r="G241" s="3241"/>
      <c r="H241" s="3177"/>
      <c r="I241" s="3177"/>
      <c r="J241" s="3177"/>
      <c r="K241" s="3177"/>
      <c r="L241" s="3177"/>
      <c r="M241" s="3177"/>
      <c r="N241" s="3177"/>
      <c r="O241" s="3177"/>
      <c r="P241" s="3177"/>
      <c r="Q241" s="3177"/>
      <c r="R241" s="3177"/>
      <c r="S241" s="3177"/>
      <c r="T241" s="3177"/>
      <c r="U241" s="3177"/>
      <c r="V241" s="3177"/>
      <c r="W241" s="3177"/>
      <c r="X241" s="3177"/>
      <c r="Y241" s="3177"/>
      <c r="Z241" s="3177"/>
      <c r="AA241" s="3177"/>
      <c r="AB241" s="3177"/>
      <c r="AC241" s="3177"/>
      <c r="AD241" s="3177"/>
      <c r="AE241" s="3177"/>
      <c r="AF241" s="3177"/>
      <c r="AG241" s="3177"/>
      <c r="AH241" s="3177"/>
      <c r="AI241" s="3177"/>
      <c r="AJ241" s="3177"/>
      <c r="AK241" s="3177"/>
      <c r="AL241" s="3177"/>
      <c r="AM241" s="3177"/>
      <c r="AN241" s="3177"/>
      <c r="AO241" s="3177"/>
      <c r="AP241" s="3177"/>
      <c r="AQ241" s="3177"/>
      <c r="AR241" s="3177"/>
      <c r="AS241" s="3177"/>
      <c r="AT241" s="3177"/>
      <c r="AU241" s="3177"/>
      <c r="AV241" s="3177"/>
      <c r="AW241" s="3177"/>
      <c r="AX241" s="3241"/>
      <c r="AY241" s="3251">
        <f t="shared" ca="1" si="52"/>
        <v>6.35</v>
      </c>
      <c r="AZ241" s="3251">
        <f t="shared" ca="1" si="52"/>
        <v>6.5356261350053035</v>
      </c>
      <c r="BA241" s="3251">
        <f t="shared" ca="1" si="52"/>
        <v>7.0321704885639642</v>
      </c>
      <c r="BB241" s="3251">
        <f t="shared" ca="1" si="52"/>
        <v>7.5789540973086256</v>
      </c>
      <c r="BC241" s="3251">
        <f t="shared" ca="1" si="52"/>
        <v>8.1812077789593189</v>
      </c>
      <c r="BD241" s="3251">
        <f t="shared" ca="1" si="52"/>
        <v>8.844715600652659</v>
      </c>
      <c r="BE241" s="3251">
        <f t="shared" ca="1" si="52"/>
        <v>9.5758739026064887</v>
      </c>
      <c r="BF241" s="3251">
        <f t="shared" ca="1" si="52"/>
        <v>10.381756650328262</v>
      </c>
      <c r="BG241" s="3251">
        <f t="shared" ca="1" si="52"/>
        <v>11.270187796039812</v>
      </c>
      <c r="BH241" s="3176"/>
      <c r="BJ241" s="3176"/>
      <c r="BK241" s="3249"/>
      <c r="BL241" s="3250"/>
      <c r="BM241" s="3241"/>
      <c r="BN241" s="3241"/>
      <c r="BO241" s="3241"/>
      <c r="BP241" s="3177"/>
      <c r="BQ241" s="3177"/>
      <c r="BR241" s="3177"/>
      <c r="BS241" s="3177"/>
      <c r="BT241" s="3177"/>
      <c r="BU241" s="3177"/>
    </row>
    <row r="242" spans="1:73">
      <c r="A242" s="39"/>
      <c r="B242" s="3176"/>
      <c r="C242" s="3249" t="s">
        <v>505</v>
      </c>
      <c r="D242" s="3250" t="s">
        <v>506</v>
      </c>
      <c r="E242" s="3241"/>
      <c r="F242" s="3241"/>
      <c r="G242" s="3241"/>
      <c r="H242" s="3177"/>
      <c r="I242" s="3177"/>
      <c r="J242" s="3177"/>
      <c r="K242" s="3177"/>
      <c r="L242" s="3177"/>
      <c r="M242" s="3177"/>
      <c r="N242" s="3177"/>
      <c r="O242" s="3177"/>
      <c r="P242" s="3177"/>
      <c r="Q242" s="3177"/>
      <c r="R242" s="3177"/>
      <c r="S242" s="3177"/>
      <c r="T242" s="3177"/>
      <c r="U242" s="3177"/>
      <c r="V242" s="3177"/>
      <c r="W242" s="3177"/>
      <c r="X242" s="3177"/>
      <c r="Y242" s="3177"/>
      <c r="Z242" s="3177"/>
      <c r="AA242" s="3177"/>
      <c r="AB242" s="3177"/>
      <c r="AC242" s="3177"/>
      <c r="AD242" s="3177"/>
      <c r="AE242" s="3177"/>
      <c r="AF242" s="3177"/>
      <c r="AG242" s="3177"/>
      <c r="AH242" s="3177"/>
      <c r="AI242" s="3177"/>
      <c r="AJ242" s="3177"/>
      <c r="AK242" s="3177"/>
      <c r="AL242" s="3177"/>
      <c r="AM242" s="3177"/>
      <c r="AN242" s="3177"/>
      <c r="AO242" s="3177"/>
      <c r="AP242" s="3177"/>
      <c r="AQ242" s="3177"/>
      <c r="AR242" s="3177"/>
      <c r="AS242" s="3177"/>
      <c r="AT242" s="3177"/>
      <c r="AU242" s="3177"/>
      <c r="AV242" s="3177"/>
      <c r="AW242" s="3177"/>
      <c r="AX242" s="3241"/>
      <c r="AY242" s="3251">
        <f ca="1">-INDEX(INDIRECT(AY$214&amp;"!Year.Matrix"),MATCH($C242,INDIRECT(AY$214&amp;"!Year.Modules"),0),MATCH("V.04",INDIRECT(AY$214&amp;"!Year.Vectors"),0))</f>
        <v>1.8522858135888711</v>
      </c>
      <c r="AZ242" s="3251">
        <f t="shared" ca="1" si="52"/>
        <v>1.8522858135888711</v>
      </c>
      <c r="BA242" s="3251">
        <f t="shared" ca="1" si="52"/>
        <v>1.8522858135888711</v>
      </c>
      <c r="BB242" s="3251">
        <f t="shared" ca="1" si="52"/>
        <v>1.8522858135888711</v>
      </c>
      <c r="BC242" s="3251">
        <f t="shared" ca="1" si="52"/>
        <v>1.8522858135888711</v>
      </c>
      <c r="BD242" s="3251">
        <f t="shared" ca="1" si="52"/>
        <v>1.8522858135888711</v>
      </c>
      <c r="BE242" s="3251">
        <f t="shared" ca="1" si="52"/>
        <v>1.8522858135888711</v>
      </c>
      <c r="BF242" s="3251">
        <f t="shared" ca="1" si="52"/>
        <v>1.8522858135888711</v>
      </c>
      <c r="BG242" s="3251">
        <f t="shared" ca="1" si="52"/>
        <v>1.8522858135888711</v>
      </c>
      <c r="BH242" s="3176"/>
      <c r="BJ242" s="3176"/>
      <c r="BK242" s="3249"/>
      <c r="BL242" s="3250"/>
      <c r="BM242" s="3241"/>
      <c r="BN242" s="3241"/>
      <c r="BO242" s="3241"/>
      <c r="BP242" s="3177"/>
      <c r="BQ242" s="3177"/>
      <c r="BR242" s="3177"/>
      <c r="BS242" s="3177"/>
      <c r="BT242" s="3177"/>
      <c r="BU242" s="3177"/>
    </row>
    <row r="243" spans="1:73">
      <c r="A243" s="39"/>
      <c r="B243" s="3176"/>
      <c r="C243" s="3250"/>
      <c r="D243" s="3241"/>
      <c r="E243" s="3241"/>
      <c r="F243" s="3241"/>
      <c r="G243" s="3241"/>
      <c r="H243" s="3177"/>
      <c r="I243" s="3177"/>
      <c r="J243" s="3177"/>
      <c r="K243" s="3177"/>
      <c r="L243" s="3177"/>
      <c r="M243" s="3177"/>
      <c r="N243" s="3177"/>
      <c r="O243" s="3177"/>
      <c r="P243" s="3177"/>
      <c r="Q243" s="3177"/>
      <c r="R243" s="3177"/>
      <c r="S243" s="3177"/>
      <c r="T243" s="3177"/>
      <c r="U243" s="3177"/>
      <c r="V243" s="3177"/>
      <c r="W243" s="3177"/>
      <c r="X243" s="3177"/>
      <c r="Y243" s="3177"/>
      <c r="Z243" s="3177"/>
      <c r="AA243" s="3177"/>
      <c r="AB243" s="3177"/>
      <c r="AC243" s="3177"/>
      <c r="AD243" s="3177"/>
      <c r="AE243" s="3177"/>
      <c r="AF243" s="3177"/>
      <c r="AG243" s="3177"/>
      <c r="AH243" s="3177"/>
      <c r="AI243" s="3177"/>
      <c r="AJ243" s="3177"/>
      <c r="AK243" s="3177"/>
      <c r="AL243" s="3177"/>
      <c r="AM243" s="3177"/>
      <c r="AN243" s="3177"/>
      <c r="AO243" s="3177"/>
      <c r="AP243" s="3177"/>
      <c r="AQ243" s="3177"/>
      <c r="AR243" s="3177"/>
      <c r="AS243" s="3177"/>
      <c r="AT243" s="3177"/>
      <c r="AU243" s="3177"/>
      <c r="AV243" s="3177"/>
      <c r="AW243" s="3177"/>
      <c r="AX243" s="3241"/>
      <c r="AY243" s="3241"/>
      <c r="AZ243" s="3241"/>
      <c r="BA243" s="3241"/>
      <c r="BB243" s="3241"/>
      <c r="BC243" s="3241"/>
      <c r="BD243" s="3241"/>
      <c r="BE243" s="3241"/>
      <c r="BF243" s="3241"/>
      <c r="BG243" s="3241"/>
      <c r="BH243" s="3176"/>
      <c r="BJ243" s="3176"/>
      <c r="BK243" s="3250"/>
      <c r="BL243" s="3241"/>
      <c r="BM243" s="3241"/>
      <c r="BN243" s="3241"/>
      <c r="BO243" s="3241"/>
      <c r="BP243" s="3177"/>
      <c r="BQ243" s="3177"/>
      <c r="BR243" s="3177"/>
      <c r="BS243" s="3177"/>
      <c r="BT243" s="3177"/>
      <c r="BU243" s="3177"/>
    </row>
    <row r="244" spans="1:73">
      <c r="A244" s="39"/>
      <c r="B244" s="3176"/>
      <c r="C244" s="3245" t="s">
        <v>2510</v>
      </c>
      <c r="D244" s="3241"/>
      <c r="E244" s="3241"/>
      <c r="F244" s="3241"/>
      <c r="G244" s="3241"/>
      <c r="H244" s="3177"/>
      <c r="I244" s="3177"/>
      <c r="J244" s="3177"/>
      <c r="K244" s="3177"/>
      <c r="L244" s="3177"/>
      <c r="M244" s="3177"/>
      <c r="N244" s="3177"/>
      <c r="O244" s="3177"/>
      <c r="P244" s="3177"/>
      <c r="Q244" s="3177"/>
      <c r="R244" s="3177"/>
      <c r="S244" s="3177"/>
      <c r="T244" s="3177"/>
      <c r="U244" s="3177"/>
      <c r="V244" s="3177"/>
      <c r="W244" s="3177"/>
      <c r="X244" s="3177"/>
      <c r="Y244" s="3177"/>
      <c r="Z244" s="3177"/>
      <c r="AA244" s="3177"/>
      <c r="AB244" s="3177"/>
      <c r="AC244" s="3177"/>
      <c r="AD244" s="3177"/>
      <c r="AE244" s="3177"/>
      <c r="AF244" s="3177"/>
      <c r="AG244" s="3177"/>
      <c r="AH244" s="3177"/>
      <c r="AI244" s="3177"/>
      <c r="AJ244" s="3177"/>
      <c r="AK244" s="3177"/>
      <c r="AL244" s="3177"/>
      <c r="AM244" s="3177"/>
      <c r="AN244" s="3177"/>
      <c r="AO244" s="3177"/>
      <c r="AP244" s="3177"/>
      <c r="AQ244" s="3177"/>
      <c r="AR244" s="3177"/>
      <c r="AS244" s="3177"/>
      <c r="AT244" s="3177"/>
      <c r="AU244" s="3177"/>
      <c r="AV244" s="3177"/>
      <c r="AW244" s="3177"/>
      <c r="AX244" s="3241"/>
      <c r="AY244" s="3246">
        <f t="shared" ref="AY244:BG244" ca="1" si="53">-(INDEX(INDIRECT(AY$214&amp;"!Year.Matrix"),MATCH("Subtotal.Supply",INDIRECT(AY$214&amp;"!Year.Modules"),0),MATCH("V.05",INDIRECT(AY$214&amp;"!Year.Vectors"),0))+INDEX(INDIRECT(AY$214&amp;"!Year.Matrix"),MATCH("Subtotal.Consumption",INDIRECT(AY$214&amp;"!Year.Modules"),0),MATCH("V.05",INDIRECT(AY$214&amp;"!Year.Vectors"),0)))</f>
        <v>46.857987474292671</v>
      </c>
      <c r="AZ244" s="3246">
        <f t="shared" ca="1" si="53"/>
        <v>48.77461141542328</v>
      </c>
      <c r="BA244" s="3246">
        <f t="shared" ca="1" si="53"/>
        <v>56.8103692649062</v>
      </c>
      <c r="BB244" s="3246">
        <f t="shared" ca="1" si="53"/>
        <v>68.702290917472666</v>
      </c>
      <c r="BC244" s="3246">
        <f t="shared" ca="1" si="53"/>
        <v>85.082146478204891</v>
      </c>
      <c r="BD244" s="3246">
        <f t="shared" ca="1" si="53"/>
        <v>105.92089590621669</v>
      </c>
      <c r="BE244" s="3246">
        <f t="shared" ca="1" si="53"/>
        <v>115.09790099061033</v>
      </c>
      <c r="BF244" s="3246">
        <f t="shared" ca="1" si="53"/>
        <v>124.65355054551733</v>
      </c>
      <c r="BG244" s="3246">
        <f t="shared" ca="1" si="53"/>
        <v>134.66988111245277</v>
      </c>
      <c r="BH244" s="3176"/>
      <c r="BJ244" s="3176"/>
      <c r="BK244" s="3245"/>
      <c r="BL244" s="3241"/>
      <c r="BM244" s="3241"/>
      <c r="BN244" s="3241"/>
      <c r="BO244" s="3241"/>
      <c r="BP244" s="3177"/>
      <c r="BQ244" s="3177"/>
      <c r="BR244" s="3177"/>
      <c r="BS244" s="3177"/>
      <c r="BT244" s="3177"/>
      <c r="BU244" s="3177"/>
    </row>
    <row r="245" spans="1:73">
      <c r="A245" s="39"/>
      <c r="B245" s="3176"/>
      <c r="C245" s="3241" t="s">
        <v>571</v>
      </c>
      <c r="D245" s="3245" t="s">
        <v>2511</v>
      </c>
      <c r="E245" s="3241"/>
      <c r="F245" s="3241"/>
      <c r="G245" s="3241"/>
      <c r="H245" s="3177"/>
      <c r="I245" s="3177"/>
      <c r="J245" s="3177"/>
      <c r="K245" s="3177"/>
      <c r="L245" s="3177"/>
      <c r="M245" s="3177"/>
      <c r="N245" s="3177"/>
      <c r="O245" s="3177"/>
      <c r="P245" s="3177"/>
      <c r="Q245" s="3177"/>
      <c r="R245" s="3177"/>
      <c r="S245" s="3177"/>
      <c r="T245" s="3177"/>
      <c r="U245" s="3177"/>
      <c r="V245" s="3177"/>
      <c r="W245" s="3177"/>
      <c r="X245" s="3177"/>
      <c r="Y245" s="3177"/>
      <c r="Z245" s="3177"/>
      <c r="AA245" s="3177"/>
      <c r="AB245" s="3177"/>
      <c r="AC245" s="3177"/>
      <c r="AD245" s="3177"/>
      <c r="AE245" s="3177"/>
      <c r="AF245" s="3177"/>
      <c r="AG245" s="3177"/>
      <c r="AH245" s="3177"/>
      <c r="AI245" s="3177"/>
      <c r="AJ245" s="3177"/>
      <c r="AK245" s="3177"/>
      <c r="AL245" s="3177"/>
      <c r="AM245" s="3177"/>
      <c r="AN245" s="3177"/>
      <c r="AO245" s="3177"/>
      <c r="AP245" s="3177"/>
      <c r="AQ245" s="3177"/>
      <c r="AR245" s="3177"/>
      <c r="AS245" s="3177"/>
      <c r="AT245" s="3177"/>
      <c r="AU245" s="3177"/>
      <c r="AV245" s="3177"/>
      <c r="AW245" s="3177"/>
      <c r="AX245" s="3241"/>
      <c r="AY245" s="3248">
        <f t="shared" ref="AY245:BG245" ca="1" si="54">INDEX(INDIRECT(AY$214&amp;"!Year.Matrix"),MATCH($C245,INDIRECT(AY$214&amp;"!Year.Modules"),0),MATCH("V.05",INDIRECT(AY$214&amp;"!Year.Vectors"),0))/AY$244</f>
        <v>3.6451248334754514E-3</v>
      </c>
      <c r="AZ245" s="3248">
        <f t="shared" ca="1" si="54"/>
        <v>4.0853165986934146E-3</v>
      </c>
      <c r="BA245" s="3248">
        <f t="shared" ca="1" si="54"/>
        <v>4.9225417273142825E-3</v>
      </c>
      <c r="BB245" s="3248">
        <f t="shared" ca="1" si="54"/>
        <v>6.2694263665208985E-3</v>
      </c>
      <c r="BC245" s="3248">
        <f t="shared" ca="1" si="54"/>
        <v>5.2227747519797705E-3</v>
      </c>
      <c r="BD245" s="3248">
        <f t="shared" ca="1" si="54"/>
        <v>5.5114939430898693E-3</v>
      </c>
      <c r="BE245" s="3248">
        <f t="shared" ca="1" si="54"/>
        <v>6.3851917813501592E-3</v>
      </c>
      <c r="BF245" s="3248">
        <f t="shared" ca="1" si="54"/>
        <v>7.2089663413965003E-3</v>
      </c>
      <c r="BG245" s="3248">
        <f t="shared" ca="1" si="54"/>
        <v>6.9364485886984455E-3</v>
      </c>
      <c r="BH245" s="3176"/>
      <c r="BJ245" s="3176"/>
      <c r="BK245" s="3241"/>
      <c r="BL245" s="3245"/>
      <c r="BM245" s="3241"/>
      <c r="BN245" s="3241"/>
      <c r="BO245" s="3241"/>
      <c r="BP245" s="3177"/>
      <c r="BQ245" s="3177"/>
      <c r="BR245" s="3177"/>
      <c r="BS245" s="3177"/>
      <c r="BT245" s="3177"/>
      <c r="BU245" s="3177"/>
    </row>
    <row r="246" spans="1:73">
      <c r="A246" s="39"/>
      <c r="B246" s="3176"/>
      <c r="C246" s="3249" t="s">
        <v>2</v>
      </c>
      <c r="D246" s="3250" t="s">
        <v>3</v>
      </c>
      <c r="E246" s="3241"/>
      <c r="F246" s="3241"/>
      <c r="G246" s="3241"/>
      <c r="H246" s="3177"/>
      <c r="I246" s="3177"/>
      <c r="J246" s="3177"/>
      <c r="K246" s="3177"/>
      <c r="L246" s="3177"/>
      <c r="M246" s="3177"/>
      <c r="N246" s="3177"/>
      <c r="O246" s="3177"/>
      <c r="P246" s="3177"/>
      <c r="Q246" s="3177"/>
      <c r="R246" s="3177"/>
      <c r="S246" s="3177"/>
      <c r="T246" s="3177"/>
      <c r="U246" s="3177"/>
      <c r="V246" s="3177"/>
      <c r="W246" s="3177"/>
      <c r="X246" s="3177"/>
      <c r="Y246" s="3177"/>
      <c r="Z246" s="3177"/>
      <c r="AA246" s="3177"/>
      <c r="AB246" s="3177"/>
      <c r="AC246" s="3177"/>
      <c r="AD246" s="3177"/>
      <c r="AE246" s="3177"/>
      <c r="AF246" s="3177"/>
      <c r="AG246" s="3177"/>
      <c r="AH246" s="3177"/>
      <c r="AI246" s="3177"/>
      <c r="AJ246" s="3177"/>
      <c r="AK246" s="3177"/>
      <c r="AL246" s="3177"/>
      <c r="AM246" s="3177"/>
      <c r="AN246" s="3177"/>
      <c r="AO246" s="3177"/>
      <c r="AP246" s="3177"/>
      <c r="AQ246" s="3177"/>
      <c r="AR246" s="3177"/>
      <c r="AS246" s="3177"/>
      <c r="AT246" s="3177"/>
      <c r="AU246" s="3177"/>
      <c r="AV246" s="3177"/>
      <c r="AW246" s="3177"/>
      <c r="AX246" s="3241"/>
      <c r="AY246" s="3251">
        <f t="shared" ref="AY246:BG250" ca="1" si="55">-INDEX(INDIRECT(AY$214&amp;"!Year.Matrix"),MATCH($C246,INDIRECT(AY$214&amp;"!Year.Modules"),0),MATCH("V.05",INDIRECT(AY$214&amp;"!Year.Vectors"),0))</f>
        <v>9.4463708573767775</v>
      </c>
      <c r="AZ246" s="3251">
        <f t="shared" ca="1" si="55"/>
        <v>10.199540735750485</v>
      </c>
      <c r="BA246" s="3251">
        <f t="shared" ca="1" si="55"/>
        <v>11.897301948776613</v>
      </c>
      <c r="BB246" s="3251">
        <f t="shared" ca="1" si="55"/>
        <v>14.23206774476146</v>
      </c>
      <c r="BC246" s="3251">
        <f t="shared" ca="1" si="55"/>
        <v>16.615606470158163</v>
      </c>
      <c r="BD246" s="3251">
        <f t="shared" ca="1" si="55"/>
        <v>19.131212438602503</v>
      </c>
      <c r="BE246" s="3251">
        <f t="shared" ca="1" si="55"/>
        <v>21.776894734744477</v>
      </c>
      <c r="BF246" s="3251">
        <f t="shared" ca="1" si="55"/>
        <v>24.497783683989923</v>
      </c>
      <c r="BG246" s="3251">
        <f t="shared" ca="1" si="55"/>
        <v>27.349254133477515</v>
      </c>
      <c r="BH246" s="3176"/>
      <c r="BJ246" s="3176"/>
      <c r="BK246" s="3249"/>
      <c r="BL246" s="3250"/>
      <c r="BM246" s="3241"/>
      <c r="BN246" s="3241"/>
      <c r="BO246" s="3241"/>
      <c r="BP246" s="3177"/>
      <c r="BQ246" s="3177"/>
      <c r="BR246" s="3177"/>
      <c r="BS246" s="3177"/>
      <c r="BT246" s="3177"/>
      <c r="BU246" s="3177"/>
    </row>
    <row r="247" spans="1:73">
      <c r="A247" s="39"/>
      <c r="B247" s="3176"/>
      <c r="C247" s="3249" t="s">
        <v>456</v>
      </c>
      <c r="D247" s="3250" t="s">
        <v>457</v>
      </c>
      <c r="E247" s="3241"/>
      <c r="F247" s="3241"/>
      <c r="G247" s="3241"/>
      <c r="H247" s="3177"/>
      <c r="I247" s="3177"/>
      <c r="J247" s="3177"/>
      <c r="K247" s="3177"/>
      <c r="L247" s="3177"/>
      <c r="M247" s="3177"/>
      <c r="N247" s="3177"/>
      <c r="O247" s="3177"/>
      <c r="P247" s="3177"/>
      <c r="Q247" s="3177"/>
      <c r="R247" s="3177"/>
      <c r="S247" s="3177"/>
      <c r="T247" s="3177"/>
      <c r="U247" s="3177"/>
      <c r="V247" s="3177"/>
      <c r="W247" s="3177"/>
      <c r="X247" s="3177"/>
      <c r="Y247" s="3177"/>
      <c r="Z247" s="3177"/>
      <c r="AA247" s="3177"/>
      <c r="AB247" s="3177"/>
      <c r="AC247" s="3177"/>
      <c r="AD247" s="3177"/>
      <c r="AE247" s="3177"/>
      <c r="AF247" s="3177"/>
      <c r="AG247" s="3177"/>
      <c r="AH247" s="3177"/>
      <c r="AI247" s="3177"/>
      <c r="AJ247" s="3177"/>
      <c r="AK247" s="3177"/>
      <c r="AL247" s="3177"/>
      <c r="AM247" s="3177"/>
      <c r="AN247" s="3177"/>
      <c r="AO247" s="3177"/>
      <c r="AP247" s="3177"/>
      <c r="AQ247" s="3177"/>
      <c r="AR247" s="3177"/>
      <c r="AS247" s="3177"/>
      <c r="AT247" s="3177"/>
      <c r="AU247" s="3177"/>
      <c r="AV247" s="3177"/>
      <c r="AW247" s="3177"/>
      <c r="AX247" s="3241"/>
      <c r="AY247" s="3251">
        <f t="shared" ca="1" si="55"/>
        <v>4.9320532099479477</v>
      </c>
      <c r="AZ247" s="3251">
        <f t="shared" ca="1" si="55"/>
        <v>5.2696981539086805</v>
      </c>
      <c r="BA247" s="3251">
        <f t="shared" ca="1" si="55"/>
        <v>6.2042971253497576</v>
      </c>
      <c r="BB247" s="3251">
        <f t="shared" ca="1" si="55"/>
        <v>7.0586798336798342</v>
      </c>
      <c r="BC247" s="3251">
        <f t="shared" ca="1" si="55"/>
        <v>7.9647226173541954</v>
      </c>
      <c r="BD247" s="3251">
        <f t="shared" ca="1" si="55"/>
        <v>8.9224254763728439</v>
      </c>
      <c r="BE247" s="3251">
        <f t="shared" ca="1" si="55"/>
        <v>9.931788410735777</v>
      </c>
      <c r="BF247" s="3251">
        <f t="shared" ca="1" si="55"/>
        <v>10.992811420442997</v>
      </c>
      <c r="BG247" s="3251">
        <f t="shared" ca="1" si="55"/>
        <v>12.105494505494505</v>
      </c>
      <c r="BH247" s="3176"/>
      <c r="BJ247" s="3176"/>
      <c r="BK247" s="3249"/>
      <c r="BL247" s="3250"/>
      <c r="BM247" s="3241"/>
      <c r="BN247" s="3241"/>
      <c r="BO247" s="3241"/>
      <c r="BP247" s="3177"/>
      <c r="BQ247" s="3177"/>
      <c r="BR247" s="3177"/>
      <c r="BS247" s="3177"/>
      <c r="BT247" s="3177"/>
      <c r="BU247" s="3177"/>
    </row>
    <row r="248" spans="1:73">
      <c r="A248" s="39"/>
      <c r="B248" s="3176"/>
      <c r="C248" s="3249" t="s">
        <v>468</v>
      </c>
      <c r="D248" s="3250" t="s">
        <v>359</v>
      </c>
      <c r="E248" s="3241"/>
      <c r="F248" s="3241"/>
      <c r="G248" s="3241"/>
      <c r="H248" s="3177"/>
      <c r="I248" s="3177"/>
      <c r="J248" s="3177"/>
      <c r="K248" s="3177"/>
      <c r="L248" s="3177"/>
      <c r="M248" s="3177"/>
      <c r="N248" s="3177"/>
      <c r="O248" s="3177"/>
      <c r="P248" s="3177"/>
      <c r="Q248" s="3177"/>
      <c r="R248" s="3177"/>
      <c r="S248" s="3177"/>
      <c r="T248" s="3177"/>
      <c r="U248" s="3177"/>
      <c r="V248" s="3177"/>
      <c r="W248" s="3177"/>
      <c r="X248" s="3177"/>
      <c r="Y248" s="3177"/>
      <c r="Z248" s="3177"/>
      <c r="AA248" s="3177"/>
      <c r="AB248" s="3177"/>
      <c r="AC248" s="3177"/>
      <c r="AD248" s="3177"/>
      <c r="AE248" s="3177"/>
      <c r="AF248" s="3177"/>
      <c r="AG248" s="3177"/>
      <c r="AH248" s="3177"/>
      <c r="AI248" s="3177"/>
      <c r="AJ248" s="3177"/>
      <c r="AK248" s="3177"/>
      <c r="AL248" s="3177"/>
      <c r="AM248" s="3177"/>
      <c r="AN248" s="3177"/>
      <c r="AO248" s="3177"/>
      <c r="AP248" s="3177"/>
      <c r="AQ248" s="3177"/>
      <c r="AR248" s="3177"/>
      <c r="AS248" s="3177"/>
      <c r="AT248" s="3177"/>
      <c r="AU248" s="3177"/>
      <c r="AV248" s="3177"/>
      <c r="AW248" s="3177"/>
      <c r="AX248" s="3241"/>
      <c r="AY248" s="3251">
        <f t="shared" ca="1" si="55"/>
        <v>7.2399999999999993</v>
      </c>
      <c r="AZ248" s="3251">
        <f t="shared" ca="1" si="55"/>
        <v>7.4516430263682514</v>
      </c>
      <c r="BA248" s="3251">
        <f t="shared" ca="1" si="55"/>
        <v>8.0177817853863154</v>
      </c>
      <c r="BB248" s="3251">
        <f t="shared" ca="1" si="55"/>
        <v>8.64120120701015</v>
      </c>
      <c r="BC248" s="3251">
        <f t="shared" ca="1" si="55"/>
        <v>9.3278652471914132</v>
      </c>
      <c r="BD248" s="3251">
        <f t="shared" ca="1" si="55"/>
        <v>10.08436865334256</v>
      </c>
      <c r="BE248" s="3251">
        <f t="shared" ca="1" si="55"/>
        <v>10.918004260609603</v>
      </c>
      <c r="BF248" s="3251">
        <f t="shared" ca="1" si="55"/>
        <v>11.836837503681357</v>
      </c>
      <c r="BG248" s="3251">
        <f t="shared" ca="1" si="55"/>
        <v>12.849788920209173</v>
      </c>
      <c r="BH248" s="3176"/>
      <c r="BJ248" s="3176"/>
      <c r="BK248" s="3249"/>
      <c r="BL248" s="3250"/>
      <c r="BM248" s="3241"/>
      <c r="BN248" s="3241"/>
      <c r="BO248" s="3241"/>
      <c r="BP248" s="3177"/>
      <c r="BQ248" s="3177"/>
      <c r="BR248" s="3177"/>
      <c r="BS248" s="3177"/>
      <c r="BT248" s="3177"/>
      <c r="BU248" s="3177"/>
    </row>
    <row r="249" spans="1:73">
      <c r="A249" s="39"/>
      <c r="B249" s="3176"/>
      <c r="C249" s="3249" t="s">
        <v>547</v>
      </c>
      <c r="D249" s="3250" t="s">
        <v>548</v>
      </c>
      <c r="E249" s="3241"/>
      <c r="F249" s="3241"/>
      <c r="G249" s="3241"/>
      <c r="H249" s="3177"/>
      <c r="I249" s="3177"/>
      <c r="J249" s="3177"/>
      <c r="K249" s="3177"/>
      <c r="L249" s="3177"/>
      <c r="M249" s="3177"/>
      <c r="N249" s="3177"/>
      <c r="O249" s="3177"/>
      <c r="P249" s="3177"/>
      <c r="Q249" s="3177"/>
      <c r="R249" s="3177"/>
      <c r="S249" s="3177"/>
      <c r="T249" s="3177"/>
      <c r="U249" s="3177"/>
      <c r="V249" s="3177"/>
      <c r="W249" s="3177"/>
      <c r="X249" s="3177"/>
      <c r="Y249" s="3177"/>
      <c r="Z249" s="3177"/>
      <c r="AA249" s="3177"/>
      <c r="AB249" s="3177"/>
      <c r="AC249" s="3177"/>
      <c r="AD249" s="3177"/>
      <c r="AE249" s="3177"/>
      <c r="AF249" s="3177"/>
      <c r="AG249" s="3177"/>
      <c r="AH249" s="3177"/>
      <c r="AI249" s="3177"/>
      <c r="AJ249" s="3177"/>
      <c r="AK249" s="3240"/>
      <c r="AL249" s="3240"/>
      <c r="AM249" s="3240"/>
      <c r="AN249" s="3240"/>
      <c r="AO249" s="3240"/>
      <c r="AP249" s="3240"/>
      <c r="AQ249" s="3240"/>
      <c r="AR249" s="3240"/>
      <c r="AS249" s="3240"/>
      <c r="AT249" s="3240"/>
      <c r="AU249" s="3240"/>
      <c r="AV249" s="3240"/>
      <c r="AW249" s="3177"/>
      <c r="AX249" s="3241"/>
      <c r="AY249" s="3251">
        <f t="shared" ca="1" si="55"/>
        <v>24.254439331469616</v>
      </c>
      <c r="AZ249" s="3251">
        <f t="shared" ca="1" si="55"/>
        <v>24.744703032876998</v>
      </c>
      <c r="BA249" s="3251">
        <f t="shared" ca="1" si="55"/>
        <v>27.385767915552304</v>
      </c>
      <c r="BB249" s="3251">
        <f t="shared" ca="1" si="55"/>
        <v>37.098678880609839</v>
      </c>
      <c r="BC249" s="3251">
        <f t="shared" ca="1" si="55"/>
        <v>50.151743269846563</v>
      </c>
      <c r="BD249" s="3251">
        <f t="shared" ca="1" si="55"/>
        <v>66.74981167799227</v>
      </c>
      <c r="BE249" s="3251">
        <f t="shared" ca="1" si="55"/>
        <v>71.426632572578853</v>
      </c>
      <c r="BF249" s="3251">
        <f t="shared" ca="1" si="55"/>
        <v>76.270558151769606</v>
      </c>
      <c r="BG249" s="3251">
        <f t="shared" ca="1" si="55"/>
        <v>81.296126820622135</v>
      </c>
      <c r="BH249" s="3176"/>
      <c r="BJ249" s="3176"/>
      <c r="BK249" s="3249"/>
      <c r="BL249" s="3250"/>
      <c r="BM249" s="3241"/>
      <c r="BN249" s="3241"/>
      <c r="BO249" s="3241"/>
      <c r="BP249" s="3177"/>
      <c r="BQ249" s="3177"/>
      <c r="BR249" s="3177"/>
      <c r="BS249" s="3177"/>
      <c r="BT249" s="3177"/>
      <c r="BU249" s="3177"/>
    </row>
    <row r="250" spans="1:73">
      <c r="A250" s="39"/>
      <c r="B250" s="3176"/>
      <c r="C250" s="3249" t="s">
        <v>544</v>
      </c>
      <c r="D250" s="3250" t="s">
        <v>545</v>
      </c>
      <c r="E250" s="3241"/>
      <c r="F250" s="3241"/>
      <c r="G250" s="3241"/>
      <c r="H250" s="3177"/>
      <c r="I250" s="3177"/>
      <c r="J250" s="3177"/>
      <c r="K250" s="3177"/>
      <c r="L250" s="3177"/>
      <c r="M250" s="3177"/>
      <c r="N250" s="3177"/>
      <c r="O250" s="3177"/>
      <c r="P250" s="3177"/>
      <c r="Q250" s="3177"/>
      <c r="R250" s="3177"/>
      <c r="S250" s="3177"/>
      <c r="T250" s="3177"/>
      <c r="U250" s="3177"/>
      <c r="V250" s="3177"/>
      <c r="W250" s="3177"/>
      <c r="X250" s="3177"/>
      <c r="Y250" s="3177"/>
      <c r="Z250" s="3177"/>
      <c r="AA250" s="3177"/>
      <c r="AB250" s="3177"/>
      <c r="AC250" s="3177"/>
      <c r="AD250" s="3177"/>
      <c r="AE250" s="3177"/>
      <c r="AF250" s="3177"/>
      <c r="AG250" s="3177"/>
      <c r="AH250" s="3177"/>
      <c r="AI250" s="3177"/>
      <c r="AJ250" s="3177"/>
      <c r="AK250" s="3240"/>
      <c r="AL250" s="3240"/>
      <c r="AM250" s="3240"/>
      <c r="AN250" s="3240"/>
      <c r="AO250" s="3240"/>
      <c r="AP250" s="3240"/>
      <c r="AQ250" s="3240"/>
      <c r="AR250" s="3240"/>
      <c r="AS250" s="3240"/>
      <c r="AT250" s="3240"/>
      <c r="AU250" s="3240"/>
      <c r="AV250" s="3240"/>
      <c r="AW250" s="3177"/>
      <c r="AX250" s="3241"/>
      <c r="AY250" s="3251">
        <f t="shared" ca="1" si="55"/>
        <v>0</v>
      </c>
      <c r="AZ250" s="3251">
        <f t="shared" ca="1" si="55"/>
        <v>0</v>
      </c>
      <c r="BA250" s="3251">
        <f t="shared" ca="1" si="55"/>
        <v>0</v>
      </c>
      <c r="BB250" s="3251">
        <f t="shared" ca="1" si="55"/>
        <v>0</v>
      </c>
      <c r="BC250" s="3251">
        <f t="shared" ca="1" si="55"/>
        <v>0</v>
      </c>
      <c r="BD250" s="3251">
        <f t="shared" ca="1" si="55"/>
        <v>0</v>
      </c>
      <c r="BE250" s="3251">
        <f t="shared" ca="1" si="55"/>
        <v>0</v>
      </c>
      <c r="BF250" s="3251">
        <f t="shared" ca="1" si="55"/>
        <v>0</v>
      </c>
      <c r="BG250" s="3251">
        <f t="shared" ca="1" si="55"/>
        <v>0</v>
      </c>
      <c r="BH250" s="3176"/>
      <c r="BJ250" s="3176"/>
      <c r="BK250" s="3249"/>
      <c r="BL250" s="3250"/>
      <c r="BM250" s="3241"/>
      <c r="BN250" s="3241"/>
      <c r="BO250" s="3241"/>
      <c r="BP250" s="3177"/>
      <c r="BQ250" s="3177"/>
      <c r="BR250" s="3177"/>
      <c r="BS250" s="3177"/>
      <c r="BT250" s="3177"/>
      <c r="BU250" s="3177"/>
    </row>
    <row r="251" spans="1:73">
      <c r="A251" s="39"/>
      <c r="B251" s="3176"/>
      <c r="C251" s="3249"/>
      <c r="D251" s="3250"/>
      <c r="E251" s="3241"/>
      <c r="F251" s="3241"/>
      <c r="G251" s="3241"/>
      <c r="H251" s="3241"/>
      <c r="I251" s="3241"/>
      <c r="J251" s="3241"/>
      <c r="K251" s="3241"/>
      <c r="L251" s="3241"/>
      <c r="M251" s="3241"/>
      <c r="N251" s="3241"/>
      <c r="O251" s="3241"/>
      <c r="P251" s="3241"/>
      <c r="Q251" s="3241"/>
      <c r="R251" s="3241"/>
      <c r="S251" s="3241"/>
      <c r="T251" s="3241"/>
      <c r="U251" s="3241"/>
      <c r="V251" s="3241"/>
      <c r="W251" s="3241"/>
      <c r="X251" s="3241"/>
      <c r="Y251" s="3241"/>
      <c r="Z251" s="3241"/>
      <c r="AA251" s="3241"/>
      <c r="AB251" s="3241"/>
      <c r="AC251" s="3241"/>
      <c r="AD251" s="3241"/>
      <c r="AE251" s="3241"/>
      <c r="AF251" s="3241"/>
      <c r="AG251" s="3241"/>
      <c r="AH251" s="3241"/>
      <c r="AI251" s="3241"/>
      <c r="AJ251" s="3241"/>
      <c r="AK251" s="3241"/>
      <c r="AL251" s="3241"/>
      <c r="AM251" s="3241"/>
      <c r="AN251" s="3241"/>
      <c r="AO251" s="3241"/>
      <c r="AP251" s="3241"/>
      <c r="AQ251" s="3241"/>
      <c r="AR251" s="3241"/>
      <c r="AS251" s="3241"/>
      <c r="AT251" s="3241"/>
      <c r="AU251" s="3241"/>
      <c r="AV251" s="3241"/>
      <c r="AW251" s="3241"/>
      <c r="AX251" s="3241"/>
      <c r="AY251" s="3251"/>
      <c r="AZ251" s="3251"/>
      <c r="BA251" s="3251"/>
      <c r="BB251" s="3251"/>
      <c r="BC251" s="3251"/>
      <c r="BD251" s="3251"/>
      <c r="BE251" s="3251"/>
      <c r="BF251" s="3251"/>
      <c r="BG251" s="3251"/>
      <c r="BH251" s="3176"/>
      <c r="BJ251" s="3176"/>
      <c r="BK251" s="3249"/>
      <c r="BL251" s="3250"/>
      <c r="BM251" s="3241"/>
      <c r="BN251" s="3241"/>
      <c r="BO251" s="3241"/>
      <c r="BP251" s="3241"/>
      <c r="BQ251" s="3241"/>
      <c r="BR251" s="3241"/>
      <c r="BS251" s="3241"/>
      <c r="BT251" s="3241"/>
      <c r="BU251" s="3241"/>
    </row>
    <row r="252" spans="1:73">
      <c r="A252" s="39"/>
      <c r="B252" s="3176"/>
      <c r="C252" s="3245"/>
      <c r="D252" s="3250" t="s">
        <v>2512</v>
      </c>
      <c r="E252" s="3241" t="s">
        <v>2513</v>
      </c>
      <c r="F252" s="3241" t="s">
        <v>2514</v>
      </c>
      <c r="G252" s="3241" t="s">
        <v>2515</v>
      </c>
      <c r="H252" s="3241" t="s">
        <v>2516</v>
      </c>
      <c r="I252" s="3241" t="s">
        <v>2517</v>
      </c>
      <c r="J252" s="3241" t="s">
        <v>2518</v>
      </c>
      <c r="K252" s="3241" t="s">
        <v>2519</v>
      </c>
      <c r="L252" s="3241" t="s">
        <v>2520</v>
      </c>
      <c r="M252" s="3241" t="s">
        <v>2521</v>
      </c>
      <c r="N252" s="3241" t="s">
        <v>2522</v>
      </c>
      <c r="O252" s="3241" t="s">
        <v>2523</v>
      </c>
      <c r="P252" s="3241" t="s">
        <v>2524</v>
      </c>
      <c r="Q252" s="3241" t="s">
        <v>2525</v>
      </c>
      <c r="R252" s="3241" t="s">
        <v>2526</v>
      </c>
      <c r="S252" s="3241" t="s">
        <v>2527</v>
      </c>
      <c r="T252" s="3241" t="s">
        <v>2528</v>
      </c>
      <c r="U252" s="3241" t="s">
        <v>2529</v>
      </c>
      <c r="V252" s="3241" t="s">
        <v>2530</v>
      </c>
      <c r="W252" s="3241" t="s">
        <v>2531</v>
      </c>
      <c r="X252" s="3241" t="s">
        <v>2532</v>
      </c>
      <c r="Y252" s="3241" t="s">
        <v>2533</v>
      </c>
      <c r="Z252" s="3241" t="s">
        <v>2534</v>
      </c>
      <c r="AA252" s="3241" t="s">
        <v>2535</v>
      </c>
      <c r="AB252" s="3241" t="s">
        <v>2536</v>
      </c>
      <c r="AC252" s="3241" t="s">
        <v>2537</v>
      </c>
      <c r="AD252" s="3241" t="s">
        <v>2538</v>
      </c>
      <c r="AE252" s="3241" t="s">
        <v>2539</v>
      </c>
      <c r="AF252" s="3241" t="s">
        <v>2540</v>
      </c>
      <c r="AG252" s="3241" t="s">
        <v>2541</v>
      </c>
      <c r="AH252" s="3241" t="s">
        <v>2542</v>
      </c>
      <c r="AI252" s="3241" t="s">
        <v>2543</v>
      </c>
      <c r="AJ252" s="3241" t="s">
        <v>2544</v>
      </c>
      <c r="AK252" s="3241" t="s">
        <v>2545</v>
      </c>
      <c r="AL252" s="3241" t="s">
        <v>2546</v>
      </c>
      <c r="AM252" s="3241" t="s">
        <v>2547</v>
      </c>
      <c r="AN252" s="3241" t="s">
        <v>2548</v>
      </c>
      <c r="AO252" s="3241" t="s">
        <v>2549</v>
      </c>
      <c r="AP252" s="3241" t="s">
        <v>2550</v>
      </c>
      <c r="AQ252" s="3241" t="s">
        <v>2551</v>
      </c>
      <c r="AR252" s="3241" t="s">
        <v>2552</v>
      </c>
      <c r="AS252" s="3241" t="s">
        <v>2553</v>
      </c>
      <c r="AT252" s="3241" t="s">
        <v>2554</v>
      </c>
      <c r="AU252" s="3241" t="s">
        <v>2555</v>
      </c>
      <c r="AV252" s="3241" t="s">
        <v>2556</v>
      </c>
      <c r="AW252" s="3241" t="s">
        <v>2557</v>
      </c>
      <c r="AX252" s="3241" t="s">
        <v>2558</v>
      </c>
      <c r="AY252" s="3253" t="s">
        <v>588</v>
      </c>
      <c r="AZ252" s="3253" t="s">
        <v>132</v>
      </c>
      <c r="BA252" s="3253" t="s">
        <v>133</v>
      </c>
      <c r="BB252" s="3253" t="s">
        <v>134</v>
      </c>
      <c r="BC252" s="3253" t="s">
        <v>135</v>
      </c>
      <c r="BD252" s="3253" t="s">
        <v>136</v>
      </c>
      <c r="BE252" s="3253" t="s">
        <v>137</v>
      </c>
      <c r="BF252" s="3253" t="s">
        <v>138</v>
      </c>
      <c r="BG252" s="3253" t="s">
        <v>139</v>
      </c>
      <c r="BH252" s="3176"/>
      <c r="BJ252" s="3176"/>
      <c r="BK252" s="3245"/>
      <c r="BL252" s="3250"/>
      <c r="BM252" s="3241"/>
      <c r="BN252" s="3241"/>
      <c r="BO252" s="3241"/>
      <c r="BP252" s="3241"/>
      <c r="BQ252" s="3241"/>
      <c r="BR252" s="3241"/>
      <c r="BS252" s="3241"/>
      <c r="BT252" s="3241"/>
      <c r="BU252" s="3241"/>
    </row>
    <row r="253" spans="1:73">
      <c r="A253" s="39"/>
      <c r="B253" s="3176"/>
      <c r="C253" s="3249"/>
      <c r="D253" s="3250" t="s">
        <v>16</v>
      </c>
      <c r="E253" s="3241"/>
      <c r="F253" s="3241"/>
      <c r="G253" s="3241"/>
      <c r="H253" s="3241"/>
      <c r="I253" s="3241"/>
      <c r="J253" s="3241"/>
      <c r="K253" s="3241"/>
      <c r="L253" s="3241"/>
      <c r="M253" s="3241"/>
      <c r="N253" s="3241"/>
      <c r="O253" s="3241"/>
      <c r="P253" s="3241"/>
      <c r="Q253" s="3241"/>
      <c r="R253" s="3241"/>
      <c r="S253" s="3241"/>
      <c r="T253" s="3241"/>
      <c r="U253" s="3241"/>
      <c r="V253" s="3241"/>
      <c r="W253" s="3241"/>
      <c r="X253" s="3241"/>
      <c r="Y253" s="3241"/>
      <c r="Z253" s="3241"/>
      <c r="AA253" s="3241"/>
      <c r="AB253" s="3241"/>
      <c r="AC253" s="3241"/>
      <c r="AD253" s="3241"/>
      <c r="AE253" s="3241"/>
      <c r="AF253" s="3241"/>
      <c r="AG253" s="3241"/>
      <c r="AH253" s="3241"/>
      <c r="AI253" s="3241"/>
      <c r="AJ253" s="3241"/>
      <c r="AK253" s="3241"/>
      <c r="AL253" s="3241"/>
      <c r="AM253" s="3241"/>
      <c r="AN253" s="3241"/>
      <c r="AO253" s="3241"/>
      <c r="AP253" s="3241"/>
      <c r="AQ253" s="3241"/>
      <c r="AR253" s="3241"/>
      <c r="AS253" s="3241"/>
      <c r="AT253" s="3241"/>
      <c r="AU253" s="3241"/>
      <c r="AV253" s="3241"/>
      <c r="AW253" s="3241"/>
      <c r="AX253" s="3241"/>
      <c r="AY253" s="3535">
        <f t="shared" ref="AY253:BG253" ca="1" si="56">AY232</f>
        <v>4.7739736812162391E-2</v>
      </c>
      <c r="AZ253" s="3536">
        <f t="shared" ca="1" si="56"/>
        <v>6.7381198988460941E-2</v>
      </c>
      <c r="BA253" s="3536">
        <f t="shared" ca="1" si="56"/>
        <v>9.0149071917814058E-2</v>
      </c>
      <c r="BB253" s="3536">
        <f t="shared" ca="1" si="56"/>
        <v>0.10802582115396805</v>
      </c>
      <c r="BC253" s="3536">
        <f t="shared" ca="1" si="56"/>
        <v>0.19166797944647376</v>
      </c>
      <c r="BD253" s="3536">
        <f t="shared" ca="1" si="56"/>
        <v>0.7287257560331889</v>
      </c>
      <c r="BE253" s="3536">
        <f t="shared" ca="1" si="56"/>
        <v>0.60328424208425846</v>
      </c>
      <c r="BF253" s="3536">
        <f t="shared" ca="1" si="56"/>
        <v>0.48777697758787825</v>
      </c>
      <c r="BG253" s="3536">
        <f t="shared" ca="1" si="56"/>
        <v>0.47290118836655126</v>
      </c>
      <c r="BH253" s="3176"/>
      <c r="BJ253" s="3176"/>
      <c r="BK253" s="3249"/>
      <c r="BL253" s="3250"/>
      <c r="BM253" s="3241"/>
      <c r="BN253" s="3241"/>
      <c r="BO253" s="3241"/>
      <c r="BP253" s="3241"/>
      <c r="BQ253" s="3241"/>
      <c r="BR253" s="3241"/>
      <c r="BS253" s="3241"/>
      <c r="BT253" s="3241"/>
      <c r="BU253" s="3241"/>
    </row>
    <row r="254" spans="1:73">
      <c r="A254" s="39"/>
      <c r="B254" s="3176"/>
      <c r="C254" s="3249"/>
      <c r="D254" s="3250" t="s">
        <v>1668</v>
      </c>
      <c r="E254" s="3241"/>
      <c r="F254" s="3241"/>
      <c r="G254" s="3241"/>
      <c r="H254" s="3241"/>
      <c r="I254" s="3241"/>
      <c r="J254" s="3241"/>
      <c r="K254" s="3241"/>
      <c r="L254" s="3241"/>
      <c r="M254" s="3241"/>
      <c r="N254" s="3241"/>
      <c r="O254" s="3241"/>
      <c r="P254" s="3241"/>
      <c r="Q254" s="3241"/>
      <c r="R254" s="3241"/>
      <c r="S254" s="3241"/>
      <c r="T254" s="3241"/>
      <c r="U254" s="3241"/>
      <c r="V254" s="3241"/>
      <c r="W254" s="3241"/>
      <c r="X254" s="3241"/>
      <c r="Y254" s="3241"/>
      <c r="Z254" s="3241"/>
      <c r="AA254" s="3241"/>
      <c r="AB254" s="3241"/>
      <c r="AC254" s="3241"/>
      <c r="AD254" s="3241"/>
      <c r="AE254" s="3241"/>
      <c r="AF254" s="3241"/>
      <c r="AG254" s="3241"/>
      <c r="AH254" s="3241"/>
      <c r="AI254" s="3241"/>
      <c r="AJ254" s="3241"/>
      <c r="AK254" s="3241"/>
      <c r="AL254" s="3241"/>
      <c r="AM254" s="3241"/>
      <c r="AN254" s="3241"/>
      <c r="AO254" s="3241"/>
      <c r="AP254" s="3241"/>
      <c r="AQ254" s="3241"/>
      <c r="AR254" s="3241"/>
      <c r="AS254" s="3241"/>
      <c r="AT254" s="3241"/>
      <c r="AU254" s="3241"/>
      <c r="AV254" s="3241"/>
      <c r="AW254" s="3241"/>
      <c r="AX254" s="3241"/>
      <c r="AY254" s="3531">
        <f t="shared" ref="AY254:BG254" ca="1" si="57">AY239</f>
        <v>1.3229700820545271E-2</v>
      </c>
      <c r="AZ254" s="3532">
        <f t="shared" ca="1" si="57"/>
        <v>1.5357428968472116E-2</v>
      </c>
      <c r="BA254" s="3532">
        <f t="shared" ca="1" si="57"/>
        <v>1.5206084168848596E-2</v>
      </c>
      <c r="BB254" s="3532">
        <f t="shared" ca="1" si="57"/>
        <v>1.547437317131223E-2</v>
      </c>
      <c r="BC254" s="3532">
        <f t="shared" ca="1" si="57"/>
        <v>9.713029326607869E-3</v>
      </c>
      <c r="BD254" s="3532">
        <f t="shared" ca="1" si="57"/>
        <v>7.8292644117209792E-3</v>
      </c>
      <c r="BE254" s="3532">
        <f t="shared" ca="1" si="57"/>
        <v>5.9475829261515746E-3</v>
      </c>
      <c r="BF254" s="3532">
        <f t="shared" ca="1" si="57"/>
        <v>4.0495657566064847E-3</v>
      </c>
      <c r="BG254" s="3532">
        <f t="shared" ca="1" si="57"/>
        <v>2.1651421772406264E-3</v>
      </c>
      <c r="BH254" s="3176"/>
      <c r="BJ254" s="3176"/>
      <c r="BK254" s="3249"/>
      <c r="BL254" s="3250"/>
      <c r="BM254" s="3241"/>
      <c r="BN254" s="3241"/>
      <c r="BO254" s="3241"/>
      <c r="BP254" s="3241"/>
      <c r="BQ254" s="3241"/>
      <c r="BR254" s="3241"/>
      <c r="BS254" s="3241"/>
      <c r="BT254" s="3241"/>
      <c r="BU254" s="3241"/>
    </row>
    <row r="255" spans="1:73">
      <c r="A255" s="39"/>
      <c r="B255" s="3176"/>
      <c r="C255" s="3249"/>
      <c r="D255" s="3250" t="s">
        <v>15</v>
      </c>
      <c r="E255" s="3241"/>
      <c r="F255" s="3241"/>
      <c r="G255" s="3241"/>
      <c r="H255" s="3241"/>
      <c r="I255" s="3241"/>
      <c r="J255" s="3241"/>
      <c r="K255" s="3241"/>
      <c r="L255" s="3241"/>
      <c r="M255" s="3241"/>
      <c r="N255" s="3241"/>
      <c r="O255" s="3241"/>
      <c r="P255" s="3241"/>
      <c r="Q255" s="3241"/>
      <c r="R255" s="3241"/>
      <c r="S255" s="3241"/>
      <c r="T255" s="3241"/>
      <c r="U255" s="3241"/>
      <c r="V255" s="3241"/>
      <c r="W255" s="3241"/>
      <c r="X255" s="3241"/>
      <c r="Y255" s="3241"/>
      <c r="Z255" s="3241"/>
      <c r="AA255" s="3241"/>
      <c r="AB255" s="3241"/>
      <c r="AC255" s="3241"/>
      <c r="AD255" s="3241"/>
      <c r="AE255" s="3241"/>
      <c r="AF255" s="3241"/>
      <c r="AG255" s="3241"/>
      <c r="AH255" s="3241"/>
      <c r="AI255" s="3241"/>
      <c r="AJ255" s="3241"/>
      <c r="AK255" s="3241"/>
      <c r="AL255" s="3241"/>
      <c r="AM255" s="3241"/>
      <c r="AN255" s="3241"/>
      <c r="AO255" s="3241"/>
      <c r="AP255" s="3241"/>
      <c r="AQ255" s="3241"/>
      <c r="AR255" s="3241"/>
      <c r="AS255" s="3241"/>
      <c r="AT255" s="3241"/>
      <c r="AU255" s="3241"/>
      <c r="AV255" s="3241"/>
      <c r="AW255" s="3241"/>
      <c r="AX255" s="3241"/>
      <c r="AY255" s="3533">
        <f t="shared" ref="AY255:BG255" ca="1" si="58">AY245</f>
        <v>3.6451248334754514E-3</v>
      </c>
      <c r="AZ255" s="3534">
        <f t="shared" ca="1" si="58"/>
        <v>4.0853165986934146E-3</v>
      </c>
      <c r="BA255" s="3534">
        <f t="shared" ca="1" si="58"/>
        <v>4.9225417273142825E-3</v>
      </c>
      <c r="BB255" s="3534">
        <f t="shared" ca="1" si="58"/>
        <v>6.2694263665208985E-3</v>
      </c>
      <c r="BC255" s="3534">
        <f t="shared" ca="1" si="58"/>
        <v>5.2227747519797705E-3</v>
      </c>
      <c r="BD255" s="3534">
        <f t="shared" ca="1" si="58"/>
        <v>5.5114939430898693E-3</v>
      </c>
      <c r="BE255" s="3534">
        <f t="shared" ca="1" si="58"/>
        <v>6.3851917813501592E-3</v>
      </c>
      <c r="BF255" s="3534">
        <f t="shared" ca="1" si="58"/>
        <v>7.2089663413965003E-3</v>
      </c>
      <c r="BG255" s="3534">
        <f t="shared" ca="1" si="58"/>
        <v>6.9364485886984455E-3</v>
      </c>
      <c r="BH255" s="3176"/>
      <c r="BJ255" s="3176"/>
      <c r="BK255" s="3249"/>
      <c r="BL255" s="3250"/>
      <c r="BM255" s="3241"/>
      <c r="BN255" s="3241"/>
      <c r="BO255" s="3241"/>
      <c r="BP255" s="3241"/>
      <c r="BQ255" s="3241"/>
      <c r="BR255" s="3241"/>
      <c r="BS255" s="3241"/>
      <c r="BT255" s="3241"/>
      <c r="BU255" s="3241"/>
    </row>
    <row r="256" spans="1:73" s="1143" customFormat="1">
      <c r="A256" s="39"/>
      <c r="B256" s="2981"/>
      <c r="C256" s="2981"/>
      <c r="D256" s="2981"/>
      <c r="E256" s="2981"/>
      <c r="F256" s="2981"/>
      <c r="G256" s="2981"/>
      <c r="H256" s="2981"/>
      <c r="I256" s="2981"/>
      <c r="J256" s="2981"/>
      <c r="K256" s="2981"/>
      <c r="L256" s="2981"/>
      <c r="M256" s="2981"/>
      <c r="N256" s="2981"/>
      <c r="O256" s="2981"/>
      <c r="P256" s="2981"/>
      <c r="Q256" s="2981"/>
      <c r="R256" s="2981"/>
      <c r="S256" s="2981"/>
      <c r="T256" s="2981"/>
      <c r="U256" s="2981"/>
      <c r="V256" s="2981"/>
      <c r="W256" s="2981"/>
      <c r="X256" s="2981"/>
      <c r="Y256" s="2981"/>
      <c r="Z256" s="2981"/>
      <c r="AA256" s="2981"/>
      <c r="AB256" s="2981"/>
      <c r="AC256" s="2981"/>
      <c r="AD256" s="2981"/>
      <c r="AE256" s="2981"/>
      <c r="AF256" s="2981"/>
      <c r="AG256" s="2981"/>
      <c r="AH256" s="2981"/>
      <c r="AI256" s="2981"/>
      <c r="AJ256" s="2981"/>
      <c r="AK256" s="2981"/>
      <c r="AL256" s="2981"/>
      <c r="AM256" s="2981"/>
      <c r="AN256" s="2981"/>
      <c r="AO256" s="2981"/>
      <c r="AP256" s="2981"/>
      <c r="AQ256" s="2981"/>
      <c r="AR256" s="2981"/>
      <c r="AS256" s="2981"/>
      <c r="AT256" s="2981"/>
      <c r="AU256" s="2981"/>
      <c r="AV256" s="2981"/>
      <c r="AW256" s="2981"/>
      <c r="AX256" s="2981"/>
      <c r="AY256" s="2981"/>
      <c r="AZ256" s="2981"/>
      <c r="BA256" s="2981"/>
      <c r="BB256" s="2981"/>
      <c r="BC256" s="2981"/>
      <c r="BD256" s="2981"/>
      <c r="BE256" s="2981"/>
      <c r="BF256" s="2981"/>
      <c r="BG256" s="2981"/>
      <c r="BH256" s="2981"/>
      <c r="BJ256" s="2981"/>
      <c r="BK256" s="2981"/>
      <c r="BL256" s="2981"/>
      <c r="BM256" s="2981"/>
      <c r="BN256" s="2981"/>
      <c r="BO256" s="2981"/>
      <c r="BP256" s="2981"/>
      <c r="BQ256" s="2981"/>
      <c r="BR256" s="2981"/>
      <c r="BS256" s="2981"/>
      <c r="BT256" s="2981"/>
      <c r="BU256" s="2981"/>
    </row>
    <row r="257" spans="1:73" ht="23.5">
      <c r="A257" s="3537"/>
      <c r="B257" s="3170" t="s">
        <v>2559</v>
      </c>
      <c r="C257" s="3171"/>
      <c r="D257" s="3171"/>
      <c r="E257" s="3171"/>
      <c r="F257" s="3171"/>
      <c r="G257" s="3171"/>
      <c r="H257" s="3171"/>
      <c r="I257" s="3171"/>
      <c r="J257" s="3171"/>
      <c r="K257" s="3171"/>
      <c r="L257" s="3171"/>
      <c r="M257" s="3171"/>
      <c r="N257" s="3171"/>
      <c r="O257" s="3171"/>
      <c r="P257" s="3171"/>
      <c r="Q257" s="3171"/>
      <c r="R257" s="3171"/>
      <c r="S257" s="3171"/>
      <c r="T257" s="3171"/>
      <c r="U257" s="3171"/>
      <c r="V257" s="3171"/>
      <c r="W257" s="3171"/>
      <c r="X257" s="3171"/>
      <c r="Y257" s="3171"/>
      <c r="Z257" s="3171"/>
      <c r="AA257" s="3171"/>
      <c r="AB257" s="3171"/>
      <c r="AC257" s="3171"/>
      <c r="AD257" s="3171"/>
      <c r="AE257" s="3171"/>
      <c r="AF257" s="3171"/>
      <c r="AG257" s="3171"/>
      <c r="AH257" s="3171"/>
      <c r="AI257" s="3171"/>
      <c r="AJ257" s="3171"/>
      <c r="AK257" s="3171"/>
      <c r="AL257" s="3171"/>
      <c r="AM257" s="3171"/>
      <c r="AN257" s="3171"/>
      <c r="AO257" s="3171"/>
      <c r="AP257" s="3171"/>
      <c r="AQ257" s="3171"/>
      <c r="AR257" s="3171"/>
      <c r="AS257" s="3171"/>
      <c r="AT257" s="3171"/>
      <c r="AU257" s="3171"/>
      <c r="AV257" s="3171"/>
      <c r="AW257" s="3171"/>
      <c r="AX257" s="3171"/>
      <c r="AY257" s="3171"/>
      <c r="AZ257" s="3171"/>
      <c r="BA257" s="3171"/>
      <c r="BB257" s="3171"/>
      <c r="BC257" s="3171"/>
      <c r="BD257" s="3171"/>
      <c r="BE257" s="3171"/>
      <c r="BF257" s="3171"/>
      <c r="BG257" s="3173"/>
      <c r="BH257" s="3174"/>
      <c r="BJ257" s="3170"/>
      <c r="BK257" s="3171"/>
      <c r="BL257" s="3171"/>
      <c r="BM257" s="3171"/>
      <c r="BN257" s="3171"/>
      <c r="BO257" s="3171"/>
      <c r="BP257" s="3171"/>
      <c r="BQ257" s="3171"/>
      <c r="BR257" s="3171"/>
      <c r="BS257" s="3171"/>
      <c r="BT257" s="3171"/>
      <c r="BU257" s="3171"/>
    </row>
    <row r="258" spans="1:73">
      <c r="A258" s="39"/>
      <c r="B258" s="3176"/>
      <c r="C258" s="3176"/>
      <c r="D258" s="3176"/>
      <c r="E258" s="3176"/>
      <c r="F258" s="3176"/>
      <c r="G258" s="3176"/>
      <c r="H258" s="3176"/>
      <c r="I258" s="3176"/>
      <c r="J258" s="3176"/>
      <c r="K258" s="3176"/>
      <c r="L258" s="3176"/>
      <c r="M258" s="3176"/>
      <c r="N258" s="3176"/>
      <c r="O258" s="3176"/>
      <c r="P258" s="3176"/>
      <c r="Q258" s="3176"/>
      <c r="R258" s="3176"/>
      <c r="S258" s="3176"/>
      <c r="T258" s="3176"/>
      <c r="U258" s="3176"/>
      <c r="V258" s="3176"/>
      <c r="W258" s="3176"/>
      <c r="X258" s="3176"/>
      <c r="Y258" s="3176"/>
      <c r="Z258" s="3176"/>
      <c r="AA258" s="3176"/>
      <c r="AB258" s="3176"/>
      <c r="AC258" s="3176"/>
      <c r="AD258" s="3176"/>
      <c r="AE258" s="3176"/>
      <c r="AF258" s="3176"/>
      <c r="AG258" s="3176"/>
      <c r="AH258" s="3176"/>
      <c r="AI258" s="3176"/>
      <c r="AJ258" s="3176"/>
      <c r="AK258" s="3176"/>
      <c r="AL258" s="3176"/>
      <c r="AM258" s="3176"/>
      <c r="AN258" s="3176"/>
      <c r="AO258" s="3176"/>
      <c r="AP258" s="3176"/>
      <c r="AQ258" s="3176"/>
      <c r="AR258" s="3176"/>
      <c r="AS258" s="3176"/>
      <c r="AT258" s="3176"/>
      <c r="AU258" s="3176"/>
      <c r="AV258" s="3176"/>
      <c r="AW258" s="3176"/>
      <c r="AX258" s="3176"/>
      <c r="AY258" s="3176"/>
      <c r="AZ258" s="3176"/>
      <c r="BA258" s="3176"/>
      <c r="BB258" s="3176"/>
      <c r="BC258" s="3176"/>
      <c r="BD258" s="3176"/>
      <c r="BE258" s="3176"/>
      <c r="BF258" s="3176"/>
      <c r="BG258" s="3176"/>
      <c r="BH258" s="3176"/>
      <c r="BJ258" s="3176"/>
      <c r="BK258" s="3176"/>
      <c r="BL258" s="3176"/>
      <c r="BM258" s="3176"/>
      <c r="BN258" s="3176"/>
      <c r="BO258" s="3176"/>
      <c r="BP258" s="3176"/>
      <c r="BQ258" s="3176"/>
      <c r="BR258" s="3176"/>
      <c r="BS258" s="3176"/>
      <c r="BT258" s="3176"/>
      <c r="BU258" s="3176"/>
    </row>
    <row r="259" spans="1:73">
      <c r="A259" s="39"/>
      <c r="B259" s="3176"/>
      <c r="C259" s="3176"/>
      <c r="D259" s="3176"/>
      <c r="E259" s="3176"/>
      <c r="F259" s="3176"/>
      <c r="G259" s="3176"/>
      <c r="H259" s="3176"/>
      <c r="I259" s="3176"/>
      <c r="J259" s="3176"/>
      <c r="K259" s="3176"/>
      <c r="L259" s="3176"/>
      <c r="M259" s="3176"/>
      <c r="N259" s="3176"/>
      <c r="O259" s="3176"/>
      <c r="P259" s="3176"/>
      <c r="Q259" s="3176"/>
      <c r="R259" s="3176"/>
      <c r="S259" s="3176"/>
      <c r="T259" s="3176"/>
      <c r="U259" s="3176"/>
      <c r="V259" s="3176"/>
      <c r="W259" s="3176"/>
      <c r="X259" s="3176"/>
      <c r="Y259" s="3176"/>
      <c r="Z259" s="3176"/>
      <c r="AA259" s="3176"/>
      <c r="AB259" s="3176"/>
      <c r="AC259" s="3176"/>
      <c r="AD259" s="3176"/>
      <c r="AE259" s="3176"/>
      <c r="AF259" s="3176"/>
      <c r="AG259" s="3176"/>
      <c r="AH259" s="3176"/>
      <c r="AI259" s="3176"/>
      <c r="AJ259" s="3176"/>
      <c r="AK259" s="3176"/>
      <c r="AL259" s="3176"/>
      <c r="AM259" s="3176"/>
      <c r="AN259" s="3176"/>
      <c r="AO259" s="3176"/>
      <c r="AP259" s="3176"/>
      <c r="AQ259" s="3176"/>
      <c r="AR259" s="3176"/>
      <c r="AS259" s="3176"/>
      <c r="AT259" s="3176"/>
      <c r="AU259" s="3176"/>
      <c r="AV259" s="3176"/>
      <c r="AW259" s="3176"/>
      <c r="AX259" s="3176"/>
      <c r="AY259" s="3176"/>
      <c r="AZ259" s="3176"/>
      <c r="BA259" s="3176"/>
      <c r="BB259" s="3176"/>
      <c r="BC259" s="3176"/>
      <c r="BD259" s="3176"/>
      <c r="BE259" s="3176"/>
      <c r="BF259" s="3176"/>
      <c r="BG259" s="3176"/>
      <c r="BH259" s="3176"/>
      <c r="BJ259" s="3176"/>
      <c r="BK259" s="3176"/>
      <c r="BL259" s="3176"/>
      <c r="BM259" s="3176"/>
      <c r="BN259" s="3176"/>
      <c r="BO259" s="3176"/>
      <c r="BP259" s="3176"/>
      <c r="BQ259" s="3176"/>
      <c r="BR259" s="3176"/>
      <c r="BS259" s="3176"/>
      <c r="BT259" s="3176"/>
      <c r="BU259" s="3176"/>
    </row>
    <row r="260" spans="1:73">
      <c r="A260" s="39"/>
      <c r="B260" s="3176"/>
      <c r="C260" s="3254" t="s">
        <v>2560</v>
      </c>
      <c r="D260" s="3176"/>
      <c r="E260" s="3176"/>
      <c r="F260" s="3176"/>
      <c r="G260" s="3176"/>
      <c r="H260" s="3176"/>
      <c r="I260" s="3176"/>
      <c r="J260" s="3176"/>
      <c r="K260" s="3176"/>
      <c r="L260" s="3176"/>
      <c r="M260" s="3176"/>
      <c r="N260" s="3176"/>
      <c r="O260" s="3176"/>
      <c r="P260" s="3176"/>
      <c r="Q260" s="3176"/>
      <c r="R260" s="3176"/>
      <c r="S260" s="3176"/>
      <c r="T260" s="3176"/>
      <c r="U260" s="3176"/>
      <c r="V260" s="3176"/>
      <c r="W260" s="3176"/>
      <c r="X260" s="3176"/>
      <c r="Y260" s="3176"/>
      <c r="Z260" s="3176"/>
      <c r="AA260" s="3176"/>
      <c r="AB260" s="3176"/>
      <c r="AC260" s="3176"/>
      <c r="AD260" s="3176"/>
      <c r="AE260" s="3176"/>
      <c r="AF260" s="3176"/>
      <c r="AG260" s="3176"/>
      <c r="AH260" s="3176"/>
      <c r="AI260" s="3176"/>
      <c r="AJ260" s="3176"/>
      <c r="AK260" s="3176"/>
      <c r="AL260" s="3176"/>
      <c r="AM260" s="3176"/>
      <c r="AN260" s="3176"/>
      <c r="AO260" s="3176"/>
      <c r="AP260" s="3176"/>
      <c r="AQ260" s="3176"/>
      <c r="AR260" s="3176"/>
      <c r="AS260" s="3176"/>
      <c r="AT260" s="3176"/>
      <c r="AU260" s="3176"/>
      <c r="AV260" s="3176"/>
      <c r="AW260" s="3176"/>
      <c r="AX260" s="3176"/>
      <c r="AY260" s="3255">
        <v>2013</v>
      </c>
      <c r="AZ260" s="3255">
        <v>2015</v>
      </c>
      <c r="BA260" s="3255">
        <v>2020</v>
      </c>
      <c r="BB260" s="3255">
        <v>2025</v>
      </c>
      <c r="BC260" s="3255">
        <v>2030</v>
      </c>
      <c r="BD260" s="3255">
        <v>2035</v>
      </c>
      <c r="BE260" s="3255">
        <v>2040</v>
      </c>
      <c r="BF260" s="3255">
        <v>2045</v>
      </c>
      <c r="BG260" s="3255">
        <v>2050</v>
      </c>
      <c r="BH260" s="3176"/>
      <c r="BJ260" s="3176"/>
      <c r="BK260" s="3254"/>
      <c r="BL260" s="3176"/>
      <c r="BM260" s="3176"/>
      <c r="BN260" s="3176"/>
      <c r="BO260" s="3176"/>
      <c r="BP260" s="3176"/>
      <c r="BQ260" s="3176"/>
      <c r="BR260" s="3176"/>
      <c r="BS260" s="3176"/>
      <c r="BT260" s="3176"/>
      <c r="BU260" s="3176"/>
    </row>
    <row r="261" spans="1:73">
      <c r="A261" s="39"/>
      <c r="B261" s="3176"/>
      <c r="C261" s="3256" t="s">
        <v>2561</v>
      </c>
      <c r="D261" s="3182"/>
      <c r="E261" s="3176"/>
      <c r="F261" s="3176"/>
      <c r="G261" s="3176"/>
      <c r="H261" s="3176"/>
      <c r="I261" s="3176"/>
      <c r="J261" s="3176"/>
      <c r="K261" s="3176"/>
      <c r="L261" s="3176"/>
      <c r="M261" s="3176"/>
      <c r="N261" s="3176"/>
      <c r="O261" s="3176"/>
      <c r="P261" s="3176"/>
      <c r="Q261" s="3176"/>
      <c r="R261" s="3176"/>
      <c r="S261" s="3176"/>
      <c r="T261" s="3176"/>
      <c r="U261" s="3176"/>
      <c r="V261" s="3176"/>
      <c r="W261" s="3176"/>
      <c r="X261" s="3176"/>
      <c r="Y261" s="3176"/>
      <c r="Z261" s="3176"/>
      <c r="AA261" s="3176"/>
      <c r="AB261" s="3176"/>
      <c r="AC261" s="3176"/>
      <c r="AD261" s="3176"/>
      <c r="AE261" s="3176"/>
      <c r="AF261" s="3176"/>
      <c r="AG261" s="3176"/>
      <c r="AH261" s="3176"/>
      <c r="AI261" s="3176"/>
      <c r="AJ261" s="3176"/>
      <c r="AK261" s="3176"/>
      <c r="AL261" s="3176"/>
      <c r="AM261" s="3176"/>
      <c r="AN261" s="3176"/>
      <c r="AO261" s="3176"/>
      <c r="AP261" s="3176"/>
      <c r="AQ261" s="3176"/>
      <c r="AR261" s="3176"/>
      <c r="AS261" s="3176"/>
      <c r="AT261" s="3176"/>
      <c r="AU261" s="3176"/>
      <c r="AV261" s="3176"/>
      <c r="AW261" s="3176"/>
      <c r="AX261" s="3176"/>
      <c r="AY261" s="3217">
        <f t="shared" ref="AY261:BG261" ca="1" si="59">AY158-AY262</f>
        <v>13.10989694268479</v>
      </c>
      <c r="AZ261" s="3217">
        <f t="shared" ca="1" si="59"/>
        <v>12.643809309650932</v>
      </c>
      <c r="BA261" s="3217">
        <f t="shared" ca="1" si="59"/>
        <v>12.411424275242368</v>
      </c>
      <c r="BB261" s="3217">
        <f t="shared" ca="1" si="59"/>
        <v>14.432032224618373</v>
      </c>
      <c r="BC261" s="3217">
        <f t="shared" ca="1" si="59"/>
        <v>15.058454428799742</v>
      </c>
      <c r="BD261" s="3217">
        <f t="shared" ca="1" si="59"/>
        <v>13.886176922770101</v>
      </c>
      <c r="BE261" s="3217">
        <f t="shared" ca="1" si="59"/>
        <v>14.85911093929781</v>
      </c>
      <c r="BF261" s="3217">
        <f t="shared" ca="1" si="59"/>
        <v>15.866808278098716</v>
      </c>
      <c r="BG261" s="3217">
        <f t="shared" ca="1" si="59"/>
        <v>16.912293410099849</v>
      </c>
      <c r="BH261" s="3176"/>
      <c r="BJ261" s="3176"/>
      <c r="BK261" s="3256"/>
      <c r="BL261" s="3182"/>
      <c r="BM261" s="3176"/>
      <c r="BN261" s="3176"/>
      <c r="BO261" s="3176"/>
      <c r="BP261" s="3176"/>
      <c r="BQ261" s="3176"/>
      <c r="BR261" s="3176"/>
      <c r="BS261" s="3176"/>
      <c r="BT261" s="3176"/>
      <c r="BU261" s="3176"/>
    </row>
    <row r="262" spans="1:73">
      <c r="A262" s="39"/>
      <c r="B262" s="3176"/>
      <c r="C262" s="3256" t="s">
        <v>2562</v>
      </c>
      <c r="D262" s="3182"/>
      <c r="E262" s="3176"/>
      <c r="F262" s="3176"/>
      <c r="G262" s="3176"/>
      <c r="H262" s="3176"/>
      <c r="I262" s="3176"/>
      <c r="J262" s="3176"/>
      <c r="K262" s="3176"/>
      <c r="L262" s="3176"/>
      <c r="M262" s="3176"/>
      <c r="N262" s="3176"/>
      <c r="O262" s="3176"/>
      <c r="P262" s="3176"/>
      <c r="Q262" s="3176"/>
      <c r="R262" s="3176"/>
      <c r="S262" s="3176"/>
      <c r="T262" s="3176"/>
      <c r="U262" s="3176"/>
      <c r="V262" s="3176"/>
      <c r="W262" s="3176"/>
      <c r="X262" s="3176"/>
      <c r="Y262" s="3176"/>
      <c r="Z262" s="3176"/>
      <c r="AA262" s="3176"/>
      <c r="AB262" s="3176"/>
      <c r="AC262" s="3176"/>
      <c r="AD262" s="3176"/>
      <c r="AE262" s="3176"/>
      <c r="AF262" s="3176"/>
      <c r="AG262" s="3176"/>
      <c r="AH262" s="3176"/>
      <c r="AI262" s="3176"/>
      <c r="AJ262" s="3176"/>
      <c r="AK262" s="3176"/>
      <c r="AL262" s="3176"/>
      <c r="AM262" s="3176"/>
      <c r="AN262" s="3176"/>
      <c r="AO262" s="3176"/>
      <c r="AP262" s="3176"/>
      <c r="AQ262" s="3176"/>
      <c r="AR262" s="3176"/>
      <c r="AS262" s="3176"/>
      <c r="AT262" s="3176"/>
      <c r="AU262" s="3176"/>
      <c r="AV262" s="3176"/>
      <c r="AW262" s="3176"/>
      <c r="AX262" s="3176"/>
      <c r="AY262" s="3217">
        <f>I.b!F318</f>
        <v>0</v>
      </c>
      <c r="AZ262" s="3217">
        <f>I.b!G318</f>
        <v>0</v>
      </c>
      <c r="BA262" s="3217">
        <f>I.b!H318</f>
        <v>0</v>
      </c>
      <c r="BB262" s="3217">
        <f>I.b!I318</f>
        <v>0</v>
      </c>
      <c r="BC262" s="3217">
        <f>I.b!J318</f>
        <v>0</v>
      </c>
      <c r="BD262" s="3217">
        <f>I.b!K318</f>
        <v>0</v>
      </c>
      <c r="BE262" s="3217">
        <f>I.b!L318</f>
        <v>0</v>
      </c>
      <c r="BF262" s="3217">
        <f>I.b!M318</f>
        <v>0</v>
      </c>
      <c r="BG262" s="3217">
        <f>I.b!N318</f>
        <v>0</v>
      </c>
      <c r="BH262" s="3176"/>
      <c r="BJ262" s="3176"/>
      <c r="BK262" s="3256"/>
      <c r="BL262" s="3182"/>
      <c r="BM262" s="3176"/>
      <c r="BN262" s="3176"/>
      <c r="BO262" s="3176"/>
      <c r="BP262" s="3176"/>
      <c r="BQ262" s="3176"/>
      <c r="BR262" s="3176"/>
      <c r="BS262" s="3176"/>
      <c r="BT262" s="3176"/>
      <c r="BU262" s="3176"/>
    </row>
    <row r="263" spans="1:73">
      <c r="A263" s="39"/>
      <c r="B263" s="3176"/>
      <c r="C263" s="3256" t="s">
        <v>2563</v>
      </c>
      <c r="D263" s="3182"/>
      <c r="E263" s="3176"/>
      <c r="F263" s="3176"/>
      <c r="G263" s="3176"/>
      <c r="H263" s="3176"/>
      <c r="I263" s="3176"/>
      <c r="J263" s="3176"/>
      <c r="K263" s="3176"/>
      <c r="L263" s="3176"/>
      <c r="M263" s="3176"/>
      <c r="N263" s="3176"/>
      <c r="O263" s="3176"/>
      <c r="P263" s="3176"/>
      <c r="Q263" s="3176"/>
      <c r="R263" s="3176"/>
      <c r="S263" s="3176"/>
      <c r="T263" s="3176"/>
      <c r="U263" s="3176"/>
      <c r="V263" s="3176"/>
      <c r="W263" s="3176"/>
      <c r="X263" s="3176"/>
      <c r="Y263" s="3176"/>
      <c r="Z263" s="3176"/>
      <c r="AA263" s="3176"/>
      <c r="AB263" s="3176"/>
      <c r="AC263" s="3176"/>
      <c r="AD263" s="3176"/>
      <c r="AE263" s="3176"/>
      <c r="AF263" s="3176"/>
      <c r="AG263" s="3176"/>
      <c r="AH263" s="3176"/>
      <c r="AI263" s="3176"/>
      <c r="AJ263" s="3176"/>
      <c r="AK263" s="3176"/>
      <c r="AL263" s="3176"/>
      <c r="AM263" s="3176"/>
      <c r="AN263" s="3176"/>
      <c r="AO263" s="3176"/>
      <c r="AP263" s="3176"/>
      <c r="AQ263" s="3176"/>
      <c r="AR263" s="3176"/>
      <c r="AS263" s="3176"/>
      <c r="AT263" s="3176"/>
      <c r="AU263" s="3176"/>
      <c r="AV263" s="3176"/>
      <c r="AW263" s="3176"/>
      <c r="AX263" s="3176"/>
      <c r="AY263" s="3217">
        <f ca="1">-AY245*AY249*INDEX(EF[CO2e], MATCH("V.05", EF[Vector], 0))</f>
        <v>-1.8392310726109123E-2</v>
      </c>
      <c r="AZ263" s="3217">
        <f ca="1">-AZ245*AZ249*INDEX(EF[CO2e], MATCH("V.05", EF[Vector], 0))</f>
        <v>-2.1030064960438143E-2</v>
      </c>
      <c r="BA263" s="3217">
        <f ca="1">-BA245*BA249*INDEX(EF[CO2e], MATCH("V.05", EF[Vector], 0))</f>
        <v>-2.8044453353992908E-2</v>
      </c>
      <c r="BB263" s="3217">
        <f ca="1">-BB245*BB249*INDEX(EF[CO2e], MATCH("V.05", EF[Vector], 0))</f>
        <v>-4.8385908494594801E-2</v>
      </c>
      <c r="BC263" s="3217">
        <f ca="1">-BC245*BC249*INDEX(EF[CO2e], MATCH("V.05", EF[Vector], 0))</f>
        <v>-5.4490397889428194E-2</v>
      </c>
      <c r="BD263" s="3217">
        <f ca="1">-BD245*BD249*INDEX(EF[CO2e], MATCH("V.05", EF[Vector], 0))</f>
        <v>-7.6533580002521737E-2</v>
      </c>
      <c r="BE263" s="3217">
        <f ca="1">-BE245*BE249*INDEX(EF[CO2e], MATCH("V.05", EF[Vector], 0))</f>
        <v>-9.4878273047774631E-2</v>
      </c>
      <c r="BF263" s="3217">
        <f ca="1">-BF245*BF249*INDEX(EF[CO2e], MATCH("V.05", EF[Vector], 0))</f>
        <v>-0.11438328682220501</v>
      </c>
      <c r="BG263" s="3217">
        <f ca="1">-BG245*BG249*INDEX(EF[CO2e], MATCH("V.05", EF[Vector], 0))</f>
        <v>-0.11731125375614111</v>
      </c>
      <c r="BH263" s="3176"/>
      <c r="BJ263" s="3176"/>
      <c r="BK263" s="3256"/>
      <c r="BL263" s="3182"/>
      <c r="BM263" s="3176"/>
      <c r="BN263" s="3176"/>
      <c r="BO263" s="3176"/>
      <c r="BP263" s="3176"/>
      <c r="BQ263" s="3176"/>
      <c r="BR263" s="3176"/>
      <c r="BS263" s="3176"/>
      <c r="BT263" s="3176"/>
      <c r="BU263" s="3176"/>
    </row>
    <row r="264" spans="1:73">
      <c r="A264" s="39"/>
      <c r="B264" s="3176"/>
      <c r="C264" s="3256" t="s">
        <v>2564</v>
      </c>
      <c r="D264" s="3182"/>
      <c r="E264" s="3176"/>
      <c r="F264" s="3176"/>
      <c r="G264" s="3176"/>
      <c r="H264" s="3176"/>
      <c r="I264" s="3176"/>
      <c r="J264" s="3176"/>
      <c r="K264" s="3176"/>
      <c r="L264" s="3176"/>
      <c r="M264" s="3176"/>
      <c r="N264" s="3176"/>
      <c r="O264" s="3176"/>
      <c r="P264" s="3176"/>
      <c r="Q264" s="3176"/>
      <c r="R264" s="3176"/>
      <c r="S264" s="3176"/>
      <c r="T264" s="3176"/>
      <c r="U264" s="3176"/>
      <c r="V264" s="3176"/>
      <c r="W264" s="3176"/>
      <c r="X264" s="3176"/>
      <c r="Y264" s="3176"/>
      <c r="Z264" s="3176"/>
      <c r="AA264" s="3176"/>
      <c r="AB264" s="3176"/>
      <c r="AC264" s="3176"/>
      <c r="AD264" s="3176"/>
      <c r="AE264" s="3176"/>
      <c r="AF264" s="3176"/>
      <c r="AG264" s="3176"/>
      <c r="AH264" s="3176"/>
      <c r="AI264" s="3176"/>
      <c r="AJ264" s="3176"/>
      <c r="AK264" s="3176"/>
      <c r="AL264" s="3176"/>
      <c r="AM264" s="3176"/>
      <c r="AN264" s="3176"/>
      <c r="AO264" s="3176"/>
      <c r="AP264" s="3176"/>
      <c r="AQ264" s="3176"/>
      <c r="AR264" s="3176"/>
      <c r="AS264" s="3176"/>
      <c r="AT264" s="3176"/>
      <c r="AU264" s="3176"/>
      <c r="AV264" s="3176"/>
      <c r="AW264" s="3176"/>
      <c r="AX264" s="3176"/>
      <c r="AY264" s="3217">
        <f ca="1">-AY232*AY234*INDEX(EF[CO2e], MATCH("V.03", EF[Vector], 0))</f>
        <v>-0.33411718906306231</v>
      </c>
      <c r="AZ264" s="3217">
        <f ca="1">-AZ232*AZ234*INDEX(EF[CO2e], MATCH("V.03", EF[Vector], 0))</f>
        <v>-0.48100196420911312</v>
      </c>
      <c r="BA264" s="3217">
        <f ca="1">-BA232*BA234*INDEX(EF[CO2e], MATCH("V.03", EF[Vector], 0))</f>
        <v>-0.57641298524723994</v>
      </c>
      <c r="BB264" s="3217">
        <f ca="1">-BB232*BB234*INDEX(EF[CO2e], MATCH("V.03", EF[Vector], 0))</f>
        <v>-0.69071688405079079</v>
      </c>
      <c r="BC264" s="3217">
        <f ca="1">-BC232*BC234*INDEX(EF[CO2e], MATCH("V.03", EF[Vector], 0))</f>
        <v>-0.84422060146599909</v>
      </c>
      <c r="BD264" s="3217">
        <f ca="1">-BD232*BD234*INDEX(EF[CO2e], MATCH("V.03", EF[Vector], 0))</f>
        <v>0</v>
      </c>
      <c r="BE264" s="3217">
        <f ca="1">-BE232*BE234*INDEX(EF[CO2e], MATCH("V.03", EF[Vector], 0))</f>
        <v>0</v>
      </c>
      <c r="BF264" s="3217">
        <f ca="1">-BF232*BF234*INDEX(EF[CO2e], MATCH("V.03", EF[Vector], 0))</f>
        <v>0</v>
      </c>
      <c r="BG264" s="3217">
        <f ca="1">-BG232*BG234*INDEX(EF[CO2e], MATCH("V.03", EF[Vector], 0))</f>
        <v>0</v>
      </c>
      <c r="BH264" s="3176"/>
      <c r="BJ264" s="3176"/>
      <c r="BK264" s="3256"/>
      <c r="BL264" s="3182"/>
      <c r="BM264" s="3176"/>
      <c r="BN264" s="3176"/>
      <c r="BO264" s="3176"/>
      <c r="BP264" s="3176"/>
      <c r="BQ264" s="3176"/>
      <c r="BR264" s="3176"/>
      <c r="BS264" s="3176"/>
      <c r="BT264" s="3176"/>
      <c r="BU264" s="3176"/>
    </row>
    <row r="265" spans="1:73">
      <c r="A265" s="39"/>
      <c r="B265" s="3176"/>
      <c r="C265" s="3256" t="s">
        <v>2565</v>
      </c>
      <c r="D265" s="3182"/>
      <c r="E265" s="3176"/>
      <c r="F265" s="3176"/>
      <c r="G265" s="3176"/>
      <c r="H265" s="3176"/>
      <c r="I265" s="3176"/>
      <c r="J265" s="3176"/>
      <c r="K265" s="3176"/>
      <c r="L265" s="3176"/>
      <c r="M265" s="3176"/>
      <c r="N265" s="3176"/>
      <c r="O265" s="3176"/>
      <c r="P265" s="3176"/>
      <c r="Q265" s="3176"/>
      <c r="R265" s="3176"/>
      <c r="S265" s="3176"/>
      <c r="T265" s="3176"/>
      <c r="U265" s="3176"/>
      <c r="V265" s="3176"/>
      <c r="W265" s="3176"/>
      <c r="X265" s="3176"/>
      <c r="Y265" s="3176"/>
      <c r="Z265" s="3176"/>
      <c r="AA265" s="3176"/>
      <c r="AB265" s="3176"/>
      <c r="AC265" s="3176"/>
      <c r="AD265" s="3176"/>
      <c r="AE265" s="3176"/>
      <c r="AF265" s="3176"/>
      <c r="AG265" s="3176"/>
      <c r="AH265" s="3176"/>
      <c r="AI265" s="3176"/>
      <c r="AJ265" s="3176"/>
      <c r="AK265" s="3176"/>
      <c r="AL265" s="3176"/>
      <c r="AM265" s="3176"/>
      <c r="AN265" s="3176"/>
      <c r="AO265" s="3176"/>
      <c r="AP265" s="3176"/>
      <c r="AQ265" s="3176"/>
      <c r="AR265" s="3176"/>
      <c r="AS265" s="3176"/>
      <c r="AT265" s="3176"/>
      <c r="AU265" s="3176"/>
      <c r="AV265" s="3176"/>
      <c r="AW265" s="3176"/>
      <c r="AX265" s="3176"/>
      <c r="AY265" s="3217">
        <f ca="1">-AY232*AY233*INDEX(EF[CO2e], MATCH("V.03", EF[Vector], 0))</f>
        <v>0</v>
      </c>
      <c r="AZ265" s="3217">
        <f ca="1">-AZ232*AZ233*INDEX(EF[CO2e], MATCH("V.03", EF[Vector], 0))</f>
        <v>0</v>
      </c>
      <c r="BA265" s="3217">
        <f ca="1">-BA232*BA233*INDEX(EF[CO2e], MATCH("V.03", EF[Vector], 0))</f>
        <v>0</v>
      </c>
      <c r="BB265" s="3217">
        <f ca="1">-BB232*BB233*INDEX(EF[CO2e], MATCH("V.03", EF[Vector], 0))</f>
        <v>0</v>
      </c>
      <c r="BC265" s="3217">
        <f ca="1">-BC232*BC233*INDEX(EF[CO2e], MATCH("V.03", EF[Vector], 0))</f>
        <v>0</v>
      </c>
      <c r="BD265" s="3217">
        <f ca="1">-BD232*BD233*INDEX(EF[CO2e], MATCH("V.03", EF[Vector], 0))</f>
        <v>0</v>
      </c>
      <c r="BE265" s="3217">
        <f ca="1">-BE232*BE233*INDEX(EF[CO2e], MATCH("V.03", EF[Vector], 0))</f>
        <v>0</v>
      </c>
      <c r="BF265" s="3217">
        <f ca="1">-BF232*BF233*INDEX(EF[CO2e], MATCH("V.03", EF[Vector], 0))</f>
        <v>0</v>
      </c>
      <c r="BG265" s="3217">
        <f ca="1">-BG232*BG233*INDEX(EF[CO2e], MATCH("V.03", EF[Vector], 0))</f>
        <v>0</v>
      </c>
      <c r="BH265" s="3176" t="s">
        <v>5</v>
      </c>
      <c r="BJ265" s="3176"/>
      <c r="BK265" s="3256"/>
      <c r="BL265" s="3182"/>
      <c r="BM265" s="3176"/>
      <c r="BN265" s="3176"/>
      <c r="BO265" s="3176"/>
      <c r="BP265" s="3176"/>
      <c r="BQ265" s="3176"/>
      <c r="BR265" s="3176"/>
      <c r="BS265" s="3176"/>
      <c r="BT265" s="3176"/>
      <c r="BU265" s="3176"/>
    </row>
    <row r="266" spans="1:73">
      <c r="A266" s="39"/>
      <c r="B266" s="3176"/>
      <c r="C266" s="3176" t="s">
        <v>2566</v>
      </c>
      <c r="D266" s="3182"/>
      <c r="E266" s="3176"/>
      <c r="F266" s="3176"/>
      <c r="G266" s="3176"/>
      <c r="H266" s="3176"/>
      <c r="I266" s="3176"/>
      <c r="J266" s="3176"/>
      <c r="K266" s="3176"/>
      <c r="L266" s="3176"/>
      <c r="M266" s="3176"/>
      <c r="N266" s="3176"/>
      <c r="O266" s="3176"/>
      <c r="P266" s="3176"/>
      <c r="Q266" s="3176"/>
      <c r="R266" s="3176"/>
      <c r="S266" s="3176"/>
      <c r="T266" s="3176"/>
      <c r="U266" s="3176"/>
      <c r="V266" s="3176"/>
      <c r="W266" s="3176"/>
      <c r="X266" s="3176"/>
      <c r="Y266" s="3176"/>
      <c r="Z266" s="3176"/>
      <c r="AA266" s="3176"/>
      <c r="AB266" s="3176"/>
      <c r="AC266" s="3176"/>
      <c r="AD266" s="3176"/>
      <c r="AE266" s="3176"/>
      <c r="AF266" s="3176"/>
      <c r="AG266" s="3176"/>
      <c r="AH266" s="3176"/>
      <c r="AI266" s="3176"/>
      <c r="AJ266" s="3176"/>
      <c r="AK266" s="3176"/>
      <c r="AL266" s="3176"/>
      <c r="AM266" s="3176"/>
      <c r="AN266" s="3176"/>
      <c r="AO266" s="3176"/>
      <c r="AP266" s="3176"/>
      <c r="AQ266" s="3176"/>
      <c r="AR266" s="3176"/>
      <c r="AS266" s="3176"/>
      <c r="AT266" s="3176"/>
      <c r="AU266" s="3176"/>
      <c r="AV266" s="3176"/>
      <c r="AW266" s="3176"/>
      <c r="AX266" s="3176"/>
      <c r="AY266" s="3217">
        <f ca="1">-AY245*AY250*INDEX(EF[CO2e], MATCH("V.05", EF[Vector], 0))</f>
        <v>0</v>
      </c>
      <c r="AZ266" s="3217">
        <f ca="1">-AZ245*AZ250*INDEX(EF[CO2e], MATCH("V.05", EF[Vector], 0))</f>
        <v>0</v>
      </c>
      <c r="BA266" s="3217">
        <f ca="1">-BA245*BA250*INDEX(EF[CO2e], MATCH("V.05", EF[Vector], 0))</f>
        <v>0</v>
      </c>
      <c r="BB266" s="3217">
        <f ca="1">-BB245*BB250*INDEX(EF[CO2e], MATCH("V.05", EF[Vector], 0))</f>
        <v>0</v>
      </c>
      <c r="BC266" s="3217">
        <f ca="1">-BC245*BC250*INDEX(EF[CO2e], MATCH("V.05", EF[Vector], 0))</f>
        <v>0</v>
      </c>
      <c r="BD266" s="3217">
        <f ca="1">-BD245*BD250*INDEX(EF[CO2e], MATCH("V.05", EF[Vector], 0))</f>
        <v>0</v>
      </c>
      <c r="BE266" s="3217">
        <f ca="1">-BE245*BE250*INDEX(EF[CO2e], MATCH("V.05", EF[Vector], 0))</f>
        <v>0</v>
      </c>
      <c r="BF266" s="3217">
        <f ca="1">-BF245*BF250*INDEX(EF[CO2e], MATCH("V.05", EF[Vector], 0))</f>
        <v>0</v>
      </c>
      <c r="BG266" s="3217">
        <f ca="1">-BG245*BG250*INDEX(EF[CO2e], MATCH("V.05", EF[Vector], 0))</f>
        <v>0</v>
      </c>
      <c r="BH266" s="3176"/>
      <c r="BJ266" s="3176"/>
      <c r="BK266" s="3176"/>
      <c r="BL266" s="3182"/>
      <c r="BM266" s="3176"/>
      <c r="BN266" s="3176"/>
      <c r="BO266" s="3176"/>
      <c r="BP266" s="3176"/>
      <c r="BQ266" s="3176"/>
      <c r="BR266" s="3176"/>
      <c r="BS266" s="3176"/>
      <c r="BT266" s="3176"/>
      <c r="BU266" s="3176"/>
    </row>
    <row r="267" spans="1:73">
      <c r="A267" s="39"/>
      <c r="B267" s="3176"/>
      <c r="C267" s="3256" t="s">
        <v>2567</v>
      </c>
      <c r="D267" s="3182"/>
      <c r="E267" s="3176"/>
      <c r="F267" s="3176"/>
      <c r="G267" s="3176"/>
      <c r="H267" s="3176"/>
      <c r="I267" s="3176"/>
      <c r="J267" s="3176"/>
      <c r="K267" s="3176"/>
      <c r="L267" s="3176"/>
      <c r="M267" s="3176"/>
      <c r="N267" s="3176"/>
      <c r="O267" s="3176"/>
      <c r="P267" s="3176"/>
      <c r="Q267" s="3176"/>
      <c r="R267" s="3176"/>
      <c r="S267" s="3176"/>
      <c r="T267" s="3176"/>
      <c r="U267" s="3176"/>
      <c r="V267" s="3176"/>
      <c r="W267" s="3176"/>
      <c r="X267" s="3176"/>
      <c r="Y267" s="3176"/>
      <c r="Z267" s="3176"/>
      <c r="AA267" s="3176"/>
      <c r="AB267" s="3176"/>
      <c r="AC267" s="3176"/>
      <c r="AD267" s="3176"/>
      <c r="AE267" s="3176"/>
      <c r="AF267" s="3176"/>
      <c r="AG267" s="3176"/>
      <c r="AH267" s="3176"/>
      <c r="AI267" s="3176"/>
      <c r="AJ267" s="3176"/>
      <c r="AK267" s="3176"/>
      <c r="AL267" s="3176"/>
      <c r="AM267" s="3176"/>
      <c r="AN267" s="3176"/>
      <c r="AO267" s="3176"/>
      <c r="AP267" s="3176"/>
      <c r="AQ267" s="3176"/>
      <c r="AR267" s="3176"/>
      <c r="AS267" s="3176"/>
      <c r="AT267" s="3176"/>
      <c r="AU267" s="3176"/>
      <c r="AV267" s="3176"/>
      <c r="AW267" s="3176"/>
      <c r="AX267" s="3176"/>
      <c r="AY267" s="3217">
        <f t="shared" ref="AY267:BG267" ca="1" si="60">SUM(AY261:AY266)</f>
        <v>12.757387442895618</v>
      </c>
      <c r="AZ267" s="3217">
        <f t="shared" ca="1" si="60"/>
        <v>12.14177728048138</v>
      </c>
      <c r="BA267" s="3217">
        <f t="shared" ca="1" si="60"/>
        <v>11.806966836641136</v>
      </c>
      <c r="BB267" s="3217">
        <f t="shared" ca="1" si="60"/>
        <v>13.692929432072988</v>
      </c>
      <c r="BC267" s="3217">
        <f t="shared" ca="1" si="60"/>
        <v>14.159743429444315</v>
      </c>
      <c r="BD267" s="3217">
        <f t="shared" ca="1" si="60"/>
        <v>13.809643342767579</v>
      </c>
      <c r="BE267" s="3217">
        <f t="shared" ca="1" si="60"/>
        <v>14.764232666250036</v>
      </c>
      <c r="BF267" s="3217">
        <f t="shared" ca="1" si="60"/>
        <v>15.752424991276511</v>
      </c>
      <c r="BG267" s="3217">
        <f t="shared" ca="1" si="60"/>
        <v>16.794982156343707</v>
      </c>
      <c r="BH267" s="3176"/>
      <c r="BJ267" s="3176"/>
      <c r="BK267" s="3256"/>
      <c r="BL267" s="3182"/>
      <c r="BM267" s="3176"/>
      <c r="BN267" s="3176"/>
      <c r="BO267" s="3176"/>
      <c r="BP267" s="3176"/>
      <c r="BQ267" s="3176"/>
      <c r="BR267" s="3176"/>
      <c r="BS267" s="3176"/>
      <c r="BT267" s="3176"/>
      <c r="BU267" s="3176"/>
    </row>
    <row r="268" spans="1:73">
      <c r="A268" s="39"/>
      <c r="B268" s="3176"/>
      <c r="C268" s="3256"/>
      <c r="D268" s="3182"/>
      <c r="E268" s="3176"/>
      <c r="F268" s="3176" t="s">
        <v>5</v>
      </c>
      <c r="G268" s="3176"/>
      <c r="H268" s="3176"/>
      <c r="I268" s="3176"/>
      <c r="J268" s="3176"/>
      <c r="K268" s="3176"/>
      <c r="L268" s="3176"/>
      <c r="M268" s="3176"/>
      <c r="N268" s="3176"/>
      <c r="O268" s="3176"/>
      <c r="P268" s="3176"/>
      <c r="Q268" s="3176"/>
      <c r="R268" s="3176"/>
      <c r="S268" s="3176"/>
      <c r="T268" s="3176"/>
      <c r="U268" s="3176"/>
      <c r="V268" s="3176"/>
      <c r="W268" s="3176"/>
      <c r="X268" s="3176"/>
      <c r="Y268" s="3176"/>
      <c r="Z268" s="3176"/>
      <c r="AA268" s="3176"/>
      <c r="AB268" s="3176"/>
      <c r="AC268" s="3176"/>
      <c r="AD268" s="3176"/>
      <c r="AE268" s="3176"/>
      <c r="AF268" s="3176"/>
      <c r="AG268" s="3176"/>
      <c r="AH268" s="3176"/>
      <c r="AI268" s="3176"/>
      <c r="AJ268" s="3176"/>
      <c r="AK268" s="3176"/>
      <c r="AL268" s="3176"/>
      <c r="AM268" s="3176"/>
      <c r="AN268" s="3176"/>
      <c r="AO268" s="3176"/>
      <c r="AP268" s="3176"/>
      <c r="AQ268" s="3176"/>
      <c r="AR268" s="3176"/>
      <c r="AS268" s="3176"/>
      <c r="AT268" s="3176"/>
      <c r="AU268" s="3176"/>
      <c r="AV268" s="3176"/>
      <c r="AW268" s="3176"/>
      <c r="AX268" s="3176"/>
      <c r="AY268" s="3217"/>
      <c r="AZ268" s="3217"/>
      <c r="BA268" s="3217"/>
      <c r="BB268" s="3217"/>
      <c r="BC268" s="3217"/>
      <c r="BD268" s="3217"/>
      <c r="BE268" s="3217"/>
      <c r="BF268" s="3217"/>
      <c r="BG268" s="3217"/>
      <c r="BH268" s="3176"/>
      <c r="BJ268" s="3176"/>
      <c r="BK268" s="3256"/>
      <c r="BL268" s="3182"/>
      <c r="BM268" s="3176"/>
      <c r="BN268" s="3176"/>
      <c r="BO268" s="3176"/>
      <c r="BP268" s="3176"/>
      <c r="BQ268" s="3176"/>
      <c r="BR268" s="3176"/>
      <c r="BS268" s="3176"/>
      <c r="BT268" s="3176"/>
      <c r="BU268" s="3176"/>
    </row>
    <row r="269" spans="1:73">
      <c r="A269" s="39"/>
      <c r="B269" s="3176"/>
      <c r="C269" s="3257" t="s">
        <v>2568</v>
      </c>
      <c r="D269" s="3182"/>
      <c r="E269" s="3176"/>
      <c r="F269" s="3176"/>
      <c r="G269" s="3176"/>
      <c r="H269" s="3176"/>
      <c r="I269" s="3176"/>
      <c r="J269" s="3176"/>
      <c r="K269" s="3176"/>
      <c r="L269" s="3176"/>
      <c r="M269" s="3176"/>
      <c r="N269" s="3176"/>
      <c r="O269" s="3176"/>
      <c r="P269" s="3176"/>
      <c r="Q269" s="3176"/>
      <c r="R269" s="3176"/>
      <c r="S269" s="3176"/>
      <c r="T269" s="3176"/>
      <c r="U269" s="3176"/>
      <c r="V269" s="3176"/>
      <c r="W269" s="3176"/>
      <c r="X269" s="3176"/>
      <c r="Y269" s="3176"/>
      <c r="Z269" s="3176"/>
      <c r="AA269" s="3176"/>
      <c r="AB269" s="3176"/>
      <c r="AC269" s="3176"/>
      <c r="AD269" s="3176"/>
      <c r="AE269" s="3176"/>
      <c r="AF269" s="3176"/>
      <c r="AG269" s="3176"/>
      <c r="AH269" s="3176"/>
      <c r="AI269" s="3176"/>
      <c r="AJ269" s="3176"/>
      <c r="AK269" s="3176"/>
      <c r="AL269" s="3176"/>
      <c r="AM269" s="3176"/>
      <c r="AN269" s="3176"/>
      <c r="AO269" s="3176"/>
      <c r="AP269" s="3176"/>
      <c r="AQ269" s="3176"/>
      <c r="AR269" s="3176"/>
      <c r="AS269" s="3176"/>
      <c r="AT269" s="3176"/>
      <c r="AU269" s="3176"/>
      <c r="AV269" s="3176"/>
      <c r="AW269" s="3176"/>
      <c r="AX269" s="3176"/>
      <c r="AY269" s="3255">
        <v>2013</v>
      </c>
      <c r="AZ269" s="3255">
        <v>2015</v>
      </c>
      <c r="BA269" s="3255">
        <v>2020</v>
      </c>
      <c r="BB269" s="3255">
        <v>2025</v>
      </c>
      <c r="BC269" s="3255">
        <v>2030</v>
      </c>
      <c r="BD269" s="3255">
        <v>2035</v>
      </c>
      <c r="BE269" s="3255">
        <v>2040</v>
      </c>
      <c r="BF269" s="3255">
        <v>2045</v>
      </c>
      <c r="BG269" s="3255">
        <v>2050</v>
      </c>
      <c r="BH269" s="3176"/>
      <c r="BJ269" s="3176"/>
      <c r="BK269" s="3257"/>
      <c r="BL269" s="3182"/>
      <c r="BM269" s="3176"/>
      <c r="BN269" s="3176"/>
      <c r="BO269" s="3176"/>
      <c r="BP269" s="3176"/>
      <c r="BQ269" s="3176"/>
      <c r="BR269" s="3176"/>
      <c r="BS269" s="3176"/>
      <c r="BT269" s="3176"/>
      <c r="BU269" s="3176"/>
    </row>
    <row r="270" spans="1:73">
      <c r="A270" s="39"/>
      <c r="B270" s="3176"/>
      <c r="C270" s="3178">
        <v>1</v>
      </c>
      <c r="D270" s="3176" t="s">
        <v>305</v>
      </c>
      <c r="E270" s="3176"/>
      <c r="F270" s="3176"/>
      <c r="G270" s="3176"/>
      <c r="H270" s="3176"/>
      <c r="I270" s="3176"/>
      <c r="J270" s="3176"/>
      <c r="K270" s="3176"/>
      <c r="L270" s="3176"/>
      <c r="M270" s="3176"/>
      <c r="N270" s="3176"/>
      <c r="O270" s="3176"/>
      <c r="P270" s="3176"/>
      <c r="Q270" s="3176"/>
      <c r="R270" s="3176"/>
      <c r="S270" s="3176"/>
      <c r="T270" s="3176"/>
      <c r="U270" s="3176"/>
      <c r="V270" s="3176"/>
      <c r="W270" s="3176"/>
      <c r="X270" s="3176"/>
      <c r="Y270" s="3176"/>
      <c r="Z270" s="3176"/>
      <c r="AA270" s="3176"/>
      <c r="AB270" s="3176"/>
      <c r="AC270" s="3176"/>
      <c r="AD270" s="3176"/>
      <c r="AE270" s="3176"/>
      <c r="AF270" s="3176"/>
      <c r="AG270" s="3176"/>
      <c r="AH270" s="3176"/>
      <c r="AI270" s="3176"/>
      <c r="AJ270" s="3176"/>
      <c r="AK270" s="3176"/>
      <c r="AL270" s="3176"/>
      <c r="AM270" s="3176"/>
      <c r="AN270" s="3176"/>
      <c r="AO270" s="3176"/>
      <c r="AP270" s="3176"/>
      <c r="AQ270" s="3176"/>
      <c r="AR270" s="3176"/>
      <c r="AS270" s="3176"/>
      <c r="AT270" s="3176"/>
      <c r="AU270" s="3176"/>
      <c r="AV270" s="3176"/>
      <c r="AW270" s="3176"/>
      <c r="AX270" s="3176"/>
      <c r="AY270" s="3217">
        <f t="shared" ref="AY270:BG270" ca="1" si="61">AY261</f>
        <v>13.10989694268479</v>
      </c>
      <c r="AZ270" s="3217">
        <f t="shared" ca="1" si="61"/>
        <v>12.643809309650932</v>
      </c>
      <c r="BA270" s="3217">
        <f t="shared" ca="1" si="61"/>
        <v>12.411424275242368</v>
      </c>
      <c r="BB270" s="3217">
        <f t="shared" ca="1" si="61"/>
        <v>14.432032224618373</v>
      </c>
      <c r="BC270" s="3217">
        <f t="shared" ca="1" si="61"/>
        <v>15.058454428799742</v>
      </c>
      <c r="BD270" s="3217">
        <f t="shared" ca="1" si="61"/>
        <v>13.886176922770101</v>
      </c>
      <c r="BE270" s="3217">
        <f t="shared" ca="1" si="61"/>
        <v>14.85911093929781</v>
      </c>
      <c r="BF270" s="3217">
        <f t="shared" ca="1" si="61"/>
        <v>15.866808278098716</v>
      </c>
      <c r="BG270" s="3217">
        <f t="shared" ca="1" si="61"/>
        <v>16.912293410099849</v>
      </c>
      <c r="BH270" s="3176"/>
      <c r="BJ270" s="3176"/>
      <c r="BK270" s="3178"/>
      <c r="BL270" s="3176"/>
      <c r="BM270" s="3176"/>
      <c r="BN270" s="3176"/>
      <c r="BO270" s="3176"/>
      <c r="BP270" s="3176"/>
      <c r="BQ270" s="3176"/>
      <c r="BR270" s="3176"/>
      <c r="BS270" s="3176"/>
      <c r="BT270" s="3176"/>
      <c r="BU270" s="3176"/>
    </row>
    <row r="271" spans="1:73">
      <c r="A271" s="39"/>
      <c r="B271" s="3176"/>
      <c r="C271" s="3178" t="s">
        <v>449</v>
      </c>
      <c r="D271" s="3258" t="s">
        <v>404</v>
      </c>
      <c r="E271" s="3176"/>
      <c r="F271" s="3176"/>
      <c r="G271" s="3176"/>
      <c r="H271" s="3176"/>
      <c r="I271" s="3176"/>
      <c r="J271" s="3176"/>
      <c r="K271" s="3176"/>
      <c r="L271" s="3176"/>
      <c r="M271" s="3176"/>
      <c r="N271" s="3176"/>
      <c r="O271" s="3176"/>
      <c r="P271" s="3176"/>
      <c r="Q271" s="3176"/>
      <c r="R271" s="3176"/>
      <c r="S271" s="3176"/>
      <c r="T271" s="3176"/>
      <c r="U271" s="3176"/>
      <c r="V271" s="3176"/>
      <c r="W271" s="3176"/>
      <c r="X271" s="3176"/>
      <c r="Y271" s="3176"/>
      <c r="Z271" s="3176"/>
      <c r="AA271" s="3176"/>
      <c r="AB271" s="3176"/>
      <c r="AC271" s="3176"/>
      <c r="AD271" s="3176"/>
      <c r="AE271" s="3176"/>
      <c r="AF271" s="3176"/>
      <c r="AG271" s="3176"/>
      <c r="AH271" s="3176"/>
      <c r="AI271" s="3176"/>
      <c r="AJ271" s="3176"/>
      <c r="AK271" s="3176"/>
      <c r="AL271" s="3176"/>
      <c r="AM271" s="3176"/>
      <c r="AN271" s="3176"/>
      <c r="AO271" s="3176"/>
      <c r="AP271" s="3176"/>
      <c r="AQ271" s="3176"/>
      <c r="AR271" s="3176"/>
      <c r="AS271" s="3176"/>
      <c r="AT271" s="3176"/>
      <c r="AU271" s="3176"/>
      <c r="AV271" s="3176"/>
      <c r="AW271" s="3176"/>
      <c r="AX271" s="3176"/>
      <c r="AY271" s="3217">
        <f t="shared" ref="AY271:BG271" ca="1" si="62">SUM(AY263:AY266)</f>
        <v>-0.35250949978917145</v>
      </c>
      <c r="AZ271" s="3217">
        <f t="shared" ca="1" si="62"/>
        <v>-0.50203202916955125</v>
      </c>
      <c r="BA271" s="3217">
        <f t="shared" ca="1" si="62"/>
        <v>-0.6044574386012328</v>
      </c>
      <c r="BB271" s="3217">
        <f t="shared" ca="1" si="62"/>
        <v>-0.73910279254538558</v>
      </c>
      <c r="BC271" s="3217">
        <f t="shared" ca="1" si="62"/>
        <v>-0.89871099935542731</v>
      </c>
      <c r="BD271" s="3217">
        <f t="shared" ca="1" si="62"/>
        <v>-7.6533580002521737E-2</v>
      </c>
      <c r="BE271" s="3217">
        <f t="shared" ca="1" si="62"/>
        <v>-9.4878273047774631E-2</v>
      </c>
      <c r="BF271" s="3217">
        <f t="shared" ca="1" si="62"/>
        <v>-0.11438328682220501</v>
      </c>
      <c r="BG271" s="3217">
        <f t="shared" ca="1" si="62"/>
        <v>-0.11731125375614111</v>
      </c>
      <c r="BH271" s="3176"/>
      <c r="BJ271" s="3176"/>
      <c r="BK271" s="3178"/>
      <c r="BL271" s="3258"/>
      <c r="BM271" s="3176"/>
      <c r="BN271" s="3176"/>
      <c r="BO271" s="3176"/>
      <c r="BP271" s="3176"/>
      <c r="BQ271" s="3176"/>
      <c r="BR271" s="3176"/>
      <c r="BS271" s="3176"/>
      <c r="BT271" s="3176"/>
      <c r="BU271" s="3176"/>
    </row>
    <row r="272" spans="1:73">
      <c r="A272" s="39"/>
      <c r="B272" s="3176"/>
      <c r="C272" s="3178" t="s">
        <v>450</v>
      </c>
      <c r="D272" s="3258" t="s">
        <v>405</v>
      </c>
      <c r="E272" s="3176"/>
      <c r="F272" s="3176"/>
      <c r="G272" s="3176"/>
      <c r="H272" s="3176"/>
      <c r="I272" s="3176"/>
      <c r="J272" s="3176"/>
      <c r="K272" s="3176"/>
      <c r="L272" s="3176"/>
      <c r="M272" s="3176"/>
      <c r="N272" s="3176"/>
      <c r="O272" s="3176"/>
      <c r="P272" s="3176"/>
      <c r="Q272" s="3176"/>
      <c r="R272" s="3176"/>
      <c r="S272" s="3176"/>
      <c r="T272" s="3176"/>
      <c r="U272" s="3176"/>
      <c r="V272" s="3176"/>
      <c r="W272" s="3176"/>
      <c r="X272" s="3176"/>
      <c r="Y272" s="3176"/>
      <c r="Z272" s="3176"/>
      <c r="AA272" s="3176"/>
      <c r="AB272" s="3176"/>
      <c r="AC272" s="3176"/>
      <c r="AD272" s="3176"/>
      <c r="AE272" s="3176"/>
      <c r="AF272" s="3176"/>
      <c r="AG272" s="3176"/>
      <c r="AH272" s="3176"/>
      <c r="AI272" s="3176"/>
      <c r="AJ272" s="3176"/>
      <c r="AK272" s="3176"/>
      <c r="AL272" s="3176"/>
      <c r="AM272" s="3176"/>
      <c r="AN272" s="3176"/>
      <c r="AO272" s="3176"/>
      <c r="AP272" s="3176"/>
      <c r="AQ272" s="3176"/>
      <c r="AR272" s="3176"/>
      <c r="AS272" s="3176"/>
      <c r="AT272" s="3176"/>
      <c r="AU272" s="3176"/>
      <c r="AV272" s="3176"/>
      <c r="AW272" s="3176"/>
      <c r="AX272" s="3176"/>
      <c r="AY272" s="3217">
        <f t="shared" ref="AY272:BG272" si="63">AY262</f>
        <v>0</v>
      </c>
      <c r="AZ272" s="3217">
        <f t="shared" si="63"/>
        <v>0</v>
      </c>
      <c r="BA272" s="3217">
        <f t="shared" si="63"/>
        <v>0</v>
      </c>
      <c r="BB272" s="3217">
        <f t="shared" si="63"/>
        <v>0</v>
      </c>
      <c r="BC272" s="3217">
        <f t="shared" si="63"/>
        <v>0</v>
      </c>
      <c r="BD272" s="3217">
        <f t="shared" si="63"/>
        <v>0</v>
      </c>
      <c r="BE272" s="3217">
        <f t="shared" si="63"/>
        <v>0</v>
      </c>
      <c r="BF272" s="3217">
        <f t="shared" si="63"/>
        <v>0</v>
      </c>
      <c r="BG272" s="3217">
        <f t="shared" si="63"/>
        <v>0</v>
      </c>
      <c r="BH272" s="3176"/>
      <c r="BJ272" s="3176"/>
      <c r="BK272" s="3178"/>
      <c r="BL272" s="3258"/>
      <c r="BM272" s="3176"/>
      <c r="BN272" s="3176"/>
      <c r="BO272" s="3176"/>
      <c r="BP272" s="3176"/>
      <c r="BQ272" s="3176"/>
      <c r="BR272" s="3176"/>
      <c r="BS272" s="3176"/>
      <c r="BT272" s="3176"/>
      <c r="BU272" s="3176"/>
    </row>
    <row r="273" spans="1:73">
      <c r="A273" s="39"/>
      <c r="B273" s="3176"/>
      <c r="C273" s="3178"/>
      <c r="D273" s="3258" t="s">
        <v>58</v>
      </c>
      <c r="E273" s="3176"/>
      <c r="F273" s="3176"/>
      <c r="G273" s="3176"/>
      <c r="H273" s="3176"/>
      <c r="I273" s="3176"/>
      <c r="J273" s="3176"/>
      <c r="K273" s="3176"/>
      <c r="L273" s="3176"/>
      <c r="M273" s="3176"/>
      <c r="N273" s="3176"/>
      <c r="O273" s="3176"/>
      <c r="P273" s="3176"/>
      <c r="Q273" s="3176"/>
      <c r="R273" s="3176"/>
      <c r="S273" s="3176"/>
      <c r="T273" s="3176"/>
      <c r="U273" s="3176"/>
      <c r="V273" s="3176"/>
      <c r="W273" s="3176"/>
      <c r="X273" s="3176"/>
      <c r="Y273" s="3176"/>
      <c r="Z273" s="3176"/>
      <c r="AA273" s="3176"/>
      <c r="AB273" s="3176"/>
      <c r="AC273" s="3176"/>
      <c r="AD273" s="3176"/>
      <c r="AE273" s="3176"/>
      <c r="AF273" s="3176"/>
      <c r="AG273" s="3176"/>
      <c r="AH273" s="3176"/>
      <c r="AI273" s="3176"/>
      <c r="AJ273" s="3176"/>
      <c r="AK273" s="3176"/>
      <c r="AL273" s="3176"/>
      <c r="AM273" s="3176"/>
      <c r="AN273" s="3176"/>
      <c r="AO273" s="3176"/>
      <c r="AP273" s="3176"/>
      <c r="AQ273" s="3176"/>
      <c r="AR273" s="3176"/>
      <c r="AS273" s="3176"/>
      <c r="AT273" s="3176"/>
      <c r="AU273" s="3176"/>
      <c r="AV273" s="3176"/>
      <c r="AW273" s="3176"/>
      <c r="AX273" s="3176"/>
      <c r="AY273" s="3217">
        <f t="shared" ref="AY273:BG273" ca="1" si="64">AY267</f>
        <v>12.757387442895618</v>
      </c>
      <c r="AZ273" s="3217">
        <f t="shared" ca="1" si="64"/>
        <v>12.14177728048138</v>
      </c>
      <c r="BA273" s="3217">
        <f t="shared" ca="1" si="64"/>
        <v>11.806966836641136</v>
      </c>
      <c r="BB273" s="3217">
        <f t="shared" ca="1" si="64"/>
        <v>13.692929432072988</v>
      </c>
      <c r="BC273" s="3217">
        <f t="shared" ca="1" si="64"/>
        <v>14.159743429444315</v>
      </c>
      <c r="BD273" s="3217">
        <f t="shared" ca="1" si="64"/>
        <v>13.809643342767579</v>
      </c>
      <c r="BE273" s="3217">
        <f t="shared" ca="1" si="64"/>
        <v>14.764232666250036</v>
      </c>
      <c r="BF273" s="3217">
        <f t="shared" ca="1" si="64"/>
        <v>15.752424991276511</v>
      </c>
      <c r="BG273" s="3217">
        <f t="shared" ca="1" si="64"/>
        <v>16.794982156343707</v>
      </c>
      <c r="BH273" s="3176"/>
      <c r="BJ273" s="3176"/>
      <c r="BK273" s="3178"/>
      <c r="BL273" s="3258"/>
      <c r="BM273" s="3176"/>
      <c r="BN273" s="3176"/>
      <c r="BO273" s="3176"/>
      <c r="BP273" s="3176"/>
      <c r="BQ273" s="3176"/>
      <c r="BR273" s="3176"/>
      <c r="BS273" s="3176"/>
      <c r="BT273" s="3176"/>
      <c r="BU273" s="3176"/>
    </row>
    <row r="274" spans="1:73">
      <c r="A274" s="39"/>
      <c r="B274" s="3176"/>
      <c r="C274" s="3259"/>
      <c r="D274" s="3176"/>
      <c r="E274" s="3176"/>
      <c r="F274" s="3176"/>
      <c r="G274" s="3176"/>
      <c r="H274" s="3176"/>
      <c r="I274" s="3176"/>
      <c r="J274" s="3176"/>
      <c r="K274" s="3176"/>
      <c r="L274" s="3176"/>
      <c r="M274" s="3176"/>
      <c r="N274" s="3176"/>
      <c r="O274" s="3176"/>
      <c r="P274" s="3176"/>
      <c r="Q274" s="3176"/>
      <c r="R274" s="3176"/>
      <c r="S274" s="3176"/>
      <c r="T274" s="3176"/>
      <c r="U274" s="3176"/>
      <c r="V274" s="3176"/>
      <c r="W274" s="3176"/>
      <c r="X274" s="3176"/>
      <c r="Y274" s="3176"/>
      <c r="Z274" s="3176"/>
      <c r="AA274" s="3176"/>
      <c r="AB274" s="3176"/>
      <c r="AC274" s="3176"/>
      <c r="AD274" s="3176"/>
      <c r="AE274" s="3176"/>
      <c r="AF274" s="3176"/>
      <c r="AG274" s="3176"/>
      <c r="AH274" s="3176"/>
      <c r="AI274" s="3176"/>
      <c r="AJ274" s="3176"/>
      <c r="AK274" s="3176"/>
      <c r="AL274" s="3176"/>
      <c r="AM274" s="3176"/>
      <c r="AN274" s="3176"/>
      <c r="AO274" s="3176"/>
      <c r="AP274" s="3176"/>
      <c r="AQ274" s="3176"/>
      <c r="AR274" s="3176"/>
      <c r="AS274" s="3176"/>
      <c r="AT274" s="3176"/>
      <c r="AU274" s="3176"/>
      <c r="AV274" s="3176"/>
      <c r="AW274" s="3176"/>
      <c r="AX274" s="3176"/>
      <c r="AY274" s="3176"/>
      <c r="AZ274" s="3176"/>
      <c r="BA274" s="3176"/>
      <c r="BB274" s="3176"/>
      <c r="BC274" s="3176"/>
      <c r="BD274" s="3176"/>
      <c r="BE274" s="3176"/>
      <c r="BF274" s="3176"/>
      <c r="BG274" s="3176"/>
      <c r="BH274" s="3176"/>
      <c r="BJ274" s="3176"/>
      <c r="BK274" s="3259"/>
      <c r="BL274" s="3176"/>
      <c r="BM274" s="3176"/>
      <c r="BN274" s="3176"/>
      <c r="BO274" s="3176"/>
      <c r="BP274" s="3176"/>
      <c r="BQ274" s="3176"/>
      <c r="BR274" s="3176"/>
      <c r="BS274" s="3176"/>
      <c r="BT274" s="3176"/>
      <c r="BU274" s="3176"/>
    </row>
    <row r="275" spans="1:73">
      <c r="A275" s="39"/>
      <c r="B275" s="3176"/>
      <c r="C275" s="3260" t="s">
        <v>2569</v>
      </c>
      <c r="D275" s="3204"/>
      <c r="E275" s="3261" t="s">
        <v>2570</v>
      </c>
      <c r="F275" s="3202"/>
      <c r="G275" s="3202"/>
      <c r="H275" s="3202"/>
      <c r="I275" s="3202"/>
      <c r="J275" s="3202"/>
      <c r="K275" s="3202"/>
      <c r="L275" s="3202"/>
      <c r="M275" s="3202"/>
      <c r="N275" s="3202"/>
      <c r="O275" s="3202"/>
      <c r="P275" s="3202"/>
      <c r="Q275" s="3202"/>
      <c r="R275" s="3202"/>
      <c r="S275" s="3202"/>
      <c r="T275" s="3202"/>
      <c r="U275" s="3202"/>
      <c r="V275" s="3202"/>
      <c r="W275" s="3202"/>
      <c r="X275" s="3202"/>
      <c r="Y275" s="3202"/>
      <c r="Z275" s="3202"/>
      <c r="AA275" s="3202"/>
      <c r="AB275" s="3202"/>
      <c r="AC275" s="3202"/>
      <c r="AD275" s="3202"/>
      <c r="AE275" s="3202"/>
      <c r="AF275" s="3202"/>
      <c r="AG275" s="3202"/>
      <c r="AH275" s="3202"/>
      <c r="AI275" s="3202"/>
      <c r="AJ275" s="3202"/>
      <c r="AK275" s="3202"/>
      <c r="AL275" s="3202"/>
      <c r="AM275" s="3202"/>
      <c r="AN275" s="3202"/>
      <c r="AO275" s="3202"/>
      <c r="AP275" s="3202"/>
      <c r="AQ275" s="3202"/>
      <c r="AR275" s="3202"/>
      <c r="AS275" s="3202"/>
      <c r="AT275" s="3202"/>
      <c r="AU275" s="3202"/>
      <c r="AV275" s="3202"/>
      <c r="AW275" s="3202"/>
      <c r="AX275" s="3206"/>
      <c r="AY275" s="3262">
        <f t="shared" ref="AY275:BG275" ca="1" si="65">AY267/AY111</f>
        <v>0.46335789519959891</v>
      </c>
      <c r="AZ275" s="3262">
        <f t="shared" ca="1" si="65"/>
        <v>0.42814485937725449</v>
      </c>
      <c r="BA275" s="3262">
        <f t="shared" ca="1" si="65"/>
        <v>0.39260852727995521</v>
      </c>
      <c r="BB275" s="3262">
        <f t="shared" ca="1" si="65"/>
        <v>0.42701932526383701</v>
      </c>
      <c r="BC275" s="3262">
        <f t="shared" ca="1" si="65"/>
        <v>0.41493933677333866</v>
      </c>
      <c r="BD275" s="3262">
        <f t="shared" ca="1" si="65"/>
        <v>0.37962087307306186</v>
      </c>
      <c r="BE275" s="3262">
        <f t="shared" ca="1" si="65"/>
        <v>0.38052790040587486</v>
      </c>
      <c r="BF275" s="3262">
        <f t="shared" ca="1" si="65"/>
        <v>0.38112280915570218</v>
      </c>
      <c r="BG275" s="3262">
        <f t="shared" ca="1" si="65"/>
        <v>0.3827921712890644</v>
      </c>
      <c r="BH275" s="3176"/>
      <c r="BJ275" s="3176"/>
      <c r="BK275" s="3260"/>
      <c r="BL275" s="3204"/>
      <c r="BM275" s="3261"/>
      <c r="BN275" s="3202"/>
      <c r="BO275" s="3202"/>
      <c r="BP275" s="3202"/>
      <c r="BQ275" s="3202"/>
      <c r="BR275" s="3202"/>
      <c r="BS275" s="3202"/>
      <c r="BT275" s="3202"/>
      <c r="BU275" s="3202"/>
    </row>
    <row r="276" spans="1:73">
      <c r="A276" s="39"/>
      <c r="B276" s="3176"/>
      <c r="C276" s="3260"/>
      <c r="D276" s="3204"/>
      <c r="E276" s="3261" t="s">
        <v>2571</v>
      </c>
      <c r="F276" s="3202"/>
      <c r="G276" s="3202"/>
      <c r="H276" s="3202"/>
      <c r="I276" s="3202"/>
      <c r="J276" s="3202"/>
      <c r="K276" s="3202"/>
      <c r="L276" s="3202"/>
      <c r="M276" s="3202"/>
      <c r="N276" s="3202"/>
      <c r="O276" s="3202"/>
      <c r="P276" s="3202"/>
      <c r="Q276" s="3202"/>
      <c r="R276" s="3202"/>
      <c r="S276" s="3202"/>
      <c r="T276" s="3202"/>
      <c r="U276" s="3202"/>
      <c r="V276" s="3202"/>
      <c r="W276" s="3202"/>
      <c r="X276" s="3202"/>
      <c r="Y276" s="3202"/>
      <c r="Z276" s="3202"/>
      <c r="AA276" s="3202"/>
      <c r="AB276" s="3202"/>
      <c r="AC276" s="3202"/>
      <c r="AD276" s="3202"/>
      <c r="AE276" s="3202"/>
      <c r="AF276" s="3202"/>
      <c r="AG276" s="3202"/>
      <c r="AH276" s="3202"/>
      <c r="AI276" s="3202"/>
      <c r="AJ276" s="3202"/>
      <c r="AK276" s="3202"/>
      <c r="AL276" s="3202"/>
      <c r="AM276" s="3202"/>
      <c r="AN276" s="3202"/>
      <c r="AO276" s="3202"/>
      <c r="AP276" s="3202"/>
      <c r="AQ276" s="3202"/>
      <c r="AR276" s="3202"/>
      <c r="AS276" s="3202"/>
      <c r="AT276" s="3202"/>
      <c r="AU276" s="3202"/>
      <c r="AV276" s="3202"/>
      <c r="AW276" s="3202"/>
      <c r="AX276" s="3206"/>
      <c r="AY276" s="3262">
        <f t="shared" ref="AY276:BG276" ca="1" si="66">AY275*1000</f>
        <v>463.35789519959889</v>
      </c>
      <c r="AZ276" s="3262">
        <f t="shared" ca="1" si="66"/>
        <v>428.14485937725448</v>
      </c>
      <c r="BA276" s="3262">
        <f t="shared" ca="1" si="66"/>
        <v>392.60852727995518</v>
      </c>
      <c r="BB276" s="3262">
        <f t="shared" ca="1" si="66"/>
        <v>427.019325263837</v>
      </c>
      <c r="BC276" s="3262">
        <f t="shared" ca="1" si="66"/>
        <v>414.93933677333865</v>
      </c>
      <c r="BD276" s="3262">
        <f t="shared" ca="1" si="66"/>
        <v>379.62087307306189</v>
      </c>
      <c r="BE276" s="3262">
        <f t="shared" ca="1" si="66"/>
        <v>380.52790040587485</v>
      </c>
      <c r="BF276" s="3262">
        <f t="shared" ca="1" si="66"/>
        <v>381.12280915570216</v>
      </c>
      <c r="BG276" s="3262">
        <f t="shared" ca="1" si="66"/>
        <v>382.79217128906441</v>
      </c>
      <c r="BH276" s="3176"/>
      <c r="BJ276" s="3176"/>
      <c r="BK276" s="3260"/>
      <c r="BL276" s="3204"/>
      <c r="BM276" s="3261"/>
      <c r="BN276" s="3202"/>
      <c r="BO276" s="3202"/>
      <c r="BP276" s="3202"/>
      <c r="BQ276" s="3202"/>
      <c r="BR276" s="3202"/>
      <c r="BS276" s="3202"/>
      <c r="BT276" s="3202"/>
      <c r="BU276" s="3202"/>
    </row>
    <row r="277" spans="1:73">
      <c r="A277" s="39"/>
      <c r="B277" s="3176"/>
      <c r="C277" s="3260"/>
      <c r="D277" s="3204"/>
      <c r="E277" s="3261"/>
      <c r="F277" s="3202"/>
      <c r="G277" s="3202"/>
      <c r="H277" s="3202"/>
      <c r="I277" s="3202"/>
      <c r="J277" s="3202"/>
      <c r="K277" s="3202"/>
      <c r="L277" s="3202"/>
      <c r="M277" s="3202"/>
      <c r="N277" s="3202"/>
      <c r="O277" s="3202"/>
      <c r="P277" s="3202"/>
      <c r="Q277" s="3202"/>
      <c r="R277" s="3202"/>
      <c r="S277" s="3202"/>
      <c r="T277" s="3202"/>
      <c r="U277" s="3202"/>
      <c r="V277" s="3202"/>
      <c r="W277" s="3202"/>
      <c r="X277" s="3202"/>
      <c r="Y277" s="3202"/>
      <c r="Z277" s="3202"/>
      <c r="AA277" s="3202"/>
      <c r="AB277" s="3202"/>
      <c r="AC277" s="3202"/>
      <c r="AD277" s="3202"/>
      <c r="AE277" s="3202"/>
      <c r="AF277" s="3202"/>
      <c r="AG277" s="3202"/>
      <c r="AH277" s="3202"/>
      <c r="AI277" s="3202"/>
      <c r="AJ277" s="3202"/>
      <c r="AK277" s="3202"/>
      <c r="AL277" s="3202"/>
      <c r="AM277" s="3202"/>
      <c r="AN277" s="3202"/>
      <c r="AO277" s="3202"/>
      <c r="AP277" s="3202"/>
      <c r="AQ277" s="3202"/>
      <c r="AR277" s="3202"/>
      <c r="AS277" s="3202"/>
      <c r="AT277" s="3202"/>
      <c r="AU277" s="3202"/>
      <c r="AV277" s="3202"/>
      <c r="AW277" s="3202"/>
      <c r="AX277" s="3206"/>
      <c r="AY277" s="3206"/>
      <c r="AZ277" s="3206"/>
      <c r="BA277" s="3206"/>
      <c r="BB277" s="3206"/>
      <c r="BC277" s="3206"/>
      <c r="BD277" s="3206"/>
      <c r="BE277" s="3206"/>
      <c r="BF277" s="3206"/>
      <c r="BG277" s="3206"/>
      <c r="BH277" s="3176"/>
      <c r="BJ277" s="3176"/>
      <c r="BK277" s="3260"/>
      <c r="BL277" s="3204"/>
      <c r="BM277" s="3261"/>
      <c r="BN277" s="3202"/>
      <c r="BO277" s="3202"/>
      <c r="BP277" s="3202"/>
      <c r="BQ277" s="3202"/>
      <c r="BR277" s="3202"/>
      <c r="BS277" s="3202"/>
      <c r="BT277" s="3202"/>
      <c r="BU277" s="3202"/>
    </row>
    <row r="278" spans="1:73">
      <c r="A278" s="39"/>
      <c r="B278" s="3176"/>
      <c r="C278" s="3261" t="s">
        <v>2572</v>
      </c>
      <c r="D278" s="3204"/>
      <c r="E278" s="3261"/>
      <c r="F278" s="3202"/>
      <c r="G278" s="3202"/>
      <c r="H278" s="3202"/>
      <c r="I278" s="3202"/>
      <c r="J278" s="3202"/>
      <c r="K278" s="3202"/>
      <c r="L278" s="3202"/>
      <c r="M278" s="3202"/>
      <c r="N278" s="3202"/>
      <c r="O278" s="3202"/>
      <c r="P278" s="3202"/>
      <c r="Q278" s="3202"/>
      <c r="R278" s="3202"/>
      <c r="S278" s="3202"/>
      <c r="T278" s="3202"/>
      <c r="U278" s="3202"/>
      <c r="V278" s="3202"/>
      <c r="W278" s="3202"/>
      <c r="X278" s="3202"/>
      <c r="Y278" s="3202"/>
      <c r="Z278" s="3202"/>
      <c r="AA278" s="3202"/>
      <c r="AB278" s="3202"/>
      <c r="AC278" s="3202"/>
      <c r="AD278" s="3202"/>
      <c r="AE278" s="3202"/>
      <c r="AF278" s="3202"/>
      <c r="AG278" s="3202"/>
      <c r="AH278" s="3202"/>
      <c r="AI278" s="3202"/>
      <c r="AJ278" s="3202"/>
      <c r="AK278" s="3202"/>
      <c r="AL278" s="3202"/>
      <c r="AM278" s="3202"/>
      <c r="AN278" s="3202"/>
      <c r="AO278" s="3202"/>
      <c r="AP278" s="3202"/>
      <c r="AQ278" s="3202"/>
      <c r="AR278" s="3202"/>
      <c r="AS278" s="3202"/>
      <c r="AT278" s="3202"/>
      <c r="AU278" s="3202"/>
      <c r="AV278" s="3202"/>
      <c r="AW278" s="3202"/>
      <c r="AX278" s="3206"/>
      <c r="AY278" s="3206"/>
      <c r="AZ278" s="3206"/>
      <c r="BA278" s="3206"/>
      <c r="BB278" s="3206"/>
      <c r="BC278" s="3206"/>
      <c r="BD278" s="3206"/>
      <c r="BE278" s="3206"/>
      <c r="BF278" s="3206"/>
      <c r="BG278" s="3206"/>
      <c r="BH278" s="3176"/>
      <c r="BJ278" s="3176"/>
      <c r="BK278" s="3261"/>
      <c r="BL278" s="3204"/>
      <c r="BM278" s="3261"/>
      <c r="BN278" s="3202"/>
      <c r="BO278" s="3202"/>
      <c r="BP278" s="3202"/>
      <c r="BQ278" s="3202"/>
      <c r="BR278" s="3202"/>
      <c r="BS278" s="3202"/>
      <c r="BT278" s="3202"/>
      <c r="BU278" s="3202"/>
    </row>
    <row r="279" spans="1:73">
      <c r="A279" s="39"/>
      <c r="B279" s="3176"/>
      <c r="C279" s="3176"/>
      <c r="D279" s="3176"/>
      <c r="E279" s="3176"/>
      <c r="F279" s="3176"/>
      <c r="G279" s="3176"/>
      <c r="H279" s="3176"/>
      <c r="I279" s="3176"/>
      <c r="J279" s="3176"/>
      <c r="K279" s="3176"/>
      <c r="L279" s="3176"/>
      <c r="M279" s="3176"/>
      <c r="N279" s="3176"/>
      <c r="O279" s="3176"/>
      <c r="P279" s="3176"/>
      <c r="Q279" s="3176"/>
      <c r="R279" s="3176"/>
      <c r="S279" s="3176"/>
      <c r="T279" s="3176"/>
      <c r="U279" s="3176"/>
      <c r="V279" s="3176"/>
      <c r="W279" s="3176"/>
      <c r="X279" s="3176"/>
      <c r="Y279" s="3176"/>
      <c r="Z279" s="3176"/>
      <c r="AA279" s="3176"/>
      <c r="AB279" s="3176"/>
      <c r="AC279" s="3176"/>
      <c r="AD279" s="3176"/>
      <c r="AE279" s="3176"/>
      <c r="AF279" s="3176"/>
      <c r="AG279" s="3176"/>
      <c r="AH279" s="3176"/>
      <c r="AI279" s="3176"/>
      <c r="AJ279" s="3176"/>
      <c r="AK279" s="3176"/>
      <c r="AL279" s="3176"/>
      <c r="AM279" s="3176"/>
      <c r="AN279" s="3176"/>
      <c r="AO279" s="3176"/>
      <c r="AP279" s="3176"/>
      <c r="AQ279" s="3176"/>
      <c r="AR279" s="3176"/>
      <c r="AS279" s="3176"/>
      <c r="AT279" s="3176"/>
      <c r="AU279" s="3176"/>
      <c r="AV279" s="3176"/>
      <c r="AW279" s="3176"/>
      <c r="AX279" s="3176"/>
      <c r="AY279" s="3176"/>
      <c r="AZ279" s="3176"/>
      <c r="BA279" s="3176"/>
      <c r="BB279" s="3176"/>
      <c r="BC279" s="3176"/>
      <c r="BD279" s="3176"/>
      <c r="BE279" s="3176"/>
      <c r="BF279" s="3176"/>
      <c r="BG279" s="3176"/>
      <c r="BH279" s="3176"/>
      <c r="BJ279" s="3176"/>
      <c r="BK279" s="3176"/>
      <c r="BL279" s="3176"/>
      <c r="BM279" s="3176"/>
      <c r="BN279" s="3176"/>
      <c r="BO279" s="3176"/>
      <c r="BP279" s="3176"/>
      <c r="BQ279" s="3176"/>
      <c r="BR279" s="3176"/>
      <c r="BS279" s="3176"/>
      <c r="BT279" s="3176"/>
      <c r="BU279" s="3176"/>
    </row>
    <row r="280" spans="1:73">
      <c r="A280" s="39"/>
      <c r="BJ280" s="3945"/>
      <c r="BK280" s="3945"/>
      <c r="BL280" s="3945"/>
      <c r="BM280" s="3945"/>
      <c r="BN280" s="3945"/>
      <c r="BO280" s="3945"/>
      <c r="BP280" s="3945"/>
      <c r="BQ280" s="3945"/>
      <c r="BR280" s="3945"/>
      <c r="BS280" s="3945"/>
      <c r="BT280" s="3945"/>
      <c r="BU280" s="3945"/>
    </row>
    <row r="281" spans="1:73" ht="23.5">
      <c r="A281" s="3537"/>
      <c r="B281" s="3263" t="s">
        <v>2573</v>
      </c>
      <c r="C281" s="3264"/>
      <c r="D281" s="3264"/>
      <c r="E281" s="3264"/>
      <c r="F281" s="3264"/>
      <c r="G281" s="3264"/>
      <c r="H281" s="3264"/>
      <c r="I281" s="3264"/>
      <c r="J281" s="3264"/>
      <c r="K281" s="3264"/>
      <c r="L281" s="3264"/>
      <c r="M281" s="3264"/>
      <c r="N281" s="3264"/>
      <c r="O281" s="3264"/>
      <c r="P281" s="3264"/>
      <c r="Q281" s="3264"/>
      <c r="R281" s="3264"/>
      <c r="S281" s="3264"/>
      <c r="T281" s="3264"/>
      <c r="U281" s="3264"/>
      <c r="V281" s="3264"/>
      <c r="W281" s="3264"/>
      <c r="X281" s="3264"/>
      <c r="Y281" s="3264"/>
      <c r="Z281" s="3264"/>
      <c r="AA281" s="3264"/>
      <c r="AB281" s="3264"/>
      <c r="AC281" s="3264"/>
      <c r="AD281" s="3264"/>
      <c r="AE281" s="3264"/>
      <c r="AF281" s="3264"/>
      <c r="AG281" s="3264"/>
      <c r="AH281" s="3264"/>
      <c r="AI281" s="3264"/>
      <c r="AJ281" s="3264"/>
      <c r="AK281" s="3264"/>
      <c r="AL281" s="3264"/>
      <c r="AM281" s="3264"/>
      <c r="AN281" s="3264"/>
      <c r="AO281" s="3264"/>
      <c r="AP281" s="3264"/>
      <c r="AQ281" s="3264"/>
      <c r="AR281" s="3264"/>
      <c r="AS281" s="3264"/>
      <c r="AT281" s="3264"/>
      <c r="AU281" s="3264"/>
      <c r="AV281" s="3264"/>
      <c r="AW281" s="3264"/>
      <c r="AX281" s="3264"/>
      <c r="AY281" s="3265"/>
      <c r="AZ281" s="3265"/>
      <c r="BA281" s="3265"/>
      <c r="BB281" s="3265"/>
      <c r="BC281" s="3265"/>
      <c r="BD281" s="3265"/>
      <c r="BE281" s="3265"/>
      <c r="BF281" s="3265"/>
      <c r="BG281" s="3265"/>
      <c r="BH281" s="3266"/>
      <c r="BJ281" s="3263"/>
      <c r="BK281" s="3264"/>
      <c r="BL281" s="3264"/>
      <c r="BM281" s="3264"/>
      <c r="BN281" s="3264"/>
      <c r="BO281" s="3264"/>
      <c r="BP281" s="3264"/>
      <c r="BQ281" s="3264"/>
      <c r="BR281" s="3264"/>
      <c r="BS281" s="3264"/>
      <c r="BT281" s="3264"/>
      <c r="BU281" s="3264"/>
    </row>
    <row r="282" spans="1:73" ht="15">
      <c r="A282" s="39"/>
      <c r="B282" s="3267"/>
      <c r="C282" s="3268"/>
      <c r="D282" s="3268"/>
      <c r="E282" s="3268"/>
      <c r="F282" s="3268" t="s">
        <v>3206</v>
      </c>
      <c r="G282" s="3268"/>
      <c r="H282" s="3268"/>
      <c r="I282" s="3268"/>
      <c r="J282" s="3268"/>
      <c r="K282" s="3268"/>
      <c r="L282" s="3268"/>
      <c r="M282" s="3268"/>
      <c r="N282" s="3268"/>
      <c r="O282" s="3268"/>
      <c r="P282" s="3268"/>
      <c r="Q282" s="3268"/>
      <c r="R282" s="3268"/>
      <c r="S282" s="3268"/>
      <c r="T282" s="3268"/>
      <c r="U282" s="3268"/>
      <c r="V282" s="3268"/>
      <c r="W282" s="3268"/>
      <c r="X282" s="3268"/>
      <c r="Y282" s="3268"/>
      <c r="Z282" s="3268"/>
      <c r="AA282" s="3268"/>
      <c r="AB282" s="3268"/>
      <c r="AC282" s="3268"/>
      <c r="AD282" s="3268"/>
      <c r="AE282" s="3268"/>
      <c r="AF282" s="3268"/>
      <c r="AG282" s="3268"/>
      <c r="AH282" s="3268"/>
      <c r="AI282" s="3268"/>
      <c r="AJ282" s="3268"/>
      <c r="AK282" s="3268"/>
      <c r="AL282" s="3268"/>
      <c r="AM282" s="3268"/>
      <c r="AN282" s="3268"/>
      <c r="AO282" s="3268"/>
      <c r="AP282" s="3268"/>
      <c r="AQ282" s="3268"/>
      <c r="AR282" s="3268"/>
      <c r="AS282" s="3268"/>
      <c r="AT282" s="3268"/>
      <c r="AU282" s="3268"/>
      <c r="AV282" s="3268"/>
      <c r="AW282" s="3268"/>
      <c r="AX282" s="3268"/>
      <c r="AY282" s="3281">
        <v>2013</v>
      </c>
      <c r="AZ282" s="3281">
        <v>2015</v>
      </c>
      <c r="BA282" s="3281">
        <v>2020</v>
      </c>
      <c r="BB282" s="3281">
        <v>2025</v>
      </c>
      <c r="BC282" s="3281">
        <v>2030</v>
      </c>
      <c r="BD282" s="3281">
        <v>2035</v>
      </c>
      <c r="BE282" s="3281">
        <v>2040</v>
      </c>
      <c r="BF282" s="3281">
        <v>2045</v>
      </c>
      <c r="BG282" s="3282">
        <v>2050</v>
      </c>
      <c r="BH282" s="3274" t="str">
        <f>Preferences.EnergyUnits</f>
        <v>TWh</v>
      </c>
      <c r="BJ282" s="3267"/>
      <c r="BK282" s="3268"/>
      <c r="BL282" s="3268"/>
      <c r="BM282" s="3268"/>
      <c r="BN282" s="3268"/>
      <c r="BO282" s="3268"/>
      <c r="BP282" s="3268"/>
      <c r="BQ282" s="3268"/>
      <c r="BR282" s="3268"/>
      <c r="BS282" s="3268"/>
      <c r="BT282" s="3268"/>
      <c r="BU282" s="3268"/>
    </row>
    <row r="283" spans="1:73">
      <c r="A283" s="39"/>
      <c r="B283" s="3271"/>
      <c r="C283" s="3272" t="s">
        <v>436</v>
      </c>
      <c r="D283" s="3272" t="s">
        <v>387</v>
      </c>
      <c r="E283" s="3272"/>
      <c r="F283" s="3273">
        <f t="shared" ref="F283:F289" si="67">F23</f>
        <v>0</v>
      </c>
      <c r="G283" s="3273"/>
      <c r="H283" s="3273"/>
      <c r="I283" s="3273"/>
      <c r="J283" s="3273"/>
      <c r="K283" s="3273"/>
      <c r="L283" s="3273"/>
      <c r="M283" s="3273"/>
      <c r="N283" s="3273"/>
      <c r="O283" s="3273"/>
      <c r="P283" s="3273"/>
      <c r="Q283" s="3273"/>
      <c r="R283" s="3273"/>
      <c r="S283" s="3273"/>
      <c r="T283" s="3273"/>
      <c r="U283" s="3273"/>
      <c r="V283" s="3273"/>
      <c r="W283" s="3273"/>
      <c r="X283" s="3273"/>
      <c r="Y283" s="3273"/>
      <c r="Z283" s="3273"/>
      <c r="AA283" s="3273"/>
      <c r="AB283" s="3273"/>
      <c r="AC283" s="3273"/>
      <c r="AD283" s="3273"/>
      <c r="AE283" s="3273"/>
      <c r="AF283" s="3273"/>
      <c r="AG283" s="3273"/>
      <c r="AH283" s="3273"/>
      <c r="AI283" s="3273"/>
      <c r="AJ283" s="3273"/>
      <c r="AK283" s="3273"/>
      <c r="AL283" s="3273"/>
      <c r="AM283" s="3273"/>
      <c r="AN283" s="3273"/>
      <c r="AO283" s="3273"/>
      <c r="AP283" s="3273"/>
      <c r="AQ283" s="3273"/>
      <c r="AR283" s="3273"/>
      <c r="AS283" s="3273"/>
      <c r="AT283" s="3273"/>
      <c r="AU283" s="3273"/>
      <c r="AV283" s="3273"/>
      <c r="AW283" s="3273"/>
      <c r="AX283" s="3273"/>
      <c r="AY283" s="3273">
        <f t="shared" ref="AY283:BG283" ca="1" si="68">AY23</f>
        <v>0</v>
      </c>
      <c r="AZ283" s="3273">
        <f t="shared" ca="1" si="68"/>
        <v>0</v>
      </c>
      <c r="BA283" s="3273">
        <f t="shared" ca="1" si="68"/>
        <v>0</v>
      </c>
      <c r="BB283" s="3273">
        <f t="shared" ca="1" si="68"/>
        <v>0</v>
      </c>
      <c r="BC283" s="3273">
        <f t="shared" ca="1" si="68"/>
        <v>0</v>
      </c>
      <c r="BD283" s="3273">
        <f t="shared" ca="1" si="68"/>
        <v>0</v>
      </c>
      <c r="BE283" s="3273">
        <f t="shared" ca="1" si="68"/>
        <v>0</v>
      </c>
      <c r="BF283" s="3273">
        <f t="shared" ca="1" si="68"/>
        <v>0</v>
      </c>
      <c r="BG283" s="3273">
        <f t="shared" ca="1" si="68"/>
        <v>0</v>
      </c>
      <c r="BH283" s="3273" t="s">
        <v>5</v>
      </c>
      <c r="BJ283" s="3271"/>
      <c r="BK283" s="3272"/>
      <c r="BL283" s="3272"/>
      <c r="BM283" s="3272"/>
      <c r="BN283" s="3273"/>
      <c r="BO283" s="3273"/>
      <c r="BP283" s="3273"/>
      <c r="BQ283" s="3273"/>
      <c r="BR283" s="3273"/>
      <c r="BS283" s="3273"/>
      <c r="BT283" s="3273"/>
      <c r="BU283" s="3273"/>
    </row>
    <row r="284" spans="1:73">
      <c r="A284" s="39"/>
      <c r="B284" s="3271"/>
      <c r="C284" s="3272" t="s">
        <v>437</v>
      </c>
      <c r="D284" s="3272" t="s">
        <v>78</v>
      </c>
      <c r="E284" s="3272"/>
      <c r="F284" s="3273">
        <f t="shared" si="67"/>
        <v>0.13</v>
      </c>
      <c r="G284" s="3273"/>
      <c r="H284" s="3273"/>
      <c r="I284" s="3273"/>
      <c r="J284" s="3273"/>
      <c r="K284" s="3273"/>
      <c r="L284" s="3273"/>
      <c r="M284" s="3273"/>
      <c r="N284" s="3273"/>
      <c r="O284" s="3273"/>
      <c r="P284" s="3273"/>
      <c r="Q284" s="3273"/>
      <c r="R284" s="3273"/>
      <c r="S284" s="3273"/>
      <c r="T284" s="3273"/>
      <c r="U284" s="3273"/>
      <c r="V284" s="3273"/>
      <c r="W284" s="3273"/>
      <c r="X284" s="3273"/>
      <c r="Y284" s="3273"/>
      <c r="Z284" s="3273"/>
      <c r="AA284" s="3273"/>
      <c r="AB284" s="3273"/>
      <c r="AC284" s="3273"/>
      <c r="AD284" s="3273"/>
      <c r="AE284" s="3273"/>
      <c r="AF284" s="3273"/>
      <c r="AG284" s="3273"/>
      <c r="AH284" s="3273"/>
      <c r="AI284" s="3273"/>
      <c r="AJ284" s="3273"/>
      <c r="AK284" s="3273"/>
      <c r="AL284" s="3273"/>
      <c r="AM284" s="3273"/>
      <c r="AN284" s="3273"/>
      <c r="AO284" s="3273"/>
      <c r="AP284" s="3273"/>
      <c r="AQ284" s="3273"/>
      <c r="AR284" s="3273"/>
      <c r="AS284" s="3273"/>
      <c r="AT284" s="3273"/>
      <c r="AU284" s="3273"/>
      <c r="AV284" s="3273"/>
      <c r="AW284" s="3273"/>
      <c r="AX284" s="3273"/>
      <c r="AY284" s="3273">
        <f t="shared" ref="AY284:BG284" ca="1" si="69">AY24</f>
        <v>4.1054887428987621E-2</v>
      </c>
      <c r="AZ284" s="3273">
        <f t="shared" ca="1" si="69"/>
        <v>5.2915063522883464E-2</v>
      </c>
      <c r="BA284" s="3273">
        <f t="shared" ca="1" si="69"/>
        <v>5.5796848364472185E-2</v>
      </c>
      <c r="BB284" s="3273">
        <f t="shared" ca="1" si="69"/>
        <v>5.8662240154226032E-2</v>
      </c>
      <c r="BC284" s="3273">
        <f t="shared" ca="1" si="69"/>
        <v>7.0129937567812564E-2</v>
      </c>
      <c r="BD284" s="3273">
        <f t="shared" ca="1" si="69"/>
        <v>7.3391639360886121E-2</v>
      </c>
      <c r="BE284" s="3273">
        <f t="shared" ca="1" si="69"/>
        <v>7.68227714428798E-2</v>
      </c>
      <c r="BF284" s="3273">
        <f t="shared" ca="1" si="69"/>
        <v>8.0232994859916751E-2</v>
      </c>
      <c r="BG284" s="3273">
        <f t="shared" ca="1" si="69"/>
        <v>8.3820866458489254E-2</v>
      </c>
      <c r="BH284" s="3273"/>
      <c r="BJ284" s="3271"/>
      <c r="BK284" s="3272"/>
      <c r="BL284" s="3272"/>
      <c r="BM284" s="3272"/>
      <c r="BN284" s="3273"/>
      <c r="BO284" s="3273"/>
      <c r="BP284" s="3273"/>
      <c r="BQ284" s="3273"/>
      <c r="BR284" s="3273"/>
      <c r="BS284" s="3273"/>
      <c r="BT284" s="3273"/>
      <c r="BU284" s="3273"/>
    </row>
    <row r="285" spans="1:73">
      <c r="A285" s="39"/>
      <c r="B285" s="3271"/>
      <c r="C285" s="3272" t="s">
        <v>438</v>
      </c>
      <c r="D285" s="3272" t="s">
        <v>388</v>
      </c>
      <c r="E285" s="3272"/>
      <c r="F285" s="3273">
        <f t="shared" si="67"/>
        <v>4.54</v>
      </c>
      <c r="G285" s="3273"/>
      <c r="H285" s="3273"/>
      <c r="I285" s="3273"/>
      <c r="J285" s="3273"/>
      <c r="K285" s="3273"/>
      <c r="L285" s="3273"/>
      <c r="M285" s="3273"/>
      <c r="N285" s="3273"/>
      <c r="O285" s="3273"/>
      <c r="P285" s="3273"/>
      <c r="Q285" s="3273"/>
      <c r="R285" s="3273"/>
      <c r="S285" s="3273"/>
      <c r="T285" s="3273"/>
      <c r="U285" s="3273"/>
      <c r="V285" s="3273"/>
      <c r="W285" s="3273"/>
      <c r="X285" s="3273"/>
      <c r="Y285" s="3273"/>
      <c r="Z285" s="3273"/>
      <c r="AA285" s="3273"/>
      <c r="AB285" s="3273"/>
      <c r="AC285" s="3273"/>
      <c r="AD285" s="3273"/>
      <c r="AE285" s="3273"/>
      <c r="AF285" s="3273"/>
      <c r="AG285" s="3273"/>
      <c r="AH285" s="3273"/>
      <c r="AI285" s="3273"/>
      <c r="AJ285" s="3273"/>
      <c r="AK285" s="3273"/>
      <c r="AL285" s="3273"/>
      <c r="AM285" s="3273"/>
      <c r="AN285" s="3273"/>
      <c r="AO285" s="3273"/>
      <c r="AP285" s="3273"/>
      <c r="AQ285" s="3273"/>
      <c r="AR285" s="3273"/>
      <c r="AS285" s="3273"/>
      <c r="AT285" s="3273"/>
      <c r="AU285" s="3273"/>
      <c r="AV285" s="3273"/>
      <c r="AW285" s="3273"/>
      <c r="AX285" s="3273"/>
      <c r="AY285" s="3273">
        <f t="shared" ref="AY285:BG285" ca="1" si="70">AY25</f>
        <v>4.5013410000000009</v>
      </c>
      <c r="AZ285" s="3273">
        <f t="shared" ca="1" si="70"/>
        <v>5.6172527999999993</v>
      </c>
      <c r="BA285" s="3273">
        <f t="shared" ca="1" si="70"/>
        <v>5.6216357999999991</v>
      </c>
      <c r="BB285" s="3273">
        <f t="shared" ca="1" si="70"/>
        <v>3.3359012999999997</v>
      </c>
      <c r="BC285" s="3273">
        <f t="shared" ca="1" si="70"/>
        <v>1.1378267999999998</v>
      </c>
      <c r="BD285" s="3273">
        <f t="shared" ca="1" si="70"/>
        <v>3.8789549999999742E-2</v>
      </c>
      <c r="BE285" s="3273">
        <f t="shared" ca="1" si="70"/>
        <v>3.8789549999999742E-2</v>
      </c>
      <c r="BF285" s="3273">
        <f t="shared" ca="1" si="70"/>
        <v>3.8789549999999742E-2</v>
      </c>
      <c r="BG285" s="3273">
        <f t="shared" ca="1" si="70"/>
        <v>3.8789549999999742E-2</v>
      </c>
      <c r="BH285" s="3273"/>
      <c r="BJ285" s="3271"/>
      <c r="BK285" s="3272"/>
      <c r="BL285" s="3272"/>
      <c r="BM285" s="3272"/>
      <c r="BN285" s="3273"/>
      <c r="BO285" s="3273"/>
      <c r="BP285" s="3273"/>
      <c r="BQ285" s="3273"/>
      <c r="BR285" s="3273"/>
      <c r="BS285" s="3273"/>
      <c r="BT285" s="3273"/>
      <c r="BU285" s="3273"/>
    </row>
    <row r="286" spans="1:73">
      <c r="A286" s="39"/>
      <c r="B286" s="3271"/>
      <c r="C286" s="3272" t="s">
        <v>439</v>
      </c>
      <c r="D286" s="3272" t="s">
        <v>389</v>
      </c>
      <c r="E286" s="3272"/>
      <c r="F286" s="3273">
        <f t="shared" si="67"/>
        <v>0</v>
      </c>
      <c r="G286" s="3273"/>
      <c r="H286" s="3273"/>
      <c r="I286" s="3273"/>
      <c r="J286" s="3273"/>
      <c r="K286" s="3273"/>
      <c r="L286" s="3273"/>
      <c r="M286" s="3273"/>
      <c r="N286" s="3273"/>
      <c r="O286" s="3273"/>
      <c r="P286" s="3273"/>
      <c r="Q286" s="3273"/>
      <c r="R286" s="3273"/>
      <c r="S286" s="3273"/>
      <c r="T286" s="3273"/>
      <c r="U286" s="3273"/>
      <c r="V286" s="3273"/>
      <c r="W286" s="3273"/>
      <c r="X286" s="3273"/>
      <c r="Y286" s="3273"/>
      <c r="Z286" s="3273"/>
      <c r="AA286" s="3273"/>
      <c r="AB286" s="3273"/>
      <c r="AC286" s="3273"/>
      <c r="AD286" s="3273"/>
      <c r="AE286" s="3273"/>
      <c r="AF286" s="3273"/>
      <c r="AG286" s="3273"/>
      <c r="AH286" s="3273"/>
      <c r="AI286" s="3273"/>
      <c r="AJ286" s="3273"/>
      <c r="AK286" s="3273"/>
      <c r="AL286" s="3273"/>
      <c r="AM286" s="3273"/>
      <c r="AN286" s="3273"/>
      <c r="AO286" s="3273"/>
      <c r="AP286" s="3273"/>
      <c r="AQ286" s="3273"/>
      <c r="AR286" s="3273"/>
      <c r="AS286" s="3273"/>
      <c r="AT286" s="3273"/>
      <c r="AU286" s="3273"/>
      <c r="AV286" s="3273"/>
      <c r="AW286" s="3273"/>
      <c r="AX286" s="3273"/>
      <c r="AY286" s="3273">
        <f t="shared" ref="AY286:BG286" ca="1" si="71">AY26</f>
        <v>0</v>
      </c>
      <c r="AZ286" s="3273">
        <f t="shared" ca="1" si="71"/>
        <v>0</v>
      </c>
      <c r="BA286" s="3273">
        <f t="shared" ca="1" si="71"/>
        <v>0</v>
      </c>
      <c r="BB286" s="3273">
        <f t="shared" ca="1" si="71"/>
        <v>0</v>
      </c>
      <c r="BC286" s="3273">
        <f t="shared" ca="1" si="71"/>
        <v>0</v>
      </c>
      <c r="BD286" s="3273">
        <f t="shared" ca="1" si="71"/>
        <v>0</v>
      </c>
      <c r="BE286" s="3273">
        <f t="shared" ca="1" si="71"/>
        <v>0</v>
      </c>
      <c r="BF286" s="3273">
        <f t="shared" ca="1" si="71"/>
        <v>0</v>
      </c>
      <c r="BG286" s="3273">
        <f t="shared" ca="1" si="71"/>
        <v>0</v>
      </c>
      <c r="BH286" s="3273"/>
      <c r="BJ286" s="3271"/>
      <c r="BK286" s="3272"/>
      <c r="BL286" s="3272"/>
      <c r="BM286" s="3272"/>
      <c r="BN286" s="3273"/>
      <c r="BO286" s="3273"/>
      <c r="BP286" s="3273"/>
      <c r="BQ286" s="3273"/>
      <c r="BR286" s="3273"/>
      <c r="BS286" s="3273"/>
      <c r="BT286" s="3273"/>
      <c r="BU286" s="3273"/>
    </row>
    <row r="287" spans="1:73">
      <c r="A287" s="39"/>
      <c r="B287" s="3271"/>
      <c r="C287" s="3272" t="s">
        <v>440</v>
      </c>
      <c r="D287" s="3272" t="s">
        <v>390</v>
      </c>
      <c r="E287" s="3272"/>
      <c r="F287" s="3273">
        <f t="shared" si="67"/>
        <v>0</v>
      </c>
      <c r="G287" s="3273"/>
      <c r="H287" s="3273"/>
      <c r="I287" s="3273"/>
      <c r="J287" s="3273"/>
      <c r="K287" s="3273"/>
      <c r="L287" s="3273"/>
      <c r="M287" s="3273"/>
      <c r="N287" s="3273"/>
      <c r="O287" s="3273"/>
      <c r="P287" s="3273"/>
      <c r="Q287" s="3273"/>
      <c r="R287" s="3273"/>
      <c r="S287" s="3273"/>
      <c r="T287" s="3273"/>
      <c r="U287" s="3273"/>
      <c r="V287" s="3273"/>
      <c r="W287" s="3273"/>
      <c r="X287" s="3273"/>
      <c r="Y287" s="3273"/>
      <c r="Z287" s="3273"/>
      <c r="AA287" s="3273"/>
      <c r="AB287" s="3273"/>
      <c r="AC287" s="3273"/>
      <c r="AD287" s="3273"/>
      <c r="AE287" s="3273"/>
      <c r="AF287" s="3273"/>
      <c r="AG287" s="3273"/>
      <c r="AH287" s="3273"/>
      <c r="AI287" s="3273"/>
      <c r="AJ287" s="3273"/>
      <c r="AK287" s="3273"/>
      <c r="AL287" s="3273"/>
      <c r="AM287" s="3273"/>
      <c r="AN287" s="3273"/>
      <c r="AO287" s="3273"/>
      <c r="AP287" s="3273"/>
      <c r="AQ287" s="3273"/>
      <c r="AR287" s="3273"/>
      <c r="AS287" s="3273"/>
      <c r="AT287" s="3273"/>
      <c r="AU287" s="3273"/>
      <c r="AV287" s="3273"/>
      <c r="AW287" s="3273"/>
      <c r="AX287" s="3273"/>
      <c r="AY287" s="3273">
        <f t="shared" ref="AY287:BG287" ca="1" si="72">AY27</f>
        <v>0</v>
      </c>
      <c r="AZ287" s="3273">
        <f t="shared" ca="1" si="72"/>
        <v>3.9627123287671231E-3</v>
      </c>
      <c r="BA287" s="3273">
        <f t="shared" ca="1" si="72"/>
        <v>1.3017510000000001E-2</v>
      </c>
      <c r="BB287" s="3273">
        <f t="shared" ca="1" si="72"/>
        <v>1.3017510000000001E-2</v>
      </c>
      <c r="BC287" s="3273">
        <f t="shared" ca="1" si="72"/>
        <v>1.3017510000000001E-2</v>
      </c>
      <c r="BD287" s="3273">
        <f t="shared" ca="1" si="72"/>
        <v>1.3017510000000001E-2</v>
      </c>
      <c r="BE287" s="3273">
        <f t="shared" ca="1" si="72"/>
        <v>1.3017510000000001E-2</v>
      </c>
      <c r="BF287" s="3273">
        <f t="shared" ca="1" si="72"/>
        <v>0</v>
      </c>
      <c r="BG287" s="3273">
        <f t="shared" ca="1" si="72"/>
        <v>0</v>
      </c>
      <c r="BH287" s="3273"/>
      <c r="BJ287" s="3271"/>
      <c r="BK287" s="3272"/>
      <c r="BL287" s="3272"/>
      <c r="BM287" s="3272"/>
      <c r="BN287" s="3273"/>
      <c r="BO287" s="3273"/>
      <c r="BP287" s="3273"/>
      <c r="BQ287" s="3273"/>
      <c r="BR287" s="3273"/>
      <c r="BS287" s="3273"/>
      <c r="BT287" s="3273"/>
      <c r="BU287" s="3273"/>
    </row>
    <row r="288" spans="1:73">
      <c r="A288" s="39"/>
      <c r="B288" s="3271"/>
      <c r="C288" s="3272" t="s">
        <v>441</v>
      </c>
      <c r="D288" s="3272" t="s">
        <v>54</v>
      </c>
      <c r="E288" s="3272"/>
      <c r="F288" s="3273">
        <f t="shared" si="67"/>
        <v>0</v>
      </c>
      <c r="G288" s="3273"/>
      <c r="H288" s="3273"/>
      <c r="I288" s="3273"/>
      <c r="J288" s="3273"/>
      <c r="K288" s="3273"/>
      <c r="L288" s="3273"/>
      <c r="M288" s="3273"/>
      <c r="N288" s="3273"/>
      <c r="O288" s="3273"/>
      <c r="P288" s="3273"/>
      <c r="Q288" s="3273"/>
      <c r="R288" s="3273"/>
      <c r="S288" s="3273"/>
      <c r="T288" s="3273"/>
      <c r="U288" s="3273"/>
      <c r="V288" s="3273"/>
      <c r="W288" s="3273"/>
      <c r="X288" s="3273"/>
      <c r="Y288" s="3273"/>
      <c r="Z288" s="3273"/>
      <c r="AA288" s="3273"/>
      <c r="AB288" s="3273"/>
      <c r="AC288" s="3273"/>
      <c r="AD288" s="3273"/>
      <c r="AE288" s="3273"/>
      <c r="AF288" s="3273"/>
      <c r="AG288" s="3273"/>
      <c r="AH288" s="3273"/>
      <c r="AI288" s="3273"/>
      <c r="AJ288" s="3273"/>
      <c r="AK288" s="3273"/>
      <c r="AL288" s="3273"/>
      <c r="AM288" s="3273"/>
      <c r="AN288" s="3273"/>
      <c r="AO288" s="3273"/>
      <c r="AP288" s="3273"/>
      <c r="AQ288" s="3273"/>
      <c r="AR288" s="3273"/>
      <c r="AS288" s="3273"/>
      <c r="AT288" s="3273"/>
      <c r="AU288" s="3273"/>
      <c r="AV288" s="3273"/>
      <c r="AW288" s="3273"/>
      <c r="AX288" s="3273"/>
      <c r="AY288" s="3273">
        <f t="shared" ref="AY288:BG288" ca="1" si="73">AY28</f>
        <v>0</v>
      </c>
      <c r="AZ288" s="3273">
        <f t="shared" ca="1" si="73"/>
        <v>0</v>
      </c>
      <c r="BA288" s="3273">
        <f t="shared" ca="1" si="73"/>
        <v>0</v>
      </c>
      <c r="BB288" s="3273">
        <f t="shared" ca="1" si="73"/>
        <v>0</v>
      </c>
      <c r="BC288" s="3273">
        <f t="shared" ca="1" si="73"/>
        <v>0</v>
      </c>
      <c r="BD288" s="3273">
        <f t="shared" ca="1" si="73"/>
        <v>0</v>
      </c>
      <c r="BE288" s="3273">
        <f t="shared" ca="1" si="73"/>
        <v>0</v>
      </c>
      <c r="BF288" s="3273">
        <f t="shared" ca="1" si="73"/>
        <v>0</v>
      </c>
      <c r="BG288" s="3273">
        <f t="shared" ca="1" si="73"/>
        <v>0</v>
      </c>
      <c r="BH288" s="3273"/>
      <c r="BJ288" s="3271"/>
      <c r="BK288" s="3272"/>
      <c r="BL288" s="3272"/>
      <c r="BM288" s="3272"/>
      <c r="BN288" s="3273"/>
      <c r="BO288" s="3273"/>
      <c r="BP288" s="3273"/>
      <c r="BQ288" s="3273"/>
      <c r="BR288" s="3273"/>
      <c r="BS288" s="3273"/>
      <c r="BT288" s="3273"/>
      <c r="BU288" s="3273"/>
    </row>
    <row r="289" spans="1:73">
      <c r="A289" s="39"/>
      <c r="B289" s="3271"/>
      <c r="C289" s="3272" t="s">
        <v>442</v>
      </c>
      <c r="D289" s="3272" t="s">
        <v>391</v>
      </c>
      <c r="E289" s="3272"/>
      <c r="F289" s="3273">
        <f t="shared" si="67"/>
        <v>0.6</v>
      </c>
      <c r="G289" s="3273"/>
      <c r="H289" s="3273"/>
      <c r="I289" s="3273"/>
      <c r="J289" s="3273"/>
      <c r="K289" s="3273"/>
      <c r="L289" s="3273"/>
      <c r="M289" s="3273"/>
      <c r="N289" s="3273"/>
      <c r="O289" s="3273"/>
      <c r="P289" s="3273"/>
      <c r="Q289" s="3273"/>
      <c r="R289" s="3273"/>
      <c r="S289" s="3273"/>
      <c r="T289" s="3273"/>
      <c r="U289" s="3273"/>
      <c r="V289" s="3273"/>
      <c r="W289" s="3273"/>
      <c r="X289" s="3273"/>
      <c r="Y289" s="3273"/>
      <c r="Z289" s="3273"/>
      <c r="AA289" s="3273"/>
      <c r="AB289" s="3273"/>
      <c r="AC289" s="3273"/>
      <c r="AD289" s="3273"/>
      <c r="AE289" s="3273"/>
      <c r="AF289" s="3273"/>
      <c r="AG289" s="3273"/>
      <c r="AH289" s="3273"/>
      <c r="AI289" s="3273"/>
      <c r="AJ289" s="3273"/>
      <c r="AK289" s="3273"/>
      <c r="AL289" s="3273"/>
      <c r="AM289" s="3273"/>
      <c r="AN289" s="3273"/>
      <c r="AO289" s="3273"/>
      <c r="AP289" s="3273"/>
      <c r="AQ289" s="3273"/>
      <c r="AR289" s="3273"/>
      <c r="AS289" s="3273"/>
      <c r="AT289" s="3273"/>
      <c r="AU289" s="3273"/>
      <c r="AV289" s="3273"/>
      <c r="AW289" s="3273"/>
      <c r="AX289" s="3273"/>
      <c r="AY289" s="3273">
        <f t="shared" ref="AY289:BG289" ca="1" si="74">AY29</f>
        <v>0.74791511999999993</v>
      </c>
      <c r="AZ289" s="3273">
        <f t="shared" ca="1" si="74"/>
        <v>0.74791511999999993</v>
      </c>
      <c r="BA289" s="3273">
        <f t="shared" ca="1" si="74"/>
        <v>0.74791511999999993</v>
      </c>
      <c r="BB289" s="3273">
        <f t="shared" ca="1" si="74"/>
        <v>0.78946596000000002</v>
      </c>
      <c r="BC289" s="3273">
        <f t="shared" ca="1" si="74"/>
        <v>0.50632416000000002</v>
      </c>
      <c r="BD289" s="3273">
        <f t="shared" ca="1" si="74"/>
        <v>0.33310800000000007</v>
      </c>
      <c r="BE289" s="3273">
        <f t="shared" ca="1" si="74"/>
        <v>0.23317560000000004</v>
      </c>
      <c r="BF289" s="3273">
        <f t="shared" ca="1" si="74"/>
        <v>0.16655400000000004</v>
      </c>
      <c r="BG289" s="3273">
        <f t="shared" ca="1" si="74"/>
        <v>0</v>
      </c>
      <c r="BH289" s="3273"/>
      <c r="BJ289" s="3271"/>
      <c r="BK289" s="3272"/>
      <c r="BL289" s="3272"/>
      <c r="BM289" s="3272"/>
      <c r="BN289" s="3273"/>
      <c r="BO289" s="3273"/>
      <c r="BP289" s="3273"/>
      <c r="BQ289" s="3273"/>
      <c r="BR289" s="3273"/>
      <c r="BS289" s="3273"/>
      <c r="BT289" s="3273"/>
      <c r="BU289" s="3273"/>
    </row>
    <row r="290" spans="1:73">
      <c r="A290" s="39"/>
      <c r="B290" s="3271"/>
      <c r="C290" s="3272" t="s">
        <v>431</v>
      </c>
      <c r="D290" s="3272" t="s">
        <v>382</v>
      </c>
      <c r="E290" s="3272"/>
      <c r="F290" s="3273">
        <f>MAX(F30, 0)</f>
        <v>2.5</v>
      </c>
      <c r="G290" s="3273"/>
      <c r="H290" s="3273"/>
      <c r="I290" s="3273"/>
      <c r="J290" s="3273"/>
      <c r="K290" s="3273"/>
      <c r="L290" s="3273"/>
      <c r="M290" s="3273"/>
      <c r="N290" s="3273"/>
      <c r="O290" s="3273"/>
      <c r="P290" s="3273"/>
      <c r="Q290" s="3273"/>
      <c r="R290" s="3273"/>
      <c r="S290" s="3273"/>
      <c r="T290" s="3273"/>
      <c r="U290" s="3273"/>
      <c r="V290" s="3273"/>
      <c r="W290" s="3273"/>
      <c r="X290" s="3273"/>
      <c r="Y290" s="3273"/>
      <c r="Z290" s="3273"/>
      <c r="AA290" s="3273"/>
      <c r="AB290" s="3273"/>
      <c r="AC290" s="3273"/>
      <c r="AD290" s="3273"/>
      <c r="AE290" s="3273"/>
      <c r="AF290" s="3273"/>
      <c r="AG290" s="3273"/>
      <c r="AH290" s="3273"/>
      <c r="AI290" s="3273"/>
      <c r="AJ290" s="3273"/>
      <c r="AK290" s="3273"/>
      <c r="AL290" s="3273"/>
      <c r="AM290" s="3273"/>
      <c r="AN290" s="3273"/>
      <c r="AO290" s="3273"/>
      <c r="AP290" s="3273"/>
      <c r="AQ290" s="3273"/>
      <c r="AR290" s="3273"/>
      <c r="AS290" s="3273"/>
      <c r="AT290" s="3273"/>
      <c r="AU290" s="3273"/>
      <c r="AV290" s="3273"/>
      <c r="AW290" s="3273"/>
      <c r="AX290" s="3273"/>
      <c r="AY290" s="3273">
        <f t="shared" ref="AY290:BG290" ca="1" si="75">MAX(AY30, 0)</f>
        <v>2.5</v>
      </c>
      <c r="AZ290" s="3273">
        <f t="shared" ca="1" si="75"/>
        <v>2.4999999999999964</v>
      </c>
      <c r="BA290" s="3273">
        <f t="shared" ca="1" si="75"/>
        <v>2.5</v>
      </c>
      <c r="BB290" s="3273">
        <f t="shared" ca="1" si="75"/>
        <v>1.4999999999999964</v>
      </c>
      <c r="BC290" s="3273">
        <f t="shared" ca="1" si="75"/>
        <v>1</v>
      </c>
      <c r="BD290" s="3273">
        <f t="shared" ca="1" si="75"/>
        <v>3.5527136788005009E-15</v>
      </c>
      <c r="BE290" s="3273">
        <f t="shared" ca="1" si="75"/>
        <v>7.1054273576010019E-15</v>
      </c>
      <c r="BF290" s="3273">
        <f t="shared" ca="1" si="75"/>
        <v>0</v>
      </c>
      <c r="BG290" s="3273">
        <f t="shared" ca="1" si="75"/>
        <v>0</v>
      </c>
      <c r="BH290" s="3273"/>
      <c r="BJ290" s="3271"/>
      <c r="BK290" s="3272"/>
      <c r="BL290" s="3272"/>
      <c r="BM290" s="3272"/>
      <c r="BN290" s="3273"/>
      <c r="BO290" s="3273"/>
      <c r="BP290" s="3273"/>
      <c r="BQ290" s="3273"/>
      <c r="BR290" s="3273"/>
      <c r="BS290" s="3273"/>
      <c r="BT290" s="3273"/>
      <c r="BU290" s="3273"/>
    </row>
    <row r="291" spans="1:73">
      <c r="A291" s="39"/>
      <c r="B291" s="3271"/>
      <c r="C291" s="3272" t="s">
        <v>101</v>
      </c>
      <c r="D291" s="3272" t="s">
        <v>91</v>
      </c>
      <c r="E291" s="3272"/>
      <c r="F291" s="3273">
        <f>F32</f>
        <v>0</v>
      </c>
      <c r="G291" s="3273"/>
      <c r="H291" s="3273"/>
      <c r="I291" s="3273"/>
      <c r="J291" s="3273"/>
      <c r="K291" s="3273"/>
      <c r="L291" s="3273"/>
      <c r="M291" s="3273"/>
      <c r="N291" s="3273"/>
      <c r="O291" s="3273"/>
      <c r="P291" s="3273"/>
      <c r="Q291" s="3273"/>
      <c r="R291" s="3273"/>
      <c r="S291" s="3273"/>
      <c r="T291" s="3273"/>
      <c r="U291" s="3273"/>
      <c r="V291" s="3273"/>
      <c r="W291" s="3273"/>
      <c r="X291" s="3273"/>
      <c r="Y291" s="3273"/>
      <c r="Z291" s="3273"/>
      <c r="AA291" s="3273"/>
      <c r="AB291" s="3273"/>
      <c r="AC291" s="3273"/>
      <c r="AD291" s="3273"/>
      <c r="AE291" s="3273"/>
      <c r="AF291" s="3273"/>
      <c r="AG291" s="3273"/>
      <c r="AH291" s="3273"/>
      <c r="AI291" s="3273"/>
      <c r="AJ291" s="3273"/>
      <c r="AK291" s="3273"/>
      <c r="AL291" s="3273"/>
      <c r="AM291" s="3273"/>
      <c r="AN291" s="3273"/>
      <c r="AO291" s="3273"/>
      <c r="AP291" s="3273"/>
      <c r="AQ291" s="3273"/>
      <c r="AR291" s="3273"/>
      <c r="AS291" s="3273"/>
      <c r="AT291" s="3273"/>
      <c r="AU291" s="3273"/>
      <c r="AV291" s="3273"/>
      <c r="AW291" s="3273"/>
      <c r="AX291" s="3273"/>
      <c r="AY291" s="3273">
        <f t="shared" ref="AY291:BG291" ca="1" si="76">AY32</f>
        <v>0.11119904983501781</v>
      </c>
      <c r="AZ291" s="3273">
        <f t="shared" ca="1" si="76"/>
        <v>0.1434054871385817</v>
      </c>
      <c r="BA291" s="3273">
        <f t="shared" ca="1" si="76"/>
        <v>0.23314146875358133</v>
      </c>
      <c r="BB291" s="3273">
        <f t="shared" ca="1" si="76"/>
        <v>0.3313595195314073</v>
      </c>
      <c r="BC291" s="3273">
        <f t="shared" ca="1" si="76"/>
        <v>0.43792102798625754</v>
      </c>
      <c r="BD291" s="3273">
        <f t="shared" ca="1" si="76"/>
        <v>0.55304324430206342</v>
      </c>
      <c r="BE291" s="3273">
        <f t="shared" ca="1" si="76"/>
        <v>0.67669216126185838</v>
      </c>
      <c r="BF291" s="3273">
        <f t="shared" ca="1" si="76"/>
        <v>0.80883168050723919</v>
      </c>
      <c r="BG291" s="3273">
        <f t="shared" ca="1" si="76"/>
        <v>0.9494999999999999</v>
      </c>
      <c r="BH291" s="3273"/>
      <c r="BJ291" s="3271"/>
      <c r="BK291" s="3272"/>
      <c r="BL291" s="3272"/>
      <c r="BM291" s="3272"/>
      <c r="BN291" s="3273"/>
      <c r="BO291" s="3273"/>
      <c r="BP291" s="3273"/>
      <c r="BQ291" s="3273"/>
      <c r="BR291" s="3273"/>
      <c r="BS291" s="3273"/>
      <c r="BT291" s="3273"/>
      <c r="BU291" s="3273"/>
    </row>
    <row r="292" spans="1:73">
      <c r="A292" s="39"/>
      <c r="B292" s="3271"/>
      <c r="C292" s="3272"/>
      <c r="D292" s="3272" t="s">
        <v>572</v>
      </c>
      <c r="E292" s="3272"/>
      <c r="F292" s="3273">
        <f>F36</f>
        <v>0</v>
      </c>
      <c r="G292" s="3273"/>
      <c r="H292" s="3273"/>
      <c r="I292" s="3273"/>
      <c r="J292" s="3273"/>
      <c r="K292" s="3273"/>
      <c r="L292" s="3273"/>
      <c r="M292" s="3273"/>
      <c r="N292" s="3273"/>
      <c r="O292" s="3273"/>
      <c r="P292" s="3273"/>
      <c r="Q292" s="3273"/>
      <c r="R292" s="3273"/>
      <c r="S292" s="3273"/>
      <c r="T292" s="3273"/>
      <c r="U292" s="3273"/>
      <c r="V292" s="3273"/>
      <c r="W292" s="3273"/>
      <c r="X292" s="3273"/>
      <c r="Y292" s="3273"/>
      <c r="Z292" s="3273"/>
      <c r="AA292" s="3273"/>
      <c r="AB292" s="3273"/>
      <c r="AC292" s="3273"/>
      <c r="AD292" s="3273"/>
      <c r="AE292" s="3273"/>
      <c r="AF292" s="3273"/>
      <c r="AG292" s="3273"/>
      <c r="AH292" s="3273"/>
      <c r="AI292" s="3273"/>
      <c r="AJ292" s="3273"/>
      <c r="AK292" s="3273"/>
      <c r="AL292" s="3273"/>
      <c r="AM292" s="3273"/>
      <c r="AN292" s="3273"/>
      <c r="AO292" s="3273"/>
      <c r="AP292" s="3273"/>
      <c r="AQ292" s="3273"/>
      <c r="AR292" s="3273"/>
      <c r="AS292" s="3273"/>
      <c r="AT292" s="3273"/>
      <c r="AU292" s="3273"/>
      <c r="AV292" s="3273"/>
      <c r="AW292" s="3273"/>
      <c r="AX292" s="3273"/>
      <c r="AY292" s="3273">
        <f t="shared" ref="AY292:BG292" ca="1" si="77">AY36</f>
        <v>2.7554222662175594</v>
      </c>
      <c r="AZ292" s="3273">
        <f t="shared" ca="1" si="77"/>
        <v>3.4895098266987508</v>
      </c>
      <c r="BA292" s="3273">
        <f t="shared" ca="1" si="77"/>
        <v>4.2222023814613916</v>
      </c>
      <c r="BB292" s="3273">
        <f t="shared" ca="1" si="77"/>
        <v>4.7435184285914218</v>
      </c>
      <c r="BC292" s="3273">
        <f t="shared" ca="1" si="77"/>
        <v>5.1785739413469143</v>
      </c>
      <c r="BD292" s="3273">
        <f t="shared" ca="1" si="77"/>
        <v>5.2753269000195147</v>
      </c>
      <c r="BE292" s="3273">
        <f t="shared" ca="1" si="77"/>
        <v>4.8895553704307382</v>
      </c>
      <c r="BF292" s="3273">
        <f t="shared" ca="1" si="77"/>
        <v>4.5219073244006491</v>
      </c>
      <c r="BG292" s="3273">
        <f t="shared" ca="1" si="77"/>
        <v>4.5080683765058049</v>
      </c>
      <c r="BH292" s="3273"/>
      <c r="BJ292" s="3271"/>
      <c r="BK292" s="3272"/>
      <c r="BL292" s="3272"/>
      <c r="BM292" s="3272"/>
      <c r="BN292" s="3273"/>
      <c r="BO292" s="3273"/>
      <c r="BP292" s="3273"/>
      <c r="BQ292" s="3273"/>
      <c r="BR292" s="3273"/>
      <c r="BS292" s="3273"/>
      <c r="BT292" s="3273"/>
      <c r="BU292" s="3273"/>
    </row>
    <row r="293" spans="1:73">
      <c r="A293" s="39"/>
      <c r="B293" s="3271"/>
      <c r="C293" s="3272"/>
      <c r="D293" s="3272" t="s">
        <v>146</v>
      </c>
      <c r="E293" s="3272"/>
      <c r="F293" s="3273">
        <f>MAX(F39,0)</f>
        <v>23.066770566205925</v>
      </c>
      <c r="G293" s="3273"/>
      <c r="H293" s="3273"/>
      <c r="I293" s="3273"/>
      <c r="J293" s="3273"/>
      <c r="K293" s="3273"/>
      <c r="L293" s="3273"/>
      <c r="M293" s="3273"/>
      <c r="N293" s="3273"/>
      <c r="O293" s="3273"/>
      <c r="P293" s="3273"/>
      <c r="Q293" s="3273"/>
      <c r="R293" s="3273"/>
      <c r="S293" s="3273"/>
      <c r="T293" s="3273"/>
      <c r="U293" s="3273"/>
      <c r="V293" s="3273"/>
      <c r="W293" s="3273"/>
      <c r="X293" s="3273"/>
      <c r="Y293" s="3273"/>
      <c r="Z293" s="3273"/>
      <c r="AA293" s="3273"/>
      <c r="AB293" s="3273"/>
      <c r="AC293" s="3273"/>
      <c r="AD293" s="3273"/>
      <c r="AE293" s="3273"/>
      <c r="AF293" s="3273"/>
      <c r="AG293" s="3273"/>
      <c r="AH293" s="3273"/>
      <c r="AI293" s="3273"/>
      <c r="AJ293" s="3273"/>
      <c r="AK293" s="3273"/>
      <c r="AL293" s="3273"/>
      <c r="AM293" s="3273"/>
      <c r="AN293" s="3273"/>
      <c r="AO293" s="3273"/>
      <c r="AP293" s="3273"/>
      <c r="AQ293" s="3273"/>
      <c r="AR293" s="3273"/>
      <c r="AS293" s="3273"/>
      <c r="AT293" s="3273"/>
      <c r="AU293" s="3273"/>
      <c r="AV293" s="3273"/>
      <c r="AW293" s="3273"/>
      <c r="AX293" s="3273"/>
      <c r="AY293" s="3273">
        <f t="shared" ref="AY293:BF293" ca="1" si="78">MAX(AY39,0)</f>
        <v>23.311266915263246</v>
      </c>
      <c r="AZ293" s="3273">
        <f t="shared" ca="1" si="78"/>
        <v>23.267581324784786</v>
      </c>
      <c r="BA293" s="3273">
        <f t="shared" ca="1" si="78"/>
        <v>20.650649187310073</v>
      </c>
      <c r="BB293" s="3273">
        <f t="shared" ca="1" si="78"/>
        <v>20.40843063217299</v>
      </c>
      <c r="BC293" s="3273">
        <f t="shared" ca="1" si="78"/>
        <v>13.883093074912559</v>
      </c>
      <c r="BD293" s="3273">
        <f t="shared" ca="1" si="78"/>
        <v>1.0246834611179927</v>
      </c>
      <c r="BE293" s="3273">
        <f t="shared" ca="1" si="78"/>
        <v>1.7111936919719914</v>
      </c>
      <c r="BF293" s="3273">
        <f t="shared" ca="1" si="78"/>
        <v>2.4238277679140663</v>
      </c>
      <c r="BG293" s="3273">
        <f ca="1">MAX(BG39,0)</f>
        <v>2.6655686309587772</v>
      </c>
      <c r="BH293" s="3273"/>
      <c r="BJ293" s="3271"/>
      <c r="BK293" s="3272"/>
      <c r="BL293" s="3272"/>
      <c r="BM293" s="3272"/>
      <c r="BN293" s="3273"/>
      <c r="BO293" s="3273"/>
      <c r="BP293" s="3273"/>
      <c r="BQ293" s="3273"/>
      <c r="BR293" s="3273"/>
      <c r="BS293" s="3273"/>
      <c r="BT293" s="3273"/>
      <c r="BU293" s="3273"/>
    </row>
    <row r="294" spans="1:73">
      <c r="A294" s="39"/>
      <c r="B294" s="3271"/>
      <c r="C294" s="3272"/>
      <c r="D294" s="3272" t="s">
        <v>144</v>
      </c>
      <c r="E294" s="3272"/>
      <c r="F294" s="3273">
        <f>F43</f>
        <v>76.116012246733362</v>
      </c>
      <c r="G294" s="3273"/>
      <c r="H294" s="3273"/>
      <c r="I294" s="3273"/>
      <c r="J294" s="3273"/>
      <c r="K294" s="3273"/>
      <c r="L294" s="3273"/>
      <c r="M294" s="3273"/>
      <c r="N294" s="3273"/>
      <c r="O294" s="3273"/>
      <c r="P294" s="3273"/>
      <c r="Q294" s="3273"/>
      <c r="R294" s="3273"/>
      <c r="S294" s="3273"/>
      <c r="T294" s="3273"/>
      <c r="U294" s="3273"/>
      <c r="V294" s="3273"/>
      <c r="W294" s="3273"/>
      <c r="X294" s="3273"/>
      <c r="Y294" s="3273"/>
      <c r="Z294" s="3273"/>
      <c r="AA294" s="3273"/>
      <c r="AB294" s="3273"/>
      <c r="AC294" s="3273"/>
      <c r="AD294" s="3273"/>
      <c r="AE294" s="3273"/>
      <c r="AF294" s="3273"/>
      <c r="AG294" s="3273"/>
      <c r="AH294" s="3273"/>
      <c r="AI294" s="3273"/>
      <c r="AJ294" s="3273"/>
      <c r="AK294" s="3273"/>
      <c r="AL294" s="3273"/>
      <c r="AM294" s="3273"/>
      <c r="AN294" s="3273"/>
      <c r="AO294" s="3273"/>
      <c r="AP294" s="3273"/>
      <c r="AQ294" s="3273"/>
      <c r="AR294" s="3273"/>
      <c r="AS294" s="3273"/>
      <c r="AT294" s="3273"/>
      <c r="AU294" s="3273"/>
      <c r="AV294" s="3273"/>
      <c r="AW294" s="3273"/>
      <c r="AX294" s="3273"/>
      <c r="AY294" s="3273">
        <f t="shared" ref="AY294:BG294" ca="1" si="79">AY43</f>
        <v>76.526836320775942</v>
      </c>
      <c r="AZ294" s="3273">
        <f t="shared" ca="1" si="79"/>
        <v>74.08927995898263</v>
      </c>
      <c r="BA294" s="3273">
        <f t="shared" ca="1" si="79"/>
        <v>75.114909897863313</v>
      </c>
      <c r="BB294" s="3273">
        <f t="shared" ca="1" si="79"/>
        <v>75.036510281436605</v>
      </c>
      <c r="BC294" s="3273">
        <f t="shared" ca="1" si="79"/>
        <v>75.220892589846784</v>
      </c>
      <c r="BD294" s="3273">
        <f t="shared" ca="1" si="79"/>
        <v>75.174956561456597</v>
      </c>
      <c r="BE294" s="3273">
        <f t="shared" ca="1" si="79"/>
        <v>75.040093616616304</v>
      </c>
      <c r="BF294" s="3273">
        <f t="shared" ca="1" si="79"/>
        <v>75.04125554596699</v>
      </c>
      <c r="BG294" s="3273">
        <f t="shared" ca="1" si="79"/>
        <v>74.505208807877793</v>
      </c>
      <c r="BH294" s="3273"/>
      <c r="BJ294" s="3271"/>
      <c r="BK294" s="3272"/>
      <c r="BL294" s="3272"/>
      <c r="BM294" s="3272"/>
      <c r="BN294" s="3273"/>
      <c r="BO294" s="3273"/>
      <c r="BP294" s="3273"/>
      <c r="BQ294" s="3273"/>
      <c r="BR294" s="3273"/>
      <c r="BS294" s="3273"/>
      <c r="BT294" s="3273"/>
      <c r="BU294" s="3273"/>
    </row>
    <row r="295" spans="1:73">
      <c r="A295" s="39"/>
      <c r="B295" s="3271"/>
      <c r="C295" s="3272"/>
      <c r="D295" s="3272" t="s">
        <v>141</v>
      </c>
      <c r="E295" s="3272"/>
      <c r="F295" s="3273">
        <f>F46</f>
        <v>44.988521834716451</v>
      </c>
      <c r="G295" s="3273"/>
      <c r="H295" s="3273"/>
      <c r="I295" s="3273"/>
      <c r="J295" s="3273"/>
      <c r="K295" s="3273"/>
      <c r="L295" s="3273"/>
      <c r="M295" s="3273"/>
      <c r="N295" s="3273"/>
      <c r="O295" s="3273"/>
      <c r="P295" s="3273"/>
      <c r="Q295" s="3273"/>
      <c r="R295" s="3273"/>
      <c r="S295" s="3273"/>
      <c r="T295" s="3273"/>
      <c r="U295" s="3273"/>
      <c r="V295" s="3273"/>
      <c r="W295" s="3273"/>
      <c r="X295" s="3273"/>
      <c r="Y295" s="3273"/>
      <c r="Z295" s="3273"/>
      <c r="AA295" s="3273"/>
      <c r="AB295" s="3273"/>
      <c r="AC295" s="3273"/>
      <c r="AD295" s="3273"/>
      <c r="AE295" s="3273"/>
      <c r="AF295" s="3273"/>
      <c r="AG295" s="3273"/>
      <c r="AH295" s="3273"/>
      <c r="AI295" s="3273"/>
      <c r="AJ295" s="3273"/>
      <c r="AK295" s="3273"/>
      <c r="AL295" s="3273"/>
      <c r="AM295" s="3273"/>
      <c r="AN295" s="3273"/>
      <c r="AO295" s="3273"/>
      <c r="AP295" s="3273"/>
      <c r="AQ295" s="3273"/>
      <c r="AR295" s="3273"/>
      <c r="AS295" s="3273"/>
      <c r="AT295" s="3273"/>
      <c r="AU295" s="3273"/>
      <c r="AV295" s="3273"/>
      <c r="AW295" s="3273"/>
      <c r="AX295" s="3273"/>
      <c r="AY295" s="3273">
        <f t="shared" ref="AY295:BG295" ca="1" si="80">AY46</f>
        <v>47.473619810652579</v>
      </c>
      <c r="AZ295" s="3273">
        <f t="shared" ca="1" si="80"/>
        <v>49.453496458281798</v>
      </c>
      <c r="BA295" s="3273">
        <f t="shared" ca="1" si="80"/>
        <v>57.74172392909157</v>
      </c>
      <c r="BB295" s="3273">
        <f t="shared" ca="1" si="80"/>
        <v>69.295640467804589</v>
      </c>
      <c r="BC295" s="3273">
        <f t="shared" ca="1" si="80"/>
        <v>85.907348315610292</v>
      </c>
      <c r="BD295" s="3273">
        <f t="shared" ca="1" si="80"/>
        <v>106.91717023293266</v>
      </c>
      <c r="BE295" s="3273">
        <f t="shared" ca="1" si="80"/>
        <v>116.07842350144173</v>
      </c>
      <c r="BF295" s="3273">
        <f t="shared" ca="1" si="80"/>
        <v>125.61125120472862</v>
      </c>
      <c r="BG295" s="3273">
        <f t="shared" ca="1" si="80"/>
        <v>135.74178666175516</v>
      </c>
      <c r="BH295" s="3273"/>
      <c r="BJ295" s="3271"/>
      <c r="BK295" s="3272"/>
      <c r="BL295" s="3272"/>
      <c r="BM295" s="3272"/>
      <c r="BN295" s="3273"/>
      <c r="BO295" s="3273"/>
      <c r="BP295" s="3273"/>
      <c r="BQ295" s="3273"/>
      <c r="BR295" s="3273"/>
      <c r="BS295" s="3273"/>
      <c r="BT295" s="3273"/>
      <c r="BU295" s="3273"/>
    </row>
    <row r="296" spans="1:73">
      <c r="A296" s="39"/>
      <c r="B296" s="3271"/>
      <c r="C296" s="3272"/>
      <c r="D296" s="3275" t="s">
        <v>2463</v>
      </c>
      <c r="E296" s="3272"/>
      <c r="F296" s="3276">
        <f>F47</f>
        <v>151.94130464765573</v>
      </c>
      <c r="G296" s="3276"/>
      <c r="H296" s="3276"/>
      <c r="I296" s="3276"/>
      <c r="J296" s="3276"/>
      <c r="K296" s="3276"/>
      <c r="L296" s="3276"/>
      <c r="M296" s="3276"/>
      <c r="N296" s="3276"/>
      <c r="O296" s="3276"/>
      <c r="P296" s="3276"/>
      <c r="Q296" s="3276"/>
      <c r="R296" s="3276"/>
      <c r="S296" s="3276"/>
      <c r="T296" s="3276"/>
      <c r="U296" s="3276"/>
      <c r="V296" s="3276"/>
      <c r="W296" s="3276"/>
      <c r="X296" s="3276"/>
      <c r="Y296" s="3276"/>
      <c r="Z296" s="3276"/>
      <c r="AA296" s="3276"/>
      <c r="AB296" s="3276"/>
      <c r="AC296" s="3276"/>
      <c r="AD296" s="3276"/>
      <c r="AE296" s="3276"/>
      <c r="AF296" s="3276"/>
      <c r="AG296" s="3276"/>
      <c r="AH296" s="3276"/>
      <c r="AI296" s="3276"/>
      <c r="AJ296" s="3276"/>
      <c r="AK296" s="3276"/>
      <c r="AL296" s="3276"/>
      <c r="AM296" s="3276"/>
      <c r="AN296" s="3276"/>
      <c r="AO296" s="3276"/>
      <c r="AP296" s="3276"/>
      <c r="AQ296" s="3276"/>
      <c r="AR296" s="3276"/>
      <c r="AS296" s="3276"/>
      <c r="AT296" s="3276"/>
      <c r="AU296" s="3276"/>
      <c r="AV296" s="3276"/>
      <c r="AW296" s="3276"/>
      <c r="AX296" s="3276"/>
      <c r="AY296" s="3276">
        <f t="shared" ref="AY296:BG296" ca="1" si="81">AY47</f>
        <v>157.96865537017334</v>
      </c>
      <c r="AZ296" s="3276">
        <f t="shared" ca="1" si="81"/>
        <v>159.36531875173819</v>
      </c>
      <c r="BA296" s="3276">
        <f t="shared" ca="1" si="81"/>
        <v>166.90099214284439</v>
      </c>
      <c r="BB296" s="3276">
        <f t="shared" ca="1" si="81"/>
        <v>175.51250633969124</v>
      </c>
      <c r="BC296" s="3276">
        <f t="shared" ca="1" si="81"/>
        <v>183.35512735727062</v>
      </c>
      <c r="BD296" s="3276">
        <f t="shared" ca="1" si="81"/>
        <v>189.4034870991897</v>
      </c>
      <c r="BE296" s="3276">
        <f t="shared" ca="1" si="81"/>
        <v>198.75776377316549</v>
      </c>
      <c r="BF296" s="3276">
        <f t="shared" ca="1" si="81"/>
        <v>208.69265006837747</v>
      </c>
      <c r="BG296" s="3276">
        <f t="shared" ca="1" si="81"/>
        <v>218.49274289355603</v>
      </c>
      <c r="BH296" s="3276"/>
      <c r="BJ296" s="3271"/>
      <c r="BK296" s="3272"/>
      <c r="BL296" s="3275"/>
      <c r="BM296" s="3272"/>
      <c r="BN296" s="3276"/>
      <c r="BO296" s="3276"/>
      <c r="BP296" s="3276"/>
      <c r="BQ296" s="3276"/>
      <c r="BR296" s="3276"/>
      <c r="BS296" s="3276"/>
      <c r="BT296" s="3276"/>
      <c r="BU296" s="3276"/>
    </row>
    <row r="297" spans="1:73">
      <c r="A297" s="39"/>
      <c r="B297" s="3271"/>
      <c r="C297" s="3272"/>
      <c r="D297" s="3272" t="s">
        <v>2574</v>
      </c>
      <c r="E297" s="3272"/>
      <c r="F297" s="3277">
        <f>MAX(0,F30)+MAX(0,F35)+MAX(0,F37)+MAX(0,F41)+MAX(0,F44)+F23</f>
        <v>136.70582796462236</v>
      </c>
      <c r="G297" s="3277"/>
      <c r="H297" s="3277"/>
      <c r="I297" s="3277"/>
      <c r="J297" s="3277"/>
      <c r="K297" s="3277"/>
      <c r="L297" s="3277"/>
      <c r="M297" s="3277"/>
      <c r="N297" s="3277"/>
      <c r="O297" s="3277"/>
      <c r="P297" s="3277"/>
      <c r="Q297" s="3277"/>
      <c r="R297" s="3277"/>
      <c r="S297" s="3277"/>
      <c r="T297" s="3277"/>
      <c r="U297" s="3277"/>
      <c r="V297" s="3277"/>
      <c r="W297" s="3277"/>
      <c r="X297" s="3277"/>
      <c r="Y297" s="3277"/>
      <c r="Z297" s="3277"/>
      <c r="AA297" s="3277"/>
      <c r="AB297" s="3277"/>
      <c r="AC297" s="3277"/>
      <c r="AD297" s="3277"/>
      <c r="AE297" s="3277"/>
      <c r="AF297" s="3277"/>
      <c r="AG297" s="3277"/>
      <c r="AH297" s="3277"/>
      <c r="AI297" s="3277"/>
      <c r="AJ297" s="3277"/>
      <c r="AK297" s="3277"/>
      <c r="AL297" s="3277"/>
      <c r="AM297" s="3277"/>
      <c r="AN297" s="3277"/>
      <c r="AO297" s="3277"/>
      <c r="AP297" s="3277"/>
      <c r="AQ297" s="3277"/>
      <c r="AR297" s="3277"/>
      <c r="AS297" s="3277"/>
      <c r="AT297" s="3277"/>
      <c r="AU297" s="3277"/>
      <c r="AV297" s="3277"/>
      <c r="AW297" s="3277"/>
      <c r="AX297" s="3277"/>
      <c r="AY297" s="3277">
        <f t="shared" ref="AY297:BG297" ca="1" si="82">MAX(0,AY30)+MAX(0,AY35)+MAX(0,AY37)+MAX(0,AY41)+MAX(0,AY44)+AY23</f>
        <v>142.50715971335842</v>
      </c>
      <c r="AZ297" s="3277">
        <f t="shared" ca="1" si="82"/>
        <v>141.85152949063621</v>
      </c>
      <c r="BA297" s="3277">
        <f t="shared" ca="1" si="82"/>
        <v>120.30398301426496</v>
      </c>
      <c r="BB297" s="3277">
        <f t="shared" ca="1" si="82"/>
        <v>155.48728138141416</v>
      </c>
      <c r="BC297" s="3277">
        <f t="shared" ca="1" si="82"/>
        <v>177.61133398036964</v>
      </c>
      <c r="BD297" s="3277">
        <f t="shared" ca="1" si="82"/>
        <v>184.56681025550725</v>
      </c>
      <c r="BE297" s="3277">
        <f t="shared" ca="1" si="82"/>
        <v>193.62971081003002</v>
      </c>
      <c r="BF297" s="3277">
        <f t="shared" ca="1" si="82"/>
        <v>203.22633451860969</v>
      </c>
      <c r="BG297" s="3277">
        <f t="shared" ca="1" si="82"/>
        <v>212.91256410059174</v>
      </c>
      <c r="BH297" s="3277"/>
      <c r="BJ297" s="3271"/>
      <c r="BK297" s="3272"/>
      <c r="BL297" s="3272"/>
      <c r="BM297" s="3272"/>
      <c r="BN297" s="3277"/>
      <c r="BO297" s="3277"/>
      <c r="BP297" s="3277"/>
      <c r="BQ297" s="3277"/>
      <c r="BR297" s="3277"/>
      <c r="BS297" s="3277"/>
      <c r="BT297" s="3277"/>
      <c r="BU297" s="3277"/>
    </row>
    <row r="298" spans="1:73">
      <c r="A298" s="39"/>
      <c r="B298" s="3271"/>
      <c r="C298" s="3272"/>
      <c r="D298" s="3965" t="s">
        <v>2575</v>
      </c>
      <c r="E298" s="3272"/>
      <c r="F298" s="3277"/>
      <c r="G298" s="3277"/>
      <c r="H298" s="3277"/>
      <c r="I298" s="3277"/>
      <c r="J298" s="3277"/>
      <c r="K298" s="3277"/>
      <c r="L298" s="3277"/>
      <c r="M298" s="3277"/>
      <c r="N298" s="3277"/>
      <c r="O298" s="3277"/>
      <c r="P298" s="3277"/>
      <c r="Q298" s="3277"/>
      <c r="R298" s="3277"/>
      <c r="S298" s="3277"/>
      <c r="T298" s="3277"/>
      <c r="U298" s="3277"/>
      <c r="V298" s="3277"/>
      <c r="W298" s="3277"/>
      <c r="X298" s="3277"/>
      <c r="Y298" s="3277"/>
      <c r="Z298" s="3277"/>
      <c r="AA298" s="3277"/>
      <c r="AB298" s="3277"/>
      <c r="AC298" s="3277"/>
      <c r="AD298" s="3277"/>
      <c r="AE298" s="3277"/>
      <c r="AF298" s="3277"/>
      <c r="AG298" s="3277"/>
      <c r="AH298" s="3277"/>
      <c r="AI298" s="3277"/>
      <c r="AJ298" s="3277"/>
      <c r="AK298" s="3277"/>
      <c r="AL298" s="3277"/>
      <c r="AM298" s="3277"/>
      <c r="AN298" s="3277"/>
      <c r="AO298" s="3277"/>
      <c r="AP298" s="3277"/>
      <c r="AQ298" s="3277"/>
      <c r="AR298" s="3277"/>
      <c r="AS298" s="3277"/>
      <c r="AT298" s="3277"/>
      <c r="AU298" s="3277"/>
      <c r="AV298" s="3277"/>
      <c r="AW298" s="3277"/>
      <c r="AX298" s="3277"/>
      <c r="AY298" s="3964">
        <f ca="1">AY297/AY296</f>
        <v>0.90212301535020689</v>
      </c>
      <c r="AZ298" s="3964">
        <f t="shared" ref="AZ298:BG298" ca="1" si="83">AZ297/AZ296</f>
        <v>0.89010288186738273</v>
      </c>
      <c r="BA298" s="3964">
        <f t="shared" ca="1" si="83"/>
        <v>0.72081047254231556</v>
      </c>
      <c r="BB298" s="3964">
        <f t="shared" ca="1" si="83"/>
        <v>0.885904284680889</v>
      </c>
      <c r="BC298" s="3964">
        <f t="shared" ca="1" si="83"/>
        <v>0.96867394187614342</v>
      </c>
      <c r="BD298" s="3964">
        <f t="shared" ca="1" si="83"/>
        <v>0.97446363360169019</v>
      </c>
      <c r="BE298" s="3964">
        <f t="shared" ca="1" si="83"/>
        <v>0.97419948350300456</v>
      </c>
      <c r="BF298" s="3964">
        <f t="shared" ca="1" si="83"/>
        <v>0.97380686120006255</v>
      </c>
      <c r="BG298" s="3964">
        <f t="shared" ca="1" si="83"/>
        <v>0.97446057603989711</v>
      </c>
      <c r="BH298" s="3278"/>
      <c r="BJ298" s="3271"/>
      <c r="BK298" s="3272"/>
      <c r="BL298" s="3272"/>
      <c r="BM298" s="3272"/>
      <c r="BN298" s="3277"/>
      <c r="BO298" s="3277"/>
      <c r="BP298" s="3277"/>
      <c r="BQ298" s="3277"/>
      <c r="BR298" s="3277"/>
      <c r="BS298" s="3277"/>
      <c r="BT298" s="3277"/>
      <c r="BU298" s="3277"/>
    </row>
    <row r="299" spans="1:73">
      <c r="A299" s="39"/>
      <c r="B299" s="3271"/>
      <c r="C299" s="3272"/>
      <c r="D299" s="3272" t="s">
        <v>2576</v>
      </c>
      <c r="E299" s="3272"/>
      <c r="F299" s="3277">
        <f>F18+F52+F53</f>
        <v>151.90089091113032</v>
      </c>
      <c r="G299" s="3277"/>
      <c r="H299" s="3277"/>
      <c r="I299" s="3277"/>
      <c r="J299" s="3277"/>
      <c r="K299" s="3277"/>
      <c r="L299" s="3277"/>
      <c r="M299" s="3277"/>
      <c r="N299" s="3277"/>
      <c r="O299" s="3277"/>
      <c r="P299" s="3277"/>
      <c r="Q299" s="3277"/>
      <c r="R299" s="3277"/>
      <c r="S299" s="3277"/>
      <c r="T299" s="3277"/>
      <c r="U299" s="3277"/>
      <c r="V299" s="3277"/>
      <c r="W299" s="3277"/>
      <c r="X299" s="3277"/>
      <c r="Y299" s="3277"/>
      <c r="Z299" s="3277"/>
      <c r="AA299" s="3277"/>
      <c r="AB299" s="3277"/>
      <c r="AC299" s="3277"/>
      <c r="AD299" s="3277"/>
      <c r="AE299" s="3277"/>
      <c r="AF299" s="3277"/>
      <c r="AG299" s="3277"/>
      <c r="AH299" s="3277"/>
      <c r="AI299" s="3277"/>
      <c r="AJ299" s="3277"/>
      <c r="AK299" s="3277"/>
      <c r="AL299" s="3277"/>
      <c r="AM299" s="3277"/>
      <c r="AN299" s="3277"/>
      <c r="AO299" s="3277"/>
      <c r="AP299" s="3277"/>
      <c r="AQ299" s="3277"/>
      <c r="AR299" s="3277"/>
      <c r="AS299" s="3277"/>
      <c r="AT299" s="3277"/>
      <c r="AU299" s="3277"/>
      <c r="AV299" s="3277"/>
      <c r="AW299" s="3277"/>
      <c r="AX299" s="3277"/>
      <c r="AY299" s="3277">
        <f t="shared" ref="AY299:BG299" ca="1" si="84">AY18+AY52+AY53</f>
        <v>157.96865537017334</v>
      </c>
      <c r="AZ299" s="3277">
        <f t="shared" ca="1" si="84"/>
        <v>159.36531875173822</v>
      </c>
      <c r="BA299" s="3277">
        <f t="shared" ca="1" si="84"/>
        <v>166.90099214284442</v>
      </c>
      <c r="BB299" s="3277">
        <f t="shared" ca="1" si="84"/>
        <v>175.51250633969124</v>
      </c>
      <c r="BC299" s="3277">
        <f t="shared" ca="1" si="84"/>
        <v>183.35512735727059</v>
      </c>
      <c r="BD299" s="3277">
        <f t="shared" ca="1" si="84"/>
        <v>189.40348709918973</v>
      </c>
      <c r="BE299" s="3277">
        <f t="shared" ca="1" si="84"/>
        <v>198.75776377316549</v>
      </c>
      <c r="BF299" s="3277">
        <f t="shared" ca="1" si="84"/>
        <v>208.6926500683775</v>
      </c>
      <c r="BG299" s="3277">
        <f t="shared" ca="1" si="84"/>
        <v>218.49274289355603</v>
      </c>
      <c r="BH299" s="3277"/>
      <c r="BJ299" s="3271"/>
      <c r="BK299" s="3272"/>
      <c r="BL299" s="3272"/>
      <c r="BM299" s="3272"/>
      <c r="BN299" s="3277"/>
      <c r="BO299" s="3277"/>
      <c r="BP299" s="3277"/>
      <c r="BQ299" s="3277"/>
      <c r="BR299" s="3277"/>
      <c r="BS299" s="3277"/>
      <c r="BT299" s="3277"/>
      <c r="BU299" s="3277"/>
    </row>
    <row r="300" spans="1:73">
      <c r="A300" s="39"/>
      <c r="B300" s="3271"/>
      <c r="C300" s="3272"/>
      <c r="D300" s="3272"/>
      <c r="E300" s="3272"/>
      <c r="F300" s="3277"/>
      <c r="G300" s="3277"/>
      <c r="H300" s="3277"/>
      <c r="I300" s="3277"/>
      <c r="J300" s="3277"/>
      <c r="K300" s="3277"/>
      <c r="L300" s="3277"/>
      <c r="M300" s="3277"/>
      <c r="N300" s="3277"/>
      <c r="O300" s="3277"/>
      <c r="P300" s="3277"/>
      <c r="Q300" s="3277"/>
      <c r="R300" s="3277"/>
      <c r="S300" s="3277"/>
      <c r="T300" s="3277"/>
      <c r="U300" s="3277"/>
      <c r="V300" s="3277"/>
      <c r="W300" s="3277"/>
      <c r="X300" s="3277"/>
      <c r="Y300" s="3277"/>
      <c r="Z300" s="3277"/>
      <c r="AA300" s="3277"/>
      <c r="AB300" s="3277"/>
      <c r="AC300" s="3277"/>
      <c r="AD300" s="3277"/>
      <c r="AE300" s="3277"/>
      <c r="AF300" s="3277"/>
      <c r="AG300" s="3277"/>
      <c r="AH300" s="3277"/>
      <c r="AI300" s="3277"/>
      <c r="AJ300" s="3277"/>
      <c r="AK300" s="3277"/>
      <c r="AL300" s="3277"/>
      <c r="AM300" s="3277"/>
      <c r="AN300" s="3277"/>
      <c r="AO300" s="3277"/>
      <c r="AP300" s="3277"/>
      <c r="AQ300" s="3277"/>
      <c r="AR300" s="3277"/>
      <c r="AS300" s="3277"/>
      <c r="AT300" s="3277"/>
      <c r="AU300" s="3277"/>
      <c r="AV300" s="3277"/>
      <c r="AW300" s="3277"/>
      <c r="AX300" s="3277"/>
      <c r="AY300" s="3277"/>
      <c r="AZ300" s="3277"/>
      <c r="BA300" s="3277"/>
      <c r="BB300" s="3277"/>
      <c r="BC300" s="3277"/>
      <c r="BD300" s="3277"/>
      <c r="BE300" s="3277"/>
      <c r="BF300" s="3277"/>
      <c r="BG300" s="3277"/>
      <c r="BH300" s="3274"/>
      <c r="BJ300" s="3271"/>
      <c r="BK300" s="3272"/>
      <c r="BL300" s="3272"/>
      <c r="BM300" s="3272"/>
      <c r="BN300" s="3277"/>
      <c r="BO300" s="3277"/>
      <c r="BP300" s="3277"/>
      <c r="BQ300" s="3277"/>
      <c r="BR300" s="3277"/>
      <c r="BS300" s="3277"/>
      <c r="BT300" s="3277"/>
      <c r="BU300" s="3277"/>
    </row>
    <row r="301" spans="1:73">
      <c r="A301" s="39"/>
      <c r="F301" s="714"/>
      <c r="G301" s="714"/>
      <c r="H301" s="714"/>
      <c r="I301" s="714"/>
      <c r="J301" s="714"/>
      <c r="K301" s="714"/>
      <c r="L301" s="714"/>
      <c r="M301" s="714"/>
      <c r="N301" s="714"/>
      <c r="O301" s="714"/>
      <c r="P301" s="714"/>
      <c r="Q301" s="714"/>
      <c r="R301" s="714"/>
      <c r="S301" s="714"/>
      <c r="T301" s="714"/>
      <c r="U301" s="714"/>
      <c r="V301" s="714"/>
      <c r="W301" s="714"/>
      <c r="X301" s="714"/>
      <c r="Y301" s="714"/>
      <c r="Z301" s="714"/>
      <c r="AA301" s="714"/>
      <c r="AB301" s="714"/>
      <c r="AC301" s="714"/>
      <c r="AD301" s="714"/>
      <c r="AE301" s="714"/>
      <c r="AF301" s="714"/>
      <c r="AG301" s="714"/>
      <c r="AH301" s="714"/>
      <c r="AI301" s="714"/>
      <c r="AJ301" s="714"/>
      <c r="AK301" s="714"/>
      <c r="AL301" s="714"/>
      <c r="AM301" s="714"/>
      <c r="AN301" s="714"/>
      <c r="AO301" s="714"/>
      <c r="AP301" s="714"/>
      <c r="AQ301" s="714"/>
      <c r="AR301" s="714"/>
      <c r="AS301" s="714"/>
      <c r="AT301" s="714"/>
      <c r="AU301" s="714"/>
      <c r="AV301" s="714"/>
      <c r="AW301" s="714"/>
      <c r="AX301" s="714"/>
      <c r="AY301" s="714"/>
      <c r="AZ301" s="714"/>
      <c r="BA301" s="714"/>
      <c r="BB301" s="714"/>
      <c r="BC301" s="714"/>
      <c r="BD301" s="714"/>
      <c r="BE301" s="714"/>
      <c r="BF301" s="714"/>
      <c r="BG301" s="714"/>
      <c r="BJ301" s="3945"/>
      <c r="BK301" s="3945"/>
      <c r="BL301" s="3945"/>
      <c r="BM301" s="3945"/>
      <c r="BN301" s="714"/>
      <c r="BO301" s="714"/>
      <c r="BP301" s="714"/>
      <c r="BQ301" s="714"/>
      <c r="BR301" s="714"/>
      <c r="BS301" s="714"/>
      <c r="BT301" s="714"/>
      <c r="BU301" s="714"/>
    </row>
    <row r="302" spans="1:73" ht="15">
      <c r="A302" s="39"/>
      <c r="B302" s="3263" t="s">
        <v>2577</v>
      </c>
      <c r="C302" s="3264"/>
      <c r="D302" s="3264"/>
      <c r="E302" s="3264"/>
      <c r="F302" s="3264"/>
      <c r="G302" s="3264"/>
      <c r="H302" s="3264"/>
      <c r="I302" s="3264"/>
      <c r="J302" s="3264"/>
      <c r="K302" s="3264"/>
      <c r="L302" s="3264"/>
      <c r="M302" s="3264"/>
      <c r="N302" s="3264"/>
      <c r="O302" s="3264"/>
      <c r="P302" s="3264"/>
      <c r="Q302" s="3264"/>
      <c r="R302" s="3264"/>
      <c r="S302" s="3264"/>
      <c r="T302" s="3264"/>
      <c r="U302" s="3264"/>
      <c r="V302" s="3264"/>
      <c r="W302" s="3264"/>
      <c r="X302" s="3264"/>
      <c r="Y302" s="3264"/>
      <c r="Z302" s="3264"/>
      <c r="AA302" s="3264"/>
      <c r="AB302" s="3264"/>
      <c r="AC302" s="3264"/>
      <c r="AD302" s="3264"/>
      <c r="AE302" s="3264"/>
      <c r="AF302" s="3264"/>
      <c r="AG302" s="3264"/>
      <c r="AH302" s="3264"/>
      <c r="AI302" s="3264"/>
      <c r="AJ302" s="3264"/>
      <c r="AK302" s="3264"/>
      <c r="AL302" s="3264"/>
      <c r="AM302" s="3264"/>
      <c r="AN302" s="3264"/>
      <c r="AO302" s="3264"/>
      <c r="AP302" s="3264"/>
      <c r="AQ302" s="3264"/>
      <c r="AR302" s="3264"/>
      <c r="AS302" s="3264"/>
      <c r="AT302" s="3264"/>
      <c r="AU302" s="3264"/>
      <c r="AV302" s="3264"/>
      <c r="AW302" s="3264"/>
      <c r="AX302" s="3264"/>
      <c r="AY302" s="3265"/>
      <c r="AZ302" s="3265"/>
      <c r="BA302" s="3265"/>
      <c r="BB302" s="3265"/>
      <c r="BC302" s="3265"/>
      <c r="BD302" s="3265"/>
      <c r="BE302" s="3265"/>
      <c r="BF302" s="3265"/>
      <c r="BG302" s="3265"/>
      <c r="BH302" s="3266"/>
      <c r="BJ302" s="3263"/>
      <c r="BK302" s="3264"/>
      <c r="BL302" s="3264"/>
      <c r="BM302" s="3264"/>
      <c r="BN302" s="3264"/>
      <c r="BO302" s="3264"/>
      <c r="BP302" s="3264"/>
      <c r="BQ302" s="3264"/>
      <c r="BR302" s="3264"/>
      <c r="BS302" s="3264"/>
      <c r="BT302" s="3264"/>
      <c r="BU302" s="3264"/>
    </row>
    <row r="303" spans="1:73" ht="15">
      <c r="A303" s="39"/>
      <c r="B303" s="3267"/>
      <c r="C303" s="3268"/>
      <c r="D303" s="3268"/>
      <c r="E303" s="3268"/>
      <c r="F303" s="3268"/>
      <c r="G303" s="3268"/>
      <c r="H303" s="3268"/>
      <c r="I303" s="3268"/>
      <c r="J303" s="3268"/>
      <c r="K303" s="3268"/>
      <c r="L303" s="3268"/>
      <c r="M303" s="3268"/>
      <c r="N303" s="3268"/>
      <c r="O303" s="3268"/>
      <c r="P303" s="3268"/>
      <c r="Q303" s="3268"/>
      <c r="R303" s="3268"/>
      <c r="S303" s="3268"/>
      <c r="T303" s="3268"/>
      <c r="U303" s="3268"/>
      <c r="V303" s="3268"/>
      <c r="W303" s="3268"/>
      <c r="X303" s="3268"/>
      <c r="Y303" s="3268"/>
      <c r="Z303" s="3268"/>
      <c r="AA303" s="3268"/>
      <c r="AB303" s="3268"/>
      <c r="AC303" s="3268"/>
      <c r="AD303" s="3268"/>
      <c r="AE303" s="3268"/>
      <c r="AF303" s="3268"/>
      <c r="AG303" s="3268"/>
      <c r="AH303" s="3268"/>
      <c r="AI303" s="3268"/>
      <c r="AJ303" s="3268"/>
      <c r="AK303" s="3268"/>
      <c r="AL303" s="3268"/>
      <c r="AM303" s="3268"/>
      <c r="AN303" s="3268"/>
      <c r="AO303" s="3268"/>
      <c r="AP303" s="3268"/>
      <c r="AQ303" s="3268"/>
      <c r="AR303" s="3268"/>
      <c r="AS303" s="3268"/>
      <c r="AT303" s="3268"/>
      <c r="AU303" s="3268"/>
      <c r="AV303" s="3268"/>
      <c r="AW303" s="3268"/>
      <c r="AX303" s="3268"/>
      <c r="AY303" s="3269"/>
      <c r="AZ303" s="3269"/>
      <c r="BA303" s="3269"/>
      <c r="BB303" s="3269"/>
      <c r="BC303" s="3269"/>
      <c r="BD303" s="3269"/>
      <c r="BE303" s="3269"/>
      <c r="BF303" s="3269"/>
      <c r="BG303" s="3269"/>
      <c r="BH303" s="3270"/>
      <c r="BJ303" s="3267"/>
      <c r="BK303" s="3268"/>
      <c r="BL303" s="3268"/>
      <c r="BM303" s="3268"/>
      <c r="BN303" s="3268"/>
      <c r="BO303" s="3268"/>
      <c r="BP303" s="3268"/>
      <c r="BQ303" s="3268"/>
      <c r="BR303" s="3268"/>
      <c r="BS303" s="3268"/>
      <c r="BT303" s="3268"/>
      <c r="BU303" s="3268"/>
    </row>
    <row r="304" spans="1:73">
      <c r="A304" s="39"/>
      <c r="B304" s="3271"/>
      <c r="C304" s="3279" t="s">
        <v>95</v>
      </c>
      <c r="D304" s="3280"/>
      <c r="E304" s="3275"/>
      <c r="F304" s="3281"/>
      <c r="G304" s="3281"/>
      <c r="H304" s="3281"/>
      <c r="I304" s="3281"/>
      <c r="J304" s="3281"/>
      <c r="K304" s="3281"/>
      <c r="L304" s="3281"/>
      <c r="M304" s="3281"/>
      <c r="N304" s="3281"/>
      <c r="O304" s="3281"/>
      <c r="P304" s="3281"/>
      <c r="Q304" s="3281"/>
      <c r="R304" s="3281"/>
      <c r="S304" s="3281"/>
      <c r="T304" s="3281"/>
      <c r="U304" s="3281"/>
      <c r="V304" s="3281"/>
      <c r="W304" s="3281"/>
      <c r="X304" s="3281"/>
      <c r="Y304" s="3281"/>
      <c r="Z304" s="3281"/>
      <c r="AA304" s="3281"/>
      <c r="AB304" s="3281"/>
      <c r="AC304" s="3281"/>
      <c r="AD304" s="3281"/>
      <c r="AE304" s="3281"/>
      <c r="AF304" s="3281"/>
      <c r="AG304" s="3281"/>
      <c r="AH304" s="3281"/>
      <c r="AI304" s="3281"/>
      <c r="AJ304" s="3281"/>
      <c r="AK304" s="3281"/>
      <c r="AL304" s="3281"/>
      <c r="AM304" s="3281"/>
      <c r="AN304" s="3281"/>
      <c r="AO304" s="3281"/>
      <c r="AP304" s="3281"/>
      <c r="AQ304" s="3281"/>
      <c r="AR304" s="3281"/>
      <c r="AS304" s="3281"/>
      <c r="AT304" s="3281"/>
      <c r="AU304" s="3281"/>
      <c r="AV304" s="3281"/>
      <c r="AW304" s="3281"/>
      <c r="AX304" s="3281"/>
      <c r="AY304" s="3281">
        <v>2013</v>
      </c>
      <c r="AZ304" s="3281">
        <v>2015</v>
      </c>
      <c r="BA304" s="3281">
        <v>2020</v>
      </c>
      <c r="BB304" s="3281">
        <v>2025</v>
      </c>
      <c r="BC304" s="3281">
        <v>2030</v>
      </c>
      <c r="BD304" s="3281">
        <v>2035</v>
      </c>
      <c r="BE304" s="3281">
        <v>2040</v>
      </c>
      <c r="BF304" s="3281">
        <v>2045</v>
      </c>
      <c r="BG304" s="3282">
        <v>2050</v>
      </c>
      <c r="BH304" s="3274" t="str">
        <f>Preferences.EnergyUnits</f>
        <v>TWh</v>
      </c>
      <c r="BJ304" s="3271"/>
      <c r="BK304" s="3279"/>
      <c r="BL304" s="3280"/>
      <c r="BM304" s="3275"/>
      <c r="BN304" s="3281"/>
      <c r="BO304" s="3281"/>
      <c r="BP304" s="3281"/>
      <c r="BQ304" s="3281"/>
      <c r="BR304" s="3281"/>
      <c r="BS304" s="3281"/>
      <c r="BT304" s="3281"/>
      <c r="BU304" s="3281"/>
    </row>
    <row r="305" spans="1:73">
      <c r="A305" s="39"/>
      <c r="B305" s="3271"/>
      <c r="C305" s="3275"/>
      <c r="D305" s="3272"/>
      <c r="E305" s="3272"/>
      <c r="F305" s="3273"/>
      <c r="G305" s="3273"/>
      <c r="H305" s="3273"/>
      <c r="I305" s="3273"/>
      <c r="J305" s="3273"/>
      <c r="K305" s="3273"/>
      <c r="L305" s="3273"/>
      <c r="M305" s="3273"/>
      <c r="N305" s="3273"/>
      <c r="O305" s="3273"/>
      <c r="P305" s="3273"/>
      <c r="Q305" s="3273"/>
      <c r="R305" s="3273"/>
      <c r="S305" s="3273"/>
      <c r="T305" s="3273"/>
      <c r="U305" s="3273"/>
      <c r="V305" s="3273"/>
      <c r="W305" s="3273"/>
      <c r="X305" s="3273"/>
      <c r="Y305" s="3273"/>
      <c r="Z305" s="3273"/>
      <c r="AA305" s="3273"/>
      <c r="AB305" s="3273"/>
      <c r="AC305" s="3273"/>
      <c r="AD305" s="3273"/>
      <c r="AE305" s="3273"/>
      <c r="AF305" s="3273"/>
      <c r="AG305" s="3273"/>
      <c r="AH305" s="3273"/>
      <c r="AI305" s="3273"/>
      <c r="AJ305" s="3273"/>
      <c r="AK305" s="3273"/>
      <c r="AL305" s="3273"/>
      <c r="AM305" s="3273"/>
      <c r="AN305" s="3273"/>
      <c r="AO305" s="3273"/>
      <c r="AP305" s="3273"/>
      <c r="AQ305" s="3273"/>
      <c r="AR305" s="3273"/>
      <c r="AS305" s="3273"/>
      <c r="AT305" s="3273"/>
      <c r="AU305" s="3273"/>
      <c r="AV305" s="3273"/>
      <c r="AW305" s="3273"/>
      <c r="AX305" s="3273"/>
      <c r="AY305" s="3273"/>
      <c r="AZ305" s="3273"/>
      <c r="BA305" s="3273"/>
      <c r="BB305" s="3273"/>
      <c r="BC305" s="3273"/>
      <c r="BD305" s="3273"/>
      <c r="BE305" s="3273"/>
      <c r="BF305" s="3273"/>
      <c r="BG305" s="3273"/>
      <c r="BH305" s="3274"/>
      <c r="BJ305" s="3271"/>
      <c r="BK305" s="3275"/>
      <c r="BL305" s="3272"/>
      <c r="BM305" s="3272"/>
      <c r="BN305" s="3273"/>
      <c r="BO305" s="3273"/>
      <c r="BP305" s="3273"/>
      <c r="BQ305" s="3273"/>
      <c r="BR305" s="3273"/>
      <c r="BS305" s="3273"/>
      <c r="BT305" s="3273"/>
      <c r="BU305" s="3273"/>
    </row>
    <row r="306" spans="1:73">
      <c r="A306" s="39"/>
      <c r="B306" s="3271"/>
      <c r="C306" s="3283" t="s">
        <v>493</v>
      </c>
      <c r="D306" s="3283" t="s">
        <v>494</v>
      </c>
      <c r="E306" s="3284"/>
      <c r="F306" s="3285"/>
      <c r="G306" s="3285"/>
      <c r="H306" s="3285"/>
      <c r="I306" s="3285"/>
      <c r="J306" s="3285"/>
      <c r="K306" s="3285"/>
      <c r="L306" s="3285"/>
      <c r="M306" s="3285"/>
      <c r="N306" s="3285"/>
      <c r="O306" s="3285"/>
      <c r="P306" s="3285"/>
      <c r="Q306" s="3285"/>
      <c r="R306" s="3285"/>
      <c r="S306" s="3285"/>
      <c r="T306" s="3285"/>
      <c r="U306" s="3285"/>
      <c r="V306" s="3285"/>
      <c r="W306" s="3285"/>
      <c r="X306" s="3285"/>
      <c r="Y306" s="3285"/>
      <c r="Z306" s="3285"/>
      <c r="AA306" s="3285"/>
      <c r="AB306" s="3285"/>
      <c r="AC306" s="3285"/>
      <c r="AD306" s="3285"/>
      <c r="AE306" s="3285"/>
      <c r="AF306" s="3285"/>
      <c r="AG306" s="3285"/>
      <c r="AH306" s="3285"/>
      <c r="AI306" s="3285"/>
      <c r="AJ306" s="3285"/>
      <c r="AK306" s="3285"/>
      <c r="AL306" s="3285"/>
      <c r="AM306" s="3285"/>
      <c r="AN306" s="3285"/>
      <c r="AO306" s="3285"/>
      <c r="AP306" s="3285"/>
      <c r="AQ306" s="3285"/>
      <c r="AR306" s="3285"/>
      <c r="AS306" s="3285"/>
      <c r="AT306" s="3285"/>
      <c r="AU306" s="3285"/>
      <c r="AV306" s="3285"/>
      <c r="AW306" s="3285"/>
      <c r="AX306" s="3284"/>
      <c r="AY306" s="3286">
        <f t="shared" ref="AY306:BG318" ca="1" si="85">-INDEX(INDIRECT($C306&amp;".Outputs["&amp;AY$304&amp;"]"),MATCH($C$304,INDIRECT($C306&amp;".Outputs[Vector]"),0))</f>
        <v>0</v>
      </c>
      <c r="AZ306" s="3286">
        <f t="shared" ca="1" si="85"/>
        <v>0</v>
      </c>
      <c r="BA306" s="3286">
        <f t="shared" ca="1" si="85"/>
        <v>0</v>
      </c>
      <c r="BB306" s="3286">
        <f t="shared" ca="1" si="85"/>
        <v>0</v>
      </c>
      <c r="BC306" s="3286">
        <f t="shared" ca="1" si="85"/>
        <v>0</v>
      </c>
      <c r="BD306" s="3286">
        <f t="shared" ca="1" si="85"/>
        <v>0</v>
      </c>
      <c r="BE306" s="3286">
        <f t="shared" ca="1" si="85"/>
        <v>0</v>
      </c>
      <c r="BF306" s="3286">
        <f t="shared" ca="1" si="85"/>
        <v>0</v>
      </c>
      <c r="BG306" s="3286">
        <f t="shared" ca="1" si="85"/>
        <v>0</v>
      </c>
      <c r="BH306" s="3274"/>
      <c r="BJ306" s="3271"/>
      <c r="BK306" s="3283"/>
      <c r="BL306" s="3283"/>
      <c r="BM306" s="3284"/>
      <c r="BN306" s="3285"/>
      <c r="BO306" s="3285"/>
      <c r="BP306" s="3285"/>
      <c r="BQ306" s="3285"/>
      <c r="BR306" s="3285"/>
      <c r="BS306" s="3285"/>
      <c r="BT306" s="3285"/>
      <c r="BU306" s="3285"/>
    </row>
    <row r="307" spans="1:73">
      <c r="A307" s="39"/>
      <c r="B307" s="3271"/>
      <c r="C307" s="3283" t="s">
        <v>501</v>
      </c>
      <c r="D307" s="3283" t="s">
        <v>502</v>
      </c>
      <c r="E307" s="3284"/>
      <c r="F307" s="3285"/>
      <c r="G307" s="3285"/>
      <c r="H307" s="3285"/>
      <c r="I307" s="3285"/>
      <c r="J307" s="3285"/>
      <c r="K307" s="3285"/>
      <c r="L307" s="3285"/>
      <c r="M307" s="3285"/>
      <c r="N307" s="3285"/>
      <c r="O307" s="3285"/>
      <c r="P307" s="3285"/>
      <c r="Q307" s="3285"/>
      <c r="R307" s="3285"/>
      <c r="S307" s="3285"/>
      <c r="T307" s="3285"/>
      <c r="U307" s="3285"/>
      <c r="V307" s="3285"/>
      <c r="W307" s="3285"/>
      <c r="X307" s="3285"/>
      <c r="Y307" s="3285"/>
      <c r="Z307" s="3285"/>
      <c r="AA307" s="3285"/>
      <c r="AB307" s="3285"/>
      <c r="AC307" s="3285"/>
      <c r="AD307" s="3285"/>
      <c r="AE307" s="3285"/>
      <c r="AF307" s="3285"/>
      <c r="AG307" s="3285"/>
      <c r="AH307" s="3285"/>
      <c r="AI307" s="3285"/>
      <c r="AJ307" s="3285"/>
      <c r="AK307" s="3285"/>
      <c r="AL307" s="3285"/>
      <c r="AM307" s="3285"/>
      <c r="AN307" s="3285"/>
      <c r="AO307" s="3285"/>
      <c r="AP307" s="3285"/>
      <c r="AQ307" s="3285"/>
      <c r="AR307" s="3285"/>
      <c r="AS307" s="3285"/>
      <c r="AT307" s="3285"/>
      <c r="AU307" s="3285"/>
      <c r="AV307" s="3285"/>
      <c r="AW307" s="3285"/>
      <c r="AX307" s="3284"/>
      <c r="AY307" s="3286">
        <f t="shared" ca="1" si="85"/>
        <v>0.54810000000000003</v>
      </c>
      <c r="AZ307" s="3286">
        <f t="shared" ca="1" si="85"/>
        <v>0.55489580999999999</v>
      </c>
      <c r="BA307" s="3286">
        <f t="shared" ca="1" si="85"/>
        <v>0.57248896254738002</v>
      </c>
      <c r="BB307" s="3286">
        <f t="shared" ca="1" si="85"/>
        <v>0.59097954268761899</v>
      </c>
      <c r="BC307" s="3286">
        <f t="shared" ca="1" si="85"/>
        <v>0.61041332824718952</v>
      </c>
      <c r="BD307" s="3286">
        <f t="shared" ca="1" si="85"/>
        <v>0.63083843218178637</v>
      </c>
      <c r="BE307" s="3286">
        <f t="shared" ca="1" si="85"/>
        <v>0.65230542169138483</v>
      </c>
      <c r="BF307" s="3286">
        <f t="shared" ca="1" si="85"/>
        <v>0.67486744341136407</v>
      </c>
      <c r="BG307" s="3286">
        <f t="shared" ca="1" si="85"/>
        <v>0.69858035498963655</v>
      </c>
      <c r="BH307" s="3274"/>
      <c r="BJ307" s="3271"/>
      <c r="BK307" s="3283"/>
      <c r="BL307" s="3283"/>
      <c r="BM307" s="3284"/>
      <c r="BN307" s="3285"/>
      <c r="BO307" s="3285"/>
      <c r="BP307" s="3285"/>
      <c r="BQ307" s="3285"/>
      <c r="BR307" s="3285"/>
      <c r="BS307" s="3285"/>
      <c r="BT307" s="3285"/>
      <c r="BU307" s="3285"/>
    </row>
    <row r="308" spans="1:73">
      <c r="A308" s="39"/>
      <c r="B308" s="3271"/>
      <c r="C308" s="3283" t="s">
        <v>25</v>
      </c>
      <c r="D308" s="3283" t="s">
        <v>26</v>
      </c>
      <c r="E308" s="3284"/>
      <c r="F308" s="3285"/>
      <c r="G308" s="3285"/>
      <c r="H308" s="3285"/>
      <c r="I308" s="3285"/>
      <c r="J308" s="3285"/>
      <c r="K308" s="3285"/>
      <c r="L308" s="3285"/>
      <c r="M308" s="3285"/>
      <c r="N308" s="3285"/>
      <c r="O308" s="3285"/>
      <c r="P308" s="3285"/>
      <c r="Q308" s="3285"/>
      <c r="R308" s="3285"/>
      <c r="S308" s="3285"/>
      <c r="T308" s="3285"/>
      <c r="U308" s="3285"/>
      <c r="V308" s="3285"/>
      <c r="W308" s="3285"/>
      <c r="X308" s="3285"/>
      <c r="Y308" s="3285"/>
      <c r="Z308" s="3285"/>
      <c r="AA308" s="3285"/>
      <c r="AB308" s="3285"/>
      <c r="AC308" s="3285"/>
      <c r="AD308" s="3285"/>
      <c r="AE308" s="3285"/>
      <c r="AF308" s="3285"/>
      <c r="AG308" s="3285"/>
      <c r="AH308" s="3285"/>
      <c r="AI308" s="3285"/>
      <c r="AJ308" s="3285"/>
      <c r="AK308" s="3285"/>
      <c r="AL308" s="3285"/>
      <c r="AM308" s="3285"/>
      <c r="AN308" s="3285"/>
      <c r="AO308" s="3285"/>
      <c r="AP308" s="3285"/>
      <c r="AQ308" s="3285"/>
      <c r="AR308" s="3285"/>
      <c r="AS308" s="3285"/>
      <c r="AT308" s="3285"/>
      <c r="AU308" s="3285"/>
      <c r="AV308" s="3285"/>
      <c r="AW308" s="3285"/>
      <c r="AX308" s="3284"/>
      <c r="AY308" s="3286">
        <f t="shared" ca="1" si="85"/>
        <v>2.9324919592134012E-3</v>
      </c>
      <c r="AZ308" s="3286">
        <f t="shared" ca="1" si="85"/>
        <v>3.779647394491676E-3</v>
      </c>
      <c r="BA308" s="3286">
        <f t="shared" ca="1" si="85"/>
        <v>3.9854891688908701E-3</v>
      </c>
      <c r="BB308" s="3286">
        <f t="shared" ca="1" si="85"/>
        <v>4.1901600110161447E-3</v>
      </c>
      <c r="BC308" s="3286">
        <f t="shared" ca="1" si="85"/>
        <v>5.0092812548437546E-3</v>
      </c>
      <c r="BD308" s="3286">
        <f t="shared" ca="1" si="85"/>
        <v>5.2422599543490087E-3</v>
      </c>
      <c r="BE308" s="3286">
        <f t="shared" ca="1" si="85"/>
        <v>5.4873408173485572E-3</v>
      </c>
      <c r="BF308" s="3286">
        <f t="shared" ca="1" si="85"/>
        <v>5.7309282042797673E-3</v>
      </c>
      <c r="BG308" s="3286">
        <f t="shared" ca="1" si="85"/>
        <v>5.9872047470349464E-3</v>
      </c>
      <c r="BH308" s="3274" t="s">
        <v>5</v>
      </c>
      <c r="BJ308" s="3271"/>
      <c r="BK308" s="3283"/>
      <c r="BL308" s="3283"/>
      <c r="BM308" s="3284"/>
      <c r="BN308" s="3285"/>
      <c r="BO308" s="3285"/>
      <c r="BP308" s="3285"/>
      <c r="BQ308" s="3285"/>
      <c r="BR308" s="3285"/>
      <c r="BS308" s="3285"/>
      <c r="BT308" s="3285"/>
      <c r="BU308" s="3285"/>
    </row>
    <row r="309" spans="1:73">
      <c r="A309" s="39"/>
      <c r="B309" s="3271"/>
      <c r="C309" s="3283" t="s">
        <v>2</v>
      </c>
      <c r="D309" s="3283" t="s">
        <v>3</v>
      </c>
      <c r="E309" s="3284"/>
      <c r="F309" s="3285"/>
      <c r="G309" s="3285"/>
      <c r="H309" s="3285"/>
      <c r="I309" s="3285"/>
      <c r="J309" s="3285"/>
      <c r="K309" s="3285"/>
      <c r="L309" s="3285"/>
      <c r="M309" s="3285"/>
      <c r="N309" s="3285"/>
      <c r="O309" s="3285"/>
      <c r="P309" s="3285"/>
      <c r="Q309" s="3285"/>
      <c r="R309" s="3285"/>
      <c r="S309" s="3285"/>
      <c r="T309" s="3285"/>
      <c r="U309" s="3285"/>
      <c r="V309" s="3285"/>
      <c r="W309" s="3285"/>
      <c r="X309" s="3285"/>
      <c r="Y309" s="3285"/>
      <c r="Z309" s="3285"/>
      <c r="AA309" s="3285"/>
      <c r="AB309" s="3285"/>
      <c r="AC309" s="3285"/>
      <c r="AD309" s="3285"/>
      <c r="AE309" s="3285"/>
      <c r="AF309" s="3285"/>
      <c r="AG309" s="3285"/>
      <c r="AH309" s="3285"/>
      <c r="AI309" s="3285"/>
      <c r="AJ309" s="3285"/>
      <c r="AK309" s="3285"/>
      <c r="AL309" s="3285"/>
      <c r="AM309" s="3285"/>
      <c r="AN309" s="3285"/>
      <c r="AO309" s="3285"/>
      <c r="AP309" s="3285"/>
      <c r="AQ309" s="3285"/>
      <c r="AR309" s="3285"/>
      <c r="AS309" s="3285"/>
      <c r="AT309" s="3285"/>
      <c r="AU309" s="3285"/>
      <c r="AV309" s="3285"/>
      <c r="AW309" s="3285"/>
      <c r="AX309" s="3284"/>
      <c r="AY309" s="3286">
        <f t="shared" ca="1" si="85"/>
        <v>0.88256437808531207</v>
      </c>
      <c r="AZ309" s="3286">
        <f t="shared" ca="1" si="85"/>
        <v>0.962793920118858</v>
      </c>
      <c r="BA309" s="3286">
        <f t="shared" ca="1" si="85"/>
        <v>1.1454171196981839</v>
      </c>
      <c r="BB309" s="3286">
        <f t="shared" ca="1" si="85"/>
        <v>1.3895260738128647</v>
      </c>
      <c r="BC309" s="3286">
        <f t="shared" ca="1" si="85"/>
        <v>1.639370956886139</v>
      </c>
      <c r="BD309" s="3286">
        <f t="shared" ca="1" si="85"/>
        <v>1.9030564366680982</v>
      </c>
      <c r="BE309" s="3286">
        <f t="shared" ca="1" si="85"/>
        <v>2.1804320076135117</v>
      </c>
      <c r="BF309" s="3286">
        <f t="shared" ca="1" si="85"/>
        <v>2.4660030407149582</v>
      </c>
      <c r="BG309" s="3286">
        <f t="shared" ca="1" si="85"/>
        <v>2.76531347349606</v>
      </c>
      <c r="BH309" s="3274"/>
      <c r="BJ309" s="3271"/>
      <c r="BK309" s="3283"/>
      <c r="BL309" s="3283"/>
      <c r="BM309" s="3284"/>
      <c r="BN309" s="3285"/>
      <c r="BO309" s="3285"/>
      <c r="BP309" s="3285"/>
      <c r="BQ309" s="3285"/>
      <c r="BR309" s="3285"/>
      <c r="BS309" s="3285"/>
      <c r="BT309" s="3285"/>
      <c r="BU309" s="3285"/>
    </row>
    <row r="310" spans="1:73">
      <c r="A310" s="39"/>
      <c r="B310" s="3271"/>
      <c r="C310" s="3283" t="s">
        <v>456</v>
      </c>
      <c r="D310" s="3283" t="s">
        <v>457</v>
      </c>
      <c r="E310" s="3284"/>
      <c r="F310" s="3285"/>
      <c r="G310" s="3285"/>
      <c r="H310" s="3285"/>
      <c r="I310" s="3285"/>
      <c r="J310" s="3285"/>
      <c r="K310" s="3285"/>
      <c r="L310" s="3285"/>
      <c r="M310" s="3285"/>
      <c r="N310" s="3285"/>
      <c r="O310" s="3285"/>
      <c r="P310" s="3285"/>
      <c r="Q310" s="3285"/>
      <c r="R310" s="3285"/>
      <c r="S310" s="3285"/>
      <c r="T310" s="3285"/>
      <c r="U310" s="3285"/>
      <c r="V310" s="3285"/>
      <c r="W310" s="3285"/>
      <c r="X310" s="3285"/>
      <c r="Y310" s="3285"/>
      <c r="Z310" s="3285"/>
      <c r="AA310" s="3285"/>
      <c r="AB310" s="3285"/>
      <c r="AC310" s="3285"/>
      <c r="AD310" s="3285"/>
      <c r="AE310" s="3285"/>
      <c r="AF310" s="3285"/>
      <c r="AG310" s="3285"/>
      <c r="AH310" s="3285"/>
      <c r="AI310" s="3285"/>
      <c r="AJ310" s="3285"/>
      <c r="AK310" s="3285"/>
      <c r="AL310" s="3285"/>
      <c r="AM310" s="3285"/>
      <c r="AN310" s="3285"/>
      <c r="AO310" s="3285"/>
      <c r="AP310" s="3285"/>
      <c r="AQ310" s="3285"/>
      <c r="AR310" s="3285"/>
      <c r="AS310" s="3285"/>
      <c r="AT310" s="3285"/>
      <c r="AU310" s="3285"/>
      <c r="AV310" s="3285"/>
      <c r="AW310" s="3285"/>
      <c r="AX310" s="3284"/>
      <c r="AY310" s="3286">
        <f t="shared" ca="1" si="85"/>
        <v>3.90225</v>
      </c>
      <c r="AZ310" s="3286">
        <f t="shared" ca="1" si="85"/>
        <v>4.0955180180180175</v>
      </c>
      <c r="BA310" s="3286">
        <f t="shared" ca="1" si="85"/>
        <v>4.3753471283783796</v>
      </c>
      <c r="BB310" s="3286">
        <f t="shared" ca="1" si="85"/>
        <v>4.5082162162162165</v>
      </c>
      <c r="BC310" s="3286">
        <f t="shared" ca="1" si="85"/>
        <v>4.6165478603603614</v>
      </c>
      <c r="BD310" s="3286">
        <f t="shared" ca="1" si="85"/>
        <v>4.7003420608108115</v>
      </c>
      <c r="BE310" s="3286">
        <f t="shared" ca="1" si="85"/>
        <v>4.7595988175675679</v>
      </c>
      <c r="BF310" s="3286">
        <f t="shared" ca="1" si="85"/>
        <v>4.7943181306306304</v>
      </c>
      <c r="BG310" s="3286">
        <f t="shared" ca="1" si="85"/>
        <v>4.8045</v>
      </c>
      <c r="BH310" s="3274"/>
      <c r="BJ310" s="3271"/>
      <c r="BK310" s="3283"/>
      <c r="BL310" s="3283"/>
      <c r="BM310" s="3284"/>
      <c r="BN310" s="3285"/>
      <c r="BO310" s="3285"/>
      <c r="BP310" s="3285"/>
      <c r="BQ310" s="3285"/>
      <c r="BR310" s="3285"/>
      <c r="BS310" s="3285"/>
      <c r="BT310" s="3285"/>
      <c r="BU310" s="3285"/>
    </row>
    <row r="311" spans="1:73">
      <c r="A311" s="39"/>
      <c r="B311" s="3271"/>
      <c r="C311" s="3283" t="s">
        <v>461</v>
      </c>
      <c r="D311" s="3283" t="s">
        <v>462</v>
      </c>
      <c r="E311" s="3284"/>
      <c r="F311" s="3285"/>
      <c r="G311" s="3285"/>
      <c r="H311" s="3285"/>
      <c r="I311" s="3285"/>
      <c r="J311" s="3285"/>
      <c r="K311" s="3285"/>
      <c r="L311" s="3285"/>
      <c r="M311" s="3285"/>
      <c r="N311" s="3285"/>
      <c r="O311" s="3285"/>
      <c r="P311" s="3285"/>
      <c r="Q311" s="3285"/>
      <c r="R311" s="3285"/>
      <c r="S311" s="3285"/>
      <c r="T311" s="3285"/>
      <c r="U311" s="3285"/>
      <c r="V311" s="3285"/>
      <c r="W311" s="3285"/>
      <c r="X311" s="3285"/>
      <c r="Y311" s="3285"/>
      <c r="Z311" s="3285"/>
      <c r="AA311" s="3285"/>
      <c r="AB311" s="3285"/>
      <c r="AC311" s="3285"/>
      <c r="AD311" s="3285"/>
      <c r="AE311" s="3285"/>
      <c r="AF311" s="3285"/>
      <c r="AG311" s="3285"/>
      <c r="AH311" s="3285"/>
      <c r="AI311" s="3285"/>
      <c r="AJ311" s="3285"/>
      <c r="AK311" s="3285"/>
      <c r="AL311" s="3285"/>
      <c r="AM311" s="3285"/>
      <c r="AN311" s="3285"/>
      <c r="AO311" s="3285"/>
      <c r="AP311" s="3285"/>
      <c r="AQ311" s="3285"/>
      <c r="AR311" s="3285"/>
      <c r="AS311" s="3285"/>
      <c r="AT311" s="3285"/>
      <c r="AU311" s="3285"/>
      <c r="AV311" s="3285"/>
      <c r="AW311" s="3285"/>
      <c r="AX311" s="3284"/>
      <c r="AY311" s="3286">
        <f t="shared" ca="1" si="85"/>
        <v>5.0494625667764526</v>
      </c>
      <c r="AZ311" s="3286">
        <f t="shared" ca="1" si="85"/>
        <v>5.1606913335354161</v>
      </c>
      <c r="BA311" s="3286">
        <f t="shared" ca="1" si="85"/>
        <v>5.3166079380983984</v>
      </c>
      <c r="BB311" s="3286">
        <f t="shared" ca="1" si="85"/>
        <v>5.4637212796504775</v>
      </c>
      <c r="BC311" s="3286">
        <f t="shared" ca="1" si="85"/>
        <v>5.5872861382671468</v>
      </c>
      <c r="BD311" s="3286">
        <f t="shared" ca="1" si="85"/>
        <v>5.7168645758329122</v>
      </c>
      <c r="BE311" s="3286">
        <f t="shared" ca="1" si="85"/>
        <v>5.8515274564846518</v>
      </c>
      <c r="BF311" s="3286">
        <f t="shared" ca="1" si="85"/>
        <v>5.9765991111064452</v>
      </c>
      <c r="BG311" s="3286">
        <f t="shared" ca="1" si="85"/>
        <v>6.1340795367240126</v>
      </c>
      <c r="BH311" s="3274"/>
      <c r="BJ311" s="3271"/>
      <c r="BK311" s="3283"/>
      <c r="BL311" s="3283"/>
      <c r="BM311" s="3284"/>
      <c r="BN311" s="3285"/>
      <c r="BO311" s="3285"/>
      <c r="BP311" s="3285"/>
      <c r="BQ311" s="3285"/>
      <c r="BR311" s="3285"/>
      <c r="BS311" s="3285"/>
      <c r="BT311" s="3285"/>
      <c r="BU311" s="3285"/>
    </row>
    <row r="312" spans="1:73">
      <c r="A312" s="39"/>
      <c r="B312" s="3271"/>
      <c r="C312" s="3283" t="s">
        <v>463</v>
      </c>
      <c r="D312" s="3283" t="s">
        <v>464</v>
      </c>
      <c r="E312" s="3284"/>
      <c r="F312" s="3285"/>
      <c r="G312" s="3285"/>
      <c r="H312" s="3285"/>
      <c r="I312" s="3285"/>
      <c r="J312" s="3285"/>
      <c r="K312" s="3285"/>
      <c r="L312" s="3285"/>
      <c r="M312" s="3285"/>
      <c r="N312" s="3285"/>
      <c r="O312" s="3285"/>
      <c r="P312" s="3285"/>
      <c r="Q312" s="3285"/>
      <c r="R312" s="3285"/>
      <c r="S312" s="3285"/>
      <c r="T312" s="3285"/>
      <c r="U312" s="3285"/>
      <c r="V312" s="3285"/>
      <c r="W312" s="3285"/>
      <c r="X312" s="3285"/>
      <c r="Y312" s="3285"/>
      <c r="Z312" s="3285"/>
      <c r="AA312" s="3285"/>
      <c r="AB312" s="3285"/>
      <c r="AC312" s="3285"/>
      <c r="AD312" s="3285"/>
      <c r="AE312" s="3285"/>
      <c r="AF312" s="3285"/>
      <c r="AG312" s="3285"/>
      <c r="AH312" s="3285"/>
      <c r="AI312" s="3285"/>
      <c r="AJ312" s="3285"/>
      <c r="AK312" s="3285"/>
      <c r="AL312" s="3285"/>
      <c r="AM312" s="3285"/>
      <c r="AN312" s="3285"/>
      <c r="AO312" s="3285"/>
      <c r="AP312" s="3285"/>
      <c r="AQ312" s="3285"/>
      <c r="AR312" s="3285"/>
      <c r="AS312" s="3285"/>
      <c r="AT312" s="3285"/>
      <c r="AU312" s="3285"/>
      <c r="AV312" s="3285"/>
      <c r="AW312" s="3285"/>
      <c r="AX312" s="3284"/>
      <c r="AY312" s="3286">
        <f t="shared" ca="1" si="85"/>
        <v>4.048</v>
      </c>
      <c r="AZ312" s="3286">
        <f t="shared" ca="1" si="85"/>
        <v>4.1010179951924579</v>
      </c>
      <c r="BA312" s="3286">
        <f t="shared" ca="1" si="85"/>
        <v>4.2335629831736199</v>
      </c>
      <c r="BB312" s="3286">
        <f t="shared" ca="1" si="85"/>
        <v>4.3661079711547659</v>
      </c>
      <c r="BC312" s="3286">
        <f t="shared" ca="1" si="85"/>
        <v>4.4986529591359217</v>
      </c>
      <c r="BD312" s="3286">
        <f t="shared" ca="1" si="85"/>
        <v>4.6311979471170677</v>
      </c>
      <c r="BE312" s="3286">
        <f t="shared" ca="1" si="85"/>
        <v>4.7637429350982234</v>
      </c>
      <c r="BF312" s="3286">
        <f t="shared" ca="1" si="85"/>
        <v>4.8962879230793801</v>
      </c>
      <c r="BG312" s="3286">
        <f t="shared" ca="1" si="85"/>
        <v>5.0288329110605261</v>
      </c>
      <c r="BH312" s="3274"/>
      <c r="BJ312" s="3271"/>
      <c r="BK312" s="3283"/>
      <c r="BL312" s="3283"/>
      <c r="BM312" s="3284"/>
      <c r="BN312" s="3285"/>
      <c r="BO312" s="3285"/>
      <c r="BP312" s="3285"/>
      <c r="BQ312" s="3285"/>
      <c r="BR312" s="3285"/>
      <c r="BS312" s="3285"/>
      <c r="BT312" s="3285"/>
      <c r="BU312" s="3285"/>
    </row>
    <row r="313" spans="1:73">
      <c r="A313" s="39"/>
      <c r="B313" s="3271"/>
      <c r="C313" s="3283" t="s">
        <v>466</v>
      </c>
      <c r="D313" s="3283" t="s">
        <v>467</v>
      </c>
      <c r="E313" s="3284"/>
      <c r="F313" s="3285"/>
      <c r="G313" s="3285"/>
      <c r="H313" s="3285"/>
      <c r="I313" s="3285"/>
      <c r="J313" s="3285"/>
      <c r="K313" s="3285"/>
      <c r="L313" s="3285"/>
      <c r="M313" s="3285"/>
      <c r="N313" s="3285"/>
      <c r="O313" s="3285"/>
      <c r="P313" s="3285"/>
      <c r="Q313" s="3285"/>
      <c r="R313" s="3285"/>
      <c r="S313" s="3285"/>
      <c r="T313" s="3285"/>
      <c r="U313" s="3285"/>
      <c r="V313" s="3285"/>
      <c r="W313" s="3285"/>
      <c r="X313" s="3285"/>
      <c r="Y313" s="3285"/>
      <c r="Z313" s="3285"/>
      <c r="AA313" s="3285"/>
      <c r="AB313" s="3285"/>
      <c r="AC313" s="3285"/>
      <c r="AD313" s="3285"/>
      <c r="AE313" s="3285"/>
      <c r="AF313" s="3285"/>
      <c r="AG313" s="3285"/>
      <c r="AH313" s="3285"/>
      <c r="AI313" s="3285"/>
      <c r="AJ313" s="3285"/>
      <c r="AK313" s="3285"/>
      <c r="AL313" s="3285"/>
      <c r="AM313" s="3285"/>
      <c r="AN313" s="3285"/>
      <c r="AO313" s="3285"/>
      <c r="AP313" s="3285"/>
      <c r="AQ313" s="3285"/>
      <c r="AR313" s="3285"/>
      <c r="AS313" s="3285"/>
      <c r="AT313" s="3285"/>
      <c r="AU313" s="3285"/>
      <c r="AV313" s="3285"/>
      <c r="AW313" s="3285"/>
      <c r="AX313" s="3284"/>
      <c r="AY313" s="3286">
        <f t="shared" ca="1" si="85"/>
        <v>9.2899999999999991</v>
      </c>
      <c r="AZ313" s="3286">
        <f t="shared" ca="1" si="85"/>
        <v>9.5615695738896491</v>
      </c>
      <c r="BA313" s="3286">
        <f t="shared" ca="1" si="85"/>
        <v>10.288010053347909</v>
      </c>
      <c r="BB313" s="3286">
        <f t="shared" ca="1" si="85"/>
        <v>11.087950167558603</v>
      </c>
      <c r="BC313" s="3286">
        <f t="shared" ca="1" si="85"/>
        <v>11.969042561658595</v>
      </c>
      <c r="BD313" s="3286">
        <f t="shared" ca="1" si="85"/>
        <v>12.939749280324914</v>
      </c>
      <c r="BE313" s="3286">
        <f t="shared" ca="1" si="85"/>
        <v>14.009428118931382</v>
      </c>
      <c r="BF313" s="3286">
        <f t="shared" ca="1" si="85"/>
        <v>15.188428233314889</v>
      </c>
      <c r="BG313" s="3286">
        <f t="shared" ca="1" si="85"/>
        <v>16.488196003970057</v>
      </c>
      <c r="BH313" s="3274"/>
      <c r="BJ313" s="3271"/>
      <c r="BK313" s="3283"/>
      <c r="BL313" s="3283"/>
      <c r="BM313" s="3284"/>
      <c r="BN313" s="3285"/>
      <c r="BO313" s="3285"/>
      <c r="BP313" s="3285"/>
      <c r="BQ313" s="3285"/>
      <c r="BR313" s="3285"/>
      <c r="BS313" s="3285"/>
      <c r="BT313" s="3285"/>
      <c r="BU313" s="3285"/>
    </row>
    <row r="314" spans="1:73">
      <c r="A314" s="39"/>
      <c r="B314" s="3271"/>
      <c r="C314" s="3283" t="s">
        <v>469</v>
      </c>
      <c r="D314" s="3283" t="s">
        <v>470</v>
      </c>
      <c r="E314" s="3284"/>
      <c r="F314" s="3285"/>
      <c r="G314" s="3285"/>
      <c r="H314" s="3285"/>
      <c r="I314" s="3285"/>
      <c r="J314" s="3285"/>
      <c r="K314" s="3285"/>
      <c r="L314" s="3285"/>
      <c r="M314" s="3285"/>
      <c r="N314" s="3285"/>
      <c r="O314" s="3285"/>
      <c r="P314" s="3285"/>
      <c r="Q314" s="3285"/>
      <c r="R314" s="3285"/>
      <c r="S314" s="3285"/>
      <c r="T314" s="3285"/>
      <c r="U314" s="3285"/>
      <c r="V314" s="3285"/>
      <c r="W314" s="3285"/>
      <c r="X314" s="3285"/>
      <c r="Y314" s="3285"/>
      <c r="Z314" s="3285"/>
      <c r="AA314" s="3285"/>
      <c r="AB314" s="3285"/>
      <c r="AC314" s="3285"/>
      <c r="AD314" s="3285"/>
      <c r="AE314" s="3285"/>
      <c r="AF314" s="3285"/>
      <c r="AG314" s="3285"/>
      <c r="AH314" s="3285"/>
      <c r="AI314" s="3285"/>
      <c r="AJ314" s="3285"/>
      <c r="AK314" s="3285"/>
      <c r="AL314" s="3285"/>
      <c r="AM314" s="3285"/>
      <c r="AN314" s="3285"/>
      <c r="AO314" s="3285"/>
      <c r="AP314" s="3285"/>
      <c r="AQ314" s="3285"/>
      <c r="AR314" s="3285"/>
      <c r="AS314" s="3285"/>
      <c r="AT314" s="3285"/>
      <c r="AU314" s="3285"/>
      <c r="AV314" s="3285"/>
      <c r="AW314" s="3285"/>
      <c r="AX314" s="3284"/>
      <c r="AY314" s="3286">
        <f t="shared" ca="1" si="85"/>
        <v>7.2483297329708235E-2</v>
      </c>
      <c r="AZ314" s="3286">
        <f t="shared" ca="1" si="85"/>
        <v>8.8942421637678293E-2</v>
      </c>
      <c r="BA314" s="3286">
        <f t="shared" ca="1" si="85"/>
        <v>0.11407707117919191</v>
      </c>
      <c r="BB314" s="3286">
        <f t="shared" ca="1" si="85"/>
        <v>0.33538018024090949</v>
      </c>
      <c r="BC314" s="3950">
        <f t="shared" ca="1" si="85"/>
        <v>0.56988402892402579</v>
      </c>
      <c r="BD314" s="3950">
        <f t="shared" ca="1" si="85"/>
        <v>0.85486832975631022</v>
      </c>
      <c r="BE314" s="3950">
        <f t="shared" ca="1" si="85"/>
        <v>1.179728224252236</v>
      </c>
      <c r="BF314" s="3950">
        <f t="shared" ca="1" si="85"/>
        <v>1.500922690987198</v>
      </c>
      <c r="BG314" s="3950">
        <f t="shared" ca="1" si="85"/>
        <v>1.6704305219751758</v>
      </c>
      <c r="BH314" s="3274"/>
      <c r="BJ314" s="3271"/>
      <c r="BK314" s="3283"/>
      <c r="BL314" s="3283"/>
      <c r="BM314" s="3284"/>
      <c r="BN314" s="3285"/>
      <c r="BO314" s="3285"/>
      <c r="BP314" s="3285"/>
      <c r="BQ314" s="3285"/>
      <c r="BR314" s="3285"/>
      <c r="BS314" s="3285"/>
      <c r="BT314" s="3285"/>
      <c r="BU314" s="3285"/>
    </row>
    <row r="315" spans="1:73">
      <c r="A315" s="39"/>
      <c r="B315" s="3271"/>
      <c r="C315" s="3283" t="s">
        <v>471</v>
      </c>
      <c r="D315" s="3283" t="s">
        <v>472</v>
      </c>
      <c r="E315" s="3284"/>
      <c r="F315" s="3285"/>
      <c r="G315" s="3285"/>
      <c r="H315" s="3285"/>
      <c r="I315" s="3285"/>
      <c r="J315" s="3285"/>
      <c r="K315" s="3285"/>
      <c r="L315" s="3285"/>
      <c r="M315" s="3285"/>
      <c r="N315" s="3285"/>
      <c r="O315" s="3285"/>
      <c r="P315" s="3285"/>
      <c r="Q315" s="3285"/>
      <c r="R315" s="3285"/>
      <c r="S315" s="3285"/>
      <c r="T315" s="3285"/>
      <c r="U315" s="3285"/>
      <c r="V315" s="3285"/>
      <c r="W315" s="3285"/>
      <c r="X315" s="3285"/>
      <c r="Y315" s="3285"/>
      <c r="Z315" s="3285"/>
      <c r="AA315" s="3285"/>
      <c r="AB315" s="3285"/>
      <c r="AC315" s="3285"/>
      <c r="AD315" s="3285"/>
      <c r="AE315" s="3285"/>
      <c r="AF315" s="3285"/>
      <c r="AG315" s="3285"/>
      <c r="AH315" s="3285"/>
      <c r="AI315" s="3285"/>
      <c r="AJ315" s="3285"/>
      <c r="AK315" s="3285"/>
      <c r="AL315" s="3285"/>
      <c r="AM315" s="3285"/>
      <c r="AN315" s="3285"/>
      <c r="AO315" s="3285"/>
      <c r="AP315" s="3285"/>
      <c r="AQ315" s="3285"/>
      <c r="AR315" s="3285"/>
      <c r="AS315" s="3285"/>
      <c r="AT315" s="3285"/>
      <c r="AU315" s="3285"/>
      <c r="AV315" s="3285"/>
      <c r="AW315" s="3285"/>
      <c r="AX315" s="3284"/>
      <c r="AY315" s="3286">
        <f t="shared" ca="1" si="85"/>
        <v>0</v>
      </c>
      <c r="AZ315" s="3286">
        <f t="shared" ca="1" si="85"/>
        <v>0</v>
      </c>
      <c r="BA315" s="3286">
        <f t="shared" ca="1" si="85"/>
        <v>-2.3659767727210967E-17</v>
      </c>
      <c r="BB315" s="3286">
        <f t="shared" ca="1" si="85"/>
        <v>6.1844962632768369E-2</v>
      </c>
      <c r="BC315" s="3286">
        <f t="shared" ca="1" si="85"/>
        <v>0.13460763047622651</v>
      </c>
      <c r="BD315" s="3286">
        <f t="shared" ca="1" si="85"/>
        <v>0.21973350873395048</v>
      </c>
      <c r="BE315" s="3286">
        <f t="shared" ca="1" si="85"/>
        <v>0.31883822263246137</v>
      </c>
      <c r="BF315" s="3286">
        <f t="shared" ca="1" si="85"/>
        <v>0.43372628734384555</v>
      </c>
      <c r="BG315" s="3286">
        <f t="shared" ca="1" si="85"/>
        <v>0.56641186602000015</v>
      </c>
      <c r="BH315" s="3274"/>
      <c r="BJ315" s="3271"/>
      <c r="BK315" s="3283"/>
      <c r="BL315" s="3283"/>
      <c r="BM315" s="3284"/>
      <c r="BN315" s="3285"/>
      <c r="BO315" s="3285"/>
      <c r="BP315" s="3285"/>
      <c r="BQ315" s="3285"/>
      <c r="BR315" s="3285"/>
      <c r="BS315" s="3285"/>
      <c r="BT315" s="3285"/>
      <c r="BU315" s="3285"/>
    </row>
    <row r="316" spans="1:73">
      <c r="A316" s="39"/>
      <c r="B316" s="3271"/>
      <c r="C316" s="3283" t="s">
        <v>485</v>
      </c>
      <c r="D316" s="3283" t="s">
        <v>486</v>
      </c>
      <c r="E316" s="3284"/>
      <c r="F316" s="3285"/>
      <c r="G316" s="3285"/>
      <c r="H316" s="3285"/>
      <c r="I316" s="3285"/>
      <c r="J316" s="3285"/>
      <c r="K316" s="3285"/>
      <c r="L316" s="3285"/>
      <c r="M316" s="3285"/>
      <c r="N316" s="3285"/>
      <c r="O316" s="3285"/>
      <c r="P316" s="3285"/>
      <c r="Q316" s="3285"/>
      <c r="R316" s="3285"/>
      <c r="S316" s="3285"/>
      <c r="T316" s="3285"/>
      <c r="U316" s="3285"/>
      <c r="V316" s="3285"/>
      <c r="W316" s="3285"/>
      <c r="X316" s="3285"/>
      <c r="Y316" s="3285"/>
      <c r="Z316" s="3285"/>
      <c r="AA316" s="3285"/>
      <c r="AB316" s="3285"/>
      <c r="AC316" s="3285"/>
      <c r="AD316" s="3285"/>
      <c r="AE316" s="3285"/>
      <c r="AF316" s="3285"/>
      <c r="AG316" s="3285"/>
      <c r="AH316" s="3285"/>
      <c r="AI316" s="3285"/>
      <c r="AJ316" s="3285"/>
      <c r="AK316" s="3285"/>
      <c r="AL316" s="3285"/>
      <c r="AM316" s="3285"/>
      <c r="AN316" s="3285"/>
      <c r="AO316" s="3285"/>
      <c r="AP316" s="3285"/>
      <c r="AQ316" s="3285"/>
      <c r="AR316" s="3285"/>
      <c r="AS316" s="3285"/>
      <c r="AT316" s="3285"/>
      <c r="AU316" s="3285"/>
      <c r="AV316" s="3285"/>
      <c r="AW316" s="3285"/>
      <c r="AX316" s="3284"/>
      <c r="AY316" s="3286">
        <f t="shared" ca="1" si="85"/>
        <v>0</v>
      </c>
      <c r="AZ316" s="3286">
        <f t="shared" ca="1" si="85"/>
        <v>0</v>
      </c>
      <c r="BA316" s="3286">
        <f t="shared" ca="1" si="85"/>
        <v>0</v>
      </c>
      <c r="BB316" s="3286">
        <f t="shared" ca="1" si="85"/>
        <v>0</v>
      </c>
      <c r="BC316" s="3286">
        <f t="shared" ca="1" si="85"/>
        <v>0</v>
      </c>
      <c r="BD316" s="3286">
        <f t="shared" ca="1" si="85"/>
        <v>0</v>
      </c>
      <c r="BE316" s="3286">
        <f t="shared" ca="1" si="85"/>
        <v>0</v>
      </c>
      <c r="BF316" s="3286">
        <f t="shared" ca="1" si="85"/>
        <v>0</v>
      </c>
      <c r="BG316" s="3286">
        <f t="shared" ca="1" si="85"/>
        <v>0</v>
      </c>
      <c r="BH316" s="3274"/>
      <c r="BJ316" s="3271"/>
      <c r="BK316" s="3283"/>
      <c r="BL316" s="3283"/>
      <c r="BM316" s="3284"/>
      <c r="BN316" s="3285"/>
      <c r="BO316" s="3285"/>
      <c r="BP316" s="3285"/>
      <c r="BQ316" s="3285"/>
      <c r="BR316" s="3285"/>
      <c r="BS316" s="3285"/>
      <c r="BT316" s="3285"/>
      <c r="BU316" s="3285"/>
    </row>
    <row r="317" spans="1:73">
      <c r="A317" s="39"/>
      <c r="B317" s="3271"/>
      <c r="C317" s="3283" t="s">
        <v>505</v>
      </c>
      <c r="D317" s="3283" t="s">
        <v>506</v>
      </c>
      <c r="E317" s="3284"/>
      <c r="F317" s="3285"/>
      <c r="G317" s="3285"/>
      <c r="H317" s="3285"/>
      <c r="I317" s="3285"/>
      <c r="J317" s="3285"/>
      <c r="K317" s="3285"/>
      <c r="L317" s="3285"/>
      <c r="M317" s="3285"/>
      <c r="N317" s="3285"/>
      <c r="O317" s="3285"/>
      <c r="P317" s="3285"/>
      <c r="Q317" s="3285"/>
      <c r="R317" s="3285"/>
      <c r="S317" s="3285"/>
      <c r="T317" s="3285"/>
      <c r="U317" s="3285"/>
      <c r="V317" s="3285"/>
      <c r="W317" s="3285"/>
      <c r="X317" s="3285"/>
      <c r="Y317" s="3285"/>
      <c r="Z317" s="3285"/>
      <c r="AA317" s="3285"/>
      <c r="AB317" s="3285"/>
      <c r="AC317" s="3285"/>
      <c r="AD317" s="3285"/>
      <c r="AE317" s="3285"/>
      <c r="AF317" s="3285"/>
      <c r="AG317" s="3285"/>
      <c r="AH317" s="3285"/>
      <c r="AI317" s="3285"/>
      <c r="AJ317" s="3285"/>
      <c r="AK317" s="3285"/>
      <c r="AL317" s="3285"/>
      <c r="AM317" s="3285"/>
      <c r="AN317" s="3285"/>
      <c r="AO317" s="3285"/>
      <c r="AP317" s="3285"/>
      <c r="AQ317" s="3285"/>
      <c r="AR317" s="3285"/>
      <c r="AS317" s="3285"/>
      <c r="AT317" s="3285"/>
      <c r="AU317" s="3285"/>
      <c r="AV317" s="3285"/>
      <c r="AW317" s="3285"/>
      <c r="AX317" s="3284"/>
      <c r="AY317" s="3286">
        <f ca="1">-INDEX(INDIRECT($C317&amp;".Outputs["&amp;AY$304&amp;"]"),MATCH($C$304,INDIRECT($C317&amp;".Outputs[Vector]"),0))</f>
        <v>0.22598810482362028</v>
      </c>
      <c r="AZ317" s="3286">
        <f t="shared" ca="1" si="85"/>
        <v>0.22598810482362028</v>
      </c>
      <c r="BA317" s="3286">
        <f t="shared" ca="1" si="85"/>
        <v>0.22598810482362028</v>
      </c>
      <c r="BB317" s="3286">
        <f t="shared" ca="1" si="85"/>
        <v>0.22598810482362028</v>
      </c>
      <c r="BC317" s="3286">
        <f t="shared" ca="1" si="85"/>
        <v>0.22598810482362028</v>
      </c>
      <c r="BD317" s="3286">
        <f t="shared" ca="1" si="85"/>
        <v>0.22598810482362028</v>
      </c>
      <c r="BE317" s="3286">
        <f t="shared" ca="1" si="85"/>
        <v>0.22598810482362028</v>
      </c>
      <c r="BF317" s="3286">
        <f t="shared" ca="1" si="85"/>
        <v>0.22598810482362028</v>
      </c>
      <c r="BG317" s="3286">
        <f t="shared" ca="1" si="85"/>
        <v>0.22598810482362028</v>
      </c>
      <c r="BH317" s="3274"/>
      <c r="BJ317" s="3271"/>
      <c r="BK317" s="3283"/>
      <c r="BL317" s="3283"/>
      <c r="BM317" s="3284"/>
      <c r="BN317" s="3285"/>
      <c r="BO317" s="3285"/>
      <c r="BP317" s="3285"/>
      <c r="BQ317" s="3285"/>
      <c r="BR317" s="3285"/>
      <c r="BS317" s="3285"/>
      <c r="BT317" s="3285"/>
      <c r="BU317" s="3285"/>
    </row>
    <row r="318" spans="1:73">
      <c r="A318" s="39"/>
      <c r="B318" s="3271"/>
      <c r="C318" s="3283" t="s">
        <v>507</v>
      </c>
      <c r="D318" s="3283" t="s">
        <v>508</v>
      </c>
      <c r="E318" s="3284"/>
      <c r="F318" s="3285"/>
      <c r="G318" s="3285"/>
      <c r="H318" s="3285"/>
      <c r="I318" s="3285"/>
      <c r="J318" s="3285"/>
      <c r="K318" s="3285"/>
      <c r="L318" s="3285"/>
      <c r="M318" s="3285"/>
      <c r="N318" s="3285"/>
      <c r="O318" s="3285"/>
      <c r="P318" s="3285"/>
      <c r="Q318" s="3285"/>
      <c r="R318" s="3285"/>
      <c r="S318" s="3285"/>
      <c r="T318" s="3285"/>
      <c r="U318" s="3285"/>
      <c r="V318" s="3285"/>
      <c r="W318" s="3285"/>
      <c r="X318" s="3285"/>
      <c r="Y318" s="3285"/>
      <c r="Z318" s="3285"/>
      <c r="AA318" s="3285"/>
      <c r="AB318" s="3285"/>
      <c r="AC318" s="3285"/>
      <c r="AD318" s="3285"/>
      <c r="AE318" s="3285"/>
      <c r="AF318" s="3285"/>
      <c r="AG318" s="3285"/>
      <c r="AH318" s="3285"/>
      <c r="AI318" s="3285"/>
      <c r="AJ318" s="3285"/>
      <c r="AK318" s="3285"/>
      <c r="AL318" s="3285"/>
      <c r="AM318" s="3285"/>
      <c r="AN318" s="3285"/>
      <c r="AO318" s="3285"/>
      <c r="AP318" s="3285"/>
      <c r="AQ318" s="3285"/>
      <c r="AR318" s="3285"/>
      <c r="AS318" s="3285"/>
      <c r="AT318" s="3285"/>
      <c r="AU318" s="3285"/>
      <c r="AV318" s="3285"/>
      <c r="AW318" s="3285"/>
      <c r="AX318" s="3284"/>
      <c r="AY318" s="3286">
        <f t="shared" ca="1" si="85"/>
        <v>6.6380393902542884E-2</v>
      </c>
      <c r="AZ318" s="3286">
        <f t="shared" ca="1" si="85"/>
        <v>5.632506858883312E-2</v>
      </c>
      <c r="BA318" s="3286">
        <f t="shared" ca="1" si="85"/>
        <v>3.5902839544807497E-2</v>
      </c>
      <c r="BB318" s="3286">
        <f t="shared" ca="1" si="85"/>
        <v>2.154713679214617E-2</v>
      </c>
      <c r="BC318" s="3286">
        <f t="shared" ca="1" si="85"/>
        <v>0</v>
      </c>
      <c r="BD318" s="3286">
        <f t="shared" ca="1" si="85"/>
        <v>0</v>
      </c>
      <c r="BE318" s="3286">
        <f t="shared" ca="1" si="85"/>
        <v>0</v>
      </c>
      <c r="BF318" s="3286">
        <f t="shared" ca="1" si="85"/>
        <v>0</v>
      </c>
      <c r="BG318" s="3286">
        <f t="shared" ca="1" si="85"/>
        <v>0</v>
      </c>
      <c r="BH318" s="3274"/>
      <c r="BJ318" s="3271"/>
      <c r="BK318" s="3283"/>
      <c r="BL318" s="3283"/>
      <c r="BM318" s="3284"/>
      <c r="BN318" s="3285"/>
      <c r="BO318" s="3285"/>
      <c r="BP318" s="3285"/>
      <c r="BQ318" s="3285"/>
      <c r="BR318" s="3285"/>
      <c r="BS318" s="3285"/>
      <c r="BT318" s="3285"/>
      <c r="BU318" s="3285"/>
    </row>
    <row r="319" spans="1:73">
      <c r="A319" s="39"/>
      <c r="B319" s="3271"/>
      <c r="C319" s="3283" t="s">
        <v>533</v>
      </c>
      <c r="D319" s="3283" t="s">
        <v>534</v>
      </c>
      <c r="E319" s="3284"/>
      <c r="F319" s="3285"/>
      <c r="G319" s="3285"/>
      <c r="H319" s="3285"/>
      <c r="I319" s="3285"/>
      <c r="J319" s="3285"/>
      <c r="K319" s="3285"/>
      <c r="L319" s="3285"/>
      <c r="M319" s="3285"/>
      <c r="N319" s="3285"/>
      <c r="O319" s="3285"/>
      <c r="P319" s="3285"/>
      <c r="Q319" s="3285"/>
      <c r="R319" s="3285"/>
      <c r="S319" s="3285"/>
      <c r="T319" s="3285"/>
      <c r="U319" s="3285"/>
      <c r="V319" s="3285"/>
      <c r="W319" s="3285"/>
      <c r="X319" s="3285"/>
      <c r="Y319" s="3285"/>
      <c r="Z319" s="3285"/>
      <c r="AA319" s="3285"/>
      <c r="AB319" s="3285"/>
      <c r="AC319" s="3285"/>
      <c r="AD319" s="3285"/>
      <c r="AE319" s="3285"/>
      <c r="AF319" s="3285"/>
      <c r="AG319" s="3285"/>
      <c r="AH319" s="3285"/>
      <c r="AI319" s="3285"/>
      <c r="AJ319" s="3285"/>
      <c r="AK319" s="3285"/>
      <c r="AL319" s="3285"/>
      <c r="AM319" s="3285"/>
      <c r="AN319" s="3285"/>
      <c r="AO319" s="3285"/>
      <c r="AP319" s="3285"/>
      <c r="AQ319" s="3285"/>
      <c r="AR319" s="3285"/>
      <c r="AS319" s="3285"/>
      <c r="AT319" s="3285"/>
      <c r="AU319" s="3285"/>
      <c r="AV319" s="3285"/>
      <c r="AW319" s="3285"/>
      <c r="AX319" s="3284"/>
      <c r="AY319" s="3286">
        <f t="shared" ref="AY319:BG319" ca="1" si="86">-INDEX(INDIRECT($C319&amp;".Outputs["&amp;AY$304&amp;"]"),MATCH("V.02",INDIRECT($C319&amp;".Outputs[Vector]"),0))</f>
        <v>3.7911428177742012E-3</v>
      </c>
      <c r="AZ319" s="3286">
        <f t="shared" ca="1" si="86"/>
        <v>3.7911428177742012E-3</v>
      </c>
      <c r="BA319" s="3286">
        <f t="shared" ca="1" si="86"/>
        <v>3.7911428177742012E-3</v>
      </c>
      <c r="BB319" s="3286">
        <f t="shared" ca="1" si="86"/>
        <v>3.7911428177742012E-3</v>
      </c>
      <c r="BC319" s="3286">
        <f t="shared" ca="1" si="86"/>
        <v>3.7911428177742012E-3</v>
      </c>
      <c r="BD319" s="3286">
        <f t="shared" ca="1" si="86"/>
        <v>3.7911428177742012E-3</v>
      </c>
      <c r="BE319" s="3286">
        <f t="shared" ca="1" si="86"/>
        <v>3.7911428177742012E-3</v>
      </c>
      <c r="BF319" s="3286">
        <f t="shared" ca="1" si="86"/>
        <v>3.7911428177742012E-3</v>
      </c>
      <c r="BG319" s="3286">
        <f t="shared" ca="1" si="86"/>
        <v>3.7911428177742012E-3</v>
      </c>
      <c r="BH319" s="3274"/>
      <c r="BJ319" s="3271"/>
      <c r="BK319" s="3283"/>
      <c r="BL319" s="3283"/>
      <c r="BM319" s="3284"/>
      <c r="BN319" s="3285"/>
      <c r="BO319" s="3285"/>
      <c r="BP319" s="3285"/>
      <c r="BQ319" s="3285"/>
      <c r="BR319" s="3285"/>
      <c r="BS319" s="3285"/>
      <c r="BT319" s="3285"/>
      <c r="BU319" s="3285"/>
    </row>
    <row r="320" spans="1:73">
      <c r="A320" s="39"/>
      <c r="B320" s="3271"/>
      <c r="C320" s="3283"/>
      <c r="D320" s="3283" t="s">
        <v>58</v>
      </c>
      <c r="E320" s="3284"/>
      <c r="F320" s="3285"/>
      <c r="G320" s="3285"/>
      <c r="H320" s="3285"/>
      <c r="I320" s="3285"/>
      <c r="J320" s="3285"/>
      <c r="K320" s="3285"/>
      <c r="L320" s="3285"/>
      <c r="M320" s="3285"/>
      <c r="N320" s="3285"/>
      <c r="O320" s="3285"/>
      <c r="P320" s="3285"/>
      <c r="Q320" s="3285"/>
      <c r="R320" s="3285"/>
      <c r="S320" s="3285"/>
      <c r="T320" s="3285"/>
      <c r="U320" s="3285"/>
      <c r="V320" s="3285"/>
      <c r="W320" s="3285"/>
      <c r="X320" s="3285"/>
      <c r="Y320" s="3285"/>
      <c r="Z320" s="3285"/>
      <c r="AA320" s="3285"/>
      <c r="AB320" s="3285"/>
      <c r="AC320" s="3285"/>
      <c r="AD320" s="3285"/>
      <c r="AE320" s="3285"/>
      <c r="AF320" s="3285"/>
      <c r="AG320" s="3285"/>
      <c r="AH320" s="3285"/>
      <c r="AI320" s="3285"/>
      <c r="AJ320" s="3285"/>
      <c r="AK320" s="3285"/>
      <c r="AL320" s="3285"/>
      <c r="AM320" s="3285"/>
      <c r="AN320" s="3285"/>
      <c r="AO320" s="3285"/>
      <c r="AP320" s="3285"/>
      <c r="AQ320" s="3285"/>
      <c r="AR320" s="3285"/>
      <c r="AS320" s="3285"/>
      <c r="AT320" s="3285"/>
      <c r="AU320" s="3285"/>
      <c r="AV320" s="3285"/>
      <c r="AW320" s="3285"/>
      <c r="AX320" s="3284"/>
      <c r="AY320" s="3286">
        <f t="shared" ref="AY320:BG320" ca="1" si="87">SUM(AY306:AY319)</f>
        <v>24.091952375694621</v>
      </c>
      <c r="AZ320" s="3286">
        <f t="shared" ca="1" si="87"/>
        <v>24.8153130360168</v>
      </c>
      <c r="BA320" s="3286">
        <f t="shared" ca="1" si="87"/>
        <v>26.315178832778159</v>
      </c>
      <c r="BB320" s="3286">
        <f t="shared" ca="1" si="87"/>
        <v>28.059242938398786</v>
      </c>
      <c r="BC320" s="3286">
        <f t="shared" ca="1" si="87"/>
        <v>29.860593992851843</v>
      </c>
      <c r="BD320" s="3286">
        <f t="shared" ca="1" si="87"/>
        <v>31.831672079021597</v>
      </c>
      <c r="BE320" s="3286">
        <f t="shared" ca="1" si="87"/>
        <v>33.950867792730165</v>
      </c>
      <c r="BF320" s="3286">
        <f t="shared" ca="1" si="87"/>
        <v>36.166663036434386</v>
      </c>
      <c r="BG320" s="3286">
        <f t="shared" ca="1" si="87"/>
        <v>38.392111120623895</v>
      </c>
      <c r="BH320" s="3274"/>
      <c r="BJ320" s="3271"/>
      <c r="BK320" s="3283"/>
      <c r="BL320" s="3283"/>
      <c r="BM320" s="3284"/>
      <c r="BN320" s="3285"/>
      <c r="BO320" s="3285"/>
      <c r="BP320" s="3285"/>
      <c r="BQ320" s="3285"/>
      <c r="BR320" s="3285"/>
      <c r="BS320" s="3285"/>
      <c r="BT320" s="3285"/>
      <c r="BU320" s="3285"/>
    </row>
    <row r="321" spans="1:73">
      <c r="A321" s="39"/>
      <c r="B321" s="3271"/>
      <c r="C321" s="3283"/>
      <c r="D321" s="3283"/>
      <c r="E321" s="3284"/>
      <c r="F321" s="3285"/>
      <c r="G321" s="3285"/>
      <c r="H321" s="3285"/>
      <c r="I321" s="3285"/>
      <c r="J321" s="3285"/>
      <c r="K321" s="3285"/>
      <c r="L321" s="3285"/>
      <c r="M321" s="3285"/>
      <c r="N321" s="3285"/>
      <c r="O321" s="3285"/>
      <c r="P321" s="3285"/>
      <c r="Q321" s="3285"/>
      <c r="R321" s="3285"/>
      <c r="S321" s="3285"/>
      <c r="T321" s="3285"/>
      <c r="U321" s="3285"/>
      <c r="V321" s="3285"/>
      <c r="W321" s="3285"/>
      <c r="X321" s="3285"/>
      <c r="Y321" s="3285"/>
      <c r="Z321" s="3285"/>
      <c r="AA321" s="3285"/>
      <c r="AB321" s="3285"/>
      <c r="AC321" s="3285"/>
      <c r="AD321" s="3285"/>
      <c r="AE321" s="3285"/>
      <c r="AF321" s="3285"/>
      <c r="AG321" s="3285"/>
      <c r="AH321" s="3285"/>
      <c r="AI321" s="3285"/>
      <c r="AJ321" s="3285"/>
      <c r="AK321" s="3285"/>
      <c r="AL321" s="3285"/>
      <c r="AM321" s="3285"/>
      <c r="AN321" s="3285"/>
      <c r="AO321" s="3285"/>
      <c r="AP321" s="3285"/>
      <c r="AQ321" s="3285"/>
      <c r="AR321" s="3285"/>
      <c r="AS321" s="3285"/>
      <c r="AT321" s="3285"/>
      <c r="AU321" s="3285"/>
      <c r="AV321" s="3285"/>
      <c r="AW321" s="3285"/>
      <c r="AX321" s="3284"/>
      <c r="AY321" s="3286"/>
      <c r="AZ321" s="3286"/>
      <c r="BA321" s="3286"/>
      <c r="BB321" s="3286"/>
      <c r="BC321" s="3286"/>
      <c r="BD321" s="3286"/>
      <c r="BE321" s="3286"/>
      <c r="BF321" s="3286"/>
      <c r="BG321" s="3286"/>
      <c r="BH321" s="3274"/>
      <c r="BJ321" s="3271"/>
      <c r="BK321" s="3283"/>
      <c r="BL321" s="3283"/>
      <c r="BM321" s="3284"/>
      <c r="BN321" s="3285"/>
      <c r="BO321" s="3285"/>
      <c r="BP321" s="3285"/>
      <c r="BQ321" s="3285"/>
      <c r="BR321" s="3285"/>
      <c r="BS321" s="3285"/>
      <c r="BT321" s="3285"/>
      <c r="BU321" s="3285"/>
    </row>
    <row r="322" spans="1:73">
      <c r="A322" s="39"/>
      <c r="B322" s="3271"/>
      <c r="C322" s="3283"/>
      <c r="D322" s="3287" t="s">
        <v>482</v>
      </c>
      <c r="E322" s="3284"/>
      <c r="F322" s="3285"/>
      <c r="G322" s="3285"/>
      <c r="H322" s="3285"/>
      <c r="I322" s="3285"/>
      <c r="J322" s="3285"/>
      <c r="K322" s="3285"/>
      <c r="L322" s="3285"/>
      <c r="M322" s="3285"/>
      <c r="N322" s="3285"/>
      <c r="O322" s="3285"/>
      <c r="P322" s="3285"/>
      <c r="Q322" s="3285"/>
      <c r="R322" s="3285"/>
      <c r="S322" s="3285"/>
      <c r="T322" s="3285"/>
      <c r="U322" s="3285"/>
      <c r="V322" s="3285"/>
      <c r="W322" s="3285"/>
      <c r="X322" s="3285"/>
      <c r="Y322" s="3285"/>
      <c r="Z322" s="3285"/>
      <c r="AA322" s="3285"/>
      <c r="AB322" s="3285"/>
      <c r="AC322" s="3285"/>
      <c r="AD322" s="3285"/>
      <c r="AE322" s="3285"/>
      <c r="AF322" s="3285"/>
      <c r="AG322" s="3285"/>
      <c r="AH322" s="3285"/>
      <c r="AI322" s="3285"/>
      <c r="AJ322" s="3285"/>
      <c r="AK322" s="3285"/>
      <c r="AL322" s="3285"/>
      <c r="AM322" s="3285"/>
      <c r="AN322" s="3285"/>
      <c r="AO322" s="3285"/>
      <c r="AP322" s="3285"/>
      <c r="AQ322" s="3285"/>
      <c r="AR322" s="3285"/>
      <c r="AS322" s="3285"/>
      <c r="AT322" s="3285"/>
      <c r="AU322" s="3285"/>
      <c r="AV322" s="3285"/>
      <c r="AW322" s="3285"/>
      <c r="AX322" s="3284"/>
      <c r="AY322" s="3286">
        <f t="shared" ref="AY322:BG322" ca="1" si="88">SUM(AY314:AY315,AY306)</f>
        <v>7.2483297329708235E-2</v>
      </c>
      <c r="AZ322" s="3286">
        <f t="shared" ca="1" si="88"/>
        <v>8.8942421637678293E-2</v>
      </c>
      <c r="BA322" s="3286">
        <f t="shared" ca="1" si="88"/>
        <v>0.11407707117919189</v>
      </c>
      <c r="BB322" s="3286">
        <f t="shared" ca="1" si="88"/>
        <v>0.39722514287367783</v>
      </c>
      <c r="BC322" s="3950">
        <f t="shared" ca="1" si="88"/>
        <v>0.70449165940025227</v>
      </c>
      <c r="BD322" s="3950">
        <f t="shared" ca="1" si="88"/>
        <v>1.0746018384902607</v>
      </c>
      <c r="BE322" s="3950">
        <f t="shared" ca="1" si="88"/>
        <v>1.4985664468846973</v>
      </c>
      <c r="BF322" s="3950">
        <f t="shared" ca="1" si="88"/>
        <v>1.9346489783310434</v>
      </c>
      <c r="BG322" s="3950">
        <f t="shared" ca="1" si="88"/>
        <v>2.2368423879951758</v>
      </c>
      <c r="BH322" s="3274"/>
      <c r="BJ322" s="3271"/>
      <c r="BK322" s="3283"/>
      <c r="BL322" s="3287"/>
      <c r="BM322" s="3284"/>
      <c r="BN322" s="3285"/>
      <c r="BO322" s="3285"/>
      <c r="BP322" s="3285"/>
      <c r="BQ322" s="3285"/>
      <c r="BR322" s="3285"/>
      <c r="BS322" s="3285"/>
      <c r="BT322" s="3285"/>
      <c r="BU322" s="3285"/>
    </row>
    <row r="323" spans="1:73">
      <c r="A323" s="39"/>
      <c r="B323" s="3271"/>
      <c r="C323" s="3283"/>
      <c r="D323" s="3287" t="s">
        <v>359</v>
      </c>
      <c r="E323" s="3284"/>
      <c r="F323" s="3285"/>
      <c r="G323" s="3285"/>
      <c r="H323" s="3285"/>
      <c r="I323" s="3285"/>
      <c r="J323" s="3285"/>
      <c r="K323" s="3285"/>
      <c r="L323" s="3285"/>
      <c r="M323" s="3285"/>
      <c r="N323" s="3285"/>
      <c r="O323" s="3285"/>
      <c r="P323" s="3285"/>
      <c r="Q323" s="3285"/>
      <c r="R323" s="3285"/>
      <c r="S323" s="3285"/>
      <c r="T323" s="3285"/>
      <c r="U323" s="3285"/>
      <c r="V323" s="3285"/>
      <c r="W323" s="3285"/>
      <c r="X323" s="3285"/>
      <c r="Y323" s="3285"/>
      <c r="Z323" s="3285"/>
      <c r="AA323" s="3285"/>
      <c r="AB323" s="3285"/>
      <c r="AC323" s="3285"/>
      <c r="AD323" s="3285"/>
      <c r="AE323" s="3285"/>
      <c r="AF323" s="3285"/>
      <c r="AG323" s="3285"/>
      <c r="AH323" s="3285"/>
      <c r="AI323" s="3285"/>
      <c r="AJ323" s="3285"/>
      <c r="AK323" s="3285"/>
      <c r="AL323" s="3285"/>
      <c r="AM323" s="3285"/>
      <c r="AN323" s="3285"/>
      <c r="AO323" s="3285"/>
      <c r="AP323" s="3285"/>
      <c r="AQ323" s="3285"/>
      <c r="AR323" s="3285"/>
      <c r="AS323" s="3285"/>
      <c r="AT323" s="3285"/>
      <c r="AU323" s="3285"/>
      <c r="AV323" s="3285"/>
      <c r="AW323" s="3285"/>
      <c r="AX323" s="3284"/>
      <c r="AY323" s="3286">
        <f t="shared" ref="AY323:BG323" ca="1" si="89">SUM(AY316:AY318,AY313,AY307)</f>
        <v>10.130468498726161</v>
      </c>
      <c r="AZ323" s="3286">
        <f t="shared" ca="1" si="89"/>
        <v>10.398778557302101</v>
      </c>
      <c r="BA323" s="3286">
        <f t="shared" ca="1" si="89"/>
        <v>11.122389960263718</v>
      </c>
      <c r="BB323" s="3286">
        <f t="shared" ca="1" si="89"/>
        <v>11.926464951861988</v>
      </c>
      <c r="BC323" s="3286">
        <f t="shared" ca="1" si="89"/>
        <v>12.805443994729405</v>
      </c>
      <c r="BD323" s="3286">
        <f t="shared" ca="1" si="89"/>
        <v>13.796575817330321</v>
      </c>
      <c r="BE323" s="3286">
        <f t="shared" ca="1" si="89"/>
        <v>14.887721645446387</v>
      </c>
      <c r="BF323" s="3286">
        <f t="shared" ca="1" si="89"/>
        <v>16.089283781549874</v>
      </c>
      <c r="BG323" s="3286">
        <f t="shared" ca="1" si="89"/>
        <v>17.412764463783315</v>
      </c>
      <c r="BH323" s="3274"/>
      <c r="BJ323" s="3271"/>
      <c r="BK323" s="3283"/>
      <c r="BL323" s="3287"/>
      <c r="BM323" s="3284"/>
      <c r="BN323" s="3285"/>
      <c r="BO323" s="3285"/>
      <c r="BP323" s="3285"/>
      <c r="BQ323" s="3285"/>
      <c r="BR323" s="3285"/>
      <c r="BS323" s="3285"/>
      <c r="BT323" s="3285"/>
      <c r="BU323" s="3285"/>
    </row>
    <row r="324" spans="1:73">
      <c r="A324" s="39"/>
      <c r="B324" s="3271"/>
      <c r="C324" s="3283"/>
      <c r="D324" s="3287" t="s">
        <v>92</v>
      </c>
      <c r="E324" s="3284"/>
      <c r="F324" s="3285"/>
      <c r="G324" s="3285"/>
      <c r="H324" s="3285"/>
      <c r="I324" s="3285"/>
      <c r="J324" s="3285"/>
      <c r="K324" s="3285"/>
      <c r="L324" s="3285"/>
      <c r="M324" s="3285"/>
      <c r="N324" s="3285"/>
      <c r="O324" s="3285"/>
      <c r="P324" s="3285"/>
      <c r="Q324" s="3285"/>
      <c r="R324" s="3285"/>
      <c r="S324" s="3285"/>
      <c r="T324" s="3285"/>
      <c r="U324" s="3285"/>
      <c r="V324" s="3285"/>
      <c r="W324" s="3285"/>
      <c r="X324" s="3285"/>
      <c r="Y324" s="3285"/>
      <c r="Z324" s="3285"/>
      <c r="AA324" s="3285"/>
      <c r="AB324" s="3285"/>
      <c r="AC324" s="3285"/>
      <c r="AD324" s="3285"/>
      <c r="AE324" s="3285"/>
      <c r="AF324" s="3285"/>
      <c r="AG324" s="3285"/>
      <c r="AH324" s="3285"/>
      <c r="AI324" s="3285"/>
      <c r="AJ324" s="3285"/>
      <c r="AK324" s="3285"/>
      <c r="AL324" s="3285"/>
      <c r="AM324" s="3285"/>
      <c r="AN324" s="3285"/>
      <c r="AO324" s="3285"/>
      <c r="AP324" s="3285"/>
      <c r="AQ324" s="3285"/>
      <c r="AR324" s="3285"/>
      <c r="AS324" s="3285"/>
      <c r="AT324" s="3285"/>
      <c r="AU324" s="3285"/>
      <c r="AV324" s="3285"/>
      <c r="AW324" s="3285"/>
      <c r="AX324" s="3284"/>
      <c r="AY324" s="3286">
        <f t="shared" ref="AY324:BG324" ca="1" si="90">SUM(AY308:AY310,AY319)</f>
        <v>4.7915380128622997</v>
      </c>
      <c r="AZ324" s="3286">
        <f t="shared" ca="1" si="90"/>
        <v>5.0658827283491412</v>
      </c>
      <c r="BA324" s="3286">
        <f t="shared" ca="1" si="90"/>
        <v>5.5285408800632281</v>
      </c>
      <c r="BB324" s="3286">
        <f t="shared" ca="1" si="90"/>
        <v>5.9057235928578713</v>
      </c>
      <c r="BC324" s="3286">
        <f t="shared" ca="1" si="90"/>
        <v>6.2647192413191179</v>
      </c>
      <c r="BD324" s="3286">
        <f t="shared" ca="1" si="90"/>
        <v>6.6124319002510328</v>
      </c>
      <c r="BE324" s="3286">
        <f t="shared" ca="1" si="90"/>
        <v>6.9493093088162023</v>
      </c>
      <c r="BF324" s="3286">
        <f t="shared" ca="1" si="90"/>
        <v>7.2698432423676431</v>
      </c>
      <c r="BG324" s="3286">
        <f t="shared" ca="1" si="90"/>
        <v>7.5795918210608688</v>
      </c>
      <c r="BH324" s="3274"/>
      <c r="BJ324" s="3271"/>
      <c r="BK324" s="3283"/>
      <c r="BL324" s="3287"/>
      <c r="BM324" s="3284"/>
      <c r="BN324" s="3285"/>
      <c r="BO324" s="3285"/>
      <c r="BP324" s="3285"/>
      <c r="BQ324" s="3285"/>
      <c r="BR324" s="3285"/>
      <c r="BS324" s="3285"/>
      <c r="BT324" s="3285"/>
      <c r="BU324" s="3285"/>
    </row>
    <row r="325" spans="1:73">
      <c r="A325" s="39"/>
      <c r="B325" s="3271"/>
      <c r="C325" s="3283"/>
      <c r="D325" s="3287" t="s">
        <v>358</v>
      </c>
      <c r="E325" s="3284"/>
      <c r="F325" s="3285"/>
      <c r="G325" s="3285"/>
      <c r="H325" s="3285"/>
      <c r="I325" s="3285"/>
      <c r="J325" s="3285"/>
      <c r="K325" s="3285"/>
      <c r="L325" s="3285"/>
      <c r="M325" s="3285"/>
      <c r="N325" s="3285"/>
      <c r="O325" s="3285"/>
      <c r="P325" s="3285"/>
      <c r="Q325" s="3285"/>
      <c r="R325" s="3285"/>
      <c r="S325" s="3285"/>
      <c r="T325" s="3285"/>
      <c r="U325" s="3285"/>
      <c r="V325" s="3285"/>
      <c r="W325" s="3285"/>
      <c r="X325" s="3285"/>
      <c r="Y325" s="3285"/>
      <c r="Z325" s="3285"/>
      <c r="AA325" s="3285"/>
      <c r="AB325" s="3285"/>
      <c r="AC325" s="3285"/>
      <c r="AD325" s="3285"/>
      <c r="AE325" s="3285"/>
      <c r="AF325" s="3285"/>
      <c r="AG325" s="3285"/>
      <c r="AH325" s="3285"/>
      <c r="AI325" s="3285"/>
      <c r="AJ325" s="3285"/>
      <c r="AK325" s="3285"/>
      <c r="AL325" s="3285"/>
      <c r="AM325" s="3285"/>
      <c r="AN325" s="3285"/>
      <c r="AO325" s="3285"/>
      <c r="AP325" s="3285"/>
      <c r="AQ325" s="3285"/>
      <c r="AR325" s="3285"/>
      <c r="AS325" s="3285"/>
      <c r="AT325" s="3285"/>
      <c r="AU325" s="3285"/>
      <c r="AV325" s="3285"/>
      <c r="AW325" s="3285"/>
      <c r="AX325" s="3284"/>
      <c r="AY325" s="3286">
        <f t="shared" ref="AY325:BG325" ca="1" si="91">SUM(AY311:AY312)</f>
        <v>9.0974625667764535</v>
      </c>
      <c r="AZ325" s="3286">
        <f t="shared" ca="1" si="91"/>
        <v>9.2617093287278749</v>
      </c>
      <c r="BA325" s="3286">
        <f t="shared" ca="1" si="91"/>
        <v>9.5501709212720183</v>
      </c>
      <c r="BB325" s="3286">
        <f t="shared" ca="1" si="91"/>
        <v>9.8298292508052434</v>
      </c>
      <c r="BC325" s="3286">
        <f t="shared" ca="1" si="91"/>
        <v>10.085939097403068</v>
      </c>
      <c r="BD325" s="3286">
        <f t="shared" ca="1" si="91"/>
        <v>10.348062522949981</v>
      </c>
      <c r="BE325" s="3286">
        <f t="shared" ca="1" si="91"/>
        <v>10.615270391582875</v>
      </c>
      <c r="BF325" s="3286">
        <f t="shared" ca="1" si="91"/>
        <v>10.872887034185826</v>
      </c>
      <c r="BG325" s="3286">
        <f t="shared" ca="1" si="91"/>
        <v>11.162912447784539</v>
      </c>
      <c r="BH325" s="3274"/>
      <c r="BJ325" s="3271"/>
      <c r="BK325" s="3283"/>
      <c r="BL325" s="3287"/>
      <c r="BM325" s="3284"/>
      <c r="BN325" s="3285"/>
      <c r="BO325" s="3285"/>
      <c r="BP325" s="3285"/>
      <c r="BQ325" s="3285"/>
      <c r="BR325" s="3285"/>
      <c r="BS325" s="3285"/>
      <c r="BT325" s="3285"/>
      <c r="BU325" s="3285"/>
    </row>
    <row r="326" spans="1:73">
      <c r="A326" s="39"/>
      <c r="B326" s="3271"/>
      <c r="C326" s="3283"/>
      <c r="D326" s="3287" t="s">
        <v>58</v>
      </c>
      <c r="E326" s="3284"/>
      <c r="F326" s="3285"/>
      <c r="G326" s="3285"/>
      <c r="H326" s="3285"/>
      <c r="I326" s="3285"/>
      <c r="J326" s="3285"/>
      <c r="K326" s="3285"/>
      <c r="L326" s="3285"/>
      <c r="M326" s="3285"/>
      <c r="N326" s="3285"/>
      <c r="O326" s="3285"/>
      <c r="P326" s="3285"/>
      <c r="Q326" s="3285"/>
      <c r="R326" s="3285"/>
      <c r="S326" s="3285"/>
      <c r="T326" s="3285"/>
      <c r="U326" s="3285"/>
      <c r="V326" s="3285"/>
      <c r="W326" s="3285"/>
      <c r="X326" s="3285"/>
      <c r="Y326" s="3285"/>
      <c r="Z326" s="3285"/>
      <c r="AA326" s="3285"/>
      <c r="AB326" s="3285"/>
      <c r="AC326" s="3285"/>
      <c r="AD326" s="3285"/>
      <c r="AE326" s="3285"/>
      <c r="AF326" s="3285"/>
      <c r="AG326" s="3285"/>
      <c r="AH326" s="3285"/>
      <c r="AI326" s="3285"/>
      <c r="AJ326" s="3285"/>
      <c r="AK326" s="3285"/>
      <c r="AL326" s="3285"/>
      <c r="AM326" s="3285"/>
      <c r="AN326" s="3285"/>
      <c r="AO326" s="3285"/>
      <c r="AP326" s="3285"/>
      <c r="AQ326" s="3285"/>
      <c r="AR326" s="3285"/>
      <c r="AS326" s="3285"/>
      <c r="AT326" s="3285"/>
      <c r="AU326" s="3285"/>
      <c r="AV326" s="3285"/>
      <c r="AW326" s="3285"/>
      <c r="AX326" s="3284"/>
      <c r="AY326" s="3286">
        <f t="shared" ref="AY326:BG326" ca="1" si="92">SUM(AY322:AY325)</f>
        <v>24.091952375694621</v>
      </c>
      <c r="AZ326" s="3286">
        <f t="shared" ca="1" si="92"/>
        <v>24.815313036016796</v>
      </c>
      <c r="BA326" s="3286">
        <f t="shared" ca="1" si="92"/>
        <v>26.315178832778159</v>
      </c>
      <c r="BB326" s="3286">
        <f t="shared" ca="1" si="92"/>
        <v>28.059242938398778</v>
      </c>
      <c r="BC326" s="3286">
        <f t="shared" ca="1" si="92"/>
        <v>29.860593992851847</v>
      </c>
      <c r="BD326" s="3286">
        <f t="shared" ca="1" si="92"/>
        <v>31.831672079021594</v>
      </c>
      <c r="BE326" s="3286">
        <f t="shared" ca="1" si="92"/>
        <v>33.950867792730165</v>
      </c>
      <c r="BF326" s="3286">
        <f t="shared" ca="1" si="92"/>
        <v>36.166663036434386</v>
      </c>
      <c r="BG326" s="3286">
        <f t="shared" ca="1" si="92"/>
        <v>38.392111120623895</v>
      </c>
      <c r="BH326" s="3274"/>
      <c r="BJ326" s="3271"/>
      <c r="BK326" s="3283"/>
      <c r="BL326" s="3287"/>
      <c r="BM326" s="3284"/>
      <c r="BN326" s="3285"/>
      <c r="BO326" s="3285"/>
      <c r="BP326" s="3285"/>
      <c r="BQ326" s="3285"/>
      <c r="BR326" s="3285"/>
      <c r="BS326" s="3285"/>
      <c r="BT326" s="3285"/>
      <c r="BU326" s="3285"/>
    </row>
    <row r="327" spans="1:73">
      <c r="A327" s="39"/>
      <c r="B327" s="3271"/>
      <c r="C327" s="3283"/>
      <c r="D327" s="3287"/>
      <c r="E327" s="3284"/>
      <c r="F327" s="3285"/>
      <c r="G327" s="3285"/>
      <c r="H327" s="3285"/>
      <c r="I327" s="3285"/>
      <c r="J327" s="3285"/>
      <c r="K327" s="3285"/>
      <c r="L327" s="3285"/>
      <c r="M327" s="3285"/>
      <c r="N327" s="3285"/>
      <c r="O327" s="3285"/>
      <c r="P327" s="3285"/>
      <c r="Q327" s="3285"/>
      <c r="R327" s="3285"/>
      <c r="S327" s="3285"/>
      <c r="T327" s="3285"/>
      <c r="U327" s="3285"/>
      <c r="V327" s="3285"/>
      <c r="W327" s="3285"/>
      <c r="X327" s="3285"/>
      <c r="Y327" s="3285"/>
      <c r="Z327" s="3285"/>
      <c r="AA327" s="3285"/>
      <c r="AB327" s="3285"/>
      <c r="AC327" s="3285"/>
      <c r="AD327" s="3285"/>
      <c r="AE327" s="3285"/>
      <c r="AF327" s="3285"/>
      <c r="AG327" s="3285"/>
      <c r="AH327" s="3285"/>
      <c r="AI327" s="3285"/>
      <c r="AJ327" s="3285"/>
      <c r="AK327" s="3285"/>
      <c r="AL327" s="3285"/>
      <c r="AM327" s="3285"/>
      <c r="AN327" s="3285"/>
      <c r="AO327" s="3285"/>
      <c r="AP327" s="3285"/>
      <c r="AQ327" s="3285"/>
      <c r="AR327" s="3285"/>
      <c r="AS327" s="3285"/>
      <c r="AT327" s="3285"/>
      <c r="AU327" s="3285"/>
      <c r="AV327" s="3285"/>
      <c r="AW327" s="3285"/>
      <c r="AX327" s="3284"/>
      <c r="AY327" s="3286"/>
      <c r="AZ327" s="3286"/>
      <c r="BA327" s="3286"/>
      <c r="BB327" s="3286"/>
      <c r="BC327" s="3286"/>
      <c r="BD327" s="3286"/>
      <c r="BE327" s="3286"/>
      <c r="BF327" s="3286"/>
      <c r="BG327" s="3286"/>
      <c r="BH327" s="3274"/>
      <c r="BJ327" s="3271"/>
      <c r="BK327" s="3283"/>
      <c r="BL327" s="3287"/>
      <c r="BM327" s="3284"/>
      <c r="BN327" s="3285"/>
      <c r="BO327" s="3285"/>
      <c r="BP327" s="3285"/>
      <c r="BQ327" s="3285"/>
      <c r="BR327" s="3285"/>
      <c r="BS327" s="3285"/>
      <c r="BT327" s="3285"/>
      <c r="BU327" s="3285"/>
    </row>
    <row r="365" spans="4:64">
      <c r="AZ365"/>
      <c r="BA365"/>
    </row>
    <row r="368" spans="4:64">
      <c r="D368" s="3601"/>
      <c r="E368" s="3601"/>
      <c r="F368" s="3601"/>
      <c r="G368" s="3601"/>
      <c r="H368" s="3601"/>
      <c r="I368" s="3601"/>
      <c r="J368" s="3601"/>
      <c r="K368" s="3601"/>
      <c r="L368" s="3601"/>
      <c r="M368" s="3601"/>
      <c r="N368" s="3601"/>
      <c r="O368" s="3601"/>
      <c r="P368" s="3601"/>
      <c r="Q368" s="3601"/>
      <c r="R368" s="3601"/>
      <c r="S368" s="3601"/>
      <c r="T368" s="3601"/>
      <c r="U368" s="3601"/>
      <c r="V368" s="3601"/>
      <c r="W368" s="3601"/>
      <c r="X368" s="3601"/>
      <c r="Y368" s="3601"/>
      <c r="Z368" s="3601"/>
      <c r="AA368" s="3601"/>
      <c r="AB368" s="3601"/>
      <c r="AC368" s="3601"/>
      <c r="AD368" s="3601"/>
      <c r="AE368" s="3601"/>
      <c r="AF368" s="3601"/>
      <c r="AG368" s="3601"/>
      <c r="AH368" s="3601"/>
      <c r="AI368" s="3601"/>
      <c r="AJ368" s="3601"/>
      <c r="AK368" s="3601"/>
      <c r="AL368" s="3601"/>
      <c r="AM368" s="3601"/>
      <c r="AN368" s="3601"/>
      <c r="AO368" s="3601"/>
      <c r="AP368" s="3601"/>
      <c r="AQ368" s="3601"/>
      <c r="AR368" s="3601"/>
      <c r="AS368" s="3601"/>
      <c r="AT368" s="3601"/>
      <c r="AU368" s="3601"/>
      <c r="AV368" s="3601"/>
      <c r="AW368" s="3601"/>
      <c r="AX368" s="3601"/>
      <c r="AY368" s="3601"/>
      <c r="AZ368" s="3288">
        <v>2050</v>
      </c>
      <c r="BA368" s="3601"/>
      <c r="BB368" s="3601"/>
      <c r="BC368" s="3601"/>
      <c r="BD368" s="3601"/>
      <c r="BE368" s="3601"/>
      <c r="BF368" s="3601"/>
      <c r="BG368" s="3601"/>
      <c r="BH368" s="3601"/>
      <c r="BI368" s="3601"/>
      <c r="BJ368" s="3601"/>
      <c r="BK368" s="3601"/>
      <c r="BL368" s="3601"/>
    </row>
    <row r="369" spans="1:64">
      <c r="A369" s="39"/>
      <c r="B369" s="39"/>
      <c r="C369" s="39"/>
      <c r="D369" s="3601" t="s">
        <v>2578</v>
      </c>
      <c r="E369" s="3601"/>
      <c r="F369" s="3601"/>
      <c r="G369" s="3601"/>
      <c r="H369" s="3601"/>
      <c r="I369" s="3601"/>
      <c r="J369" s="3601"/>
      <c r="K369" s="3601"/>
      <c r="L369" s="3601"/>
      <c r="M369" s="3601"/>
      <c r="N369" s="3601"/>
      <c r="O369" s="3601"/>
      <c r="P369" s="3601"/>
      <c r="Q369" s="3601"/>
      <c r="R369" s="3601"/>
      <c r="S369" s="3601"/>
      <c r="T369" s="3601"/>
      <c r="U369" s="3601"/>
      <c r="V369" s="3601"/>
      <c r="W369" s="3601"/>
      <c r="X369" s="3601"/>
      <c r="Y369" s="3601"/>
      <c r="Z369" s="3601"/>
      <c r="AA369" s="3601"/>
      <c r="AB369" s="3601"/>
      <c r="AC369" s="3601"/>
      <c r="AD369" s="3601"/>
      <c r="AE369" s="3601"/>
      <c r="AF369" s="3601"/>
      <c r="AG369" s="3601"/>
      <c r="AH369" s="3601"/>
      <c r="AI369" s="3601"/>
      <c r="AJ369" s="3601"/>
      <c r="AK369" s="3601"/>
      <c r="AL369" s="3601"/>
      <c r="AM369" s="3601"/>
      <c r="AN369" s="3601"/>
      <c r="AO369" s="3601"/>
      <c r="AP369" s="3601"/>
      <c r="AQ369" s="3601"/>
      <c r="AR369" s="3601"/>
      <c r="AS369" s="3601"/>
      <c r="AT369" s="3601"/>
      <c r="AU369" s="3601"/>
      <c r="AV369" s="3601"/>
      <c r="AW369" s="3601"/>
      <c r="AX369" s="3601"/>
      <c r="AY369" s="3289" t="s">
        <v>2579</v>
      </c>
      <c r="AZ369" s="356" t="str">
        <f>Preferences.EnergyUnits</f>
        <v>TWh</v>
      </c>
      <c r="BA369" s="3290" t="s">
        <v>2580</v>
      </c>
      <c r="BB369" s="3601"/>
      <c r="BC369" s="3601"/>
      <c r="BD369" s="3601"/>
      <c r="BE369" s="3289" t="s">
        <v>2581</v>
      </c>
      <c r="BF369" s="3601" t="s">
        <v>2582</v>
      </c>
      <c r="BG369" s="3601" t="s">
        <v>2583</v>
      </c>
      <c r="BH369" s="3601" t="s">
        <v>159</v>
      </c>
      <c r="BI369" s="3601" t="s">
        <v>2584</v>
      </c>
      <c r="BJ369" s="3601"/>
      <c r="BK369" s="3601"/>
      <c r="BL369" s="3601"/>
    </row>
    <row r="370" spans="1:64">
      <c r="C370" s="985"/>
      <c r="D370" s="2091"/>
      <c r="E370" s="3601"/>
      <c r="F370" s="985"/>
      <c r="G370" s="985"/>
      <c r="H370" s="985"/>
      <c r="I370" s="985"/>
      <c r="J370" s="985"/>
      <c r="K370" s="985"/>
      <c r="L370" s="985"/>
      <c r="M370" s="985"/>
      <c r="N370" s="985"/>
      <c r="O370" s="985"/>
      <c r="P370" s="985"/>
      <c r="Q370" s="985"/>
      <c r="R370" s="985"/>
      <c r="S370" s="985"/>
      <c r="T370" s="985"/>
      <c r="U370" s="985"/>
      <c r="V370" s="985"/>
      <c r="W370" s="985"/>
      <c r="X370" s="985"/>
      <c r="Y370" s="985"/>
      <c r="Z370" s="985"/>
      <c r="AA370" s="985"/>
      <c r="AB370" s="985"/>
      <c r="AC370" s="985"/>
      <c r="AD370" s="985"/>
      <c r="AE370" s="985"/>
      <c r="AF370" s="985"/>
      <c r="AG370" s="985"/>
      <c r="AH370" s="985"/>
      <c r="AI370" s="985"/>
      <c r="AJ370" s="985"/>
      <c r="AK370" s="985"/>
      <c r="AL370" s="985"/>
      <c r="AM370" s="985"/>
      <c r="AN370" s="985"/>
      <c r="AO370" s="985"/>
      <c r="AP370" s="985"/>
      <c r="AQ370" s="985"/>
      <c r="AR370" s="985"/>
      <c r="AS370" s="985"/>
      <c r="AT370" s="985"/>
      <c r="AU370" s="985"/>
      <c r="AV370" s="985"/>
      <c r="AW370" s="985"/>
      <c r="AX370" s="3601"/>
      <c r="AY370" s="3291" t="s">
        <v>2693</v>
      </c>
      <c r="AZ370" s="3292">
        <f ca="1">$BG$38</f>
        <v>0</v>
      </c>
      <c r="BA370" s="2980" t="s">
        <v>146</v>
      </c>
      <c r="BB370" s="3601"/>
      <c r="BC370" s="3601"/>
      <c r="BD370" s="3601"/>
      <c r="BE370" s="3291" t="s">
        <v>2585</v>
      </c>
      <c r="BF370" s="2091">
        <f t="shared" ref="BF370:BF420" si="93">SUMIF($AY$370:$AY$460,$BE370,$AZ$370:$AZ$460)</f>
        <v>3.1417072078883246</v>
      </c>
      <c r="BG370" s="2091">
        <f t="shared" ref="BG370:BG420" si="94">SUMIF($BA$370:$BA$460,$BE370,$AZ$370:$AZ$460)</f>
        <v>0</v>
      </c>
      <c r="BH370" s="985">
        <f>BF370-BG370</f>
        <v>3.1417072078883246</v>
      </c>
      <c r="BI370" s="3601" t="str">
        <f>IF(BH370=0,"ok",IF(ABS(BH370)=SUM(BF370:BG370),"ok","error"))</f>
        <v>ok</v>
      </c>
      <c r="BJ370" s="985"/>
      <c r="BK370" s="985"/>
      <c r="BL370" s="985"/>
    </row>
    <row r="371" spans="1:64">
      <c r="C371" s="985"/>
      <c r="D371" s="2091"/>
      <c r="E371" s="3601"/>
      <c r="F371" s="985"/>
      <c r="G371" s="985"/>
      <c r="H371" s="985"/>
      <c r="I371" s="985"/>
      <c r="J371" s="985"/>
      <c r="K371" s="985"/>
      <c r="L371" s="985"/>
      <c r="M371" s="985"/>
      <c r="N371" s="985"/>
      <c r="O371" s="985"/>
      <c r="P371" s="985"/>
      <c r="Q371" s="985"/>
      <c r="R371" s="985"/>
      <c r="S371" s="985"/>
      <c r="T371" s="985"/>
      <c r="U371" s="985"/>
      <c r="V371" s="985"/>
      <c r="W371" s="985"/>
      <c r="X371" s="985"/>
      <c r="Y371" s="985"/>
      <c r="Z371" s="985"/>
      <c r="AA371" s="985"/>
      <c r="AB371" s="985"/>
      <c r="AC371" s="985"/>
      <c r="AD371" s="985"/>
      <c r="AE371" s="985"/>
      <c r="AF371" s="985"/>
      <c r="AG371" s="985"/>
      <c r="AH371" s="985"/>
      <c r="AI371" s="985"/>
      <c r="AJ371" s="985"/>
      <c r="AK371" s="985"/>
      <c r="AL371" s="985"/>
      <c r="AM371" s="985"/>
      <c r="AN371" s="985"/>
      <c r="AO371" s="985"/>
      <c r="AP371" s="985"/>
      <c r="AQ371" s="985"/>
      <c r="AR371" s="985"/>
      <c r="AS371" s="985"/>
      <c r="AT371" s="985"/>
      <c r="AU371" s="985"/>
      <c r="AV371" s="985"/>
      <c r="AW371" s="985"/>
      <c r="AX371" s="3601"/>
      <c r="AY371" s="3291" t="s">
        <v>2586</v>
      </c>
      <c r="AZ371" s="3292">
        <f ca="1">MAX(BG37,0)</f>
        <v>2.6655686309587772</v>
      </c>
      <c r="BA371" s="2980" t="s">
        <v>146</v>
      </c>
      <c r="BB371" s="3601"/>
      <c r="BC371" s="3601"/>
      <c r="BD371" s="3601"/>
      <c r="BE371" s="3291" t="s">
        <v>392</v>
      </c>
      <c r="BF371" s="2091">
        <f t="shared" si="93"/>
        <v>0</v>
      </c>
      <c r="BG371" s="2091">
        <f t="shared" si="94"/>
        <v>3.3265731189982697</v>
      </c>
      <c r="BH371" s="985">
        <f t="shared" ref="BH371:BH420" si="95">BF371-BG371</f>
        <v>-3.3265731189982697</v>
      </c>
      <c r="BI371" s="3601" t="str">
        <f t="shared" ref="BI371:BI420" si="96">IF(BH371=0,"ok",IF(ABS(BH371)=SUM(BF371:BG371),"ok","error"))</f>
        <v>ok</v>
      </c>
      <c r="BJ371" s="985"/>
      <c r="BK371" s="985"/>
      <c r="BL371" s="985"/>
    </row>
    <row r="372" spans="1:64">
      <c r="C372" s="985"/>
      <c r="D372" s="2091"/>
      <c r="E372" s="3601"/>
      <c r="F372" s="985"/>
      <c r="G372" s="985"/>
      <c r="H372" s="985"/>
      <c r="I372" s="985"/>
      <c r="J372" s="985"/>
      <c r="K372" s="985"/>
      <c r="L372" s="985"/>
      <c r="M372" s="985"/>
      <c r="N372" s="985"/>
      <c r="O372" s="985"/>
      <c r="P372" s="985"/>
      <c r="Q372" s="985"/>
      <c r="R372" s="985"/>
      <c r="S372" s="985"/>
      <c r="T372" s="985"/>
      <c r="U372" s="985"/>
      <c r="V372" s="985"/>
      <c r="W372" s="985"/>
      <c r="X372" s="985"/>
      <c r="Y372" s="985"/>
      <c r="Z372" s="985"/>
      <c r="AA372" s="985"/>
      <c r="AB372" s="985"/>
      <c r="AC372" s="985"/>
      <c r="AD372" s="985"/>
      <c r="AE372" s="985"/>
      <c r="AF372" s="985"/>
      <c r="AG372" s="985"/>
      <c r="AH372" s="985"/>
      <c r="AI372" s="985"/>
      <c r="AJ372" s="985"/>
      <c r="AK372" s="985"/>
      <c r="AL372" s="985"/>
      <c r="AM372" s="985"/>
      <c r="AN372" s="985"/>
      <c r="AO372" s="985"/>
      <c r="AP372" s="985"/>
      <c r="AQ372" s="985"/>
      <c r="AR372" s="985"/>
      <c r="AS372" s="985"/>
      <c r="AT372" s="985"/>
      <c r="AU372" s="985"/>
      <c r="AV372" s="985"/>
      <c r="AW372" s="985"/>
      <c r="AX372" s="3601"/>
      <c r="AY372" s="3291" t="s">
        <v>379</v>
      </c>
      <c r="AZ372" s="3292">
        <f ca="1">BG40</f>
        <v>0</v>
      </c>
      <c r="BA372" s="2980" t="s">
        <v>144</v>
      </c>
      <c r="BB372" s="3601"/>
      <c r="BC372" s="3601"/>
      <c r="BD372" s="3601"/>
      <c r="BE372" s="3291" t="s">
        <v>2587</v>
      </c>
      <c r="BF372" s="2091">
        <f ca="1">SUMIF($AY$370:$AY$460,$BE372,$AZ$370:$AZ$460)</f>
        <v>4.2641940046465097</v>
      </c>
      <c r="BG372" s="2091">
        <f t="shared" si="94"/>
        <v>4.2641940046465088</v>
      </c>
      <c r="BH372" s="3296">
        <f t="shared" ca="1" si="95"/>
        <v>0</v>
      </c>
      <c r="BI372" s="3601" t="str">
        <f t="shared" ca="1" si="96"/>
        <v>ok</v>
      </c>
      <c r="BJ372" s="985"/>
      <c r="BK372" s="985"/>
      <c r="BL372" s="985"/>
    </row>
    <row r="373" spans="1:64">
      <c r="C373" s="985"/>
      <c r="D373" s="2091"/>
      <c r="E373" s="3601"/>
      <c r="F373" s="985"/>
      <c r="G373" s="985"/>
      <c r="H373" s="985"/>
      <c r="I373" s="985"/>
      <c r="J373" s="985"/>
      <c r="K373" s="985"/>
      <c r="L373" s="985"/>
      <c r="M373" s="985"/>
      <c r="N373" s="985"/>
      <c r="O373" s="985"/>
      <c r="P373" s="985"/>
      <c r="Q373" s="985"/>
      <c r="R373" s="985"/>
      <c r="S373" s="985"/>
      <c r="T373" s="985"/>
      <c r="U373" s="985"/>
      <c r="V373" s="985"/>
      <c r="W373" s="985"/>
      <c r="X373" s="985"/>
      <c r="Y373" s="985"/>
      <c r="Z373" s="985"/>
      <c r="AA373" s="985"/>
      <c r="AB373" s="985"/>
      <c r="AC373" s="985"/>
      <c r="AD373" s="985"/>
      <c r="AE373" s="985"/>
      <c r="AF373" s="985"/>
      <c r="AG373" s="985"/>
      <c r="AH373" s="985"/>
      <c r="AI373" s="985"/>
      <c r="AJ373" s="985"/>
      <c r="AK373" s="985"/>
      <c r="AL373" s="985"/>
      <c r="AM373" s="985"/>
      <c r="AN373" s="985"/>
      <c r="AO373" s="985"/>
      <c r="AP373" s="985"/>
      <c r="AQ373" s="985"/>
      <c r="AR373" s="985"/>
      <c r="AS373" s="985"/>
      <c r="AT373" s="985"/>
      <c r="AU373" s="985"/>
      <c r="AV373" s="985"/>
      <c r="AW373" s="985"/>
      <c r="AX373" s="3601"/>
      <c r="AY373" s="3291" t="s">
        <v>2588</v>
      </c>
      <c r="AZ373" s="3292">
        <f ca="1">MAX(BG41,0)</f>
        <v>74.505208807877793</v>
      </c>
      <c r="BA373" s="2980" t="s">
        <v>144</v>
      </c>
      <c r="BB373" s="3601"/>
      <c r="BC373" s="3601"/>
      <c r="BD373" s="3601"/>
      <c r="BE373" s="3291" t="s">
        <v>2589</v>
      </c>
      <c r="BF373" s="2091">
        <f t="shared" ca="1" si="93"/>
        <v>0</v>
      </c>
      <c r="BG373" s="2091">
        <f t="shared" si="94"/>
        <v>0</v>
      </c>
      <c r="BH373" s="985">
        <f t="shared" ca="1" si="95"/>
        <v>0</v>
      </c>
      <c r="BI373" s="39" t="str">
        <f ca="1">IF(BH373=0,"ok",IF((BH373)=SUM(BF373:BG373),"ok","error"))</f>
        <v>ok</v>
      </c>
      <c r="BJ373" s="3934" t="s">
        <v>3192</v>
      </c>
      <c r="BK373" s="985"/>
      <c r="BL373" s="985"/>
    </row>
    <row r="374" spans="1:64">
      <c r="C374" s="985"/>
      <c r="D374" s="2091"/>
      <c r="E374" s="3601"/>
      <c r="F374" s="985"/>
      <c r="G374" s="985"/>
      <c r="H374" s="985"/>
      <c r="I374" s="985"/>
      <c r="J374" s="985"/>
      <c r="K374" s="985"/>
      <c r="L374" s="985"/>
      <c r="M374" s="985"/>
      <c r="N374" s="985"/>
      <c r="O374" s="985"/>
      <c r="P374" s="985"/>
      <c r="Q374" s="985"/>
      <c r="R374" s="985"/>
      <c r="S374" s="985"/>
      <c r="T374" s="985"/>
      <c r="U374" s="985"/>
      <c r="V374" s="985"/>
      <c r="W374" s="985"/>
      <c r="X374" s="985"/>
      <c r="Y374" s="985"/>
      <c r="Z374" s="985"/>
      <c r="AA374" s="985"/>
      <c r="AB374" s="985"/>
      <c r="AC374" s="985"/>
      <c r="AD374" s="985"/>
      <c r="AE374" s="985"/>
      <c r="AF374" s="985"/>
      <c r="AG374" s="985"/>
      <c r="AH374" s="985"/>
      <c r="AI374" s="985"/>
      <c r="AJ374" s="985"/>
      <c r="AK374" s="985"/>
      <c r="AL374" s="985"/>
      <c r="AM374" s="985"/>
      <c r="AN374" s="985"/>
      <c r="AO374" s="985"/>
      <c r="AP374" s="985"/>
      <c r="AQ374" s="985"/>
      <c r="AR374" s="985"/>
      <c r="AS374" s="985"/>
      <c r="AT374" s="985"/>
      <c r="AU374" s="985"/>
      <c r="AV374" s="985"/>
      <c r="AW374" s="985"/>
      <c r="AX374" s="3601"/>
      <c r="AY374" s="3291" t="s">
        <v>380</v>
      </c>
      <c r="AZ374" s="3292">
        <f ca="1">BG45</f>
        <v>0</v>
      </c>
      <c r="BA374" s="3293" t="s">
        <v>2590</v>
      </c>
      <c r="BB374" s="3601"/>
      <c r="BC374" s="3601"/>
      <c r="BD374" s="3601"/>
      <c r="BE374" s="3291" t="s">
        <v>2591</v>
      </c>
      <c r="BF374" s="2091">
        <f t="shared" ca="1" si="93"/>
        <v>0</v>
      </c>
      <c r="BG374" s="2091">
        <f t="shared" si="94"/>
        <v>0</v>
      </c>
      <c r="BH374" s="985">
        <f t="shared" ca="1" si="95"/>
        <v>0</v>
      </c>
      <c r="BI374" s="39" t="str">
        <f ca="1">IF(BH374=0,"ok",IF((BH374)=SUM(BF374:BG374),"ok","error"))</f>
        <v>ok</v>
      </c>
      <c r="BJ374" s="3934" t="s">
        <v>3192</v>
      </c>
      <c r="BK374" s="985"/>
      <c r="BL374" s="985"/>
    </row>
    <row r="375" spans="1:64">
      <c r="C375" s="985"/>
      <c r="D375" s="2091"/>
      <c r="E375" s="3601"/>
      <c r="F375" s="985"/>
      <c r="G375" s="985"/>
      <c r="H375" s="985"/>
      <c r="I375" s="985"/>
      <c r="J375" s="985"/>
      <c r="K375" s="985"/>
      <c r="L375" s="985"/>
      <c r="M375" s="985"/>
      <c r="N375" s="985"/>
      <c r="O375" s="985"/>
      <c r="P375" s="985"/>
      <c r="Q375" s="985"/>
      <c r="R375" s="985"/>
      <c r="S375" s="985"/>
      <c r="T375" s="985"/>
      <c r="U375" s="985"/>
      <c r="V375" s="985"/>
      <c r="W375" s="985"/>
      <c r="X375" s="985"/>
      <c r="Y375" s="985"/>
      <c r="Z375" s="985"/>
      <c r="AA375" s="985"/>
      <c r="AB375" s="985"/>
      <c r="AC375" s="985"/>
      <c r="AD375" s="985"/>
      <c r="AE375" s="985"/>
      <c r="AF375" s="985"/>
      <c r="AG375" s="985"/>
      <c r="AH375" s="985"/>
      <c r="AI375" s="985"/>
      <c r="AJ375" s="985"/>
      <c r="AK375" s="985"/>
      <c r="AL375" s="985"/>
      <c r="AM375" s="985"/>
      <c r="AN375" s="985"/>
      <c r="AO375" s="985"/>
      <c r="AP375" s="985"/>
      <c r="AQ375" s="985"/>
      <c r="AR375" s="985"/>
      <c r="AS375" s="985"/>
      <c r="AT375" s="985"/>
      <c r="AU375" s="985"/>
      <c r="AV375" s="985"/>
      <c r="AW375" s="985"/>
      <c r="AX375" s="3601"/>
      <c r="AY375" s="3291" t="s">
        <v>2592</v>
      </c>
      <c r="AZ375" s="3292">
        <f ca="1">MAX(BG44,0)</f>
        <v>135.74178666175516</v>
      </c>
      <c r="BA375" s="3293" t="s">
        <v>2590</v>
      </c>
      <c r="BB375" s="3601"/>
      <c r="BC375" s="3601"/>
      <c r="BD375" s="3601"/>
      <c r="BE375" s="3291" t="s">
        <v>2593</v>
      </c>
      <c r="BF375" s="2091">
        <f t="shared" ca="1" si="93"/>
        <v>0</v>
      </c>
      <c r="BG375" s="2091">
        <f t="shared" ca="1" si="94"/>
        <v>0</v>
      </c>
      <c r="BH375" s="3296">
        <f t="shared" ca="1" si="95"/>
        <v>0</v>
      </c>
      <c r="BI375" s="3601" t="str">
        <f t="shared" ca="1" si="96"/>
        <v>ok</v>
      </c>
      <c r="BJ375" s="985"/>
      <c r="BK375" s="985"/>
      <c r="BL375" s="985"/>
    </row>
    <row r="376" spans="1:64">
      <c r="C376" s="985"/>
      <c r="D376" s="2091"/>
      <c r="E376" s="3601"/>
      <c r="F376" s="985"/>
      <c r="G376" s="985"/>
      <c r="H376" s="985"/>
      <c r="I376" s="985"/>
      <c r="J376" s="985"/>
      <c r="K376" s="985"/>
      <c r="L376" s="985"/>
      <c r="M376" s="985"/>
      <c r="N376" s="985"/>
      <c r="O376" s="985"/>
      <c r="P376" s="985"/>
      <c r="Q376" s="985"/>
      <c r="R376" s="985"/>
      <c r="S376" s="985"/>
      <c r="T376" s="985"/>
      <c r="U376" s="985"/>
      <c r="V376" s="985"/>
      <c r="W376" s="985"/>
      <c r="X376" s="985"/>
      <c r="Y376" s="985"/>
      <c r="Z376" s="985"/>
      <c r="AA376" s="985"/>
      <c r="AB376" s="985"/>
      <c r="AC376" s="985"/>
      <c r="AD376" s="985"/>
      <c r="AE376" s="985"/>
      <c r="AF376" s="985"/>
      <c r="AG376" s="985"/>
      <c r="AH376" s="985"/>
      <c r="AI376" s="985"/>
      <c r="AJ376" s="985"/>
      <c r="AK376" s="985"/>
      <c r="AL376" s="985"/>
      <c r="AM376" s="985"/>
      <c r="AN376" s="985"/>
      <c r="AO376" s="985"/>
      <c r="AP376" s="985"/>
      <c r="AQ376" s="985"/>
      <c r="AR376" s="985"/>
      <c r="AS376" s="985"/>
      <c r="AT376" s="985"/>
      <c r="AU376" s="985"/>
      <c r="AV376" s="985"/>
      <c r="AW376" s="985"/>
      <c r="AX376" s="3601"/>
      <c r="AY376" s="3291" t="s">
        <v>3096</v>
      </c>
      <c r="AZ376" s="3888">
        <f>VI.a!N396+VI.a!N409</f>
        <v>0.43272416622880361</v>
      </c>
      <c r="BA376" s="2980" t="s">
        <v>2587</v>
      </c>
      <c r="BB376" s="3601"/>
      <c r="BC376" s="3601"/>
      <c r="BD376" s="3601"/>
      <c r="BE376" s="3291" t="s">
        <v>146</v>
      </c>
      <c r="BF376" s="2091">
        <f t="shared" ca="1" si="93"/>
        <v>2.6655686309587772</v>
      </c>
      <c r="BG376" s="2091">
        <f t="shared" ca="1" si="94"/>
        <v>2.6655686309587772</v>
      </c>
      <c r="BH376" s="985">
        <f t="shared" ca="1" si="95"/>
        <v>0</v>
      </c>
      <c r="BI376" s="3601" t="str">
        <f t="shared" ca="1" si="96"/>
        <v>ok</v>
      </c>
      <c r="BJ376" s="985"/>
      <c r="BK376" s="985"/>
      <c r="BL376" s="985"/>
    </row>
    <row r="377" spans="1:64">
      <c r="C377" s="985"/>
      <c r="D377" s="2091"/>
      <c r="E377" s="3601"/>
      <c r="F377" s="985"/>
      <c r="G377" s="985"/>
      <c r="H377" s="985"/>
      <c r="I377" s="985"/>
      <c r="J377" s="985"/>
      <c r="K377" s="985"/>
      <c r="L377" s="985"/>
      <c r="M377" s="985"/>
      <c r="N377" s="985"/>
      <c r="O377" s="985"/>
      <c r="P377" s="985"/>
      <c r="Q377" s="985"/>
      <c r="R377" s="985"/>
      <c r="S377" s="985"/>
      <c r="T377" s="985"/>
      <c r="U377" s="985"/>
      <c r="V377" s="985"/>
      <c r="W377" s="985"/>
      <c r="X377" s="985"/>
      <c r="Y377" s="985"/>
      <c r="Z377" s="985"/>
      <c r="AA377" s="985"/>
      <c r="AB377" s="985"/>
      <c r="AC377" s="985"/>
      <c r="AD377" s="985"/>
      <c r="AE377" s="985"/>
      <c r="AF377" s="985"/>
      <c r="AG377" s="985"/>
      <c r="AH377" s="985"/>
      <c r="AI377" s="985"/>
      <c r="AJ377" s="985"/>
      <c r="AK377" s="985"/>
      <c r="AL377" s="985"/>
      <c r="AM377" s="985"/>
      <c r="AN377" s="985"/>
      <c r="AO377" s="985"/>
      <c r="AP377" s="985"/>
      <c r="AQ377" s="985"/>
      <c r="AR377" s="985"/>
      <c r="AS377" s="985"/>
      <c r="AT377" s="985"/>
      <c r="AU377" s="985"/>
      <c r="AV377" s="985"/>
      <c r="AW377" s="985"/>
      <c r="AX377" s="3601"/>
      <c r="AY377" s="3291" t="s">
        <v>498</v>
      </c>
      <c r="AZ377" s="3292">
        <f>VI.c!N62</f>
        <v>0</v>
      </c>
      <c r="BA377" s="2980" t="s">
        <v>2587</v>
      </c>
      <c r="BB377" s="3601"/>
      <c r="BC377" s="3601"/>
      <c r="BD377" s="3601"/>
      <c r="BE377" s="3291" t="s">
        <v>2586</v>
      </c>
      <c r="BF377" s="2091">
        <f t="shared" ca="1" si="93"/>
        <v>2.6655686309587772</v>
      </c>
      <c r="BG377" s="2091">
        <f t="shared" si="94"/>
        <v>0</v>
      </c>
      <c r="BH377" s="985">
        <f t="shared" ca="1" si="95"/>
        <v>2.6655686309587772</v>
      </c>
      <c r="BI377" s="3601" t="str">
        <f t="shared" ca="1" si="96"/>
        <v>ok</v>
      </c>
      <c r="BJ377" s="985"/>
      <c r="BK377" s="985"/>
      <c r="BL377" s="985"/>
    </row>
    <row r="378" spans="1:64">
      <c r="C378" s="985"/>
      <c r="D378" s="2091"/>
      <c r="E378" s="3601"/>
      <c r="F378" s="985"/>
      <c r="G378" s="985"/>
      <c r="H378" s="985"/>
      <c r="I378" s="985"/>
      <c r="J378" s="985"/>
      <c r="K378" s="985"/>
      <c r="L378" s="985"/>
      <c r="M378" s="985"/>
      <c r="N378" s="985"/>
      <c r="O378" s="985"/>
      <c r="P378" s="985"/>
      <c r="Q378" s="985"/>
      <c r="R378" s="985"/>
      <c r="S378" s="985"/>
      <c r="T378" s="985"/>
      <c r="U378" s="985"/>
      <c r="V378" s="985"/>
      <c r="W378" s="985"/>
      <c r="X378" s="985"/>
      <c r="Y378" s="985"/>
      <c r="Z378" s="985"/>
      <c r="AA378" s="985"/>
      <c r="AB378" s="985"/>
      <c r="AC378" s="985"/>
      <c r="AD378" s="985"/>
      <c r="AE378" s="985"/>
      <c r="AF378" s="985"/>
      <c r="AG378" s="985"/>
      <c r="AH378" s="985"/>
      <c r="AI378" s="985"/>
      <c r="AJ378" s="985"/>
      <c r="AK378" s="985"/>
      <c r="AL378" s="985"/>
      <c r="AM378" s="985"/>
      <c r="AN378" s="985"/>
      <c r="AO378" s="985"/>
      <c r="AP378" s="985"/>
      <c r="AQ378" s="985"/>
      <c r="AR378" s="985"/>
      <c r="AS378" s="985"/>
      <c r="AT378" s="985"/>
      <c r="AU378" s="985"/>
      <c r="AV378" s="985"/>
      <c r="AW378" s="985"/>
      <c r="AX378" s="3601"/>
      <c r="AY378" s="3291" t="s">
        <v>2585</v>
      </c>
      <c r="AZ378" s="3292">
        <f>VI.a!N445+VI.a!N446</f>
        <v>3.1417072078883246</v>
      </c>
      <c r="BA378" s="2980" t="s">
        <v>2587</v>
      </c>
      <c r="BB378" s="3601"/>
      <c r="BC378" s="3601"/>
      <c r="BD378" s="3601"/>
      <c r="BE378" s="3291" t="s">
        <v>378</v>
      </c>
      <c r="BF378" s="2091">
        <f t="shared" si="93"/>
        <v>0</v>
      </c>
      <c r="BG378" s="2091">
        <f t="shared" si="94"/>
        <v>0</v>
      </c>
      <c r="BH378" s="985">
        <f t="shared" si="95"/>
        <v>0</v>
      </c>
      <c r="BI378" s="3601" t="str">
        <f t="shared" si="96"/>
        <v>ok</v>
      </c>
      <c r="BJ378" s="985"/>
      <c r="BK378" s="985"/>
      <c r="BL378" s="985"/>
    </row>
    <row r="379" spans="1:64">
      <c r="C379" s="985"/>
      <c r="D379" s="2091"/>
      <c r="E379" s="3601"/>
      <c r="F379" s="985"/>
      <c r="G379" s="985"/>
      <c r="H379" s="985"/>
      <c r="I379" s="985"/>
      <c r="J379" s="985"/>
      <c r="K379" s="985"/>
      <c r="L379" s="985"/>
      <c r="M379" s="985"/>
      <c r="N379" s="985"/>
      <c r="O379" s="985"/>
      <c r="P379" s="985"/>
      <c r="Q379" s="985"/>
      <c r="R379" s="985"/>
      <c r="S379" s="985"/>
      <c r="T379" s="985"/>
      <c r="U379" s="985"/>
      <c r="V379" s="985"/>
      <c r="W379" s="985"/>
      <c r="X379" s="985"/>
      <c r="Y379" s="985"/>
      <c r="Z379" s="985"/>
      <c r="AA379" s="985"/>
      <c r="AB379" s="985"/>
      <c r="AC379" s="985"/>
      <c r="AD379" s="985"/>
      <c r="AE379" s="985"/>
      <c r="AF379" s="985"/>
      <c r="AG379" s="985"/>
      <c r="AH379" s="985"/>
      <c r="AI379" s="985"/>
      <c r="AJ379" s="985"/>
      <c r="AK379" s="985"/>
      <c r="AL379" s="985"/>
      <c r="AM379" s="985"/>
      <c r="AN379" s="985"/>
      <c r="AO379" s="985"/>
      <c r="AP379" s="985"/>
      <c r="AQ379" s="985"/>
      <c r="AR379" s="985"/>
      <c r="AS379" s="985"/>
      <c r="AT379" s="985"/>
      <c r="AU379" s="985"/>
      <c r="AV379" s="985"/>
      <c r="AW379" s="985"/>
      <c r="AX379" s="3601"/>
      <c r="AY379" s="3291" t="s">
        <v>2595</v>
      </c>
      <c r="AZ379" s="3292">
        <f>VI.b!N547+VI.b!N548+VI.b!N549</f>
        <v>0.68976263052938069</v>
      </c>
      <c r="BA379" s="2980" t="s">
        <v>2587</v>
      </c>
      <c r="BB379" s="3601"/>
      <c r="BC379" s="3601"/>
      <c r="BD379" s="3601"/>
      <c r="BE379" s="3294" t="s">
        <v>536</v>
      </c>
      <c r="BF379" s="2091">
        <f t="shared" ca="1" si="93"/>
        <v>2.6537999724419409E-2</v>
      </c>
      <c r="BG379" s="2091">
        <f t="shared" ca="1" si="94"/>
        <v>2.6537999724419409E-2</v>
      </c>
      <c r="BH379" s="985">
        <f ca="1">BF379-BG379</f>
        <v>0</v>
      </c>
      <c r="BI379" s="3601" t="str">
        <f t="shared" ca="1" si="96"/>
        <v>ok</v>
      </c>
      <c r="BJ379" s="985"/>
      <c r="BK379" s="985"/>
      <c r="BL379" s="985"/>
    </row>
    <row r="380" spans="1:64">
      <c r="C380" s="985"/>
      <c r="D380" s="2091"/>
      <c r="E380" s="3601"/>
      <c r="F380" s="985"/>
      <c r="G380" s="985"/>
      <c r="H380" s="985"/>
      <c r="I380" s="985"/>
      <c r="J380" s="985"/>
      <c r="K380" s="985"/>
      <c r="L380" s="985"/>
      <c r="M380" s="985"/>
      <c r="N380" s="985"/>
      <c r="O380" s="985"/>
      <c r="P380" s="985"/>
      <c r="Q380" s="985"/>
      <c r="R380" s="985"/>
      <c r="S380" s="985"/>
      <c r="T380" s="985"/>
      <c r="U380" s="985"/>
      <c r="V380" s="985"/>
      <c r="W380" s="985"/>
      <c r="X380" s="985"/>
      <c r="Y380" s="985"/>
      <c r="Z380" s="985"/>
      <c r="AA380" s="985"/>
      <c r="AB380" s="985"/>
      <c r="AC380" s="985"/>
      <c r="AD380" s="985"/>
      <c r="AE380" s="985"/>
      <c r="AF380" s="985"/>
      <c r="AG380" s="985"/>
      <c r="AH380" s="985"/>
      <c r="AI380" s="985"/>
      <c r="AJ380" s="985"/>
      <c r="AK380" s="985"/>
      <c r="AL380" s="985"/>
      <c r="AM380" s="985"/>
      <c r="AN380" s="985"/>
      <c r="AO380" s="985"/>
      <c r="AP380" s="985"/>
      <c r="AQ380" s="985"/>
      <c r="AR380" s="985"/>
      <c r="AS380" s="985"/>
      <c r="AT380" s="985"/>
      <c r="AU380" s="985"/>
      <c r="AV380" s="985"/>
      <c r="AW380" s="985"/>
      <c r="AX380" s="3601"/>
      <c r="AY380" s="1419" t="s">
        <v>2595</v>
      </c>
      <c r="AZ380" s="3889">
        <f>VI.b!N546</f>
        <v>0.24387437185929645</v>
      </c>
      <c r="BA380" s="1219" t="s">
        <v>16</v>
      </c>
      <c r="BB380" s="39"/>
      <c r="BC380" s="3601"/>
      <c r="BD380" s="3601"/>
      <c r="BE380" s="1419" t="s">
        <v>362</v>
      </c>
      <c r="BF380" s="3295">
        <f t="shared" si="93"/>
        <v>0</v>
      </c>
      <c r="BG380" s="3295">
        <f t="shared" si="94"/>
        <v>-4.64282335093061E-3</v>
      </c>
      <c r="BH380" s="3296">
        <f t="shared" si="95"/>
        <v>4.64282335093061E-3</v>
      </c>
      <c r="BI380" s="39" t="str">
        <f t="shared" si="96"/>
        <v>error</v>
      </c>
      <c r="BJ380" s="3296" t="s">
        <v>5</v>
      </c>
      <c r="BK380" s="3296"/>
      <c r="BL380" s="3296"/>
    </row>
    <row r="381" spans="1:64">
      <c r="C381" s="985"/>
      <c r="D381" s="2091"/>
      <c r="E381" s="3601"/>
      <c r="F381" s="985"/>
      <c r="G381" s="985"/>
      <c r="H381" s="985"/>
      <c r="I381" s="985"/>
      <c r="J381" s="985"/>
      <c r="K381" s="985"/>
      <c r="L381" s="985"/>
      <c r="M381" s="985"/>
      <c r="N381" s="985"/>
      <c r="O381" s="985"/>
      <c r="P381" s="985"/>
      <c r="Q381" s="985"/>
      <c r="R381" s="985"/>
      <c r="S381" s="985"/>
      <c r="T381" s="985"/>
      <c r="U381" s="985"/>
      <c r="V381" s="985"/>
      <c r="W381" s="985"/>
      <c r="X381" s="985"/>
      <c r="Y381" s="985"/>
      <c r="Z381" s="985"/>
      <c r="AA381" s="985"/>
      <c r="AB381" s="985"/>
      <c r="AC381" s="985"/>
      <c r="AD381" s="985"/>
      <c r="AE381" s="985"/>
      <c r="AF381" s="985"/>
      <c r="AG381" s="985"/>
      <c r="AH381" s="985"/>
      <c r="AI381" s="985"/>
      <c r="AJ381" s="985"/>
      <c r="AK381" s="985"/>
      <c r="AL381" s="985"/>
      <c r="AM381" s="985"/>
      <c r="AN381" s="985"/>
      <c r="AO381" s="985"/>
      <c r="AP381" s="985"/>
      <c r="AQ381" s="985"/>
      <c r="AR381" s="985"/>
      <c r="AS381" s="985"/>
      <c r="AT381" s="985"/>
      <c r="AU381" s="985"/>
      <c r="AV381" s="985"/>
      <c r="AW381" s="985"/>
      <c r="AX381" s="3601"/>
      <c r="AY381" s="1419" t="s">
        <v>2591</v>
      </c>
      <c r="AZ381" s="3889">
        <f ca="1">V.b!N83-V.a!N316</f>
        <v>0</v>
      </c>
      <c r="BA381" s="1219" t="s">
        <v>16</v>
      </c>
      <c r="BB381" s="3933" t="s">
        <v>3192</v>
      </c>
      <c r="BC381" s="3601"/>
      <c r="BD381" s="3601"/>
      <c r="BE381" s="3297" t="s">
        <v>2596</v>
      </c>
      <c r="BF381" s="3298">
        <f t="shared" ca="1" si="93"/>
        <v>45.466042940305343</v>
      </c>
      <c r="BG381" s="3298">
        <f t="shared" ca="1" si="94"/>
        <v>43.871145222223568</v>
      </c>
      <c r="BH381" s="3299">
        <f t="shared" ca="1" si="95"/>
        <v>1.5948977180817749</v>
      </c>
      <c r="BI381" s="39" t="str">
        <f t="shared" ca="1" si="96"/>
        <v>error</v>
      </c>
      <c r="BJ381" s="3299"/>
      <c r="BK381" s="3299"/>
      <c r="BL381" s="3299"/>
    </row>
    <row r="382" spans="1:64">
      <c r="C382" s="985"/>
      <c r="D382" s="2091"/>
      <c r="E382" s="3601"/>
      <c r="F382" s="985"/>
      <c r="G382" s="985"/>
      <c r="H382" s="985"/>
      <c r="I382" s="985"/>
      <c r="J382" s="985"/>
      <c r="K382" s="985"/>
      <c r="L382" s="985"/>
      <c r="M382" s="985"/>
      <c r="N382" s="985"/>
      <c r="O382" s="985"/>
      <c r="P382" s="985"/>
      <c r="Q382" s="985"/>
      <c r="R382" s="985"/>
      <c r="S382" s="985"/>
      <c r="T382" s="985"/>
      <c r="U382" s="985"/>
      <c r="V382" s="985"/>
      <c r="W382" s="985"/>
      <c r="X382" s="985"/>
      <c r="Y382" s="985"/>
      <c r="Z382" s="985"/>
      <c r="AA382" s="985"/>
      <c r="AB382" s="985"/>
      <c r="AC382" s="985"/>
      <c r="AD382" s="985"/>
      <c r="AE382" s="985"/>
      <c r="AF382" s="985"/>
      <c r="AG382" s="985"/>
      <c r="AH382" s="985"/>
      <c r="AI382" s="985"/>
      <c r="AJ382" s="985"/>
      <c r="AK382" s="985"/>
      <c r="AL382" s="985"/>
      <c r="AM382" s="985"/>
      <c r="AN382" s="985"/>
      <c r="AO382" s="985"/>
      <c r="AP382" s="985"/>
      <c r="AQ382" s="985"/>
      <c r="AR382" s="985"/>
      <c r="AS382" s="985"/>
      <c r="AT382" s="985"/>
      <c r="AU382" s="985"/>
      <c r="AV382" s="985"/>
      <c r="AW382" s="985"/>
      <c r="AX382" s="3601"/>
      <c r="AY382" s="1419" t="s">
        <v>2589</v>
      </c>
      <c r="AZ382" s="3889">
        <f ca="1">V.b!N84-V.a!N317</f>
        <v>0</v>
      </c>
      <c r="BA382" s="1219" t="s">
        <v>1668</v>
      </c>
      <c r="BB382" s="3933" t="s">
        <v>3192</v>
      </c>
      <c r="BC382" s="3601"/>
      <c r="BD382" s="3601"/>
      <c r="BE382" s="3291" t="s">
        <v>555</v>
      </c>
      <c r="BF382" s="2091">
        <f t="shared" si="93"/>
        <v>0</v>
      </c>
      <c r="BG382" s="2091">
        <f t="shared" si="94"/>
        <v>0</v>
      </c>
      <c r="BH382" s="985">
        <f t="shared" si="95"/>
        <v>0</v>
      </c>
      <c r="BI382" s="3601" t="str">
        <f t="shared" si="96"/>
        <v>ok</v>
      </c>
      <c r="BJ382" s="985"/>
      <c r="BK382" s="985"/>
      <c r="BL382" s="985"/>
    </row>
    <row r="383" spans="1:64">
      <c r="C383" s="985"/>
      <c r="D383" s="2091"/>
      <c r="E383" s="3601"/>
      <c r="F383" s="985"/>
      <c r="G383" s="985"/>
      <c r="H383" s="985"/>
      <c r="I383" s="985"/>
      <c r="J383" s="985"/>
      <c r="K383" s="985"/>
      <c r="L383" s="985"/>
      <c r="M383" s="985"/>
      <c r="N383" s="985"/>
      <c r="O383" s="985"/>
      <c r="P383" s="985"/>
      <c r="Q383" s="985"/>
      <c r="R383" s="985"/>
      <c r="S383" s="985"/>
      <c r="T383" s="985"/>
      <c r="U383" s="985"/>
      <c r="V383" s="985"/>
      <c r="W383" s="985"/>
      <c r="X383" s="985"/>
      <c r="Y383" s="985"/>
      <c r="Z383" s="985"/>
      <c r="AA383" s="985"/>
      <c r="AB383" s="985"/>
      <c r="AC383" s="985"/>
      <c r="AD383" s="985"/>
      <c r="AE383" s="985"/>
      <c r="AF383" s="985"/>
      <c r="AG383" s="985"/>
      <c r="AH383" s="985"/>
      <c r="AI383" s="985"/>
      <c r="AJ383" s="985"/>
      <c r="AK383" s="985"/>
      <c r="AL383" s="985"/>
      <c r="AM383" s="985"/>
      <c r="AN383" s="985"/>
      <c r="AO383" s="985"/>
      <c r="AP383" s="985"/>
      <c r="AQ383" s="985"/>
      <c r="AR383" s="985"/>
      <c r="AS383" s="985"/>
      <c r="AT383" s="985"/>
      <c r="AU383" s="985"/>
      <c r="AV383" s="985"/>
      <c r="AW383" s="985"/>
      <c r="AX383" s="3601"/>
      <c r="AY383" s="1419" t="s">
        <v>146</v>
      </c>
      <c r="AZ383" s="3889">
        <f ca="1">SUM(AZ370:AZ371)</f>
        <v>2.6655686309587772</v>
      </c>
      <c r="BA383" s="1219" t="s">
        <v>16</v>
      </c>
      <c r="BB383" s="39"/>
      <c r="BC383" s="3601"/>
      <c r="BD383" s="3601"/>
      <c r="BE383" s="3291" t="s">
        <v>15</v>
      </c>
      <c r="BF383" s="2091">
        <f t="shared" ca="1" si="93"/>
        <v>136.67591736853782</v>
      </c>
      <c r="BG383" s="2091">
        <f t="shared" ca="1" si="94"/>
        <v>136.67591736853782</v>
      </c>
      <c r="BH383" s="985">
        <f t="shared" ca="1" si="95"/>
        <v>0</v>
      </c>
      <c r="BI383" s="3601" t="str">
        <f t="shared" ca="1" si="96"/>
        <v>ok</v>
      </c>
      <c r="BJ383" s="985"/>
      <c r="BK383" s="985"/>
      <c r="BL383" s="985"/>
    </row>
    <row r="384" spans="1:64">
      <c r="C384" s="985"/>
      <c r="D384" s="2091"/>
      <c r="E384" s="3601"/>
      <c r="F384" s="985"/>
      <c r="G384" s="985"/>
      <c r="H384" s="985"/>
      <c r="I384" s="985"/>
      <c r="J384" s="985"/>
      <c r="K384" s="985"/>
      <c r="L384" s="985"/>
      <c r="M384" s="985"/>
      <c r="N384" s="985"/>
      <c r="O384" s="985"/>
      <c r="P384" s="985"/>
      <c r="Q384" s="985"/>
      <c r="R384" s="985"/>
      <c r="S384" s="985"/>
      <c r="T384" s="985"/>
      <c r="U384" s="985"/>
      <c r="V384" s="985"/>
      <c r="W384" s="985"/>
      <c r="X384" s="985"/>
      <c r="Y384" s="985"/>
      <c r="Z384" s="985"/>
      <c r="AA384" s="985"/>
      <c r="AB384" s="985"/>
      <c r="AC384" s="985"/>
      <c r="AD384" s="985"/>
      <c r="AE384" s="985"/>
      <c r="AF384" s="985"/>
      <c r="AG384" s="985"/>
      <c r="AH384" s="985"/>
      <c r="AI384" s="985"/>
      <c r="AJ384" s="985"/>
      <c r="AK384" s="985"/>
      <c r="AL384" s="985"/>
      <c r="AM384" s="985"/>
      <c r="AN384" s="985"/>
      <c r="AO384" s="985"/>
      <c r="AP384" s="985"/>
      <c r="AQ384" s="985"/>
      <c r="AR384" s="985"/>
      <c r="AS384" s="985"/>
      <c r="AT384" s="985"/>
      <c r="AU384" s="985"/>
      <c r="AV384" s="985"/>
      <c r="AW384" s="985"/>
      <c r="AX384" s="3601"/>
      <c r="AY384" s="1419" t="s">
        <v>144</v>
      </c>
      <c r="AZ384" s="3889">
        <f ca="1">SUM(AZ372:AZ373)</f>
        <v>74.505208807877793</v>
      </c>
      <c r="BA384" s="1219" t="s">
        <v>1668</v>
      </c>
      <c r="BB384" s="39"/>
      <c r="BC384" s="3601"/>
      <c r="BD384" s="3601"/>
      <c r="BE384" s="3291" t="s">
        <v>2592</v>
      </c>
      <c r="BF384" s="2091">
        <f t="shared" ca="1" si="93"/>
        <v>135.74178666175516</v>
      </c>
      <c r="BG384" s="2091">
        <f t="shared" si="94"/>
        <v>0</v>
      </c>
      <c r="BH384" s="985">
        <f t="shared" ca="1" si="95"/>
        <v>135.74178666175516</v>
      </c>
      <c r="BI384" s="3601" t="str">
        <f t="shared" ca="1" si="96"/>
        <v>ok</v>
      </c>
      <c r="BJ384" s="985"/>
      <c r="BK384" s="985"/>
      <c r="BL384" s="985"/>
    </row>
    <row r="385" spans="3:64">
      <c r="C385" s="985"/>
      <c r="D385" s="2091"/>
      <c r="E385" s="3601"/>
      <c r="F385" s="985"/>
      <c r="G385" s="985"/>
      <c r="H385" s="985"/>
      <c r="I385" s="985"/>
      <c r="J385" s="985"/>
      <c r="K385" s="985"/>
      <c r="L385" s="985"/>
      <c r="M385" s="985"/>
      <c r="N385" s="985"/>
      <c r="O385" s="985"/>
      <c r="P385" s="985"/>
      <c r="Q385" s="985"/>
      <c r="R385" s="985"/>
      <c r="S385" s="985"/>
      <c r="T385" s="985"/>
      <c r="U385" s="985"/>
      <c r="V385" s="985"/>
      <c r="W385" s="985"/>
      <c r="X385" s="985"/>
      <c r="Y385" s="985"/>
      <c r="Z385" s="985"/>
      <c r="AA385" s="985"/>
      <c r="AB385" s="985"/>
      <c r="AC385" s="985"/>
      <c r="AD385" s="985"/>
      <c r="AE385" s="985"/>
      <c r="AF385" s="985"/>
      <c r="AG385" s="985"/>
      <c r="AH385" s="985"/>
      <c r="AI385" s="985"/>
      <c r="AJ385" s="985"/>
      <c r="AK385" s="985"/>
      <c r="AL385" s="985"/>
      <c r="AM385" s="985"/>
      <c r="AN385" s="985"/>
      <c r="AO385" s="985"/>
      <c r="AP385" s="985"/>
      <c r="AQ385" s="985"/>
      <c r="AR385" s="985"/>
      <c r="AS385" s="985"/>
      <c r="AT385" s="985"/>
      <c r="AU385" s="985"/>
      <c r="AV385" s="985"/>
      <c r="AW385" s="985"/>
      <c r="AX385" s="3601"/>
      <c r="AY385" s="3297" t="s">
        <v>2590</v>
      </c>
      <c r="AZ385" s="3889">
        <f ca="1">SUM(AZ374:AZ375)</f>
        <v>135.74178666175516</v>
      </c>
      <c r="BA385" s="1219" t="s">
        <v>15</v>
      </c>
      <c r="BB385" s="39"/>
      <c r="BC385" s="3601"/>
      <c r="BD385" s="3601"/>
      <c r="BE385" s="3291" t="s">
        <v>380</v>
      </c>
      <c r="BF385" s="2091">
        <f t="shared" ca="1" si="93"/>
        <v>0</v>
      </c>
      <c r="BG385" s="2091">
        <f t="shared" si="94"/>
        <v>0</v>
      </c>
      <c r="BH385" s="985">
        <f t="shared" ca="1" si="95"/>
        <v>0</v>
      </c>
      <c r="BI385" s="3601" t="str">
        <f t="shared" ca="1" si="96"/>
        <v>ok</v>
      </c>
      <c r="BJ385" s="985"/>
      <c r="BK385" s="985"/>
      <c r="BL385" s="985"/>
    </row>
    <row r="386" spans="3:64">
      <c r="C386" s="985"/>
      <c r="D386" s="2091"/>
      <c r="E386" s="3601"/>
      <c r="F386" s="985"/>
      <c r="G386" s="985"/>
      <c r="H386" s="985"/>
      <c r="I386" s="985"/>
      <c r="J386" s="985"/>
      <c r="K386" s="985"/>
      <c r="L386" s="985"/>
      <c r="M386" s="985"/>
      <c r="N386" s="985"/>
      <c r="O386" s="985"/>
      <c r="P386" s="985"/>
      <c r="Q386" s="985"/>
      <c r="R386" s="985"/>
      <c r="S386" s="985"/>
      <c r="T386" s="985"/>
      <c r="U386" s="985"/>
      <c r="V386" s="985"/>
      <c r="W386" s="985"/>
      <c r="X386" s="985"/>
      <c r="Y386" s="985"/>
      <c r="Z386" s="985"/>
      <c r="AA386" s="985"/>
      <c r="AB386" s="985"/>
      <c r="AC386" s="985"/>
      <c r="AD386" s="985"/>
      <c r="AE386" s="985"/>
      <c r="AF386" s="985"/>
      <c r="AG386" s="985"/>
      <c r="AH386" s="985"/>
      <c r="AI386" s="985"/>
      <c r="AJ386" s="985"/>
      <c r="AK386" s="985"/>
      <c r="AL386" s="985"/>
      <c r="AM386" s="985"/>
      <c r="AN386" s="985"/>
      <c r="AO386" s="985"/>
      <c r="AP386" s="985"/>
      <c r="AQ386" s="985"/>
      <c r="AR386" s="985"/>
      <c r="AS386" s="985"/>
      <c r="AT386" s="985"/>
      <c r="AU386" s="985"/>
      <c r="AV386" s="985"/>
      <c r="AW386" s="985"/>
      <c r="AX386" s="3601"/>
      <c r="AY386" s="3297" t="s">
        <v>78</v>
      </c>
      <c r="AZ386" s="3889">
        <f>IV.a!N109</f>
        <v>0</v>
      </c>
      <c r="BA386" s="1219" t="s">
        <v>526</v>
      </c>
      <c r="BB386" s="39"/>
      <c r="BC386" s="3601"/>
      <c r="BD386" s="3601"/>
      <c r="BE386" s="3291" t="s">
        <v>486</v>
      </c>
      <c r="BF386" s="2091">
        <f t="shared" si="93"/>
        <v>0</v>
      </c>
      <c r="BG386" s="2091">
        <f t="shared" si="94"/>
        <v>0</v>
      </c>
      <c r="BH386" s="985">
        <f t="shared" si="95"/>
        <v>0</v>
      </c>
      <c r="BI386" s="3601" t="str">
        <f t="shared" si="96"/>
        <v>ok</v>
      </c>
      <c r="BJ386" s="985"/>
      <c r="BK386" s="985"/>
      <c r="BL386" s="985"/>
    </row>
    <row r="387" spans="3:64">
      <c r="C387" s="985"/>
      <c r="D387" s="2091"/>
      <c r="E387" s="3601"/>
      <c r="F387" s="985"/>
      <c r="G387" s="985"/>
      <c r="H387" s="985"/>
      <c r="I387" s="985"/>
      <c r="J387" s="985"/>
      <c r="K387" s="985"/>
      <c r="L387" s="985"/>
      <c r="M387" s="985"/>
      <c r="N387" s="985"/>
      <c r="O387" s="985"/>
      <c r="P387" s="985"/>
      <c r="Q387" s="985"/>
      <c r="R387" s="985"/>
      <c r="S387" s="985"/>
      <c r="T387" s="985"/>
      <c r="U387" s="985"/>
      <c r="V387" s="985"/>
      <c r="W387" s="985"/>
      <c r="X387" s="985"/>
      <c r="Y387" s="985"/>
      <c r="Z387" s="985"/>
      <c r="AA387" s="985"/>
      <c r="AB387" s="985"/>
      <c r="AC387" s="985"/>
      <c r="AD387" s="985"/>
      <c r="AE387" s="985"/>
      <c r="AF387" s="985"/>
      <c r="AG387" s="985"/>
      <c r="AH387" s="985"/>
      <c r="AI387" s="985"/>
      <c r="AJ387" s="985"/>
      <c r="AK387" s="985"/>
      <c r="AL387" s="985"/>
      <c r="AM387" s="985"/>
      <c r="AN387" s="985"/>
      <c r="AO387" s="985"/>
      <c r="AP387" s="985"/>
      <c r="AQ387" s="985"/>
      <c r="AR387" s="985"/>
      <c r="AS387" s="985"/>
      <c r="AT387" s="985"/>
      <c r="AU387" s="985"/>
      <c r="AV387" s="985"/>
      <c r="AW387" s="985"/>
      <c r="AX387" s="3601"/>
      <c r="AY387" s="3297" t="s">
        <v>526</v>
      </c>
      <c r="AZ387" s="3889">
        <f>AZ386</f>
        <v>0</v>
      </c>
      <c r="BA387" s="1219" t="s">
        <v>2596</v>
      </c>
      <c r="BB387" s="39"/>
      <c r="BC387" s="3601"/>
      <c r="BD387" s="3601"/>
      <c r="BE387" s="3291" t="s">
        <v>54</v>
      </c>
      <c r="BF387" s="2091">
        <f t="shared" si="93"/>
        <v>0</v>
      </c>
      <c r="BG387" s="2091">
        <f t="shared" si="94"/>
        <v>0</v>
      </c>
      <c r="BH387" s="985">
        <f t="shared" si="95"/>
        <v>0</v>
      </c>
      <c r="BI387" s="3601" t="str">
        <f t="shared" si="96"/>
        <v>ok</v>
      </c>
      <c r="BJ387" s="985"/>
      <c r="BK387" s="985"/>
      <c r="BL387" s="985"/>
    </row>
    <row r="388" spans="3:64">
      <c r="C388" s="985"/>
      <c r="D388" s="2091"/>
      <c r="E388" s="3601"/>
      <c r="F388" s="985"/>
      <c r="G388" s="985"/>
      <c r="H388" s="985"/>
      <c r="I388" s="985"/>
      <c r="J388" s="985"/>
      <c r="K388" s="985"/>
      <c r="L388" s="985"/>
      <c r="M388" s="985"/>
      <c r="N388" s="985"/>
      <c r="O388" s="985"/>
      <c r="P388" s="985"/>
      <c r="Q388" s="985"/>
      <c r="R388" s="985"/>
      <c r="S388" s="985"/>
      <c r="T388" s="985"/>
      <c r="U388" s="985"/>
      <c r="V388" s="985"/>
      <c r="W388" s="985"/>
      <c r="X388" s="985"/>
      <c r="Y388" s="985"/>
      <c r="Z388" s="985"/>
      <c r="AA388" s="985"/>
      <c r="AB388" s="985"/>
      <c r="AC388" s="985"/>
      <c r="AD388" s="985"/>
      <c r="AE388" s="985"/>
      <c r="AF388" s="985"/>
      <c r="AG388" s="985"/>
      <c r="AH388" s="985"/>
      <c r="AI388" s="985"/>
      <c r="AJ388" s="985"/>
      <c r="AK388" s="985"/>
      <c r="AL388" s="985"/>
      <c r="AM388" s="985"/>
      <c r="AN388" s="985"/>
      <c r="AO388" s="985"/>
      <c r="AP388" s="985"/>
      <c r="AQ388" s="985"/>
      <c r="AR388" s="985"/>
      <c r="AS388" s="985"/>
      <c r="AT388" s="985"/>
      <c r="AU388" s="985"/>
      <c r="AV388" s="985"/>
      <c r="AW388" s="985"/>
      <c r="AX388" s="3601"/>
      <c r="AY388" s="3297" t="s">
        <v>78</v>
      </c>
      <c r="AZ388" s="3889">
        <f>IV.b!N101</f>
        <v>8.3820866458489254E-2</v>
      </c>
      <c r="BA388" s="1219" t="s">
        <v>2597</v>
      </c>
      <c r="BB388" s="39"/>
      <c r="BC388" s="3601"/>
      <c r="BD388" s="3601"/>
      <c r="BE388" s="3294" t="s">
        <v>376</v>
      </c>
      <c r="BF388" s="2091">
        <f t="shared" si="93"/>
        <v>0</v>
      </c>
      <c r="BG388" s="2091">
        <f t="shared" ca="1" si="94"/>
        <v>0</v>
      </c>
      <c r="BH388" s="985">
        <f t="shared" ca="1" si="95"/>
        <v>0</v>
      </c>
      <c r="BI388" s="3601" t="str">
        <f t="shared" ca="1" si="96"/>
        <v>ok</v>
      </c>
      <c r="BJ388" s="985"/>
      <c r="BK388" s="985"/>
      <c r="BL388" s="985"/>
    </row>
    <row r="389" spans="3:64">
      <c r="C389" s="985"/>
      <c r="D389" s="2091"/>
      <c r="E389" s="3601"/>
      <c r="F389" s="985"/>
      <c r="G389" s="985"/>
      <c r="H389" s="985"/>
      <c r="I389" s="985"/>
      <c r="J389" s="985"/>
      <c r="K389" s="985"/>
      <c r="L389" s="985"/>
      <c r="M389" s="985"/>
      <c r="N389" s="985"/>
      <c r="O389" s="985"/>
      <c r="P389" s="985"/>
      <c r="Q389" s="985"/>
      <c r="R389" s="985"/>
      <c r="S389" s="985"/>
      <c r="T389" s="985"/>
      <c r="U389" s="985"/>
      <c r="V389" s="985"/>
      <c r="W389" s="985"/>
      <c r="X389" s="985"/>
      <c r="Y389" s="985"/>
      <c r="Z389" s="985"/>
      <c r="AA389" s="985"/>
      <c r="AB389" s="985"/>
      <c r="AC389" s="985"/>
      <c r="AD389" s="985"/>
      <c r="AE389" s="985"/>
      <c r="AF389" s="985"/>
      <c r="AG389" s="985"/>
      <c r="AH389" s="985"/>
      <c r="AI389" s="985"/>
      <c r="AJ389" s="985"/>
      <c r="AK389" s="985"/>
      <c r="AL389" s="985"/>
      <c r="AM389" s="985"/>
      <c r="AN389" s="985"/>
      <c r="AO389" s="985"/>
      <c r="AP389" s="985"/>
      <c r="AQ389" s="985"/>
      <c r="AR389" s="985"/>
      <c r="AS389" s="985"/>
      <c r="AT389" s="985"/>
      <c r="AU389" s="985"/>
      <c r="AV389" s="985"/>
      <c r="AW389" s="985"/>
      <c r="AX389" s="3601"/>
      <c r="AY389" s="3297"/>
      <c r="AZ389" s="3889"/>
      <c r="BA389" s="1219"/>
      <c r="BB389" s="39"/>
      <c r="BC389" s="3601"/>
      <c r="BD389" s="3601"/>
      <c r="BE389" s="3294" t="s">
        <v>2598</v>
      </c>
      <c r="BF389" s="2091">
        <f t="shared" ca="1" si="93"/>
        <v>0</v>
      </c>
      <c r="BG389" s="2091">
        <f t="shared" ca="1" si="94"/>
        <v>0</v>
      </c>
      <c r="BH389" s="985">
        <f t="shared" ca="1" si="95"/>
        <v>0</v>
      </c>
      <c r="BI389" s="3601" t="str">
        <f t="shared" ca="1" si="96"/>
        <v>ok</v>
      </c>
      <c r="BJ389" s="985"/>
      <c r="BK389" s="985"/>
      <c r="BL389" s="985"/>
    </row>
    <row r="390" spans="3:64">
      <c r="C390" s="985"/>
      <c r="D390" s="2091"/>
      <c r="E390" s="3601"/>
      <c r="F390" s="985"/>
      <c r="G390" s="985"/>
      <c r="H390" s="985"/>
      <c r="I390" s="985"/>
      <c r="J390" s="985"/>
      <c r="K390" s="985"/>
      <c r="L390" s="985"/>
      <c r="M390" s="985"/>
      <c r="N390" s="985"/>
      <c r="O390" s="985"/>
      <c r="P390" s="985"/>
      <c r="Q390" s="985"/>
      <c r="R390" s="985"/>
      <c r="S390" s="985"/>
      <c r="T390" s="985"/>
      <c r="U390" s="985"/>
      <c r="V390" s="985"/>
      <c r="W390" s="985"/>
      <c r="X390" s="985"/>
      <c r="Y390" s="985"/>
      <c r="Z390" s="985"/>
      <c r="AA390" s="985"/>
      <c r="AB390" s="985"/>
      <c r="AC390" s="985"/>
      <c r="AD390" s="985"/>
      <c r="AE390" s="985"/>
      <c r="AF390" s="985"/>
      <c r="AG390" s="985"/>
      <c r="AH390" s="985"/>
      <c r="AI390" s="985"/>
      <c r="AJ390" s="985"/>
      <c r="AK390" s="985"/>
      <c r="AL390" s="985"/>
      <c r="AM390" s="985"/>
      <c r="AN390" s="985"/>
      <c r="AO390" s="985"/>
      <c r="AP390" s="985"/>
      <c r="AQ390" s="985"/>
      <c r="AR390" s="985"/>
      <c r="AS390" s="985"/>
      <c r="AT390" s="985"/>
      <c r="AU390" s="985"/>
      <c r="AV390" s="985"/>
      <c r="AW390" s="985"/>
      <c r="AX390" s="3601"/>
      <c r="AY390" s="1419" t="s">
        <v>2587</v>
      </c>
      <c r="AZ390" s="3889">
        <f ca="1">V.a!N383</f>
        <v>2.6102867681557558</v>
      </c>
      <c r="BA390" s="1219" t="s">
        <v>16</v>
      </c>
      <c r="BB390" s="39"/>
      <c r="BC390" s="3601"/>
      <c r="BD390" s="3601"/>
      <c r="BE390" s="3291" t="s">
        <v>2599</v>
      </c>
      <c r="BF390" s="2091">
        <f t="shared" si="93"/>
        <v>0</v>
      </c>
      <c r="BG390" s="2091">
        <f t="shared" si="94"/>
        <v>17.859494505494503</v>
      </c>
      <c r="BH390" s="985">
        <f t="shared" si="95"/>
        <v>-17.859494505494503</v>
      </c>
      <c r="BI390" s="3601" t="str">
        <f t="shared" si="96"/>
        <v>ok</v>
      </c>
      <c r="BJ390" s="985"/>
      <c r="BK390" s="985"/>
      <c r="BL390" s="985"/>
    </row>
    <row r="391" spans="3:64">
      <c r="C391" s="985"/>
      <c r="D391" s="2091"/>
      <c r="E391" s="3601"/>
      <c r="F391" s="985"/>
      <c r="G391" s="985"/>
      <c r="H391" s="985"/>
      <c r="I391" s="985"/>
      <c r="J391" s="985"/>
      <c r="K391" s="985"/>
      <c r="L391" s="985"/>
      <c r="M391" s="985"/>
      <c r="N391" s="985"/>
      <c r="O391" s="985"/>
      <c r="P391" s="985"/>
      <c r="Q391" s="985"/>
      <c r="R391" s="985"/>
      <c r="S391" s="985"/>
      <c r="T391" s="985"/>
      <c r="U391" s="985"/>
      <c r="V391" s="985"/>
      <c r="W391" s="985"/>
      <c r="X391" s="985"/>
      <c r="Y391" s="985"/>
      <c r="Z391" s="985"/>
      <c r="AA391" s="985"/>
      <c r="AB391" s="985"/>
      <c r="AC391" s="985"/>
      <c r="AD391" s="985"/>
      <c r="AE391" s="985"/>
      <c r="AF391" s="985"/>
      <c r="AG391" s="985"/>
      <c r="AH391" s="985"/>
      <c r="AI391" s="985"/>
      <c r="AJ391" s="985"/>
      <c r="AK391" s="985"/>
      <c r="AL391" s="985"/>
      <c r="AM391" s="985"/>
      <c r="AN391" s="985"/>
      <c r="AO391" s="985"/>
      <c r="AP391" s="985"/>
      <c r="AQ391" s="985"/>
      <c r="AR391" s="985"/>
      <c r="AS391" s="985"/>
      <c r="AT391" s="985"/>
      <c r="AU391" s="985"/>
      <c r="AV391" s="985"/>
      <c r="AW391" s="985"/>
      <c r="AX391" s="3601"/>
      <c r="AY391" s="1419" t="s">
        <v>2587</v>
      </c>
      <c r="AZ391" s="3889">
        <f ca="1">V.a!N384</f>
        <v>0.16166439641729724</v>
      </c>
      <c r="BA391" s="1219" t="s">
        <v>1668</v>
      </c>
      <c r="BB391" s="39"/>
      <c r="BC391" s="3601"/>
      <c r="BD391" s="3601"/>
      <c r="BE391" s="3291" t="s">
        <v>2600</v>
      </c>
      <c r="BF391" s="2091">
        <f t="shared" si="93"/>
        <v>0</v>
      </c>
      <c r="BG391" s="2091">
        <f t="shared" ca="1" si="94"/>
        <v>30.120554811720609</v>
      </c>
      <c r="BH391" s="985">
        <f t="shared" ca="1" si="95"/>
        <v>-30.120554811720609</v>
      </c>
      <c r="BI391" s="3601" t="str">
        <f t="shared" ca="1" si="96"/>
        <v>ok</v>
      </c>
      <c r="BJ391" s="985"/>
      <c r="BK391" s="985"/>
      <c r="BL391" s="985"/>
    </row>
    <row r="392" spans="3:64">
      <c r="C392" s="985"/>
      <c r="D392" s="2091"/>
      <c r="E392" s="3601"/>
      <c r="F392" s="985"/>
      <c r="G392" s="985"/>
      <c r="H392" s="985"/>
      <c r="I392" s="985"/>
      <c r="J392" s="985"/>
      <c r="K392" s="985"/>
      <c r="L392" s="985"/>
      <c r="M392" s="985"/>
      <c r="N392" s="985"/>
      <c r="O392" s="985"/>
      <c r="P392" s="985"/>
      <c r="Q392" s="985"/>
      <c r="R392" s="985"/>
      <c r="S392" s="985"/>
      <c r="T392" s="985"/>
      <c r="U392" s="985"/>
      <c r="V392" s="985"/>
      <c r="W392" s="985"/>
      <c r="X392" s="985"/>
      <c r="Y392" s="985"/>
      <c r="Z392" s="985"/>
      <c r="AA392" s="985"/>
      <c r="AB392" s="985"/>
      <c r="AC392" s="985"/>
      <c r="AD392" s="985"/>
      <c r="AE392" s="985"/>
      <c r="AF392" s="985"/>
      <c r="AG392" s="985"/>
      <c r="AH392" s="985"/>
      <c r="AI392" s="985"/>
      <c r="AJ392" s="985"/>
      <c r="AK392" s="985"/>
      <c r="AL392" s="985"/>
      <c r="AM392" s="985"/>
      <c r="AN392" s="985"/>
      <c r="AO392" s="985"/>
      <c r="AP392" s="985"/>
      <c r="AQ392" s="985"/>
      <c r="AR392" s="985"/>
      <c r="AS392" s="985"/>
      <c r="AT392" s="985"/>
      <c r="AU392" s="985"/>
      <c r="AV392" s="985"/>
      <c r="AW392" s="985"/>
      <c r="AX392" s="3601"/>
      <c r="AY392" s="1419" t="s">
        <v>2587</v>
      </c>
      <c r="AZ392" s="3889">
        <f ca="1">V.a!N385</f>
        <v>0.93413070678266041</v>
      </c>
      <c r="BA392" s="1219" t="s">
        <v>15</v>
      </c>
      <c r="BB392" s="39"/>
      <c r="BC392" s="3601"/>
      <c r="BD392" s="3601"/>
      <c r="BE392" s="3291" t="s">
        <v>391</v>
      </c>
      <c r="BF392" s="2091">
        <f t="shared" si="93"/>
        <v>0</v>
      </c>
      <c r="BG392" s="2091">
        <f t="shared" si="94"/>
        <v>0</v>
      </c>
      <c r="BH392" s="985">
        <f t="shared" si="95"/>
        <v>0</v>
      </c>
      <c r="BI392" s="3601" t="str">
        <f t="shared" si="96"/>
        <v>ok</v>
      </c>
      <c r="BJ392" s="985"/>
      <c r="BK392" s="985"/>
      <c r="BL392" s="985"/>
    </row>
    <row r="393" spans="3:64">
      <c r="C393" s="985"/>
      <c r="D393" s="2091"/>
      <c r="E393" s="3601"/>
      <c r="F393" s="985"/>
      <c r="G393" s="985"/>
      <c r="H393" s="985"/>
      <c r="I393" s="985"/>
      <c r="J393" s="985"/>
      <c r="K393" s="985"/>
      <c r="L393" s="985"/>
      <c r="M393" s="985"/>
      <c r="N393" s="985"/>
      <c r="O393" s="985"/>
      <c r="P393" s="985"/>
      <c r="Q393" s="985"/>
      <c r="R393" s="985"/>
      <c r="S393" s="985"/>
      <c r="T393" s="985"/>
      <c r="U393" s="985"/>
      <c r="V393" s="985"/>
      <c r="W393" s="985"/>
      <c r="X393" s="985"/>
      <c r="Y393" s="985"/>
      <c r="Z393" s="985"/>
      <c r="AA393" s="985"/>
      <c r="AB393" s="985"/>
      <c r="AC393" s="985"/>
      <c r="AD393" s="985"/>
      <c r="AE393" s="985"/>
      <c r="AF393" s="985"/>
      <c r="AG393" s="985"/>
      <c r="AH393" s="985"/>
      <c r="AI393" s="985"/>
      <c r="AJ393" s="985"/>
      <c r="AK393" s="985"/>
      <c r="AL393" s="985"/>
      <c r="AM393" s="985"/>
      <c r="AN393" s="985"/>
      <c r="AO393" s="985"/>
      <c r="AP393" s="985"/>
      <c r="AQ393" s="985"/>
      <c r="AR393" s="985"/>
      <c r="AS393" s="985"/>
      <c r="AT393" s="985"/>
      <c r="AU393" s="985"/>
      <c r="AV393" s="985"/>
      <c r="AW393" s="985"/>
      <c r="AX393" s="3601"/>
      <c r="AY393" s="1419" t="s">
        <v>2587</v>
      </c>
      <c r="AZ393" s="3889">
        <f ca="1">V.a!N391</f>
        <v>0.55811213329079612</v>
      </c>
      <c r="BA393" s="1219" t="s">
        <v>1741</v>
      </c>
      <c r="BB393" s="39"/>
      <c r="BC393" s="3601"/>
      <c r="BD393" s="3601"/>
      <c r="BE393" s="3291" t="s">
        <v>359</v>
      </c>
      <c r="BF393" s="2091">
        <f t="shared" si="93"/>
        <v>0</v>
      </c>
      <c r="BG393" s="2091">
        <f t="shared" ca="1" si="94"/>
        <v>48.315116362578486</v>
      </c>
      <c r="BH393" s="985">
        <f t="shared" ca="1" si="95"/>
        <v>-48.315116362578486</v>
      </c>
      <c r="BI393" s="3601" t="str">
        <f t="shared" ca="1" si="96"/>
        <v>ok</v>
      </c>
      <c r="BJ393" s="985"/>
      <c r="BK393" s="985"/>
      <c r="BL393" s="985"/>
    </row>
    <row r="394" spans="3:64">
      <c r="C394" s="985"/>
      <c r="D394" s="2091"/>
      <c r="E394" s="3601"/>
      <c r="F394" s="985"/>
      <c r="G394" s="985"/>
      <c r="H394" s="985"/>
      <c r="I394" s="985"/>
      <c r="J394" s="985"/>
      <c r="K394" s="985"/>
      <c r="L394" s="985"/>
      <c r="M394" s="985"/>
      <c r="N394" s="985"/>
      <c r="O394" s="985"/>
      <c r="P394" s="985"/>
      <c r="Q394" s="985"/>
      <c r="R394" s="985"/>
      <c r="S394" s="985"/>
      <c r="T394" s="985"/>
      <c r="U394" s="985"/>
      <c r="V394" s="985"/>
      <c r="W394" s="985"/>
      <c r="X394" s="985"/>
      <c r="Y394" s="985"/>
      <c r="Z394" s="985"/>
      <c r="AA394" s="985"/>
      <c r="AB394" s="985"/>
      <c r="AC394" s="985"/>
      <c r="AD394" s="985"/>
      <c r="AE394" s="985"/>
      <c r="AF394" s="985"/>
      <c r="AG394" s="985"/>
      <c r="AH394" s="985"/>
      <c r="AI394" s="985"/>
      <c r="AJ394" s="985"/>
      <c r="AK394" s="985"/>
      <c r="AL394" s="985"/>
      <c r="AM394" s="985"/>
      <c r="AN394" s="985"/>
      <c r="AO394" s="985"/>
      <c r="AP394" s="985"/>
      <c r="AQ394" s="985"/>
      <c r="AR394" s="985"/>
      <c r="AS394" s="985"/>
      <c r="AT394" s="985"/>
      <c r="AU394" s="985"/>
      <c r="AV394" s="985"/>
      <c r="AW394" s="985"/>
      <c r="AX394" s="3601"/>
      <c r="AY394" s="1419" t="s">
        <v>16</v>
      </c>
      <c r="AZ394" s="3889">
        <f ca="1">MAX(-BG37,0)</f>
        <v>0</v>
      </c>
      <c r="BA394" s="1219" t="s">
        <v>2601</v>
      </c>
      <c r="BB394" s="39"/>
      <c r="BC394" s="3601"/>
      <c r="BD394" s="3601"/>
      <c r="BE394" s="3291" t="s">
        <v>364</v>
      </c>
      <c r="BF394" s="2091">
        <f t="shared" si="93"/>
        <v>0</v>
      </c>
      <c r="BG394" s="2091">
        <f t="shared" si="94"/>
        <v>11.923331449069897</v>
      </c>
      <c r="BH394" s="985">
        <f t="shared" si="95"/>
        <v>-11.923331449069897</v>
      </c>
      <c r="BI394" s="3601" t="str">
        <f t="shared" si="96"/>
        <v>ok</v>
      </c>
      <c r="BJ394" s="985"/>
      <c r="BK394" s="985"/>
      <c r="BL394" s="985"/>
    </row>
    <row r="395" spans="3:64">
      <c r="C395" s="985"/>
      <c r="D395" s="2091"/>
      <c r="E395" s="3601"/>
      <c r="F395" s="985"/>
      <c r="G395" s="985"/>
      <c r="H395" s="985"/>
      <c r="I395" s="985"/>
      <c r="J395" s="985"/>
      <c r="K395" s="985"/>
      <c r="L395" s="985"/>
      <c r="M395" s="985"/>
      <c r="N395" s="985"/>
      <c r="O395" s="985"/>
      <c r="P395" s="985"/>
      <c r="Q395" s="985"/>
      <c r="R395" s="985"/>
      <c r="S395" s="985"/>
      <c r="T395" s="985"/>
      <c r="U395" s="985"/>
      <c r="V395" s="985"/>
      <c r="W395" s="985"/>
      <c r="X395" s="985"/>
      <c r="Y395" s="985"/>
      <c r="Z395" s="985"/>
      <c r="AA395" s="985"/>
      <c r="AB395" s="985"/>
      <c r="AC395" s="985"/>
      <c r="AD395" s="985"/>
      <c r="AE395" s="985"/>
      <c r="AF395" s="985"/>
      <c r="AG395" s="985"/>
      <c r="AH395" s="985"/>
      <c r="AI395" s="985"/>
      <c r="AJ395" s="985"/>
      <c r="AK395" s="985"/>
      <c r="AL395" s="985"/>
      <c r="AM395" s="985"/>
      <c r="AN395" s="985"/>
      <c r="AO395" s="985"/>
      <c r="AP395" s="985"/>
      <c r="AQ395" s="985"/>
      <c r="AR395" s="985"/>
      <c r="AS395" s="985"/>
      <c r="AT395" s="985"/>
      <c r="AU395" s="985"/>
      <c r="AV395" s="985"/>
      <c r="AW395" s="985"/>
      <c r="AX395" s="3601"/>
      <c r="AY395" s="1419" t="s">
        <v>1668</v>
      </c>
      <c r="AZ395" s="3889">
        <f ca="1">MAX(-BG41,0)</f>
        <v>0</v>
      </c>
      <c r="BA395" s="1219" t="s">
        <v>2601</v>
      </c>
      <c r="BB395" s="39"/>
      <c r="BC395" s="3601"/>
      <c r="BD395" s="3601"/>
      <c r="BE395" s="3291" t="s">
        <v>365</v>
      </c>
      <c r="BF395" s="2091">
        <f t="shared" si="93"/>
        <v>0</v>
      </c>
      <c r="BG395" s="2091">
        <f t="shared" si="94"/>
        <v>0</v>
      </c>
      <c r="BH395" s="985">
        <f t="shared" si="95"/>
        <v>0</v>
      </c>
      <c r="BI395" s="3601" t="str">
        <f t="shared" si="96"/>
        <v>ok</v>
      </c>
      <c r="BJ395" s="985"/>
      <c r="BK395" s="985"/>
      <c r="BL395" s="985"/>
    </row>
    <row r="396" spans="3:64">
      <c r="C396" s="985"/>
      <c r="D396" s="2091"/>
      <c r="E396" s="3601"/>
      <c r="F396" s="985"/>
      <c r="G396" s="985"/>
      <c r="H396" s="985"/>
      <c r="I396" s="985"/>
      <c r="J396" s="985"/>
      <c r="K396" s="985"/>
      <c r="L396" s="985"/>
      <c r="M396" s="985"/>
      <c r="N396" s="985"/>
      <c r="O396" s="985"/>
      <c r="P396" s="985"/>
      <c r="Q396" s="985"/>
      <c r="R396" s="985"/>
      <c r="S396" s="985"/>
      <c r="T396" s="985"/>
      <c r="U396" s="985"/>
      <c r="V396" s="985"/>
      <c r="W396" s="985"/>
      <c r="X396" s="985"/>
      <c r="Y396" s="985"/>
      <c r="Z396" s="985"/>
      <c r="AA396" s="985"/>
      <c r="AB396" s="985"/>
      <c r="AC396" s="985"/>
      <c r="AD396" s="985"/>
      <c r="AE396" s="985"/>
      <c r="AF396" s="985"/>
      <c r="AG396" s="985"/>
      <c r="AH396" s="985"/>
      <c r="AI396" s="985"/>
      <c r="AJ396" s="985"/>
      <c r="AK396" s="985"/>
      <c r="AL396" s="985"/>
      <c r="AM396" s="985"/>
      <c r="AN396" s="985"/>
      <c r="AO396" s="985"/>
      <c r="AP396" s="985"/>
      <c r="AQ396" s="985"/>
      <c r="AR396" s="985"/>
      <c r="AS396" s="985"/>
      <c r="AT396" s="985"/>
      <c r="AU396" s="985"/>
      <c r="AV396" s="985"/>
      <c r="AW396" s="985"/>
      <c r="AX396" s="3601"/>
      <c r="AY396" s="1419" t="s">
        <v>15</v>
      </c>
      <c r="AZ396" s="3889">
        <f ca="1">MAX(-BG44,0)</f>
        <v>0</v>
      </c>
      <c r="BA396" s="1219" t="s">
        <v>2601</v>
      </c>
      <c r="BB396" s="39"/>
      <c r="BC396" s="3601"/>
      <c r="BD396" s="3601"/>
      <c r="BE396" s="3291" t="s">
        <v>2602</v>
      </c>
      <c r="BF396" s="2091">
        <f t="shared" si="93"/>
        <v>0</v>
      </c>
      <c r="BG396" s="2091">
        <f t="shared" si="94"/>
        <v>5.5241678973010302</v>
      </c>
      <c r="BH396" s="985">
        <f t="shared" si="95"/>
        <v>-5.5241678973010302</v>
      </c>
      <c r="BI396" s="3601" t="str">
        <f t="shared" si="96"/>
        <v>ok</v>
      </c>
      <c r="BJ396" s="985"/>
      <c r="BK396" s="985"/>
      <c r="BL396" s="985"/>
    </row>
    <row r="397" spans="3:64">
      <c r="C397" s="985"/>
      <c r="D397" s="2091"/>
      <c r="E397" s="3601"/>
      <c r="F397" s="985"/>
      <c r="G397" s="985"/>
      <c r="H397" s="985"/>
      <c r="I397" s="985"/>
      <c r="J397" s="985"/>
      <c r="K397" s="985"/>
      <c r="L397" s="985"/>
      <c r="M397" s="985"/>
      <c r="N397" s="985"/>
      <c r="O397" s="985"/>
      <c r="P397" s="985"/>
      <c r="Q397" s="985"/>
      <c r="R397" s="985"/>
      <c r="S397" s="985"/>
      <c r="T397" s="985"/>
      <c r="U397" s="985"/>
      <c r="V397" s="985"/>
      <c r="W397" s="985"/>
      <c r="X397" s="985"/>
      <c r="Y397" s="985"/>
      <c r="Z397" s="985"/>
      <c r="AA397" s="985"/>
      <c r="AB397" s="985"/>
      <c r="AC397" s="985"/>
      <c r="AD397" s="985"/>
      <c r="AE397" s="985"/>
      <c r="AF397" s="985"/>
      <c r="AG397" s="985"/>
      <c r="AH397" s="985"/>
      <c r="AI397" s="985"/>
      <c r="AJ397" s="985"/>
      <c r="AK397" s="985"/>
      <c r="AL397" s="985"/>
      <c r="AM397" s="985"/>
      <c r="AN397" s="985"/>
      <c r="AO397" s="985"/>
      <c r="AP397" s="985"/>
      <c r="AQ397" s="985"/>
      <c r="AR397" s="985"/>
      <c r="AS397" s="985"/>
      <c r="AT397" s="985"/>
      <c r="AU397" s="985"/>
      <c r="AV397" s="985"/>
      <c r="AW397" s="985"/>
      <c r="AX397" s="3601"/>
      <c r="AY397" s="1419" t="s">
        <v>16</v>
      </c>
      <c r="AZ397" s="3407">
        <f ca="1">-I.a!N337-I.b!N303</f>
        <v>0</v>
      </c>
      <c r="BA397" s="1219" t="s">
        <v>2603</v>
      </c>
      <c r="BB397" s="39"/>
      <c r="BC397" s="3601"/>
      <c r="BD397" s="3601"/>
      <c r="BE397" s="3291" t="s">
        <v>2604</v>
      </c>
      <c r="BF397" s="2091">
        <f t="shared" si="93"/>
        <v>0</v>
      </c>
      <c r="BG397" s="2091">
        <f t="shared" si="94"/>
        <v>6.6255593298842577</v>
      </c>
      <c r="BH397" s="985">
        <f t="shared" si="95"/>
        <v>-6.6255593298842577</v>
      </c>
      <c r="BI397" s="3601" t="str">
        <f t="shared" si="96"/>
        <v>ok</v>
      </c>
      <c r="BJ397" s="985"/>
      <c r="BK397" s="985"/>
      <c r="BL397" s="985"/>
    </row>
    <row r="398" spans="3:64">
      <c r="C398" s="985"/>
      <c r="D398" s="2091"/>
      <c r="E398" s="3601"/>
      <c r="F398" s="985"/>
      <c r="G398" s="985"/>
      <c r="H398" s="985"/>
      <c r="I398" s="985"/>
      <c r="J398" s="985"/>
      <c r="K398" s="985"/>
      <c r="L398" s="985"/>
      <c r="M398" s="985"/>
      <c r="N398" s="985"/>
      <c r="O398" s="985"/>
      <c r="P398" s="985"/>
      <c r="Q398" s="985"/>
      <c r="R398" s="985"/>
      <c r="S398" s="985"/>
      <c r="T398" s="985"/>
      <c r="U398" s="985"/>
      <c r="V398" s="985"/>
      <c r="W398" s="985"/>
      <c r="X398" s="985"/>
      <c r="Y398" s="985"/>
      <c r="Z398" s="985"/>
      <c r="AA398" s="985"/>
      <c r="AB398" s="985"/>
      <c r="AC398" s="985"/>
      <c r="AD398" s="985"/>
      <c r="AE398" s="985"/>
      <c r="AF398" s="985"/>
      <c r="AG398" s="985"/>
      <c r="AH398" s="985"/>
      <c r="AI398" s="985"/>
      <c r="AJ398" s="985"/>
      <c r="AK398" s="985"/>
      <c r="AL398" s="985"/>
      <c r="AM398" s="985"/>
      <c r="AN398" s="985"/>
      <c r="AO398" s="985"/>
      <c r="AP398" s="985"/>
      <c r="AQ398" s="985"/>
      <c r="AR398" s="985"/>
      <c r="AS398" s="985"/>
      <c r="AT398" s="985"/>
      <c r="AU398" s="985"/>
      <c r="AV398" s="985"/>
      <c r="AW398" s="985"/>
      <c r="AX398" s="3601"/>
      <c r="AY398" s="1419" t="s">
        <v>1668</v>
      </c>
      <c r="AZ398" s="3407">
        <f>-I.a!N338</f>
        <v>0</v>
      </c>
      <c r="BA398" s="1219" t="s">
        <v>2603</v>
      </c>
      <c r="BB398" s="39"/>
      <c r="BC398" s="3601"/>
      <c r="BD398" s="3601"/>
      <c r="BE398" s="3291" t="s">
        <v>1668</v>
      </c>
      <c r="BF398" s="3295">
        <f t="shared" ca="1" si="93"/>
        <v>74.256517403621118</v>
      </c>
      <c r="BG398" s="3295">
        <f t="shared" ca="1" si="94"/>
        <v>74.666873204295086</v>
      </c>
      <c r="BH398" s="3296">
        <f t="shared" ca="1" si="95"/>
        <v>-0.41035580067396893</v>
      </c>
      <c r="BI398" s="39" t="str">
        <f t="shared" ca="1" si="96"/>
        <v>error</v>
      </c>
      <c r="BJ398"/>
      <c r="BK398" s="3296"/>
      <c r="BL398" s="3296"/>
    </row>
    <row r="399" spans="3:64">
      <c r="C399" s="985"/>
      <c r="D399" s="2091"/>
      <c r="E399" s="3601"/>
      <c r="F399" s="985"/>
      <c r="G399" s="985"/>
      <c r="H399" s="985"/>
      <c r="I399" s="985"/>
      <c r="J399" s="985"/>
      <c r="K399" s="985"/>
      <c r="L399" s="985"/>
      <c r="M399" s="985"/>
      <c r="N399" s="985"/>
      <c r="O399" s="985"/>
      <c r="P399" s="985"/>
      <c r="Q399" s="985"/>
      <c r="R399" s="985"/>
      <c r="S399" s="985"/>
      <c r="T399" s="985"/>
      <c r="U399" s="985"/>
      <c r="V399" s="985"/>
      <c r="W399" s="985"/>
      <c r="X399" s="985"/>
      <c r="Y399" s="985"/>
      <c r="Z399" s="985"/>
      <c r="AA399" s="985"/>
      <c r="AB399" s="985"/>
      <c r="AC399" s="985"/>
      <c r="AD399" s="985"/>
      <c r="AE399" s="985"/>
      <c r="AF399" s="985"/>
      <c r="AG399" s="985"/>
      <c r="AH399" s="985"/>
      <c r="AI399" s="985"/>
      <c r="AJ399" s="985"/>
      <c r="AK399" s="985"/>
      <c r="AL399" s="985"/>
      <c r="AM399" s="985"/>
      <c r="AN399" s="985"/>
      <c r="AO399" s="985"/>
      <c r="AP399" s="985"/>
      <c r="AQ399" s="985"/>
      <c r="AR399" s="985"/>
      <c r="AS399" s="985"/>
      <c r="AT399" s="985"/>
      <c r="AU399" s="985"/>
      <c r="AV399" s="985"/>
      <c r="AW399" s="985"/>
      <c r="AX399" s="3601"/>
      <c r="AY399" s="1419" t="s">
        <v>15</v>
      </c>
      <c r="AZ399" s="3407">
        <f ca="1">-I.a!N339-I.b!N304</f>
        <v>81.296126820622135</v>
      </c>
      <c r="BA399" s="1219" t="s">
        <v>2603</v>
      </c>
      <c r="BB399" s="39"/>
      <c r="BC399" s="3601"/>
      <c r="BD399" s="3601"/>
      <c r="BE399" s="3291" t="s">
        <v>1741</v>
      </c>
      <c r="BF399" s="2091">
        <f t="shared" si="93"/>
        <v>0</v>
      </c>
      <c r="BG399" s="2091">
        <f t="shared" ca="1" si="94"/>
        <v>44.607483846166616</v>
      </c>
      <c r="BH399" s="3296">
        <f t="shared" ca="1" si="95"/>
        <v>-44.607483846166616</v>
      </c>
      <c r="BI399" s="3601" t="str">
        <f t="shared" ca="1" si="96"/>
        <v>ok</v>
      </c>
      <c r="BJ399"/>
      <c r="BK399" s="985"/>
      <c r="BL399" s="985"/>
    </row>
    <row r="400" spans="3:64">
      <c r="C400" s="985"/>
      <c r="D400" s="2091"/>
      <c r="E400" s="3601"/>
      <c r="F400" s="985"/>
      <c r="G400" s="985"/>
      <c r="H400" s="985"/>
      <c r="I400" s="985"/>
      <c r="J400" s="985"/>
      <c r="K400" s="985"/>
      <c r="L400" s="985"/>
      <c r="M400" s="985"/>
      <c r="N400" s="985"/>
      <c r="O400" s="985"/>
      <c r="P400" s="985"/>
      <c r="Q400" s="985"/>
      <c r="R400" s="985"/>
      <c r="S400" s="985"/>
      <c r="T400" s="985"/>
      <c r="U400" s="985"/>
      <c r="V400" s="985"/>
      <c r="W400" s="985"/>
      <c r="X400" s="985"/>
      <c r="Y400" s="985"/>
      <c r="Z400" s="985"/>
      <c r="AA400" s="985"/>
      <c r="AB400" s="985"/>
      <c r="AC400" s="985"/>
      <c r="AD400" s="985"/>
      <c r="AE400" s="985"/>
      <c r="AF400" s="985"/>
      <c r="AG400" s="985"/>
      <c r="AH400" s="985"/>
      <c r="AI400" s="985"/>
      <c r="AJ400" s="985"/>
      <c r="AK400" s="985"/>
      <c r="AL400" s="985"/>
      <c r="AM400" s="985"/>
      <c r="AN400" s="985"/>
      <c r="AO400" s="985"/>
      <c r="AP400" s="985"/>
      <c r="AQ400" s="985"/>
      <c r="AR400" s="985"/>
      <c r="AS400" s="985"/>
      <c r="AT400" s="985"/>
      <c r="AU400" s="985"/>
      <c r="AV400" s="985"/>
      <c r="AW400" s="985"/>
      <c r="AX400" s="3601"/>
      <c r="AY400" s="1419" t="s">
        <v>725</v>
      </c>
      <c r="AZ400" s="3407">
        <f>-II.a!N166</f>
        <v>0</v>
      </c>
      <c r="BA400" s="1219" t="s">
        <v>2603</v>
      </c>
      <c r="BB400" s="39"/>
      <c r="BC400" s="3601"/>
      <c r="BD400" s="3601"/>
      <c r="BE400" s="3291" t="s">
        <v>498</v>
      </c>
      <c r="BF400" s="2091">
        <f t="shared" si="93"/>
        <v>0</v>
      </c>
      <c r="BG400" s="2091">
        <f t="shared" si="94"/>
        <v>0</v>
      </c>
      <c r="BH400" s="3296">
        <f t="shared" si="95"/>
        <v>0</v>
      </c>
      <c r="BI400" s="3601" t="str">
        <f t="shared" si="96"/>
        <v>ok</v>
      </c>
      <c r="BJ400"/>
      <c r="BK400" s="985"/>
      <c r="BL400" s="985"/>
    </row>
    <row r="401" spans="3:65">
      <c r="C401" s="985"/>
      <c r="D401" s="2091"/>
      <c r="E401" s="3601"/>
      <c r="F401" s="985"/>
      <c r="G401" s="985"/>
      <c r="H401" s="985"/>
      <c r="I401" s="985"/>
      <c r="J401" s="985"/>
      <c r="K401" s="985"/>
      <c r="L401" s="985"/>
      <c r="M401" s="985"/>
      <c r="N401" s="985"/>
      <c r="O401" s="985"/>
      <c r="P401" s="985"/>
      <c r="Q401" s="985"/>
      <c r="R401" s="985"/>
      <c r="S401" s="985"/>
      <c r="T401" s="985"/>
      <c r="U401" s="985"/>
      <c r="V401" s="985"/>
      <c r="W401" s="985"/>
      <c r="X401" s="985"/>
      <c r="Y401" s="985"/>
      <c r="Z401" s="985"/>
      <c r="AA401" s="985"/>
      <c r="AB401" s="985"/>
      <c r="AC401" s="985"/>
      <c r="AD401" s="985"/>
      <c r="AE401" s="985"/>
      <c r="AF401" s="985"/>
      <c r="AG401" s="985"/>
      <c r="AH401" s="985"/>
      <c r="AI401" s="985"/>
      <c r="AJ401" s="985"/>
      <c r="AK401" s="985"/>
      <c r="AL401" s="985"/>
      <c r="AM401" s="985"/>
      <c r="AN401" s="985"/>
      <c r="AO401" s="985"/>
      <c r="AP401" s="985"/>
      <c r="AQ401" s="985"/>
      <c r="AR401" s="985"/>
      <c r="AS401" s="985"/>
      <c r="AT401" s="985"/>
      <c r="AU401" s="985"/>
      <c r="AV401" s="985"/>
      <c r="AW401" s="985"/>
      <c r="AX401" s="3601"/>
      <c r="AY401" s="1419" t="s">
        <v>2603</v>
      </c>
      <c r="AZ401" s="3889">
        <f ca="1">XVII.a!N77</f>
        <v>2.6537999724419409E-2</v>
      </c>
      <c r="BA401" s="3923" t="s">
        <v>536</v>
      </c>
      <c r="BB401" s="39"/>
      <c r="BC401" s="3601"/>
      <c r="BD401" s="3601"/>
      <c r="BE401" s="3291" t="s">
        <v>363</v>
      </c>
      <c r="BF401" s="2091">
        <f t="shared" si="93"/>
        <v>0</v>
      </c>
      <c r="BG401" s="2091">
        <f t="shared" si="94"/>
        <v>0.66</v>
      </c>
      <c r="BH401" s="3296">
        <f t="shared" si="95"/>
        <v>-0.66</v>
      </c>
      <c r="BI401" s="3601" t="str">
        <f t="shared" si="96"/>
        <v>ok</v>
      </c>
      <c r="BJ401"/>
      <c r="BK401" s="985"/>
      <c r="BL401" s="985"/>
    </row>
    <row r="402" spans="3:65">
      <c r="C402" s="985"/>
      <c r="D402" s="2091"/>
      <c r="E402" s="3601"/>
      <c r="F402" s="985"/>
      <c r="G402" s="985"/>
      <c r="H402" s="985"/>
      <c r="I402" s="985"/>
      <c r="J402" s="985"/>
      <c r="K402" s="985"/>
      <c r="L402" s="985"/>
      <c r="M402" s="985"/>
      <c r="N402" s="985"/>
      <c r="O402" s="985"/>
      <c r="P402" s="985"/>
      <c r="Q402" s="985"/>
      <c r="R402" s="985"/>
      <c r="S402" s="985"/>
      <c r="T402" s="985"/>
      <c r="U402" s="985"/>
      <c r="V402" s="985"/>
      <c r="W402" s="985"/>
      <c r="X402" s="985"/>
      <c r="Y402" s="985"/>
      <c r="Z402" s="985"/>
      <c r="AA402" s="985"/>
      <c r="AB402" s="985"/>
      <c r="AC402" s="985"/>
      <c r="AD402" s="985"/>
      <c r="AE402" s="985"/>
      <c r="AF402" s="985"/>
      <c r="AG402" s="985"/>
      <c r="AH402" s="985"/>
      <c r="AI402" s="985"/>
      <c r="AJ402" s="985"/>
      <c r="AK402" s="985"/>
      <c r="AL402" s="985"/>
      <c r="AM402" s="985"/>
      <c r="AN402" s="985"/>
      <c r="AO402" s="985"/>
      <c r="AP402" s="985"/>
      <c r="AQ402" s="985"/>
      <c r="AR402" s="985"/>
      <c r="AS402" s="985"/>
      <c r="AT402" s="985"/>
      <c r="AU402" s="985"/>
      <c r="AV402" s="985"/>
      <c r="AW402" s="985"/>
      <c r="AX402" s="3601"/>
      <c r="AY402" s="1419" t="s">
        <v>2603</v>
      </c>
      <c r="AZ402" s="3889">
        <f ca="1">I.a!N336+I.b!N302+II.a!N165+XVII.a!N78</f>
        <v>43.832355672223571</v>
      </c>
      <c r="BA402" s="1219" t="s">
        <v>2596</v>
      </c>
      <c r="BB402" s="39"/>
      <c r="BC402" s="3601"/>
      <c r="BD402" s="3601"/>
      <c r="BE402" s="3300" t="s">
        <v>2590</v>
      </c>
      <c r="BF402" s="2091">
        <f t="shared" ca="1" si="93"/>
        <v>135.74178666175516</v>
      </c>
      <c r="BG402" s="2091">
        <f t="shared" ca="1" si="94"/>
        <v>135.74178666175516</v>
      </c>
      <c r="BH402" s="3296">
        <f t="shared" ca="1" si="95"/>
        <v>0</v>
      </c>
      <c r="BI402" s="3601" t="str">
        <f t="shared" ca="1" si="96"/>
        <v>ok</v>
      </c>
      <c r="BJ402"/>
      <c r="BK402" s="985"/>
      <c r="BL402" s="985"/>
    </row>
    <row r="403" spans="3:65">
      <c r="C403" s="985"/>
      <c r="D403" s="2091"/>
      <c r="E403" s="3601"/>
      <c r="F403" s="985"/>
      <c r="G403" s="985"/>
      <c r="H403" s="985"/>
      <c r="I403" s="985"/>
      <c r="J403" s="985"/>
      <c r="K403" s="985"/>
      <c r="L403" s="985"/>
      <c r="M403" s="985"/>
      <c r="N403" s="985"/>
      <c r="O403" s="985"/>
      <c r="P403" s="985"/>
      <c r="Q403" s="985"/>
      <c r="R403" s="985"/>
      <c r="S403" s="985"/>
      <c r="T403" s="985"/>
      <c r="U403" s="985"/>
      <c r="V403" s="985"/>
      <c r="W403" s="985"/>
      <c r="X403" s="985"/>
      <c r="Y403" s="985"/>
      <c r="Z403" s="985"/>
      <c r="AA403" s="985"/>
      <c r="AB403" s="985"/>
      <c r="AC403" s="985"/>
      <c r="AD403" s="985"/>
      <c r="AE403" s="985"/>
      <c r="AF403" s="985"/>
      <c r="AG403" s="985"/>
      <c r="AH403" s="985"/>
      <c r="AI403" s="985"/>
      <c r="AJ403" s="985"/>
      <c r="AK403" s="985"/>
      <c r="AL403" s="985"/>
      <c r="AM403" s="985"/>
      <c r="AN403" s="985"/>
      <c r="AO403" s="985"/>
      <c r="AP403" s="985"/>
      <c r="AQ403" s="985"/>
      <c r="AR403" s="985"/>
      <c r="AS403" s="985"/>
      <c r="AT403" s="985"/>
      <c r="AU403" s="985"/>
      <c r="AV403" s="985"/>
      <c r="AW403" s="985"/>
      <c r="AX403" s="3601"/>
      <c r="AY403" s="1419" t="s">
        <v>2603</v>
      </c>
      <c r="AZ403" s="3889">
        <f ca="1">XVII.a!N79+I.a!N340+I.a!N330+I.b!N305+I.b!N306+II.a!N167+II.a!N168</f>
        <v>36.560510212373316</v>
      </c>
      <c r="BA403" s="3923" t="s">
        <v>1741</v>
      </c>
      <c r="BB403" s="39"/>
      <c r="BC403" s="3601"/>
      <c r="BD403" s="3601"/>
      <c r="BE403" s="3291" t="s">
        <v>725</v>
      </c>
      <c r="BF403" s="2091">
        <f t="shared" si="93"/>
        <v>0</v>
      </c>
      <c r="BG403" s="2091">
        <f t="shared" si="94"/>
        <v>0</v>
      </c>
      <c r="BH403" s="3296">
        <f t="shared" si="95"/>
        <v>0</v>
      </c>
      <c r="BI403" s="3601" t="str">
        <f t="shared" si="96"/>
        <v>ok</v>
      </c>
      <c r="BJ403"/>
      <c r="BK403" s="985"/>
      <c r="BL403" s="985"/>
    </row>
    <row r="404" spans="3:65">
      <c r="C404" s="985"/>
      <c r="D404" s="2091"/>
      <c r="E404" s="3601"/>
      <c r="F404" s="985"/>
      <c r="G404" s="985"/>
      <c r="H404" s="985"/>
      <c r="I404" s="985"/>
      <c r="J404" s="985"/>
      <c r="K404" s="985"/>
      <c r="L404" s="985"/>
      <c r="M404" s="985"/>
      <c r="N404" s="985"/>
      <c r="O404" s="985"/>
      <c r="P404" s="985"/>
      <c r="Q404" s="985"/>
      <c r="R404" s="985"/>
      <c r="S404" s="985"/>
      <c r="T404" s="985"/>
      <c r="U404" s="985"/>
      <c r="V404" s="985"/>
      <c r="W404" s="985"/>
      <c r="X404" s="985"/>
      <c r="Y404" s="985"/>
      <c r="Z404" s="985"/>
      <c r="AA404" s="985"/>
      <c r="AB404" s="985"/>
      <c r="AC404" s="985"/>
      <c r="AD404" s="985"/>
      <c r="AE404" s="985"/>
      <c r="AF404" s="985"/>
      <c r="AG404" s="985"/>
      <c r="AH404" s="985"/>
      <c r="AI404" s="985"/>
      <c r="AJ404" s="985"/>
      <c r="AK404" s="985"/>
      <c r="AL404" s="985"/>
      <c r="AM404" s="985"/>
      <c r="AN404" s="985"/>
      <c r="AO404" s="985"/>
      <c r="AP404" s="985"/>
      <c r="AQ404" s="985"/>
      <c r="AR404" s="985"/>
      <c r="AS404" s="985"/>
      <c r="AT404" s="985"/>
      <c r="AU404" s="985"/>
      <c r="AV404" s="985"/>
      <c r="AW404" s="985"/>
      <c r="AX404" s="3601"/>
      <c r="AY404" s="1419" t="s">
        <v>16</v>
      </c>
      <c r="AZ404" s="3889">
        <f ca="1">-IX.a!N1233-IX.c!N721</f>
        <v>0</v>
      </c>
      <c r="BA404" s="3923" t="s">
        <v>2593</v>
      </c>
      <c r="BB404" s="39"/>
      <c r="BC404" s="3601"/>
      <c r="BD404" s="3601"/>
      <c r="BE404" s="3291" t="s">
        <v>144</v>
      </c>
      <c r="BF404" s="2091">
        <f t="shared" ca="1" si="93"/>
        <v>74.505208807877793</v>
      </c>
      <c r="BG404" s="2091">
        <f t="shared" ca="1" si="94"/>
        <v>74.505208807877793</v>
      </c>
      <c r="BH404" s="3296">
        <f t="shared" ca="1" si="95"/>
        <v>0</v>
      </c>
      <c r="BI404" s="3601" t="str">
        <f t="shared" ca="1" si="96"/>
        <v>ok</v>
      </c>
      <c r="BJ404"/>
      <c r="BK404" s="985"/>
      <c r="BL404" s="985"/>
    </row>
    <row r="405" spans="3:65">
      <c r="C405" s="985"/>
      <c r="D405" s="2091"/>
      <c r="E405" s="3601"/>
      <c r="F405" s="985"/>
      <c r="G405" s="985"/>
      <c r="H405" s="985"/>
      <c r="I405" s="985"/>
      <c r="J405" s="985"/>
      <c r="K405" s="985"/>
      <c r="L405" s="985"/>
      <c r="M405" s="985"/>
      <c r="N405" s="985"/>
      <c r="O405" s="985"/>
      <c r="P405" s="985"/>
      <c r="Q405" s="985"/>
      <c r="R405" s="985"/>
      <c r="S405" s="985"/>
      <c r="T405" s="985"/>
      <c r="U405" s="985"/>
      <c r="V405" s="985"/>
      <c r="W405" s="985"/>
      <c r="X405" s="985"/>
      <c r="Y405" s="985"/>
      <c r="Z405" s="985"/>
      <c r="AA405" s="985"/>
      <c r="AB405" s="985"/>
      <c r="AC405" s="985"/>
      <c r="AD405" s="985"/>
      <c r="AE405" s="985"/>
      <c r="AF405" s="985"/>
      <c r="AG405" s="985"/>
      <c r="AH405" s="985"/>
      <c r="AI405" s="985"/>
      <c r="AJ405" s="985"/>
      <c r="AK405" s="985"/>
      <c r="AL405" s="985"/>
      <c r="AM405" s="985"/>
      <c r="AN405" s="985"/>
      <c r="AO405" s="985"/>
      <c r="AP405" s="985"/>
      <c r="AQ405" s="985"/>
      <c r="AR405" s="985"/>
      <c r="AS405" s="985"/>
      <c r="AT405" s="985"/>
      <c r="AU405" s="985"/>
      <c r="AV405" s="985"/>
      <c r="AW405" s="985"/>
      <c r="AX405" s="3601"/>
      <c r="AY405" s="1419" t="s">
        <v>1668</v>
      </c>
      <c r="AZ405" s="3889">
        <f ca="1">-IX.a!N1234-IX.c!N722</f>
        <v>0</v>
      </c>
      <c r="BA405" s="3923" t="s">
        <v>2593</v>
      </c>
      <c r="BB405" s="39"/>
      <c r="BC405" s="3601"/>
      <c r="BD405" s="3601"/>
      <c r="BE405" s="3291" t="s">
        <v>2588</v>
      </c>
      <c r="BF405" s="2091">
        <f t="shared" ca="1" si="93"/>
        <v>74.505208807877793</v>
      </c>
      <c r="BG405" s="2091">
        <f t="shared" si="94"/>
        <v>0</v>
      </c>
      <c r="BH405" s="3296">
        <f t="shared" ca="1" si="95"/>
        <v>74.505208807877793</v>
      </c>
      <c r="BI405" s="3601" t="str">
        <f t="shared" ca="1" si="96"/>
        <v>ok</v>
      </c>
      <c r="BJ405"/>
      <c r="BK405" s="985"/>
      <c r="BL405" s="985"/>
    </row>
    <row r="406" spans="3:65">
      <c r="C406" s="985"/>
      <c r="D406" s="2091"/>
      <c r="E406" s="3601"/>
      <c r="F406" s="985"/>
      <c r="G406" s="985"/>
      <c r="H406" s="985"/>
      <c r="I406" s="985"/>
      <c r="J406" s="985"/>
      <c r="K406" s="985"/>
      <c r="L406" s="985"/>
      <c r="M406" s="985"/>
      <c r="N406" s="985"/>
      <c r="O406" s="985"/>
      <c r="P406" s="985"/>
      <c r="Q406" s="985"/>
      <c r="R406" s="985"/>
      <c r="S406" s="985"/>
      <c r="T406" s="985"/>
      <c r="U406" s="985"/>
      <c r="V406" s="985"/>
      <c r="W406" s="985"/>
      <c r="X406" s="985"/>
      <c r="Y406" s="985"/>
      <c r="Z406" s="985"/>
      <c r="AA406" s="985"/>
      <c r="AB406" s="985"/>
      <c r="AC406" s="985"/>
      <c r="AD406" s="985"/>
      <c r="AE406" s="985"/>
      <c r="AF406" s="985"/>
      <c r="AG406" s="985"/>
      <c r="AH406" s="985"/>
      <c r="AI406" s="985"/>
      <c r="AJ406" s="985"/>
      <c r="AK406" s="985"/>
      <c r="AL406" s="985"/>
      <c r="AM406" s="985"/>
      <c r="AN406" s="985"/>
      <c r="AO406" s="985"/>
      <c r="AP406" s="985"/>
      <c r="AQ406" s="985"/>
      <c r="AR406" s="985"/>
      <c r="AS406" s="985"/>
      <c r="AT406" s="985"/>
      <c r="AU406" s="985"/>
      <c r="AV406" s="985"/>
      <c r="AW406" s="985"/>
      <c r="AX406" s="3601"/>
      <c r="AY406" s="1419" t="s">
        <v>15</v>
      </c>
      <c r="AZ406" s="3889">
        <f ca="1">-IX.a!N1235-IX.c!N723</f>
        <v>0</v>
      </c>
      <c r="BA406" s="3923" t="s">
        <v>2593</v>
      </c>
      <c r="BB406" s="39"/>
      <c r="BC406" s="3601"/>
      <c r="BD406" s="3601"/>
      <c r="BE406" s="3291" t="s">
        <v>379</v>
      </c>
      <c r="BF406" s="2091">
        <f t="shared" ca="1" si="93"/>
        <v>0</v>
      </c>
      <c r="BG406" s="2091">
        <f t="shared" si="94"/>
        <v>0</v>
      </c>
      <c r="BH406" s="3296">
        <f t="shared" ca="1" si="95"/>
        <v>0</v>
      </c>
      <c r="BI406" s="3601" t="str">
        <f t="shared" ca="1" si="96"/>
        <v>ok</v>
      </c>
      <c r="BJ406"/>
      <c r="BK406" s="985"/>
      <c r="BL406" s="985"/>
    </row>
    <row r="407" spans="3:65">
      <c r="C407" s="985"/>
      <c r="D407" s="2091"/>
      <c r="E407" s="3601"/>
      <c r="F407" s="985"/>
      <c r="G407" s="985"/>
      <c r="H407" s="985"/>
      <c r="I407" s="985"/>
      <c r="J407" s="985"/>
      <c r="K407" s="985"/>
      <c r="L407" s="985"/>
      <c r="M407" s="985"/>
      <c r="N407" s="985"/>
      <c r="O407" s="985"/>
      <c r="P407" s="985"/>
      <c r="Q407" s="985"/>
      <c r="R407" s="985"/>
      <c r="S407" s="985"/>
      <c r="T407" s="985"/>
      <c r="U407" s="985"/>
      <c r="V407" s="985"/>
      <c r="W407" s="985"/>
      <c r="X407" s="985"/>
      <c r="Y407" s="985"/>
      <c r="Z407" s="985"/>
      <c r="AA407" s="985"/>
      <c r="AB407" s="985"/>
      <c r="AC407" s="985"/>
      <c r="AD407" s="985"/>
      <c r="AE407" s="985"/>
      <c r="AF407" s="985"/>
      <c r="AG407" s="985"/>
      <c r="AH407" s="985"/>
      <c r="AI407" s="985"/>
      <c r="AJ407" s="985"/>
      <c r="AK407" s="985"/>
      <c r="AL407" s="985"/>
      <c r="AM407" s="985"/>
      <c r="AN407" s="985"/>
      <c r="AO407" s="985"/>
      <c r="AP407" s="985"/>
      <c r="AQ407" s="985"/>
      <c r="AR407" s="985"/>
      <c r="AS407" s="985"/>
      <c r="AT407" s="985"/>
      <c r="AU407" s="985"/>
      <c r="AV407" s="985"/>
      <c r="AW407" s="985"/>
      <c r="AX407" s="3601"/>
      <c r="AY407" s="1419" t="s">
        <v>2593</v>
      </c>
      <c r="AZ407" s="3889">
        <f ca="1">IX.a!N1232+IX.c!N720</f>
        <v>0</v>
      </c>
      <c r="BA407" s="3923" t="s">
        <v>2596</v>
      </c>
      <c r="BB407" s="39"/>
      <c r="BC407" s="3601"/>
      <c r="BD407" s="3601"/>
      <c r="BE407" s="3291" t="s">
        <v>2595</v>
      </c>
      <c r="BF407" s="2091">
        <f t="shared" si="93"/>
        <v>0.93363700238867708</v>
      </c>
      <c r="BG407" s="2091">
        <f t="shared" si="94"/>
        <v>0</v>
      </c>
      <c r="BH407" s="3296">
        <f t="shared" si="95"/>
        <v>0.93363700238867708</v>
      </c>
      <c r="BI407" s="3601" t="str">
        <f t="shared" si="96"/>
        <v>ok</v>
      </c>
      <c r="BJ407"/>
      <c r="BK407" s="985"/>
      <c r="BL407" s="985"/>
    </row>
    <row r="408" spans="3:65">
      <c r="C408" s="985"/>
      <c r="D408" s="2091"/>
      <c r="E408" s="3601"/>
      <c r="F408" s="985"/>
      <c r="G408" s="985"/>
      <c r="H408" s="985"/>
      <c r="I408" s="985"/>
      <c r="J408" s="985"/>
      <c r="K408" s="985"/>
      <c r="L408" s="985"/>
      <c r="M408" s="985"/>
      <c r="N408" s="985"/>
      <c r="O408" s="985"/>
      <c r="P408" s="985"/>
      <c r="Q408" s="985"/>
      <c r="R408" s="985"/>
      <c r="S408" s="985"/>
      <c r="T408" s="985"/>
      <c r="U408" s="985"/>
      <c r="V408" s="985"/>
      <c r="W408" s="985"/>
      <c r="X408" s="985"/>
      <c r="Y408" s="985"/>
      <c r="Z408" s="985"/>
      <c r="AA408" s="985"/>
      <c r="AB408" s="985"/>
      <c r="AC408" s="985"/>
      <c r="AD408" s="985"/>
      <c r="AE408" s="985"/>
      <c r="AF408" s="985"/>
      <c r="AG408" s="985"/>
      <c r="AH408" s="985"/>
      <c r="AI408" s="985"/>
      <c r="AJ408" s="985"/>
      <c r="AK408" s="985"/>
      <c r="AL408" s="985"/>
      <c r="AM408" s="985"/>
      <c r="AN408" s="985"/>
      <c r="AO408" s="985"/>
      <c r="AP408" s="985"/>
      <c r="AQ408" s="985"/>
      <c r="AR408" s="985"/>
      <c r="AS408" s="985"/>
      <c r="AT408" s="985"/>
      <c r="AU408" s="985"/>
      <c r="AV408" s="985"/>
      <c r="AW408" s="985"/>
      <c r="AX408" s="3601"/>
      <c r="AY408" s="1419" t="s">
        <v>2593</v>
      </c>
      <c r="AZ408" s="3889">
        <f ca="1">IX.a!N1240+IX.c!N727</f>
        <v>0</v>
      </c>
      <c r="BA408" s="3923" t="s">
        <v>1741</v>
      </c>
      <c r="BB408" s="39"/>
      <c r="BC408" s="3601"/>
      <c r="BD408" s="3601"/>
      <c r="BE408" s="3291" t="s">
        <v>2601</v>
      </c>
      <c r="BF408" s="2091">
        <f t="shared" si="93"/>
        <v>0</v>
      </c>
      <c r="BG408" s="2091">
        <f t="shared" ca="1" si="94"/>
        <v>0</v>
      </c>
      <c r="BH408" s="3296">
        <f t="shared" ca="1" si="95"/>
        <v>0</v>
      </c>
      <c r="BI408" s="3601" t="str">
        <f t="shared" ca="1" si="96"/>
        <v>ok</v>
      </c>
      <c r="BJ408"/>
      <c r="BK408" s="985"/>
      <c r="BL408" s="985"/>
    </row>
    <row r="409" spans="3:65">
      <c r="C409" s="985"/>
      <c r="D409" s="2091"/>
      <c r="E409" s="3601"/>
      <c r="F409" s="985"/>
      <c r="G409" s="985"/>
      <c r="H409" s="985"/>
      <c r="I409" s="985"/>
      <c r="J409" s="985"/>
      <c r="K409" s="985"/>
      <c r="L409" s="985"/>
      <c r="M409" s="985"/>
      <c r="N409" s="985"/>
      <c r="O409" s="985"/>
      <c r="P409" s="985"/>
      <c r="Q409" s="985"/>
      <c r="R409" s="985"/>
      <c r="S409" s="985"/>
      <c r="T409" s="985"/>
      <c r="U409" s="985"/>
      <c r="V409" s="985"/>
      <c r="W409" s="985"/>
      <c r="X409" s="985"/>
      <c r="Y409" s="985"/>
      <c r="Z409" s="985"/>
      <c r="AA409" s="985"/>
      <c r="AB409" s="985"/>
      <c r="AC409" s="985"/>
      <c r="AD409" s="985"/>
      <c r="AE409" s="985"/>
      <c r="AF409" s="985"/>
      <c r="AG409" s="985"/>
      <c r="AH409" s="985"/>
      <c r="AI409" s="985"/>
      <c r="AJ409" s="985"/>
      <c r="AK409" s="985"/>
      <c r="AL409" s="985"/>
      <c r="AM409" s="985"/>
      <c r="AN409" s="985"/>
      <c r="AO409" s="985"/>
      <c r="AP409" s="985"/>
      <c r="AQ409" s="985"/>
      <c r="AR409" s="985"/>
      <c r="AS409" s="985"/>
      <c r="AT409" s="985"/>
      <c r="AU409" s="985"/>
      <c r="AV409" s="985"/>
      <c r="AW409" s="985"/>
      <c r="AX409" s="3601"/>
      <c r="AY409" s="1419" t="s">
        <v>555</v>
      </c>
      <c r="AZ409" s="3889">
        <f>VII.a!N173</f>
        <v>0</v>
      </c>
      <c r="BA409" s="1219" t="s">
        <v>2596</v>
      </c>
      <c r="BB409" s="39"/>
      <c r="BC409" s="3601"/>
      <c r="BD409" s="39"/>
      <c r="BE409" s="1419" t="s">
        <v>2605</v>
      </c>
      <c r="BF409" s="3295">
        <f t="shared" ca="1" si="93"/>
        <v>0.9494999999999999</v>
      </c>
      <c r="BG409" s="3295">
        <f t="shared" si="94"/>
        <v>0</v>
      </c>
      <c r="BH409" s="3296">
        <f t="shared" ca="1" si="95"/>
        <v>0.9494999999999999</v>
      </c>
      <c r="BI409" s="39" t="str">
        <f t="shared" ca="1" si="96"/>
        <v>ok</v>
      </c>
      <c r="BJ409"/>
      <c r="BK409" s="3296"/>
      <c r="BL409" s="3296"/>
      <c r="BM409" s="39"/>
    </row>
    <row r="410" spans="3:65">
      <c r="C410" s="985"/>
      <c r="D410" s="2091"/>
      <c r="E410" s="3601"/>
      <c r="F410" s="985"/>
      <c r="G410" s="985"/>
      <c r="H410" s="985"/>
      <c r="I410" s="985"/>
      <c r="J410" s="985"/>
      <c r="K410" s="985"/>
      <c r="L410" s="985"/>
      <c r="M410" s="985"/>
      <c r="N410" s="985"/>
      <c r="O410" s="985"/>
      <c r="P410" s="985"/>
      <c r="Q410" s="985"/>
      <c r="R410" s="985"/>
      <c r="S410" s="985"/>
      <c r="T410" s="985"/>
      <c r="U410" s="985"/>
      <c r="V410" s="985"/>
      <c r="W410" s="985"/>
      <c r="X410" s="985"/>
      <c r="Y410" s="985"/>
      <c r="Z410" s="985"/>
      <c r="AA410" s="985"/>
      <c r="AB410" s="985"/>
      <c r="AC410" s="985"/>
      <c r="AD410" s="985"/>
      <c r="AE410" s="985"/>
      <c r="AF410" s="985"/>
      <c r="AG410" s="985"/>
      <c r="AH410" s="985"/>
      <c r="AI410" s="985"/>
      <c r="AJ410" s="985"/>
      <c r="AK410" s="985"/>
      <c r="AL410" s="985"/>
      <c r="AM410" s="985"/>
      <c r="AN410" s="985"/>
      <c r="AO410" s="985"/>
      <c r="AP410" s="985"/>
      <c r="AQ410" s="985"/>
      <c r="AR410" s="985"/>
      <c r="AS410" s="985"/>
      <c r="AT410" s="985"/>
      <c r="AU410" s="985"/>
      <c r="AV410" s="985"/>
      <c r="AW410" s="985"/>
      <c r="AX410" s="3601"/>
      <c r="AY410" s="1419" t="s">
        <v>388</v>
      </c>
      <c r="AZ410" s="3889">
        <f>III.a.1!N124+III.a.2!N144</f>
        <v>3.8789549999999742E-2</v>
      </c>
      <c r="BA410" s="1219" t="s">
        <v>2596</v>
      </c>
      <c r="BB410" s="39"/>
      <c r="BC410" s="3601"/>
      <c r="BD410" s="39"/>
      <c r="BE410" s="1419" t="s">
        <v>361</v>
      </c>
      <c r="BF410" s="3295">
        <f t="shared" si="93"/>
        <v>0</v>
      </c>
      <c r="BG410" s="3295">
        <f t="shared" si="94"/>
        <v>1.6392245805032304</v>
      </c>
      <c r="BH410" s="3296">
        <f t="shared" si="95"/>
        <v>-1.6392245805032304</v>
      </c>
      <c r="BI410" s="39" t="str">
        <f t="shared" si="96"/>
        <v>ok</v>
      </c>
      <c r="BJ410"/>
      <c r="BK410" s="3296"/>
      <c r="BL410" s="3296"/>
      <c r="BM410" s="39"/>
    </row>
    <row r="411" spans="3:65">
      <c r="C411" s="985"/>
      <c r="D411" s="2091"/>
      <c r="E411" s="3601"/>
      <c r="F411" s="985"/>
      <c r="G411" s="985"/>
      <c r="H411" s="985"/>
      <c r="I411" s="985"/>
      <c r="J411" s="985"/>
      <c r="K411" s="985"/>
      <c r="L411" s="985"/>
      <c r="M411" s="985"/>
      <c r="N411" s="985"/>
      <c r="O411" s="985"/>
      <c r="P411" s="985"/>
      <c r="Q411" s="985"/>
      <c r="R411" s="985"/>
      <c r="S411" s="985"/>
      <c r="T411" s="985"/>
      <c r="U411" s="985"/>
      <c r="V411" s="985"/>
      <c r="W411" s="985"/>
      <c r="X411" s="985"/>
      <c r="Y411" s="985"/>
      <c r="Z411" s="985"/>
      <c r="AA411" s="985"/>
      <c r="AB411" s="985"/>
      <c r="AC411" s="985"/>
      <c r="AD411" s="985"/>
      <c r="AE411" s="985"/>
      <c r="AF411" s="985"/>
      <c r="AG411" s="985"/>
      <c r="AH411" s="985"/>
      <c r="AI411" s="985"/>
      <c r="AJ411" s="985"/>
      <c r="AK411" s="985"/>
      <c r="AL411" s="985"/>
      <c r="AM411" s="985"/>
      <c r="AN411" s="985"/>
      <c r="AO411" s="985"/>
      <c r="AP411" s="985"/>
      <c r="AQ411" s="985"/>
      <c r="AR411" s="985"/>
      <c r="AS411" s="985"/>
      <c r="AT411" s="985"/>
      <c r="AU411" s="985"/>
      <c r="AV411" s="985"/>
      <c r="AW411" s="985"/>
      <c r="AX411" s="3601"/>
      <c r="AY411" s="1419" t="s">
        <v>389</v>
      </c>
      <c r="AZ411" s="3889">
        <f>III.c!N230+III.c!N238</f>
        <v>0</v>
      </c>
      <c r="BA411" s="1219" t="s">
        <v>2596</v>
      </c>
      <c r="BB411" s="39"/>
      <c r="BC411" s="3601"/>
      <c r="BD411" s="39"/>
      <c r="BE411" s="1419" t="s">
        <v>360</v>
      </c>
      <c r="BF411" s="3295">
        <f t="shared" si="93"/>
        <v>0</v>
      </c>
      <c r="BG411" s="3295">
        <f t="shared" si="94"/>
        <v>48.119877929838552</v>
      </c>
      <c r="BH411" s="3296">
        <f t="shared" si="95"/>
        <v>-48.119877929838552</v>
      </c>
      <c r="BI411" s="39" t="str">
        <f t="shared" si="96"/>
        <v>ok</v>
      </c>
      <c r="BJ411"/>
      <c r="BK411" s="3296"/>
      <c r="BL411" s="3296"/>
      <c r="BM411" s="39"/>
    </row>
    <row r="412" spans="3:65">
      <c r="C412" s="985"/>
      <c r="D412" s="2091"/>
      <c r="E412" s="3601"/>
      <c r="F412" s="985"/>
      <c r="G412" s="985"/>
      <c r="H412" s="985"/>
      <c r="I412" s="985"/>
      <c r="J412" s="985"/>
      <c r="K412" s="985"/>
      <c r="L412" s="985"/>
      <c r="M412" s="985"/>
      <c r="N412" s="985"/>
      <c r="O412" s="985"/>
      <c r="P412" s="985"/>
      <c r="Q412" s="985"/>
      <c r="R412" s="985"/>
      <c r="S412" s="985"/>
      <c r="T412" s="985"/>
      <c r="U412" s="985"/>
      <c r="V412" s="985"/>
      <c r="W412" s="985"/>
      <c r="X412" s="985"/>
      <c r="Y412" s="985"/>
      <c r="Z412" s="985"/>
      <c r="AA412" s="985"/>
      <c r="AB412" s="985"/>
      <c r="AC412" s="985"/>
      <c r="AD412" s="985"/>
      <c r="AE412" s="985"/>
      <c r="AF412" s="985"/>
      <c r="AG412" s="985"/>
      <c r="AH412" s="985"/>
      <c r="AI412" s="985"/>
      <c r="AJ412" s="985"/>
      <c r="AK412" s="985"/>
      <c r="AL412" s="985"/>
      <c r="AM412" s="985"/>
      <c r="AN412" s="985"/>
      <c r="AO412" s="985"/>
      <c r="AP412" s="985"/>
      <c r="AQ412" s="985"/>
      <c r="AR412" s="985"/>
      <c r="AS412" s="985"/>
      <c r="AT412" s="985"/>
      <c r="AU412" s="985"/>
      <c r="AV412" s="985"/>
      <c r="AW412" s="985"/>
      <c r="AX412" s="3601"/>
      <c r="AY412" s="1419" t="s">
        <v>390</v>
      </c>
      <c r="AZ412" s="3889">
        <f>III.c!N222</f>
        <v>0</v>
      </c>
      <c r="BA412" s="1219" t="s">
        <v>2596</v>
      </c>
      <c r="BB412" s="39"/>
      <c r="BC412" s="3601"/>
      <c r="BD412" s="39"/>
      <c r="BE412" s="3297" t="s">
        <v>78</v>
      </c>
      <c r="BF412" s="3295">
        <f t="shared" si="93"/>
        <v>8.3820866458489254E-2</v>
      </c>
      <c r="BG412" s="3295">
        <f t="shared" si="94"/>
        <v>0</v>
      </c>
      <c r="BH412" s="3296">
        <f t="shared" si="95"/>
        <v>8.3820866458489254E-2</v>
      </c>
      <c r="BI412" s="39" t="str">
        <f t="shared" si="96"/>
        <v>ok</v>
      </c>
      <c r="BJ412"/>
      <c r="BK412" s="3296"/>
      <c r="BL412" s="3296"/>
      <c r="BM412" s="39"/>
    </row>
    <row r="413" spans="3:65">
      <c r="C413" s="985"/>
      <c r="D413" s="2091"/>
      <c r="E413" s="3601"/>
      <c r="F413" s="985"/>
      <c r="G413" s="985"/>
      <c r="H413" s="985"/>
      <c r="I413" s="985"/>
      <c r="J413" s="985"/>
      <c r="K413" s="985"/>
      <c r="L413" s="985"/>
      <c r="M413" s="985"/>
      <c r="N413" s="985"/>
      <c r="O413" s="985"/>
      <c r="P413" s="985"/>
      <c r="Q413" s="985"/>
      <c r="R413" s="985"/>
      <c r="S413" s="985"/>
      <c r="T413" s="985"/>
      <c r="U413" s="985"/>
      <c r="V413" s="985"/>
      <c r="W413" s="985"/>
      <c r="X413" s="985"/>
      <c r="Y413" s="985"/>
      <c r="Z413" s="985"/>
      <c r="AA413" s="985"/>
      <c r="AB413" s="985"/>
      <c r="AC413" s="985"/>
      <c r="AD413" s="985"/>
      <c r="AE413" s="985"/>
      <c r="AF413" s="985"/>
      <c r="AG413" s="985"/>
      <c r="AH413" s="985"/>
      <c r="AI413" s="985"/>
      <c r="AJ413" s="985"/>
      <c r="AK413" s="985"/>
      <c r="AL413" s="985"/>
      <c r="AM413" s="985"/>
      <c r="AN413" s="985"/>
      <c r="AO413" s="985"/>
      <c r="AP413" s="985"/>
      <c r="AQ413" s="985"/>
      <c r="AR413" s="985"/>
      <c r="AS413" s="985"/>
      <c r="AT413" s="985"/>
      <c r="AU413" s="985"/>
      <c r="AV413" s="985"/>
      <c r="AW413" s="985"/>
      <c r="AX413" s="3601"/>
      <c r="AY413" s="1419" t="s">
        <v>54</v>
      </c>
      <c r="AZ413" s="3889">
        <v>0</v>
      </c>
      <c r="BA413" s="1219" t="s">
        <v>2596</v>
      </c>
      <c r="BB413" s="39"/>
      <c r="BC413" s="3601"/>
      <c r="BD413" s="3601"/>
      <c r="BE413" s="3300" t="s">
        <v>526</v>
      </c>
      <c r="BF413" s="2091">
        <f t="shared" si="93"/>
        <v>0</v>
      </c>
      <c r="BG413" s="2091">
        <f t="shared" si="94"/>
        <v>0</v>
      </c>
      <c r="BH413" s="3296">
        <f t="shared" si="95"/>
        <v>0</v>
      </c>
      <c r="BI413" s="3601" t="str">
        <f t="shared" si="96"/>
        <v>ok</v>
      </c>
      <c r="BJ413"/>
      <c r="BK413" s="985"/>
      <c r="BL413" s="985"/>
    </row>
    <row r="414" spans="3:65">
      <c r="C414" s="985"/>
      <c r="D414" s="2091"/>
      <c r="E414" s="3601"/>
      <c r="F414" s="985"/>
      <c r="G414" s="985"/>
      <c r="H414" s="985"/>
      <c r="I414" s="985"/>
      <c r="J414" s="985"/>
      <c r="K414" s="985"/>
      <c r="L414" s="985"/>
      <c r="M414" s="985"/>
      <c r="N414" s="985"/>
      <c r="O414" s="985"/>
      <c r="P414" s="985"/>
      <c r="Q414" s="985"/>
      <c r="R414" s="985"/>
      <c r="S414" s="985"/>
      <c r="T414" s="985"/>
      <c r="U414" s="985"/>
      <c r="V414" s="985"/>
      <c r="W414" s="985"/>
      <c r="X414" s="985"/>
      <c r="Y414" s="985"/>
      <c r="Z414" s="985"/>
      <c r="AA414" s="985"/>
      <c r="AB414" s="985"/>
      <c r="AC414" s="985"/>
      <c r="AD414" s="985"/>
      <c r="AE414" s="985"/>
      <c r="AF414" s="985"/>
      <c r="AG414" s="985"/>
      <c r="AH414" s="985"/>
      <c r="AI414" s="985"/>
      <c r="AJ414" s="985"/>
      <c r="AK414" s="985"/>
      <c r="AL414" s="985"/>
      <c r="AM414" s="985"/>
      <c r="AN414" s="985"/>
      <c r="AO414" s="985"/>
      <c r="AP414" s="985"/>
      <c r="AQ414" s="985"/>
      <c r="AR414" s="985"/>
      <c r="AS414" s="985"/>
      <c r="AT414" s="985"/>
      <c r="AU414" s="985"/>
      <c r="AV414" s="985"/>
      <c r="AW414" s="985"/>
      <c r="AX414" s="3601"/>
      <c r="AY414" s="1419" t="s">
        <v>391</v>
      </c>
      <c r="AZ414" s="3889">
        <f>III.b!N111</f>
        <v>0</v>
      </c>
      <c r="BA414" s="1219" t="s">
        <v>2596</v>
      </c>
      <c r="BB414" s="39"/>
      <c r="BC414" s="3601"/>
      <c r="BD414" s="3601"/>
      <c r="BE414" s="3291" t="s">
        <v>2597</v>
      </c>
      <c r="BF414" s="2091">
        <f t="shared" si="93"/>
        <v>0</v>
      </c>
      <c r="BG414" s="2091">
        <f t="shared" si="94"/>
        <v>8.3820866458489254E-2</v>
      </c>
      <c r="BH414" s="3296">
        <f t="shared" si="95"/>
        <v>-8.3820866458489254E-2</v>
      </c>
      <c r="BI414" s="3601" t="str">
        <f t="shared" si="96"/>
        <v>ok</v>
      </c>
      <c r="BJ414"/>
      <c r="BK414" s="985"/>
      <c r="BL414" s="985"/>
    </row>
    <row r="415" spans="3:65">
      <c r="C415" s="985"/>
      <c r="D415" s="2091"/>
      <c r="E415" s="3601"/>
      <c r="F415" s="985"/>
      <c r="G415" s="985"/>
      <c r="H415" s="985"/>
      <c r="I415" s="985"/>
      <c r="J415" s="985"/>
      <c r="K415" s="985"/>
      <c r="L415" s="985"/>
      <c r="M415" s="985"/>
      <c r="N415" s="985"/>
      <c r="O415" s="985"/>
      <c r="P415" s="985"/>
      <c r="Q415" s="985"/>
      <c r="R415" s="985"/>
      <c r="S415" s="985"/>
      <c r="T415" s="985"/>
      <c r="U415" s="985"/>
      <c r="V415" s="985"/>
      <c r="W415" s="985"/>
      <c r="X415" s="985"/>
      <c r="Y415" s="985"/>
      <c r="Z415" s="985"/>
      <c r="AA415" s="985"/>
      <c r="AB415" s="985"/>
      <c r="AC415" s="985"/>
      <c r="AD415" s="985"/>
      <c r="AE415" s="985"/>
      <c r="AF415" s="985"/>
      <c r="AG415" s="985"/>
      <c r="AH415" s="985"/>
      <c r="AI415" s="985"/>
      <c r="AJ415" s="985"/>
      <c r="AK415" s="985"/>
      <c r="AL415" s="985"/>
      <c r="AM415" s="985"/>
      <c r="AN415" s="985"/>
      <c r="AO415" s="985"/>
      <c r="AP415" s="985"/>
      <c r="AQ415" s="985"/>
      <c r="AR415" s="985"/>
      <c r="AS415" s="985"/>
      <c r="AT415" s="985"/>
      <c r="AU415" s="985"/>
      <c r="AV415" s="985"/>
      <c r="AW415" s="985"/>
      <c r="AX415" s="3601"/>
      <c r="AY415" s="1419" t="s">
        <v>2596</v>
      </c>
      <c r="AZ415" s="3889">
        <f ca="1">-VIII.a!N210</f>
        <v>0</v>
      </c>
      <c r="BA415" s="3923" t="s">
        <v>2598</v>
      </c>
      <c r="BB415" s="39"/>
      <c r="BC415" s="3601"/>
      <c r="BD415" s="3601"/>
      <c r="BE415" s="3291" t="s">
        <v>16</v>
      </c>
      <c r="BF415" s="3553">
        <f t="shared" ca="1" si="93"/>
        <v>5.5197297709738296</v>
      </c>
      <c r="BG415" s="3553">
        <f t="shared" ca="1" si="94"/>
        <v>5.5197297709738296</v>
      </c>
      <c r="BH415" s="3556">
        <f t="shared" ca="1" si="95"/>
        <v>0</v>
      </c>
      <c r="BI415" s="3601" t="str">
        <f t="shared" ca="1" si="96"/>
        <v>ok</v>
      </c>
      <c r="BJ415"/>
      <c r="BK415" s="985"/>
      <c r="BL415" s="985"/>
    </row>
    <row r="416" spans="3:65">
      <c r="C416" s="985"/>
      <c r="D416" s="2091"/>
      <c r="E416" s="3601"/>
      <c r="F416" s="985"/>
      <c r="G416" s="985"/>
      <c r="H416" s="985"/>
      <c r="I416" s="985"/>
      <c r="J416" s="985"/>
      <c r="K416" s="985"/>
      <c r="L416" s="985"/>
      <c r="M416" s="985"/>
      <c r="N416" s="985"/>
      <c r="O416" s="985"/>
      <c r="P416" s="985"/>
      <c r="Q416" s="985"/>
      <c r="R416" s="985"/>
      <c r="S416" s="985"/>
      <c r="T416" s="985"/>
      <c r="U416" s="985"/>
      <c r="V416" s="985"/>
      <c r="W416" s="985"/>
      <c r="X416" s="985"/>
      <c r="Y416" s="985"/>
      <c r="Z416" s="985"/>
      <c r="AA416" s="985"/>
      <c r="AB416" s="985"/>
      <c r="AC416" s="985"/>
      <c r="AD416" s="985"/>
      <c r="AE416" s="985"/>
      <c r="AF416" s="985"/>
      <c r="AG416" s="985"/>
      <c r="AH416" s="985"/>
      <c r="AI416" s="985"/>
      <c r="AJ416" s="985"/>
      <c r="AK416" s="985"/>
      <c r="AL416" s="985"/>
      <c r="AM416" s="985"/>
      <c r="AN416" s="985"/>
      <c r="AO416" s="985"/>
      <c r="AP416" s="985"/>
      <c r="AQ416" s="985"/>
      <c r="AR416" s="985"/>
      <c r="AS416" s="985"/>
      <c r="AT416" s="985"/>
      <c r="AU416" s="985"/>
      <c r="AV416" s="985"/>
      <c r="AW416" s="985"/>
      <c r="AX416" s="3601"/>
      <c r="AY416" s="1419" t="s">
        <v>2596</v>
      </c>
      <c r="AZ416" s="3889">
        <f ca="1">MAX(-'2050'!T104,0)</f>
        <v>0</v>
      </c>
      <c r="BA416" s="3923" t="s">
        <v>2601</v>
      </c>
      <c r="BB416" s="39"/>
      <c r="BC416" s="3601"/>
      <c r="BD416" s="3601"/>
      <c r="BE416" s="3291" t="s">
        <v>2603</v>
      </c>
      <c r="BF416" s="3553">
        <f t="shared" ca="1" si="93"/>
        <v>80.419403884321298</v>
      </c>
      <c r="BG416" s="3553">
        <f t="shared" ca="1" si="94"/>
        <v>81.296126820622135</v>
      </c>
      <c r="BH416" s="985">
        <f t="shared" ca="1" si="95"/>
        <v>-0.87672293630083686</v>
      </c>
      <c r="BI416" s="3601" t="str">
        <f t="shared" ca="1" si="96"/>
        <v>error</v>
      </c>
      <c r="BJ416" s="985"/>
      <c r="BK416" s="985"/>
      <c r="BL416" s="985"/>
    </row>
    <row r="417" spans="3:64">
      <c r="C417" s="985"/>
      <c r="D417" s="2091"/>
      <c r="E417" s="3601"/>
      <c r="F417" s="985"/>
      <c r="G417" s="985"/>
      <c r="H417" s="985"/>
      <c r="I417" s="985"/>
      <c r="J417" s="985"/>
      <c r="K417" s="985"/>
      <c r="L417" s="985"/>
      <c r="M417" s="985"/>
      <c r="N417" s="985"/>
      <c r="O417" s="985"/>
      <c r="P417" s="985"/>
      <c r="Q417" s="985"/>
      <c r="R417" s="985"/>
      <c r="S417" s="985"/>
      <c r="T417" s="985"/>
      <c r="U417" s="985"/>
      <c r="V417" s="985"/>
      <c r="W417" s="985"/>
      <c r="X417" s="985"/>
      <c r="Y417" s="985"/>
      <c r="Z417" s="985"/>
      <c r="AA417" s="985"/>
      <c r="AB417" s="985"/>
      <c r="AC417" s="985"/>
      <c r="AD417" s="985"/>
      <c r="AE417" s="985"/>
      <c r="AF417" s="985"/>
      <c r="AG417" s="985"/>
      <c r="AH417" s="985"/>
      <c r="AI417" s="985"/>
      <c r="AJ417" s="985"/>
      <c r="AK417" s="985"/>
      <c r="AL417" s="985"/>
      <c r="AM417" s="985"/>
      <c r="AN417" s="985"/>
      <c r="AO417" s="985"/>
      <c r="AP417" s="985"/>
      <c r="AQ417" s="985"/>
      <c r="AR417" s="985"/>
      <c r="AS417" s="985"/>
      <c r="AT417" s="985"/>
      <c r="AU417" s="985"/>
      <c r="AV417" s="985"/>
      <c r="AW417" s="985"/>
      <c r="AX417" s="3601"/>
      <c r="AY417" s="1419" t="s">
        <v>2596</v>
      </c>
      <c r="AZ417" s="3889">
        <f ca="1">VII.b!N117</f>
        <v>5.482825244417449</v>
      </c>
      <c r="BA417" s="3923" t="s">
        <v>1741</v>
      </c>
      <c r="BB417" s="39"/>
      <c r="BC417" s="3601"/>
      <c r="BD417" s="3601"/>
      <c r="BE417" s="3291" t="s">
        <v>389</v>
      </c>
      <c r="BF417" s="2091">
        <f t="shared" si="93"/>
        <v>0</v>
      </c>
      <c r="BG417" s="2091">
        <f t="shared" si="94"/>
        <v>0</v>
      </c>
      <c r="BH417" s="985">
        <f t="shared" si="95"/>
        <v>0</v>
      </c>
      <c r="BI417" s="3601" t="str">
        <f t="shared" si="96"/>
        <v>ok</v>
      </c>
      <c r="BJ417" s="985"/>
      <c r="BK417" s="985"/>
      <c r="BL417" s="985"/>
    </row>
    <row r="418" spans="3:64">
      <c r="C418" s="985"/>
      <c r="D418" s="2091"/>
      <c r="E418" s="3601"/>
      <c r="F418" s="985"/>
      <c r="G418" s="985"/>
      <c r="H418" s="985"/>
      <c r="I418" s="985"/>
      <c r="J418" s="985"/>
      <c r="K418" s="985"/>
      <c r="L418" s="985"/>
      <c r="M418" s="985"/>
      <c r="N418" s="985"/>
      <c r="O418" s="985"/>
      <c r="P418" s="985"/>
      <c r="Q418" s="985"/>
      <c r="R418" s="985"/>
      <c r="S418" s="985"/>
      <c r="T418" s="985"/>
      <c r="U418" s="985"/>
      <c r="V418" s="985"/>
      <c r="W418" s="985"/>
      <c r="X418" s="985"/>
      <c r="Y418" s="985"/>
      <c r="Z418" s="985"/>
      <c r="AA418" s="985"/>
      <c r="AB418" s="985"/>
      <c r="AC418" s="985"/>
      <c r="AD418" s="985"/>
      <c r="AE418" s="985"/>
      <c r="AF418" s="985"/>
      <c r="AG418" s="985"/>
      <c r="AH418" s="985"/>
      <c r="AI418" s="985"/>
      <c r="AJ418" s="985"/>
      <c r="AK418" s="985"/>
      <c r="AL418" s="985"/>
      <c r="AM418" s="985"/>
      <c r="AN418" s="985"/>
      <c r="AO418" s="985"/>
      <c r="AP418" s="985"/>
      <c r="AQ418" s="985"/>
      <c r="AR418" s="985"/>
      <c r="AS418" s="985"/>
      <c r="AT418" s="985"/>
      <c r="AU418" s="985"/>
      <c r="AV418" s="985"/>
      <c r="AW418" s="985"/>
      <c r="AX418" s="3601"/>
      <c r="AY418" s="1419" t="s">
        <v>15</v>
      </c>
      <c r="AZ418" s="3889">
        <f ca="1">-VIII.a!N211</f>
        <v>0</v>
      </c>
      <c r="BA418" s="3923" t="s">
        <v>2598</v>
      </c>
      <c r="BB418" s="39"/>
      <c r="BC418" s="3601"/>
      <c r="BD418" s="3601"/>
      <c r="BE418" s="3291" t="s">
        <v>2594</v>
      </c>
      <c r="BF418" s="2091">
        <f t="shared" si="93"/>
        <v>0</v>
      </c>
      <c r="BG418" s="2091">
        <f t="shared" si="94"/>
        <v>0</v>
      </c>
      <c r="BH418" s="985">
        <f t="shared" si="95"/>
        <v>0</v>
      </c>
      <c r="BI418" s="3601" t="str">
        <f t="shared" si="96"/>
        <v>ok</v>
      </c>
      <c r="BJ418" s="985"/>
      <c r="BK418" s="985"/>
      <c r="BL418" s="985"/>
    </row>
    <row r="419" spans="3:64">
      <c r="C419" s="985"/>
      <c r="D419" s="2091"/>
      <c r="E419" s="3601"/>
      <c r="F419" s="985"/>
      <c r="G419" s="985"/>
      <c r="H419" s="985"/>
      <c r="I419" s="985"/>
      <c r="J419" s="985"/>
      <c r="K419" s="985"/>
      <c r="L419" s="985"/>
      <c r="M419" s="985"/>
      <c r="N419" s="985"/>
      <c r="O419" s="985"/>
      <c r="P419" s="985"/>
      <c r="Q419" s="985"/>
      <c r="R419" s="985"/>
      <c r="S419" s="985"/>
      <c r="T419" s="985"/>
      <c r="U419" s="985"/>
      <c r="V419" s="985"/>
      <c r="W419" s="985"/>
      <c r="X419" s="985"/>
      <c r="Y419" s="985"/>
      <c r="Z419" s="985"/>
      <c r="AA419" s="985"/>
      <c r="AB419" s="985"/>
      <c r="AC419" s="985"/>
      <c r="AD419" s="985"/>
      <c r="AE419" s="985"/>
      <c r="AF419" s="985"/>
      <c r="AG419" s="985"/>
      <c r="AH419" s="985"/>
      <c r="AI419" s="985"/>
      <c r="AJ419" s="985"/>
      <c r="AK419" s="985"/>
      <c r="AL419" s="985"/>
      <c r="AM419" s="985"/>
      <c r="AN419" s="985"/>
      <c r="AO419" s="985"/>
      <c r="AP419" s="985"/>
      <c r="AQ419" s="985"/>
      <c r="AR419" s="985"/>
      <c r="AS419" s="985"/>
      <c r="AT419" s="985"/>
      <c r="AU419" s="985"/>
      <c r="AV419" s="985"/>
      <c r="AW419" s="985"/>
      <c r="AX419" s="3601"/>
      <c r="AY419" s="3924" t="s">
        <v>2598</v>
      </c>
      <c r="AZ419" s="3889">
        <f ca="1">VIII.a!N212</f>
        <v>0</v>
      </c>
      <c r="BA419" s="3923" t="s">
        <v>376</v>
      </c>
      <c r="BB419" s="39"/>
      <c r="BC419" s="3601"/>
      <c r="BD419" s="3601"/>
      <c r="BE419" s="3291" t="s">
        <v>390</v>
      </c>
      <c r="BF419" s="2091">
        <f t="shared" si="93"/>
        <v>0</v>
      </c>
      <c r="BG419" s="2091">
        <f t="shared" si="94"/>
        <v>0</v>
      </c>
      <c r="BH419" s="985">
        <f t="shared" si="95"/>
        <v>0</v>
      </c>
      <c r="BI419" s="3601" t="str">
        <f t="shared" si="96"/>
        <v>ok</v>
      </c>
      <c r="BJ419" s="985"/>
      <c r="BK419" s="985"/>
      <c r="BL419" s="985"/>
    </row>
    <row r="420" spans="3:64">
      <c r="C420" s="985"/>
      <c r="D420" s="2091"/>
      <c r="E420" s="3601"/>
      <c r="F420" s="985"/>
      <c r="G420" s="985"/>
      <c r="H420" s="985"/>
      <c r="I420" s="985"/>
      <c r="J420" s="985"/>
      <c r="K420" s="985"/>
      <c r="L420" s="985"/>
      <c r="M420" s="985"/>
      <c r="N420" s="985"/>
      <c r="O420" s="985"/>
      <c r="P420" s="985"/>
      <c r="Q420" s="985"/>
      <c r="R420" s="985"/>
      <c r="S420" s="985"/>
      <c r="T420" s="985"/>
      <c r="U420" s="985"/>
      <c r="V420" s="985"/>
      <c r="W420" s="985"/>
      <c r="X420" s="985"/>
      <c r="Y420" s="985"/>
      <c r="Z420" s="985"/>
      <c r="AA420" s="985"/>
      <c r="AB420" s="985"/>
      <c r="AC420" s="985"/>
      <c r="AD420" s="985"/>
      <c r="AE420" s="985"/>
      <c r="AF420" s="985"/>
      <c r="AG420" s="985"/>
      <c r="AH420" s="985"/>
      <c r="AI420" s="985"/>
      <c r="AJ420" s="985"/>
      <c r="AK420" s="985"/>
      <c r="AL420" s="985"/>
      <c r="AM420" s="985"/>
      <c r="AN420" s="985"/>
      <c r="AO420" s="985"/>
      <c r="AP420" s="985"/>
      <c r="AQ420" s="985"/>
      <c r="AR420" s="985"/>
      <c r="AS420" s="985"/>
      <c r="AT420" s="985"/>
      <c r="AU420" s="985"/>
      <c r="AV420" s="985"/>
      <c r="AW420" s="985"/>
      <c r="AX420" s="3601"/>
      <c r="AY420" s="3924" t="s">
        <v>2598</v>
      </c>
      <c r="AZ420" s="3889">
        <f ca="1">VIII.a!N213</f>
        <v>0</v>
      </c>
      <c r="BA420" s="3923" t="s">
        <v>1741</v>
      </c>
      <c r="BB420" s="39"/>
      <c r="BC420" s="3601"/>
      <c r="BD420" s="3601"/>
      <c r="BE420" s="3291" t="s">
        <v>388</v>
      </c>
      <c r="BF420" s="2091">
        <f t="shared" si="93"/>
        <v>3.8789549999999742E-2</v>
      </c>
      <c r="BG420" s="2091">
        <f t="shared" si="94"/>
        <v>0</v>
      </c>
      <c r="BH420" s="985">
        <f t="shared" si="95"/>
        <v>3.8789549999999742E-2</v>
      </c>
      <c r="BI420" s="3601" t="str">
        <f t="shared" si="96"/>
        <v>ok</v>
      </c>
      <c r="BJ420" s="985"/>
      <c r="BK420" s="985"/>
      <c r="BL420" s="985"/>
    </row>
    <row r="421" spans="3:64">
      <c r="C421" s="985"/>
      <c r="D421" s="2091"/>
      <c r="E421" s="3601"/>
      <c r="F421" s="985"/>
      <c r="G421" s="985"/>
      <c r="H421" s="985"/>
      <c r="I421" s="985"/>
      <c r="J421" s="985"/>
      <c r="K421" s="985"/>
      <c r="L421" s="985"/>
      <c r="M421" s="985"/>
      <c r="N421" s="985"/>
      <c r="O421" s="985"/>
      <c r="P421" s="985"/>
      <c r="Q421" s="985"/>
      <c r="R421" s="985"/>
      <c r="S421" s="985"/>
      <c r="T421" s="985"/>
      <c r="U421" s="985"/>
      <c r="V421" s="985"/>
      <c r="W421" s="985"/>
      <c r="X421" s="985"/>
      <c r="Y421" s="985"/>
      <c r="Z421" s="985"/>
      <c r="AA421" s="985"/>
      <c r="AB421" s="985"/>
      <c r="AC421" s="985"/>
      <c r="AD421" s="985"/>
      <c r="AE421" s="985"/>
      <c r="AF421" s="985"/>
      <c r="AG421" s="985"/>
      <c r="AH421" s="985"/>
      <c r="AI421" s="985"/>
      <c r="AJ421" s="985"/>
      <c r="AK421" s="985"/>
      <c r="AL421" s="985"/>
      <c r="AM421" s="985"/>
      <c r="AN421" s="985"/>
      <c r="AO421" s="985"/>
      <c r="AP421" s="985"/>
      <c r="AQ421" s="985"/>
      <c r="AR421" s="985"/>
      <c r="AS421" s="985"/>
      <c r="AT421" s="985"/>
      <c r="AU421" s="985"/>
      <c r="AV421" s="985"/>
      <c r="AW421" s="985"/>
      <c r="AX421" s="3601"/>
      <c r="AY421" s="1419" t="s">
        <v>2597</v>
      </c>
      <c r="AZ421" s="3889">
        <f>-IX.a!N1213</f>
        <v>0</v>
      </c>
      <c r="BA421" s="1219" t="s">
        <v>2600</v>
      </c>
      <c r="BB421" s="39"/>
      <c r="BC421" s="3601"/>
      <c r="BD421" s="3601"/>
      <c r="BE421" s="3601"/>
      <c r="BF421" s="3601"/>
      <c r="BG421" s="3601"/>
      <c r="BH421" s="3601"/>
      <c r="BI421" s="3601"/>
      <c r="BJ421" s="3601"/>
      <c r="BK421" s="3601"/>
      <c r="BL421" s="3601"/>
    </row>
    <row r="422" spans="3:64">
      <c r="C422" s="985"/>
      <c r="D422" s="2091"/>
      <c r="E422" s="3601"/>
      <c r="F422" s="985"/>
      <c r="G422" s="985"/>
      <c r="H422" s="985"/>
      <c r="I422" s="985"/>
      <c r="J422" s="985"/>
      <c r="K422" s="985"/>
      <c r="L422" s="985"/>
      <c r="M422" s="985"/>
      <c r="N422" s="985"/>
      <c r="O422" s="985"/>
      <c r="P422" s="985"/>
      <c r="Q422" s="985"/>
      <c r="R422" s="985"/>
      <c r="S422" s="985"/>
      <c r="T422" s="985"/>
      <c r="U422" s="985"/>
      <c r="V422" s="985"/>
      <c r="W422" s="985"/>
      <c r="X422" s="985"/>
      <c r="Y422" s="985"/>
      <c r="Z422" s="985"/>
      <c r="AA422" s="985"/>
      <c r="AB422" s="985"/>
      <c r="AC422" s="985"/>
      <c r="AD422" s="985"/>
      <c r="AE422" s="985"/>
      <c r="AF422" s="985"/>
      <c r="AG422" s="985"/>
      <c r="AH422" s="985"/>
      <c r="AI422" s="985"/>
      <c r="AJ422" s="985"/>
      <c r="AK422" s="985"/>
      <c r="AL422" s="985"/>
      <c r="AM422" s="985"/>
      <c r="AN422" s="985"/>
      <c r="AO422" s="985"/>
      <c r="AP422" s="985"/>
      <c r="AQ422" s="985"/>
      <c r="AR422" s="985"/>
      <c r="AS422" s="985"/>
      <c r="AT422" s="985"/>
      <c r="AU422" s="985"/>
      <c r="AV422" s="985"/>
      <c r="AW422" s="985"/>
      <c r="AX422" s="3601"/>
      <c r="AY422" s="3924" t="s">
        <v>376</v>
      </c>
      <c r="AZ422" s="3889">
        <f>-XII.a!N747</f>
        <v>0</v>
      </c>
      <c r="BA422" s="1219" t="s">
        <v>360</v>
      </c>
      <c r="BB422" s="39"/>
      <c r="BC422" s="3601"/>
      <c r="BD422" s="3601"/>
      <c r="BE422" s="3601"/>
      <c r="BF422" s="3601"/>
      <c r="BG422" s="3601"/>
      <c r="BH422" s="3601"/>
      <c r="BI422" s="3601"/>
      <c r="BJ422" s="3601"/>
      <c r="BK422" s="3601"/>
      <c r="BL422" s="3601"/>
    </row>
    <row r="423" spans="3:64">
      <c r="C423" s="985"/>
      <c r="D423" s="2091"/>
      <c r="E423" s="3601"/>
      <c r="F423" s="985"/>
      <c r="G423" s="985"/>
      <c r="H423" s="985"/>
      <c r="I423" s="985"/>
      <c r="J423" s="985"/>
      <c r="K423" s="985"/>
      <c r="L423" s="985"/>
      <c r="M423" s="985"/>
      <c r="N423" s="985"/>
      <c r="O423" s="985"/>
      <c r="P423" s="985"/>
      <c r="Q423" s="985"/>
      <c r="R423" s="985"/>
      <c r="S423" s="985"/>
      <c r="T423" s="985"/>
      <c r="U423" s="985"/>
      <c r="V423" s="985"/>
      <c r="W423" s="985"/>
      <c r="X423" s="985"/>
      <c r="Y423" s="985"/>
      <c r="Z423" s="985"/>
      <c r="AA423" s="985"/>
      <c r="AB423" s="985"/>
      <c r="AC423" s="985"/>
      <c r="AD423" s="985"/>
      <c r="AE423" s="985"/>
      <c r="AF423" s="985"/>
      <c r="AG423" s="985"/>
      <c r="AH423" s="985"/>
      <c r="AI423" s="985"/>
      <c r="AJ423" s="985"/>
      <c r="AK423" s="985"/>
      <c r="AL423" s="985"/>
      <c r="AM423" s="985"/>
      <c r="AN423" s="985"/>
      <c r="AO423" s="985"/>
      <c r="AP423" s="985"/>
      <c r="AQ423" s="985"/>
      <c r="AR423" s="985"/>
      <c r="AS423" s="985"/>
      <c r="AT423" s="985"/>
      <c r="AU423" s="985"/>
      <c r="AV423" s="985"/>
      <c r="AW423" s="985"/>
      <c r="AX423" s="3601"/>
      <c r="AY423" s="1419" t="s">
        <v>2605</v>
      </c>
      <c r="AZ423" s="3889">
        <f ca="1">-IX.a!N1253</f>
        <v>0</v>
      </c>
      <c r="BA423" s="1219" t="s">
        <v>2600</v>
      </c>
      <c r="BB423" s="39"/>
      <c r="BC423" s="3601"/>
      <c r="BD423" s="3601"/>
      <c r="BE423" s="3601"/>
      <c r="BF423" s="3601"/>
      <c r="BG423" s="3601"/>
      <c r="BH423" s="3601"/>
      <c r="BI423" s="3601"/>
      <c r="BJ423" s="3601"/>
      <c r="BK423" s="3601"/>
      <c r="BL423" s="3601"/>
    </row>
    <row r="424" spans="3:64">
      <c r="C424" s="985"/>
      <c r="D424" s="2091"/>
      <c r="E424" s="3601"/>
      <c r="F424" s="985"/>
      <c r="G424" s="985"/>
      <c r="H424" s="985"/>
      <c r="I424" s="985"/>
      <c r="J424" s="985"/>
      <c r="K424" s="985"/>
      <c r="L424" s="985"/>
      <c r="M424" s="985"/>
      <c r="N424" s="985"/>
      <c r="O424" s="985"/>
      <c r="P424" s="985"/>
      <c r="Q424" s="985"/>
      <c r="R424" s="985"/>
      <c r="S424" s="985"/>
      <c r="T424" s="985"/>
      <c r="U424" s="985"/>
      <c r="V424" s="985"/>
      <c r="W424" s="985"/>
      <c r="X424" s="985"/>
      <c r="Y424" s="985"/>
      <c r="Z424" s="985"/>
      <c r="AA424" s="985"/>
      <c r="AB424" s="985"/>
      <c r="AC424" s="985"/>
      <c r="AD424" s="985"/>
      <c r="AE424" s="985"/>
      <c r="AF424" s="985"/>
      <c r="AG424" s="985"/>
      <c r="AH424" s="985"/>
      <c r="AI424" s="985"/>
      <c r="AJ424" s="985"/>
      <c r="AK424" s="985"/>
      <c r="AL424" s="985"/>
      <c r="AM424" s="985"/>
      <c r="AN424" s="985"/>
      <c r="AO424" s="985"/>
      <c r="AP424" s="985"/>
      <c r="AQ424" s="985"/>
      <c r="AR424" s="985"/>
      <c r="AS424" s="985"/>
      <c r="AT424" s="985"/>
      <c r="AU424" s="985"/>
      <c r="AV424" s="985"/>
      <c r="AW424" s="985"/>
      <c r="AX424" s="3601"/>
      <c r="AY424" s="1419" t="s">
        <v>2605</v>
      </c>
      <c r="AZ424" s="3889">
        <f>-IX.c!N739</f>
        <v>0.9494999999999999</v>
      </c>
      <c r="BA424" s="1219" t="s">
        <v>2599</v>
      </c>
      <c r="BB424" s="39"/>
      <c r="BC424" s="3601"/>
      <c r="BD424" s="3601"/>
      <c r="BE424" s="3601"/>
      <c r="BF424" s="3601"/>
      <c r="BG424" s="3601"/>
      <c r="BH424" s="3601"/>
      <c r="BI424" s="3601"/>
      <c r="BJ424" s="3601"/>
      <c r="BK424" s="3601"/>
      <c r="BL424" s="3601"/>
    </row>
    <row r="425" spans="3:64">
      <c r="C425" s="985"/>
      <c r="D425" s="2091"/>
      <c r="E425" s="3601"/>
      <c r="F425" s="985"/>
      <c r="G425" s="985"/>
      <c r="H425" s="985"/>
      <c r="I425" s="985"/>
      <c r="J425" s="985"/>
      <c r="K425" s="985"/>
      <c r="L425" s="985"/>
      <c r="M425" s="985"/>
      <c r="N425" s="985"/>
      <c r="O425" s="985"/>
      <c r="P425" s="985"/>
      <c r="Q425" s="985"/>
      <c r="R425" s="985"/>
      <c r="S425" s="985"/>
      <c r="T425" s="985"/>
      <c r="U425" s="985"/>
      <c r="V425" s="985"/>
      <c r="W425" s="985"/>
      <c r="X425" s="985"/>
      <c r="Y425" s="985"/>
      <c r="Z425" s="985"/>
      <c r="AA425" s="985"/>
      <c r="AB425" s="985"/>
      <c r="AC425" s="985"/>
      <c r="AD425" s="985"/>
      <c r="AE425" s="985"/>
      <c r="AF425" s="985"/>
      <c r="AG425" s="985"/>
      <c r="AH425" s="985"/>
      <c r="AI425" s="985"/>
      <c r="AJ425" s="985"/>
      <c r="AK425" s="985"/>
      <c r="AL425" s="985"/>
      <c r="AM425" s="985"/>
      <c r="AN425" s="985"/>
      <c r="AO425" s="985"/>
      <c r="AP425" s="985"/>
      <c r="AQ425" s="985"/>
      <c r="AR425" s="985"/>
      <c r="AS425" s="985"/>
      <c r="AT425" s="985"/>
      <c r="AU425" s="985"/>
      <c r="AV425" s="985"/>
      <c r="AW425" s="985"/>
      <c r="AX425" s="3601"/>
      <c r="AY425" s="1419" t="s">
        <v>2593</v>
      </c>
      <c r="AZ425" s="3889">
        <f ca="1">IX.a!N1239</f>
        <v>0</v>
      </c>
      <c r="BA425" s="1219" t="s">
        <v>2600</v>
      </c>
      <c r="BB425" s="39"/>
      <c r="BC425" s="3601"/>
      <c r="BD425" s="3601"/>
      <c r="BE425" s="3601"/>
      <c r="BF425" s="3601"/>
      <c r="BG425" s="3601"/>
      <c r="BH425" s="3601"/>
      <c r="BI425" s="3601"/>
      <c r="BJ425" s="3601"/>
      <c r="BK425" s="3601"/>
      <c r="BL425" s="3601"/>
    </row>
    <row r="426" spans="3:64">
      <c r="C426" s="985"/>
      <c r="D426" s="2091"/>
      <c r="E426" s="3601"/>
      <c r="F426" s="985"/>
      <c r="G426" s="985"/>
      <c r="H426" s="985"/>
      <c r="I426" s="985"/>
      <c r="J426" s="985"/>
      <c r="K426" s="985"/>
      <c r="L426" s="985"/>
      <c r="M426" s="985"/>
      <c r="N426" s="985"/>
      <c r="O426" s="985"/>
      <c r="P426" s="985"/>
      <c r="Q426" s="985"/>
      <c r="R426" s="985"/>
      <c r="S426" s="985"/>
      <c r="T426" s="985"/>
      <c r="U426" s="985"/>
      <c r="V426" s="985"/>
      <c r="W426" s="985"/>
      <c r="X426" s="985"/>
      <c r="Y426" s="985"/>
      <c r="Z426" s="985"/>
      <c r="AA426" s="985"/>
      <c r="AB426" s="985"/>
      <c r="AC426" s="985"/>
      <c r="AD426" s="985"/>
      <c r="AE426" s="985"/>
      <c r="AF426" s="985"/>
      <c r="AG426" s="985"/>
      <c r="AH426" s="985"/>
      <c r="AI426" s="985"/>
      <c r="AJ426" s="985"/>
      <c r="AK426" s="985"/>
      <c r="AL426" s="985"/>
      <c r="AM426" s="985"/>
      <c r="AN426" s="985"/>
      <c r="AO426" s="985"/>
      <c r="AP426" s="985"/>
      <c r="AQ426" s="985"/>
      <c r="AR426" s="985"/>
      <c r="AS426" s="985"/>
      <c r="AT426" s="985"/>
      <c r="AU426" s="985"/>
      <c r="AV426" s="985"/>
      <c r="AW426" s="985"/>
      <c r="AX426" s="3601"/>
      <c r="AY426" s="1419" t="s">
        <v>2593</v>
      </c>
      <c r="AZ426" s="3889">
        <f>IX.c!N726</f>
        <v>0</v>
      </c>
      <c r="BA426" s="1219" t="s">
        <v>2599</v>
      </c>
      <c r="BB426" s="39"/>
      <c r="BC426" s="3601"/>
      <c r="BD426" s="3601"/>
      <c r="BE426" s="3601"/>
      <c r="BF426" s="3601"/>
      <c r="BG426" s="3601"/>
      <c r="BH426" s="3601"/>
      <c r="BI426" s="3601"/>
      <c r="BJ426" s="3601"/>
      <c r="BK426" s="3601"/>
      <c r="BL426" s="3601"/>
    </row>
    <row r="427" spans="3:64">
      <c r="C427" s="985"/>
      <c r="D427" s="2091"/>
      <c r="E427" s="3601"/>
      <c r="F427" s="985"/>
      <c r="G427" s="985"/>
      <c r="H427" s="985"/>
      <c r="I427" s="985"/>
      <c r="J427" s="985"/>
      <c r="K427" s="985"/>
      <c r="L427" s="985"/>
      <c r="M427" s="985"/>
      <c r="N427" s="985"/>
      <c r="O427" s="985"/>
      <c r="P427" s="985"/>
      <c r="Q427" s="985"/>
      <c r="R427" s="985"/>
      <c r="S427" s="985"/>
      <c r="T427" s="985"/>
      <c r="U427" s="985"/>
      <c r="V427" s="985"/>
      <c r="W427" s="985"/>
      <c r="X427" s="985"/>
      <c r="Y427" s="985"/>
      <c r="Z427" s="985"/>
      <c r="AA427" s="985"/>
      <c r="AB427" s="985"/>
      <c r="AC427" s="985"/>
      <c r="AD427" s="985"/>
      <c r="AE427" s="985"/>
      <c r="AF427" s="985"/>
      <c r="AG427" s="985"/>
      <c r="AH427" s="985"/>
      <c r="AI427" s="985"/>
      <c r="AJ427" s="985"/>
      <c r="AK427" s="985"/>
      <c r="AL427" s="985"/>
      <c r="AM427" s="985"/>
      <c r="AN427" s="985"/>
      <c r="AO427" s="985"/>
      <c r="AP427" s="985"/>
      <c r="AQ427" s="985"/>
      <c r="AR427" s="985"/>
      <c r="AS427" s="985"/>
      <c r="AT427" s="985"/>
      <c r="AU427" s="985"/>
      <c r="AV427" s="985"/>
      <c r="AW427" s="985"/>
      <c r="AX427" s="3601"/>
      <c r="AY427" s="3924" t="s">
        <v>536</v>
      </c>
      <c r="AZ427" s="3889">
        <f ca="1">-IX.a!N1251</f>
        <v>0</v>
      </c>
      <c r="BA427" s="1219" t="s">
        <v>2600</v>
      </c>
      <c r="BB427" s="39"/>
      <c r="BC427" s="3601"/>
      <c r="BD427" s="3601"/>
      <c r="BE427" s="3601"/>
      <c r="BF427" s="3601"/>
      <c r="BG427" s="3601"/>
      <c r="BH427" s="3601"/>
      <c r="BI427" s="3601"/>
      <c r="BJ427" s="3601"/>
      <c r="BK427" s="3601"/>
      <c r="BL427" s="3601"/>
    </row>
    <row r="428" spans="3:64">
      <c r="C428" s="985"/>
      <c r="D428" s="2091"/>
      <c r="E428" s="3601"/>
      <c r="F428" s="985"/>
      <c r="G428" s="985"/>
      <c r="H428" s="985"/>
      <c r="I428" s="985"/>
      <c r="J428" s="985"/>
      <c r="K428" s="985"/>
      <c r="L428" s="985"/>
      <c r="M428" s="985"/>
      <c r="N428" s="985"/>
      <c r="O428" s="985"/>
      <c r="P428" s="985"/>
      <c r="Q428" s="985"/>
      <c r="R428" s="985"/>
      <c r="S428" s="985"/>
      <c r="T428" s="985"/>
      <c r="U428" s="985"/>
      <c r="V428" s="985"/>
      <c r="W428" s="985"/>
      <c r="X428" s="985"/>
      <c r="Y428" s="985"/>
      <c r="Z428" s="985"/>
      <c r="AA428" s="985"/>
      <c r="AB428" s="985"/>
      <c r="AC428" s="985"/>
      <c r="AD428" s="985"/>
      <c r="AE428" s="985"/>
      <c r="AF428" s="985"/>
      <c r="AG428" s="985"/>
      <c r="AH428" s="985"/>
      <c r="AI428" s="985"/>
      <c r="AJ428" s="985"/>
      <c r="AK428" s="985"/>
      <c r="AL428" s="985"/>
      <c r="AM428" s="985"/>
      <c r="AN428" s="985"/>
      <c r="AO428" s="985"/>
      <c r="AP428" s="985"/>
      <c r="AQ428" s="985"/>
      <c r="AR428" s="985"/>
      <c r="AS428" s="985"/>
      <c r="AT428" s="985"/>
      <c r="AU428" s="985"/>
      <c r="AV428" s="985"/>
      <c r="AW428" s="985"/>
      <c r="AX428" s="3601"/>
      <c r="AY428" s="3924" t="s">
        <v>536</v>
      </c>
      <c r="AZ428" s="3889">
        <f>-IX.c!N738</f>
        <v>0</v>
      </c>
      <c r="BA428" s="1219" t="s">
        <v>2599</v>
      </c>
      <c r="BB428" s="39"/>
      <c r="BC428" s="3601"/>
      <c r="BD428" s="3601"/>
      <c r="BE428" s="3601"/>
      <c r="BF428" s="3601"/>
      <c r="BG428" s="3601"/>
      <c r="BH428" s="3601"/>
      <c r="BI428" s="3601"/>
      <c r="BJ428" s="3601"/>
      <c r="BK428" s="3601"/>
      <c r="BL428" s="3601"/>
    </row>
    <row r="429" spans="3:64">
      <c r="C429" s="985"/>
      <c r="D429" s="2091"/>
      <c r="E429" s="3601"/>
      <c r="F429" s="985"/>
      <c r="G429" s="985"/>
      <c r="H429" s="985"/>
      <c r="I429" s="985"/>
      <c r="J429" s="985"/>
      <c r="K429" s="985"/>
      <c r="L429" s="985"/>
      <c r="M429" s="985"/>
      <c r="N429" s="985"/>
      <c r="O429" s="985"/>
      <c r="P429" s="985"/>
      <c r="Q429" s="985"/>
      <c r="R429" s="985"/>
      <c r="S429" s="985"/>
      <c r="T429" s="985"/>
      <c r="U429" s="985"/>
      <c r="V429" s="985"/>
      <c r="W429" s="985"/>
      <c r="X429" s="985"/>
      <c r="Y429" s="985"/>
      <c r="Z429" s="985"/>
      <c r="AA429" s="985"/>
      <c r="AB429" s="985"/>
      <c r="AC429" s="985"/>
      <c r="AD429" s="985"/>
      <c r="AE429" s="985"/>
      <c r="AF429" s="985"/>
      <c r="AG429" s="985"/>
      <c r="AH429" s="985"/>
      <c r="AI429" s="985"/>
      <c r="AJ429" s="985"/>
      <c r="AK429" s="985"/>
      <c r="AL429" s="985"/>
      <c r="AM429" s="985"/>
      <c r="AN429" s="985"/>
      <c r="AO429" s="985"/>
      <c r="AP429" s="985"/>
      <c r="AQ429" s="985"/>
      <c r="AR429" s="985"/>
      <c r="AS429" s="985"/>
      <c r="AT429" s="985"/>
      <c r="AU429" s="985"/>
      <c r="AV429" s="985"/>
      <c r="AW429" s="985"/>
      <c r="AX429" s="3601"/>
      <c r="AY429" s="3924" t="s">
        <v>536</v>
      </c>
      <c r="AZ429" s="3889">
        <f ca="1">-XI.a!N442-XV.a!N175</f>
        <v>2.6537999724419409E-2</v>
      </c>
      <c r="BA429" s="1219" t="s">
        <v>359</v>
      </c>
      <c r="BB429" s="39"/>
      <c r="BC429" s="3601"/>
      <c r="BD429" s="3601"/>
      <c r="BE429" s="3601"/>
      <c r="BF429" s="3601"/>
      <c r="BG429" s="3601"/>
      <c r="BH429" s="3601"/>
      <c r="BI429" s="3601"/>
      <c r="BJ429" s="3601"/>
      <c r="BK429" s="3601"/>
      <c r="BL429" s="3601"/>
    </row>
    <row r="430" spans="3:64">
      <c r="C430" s="985"/>
      <c r="D430" s="2091"/>
      <c r="E430" s="3601"/>
      <c r="F430" s="985"/>
      <c r="G430" s="985"/>
      <c r="H430" s="985"/>
      <c r="I430" s="985"/>
      <c r="J430" s="985"/>
      <c r="K430" s="985"/>
      <c r="L430" s="985"/>
      <c r="M430" s="985"/>
      <c r="N430" s="985"/>
      <c r="O430" s="985"/>
      <c r="P430" s="985"/>
      <c r="Q430" s="985"/>
      <c r="R430" s="985"/>
      <c r="S430" s="985"/>
      <c r="T430" s="985"/>
      <c r="U430" s="985"/>
      <c r="V430" s="985"/>
      <c r="W430" s="985"/>
      <c r="X430" s="985"/>
      <c r="Y430" s="985"/>
      <c r="Z430" s="985"/>
      <c r="AA430" s="985"/>
      <c r="AB430" s="985"/>
      <c r="AC430" s="985"/>
      <c r="AD430" s="985"/>
      <c r="AE430" s="985"/>
      <c r="AF430" s="985"/>
      <c r="AG430" s="985"/>
      <c r="AH430" s="985"/>
      <c r="AI430" s="985"/>
      <c r="AJ430" s="985"/>
      <c r="AK430" s="985"/>
      <c r="AL430" s="985"/>
      <c r="AM430" s="985"/>
      <c r="AN430" s="985"/>
      <c r="AO430" s="985"/>
      <c r="AP430" s="985"/>
      <c r="AQ430" s="985"/>
      <c r="AR430" s="985"/>
      <c r="AS430" s="985"/>
      <c r="AT430" s="985"/>
      <c r="AU430" s="985"/>
      <c r="AV430" s="985"/>
      <c r="AW430" s="985"/>
      <c r="AX430" s="3601"/>
      <c r="AY430" s="3924" t="s">
        <v>536</v>
      </c>
      <c r="AZ430" s="3889">
        <f ca="1">AZ401-SUM(AZ427:AZ429)</f>
        <v>0</v>
      </c>
      <c r="BA430" s="1219" t="s">
        <v>1741</v>
      </c>
      <c r="BB430" s="39"/>
      <c r="BC430" s="3601"/>
      <c r="BD430" s="3601"/>
      <c r="BE430" s="3601"/>
      <c r="BF430" s="3601"/>
      <c r="BG430" s="3601"/>
      <c r="BH430" s="3601"/>
      <c r="BI430" s="3601"/>
      <c r="BJ430" s="3601"/>
      <c r="BK430" s="3601"/>
      <c r="BL430" s="3601"/>
    </row>
    <row r="431" spans="3:64">
      <c r="C431" s="985"/>
      <c r="D431" s="2091"/>
      <c r="E431" s="3601"/>
      <c r="F431" s="985"/>
      <c r="G431" s="985"/>
      <c r="H431" s="985"/>
      <c r="I431" s="985"/>
      <c r="J431" s="985"/>
      <c r="K431" s="985"/>
      <c r="L431" s="985"/>
      <c r="M431" s="985"/>
      <c r="N431" s="985"/>
      <c r="O431" s="985"/>
      <c r="P431" s="985"/>
      <c r="Q431" s="985"/>
      <c r="R431" s="985"/>
      <c r="S431" s="985"/>
      <c r="T431" s="985"/>
      <c r="U431" s="985"/>
      <c r="V431" s="985"/>
      <c r="W431" s="985"/>
      <c r="X431" s="985"/>
      <c r="Y431" s="985"/>
      <c r="Z431" s="985"/>
      <c r="AA431" s="985"/>
      <c r="AB431" s="985"/>
      <c r="AC431" s="985"/>
      <c r="AD431" s="985"/>
      <c r="AE431" s="985"/>
      <c r="AF431" s="985"/>
      <c r="AG431" s="985"/>
      <c r="AH431" s="985"/>
      <c r="AI431" s="985"/>
      <c r="AJ431" s="985"/>
      <c r="AK431" s="985"/>
      <c r="AL431" s="985"/>
      <c r="AM431" s="985"/>
      <c r="AN431" s="985"/>
      <c r="AO431" s="985"/>
      <c r="AP431" s="985"/>
      <c r="AQ431" s="985"/>
      <c r="AR431" s="985"/>
      <c r="AS431" s="985"/>
      <c r="AT431" s="985"/>
      <c r="AU431" s="985"/>
      <c r="AV431" s="985"/>
      <c r="AW431" s="985"/>
      <c r="AX431" s="3601"/>
      <c r="AY431" s="1419" t="s">
        <v>2596</v>
      </c>
      <c r="AZ431" s="3889">
        <f ca="1">-IX.a!N1217-IV.b!N103</f>
        <v>2.7713006782430951</v>
      </c>
      <c r="BA431" s="1219" t="s">
        <v>2600</v>
      </c>
      <c r="BB431" s="39"/>
      <c r="BC431" s="3601"/>
      <c r="BD431" s="3601"/>
      <c r="BE431" s="3601"/>
      <c r="BF431" s="3601"/>
      <c r="BG431" s="3601"/>
      <c r="BH431" s="3601"/>
      <c r="BI431" s="3601"/>
      <c r="BJ431" s="3601"/>
      <c r="BK431" s="3601"/>
      <c r="BL431" s="3601"/>
    </row>
    <row r="432" spans="3:64">
      <c r="C432" s="985"/>
      <c r="D432" s="2091"/>
      <c r="E432" s="3601"/>
      <c r="F432" s="985"/>
      <c r="G432" s="985"/>
      <c r="H432" s="985"/>
      <c r="I432" s="985"/>
      <c r="J432" s="985"/>
      <c r="K432" s="985"/>
      <c r="L432" s="985"/>
      <c r="M432" s="985"/>
      <c r="N432" s="985"/>
      <c r="O432" s="985"/>
      <c r="P432" s="985"/>
      <c r="Q432" s="985"/>
      <c r="R432" s="985"/>
      <c r="S432" s="985"/>
      <c r="T432" s="985"/>
      <c r="U432" s="985"/>
      <c r="V432" s="985"/>
      <c r="W432" s="985"/>
      <c r="X432" s="985"/>
      <c r="Y432" s="985"/>
      <c r="Z432" s="985"/>
      <c r="AA432" s="985"/>
      <c r="AB432" s="985"/>
      <c r="AC432" s="985"/>
      <c r="AD432" s="985"/>
      <c r="AE432" s="985"/>
      <c r="AF432" s="985"/>
      <c r="AG432" s="985"/>
      <c r="AH432" s="985"/>
      <c r="AI432" s="985"/>
      <c r="AJ432" s="985"/>
      <c r="AK432" s="985"/>
      <c r="AL432" s="985"/>
      <c r="AM432" s="985"/>
      <c r="AN432" s="985"/>
      <c r="AO432" s="985"/>
      <c r="AP432" s="985"/>
      <c r="AQ432" s="985"/>
      <c r="AR432" s="985"/>
      <c r="AS432" s="985"/>
      <c r="AT432" s="985"/>
      <c r="AU432" s="985"/>
      <c r="AV432" s="985"/>
      <c r="AW432" s="985"/>
      <c r="AX432" s="3601"/>
      <c r="AY432" s="1419" t="s">
        <v>16</v>
      </c>
      <c r="AZ432" s="3889">
        <f ca="1">-IX.a!N1219</f>
        <v>0</v>
      </c>
      <c r="BA432" s="1219" t="s">
        <v>2600</v>
      </c>
      <c r="BB432" s="39"/>
      <c r="BC432" s="3601"/>
      <c r="BD432" s="3601"/>
      <c r="BE432" s="3601"/>
      <c r="BF432" s="3601"/>
      <c r="BG432" s="3601"/>
      <c r="BH432" s="3601"/>
      <c r="BI432" s="3601"/>
      <c r="BJ432" s="3601"/>
      <c r="BK432" s="3601"/>
      <c r="BL432" s="3601"/>
    </row>
    <row r="433" spans="3:64">
      <c r="C433" s="985"/>
      <c r="D433" s="2091"/>
      <c r="E433" s="3601"/>
      <c r="F433" s="985"/>
      <c r="G433" s="985"/>
      <c r="H433" s="985"/>
      <c r="I433" s="985"/>
      <c r="J433" s="985"/>
      <c r="K433" s="985"/>
      <c r="L433" s="985"/>
      <c r="M433" s="985"/>
      <c r="N433" s="985"/>
      <c r="O433" s="985"/>
      <c r="P433" s="985"/>
      <c r="Q433" s="985"/>
      <c r="R433" s="985"/>
      <c r="S433" s="985"/>
      <c r="T433" s="985"/>
      <c r="U433" s="985"/>
      <c r="V433" s="985"/>
      <c r="W433" s="985"/>
      <c r="X433" s="985"/>
      <c r="Y433" s="985"/>
      <c r="Z433" s="985"/>
      <c r="AA433" s="985"/>
      <c r="AB433" s="985"/>
      <c r="AC433" s="985"/>
      <c r="AD433" s="985"/>
      <c r="AE433" s="985"/>
      <c r="AF433" s="985"/>
      <c r="AG433" s="985"/>
      <c r="AH433" s="985"/>
      <c r="AI433" s="985"/>
      <c r="AJ433" s="985"/>
      <c r="AK433" s="985"/>
      <c r="AL433" s="985"/>
      <c r="AM433" s="985"/>
      <c r="AN433" s="985"/>
      <c r="AO433" s="985"/>
      <c r="AP433" s="985"/>
      <c r="AQ433" s="985"/>
      <c r="AR433" s="985"/>
      <c r="AS433" s="985"/>
      <c r="AT433" s="985"/>
      <c r="AU433" s="985"/>
      <c r="AV433" s="985"/>
      <c r="AW433" s="985"/>
      <c r="AX433" s="3601"/>
      <c r="AY433" s="1419" t="s">
        <v>1668</v>
      </c>
      <c r="AZ433" s="3889">
        <f ca="1">-IX.a!N1220</f>
        <v>0</v>
      </c>
      <c r="BA433" s="1219" t="s">
        <v>2600</v>
      </c>
      <c r="BB433" s="39"/>
      <c r="BC433" s="3601"/>
      <c r="BD433" s="3601"/>
      <c r="BE433" s="3601"/>
      <c r="BF433" s="3601"/>
      <c r="BG433" s="3601"/>
      <c r="BH433" s="3601"/>
      <c r="BI433" s="3601"/>
      <c r="BJ433" s="3601"/>
      <c r="BK433" s="3601"/>
      <c r="BL433" s="3601"/>
    </row>
    <row r="434" spans="3:64">
      <c r="C434" s="985"/>
      <c r="D434" s="2091"/>
      <c r="E434" s="3601"/>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985"/>
      <c r="AH434" s="985"/>
      <c r="AI434" s="985"/>
      <c r="AJ434" s="985"/>
      <c r="AK434" s="985"/>
      <c r="AL434" s="985"/>
      <c r="AM434" s="985"/>
      <c r="AN434" s="985"/>
      <c r="AO434" s="985"/>
      <c r="AP434" s="985"/>
      <c r="AQ434" s="985"/>
      <c r="AR434" s="985"/>
      <c r="AS434" s="985"/>
      <c r="AT434" s="985"/>
      <c r="AU434" s="985"/>
      <c r="AV434" s="985"/>
      <c r="AW434" s="985"/>
      <c r="AX434" s="3601"/>
      <c r="AY434" s="1419" t="s">
        <v>15</v>
      </c>
      <c r="AZ434" s="3889">
        <f ca="1">-IX.a!N1221</f>
        <v>27.349254133477515</v>
      </c>
      <c r="BA434" s="1219" t="s">
        <v>2600</v>
      </c>
      <c r="BB434" s="39"/>
      <c r="BC434" s="3601"/>
      <c r="BD434" s="3601"/>
      <c r="BE434" s="3601"/>
      <c r="BF434" s="3601"/>
      <c r="BG434" s="3601"/>
      <c r="BH434" s="3601"/>
      <c r="BI434" s="3601"/>
      <c r="BJ434" s="3601"/>
      <c r="BK434" s="3601"/>
      <c r="BL434" s="3601"/>
    </row>
    <row r="435" spans="3:64">
      <c r="C435" s="985"/>
      <c r="D435" s="2091"/>
      <c r="E435" s="3601"/>
      <c r="F435" s="985"/>
      <c r="G435" s="985"/>
      <c r="H435" s="985"/>
      <c r="I435" s="985"/>
      <c r="J435" s="985"/>
      <c r="K435" s="985"/>
      <c r="L435" s="985"/>
      <c r="M435" s="985"/>
      <c r="N435" s="985"/>
      <c r="O435" s="985"/>
      <c r="P435" s="985"/>
      <c r="Q435" s="985"/>
      <c r="R435" s="985"/>
      <c r="S435" s="985"/>
      <c r="T435" s="985"/>
      <c r="U435" s="985"/>
      <c r="V435" s="985"/>
      <c r="W435" s="985"/>
      <c r="X435" s="985"/>
      <c r="Y435" s="985"/>
      <c r="Z435" s="985"/>
      <c r="AA435" s="985"/>
      <c r="AB435" s="985"/>
      <c r="AC435" s="985"/>
      <c r="AD435" s="985"/>
      <c r="AE435" s="985"/>
      <c r="AF435" s="985"/>
      <c r="AG435" s="985"/>
      <c r="AH435" s="985"/>
      <c r="AI435" s="985"/>
      <c r="AJ435" s="985"/>
      <c r="AK435" s="985"/>
      <c r="AL435" s="985"/>
      <c r="AM435" s="985"/>
      <c r="AN435" s="985"/>
      <c r="AO435" s="985"/>
      <c r="AP435" s="985"/>
      <c r="AQ435" s="985"/>
      <c r="AR435" s="985"/>
      <c r="AS435" s="985"/>
      <c r="AT435" s="985"/>
      <c r="AU435" s="985"/>
      <c r="AV435" s="985"/>
      <c r="AW435" s="985"/>
      <c r="AX435" s="3601"/>
      <c r="AY435" s="1419" t="s">
        <v>2596</v>
      </c>
      <c r="AZ435" s="3889">
        <f>-IX.c!N705</f>
        <v>4.8045</v>
      </c>
      <c r="BA435" s="1219" t="s">
        <v>2599</v>
      </c>
      <c r="BB435" s="39"/>
      <c r="BC435" s="3601"/>
      <c r="BD435" s="3601"/>
      <c r="BE435" s="3601"/>
      <c r="BF435" s="3601"/>
      <c r="BG435" s="3601"/>
      <c r="BH435" s="3601"/>
      <c r="BI435" s="3601"/>
      <c r="BJ435" s="3601"/>
      <c r="BK435" s="3601"/>
      <c r="BL435" s="3601"/>
    </row>
    <row r="436" spans="3:64">
      <c r="C436" s="985"/>
      <c r="D436" s="2091"/>
      <c r="E436" s="3601"/>
      <c r="F436" s="985"/>
      <c r="G436" s="985"/>
      <c r="H436" s="985"/>
      <c r="I436" s="985"/>
      <c r="J436" s="985"/>
      <c r="K436" s="985"/>
      <c r="L436" s="985"/>
      <c r="M436" s="985"/>
      <c r="N436" s="985"/>
      <c r="O436" s="985"/>
      <c r="P436" s="985"/>
      <c r="Q436" s="985"/>
      <c r="R436" s="985"/>
      <c r="S436" s="985"/>
      <c r="T436" s="985"/>
      <c r="U436" s="985"/>
      <c r="V436" s="985"/>
      <c r="W436" s="985"/>
      <c r="X436" s="985"/>
      <c r="Y436" s="985"/>
      <c r="Z436" s="985"/>
      <c r="AA436" s="985"/>
      <c r="AB436" s="985"/>
      <c r="AC436" s="985"/>
      <c r="AD436" s="985"/>
      <c r="AE436" s="985"/>
      <c r="AF436" s="985"/>
      <c r="AG436" s="985"/>
      <c r="AH436" s="985"/>
      <c r="AI436" s="985"/>
      <c r="AJ436" s="985"/>
      <c r="AK436" s="985"/>
      <c r="AL436" s="985"/>
      <c r="AM436" s="985"/>
      <c r="AN436" s="985"/>
      <c r="AO436" s="985"/>
      <c r="AP436" s="985"/>
      <c r="AQ436" s="985"/>
      <c r="AR436" s="985"/>
      <c r="AS436" s="985"/>
      <c r="AT436" s="985"/>
      <c r="AU436" s="985"/>
      <c r="AV436" s="985"/>
      <c r="AW436" s="985"/>
      <c r="AX436" s="3601"/>
      <c r="AY436" s="1419" t="s">
        <v>16</v>
      </c>
      <c r="AZ436" s="3889">
        <f>-IX.c!N707</f>
        <v>0</v>
      </c>
      <c r="BA436" s="1219" t="s">
        <v>2599</v>
      </c>
      <c r="BB436" s="39"/>
      <c r="BC436" s="3601"/>
      <c r="BD436" s="3601"/>
      <c r="BE436" s="3601"/>
      <c r="BF436" s="3601"/>
      <c r="BG436" s="3601"/>
      <c r="BH436" s="3601"/>
      <c r="BI436" s="3601"/>
      <c r="BJ436" s="3601"/>
      <c r="BK436" s="3601"/>
      <c r="BL436" s="3601"/>
    </row>
    <row r="437" spans="3:64">
      <c r="C437" s="985"/>
      <c r="D437" s="2091"/>
      <c r="E437" s="3601"/>
      <c r="F437" s="985"/>
      <c r="G437" s="985"/>
      <c r="H437" s="985"/>
      <c r="I437" s="985"/>
      <c r="J437" s="985"/>
      <c r="K437" s="985"/>
      <c r="L437" s="985"/>
      <c r="M437" s="985"/>
      <c r="N437" s="985"/>
      <c r="O437" s="985"/>
      <c r="P437" s="985"/>
      <c r="Q437" s="985"/>
      <c r="R437" s="985"/>
      <c r="S437" s="985"/>
      <c r="T437" s="985"/>
      <c r="U437" s="985"/>
      <c r="V437" s="985"/>
      <c r="W437" s="985"/>
      <c r="X437" s="985"/>
      <c r="Y437" s="985"/>
      <c r="Z437" s="985"/>
      <c r="AA437" s="985"/>
      <c r="AB437" s="985"/>
      <c r="AC437" s="985"/>
      <c r="AD437" s="985"/>
      <c r="AE437" s="985"/>
      <c r="AF437" s="985"/>
      <c r="AG437" s="985"/>
      <c r="AH437" s="985"/>
      <c r="AI437" s="985"/>
      <c r="AJ437" s="985"/>
      <c r="AK437" s="985"/>
      <c r="AL437" s="985"/>
      <c r="AM437" s="985"/>
      <c r="AN437" s="985"/>
      <c r="AO437" s="985"/>
      <c r="AP437" s="985"/>
      <c r="AQ437" s="985"/>
      <c r="AR437" s="985"/>
      <c r="AS437" s="985"/>
      <c r="AT437" s="985"/>
      <c r="AU437" s="985"/>
      <c r="AV437" s="985"/>
      <c r="AW437" s="985"/>
      <c r="AX437" s="3601"/>
      <c r="AY437" s="1419" t="s">
        <v>1668</v>
      </c>
      <c r="AZ437" s="3889">
        <f>-IX.c!N708</f>
        <v>0</v>
      </c>
      <c r="BA437" s="1219" t="s">
        <v>2599</v>
      </c>
      <c r="BB437" s="39"/>
      <c r="BC437" s="3601"/>
      <c r="BD437" s="3601"/>
      <c r="BE437" s="3601"/>
      <c r="BF437" s="3601"/>
      <c r="BG437" s="3601"/>
      <c r="BH437" s="3601"/>
      <c r="BI437" s="3601"/>
      <c r="BJ437" s="3601"/>
      <c r="BK437" s="3601"/>
      <c r="BL437" s="3601"/>
    </row>
    <row r="438" spans="3:64">
      <c r="C438" s="985"/>
      <c r="D438" s="2091"/>
      <c r="E438" s="3601"/>
      <c r="F438" s="985"/>
      <c r="G438" s="985"/>
      <c r="H438" s="985"/>
      <c r="I438" s="985"/>
      <c r="J438" s="985"/>
      <c r="K438" s="985"/>
      <c r="L438" s="985"/>
      <c r="M438" s="985"/>
      <c r="N438" s="985"/>
      <c r="O438" s="985"/>
      <c r="P438" s="985"/>
      <c r="Q438" s="985"/>
      <c r="R438" s="985"/>
      <c r="S438" s="985"/>
      <c r="T438" s="985"/>
      <c r="U438" s="985"/>
      <c r="V438" s="985"/>
      <c r="W438" s="985"/>
      <c r="X438" s="985"/>
      <c r="Y438" s="985"/>
      <c r="Z438" s="985"/>
      <c r="AA438" s="985"/>
      <c r="AB438" s="985"/>
      <c r="AC438" s="985"/>
      <c r="AD438" s="985"/>
      <c r="AE438" s="985"/>
      <c r="AF438" s="985"/>
      <c r="AG438" s="985"/>
      <c r="AH438" s="985"/>
      <c r="AI438" s="985"/>
      <c r="AJ438" s="985"/>
      <c r="AK438" s="985"/>
      <c r="AL438" s="985"/>
      <c r="AM438" s="985"/>
      <c r="AN438" s="985"/>
      <c r="AO438" s="985"/>
      <c r="AP438" s="985"/>
      <c r="AQ438" s="985"/>
      <c r="AR438" s="985"/>
      <c r="AS438" s="985"/>
      <c r="AT438" s="985"/>
      <c r="AU438" s="985"/>
      <c r="AV438" s="985"/>
      <c r="AW438" s="985"/>
      <c r="AX438" s="3601"/>
      <c r="AY438" s="1419" t="s">
        <v>15</v>
      </c>
      <c r="AZ438" s="3889">
        <f>-IX.c!N709</f>
        <v>12.105494505494505</v>
      </c>
      <c r="BA438" s="1219" t="s">
        <v>2599</v>
      </c>
      <c r="BB438" s="39"/>
      <c r="BC438" s="3601"/>
      <c r="BD438" s="3601"/>
      <c r="BE438" s="3601"/>
      <c r="BF438" s="3601"/>
      <c r="BG438" s="3601"/>
      <c r="BH438" s="3601"/>
      <c r="BI438" s="3601"/>
      <c r="BJ438" s="3601"/>
      <c r="BK438" s="3601"/>
      <c r="BL438" s="3601"/>
    </row>
    <row r="439" spans="3:64">
      <c r="C439" s="985"/>
      <c r="D439" s="2091"/>
      <c r="E439" s="3601"/>
      <c r="F439" s="985"/>
      <c r="G439" s="985"/>
      <c r="H439" s="985"/>
      <c r="I439" s="985"/>
      <c r="J439" s="985"/>
      <c r="K439" s="985"/>
      <c r="L439" s="985"/>
      <c r="M439" s="985"/>
      <c r="N439" s="985"/>
      <c r="O439" s="985"/>
      <c r="P439" s="985"/>
      <c r="Q439" s="985"/>
      <c r="R439" s="985"/>
      <c r="S439" s="985"/>
      <c r="T439" s="985"/>
      <c r="U439" s="985"/>
      <c r="V439" s="985"/>
      <c r="W439" s="985"/>
      <c r="X439" s="985"/>
      <c r="Y439" s="985"/>
      <c r="Z439" s="985"/>
      <c r="AA439" s="985"/>
      <c r="AB439" s="985"/>
      <c r="AC439" s="985"/>
      <c r="AD439" s="985"/>
      <c r="AE439" s="985"/>
      <c r="AF439" s="985"/>
      <c r="AG439" s="985"/>
      <c r="AH439" s="985"/>
      <c r="AI439" s="985"/>
      <c r="AJ439" s="985"/>
      <c r="AK439" s="985"/>
      <c r="AL439" s="985"/>
      <c r="AM439" s="985"/>
      <c r="AN439" s="985"/>
      <c r="AO439" s="985"/>
      <c r="AP439" s="985"/>
      <c r="AQ439" s="985"/>
      <c r="AR439" s="985"/>
      <c r="AS439" s="985"/>
      <c r="AT439" s="985"/>
      <c r="AU439" s="985"/>
      <c r="AV439" s="985"/>
      <c r="AW439" s="985"/>
      <c r="AX439" s="3601"/>
      <c r="AY439" s="1419" t="s">
        <v>2596</v>
      </c>
      <c r="AZ439" s="3889">
        <f>-X.a!N183</f>
        <v>6.1340795367240126</v>
      </c>
      <c r="BA439" s="1219" t="s">
        <v>2604</v>
      </c>
      <c r="BB439" s="39"/>
      <c r="BC439" s="3601"/>
      <c r="BD439" s="3601"/>
      <c r="BE439" s="3601"/>
      <c r="BF439" s="3601"/>
      <c r="BG439" s="3601"/>
      <c r="BH439" s="3601"/>
      <c r="BI439" s="3601"/>
      <c r="BJ439" s="3601"/>
      <c r="BK439" s="3601"/>
      <c r="BL439" s="3601"/>
    </row>
    <row r="440" spans="3:64">
      <c r="C440" s="985"/>
      <c r="D440" s="2091"/>
      <c r="E440" s="3601"/>
      <c r="F440" s="985"/>
      <c r="G440" s="985"/>
      <c r="H440" s="985"/>
      <c r="I440" s="985"/>
      <c r="J440" s="985"/>
      <c r="K440" s="985"/>
      <c r="L440" s="985"/>
      <c r="M440" s="985"/>
      <c r="N440" s="985"/>
      <c r="O440" s="985"/>
      <c r="P440" s="985"/>
      <c r="Q440" s="985"/>
      <c r="R440" s="985"/>
      <c r="S440" s="985"/>
      <c r="T440" s="985"/>
      <c r="U440" s="985"/>
      <c r="V440" s="985"/>
      <c r="W440" s="985"/>
      <c r="X440" s="985"/>
      <c r="Y440" s="985"/>
      <c r="Z440" s="985"/>
      <c r="AA440" s="985"/>
      <c r="AB440" s="985"/>
      <c r="AC440" s="985"/>
      <c r="AD440" s="985"/>
      <c r="AE440" s="985"/>
      <c r="AF440" s="985"/>
      <c r="AG440" s="985"/>
      <c r="AH440" s="985"/>
      <c r="AI440" s="985"/>
      <c r="AJ440" s="985"/>
      <c r="AK440" s="985"/>
      <c r="AL440" s="985"/>
      <c r="AM440" s="985"/>
      <c r="AN440" s="985"/>
      <c r="AO440" s="985"/>
      <c r="AP440" s="985"/>
      <c r="AQ440" s="985"/>
      <c r="AR440" s="985"/>
      <c r="AS440" s="985"/>
      <c r="AT440" s="985"/>
      <c r="AU440" s="985"/>
      <c r="AV440" s="985"/>
      <c r="AW440" s="985"/>
      <c r="AX440" s="3601"/>
      <c r="AY440" s="1419" t="s">
        <v>15</v>
      </c>
      <c r="AZ440" s="3889">
        <f>-X.a!N184</f>
        <v>0.49147979316024482</v>
      </c>
      <c r="BA440" s="1219" t="s">
        <v>2604</v>
      </c>
      <c r="BB440" s="39"/>
      <c r="BC440" s="3601"/>
      <c r="BD440" s="3601"/>
      <c r="BE440" s="3601"/>
      <c r="BF440" s="3601"/>
      <c r="BG440" s="3601"/>
      <c r="BH440" s="3601"/>
      <c r="BI440" s="3601"/>
      <c r="BJ440" s="3601"/>
      <c r="BK440" s="3601"/>
      <c r="BL440" s="3601"/>
    </row>
    <row r="441" spans="3:64">
      <c r="C441" s="985"/>
      <c r="D441" s="2091"/>
      <c r="E441" s="3601"/>
      <c r="F441" s="985"/>
      <c r="G441" s="985"/>
      <c r="H441" s="985"/>
      <c r="I441" s="985"/>
      <c r="J441" s="985"/>
      <c r="K441" s="985"/>
      <c r="L441" s="985"/>
      <c r="M441" s="985"/>
      <c r="N441" s="985"/>
      <c r="O441" s="985"/>
      <c r="P441" s="985"/>
      <c r="Q441" s="985"/>
      <c r="R441" s="985"/>
      <c r="S441" s="985"/>
      <c r="T441" s="985"/>
      <c r="U441" s="985"/>
      <c r="V441" s="985"/>
      <c r="W441" s="985"/>
      <c r="X441" s="985"/>
      <c r="Y441" s="985"/>
      <c r="Z441" s="985"/>
      <c r="AA441" s="985"/>
      <c r="AB441" s="985"/>
      <c r="AC441" s="985"/>
      <c r="AD441" s="985"/>
      <c r="AE441" s="985"/>
      <c r="AF441" s="985"/>
      <c r="AG441" s="985"/>
      <c r="AH441" s="985"/>
      <c r="AI441" s="985"/>
      <c r="AJ441" s="985"/>
      <c r="AK441" s="985"/>
      <c r="AL441" s="985"/>
      <c r="AM441" s="985"/>
      <c r="AN441" s="985"/>
      <c r="AO441" s="985"/>
      <c r="AP441" s="985"/>
      <c r="AQ441" s="985"/>
      <c r="AR441" s="985"/>
      <c r="AS441" s="985"/>
      <c r="AT441" s="985"/>
      <c r="AU441" s="985"/>
      <c r="AV441" s="985"/>
      <c r="AW441" s="985"/>
      <c r="AX441" s="3601"/>
      <c r="AY441" s="1419" t="s">
        <v>2596</v>
      </c>
      <c r="AZ441" s="3889">
        <f>-X.b!N154</f>
        <v>5.0288329110605261</v>
      </c>
      <c r="BA441" s="1219" t="s">
        <v>2602</v>
      </c>
      <c r="BB441" s="39"/>
      <c r="BC441" s="3601"/>
      <c r="BD441" s="3601"/>
      <c r="BE441" s="3601"/>
      <c r="BF441" s="3601"/>
      <c r="BG441" s="3601"/>
      <c r="BH441" s="3601"/>
      <c r="BI441" s="3601"/>
      <c r="BJ441" s="3601"/>
      <c r="BK441" s="3601"/>
      <c r="BL441" s="3601"/>
    </row>
    <row r="442" spans="3:64">
      <c r="C442" s="985"/>
      <c r="D442" s="2091"/>
      <c r="E442" s="3601"/>
      <c r="F442" s="985"/>
      <c r="G442" s="985"/>
      <c r="H442" s="985"/>
      <c r="I442" s="985"/>
      <c r="J442" s="985"/>
      <c r="K442" s="985"/>
      <c r="L442" s="985"/>
      <c r="M442" s="985"/>
      <c r="N442" s="985"/>
      <c r="O442" s="985"/>
      <c r="P442" s="985"/>
      <c r="Q442" s="985"/>
      <c r="R442" s="985"/>
      <c r="S442" s="985"/>
      <c r="T442" s="985"/>
      <c r="U442" s="985"/>
      <c r="V442" s="985"/>
      <c r="W442" s="985"/>
      <c r="X442" s="985"/>
      <c r="Y442" s="985"/>
      <c r="Z442" s="985"/>
      <c r="AA442" s="985"/>
      <c r="AB442" s="985"/>
      <c r="AC442" s="985"/>
      <c r="AD442" s="985"/>
      <c r="AE442" s="985"/>
      <c r="AF442" s="985"/>
      <c r="AG442" s="985"/>
      <c r="AH442" s="985"/>
      <c r="AI442" s="985"/>
      <c r="AJ442" s="985"/>
      <c r="AK442" s="985"/>
      <c r="AL442" s="985"/>
      <c r="AM442" s="985"/>
      <c r="AN442" s="985"/>
      <c r="AO442" s="985"/>
      <c r="AP442" s="985"/>
      <c r="AQ442" s="985"/>
      <c r="AR442" s="985"/>
      <c r="AS442" s="985"/>
      <c r="AT442" s="985"/>
      <c r="AU442" s="985"/>
      <c r="AV442" s="985"/>
      <c r="AW442" s="985"/>
      <c r="AX442" s="3601"/>
      <c r="AY442" s="1419" t="s">
        <v>15</v>
      </c>
      <c r="AZ442" s="3889">
        <f>-X.b!N155</f>
        <v>0.49533498624050404</v>
      </c>
      <c r="BA442" s="1219" t="s">
        <v>2602</v>
      </c>
      <c r="BB442" s="39"/>
      <c r="BC442" s="3601"/>
      <c r="BD442" s="3601"/>
      <c r="BE442" s="3601"/>
      <c r="BF442" s="3601"/>
      <c r="BG442" s="3601"/>
      <c r="BH442" s="3601"/>
      <c r="BI442" s="3601"/>
      <c r="BJ442" s="3601"/>
      <c r="BK442" s="3601"/>
      <c r="BL442" s="3601"/>
    </row>
    <row r="443" spans="3:64">
      <c r="C443" s="985"/>
      <c r="D443" s="2091"/>
      <c r="E443" s="3601"/>
      <c r="F443" s="985"/>
      <c r="G443" s="985"/>
      <c r="H443" s="985"/>
      <c r="I443" s="985"/>
      <c r="J443" s="985"/>
      <c r="K443" s="985"/>
      <c r="L443" s="985"/>
      <c r="M443" s="985"/>
      <c r="N443" s="985"/>
      <c r="O443" s="985"/>
      <c r="P443" s="985"/>
      <c r="Q443" s="985"/>
      <c r="R443" s="985"/>
      <c r="S443" s="985"/>
      <c r="T443" s="985"/>
      <c r="U443" s="985"/>
      <c r="V443" s="985"/>
      <c r="W443" s="985"/>
      <c r="X443" s="985"/>
      <c r="Y443" s="985"/>
      <c r="Z443" s="985"/>
      <c r="AA443" s="985"/>
      <c r="AB443" s="985"/>
      <c r="AC443" s="985"/>
      <c r="AD443" s="985"/>
      <c r="AE443" s="985"/>
      <c r="AF443" s="985"/>
      <c r="AG443" s="985"/>
      <c r="AH443" s="985"/>
      <c r="AI443" s="985"/>
      <c r="AJ443" s="985"/>
      <c r="AK443" s="985"/>
      <c r="AL443" s="985"/>
      <c r="AM443" s="985"/>
      <c r="AN443" s="985"/>
      <c r="AO443" s="985"/>
      <c r="AP443" s="985"/>
      <c r="AQ443" s="985"/>
      <c r="AR443" s="985"/>
      <c r="AS443" s="985"/>
      <c r="AT443" s="985"/>
      <c r="AU443" s="985"/>
      <c r="AV443" s="985"/>
      <c r="AW443" s="985"/>
      <c r="AX443" s="3601"/>
      <c r="AY443" s="1419" t="s">
        <v>2596</v>
      </c>
      <c r="AZ443" s="3889">
        <f ca="1">-XI.a!N438-XV.a!N172-XV.b!N208</f>
        <v>16.714184108793678</v>
      </c>
      <c r="BA443" s="1219" t="s">
        <v>359</v>
      </c>
      <c r="BB443" s="39"/>
      <c r="BC443" s="3601"/>
      <c r="BD443" s="3601"/>
      <c r="BE443" s="3601"/>
      <c r="BF443" s="3601"/>
      <c r="BG443" s="3601"/>
      <c r="BH443" s="3601"/>
      <c r="BI443" s="3601"/>
      <c r="BJ443" s="3601"/>
      <c r="BK443" s="3601"/>
      <c r="BL443" s="3601"/>
    </row>
    <row r="444" spans="3:64">
      <c r="C444" s="985"/>
      <c r="D444" s="2091"/>
      <c r="E444" s="3601"/>
      <c r="F444" s="985"/>
      <c r="G444" s="985"/>
      <c r="H444" s="985"/>
      <c r="I444" s="985"/>
      <c r="J444" s="985"/>
      <c r="K444" s="985"/>
      <c r="L444" s="985"/>
      <c r="M444" s="985"/>
      <c r="N444" s="985"/>
      <c r="O444" s="985"/>
      <c r="P444" s="985"/>
      <c r="Q444" s="985"/>
      <c r="R444" s="985"/>
      <c r="S444" s="985"/>
      <c r="T444" s="985"/>
      <c r="U444" s="985"/>
      <c r="V444" s="985"/>
      <c r="W444" s="985"/>
      <c r="X444" s="985"/>
      <c r="Y444" s="985"/>
      <c r="Z444" s="985"/>
      <c r="AA444" s="985"/>
      <c r="AB444" s="985"/>
      <c r="AC444" s="985"/>
      <c r="AD444" s="985"/>
      <c r="AE444" s="985"/>
      <c r="AF444" s="985"/>
      <c r="AG444" s="985"/>
      <c r="AH444" s="985"/>
      <c r="AI444" s="985"/>
      <c r="AJ444" s="985"/>
      <c r="AK444" s="985"/>
      <c r="AL444" s="985"/>
      <c r="AM444" s="985"/>
      <c r="AN444" s="985"/>
      <c r="AO444" s="985"/>
      <c r="AP444" s="985"/>
      <c r="AQ444" s="985"/>
      <c r="AR444" s="985"/>
      <c r="AS444" s="985"/>
      <c r="AT444" s="985"/>
      <c r="AU444" s="985"/>
      <c r="AV444" s="985"/>
      <c r="AW444" s="985"/>
      <c r="AX444" s="3601"/>
      <c r="AY444" s="1419" t="s">
        <v>16</v>
      </c>
      <c r="AZ444" s="3889">
        <f>-XI.a!N439-XV.b!N209</f>
        <v>5.5197297709738296</v>
      </c>
      <c r="BA444" s="1219" t="s">
        <v>359</v>
      </c>
      <c r="BB444" s="39"/>
      <c r="BC444" s="3601"/>
      <c r="BD444" s="3601"/>
      <c r="BE444" s="3601"/>
      <c r="BF444" s="3601"/>
      <c r="BG444" s="3601"/>
      <c r="BH444" s="3601"/>
      <c r="BI444" s="3601"/>
      <c r="BJ444" s="3601"/>
      <c r="BK444" s="3601"/>
      <c r="BL444" s="3601"/>
    </row>
    <row r="445" spans="3:64">
      <c r="C445" s="985"/>
      <c r="D445" s="2091"/>
      <c r="E445" s="3601"/>
      <c r="F445" s="985"/>
      <c r="G445" s="985"/>
      <c r="H445" s="985"/>
      <c r="I445" s="985"/>
      <c r="J445" s="985"/>
      <c r="K445" s="985"/>
      <c r="L445" s="985"/>
      <c r="M445" s="985"/>
      <c r="N445" s="985"/>
      <c r="O445" s="985"/>
      <c r="P445" s="985"/>
      <c r="Q445" s="985"/>
      <c r="R445" s="985"/>
      <c r="S445" s="985"/>
      <c r="T445" s="985"/>
      <c r="U445" s="985"/>
      <c r="V445" s="985"/>
      <c r="W445" s="985"/>
      <c r="X445" s="985"/>
      <c r="Y445" s="985"/>
      <c r="Z445" s="985"/>
      <c r="AA445" s="985"/>
      <c r="AB445" s="985"/>
      <c r="AC445" s="985"/>
      <c r="AD445" s="985"/>
      <c r="AE445" s="985"/>
      <c r="AF445" s="985"/>
      <c r="AG445" s="985"/>
      <c r="AH445" s="985"/>
      <c r="AI445" s="985"/>
      <c r="AJ445" s="985"/>
      <c r="AK445" s="985"/>
      <c r="AL445" s="985"/>
      <c r="AM445" s="985"/>
      <c r="AN445" s="985"/>
      <c r="AO445" s="985"/>
      <c r="AP445" s="985"/>
      <c r="AQ445" s="985"/>
      <c r="AR445" s="985"/>
      <c r="AS445" s="985"/>
      <c r="AT445" s="985"/>
      <c r="AU445" s="985"/>
      <c r="AV445" s="985"/>
      <c r="AW445" s="985"/>
      <c r="AX445" s="3601"/>
      <c r="AY445" s="1419" t="s">
        <v>1668</v>
      </c>
      <c r="AZ445" s="3889">
        <f ca="1">-XI.a!N440-XV.a!N173</f>
        <v>13.122473609628683</v>
      </c>
      <c r="BA445" s="1219" t="s">
        <v>359</v>
      </c>
      <c r="BB445" s="39"/>
      <c r="BC445" s="3601"/>
      <c r="BD445" s="3601"/>
      <c r="BE445" s="3601"/>
      <c r="BF445" s="3601"/>
      <c r="BG445" s="3601"/>
      <c r="BH445" s="3601"/>
      <c r="BI445" s="3601"/>
      <c r="BJ445" s="3601"/>
      <c r="BK445" s="3601"/>
      <c r="BL445" s="3601"/>
    </row>
    <row r="446" spans="3:64">
      <c r="C446" s="985"/>
      <c r="D446" s="2091"/>
      <c r="E446" s="3601"/>
      <c r="F446" s="985"/>
      <c r="G446" s="985"/>
      <c r="H446" s="985"/>
      <c r="I446" s="985"/>
      <c r="J446" s="985"/>
      <c r="K446" s="985"/>
      <c r="L446" s="985"/>
      <c r="M446" s="985"/>
      <c r="N446" s="985"/>
      <c r="O446" s="985"/>
      <c r="P446" s="985"/>
      <c r="Q446" s="985"/>
      <c r="R446" s="985"/>
      <c r="S446" s="985"/>
      <c r="T446" s="985"/>
      <c r="U446" s="985"/>
      <c r="V446" s="985"/>
      <c r="W446" s="985"/>
      <c r="X446" s="985"/>
      <c r="Y446" s="985"/>
      <c r="Z446" s="985"/>
      <c r="AA446" s="985"/>
      <c r="AB446" s="985"/>
      <c r="AC446" s="985"/>
      <c r="AD446" s="985"/>
      <c r="AE446" s="985"/>
      <c r="AF446" s="985"/>
      <c r="AG446" s="985"/>
      <c r="AH446" s="985"/>
      <c r="AI446" s="985"/>
      <c r="AJ446" s="985"/>
      <c r="AK446" s="985"/>
      <c r="AL446" s="985"/>
      <c r="AM446" s="985"/>
      <c r="AN446" s="985"/>
      <c r="AO446" s="985"/>
      <c r="AP446" s="985"/>
      <c r="AQ446" s="985"/>
      <c r="AR446" s="985"/>
      <c r="AS446" s="985"/>
      <c r="AT446" s="985"/>
      <c r="AU446" s="985"/>
      <c r="AV446" s="985"/>
      <c r="AW446" s="985"/>
      <c r="AX446" s="3601"/>
      <c r="AY446" s="1419" t="s">
        <v>15</v>
      </c>
      <c r="AZ446" s="3889">
        <f ca="1">-XI.a!N441-XV.a!N174-XV.b!N210</f>
        <v>12.932190873457877</v>
      </c>
      <c r="BA446" s="1219" t="s">
        <v>359</v>
      </c>
      <c r="BB446" s="39"/>
      <c r="BC446" s="3601"/>
      <c r="BD446" s="3601"/>
      <c r="BE446" s="3601"/>
      <c r="BF446" s="3601"/>
      <c r="BG446" s="3601"/>
      <c r="BH446" s="3601"/>
      <c r="BI446" s="3601"/>
      <c r="BJ446" s="3601"/>
      <c r="BK446" s="3601"/>
      <c r="BL446" s="3601"/>
    </row>
    <row r="447" spans="3:64">
      <c r="C447" s="985"/>
      <c r="D447" s="2091"/>
      <c r="E447" s="3601"/>
      <c r="F447" s="985"/>
      <c r="G447" s="985"/>
      <c r="H447" s="985"/>
      <c r="I447" s="985"/>
      <c r="J447" s="985"/>
      <c r="K447" s="985"/>
      <c r="L447" s="985"/>
      <c r="M447" s="985"/>
      <c r="N447" s="985"/>
      <c r="O447" s="985"/>
      <c r="P447" s="985"/>
      <c r="Q447" s="985"/>
      <c r="R447" s="985"/>
      <c r="S447" s="985"/>
      <c r="T447" s="985"/>
      <c r="U447" s="985"/>
      <c r="V447" s="985"/>
      <c r="W447" s="985"/>
      <c r="X447" s="985"/>
      <c r="Y447" s="985"/>
      <c r="Z447" s="985"/>
      <c r="AA447" s="985"/>
      <c r="AB447" s="985"/>
      <c r="AC447" s="985"/>
      <c r="AD447" s="985"/>
      <c r="AE447" s="985"/>
      <c r="AF447" s="985"/>
      <c r="AG447" s="985"/>
      <c r="AH447" s="985"/>
      <c r="AI447" s="985"/>
      <c r="AJ447" s="985"/>
      <c r="AK447" s="985"/>
      <c r="AL447" s="985"/>
      <c r="AM447" s="985"/>
      <c r="AN447" s="985"/>
      <c r="AO447" s="985"/>
      <c r="AP447" s="985"/>
      <c r="AQ447" s="985"/>
      <c r="AR447" s="985"/>
      <c r="AS447" s="985"/>
      <c r="AT447" s="985"/>
      <c r="AU447" s="985"/>
      <c r="AV447" s="985"/>
      <c r="AW447" s="985"/>
      <c r="AX447" s="3601"/>
      <c r="AY447" s="1419" t="s">
        <v>2596</v>
      </c>
      <c r="AZ447" s="3889">
        <f>-VI.a!N559</f>
        <v>0.69858035498963655</v>
      </c>
      <c r="BA447" s="1219" t="s">
        <v>392</v>
      </c>
      <c r="BB447" s="39"/>
      <c r="BC447" s="3601"/>
      <c r="BD447" s="3601"/>
      <c r="BE447" s="3601"/>
      <c r="BF447" s="3601"/>
      <c r="BG447" s="3601"/>
      <c r="BH447" s="3601"/>
      <c r="BI447" s="3601"/>
      <c r="BJ447" s="3601"/>
      <c r="BK447" s="3601"/>
      <c r="BL447" s="3601"/>
    </row>
    <row r="448" spans="3:64">
      <c r="C448" s="985"/>
      <c r="D448" s="2091"/>
      <c r="E448" s="3601"/>
      <c r="F448" s="985"/>
      <c r="G448" s="985"/>
      <c r="H448" s="985"/>
      <c r="I448" s="985"/>
      <c r="J448" s="985"/>
      <c r="K448" s="985"/>
      <c r="L448" s="985"/>
      <c r="M448" s="985"/>
      <c r="N448" s="985"/>
      <c r="O448" s="985"/>
      <c r="P448" s="985"/>
      <c r="Q448" s="985"/>
      <c r="R448" s="985"/>
      <c r="S448" s="985"/>
      <c r="T448" s="985"/>
      <c r="U448" s="985"/>
      <c r="V448" s="985"/>
      <c r="W448" s="985"/>
      <c r="X448" s="985"/>
      <c r="Y448" s="985"/>
      <c r="Z448" s="985"/>
      <c r="AA448" s="985"/>
      <c r="AB448" s="985"/>
      <c r="AC448" s="985"/>
      <c r="AD448" s="985"/>
      <c r="AE448" s="985"/>
      <c r="AF448" s="985"/>
      <c r="AG448" s="985"/>
      <c r="AH448" s="985"/>
      <c r="AI448" s="985"/>
      <c r="AJ448" s="985"/>
      <c r="AK448" s="985"/>
      <c r="AL448" s="985"/>
      <c r="AM448" s="985"/>
      <c r="AN448" s="985"/>
      <c r="AO448" s="985"/>
      <c r="AP448" s="985"/>
      <c r="AQ448" s="985"/>
      <c r="AR448" s="985"/>
      <c r="AS448" s="985"/>
      <c r="AT448" s="985"/>
      <c r="AU448" s="985"/>
      <c r="AV448" s="985"/>
      <c r="AW448" s="985"/>
      <c r="AX448" s="3601"/>
      <c r="AY448" s="1419" t="s">
        <v>16</v>
      </c>
      <c r="AZ448" s="3889">
        <f>-VI.a!N560</f>
        <v>0</v>
      </c>
      <c r="BA448" s="1219" t="s">
        <v>392</v>
      </c>
      <c r="BB448" s="39"/>
      <c r="BC448" s="3601"/>
      <c r="BD448" s="3601"/>
      <c r="BE448" s="3601"/>
      <c r="BF448" s="3601"/>
      <c r="BG448" s="3601"/>
      <c r="BH448" s="3601"/>
      <c r="BI448" s="3601"/>
      <c r="BJ448" s="3601"/>
      <c r="BK448" s="3601"/>
      <c r="BL448" s="3601"/>
    </row>
    <row r="449" spans="3:64">
      <c r="C449" s="985"/>
      <c r="D449" s="2091"/>
      <c r="E449" s="3601"/>
      <c r="F449" s="985"/>
      <c r="G449" s="985"/>
      <c r="H449" s="985"/>
      <c r="I449" s="985"/>
      <c r="J449" s="985"/>
      <c r="K449" s="985"/>
      <c r="L449" s="985"/>
      <c r="M449" s="985"/>
      <c r="N449" s="985"/>
      <c r="O449" s="985"/>
      <c r="P449" s="985"/>
      <c r="Q449" s="985"/>
      <c r="R449" s="985"/>
      <c r="S449" s="985"/>
      <c r="T449" s="985"/>
      <c r="U449" s="985"/>
      <c r="V449" s="985"/>
      <c r="W449" s="985"/>
      <c r="X449" s="985"/>
      <c r="Y449" s="985"/>
      <c r="Z449" s="985"/>
      <c r="AA449" s="985"/>
      <c r="AB449" s="985"/>
      <c r="AC449" s="985"/>
      <c r="AD449" s="985"/>
      <c r="AE449" s="985"/>
      <c r="AF449" s="985"/>
      <c r="AG449" s="985"/>
      <c r="AH449" s="985"/>
      <c r="AI449" s="985"/>
      <c r="AJ449" s="985"/>
      <c r="AK449" s="985"/>
      <c r="AL449" s="985"/>
      <c r="AM449" s="985"/>
      <c r="AN449" s="985"/>
      <c r="AO449" s="985"/>
      <c r="AP449" s="985"/>
      <c r="AQ449" s="985"/>
      <c r="AR449" s="985"/>
      <c r="AS449" s="985"/>
      <c r="AT449" s="985"/>
      <c r="AU449" s="985"/>
      <c r="AV449" s="985"/>
      <c r="AW449" s="985"/>
      <c r="AX449" s="3601"/>
      <c r="AY449" s="1419" t="s">
        <v>1668</v>
      </c>
      <c r="AZ449" s="3889">
        <f>-VI.a!N561</f>
        <v>2.6279927640086331</v>
      </c>
      <c r="BA449" s="1219" t="s">
        <v>392</v>
      </c>
      <c r="BB449" s="39"/>
      <c r="BC449" s="3601"/>
      <c r="BD449" s="3601"/>
      <c r="BE449" s="3601"/>
      <c r="BF449" s="3601"/>
      <c r="BG449" s="3601"/>
      <c r="BH449" s="3601"/>
      <c r="BI449" s="3601"/>
      <c r="BJ449" s="3601"/>
      <c r="BK449" s="3601"/>
      <c r="BL449" s="3601"/>
    </row>
    <row r="450" spans="3:64">
      <c r="C450" s="985"/>
      <c r="D450" s="2091"/>
      <c r="E450" s="3601"/>
      <c r="F450" s="985"/>
      <c r="G450" s="985"/>
      <c r="H450" s="985"/>
      <c r="I450" s="985"/>
      <c r="J450" s="985"/>
      <c r="K450" s="985"/>
      <c r="L450" s="985"/>
      <c r="M450" s="985"/>
      <c r="N450" s="985"/>
      <c r="O450" s="985"/>
      <c r="P450" s="985"/>
      <c r="Q450" s="985"/>
      <c r="R450" s="985"/>
      <c r="S450" s="985"/>
      <c r="T450" s="985"/>
      <c r="U450" s="985"/>
      <c r="V450" s="985"/>
      <c r="W450" s="985"/>
      <c r="X450" s="985"/>
      <c r="Y450" s="985"/>
      <c r="Z450" s="985"/>
      <c r="AA450" s="985"/>
      <c r="AB450" s="985"/>
      <c r="AC450" s="985"/>
      <c r="AD450" s="985"/>
      <c r="AE450" s="985"/>
      <c r="AF450" s="985"/>
      <c r="AG450" s="985"/>
      <c r="AH450" s="985"/>
      <c r="AI450" s="985"/>
      <c r="AJ450" s="985"/>
      <c r="AK450" s="985"/>
      <c r="AL450" s="985"/>
      <c r="AM450" s="985"/>
      <c r="AN450" s="985"/>
      <c r="AO450" s="985"/>
      <c r="AP450" s="985"/>
      <c r="AQ450" s="985"/>
      <c r="AR450" s="985"/>
      <c r="AS450" s="985"/>
      <c r="AT450" s="985"/>
      <c r="AU450" s="985"/>
      <c r="AV450" s="985"/>
      <c r="AW450" s="985"/>
      <c r="AX450" s="3601"/>
      <c r="AY450" s="1419" t="s">
        <v>15</v>
      </c>
      <c r="AZ450" s="3889">
        <f>-VI.a!N562</f>
        <v>0</v>
      </c>
      <c r="BA450" s="1219" t="s">
        <v>392</v>
      </c>
      <c r="BB450" s="39"/>
      <c r="BC450" s="3601"/>
      <c r="BD450" s="3601"/>
      <c r="BE450" s="3601"/>
      <c r="BF450" s="3601"/>
      <c r="BG450" s="3601"/>
      <c r="BH450" s="3601"/>
      <c r="BI450" s="3601"/>
      <c r="BJ450" s="3601"/>
      <c r="BK450" s="3601"/>
      <c r="BL450" s="3601"/>
    </row>
    <row r="451" spans="3:64">
      <c r="C451" s="985"/>
      <c r="D451" s="2091"/>
      <c r="E451" s="3601"/>
      <c r="F451" s="985"/>
      <c r="G451" s="985"/>
      <c r="H451" s="985"/>
      <c r="I451" s="985"/>
      <c r="J451" s="985"/>
      <c r="K451" s="985"/>
      <c r="L451" s="985"/>
      <c r="M451" s="985"/>
      <c r="N451" s="985"/>
      <c r="O451" s="985"/>
      <c r="P451" s="985"/>
      <c r="Q451" s="985"/>
      <c r="R451" s="985"/>
      <c r="S451" s="985"/>
      <c r="T451" s="985"/>
      <c r="U451" s="985"/>
      <c r="V451" s="985"/>
      <c r="W451" s="985"/>
      <c r="X451" s="985"/>
      <c r="Y451" s="985"/>
      <c r="Z451" s="985"/>
      <c r="AA451" s="985"/>
      <c r="AB451" s="985"/>
      <c r="AC451" s="985"/>
      <c r="AD451" s="985"/>
      <c r="AE451" s="985"/>
      <c r="AF451" s="985"/>
      <c r="AG451" s="985"/>
      <c r="AH451" s="985"/>
      <c r="AI451" s="985"/>
      <c r="AJ451" s="985"/>
      <c r="AK451" s="985"/>
      <c r="AL451" s="985"/>
      <c r="AM451" s="985"/>
      <c r="AN451" s="985"/>
      <c r="AO451" s="985"/>
      <c r="AP451" s="985"/>
      <c r="AQ451" s="985"/>
      <c r="AR451" s="985"/>
      <c r="AS451" s="985"/>
      <c r="AT451" s="985"/>
      <c r="AU451" s="985"/>
      <c r="AV451" s="985"/>
      <c r="AW451" s="985"/>
      <c r="AX451" s="3601"/>
      <c r="AY451" s="1419" t="s">
        <v>2596</v>
      </c>
      <c r="AZ451" s="3889">
        <f>-XII.a!N786-XII.b!N422</f>
        <v>2.199075986048471</v>
      </c>
      <c r="BA451" s="1219" t="s">
        <v>360</v>
      </c>
      <c r="BB451" s="39"/>
      <c r="BC451" s="3601"/>
      <c r="BD451" s="3601"/>
      <c r="BE451" s="3601"/>
      <c r="BF451" s="3601"/>
      <c r="BG451" s="3601"/>
      <c r="BH451" s="3601"/>
      <c r="BI451" s="3601"/>
      <c r="BJ451" s="3601"/>
      <c r="BK451" s="3601"/>
      <c r="BL451" s="3601"/>
    </row>
    <row r="452" spans="3:64">
      <c r="C452" s="985"/>
      <c r="D452" s="2091"/>
      <c r="E452" s="3601"/>
      <c r="F452" s="985"/>
      <c r="G452" s="985"/>
      <c r="H452" s="985"/>
      <c r="I452" s="985"/>
      <c r="J452" s="985"/>
      <c r="K452" s="985"/>
      <c r="L452" s="985"/>
      <c r="M452" s="985"/>
      <c r="N452" s="985"/>
      <c r="O452" s="985"/>
      <c r="P452" s="985"/>
      <c r="Q452" s="985"/>
      <c r="R452" s="985"/>
      <c r="S452" s="985"/>
      <c r="T452" s="985"/>
      <c r="U452" s="985"/>
      <c r="V452" s="985"/>
      <c r="W452" s="985"/>
      <c r="X452" s="985"/>
      <c r="Y452" s="985"/>
      <c r="Z452" s="985"/>
      <c r="AA452" s="985"/>
      <c r="AB452" s="985"/>
      <c r="AC452" s="985"/>
      <c r="AD452" s="985"/>
      <c r="AE452" s="985"/>
      <c r="AF452" s="985"/>
      <c r="AG452" s="985"/>
      <c r="AH452" s="985"/>
      <c r="AI452" s="985"/>
      <c r="AJ452" s="985"/>
      <c r="AK452" s="985"/>
      <c r="AL452" s="985"/>
      <c r="AM452" s="985"/>
      <c r="AN452" s="985"/>
      <c r="AO452" s="985"/>
      <c r="AP452" s="985"/>
      <c r="AQ452" s="985"/>
      <c r="AR452" s="985"/>
      <c r="AS452" s="985"/>
      <c r="AT452" s="985"/>
      <c r="AU452" s="985"/>
      <c r="AV452" s="985"/>
      <c r="AW452" s="985"/>
      <c r="AX452" s="3601"/>
      <c r="AY452" s="1419" t="s">
        <v>1668</v>
      </c>
      <c r="AZ452" s="3889">
        <f>-XII.a!N785-XII.b!N423</f>
        <v>45.920801943790082</v>
      </c>
      <c r="BA452" s="1219" t="s">
        <v>360</v>
      </c>
      <c r="BB452" s="39"/>
      <c r="BC452" s="3601"/>
      <c r="BD452" s="3601"/>
      <c r="BE452" s="3601"/>
      <c r="BF452" s="3601"/>
      <c r="BG452" s="3601"/>
      <c r="BH452" s="3601"/>
      <c r="BI452" s="3601"/>
      <c r="BJ452" s="3601"/>
      <c r="BK452" s="3601"/>
      <c r="BL452" s="3601"/>
    </row>
    <row r="453" spans="3:64">
      <c r="C453" s="985"/>
      <c r="D453" s="2091"/>
      <c r="E453" s="3601"/>
      <c r="F453" s="985"/>
      <c r="G453" s="985"/>
      <c r="H453" s="985"/>
      <c r="I453" s="985"/>
      <c r="J453" s="985"/>
      <c r="K453" s="985"/>
      <c r="L453" s="985"/>
      <c r="M453" s="985"/>
      <c r="N453" s="985"/>
      <c r="O453" s="985"/>
      <c r="P453" s="985"/>
      <c r="Q453" s="985"/>
      <c r="R453" s="985"/>
      <c r="S453" s="985"/>
      <c r="T453" s="985"/>
      <c r="U453" s="985"/>
      <c r="V453" s="985"/>
      <c r="W453" s="985"/>
      <c r="X453" s="985"/>
      <c r="Y453" s="985"/>
      <c r="Z453" s="985"/>
      <c r="AA453" s="985"/>
      <c r="AB453" s="985"/>
      <c r="AC453" s="985"/>
      <c r="AD453" s="985"/>
      <c r="AE453" s="985"/>
      <c r="AF453" s="985"/>
      <c r="AG453" s="985"/>
      <c r="AH453" s="985"/>
      <c r="AI453" s="985"/>
      <c r="AJ453" s="985"/>
      <c r="AK453" s="985"/>
      <c r="AL453" s="985"/>
      <c r="AM453" s="985"/>
      <c r="AN453" s="985"/>
      <c r="AO453" s="985"/>
      <c r="AP453" s="985"/>
      <c r="AQ453" s="985"/>
      <c r="AR453" s="985"/>
      <c r="AS453" s="985"/>
      <c r="AT453" s="985"/>
      <c r="AU453" s="985"/>
      <c r="AV453" s="985"/>
      <c r="AW453" s="985"/>
      <c r="AX453" s="3601"/>
      <c r="AY453" s="1419" t="s">
        <v>2596</v>
      </c>
      <c r="AZ453" s="3889">
        <f>-XII.a!N786-XII.b!N431</f>
        <v>1.6326641200284708</v>
      </c>
      <c r="BA453" s="1219" t="s">
        <v>361</v>
      </c>
      <c r="BB453" s="39"/>
      <c r="BC453" s="3601"/>
      <c r="BD453" s="3601"/>
      <c r="BE453" s="3601"/>
      <c r="BF453" s="3601"/>
      <c r="BG453" s="3601"/>
      <c r="BH453" s="3601"/>
      <c r="BI453" s="3601"/>
      <c r="BJ453" s="3601"/>
      <c r="BK453" s="3601"/>
      <c r="BL453" s="3601"/>
    </row>
    <row r="454" spans="3:64">
      <c r="C454" s="985"/>
      <c r="D454" s="2091"/>
      <c r="E454" s="3601"/>
      <c r="F454" s="985"/>
      <c r="G454" s="985"/>
      <c r="H454" s="985"/>
      <c r="I454" s="985"/>
      <c r="J454" s="985"/>
      <c r="K454" s="985"/>
      <c r="L454" s="985"/>
      <c r="M454" s="985"/>
      <c r="N454" s="985"/>
      <c r="O454" s="985"/>
      <c r="P454" s="985"/>
      <c r="Q454" s="985"/>
      <c r="R454" s="985"/>
      <c r="S454" s="985"/>
      <c r="T454" s="985"/>
      <c r="U454" s="985"/>
      <c r="V454" s="985"/>
      <c r="W454" s="985"/>
      <c r="X454" s="985"/>
      <c r="Y454" s="985"/>
      <c r="Z454" s="985"/>
      <c r="AA454" s="985"/>
      <c r="AB454" s="985"/>
      <c r="AC454" s="985"/>
      <c r="AD454" s="985"/>
      <c r="AE454" s="985"/>
      <c r="AF454" s="985"/>
      <c r="AG454" s="985"/>
      <c r="AH454" s="985"/>
      <c r="AI454" s="985"/>
      <c r="AJ454" s="985"/>
      <c r="AK454" s="985"/>
      <c r="AL454" s="985"/>
      <c r="AM454" s="985"/>
      <c r="AN454" s="985"/>
      <c r="AO454" s="985"/>
      <c r="AP454" s="985"/>
      <c r="AQ454" s="985"/>
      <c r="AR454" s="985"/>
      <c r="AS454" s="985"/>
      <c r="AT454" s="985"/>
      <c r="AU454" s="985"/>
      <c r="AV454" s="985"/>
      <c r="AW454" s="985"/>
      <c r="AX454" s="3601"/>
      <c r="AY454" s="3291" t="s">
        <v>1668</v>
      </c>
      <c r="AZ454" s="3889">
        <f>-XII.a!N755-XII.b!N432</f>
        <v>6.5604604747594641E-3</v>
      </c>
      <c r="BA454" s="2980" t="s">
        <v>361</v>
      </c>
      <c r="BB454" s="3601"/>
      <c r="BC454" s="3601"/>
      <c r="BD454" s="3601"/>
      <c r="BE454" s="3601"/>
      <c r="BF454" s="3601"/>
      <c r="BG454" s="3601"/>
      <c r="BH454" s="3601"/>
      <c r="BI454" s="3601"/>
      <c r="BJ454" s="3601"/>
      <c r="BK454" s="3601"/>
      <c r="BL454" s="3601"/>
    </row>
    <row r="455" spans="3:64">
      <c r="C455" s="985"/>
      <c r="D455" s="2091"/>
      <c r="E455" s="3601"/>
      <c r="F455" s="985"/>
      <c r="G455" s="985"/>
      <c r="H455" s="985"/>
      <c r="I455" s="985"/>
      <c r="J455" s="985"/>
      <c r="K455" s="985"/>
      <c r="L455" s="985"/>
      <c r="M455" s="985"/>
      <c r="N455" s="985"/>
      <c r="O455" s="985"/>
      <c r="P455" s="985"/>
      <c r="Q455" s="985"/>
      <c r="R455" s="985"/>
      <c r="S455" s="985"/>
      <c r="T455" s="985"/>
      <c r="U455" s="985"/>
      <c r="V455" s="985"/>
      <c r="W455" s="985"/>
      <c r="X455" s="985"/>
      <c r="Y455" s="985"/>
      <c r="Z455" s="985"/>
      <c r="AA455" s="985"/>
      <c r="AB455" s="985"/>
      <c r="AC455" s="985"/>
      <c r="AD455" s="985"/>
      <c r="AE455" s="985"/>
      <c r="AF455" s="985"/>
      <c r="AG455" s="985"/>
      <c r="AH455" s="985"/>
      <c r="AI455" s="985"/>
      <c r="AJ455" s="985"/>
      <c r="AK455" s="985"/>
      <c r="AL455" s="985"/>
      <c r="AM455" s="985"/>
      <c r="AN455" s="985"/>
      <c r="AO455" s="985"/>
      <c r="AP455" s="985"/>
      <c r="AQ455" s="985"/>
      <c r="AR455" s="985"/>
      <c r="AS455" s="985"/>
      <c r="AT455" s="985"/>
      <c r="AU455" s="985"/>
      <c r="AV455" s="985"/>
      <c r="AW455" s="985"/>
      <c r="AX455" s="3601"/>
      <c r="AY455" s="3291" t="s">
        <v>1668</v>
      </c>
      <c r="AZ455" s="3889">
        <f>-XII.a!N764</f>
        <v>-4.64282335093061E-3</v>
      </c>
      <c r="BA455" s="2980" t="s">
        <v>362</v>
      </c>
      <c r="BB455" s="3601"/>
      <c r="BC455" s="3601"/>
      <c r="BD455" s="3601"/>
      <c r="BE455" s="3601"/>
      <c r="BF455" s="3601"/>
      <c r="BG455" s="3601"/>
      <c r="BH455" s="3601"/>
      <c r="BI455" s="3601"/>
      <c r="BJ455" s="3601"/>
      <c r="BK455" s="3601"/>
      <c r="BL455" s="3601"/>
    </row>
    <row r="456" spans="3:64">
      <c r="C456" s="985"/>
      <c r="D456" s="2091"/>
      <c r="E456" s="3601"/>
      <c r="F456" s="985"/>
      <c r="G456" s="985"/>
      <c r="H456" s="985"/>
      <c r="I456" s="985"/>
      <c r="J456" s="985"/>
      <c r="K456" s="985"/>
      <c r="L456" s="985"/>
      <c r="M456" s="985"/>
      <c r="N456" s="985"/>
      <c r="O456" s="985"/>
      <c r="P456" s="985"/>
      <c r="Q456" s="985"/>
      <c r="R456" s="985"/>
      <c r="S456" s="985"/>
      <c r="T456" s="985"/>
      <c r="U456" s="985"/>
      <c r="V456" s="985"/>
      <c r="W456" s="985"/>
      <c r="X456" s="985"/>
      <c r="Y456" s="985"/>
      <c r="Z456" s="985"/>
      <c r="AA456" s="985"/>
      <c r="AB456" s="985"/>
      <c r="AC456" s="985"/>
      <c r="AD456" s="985"/>
      <c r="AE456" s="985"/>
      <c r="AF456" s="985"/>
      <c r="AG456" s="985"/>
      <c r="AH456" s="985"/>
      <c r="AI456" s="985"/>
      <c r="AJ456" s="985"/>
      <c r="AK456" s="985"/>
      <c r="AL456" s="985"/>
      <c r="AM456" s="985"/>
      <c r="AN456" s="985"/>
      <c r="AO456" s="985"/>
      <c r="AP456" s="985"/>
      <c r="AQ456" s="985"/>
      <c r="AR456" s="985"/>
      <c r="AS456" s="985"/>
      <c r="AT456" s="985"/>
      <c r="AU456" s="985"/>
      <c r="AV456" s="985"/>
      <c r="AW456" s="985"/>
      <c r="AX456" s="3601"/>
      <c r="AY456" s="3291" t="s">
        <v>1668</v>
      </c>
      <c r="AZ456" s="3889">
        <f>-XII.b!N439</f>
        <v>0.66</v>
      </c>
      <c r="BA456" s="2980" t="s">
        <v>363</v>
      </c>
      <c r="BB456" s="3601"/>
      <c r="BC456" s="3601"/>
      <c r="BD456" s="3601"/>
      <c r="BE456" s="3601"/>
      <c r="BF456" s="3601"/>
      <c r="BG456" s="3601"/>
      <c r="BH456" s="3601"/>
      <c r="BI456" s="3601"/>
      <c r="BJ456" s="3601"/>
      <c r="BK456" s="3601"/>
      <c r="BL456" s="3601"/>
    </row>
    <row r="457" spans="3:64">
      <c r="C457" s="985"/>
      <c r="D457" s="2091"/>
      <c r="E457" s="3601"/>
      <c r="F457" s="985"/>
      <c r="G457" s="985"/>
      <c r="H457" s="985"/>
      <c r="I457" s="985"/>
      <c r="J457" s="985"/>
      <c r="K457" s="985"/>
      <c r="L457" s="985"/>
      <c r="M457" s="985"/>
      <c r="N457" s="985"/>
      <c r="O457" s="985"/>
      <c r="P457" s="985"/>
      <c r="Q457" s="985"/>
      <c r="R457" s="985"/>
      <c r="S457" s="985"/>
      <c r="T457" s="985"/>
      <c r="U457" s="985"/>
      <c r="V457" s="985"/>
      <c r="W457" s="985"/>
      <c r="X457" s="985"/>
      <c r="Y457" s="985"/>
      <c r="Z457" s="985"/>
      <c r="AA457" s="985"/>
      <c r="AB457" s="985"/>
      <c r="AC457" s="985"/>
      <c r="AD457" s="985"/>
      <c r="AE457" s="985"/>
      <c r="AF457" s="985"/>
      <c r="AG457" s="985"/>
      <c r="AH457" s="985"/>
      <c r="AI457" s="985"/>
      <c r="AJ457" s="985"/>
      <c r="AK457" s="985"/>
      <c r="AL457" s="985"/>
      <c r="AM457" s="985"/>
      <c r="AN457" s="985"/>
      <c r="AO457" s="985"/>
      <c r="AP457" s="985"/>
      <c r="AQ457" s="985"/>
      <c r="AR457" s="985"/>
      <c r="AS457" s="985"/>
      <c r="AT457" s="985"/>
      <c r="AU457" s="985"/>
      <c r="AV457" s="985"/>
      <c r="AW457" s="985"/>
      <c r="AX457" s="3601"/>
      <c r="AY457" s="3291" t="s">
        <v>1668</v>
      </c>
      <c r="AZ457" s="3889">
        <f>-XII.c!N127</f>
        <v>11.923331449069897</v>
      </c>
      <c r="BA457" s="2980" t="s">
        <v>364</v>
      </c>
      <c r="BB457" s="3601"/>
      <c r="BC457" s="3601"/>
      <c r="BD457" s="3601"/>
      <c r="BE457" s="3601"/>
      <c r="BF457" s="3601"/>
      <c r="BG457" s="3601"/>
      <c r="BH457" s="3601"/>
      <c r="BI457" s="3601"/>
      <c r="BJ457" s="3601"/>
      <c r="BK457" s="3601"/>
      <c r="BL457" s="3601"/>
    </row>
    <row r="458" spans="3:64">
      <c r="C458" s="985"/>
      <c r="D458" s="2091"/>
      <c r="E458" s="3601"/>
      <c r="F458" s="985"/>
      <c r="G458" s="985"/>
      <c r="H458" s="985"/>
      <c r="I458" s="985"/>
      <c r="J458" s="985"/>
      <c r="K458" s="985"/>
      <c r="L458" s="985"/>
      <c r="M458" s="985"/>
      <c r="N458" s="985"/>
      <c r="O458" s="985"/>
      <c r="P458" s="985"/>
      <c r="Q458" s="985"/>
      <c r="R458" s="985"/>
      <c r="S458" s="985"/>
      <c r="T458" s="985"/>
      <c r="U458" s="985"/>
      <c r="V458" s="985"/>
      <c r="W458" s="985"/>
      <c r="X458" s="985"/>
      <c r="Y458" s="985"/>
      <c r="Z458" s="985"/>
      <c r="AA458" s="985"/>
      <c r="AB458" s="985"/>
      <c r="AC458" s="985"/>
      <c r="AD458" s="985"/>
      <c r="AE458" s="985"/>
      <c r="AF458" s="985"/>
      <c r="AG458" s="985"/>
      <c r="AH458" s="985"/>
      <c r="AI458" s="985"/>
      <c r="AJ458" s="985"/>
      <c r="AK458" s="985"/>
      <c r="AL458" s="985"/>
      <c r="AM458" s="985"/>
      <c r="AN458" s="985"/>
      <c r="AO458" s="985"/>
      <c r="AP458" s="985"/>
      <c r="AQ458" s="985"/>
      <c r="AR458" s="985"/>
      <c r="AS458" s="985"/>
      <c r="AT458" s="985"/>
      <c r="AU458" s="985"/>
      <c r="AV458" s="985"/>
      <c r="AW458" s="985"/>
      <c r="AX458" s="3601"/>
      <c r="AY458" s="3291" t="s">
        <v>1668</v>
      </c>
      <c r="AZ458" s="3889">
        <v>0</v>
      </c>
      <c r="BA458" s="2980" t="s">
        <v>365</v>
      </c>
      <c r="BB458" s="3601"/>
      <c r="BC458" s="3601"/>
      <c r="BD458" s="3601"/>
      <c r="BE458" s="3601"/>
      <c r="BF458" s="3601"/>
      <c r="BG458" s="3601"/>
      <c r="BH458" s="3601"/>
      <c r="BI458" s="3601"/>
      <c r="BJ458" s="3601"/>
      <c r="BK458" s="3601"/>
      <c r="BL458" s="3601"/>
    </row>
    <row r="459" spans="3:64">
      <c r="C459" s="985"/>
      <c r="D459" s="2091"/>
      <c r="E459" s="3601"/>
      <c r="F459" s="985"/>
      <c r="G459" s="985"/>
      <c r="H459" s="985"/>
      <c r="I459" s="985"/>
      <c r="J459" s="985"/>
      <c r="K459" s="985"/>
      <c r="L459" s="985"/>
      <c r="M459" s="985"/>
      <c r="N459" s="985"/>
      <c r="O459" s="985"/>
      <c r="P459" s="985"/>
      <c r="Q459" s="985"/>
      <c r="R459" s="985"/>
      <c r="S459" s="985"/>
      <c r="T459" s="985"/>
      <c r="U459" s="985"/>
      <c r="V459" s="985"/>
      <c r="W459" s="985"/>
      <c r="X459" s="985"/>
      <c r="Y459" s="985"/>
      <c r="Z459" s="985"/>
      <c r="AA459" s="985"/>
      <c r="AB459" s="985"/>
      <c r="AC459" s="985"/>
      <c r="AD459" s="985"/>
      <c r="AE459" s="985"/>
      <c r="AF459" s="985"/>
      <c r="AG459" s="985"/>
      <c r="AH459" s="985"/>
      <c r="AI459" s="985"/>
      <c r="AJ459" s="985"/>
      <c r="AK459" s="985"/>
      <c r="AL459" s="985"/>
      <c r="AM459" s="985"/>
      <c r="AN459" s="985"/>
      <c r="AO459" s="985"/>
      <c r="AP459" s="985"/>
      <c r="AQ459" s="985"/>
      <c r="AR459" s="985"/>
      <c r="AS459" s="985"/>
      <c r="AT459" s="985"/>
      <c r="AU459" s="985"/>
      <c r="AV459" s="985"/>
      <c r="AW459" s="985"/>
      <c r="AX459" s="3601"/>
      <c r="AY459" s="3291" t="s">
        <v>2596</v>
      </c>
      <c r="AZ459" s="3889">
        <f>-XIV.a!N168</f>
        <v>0</v>
      </c>
      <c r="BA459" s="2980" t="s">
        <v>486</v>
      </c>
      <c r="BB459" s="3601"/>
      <c r="BC459" s="3601"/>
      <c r="BD459" s="3601"/>
      <c r="BE459" s="3601"/>
      <c r="BF459" s="3601"/>
      <c r="BG459" s="3601"/>
      <c r="BH459" s="3601"/>
      <c r="BI459" s="3601"/>
      <c r="BJ459" s="3601"/>
      <c r="BK459" s="3601"/>
      <c r="BL459" s="3601"/>
    </row>
    <row r="460" spans="3:64">
      <c r="C460" s="985"/>
      <c r="D460" s="2091"/>
      <c r="E460" s="3601"/>
      <c r="F460" s="985"/>
      <c r="G460" s="985"/>
      <c r="H460" s="985"/>
      <c r="I460" s="985"/>
      <c r="J460" s="985"/>
      <c r="K460" s="985"/>
      <c r="L460" s="985"/>
      <c r="M460" s="985"/>
      <c r="N460" s="985"/>
      <c r="O460" s="985"/>
      <c r="P460" s="985"/>
      <c r="Q460" s="985"/>
      <c r="R460" s="985"/>
      <c r="S460" s="985"/>
      <c r="T460" s="985"/>
      <c r="U460" s="985"/>
      <c r="V460" s="985"/>
      <c r="W460" s="985"/>
      <c r="X460" s="985"/>
      <c r="Y460" s="985"/>
      <c r="Z460" s="985"/>
      <c r="AA460" s="985"/>
      <c r="AB460" s="985"/>
      <c r="AC460" s="985"/>
      <c r="AD460" s="985"/>
      <c r="AE460" s="985"/>
      <c r="AF460" s="985"/>
      <c r="AG460" s="985"/>
      <c r="AH460" s="985"/>
      <c r="AI460" s="985"/>
      <c r="AJ460" s="985"/>
      <c r="AK460" s="985"/>
      <c r="AL460" s="985"/>
      <c r="AM460" s="985"/>
      <c r="AN460" s="985"/>
      <c r="AO460" s="985"/>
      <c r="AP460" s="985"/>
      <c r="AQ460" s="985"/>
      <c r="AR460" s="985"/>
      <c r="AS460" s="985"/>
      <c r="AT460" s="985"/>
      <c r="AU460" s="985"/>
      <c r="AV460" s="985"/>
      <c r="AW460" s="985"/>
      <c r="AX460" s="3601"/>
      <c r="AY460" s="3291" t="s">
        <v>15</v>
      </c>
      <c r="AZ460" s="3889">
        <f ca="1">XVI.a!N114</f>
        <v>2.0060362560850513</v>
      </c>
      <c r="BA460" s="2980" t="s">
        <v>1741</v>
      </c>
      <c r="BB460" s="3601"/>
      <c r="BC460" s="3601"/>
      <c r="BD460" s="3601"/>
      <c r="BE460" s="3601"/>
      <c r="BF460" s="3601"/>
      <c r="BG460" s="3601"/>
      <c r="BH460" s="3601"/>
      <c r="BI460" s="3601"/>
      <c r="BJ460" s="3601"/>
      <c r="BK460" s="3601"/>
      <c r="BL460" s="3601"/>
    </row>
    <row r="461" spans="3:64">
      <c r="D461" s="3601"/>
      <c r="E461" s="3601"/>
      <c r="F461" s="3601"/>
      <c r="G461" s="3601"/>
      <c r="H461" s="3601"/>
      <c r="I461" s="3601"/>
      <c r="J461" s="3601"/>
      <c r="K461" s="3601"/>
      <c r="L461" s="3601"/>
      <c r="M461" s="3601"/>
      <c r="N461" s="3601"/>
      <c r="O461" s="3601"/>
      <c r="P461" s="3601"/>
      <c r="Q461" s="3601"/>
      <c r="R461" s="3601"/>
      <c r="S461" s="3601"/>
      <c r="T461" s="3601"/>
      <c r="U461" s="3601"/>
      <c r="V461" s="3601"/>
      <c r="W461" s="3601"/>
      <c r="X461" s="3601"/>
      <c r="Y461" s="3601"/>
      <c r="Z461" s="3601"/>
      <c r="AA461" s="3601"/>
      <c r="AB461" s="3601"/>
      <c r="AC461" s="3601"/>
      <c r="AD461" s="3601"/>
      <c r="AE461" s="3601"/>
      <c r="AF461" s="3601"/>
      <c r="AG461" s="3601"/>
      <c r="AH461" s="3601"/>
      <c r="AI461" s="3601"/>
      <c r="AJ461" s="3601"/>
      <c r="AK461" s="3601"/>
      <c r="AL461" s="3601"/>
      <c r="AM461" s="3601"/>
      <c r="AN461" s="3601"/>
      <c r="AO461" s="3601"/>
      <c r="AP461" s="3601"/>
      <c r="AQ461" s="3601"/>
      <c r="AR461" s="3601"/>
      <c r="AS461" s="3601"/>
      <c r="AT461" s="3601"/>
      <c r="AU461" s="3601"/>
      <c r="AV461" s="3601"/>
      <c r="AW461" s="3601"/>
      <c r="AX461" s="3601"/>
      <c r="AY461" s="3291"/>
      <c r="AZ461" s="3292"/>
      <c r="BA461" s="2980"/>
      <c r="BB461" s="3601"/>
      <c r="BC461" s="3601"/>
      <c r="BD461" s="3601"/>
      <c r="BE461" s="3601"/>
      <c r="BF461" s="3601"/>
      <c r="BG461" s="3601"/>
      <c r="BH461" s="3601"/>
      <c r="BI461" s="3601"/>
      <c r="BJ461" s="3601"/>
      <c r="BK461" s="3601"/>
      <c r="BL461" s="3601"/>
    </row>
    <row r="462" spans="3:64">
      <c r="D462" s="3601"/>
      <c r="E462" s="3601"/>
      <c r="F462" s="3601"/>
      <c r="G462" s="3601"/>
      <c r="H462" s="3601"/>
      <c r="I462" s="3601"/>
      <c r="J462" s="3601"/>
      <c r="K462" s="3601"/>
      <c r="L462" s="3601"/>
      <c r="M462" s="3601"/>
      <c r="N462" s="3601"/>
      <c r="O462" s="3601"/>
      <c r="P462" s="3601"/>
      <c r="Q462" s="3601"/>
      <c r="R462" s="3601"/>
      <c r="S462" s="3601"/>
      <c r="T462" s="3601"/>
      <c r="U462" s="3601"/>
      <c r="V462" s="3601"/>
      <c r="W462" s="3601"/>
      <c r="X462" s="3601"/>
      <c r="Y462" s="3601"/>
      <c r="Z462" s="3601"/>
      <c r="AA462" s="3601"/>
      <c r="AB462" s="3601"/>
      <c r="AC462" s="3601"/>
      <c r="AD462" s="3601"/>
      <c r="AE462" s="3601"/>
      <c r="AF462" s="3601"/>
      <c r="AG462" s="3601"/>
      <c r="AH462" s="3601"/>
      <c r="AI462" s="3601"/>
      <c r="AJ462" s="3601"/>
      <c r="AK462" s="3601"/>
      <c r="AL462" s="3601"/>
      <c r="AM462" s="3601"/>
      <c r="AN462" s="3601"/>
      <c r="AO462" s="3601"/>
      <c r="AP462" s="3601"/>
      <c r="AQ462" s="3601"/>
      <c r="AR462" s="3601"/>
      <c r="AS462" s="3601"/>
      <c r="AT462" s="3601"/>
      <c r="AU462" s="3601"/>
      <c r="AV462" s="3601"/>
      <c r="AW462" s="3601"/>
      <c r="AX462" s="3601"/>
      <c r="AY462" s="3291"/>
      <c r="AZ462" s="3601"/>
      <c r="BA462" s="3601"/>
      <c r="BB462" s="3601"/>
      <c r="BC462" s="3601"/>
      <c r="BD462" s="3601"/>
      <c r="BE462" s="3601"/>
      <c r="BF462" s="3601"/>
      <c r="BG462" s="3601"/>
      <c r="BH462" s="3601"/>
      <c r="BI462" s="3601"/>
      <c r="BJ462" s="3601"/>
      <c r="BK462" s="3601"/>
      <c r="BL462" s="3601"/>
    </row>
    <row r="463" spans="3:64">
      <c r="D463" s="3601"/>
      <c r="E463" s="3601"/>
      <c r="F463" s="3601"/>
      <c r="G463" s="3601"/>
      <c r="H463" s="3601"/>
      <c r="I463" s="3601"/>
      <c r="J463" s="3601"/>
      <c r="K463" s="3601"/>
      <c r="L463" s="3601"/>
      <c r="M463" s="3601"/>
      <c r="N463" s="3601"/>
      <c r="O463" s="3601"/>
      <c r="P463" s="3601"/>
      <c r="Q463" s="3601"/>
      <c r="R463" s="3601"/>
      <c r="S463" s="3601"/>
      <c r="T463" s="3601"/>
      <c r="U463" s="3601"/>
      <c r="V463" s="3601"/>
      <c r="W463" s="3601"/>
      <c r="X463" s="3601"/>
      <c r="Y463" s="3601"/>
      <c r="Z463" s="3601"/>
      <c r="AA463" s="3601"/>
      <c r="AB463" s="3601"/>
      <c r="AC463" s="3601"/>
      <c r="AD463" s="3601"/>
      <c r="AE463" s="3601"/>
      <c r="AF463" s="3601"/>
      <c r="AG463" s="3601"/>
      <c r="AH463" s="3601"/>
      <c r="AI463" s="3601"/>
      <c r="AJ463" s="3601"/>
      <c r="AK463" s="3601"/>
      <c r="AL463" s="3601"/>
      <c r="AM463" s="3601"/>
      <c r="AN463" s="3601"/>
      <c r="AO463" s="3601"/>
      <c r="AP463" s="3601"/>
      <c r="AQ463" s="3601"/>
      <c r="AR463" s="3601"/>
      <c r="AS463" s="3601"/>
      <c r="AT463" s="3601"/>
      <c r="AU463" s="3601"/>
      <c r="AV463" s="3601"/>
      <c r="AW463" s="3601"/>
      <c r="AX463" s="3601"/>
      <c r="AY463" s="3291"/>
      <c r="AZ463" s="3292"/>
      <c r="BA463" s="2980"/>
      <c r="BB463" s="3601"/>
      <c r="BC463" s="3601"/>
      <c r="BD463" s="3601"/>
      <c r="BE463" s="3601"/>
      <c r="BF463" s="3601"/>
      <c r="BG463" s="3601"/>
      <c r="BH463" s="3601"/>
      <c r="BI463" s="3601"/>
      <c r="BJ463" s="3601"/>
      <c r="BK463" s="3601"/>
      <c r="BL463" s="3601"/>
    </row>
    <row r="464" spans="3:64">
      <c r="D464" s="3601"/>
      <c r="E464" s="3601"/>
      <c r="F464" s="3601"/>
      <c r="G464" s="3601"/>
      <c r="H464" s="3601"/>
      <c r="I464" s="3601"/>
      <c r="J464" s="3601"/>
      <c r="K464" s="3601"/>
      <c r="L464" s="3601"/>
      <c r="M464" s="3601"/>
      <c r="N464" s="3601"/>
      <c r="O464" s="3601"/>
      <c r="P464" s="3601"/>
      <c r="Q464" s="3601"/>
      <c r="R464" s="3601"/>
      <c r="S464" s="3601"/>
      <c r="T464" s="3601"/>
      <c r="U464" s="3601"/>
      <c r="V464" s="3601"/>
      <c r="W464" s="3601"/>
      <c r="X464" s="3601"/>
      <c r="Y464" s="3601"/>
      <c r="Z464" s="3601"/>
      <c r="AA464" s="3601"/>
      <c r="AB464" s="3601"/>
      <c r="AC464" s="3601"/>
      <c r="AD464" s="3601"/>
      <c r="AE464" s="3601"/>
      <c r="AF464" s="3601"/>
      <c r="AG464" s="3601"/>
      <c r="AH464" s="3601"/>
      <c r="AI464" s="3601"/>
      <c r="AJ464" s="3601"/>
      <c r="AK464" s="3601"/>
      <c r="AL464" s="3601"/>
      <c r="AM464" s="3601"/>
      <c r="AN464" s="3601"/>
      <c r="AO464" s="3601"/>
      <c r="AP464" s="3601"/>
      <c r="AQ464" s="3601"/>
      <c r="AR464" s="3601"/>
      <c r="AS464" s="3601"/>
      <c r="AT464" s="3601"/>
      <c r="AU464" s="3601"/>
      <c r="AV464" s="3601"/>
      <c r="AW464" s="3601"/>
      <c r="AX464" s="3601"/>
      <c r="AY464" s="3291"/>
      <c r="AZ464" s="3292"/>
      <c r="BA464" s="2981"/>
      <c r="BB464" s="3601"/>
      <c r="BC464" s="3601"/>
      <c r="BD464" s="3601"/>
      <c r="BE464" s="3601"/>
      <c r="BF464" s="3601"/>
      <c r="BG464" s="3601"/>
      <c r="BH464" s="3601"/>
      <c r="BI464" s="3601"/>
      <c r="BJ464" s="3601"/>
      <c r="BK464" s="3601"/>
      <c r="BL464" s="3601"/>
    </row>
    <row r="465" spans="4:64">
      <c r="D465" s="3601"/>
      <c r="E465" s="3601"/>
      <c r="F465" s="3601"/>
      <c r="G465" s="3601"/>
      <c r="H465" s="3601"/>
      <c r="I465" s="3601"/>
      <c r="J465" s="3601"/>
      <c r="K465" s="3601"/>
      <c r="L465" s="3601"/>
      <c r="M465" s="3601"/>
      <c r="N465" s="3601"/>
      <c r="O465" s="3601"/>
      <c r="P465" s="3601"/>
      <c r="Q465" s="3601"/>
      <c r="R465" s="3601"/>
      <c r="S465" s="3601"/>
      <c r="T465" s="3601"/>
      <c r="U465" s="3601"/>
      <c r="V465" s="3601"/>
      <c r="W465" s="3601"/>
      <c r="X465" s="3601"/>
      <c r="Y465" s="3601"/>
      <c r="Z465" s="3601"/>
      <c r="AA465" s="3601"/>
      <c r="AB465" s="3601"/>
      <c r="AC465" s="3601"/>
      <c r="AD465" s="3601"/>
      <c r="AE465" s="3601"/>
      <c r="AF465" s="3601"/>
      <c r="AG465" s="3601"/>
      <c r="AH465" s="3601"/>
      <c r="AI465" s="3601"/>
      <c r="AJ465" s="3601"/>
      <c r="AK465" s="3601"/>
      <c r="AL465" s="3601"/>
      <c r="AM465" s="3601"/>
      <c r="AN465" s="3601"/>
      <c r="AO465" s="3601"/>
      <c r="AP465" s="3601"/>
      <c r="AQ465" s="3601"/>
      <c r="AR465" s="3601"/>
      <c r="AS465" s="3601"/>
      <c r="AT465" s="3601"/>
      <c r="AU465" s="3601"/>
      <c r="AV465" s="3601"/>
      <c r="AW465" s="3601"/>
      <c r="AX465" s="3601"/>
      <c r="AY465" s="3300"/>
      <c r="AZ465" s="3292"/>
      <c r="BA465" s="2980"/>
      <c r="BB465" s="3601"/>
      <c r="BC465" s="3601"/>
      <c r="BD465" s="3601"/>
      <c r="BE465" s="3601"/>
      <c r="BF465" s="3601"/>
      <c r="BG465" s="3601"/>
      <c r="BH465" s="3601"/>
      <c r="BI465" s="3601"/>
      <c r="BJ465" s="3601"/>
      <c r="BK465" s="3601"/>
      <c r="BL465" s="3601"/>
    </row>
    <row r="466" spans="4:64">
      <c r="D466" s="3601"/>
      <c r="E466" s="3601"/>
      <c r="F466" s="3601"/>
      <c r="G466" s="3601"/>
      <c r="H466" s="3601"/>
      <c r="I466" s="3601"/>
      <c r="J466" s="3601"/>
      <c r="K466" s="3601"/>
      <c r="L466" s="3601"/>
      <c r="M466" s="3601"/>
      <c r="N466" s="3601"/>
      <c r="O466" s="3601"/>
      <c r="P466" s="3601"/>
      <c r="Q466" s="3601"/>
      <c r="R466" s="3601"/>
      <c r="S466" s="3601"/>
      <c r="T466" s="3601"/>
      <c r="U466" s="3601"/>
      <c r="V466" s="3601"/>
      <c r="W466" s="3601"/>
      <c r="X466" s="3601"/>
      <c r="Y466" s="3601"/>
      <c r="Z466" s="3601"/>
      <c r="AA466" s="3601"/>
      <c r="AB466" s="3601"/>
      <c r="AC466" s="3601"/>
      <c r="AD466" s="3601"/>
      <c r="AE466" s="3601"/>
      <c r="AF466" s="3601"/>
      <c r="AG466" s="3601"/>
      <c r="AH466" s="3601"/>
      <c r="AI466" s="3601"/>
      <c r="AJ466" s="3601"/>
      <c r="AK466" s="3601"/>
      <c r="AL466" s="3601"/>
      <c r="AM466" s="3601"/>
      <c r="AN466" s="3601"/>
      <c r="AO466" s="3601"/>
      <c r="AP466" s="3601"/>
      <c r="AQ466" s="3601"/>
      <c r="AR466" s="3601"/>
      <c r="AS466" s="3601"/>
      <c r="AT466" s="3601"/>
      <c r="AU466" s="3601"/>
      <c r="AV466" s="3601"/>
      <c r="AW466" s="3601"/>
      <c r="AX466" s="3601"/>
      <c r="AY466" s="3300"/>
      <c r="AZ466" s="3292"/>
      <c r="BA466" s="2980"/>
      <c r="BB466" s="3601"/>
      <c r="BC466" s="3601"/>
      <c r="BD466" s="3601"/>
      <c r="BE466" s="3601"/>
      <c r="BF466" s="3601"/>
      <c r="BG466" s="3601"/>
      <c r="BH466" s="3601"/>
      <c r="BI466" s="3601"/>
      <c r="BJ466" s="3601"/>
      <c r="BK466" s="3601"/>
      <c r="BL466" s="3601"/>
    </row>
    <row r="467" spans="4:64">
      <c r="D467" s="3601"/>
      <c r="E467" s="3601"/>
      <c r="F467" s="3601"/>
      <c r="G467" s="3601"/>
      <c r="H467" s="3601"/>
      <c r="I467" s="3601"/>
      <c r="J467" s="3601"/>
      <c r="K467" s="3601"/>
      <c r="L467" s="3601"/>
      <c r="M467" s="3601"/>
      <c r="N467" s="3601"/>
      <c r="O467" s="3601"/>
      <c r="P467" s="3601"/>
      <c r="Q467" s="3601"/>
      <c r="R467" s="3601"/>
      <c r="S467" s="3601"/>
      <c r="T467" s="3601"/>
      <c r="U467" s="3601"/>
      <c r="V467" s="3601"/>
      <c r="W467" s="3601"/>
      <c r="X467" s="3601"/>
      <c r="Y467" s="3601"/>
      <c r="Z467" s="3601"/>
      <c r="AA467" s="3601"/>
      <c r="AB467" s="3601"/>
      <c r="AC467" s="3601"/>
      <c r="AD467" s="3601"/>
      <c r="AE467" s="3601"/>
      <c r="AF467" s="3601"/>
      <c r="AG467" s="3601"/>
      <c r="AH467" s="3601"/>
      <c r="AI467" s="3601"/>
      <c r="AJ467" s="3601"/>
      <c r="AK467" s="3601"/>
      <c r="AL467" s="3601"/>
      <c r="AM467" s="3601"/>
      <c r="AN467" s="3601"/>
      <c r="AO467" s="3601"/>
      <c r="AP467" s="3601"/>
      <c r="AQ467" s="3601"/>
      <c r="AR467" s="3601"/>
      <c r="AS467" s="3601"/>
      <c r="AT467" s="3601"/>
      <c r="AU467" s="3601"/>
      <c r="AV467" s="3601"/>
      <c r="AW467" s="3601"/>
      <c r="AX467" s="3601"/>
      <c r="AY467" s="3291"/>
      <c r="AZ467" s="3292"/>
      <c r="BA467" s="2980"/>
      <c r="BB467" s="3601"/>
      <c r="BC467" s="3601"/>
      <c r="BD467" s="3601"/>
      <c r="BE467" s="3601"/>
      <c r="BF467" s="3601"/>
      <c r="BG467" s="3601"/>
      <c r="BH467" s="3601"/>
      <c r="BI467" s="3601"/>
      <c r="BJ467" s="3601"/>
      <c r="BK467" s="3601"/>
      <c r="BL467" s="3601"/>
    </row>
    <row r="468" spans="4:64">
      <c r="D468" s="3601"/>
      <c r="E468" s="3601"/>
      <c r="F468" s="3601"/>
      <c r="G468" s="3601"/>
      <c r="H468" s="3601"/>
      <c r="I468" s="3601"/>
      <c r="J468" s="3601"/>
      <c r="K468" s="3601"/>
      <c r="L468" s="3601"/>
      <c r="M468" s="3601"/>
      <c r="N468" s="3601"/>
      <c r="O468" s="3601"/>
      <c r="P468" s="3601"/>
      <c r="Q468" s="3601"/>
      <c r="R468" s="3601"/>
      <c r="S468" s="3601"/>
      <c r="T468" s="3601"/>
      <c r="U468" s="3601"/>
      <c r="V468" s="3601"/>
      <c r="W468" s="3601"/>
      <c r="X468" s="3601"/>
      <c r="Y468" s="3601"/>
      <c r="Z468" s="3601"/>
      <c r="AA468" s="3601"/>
      <c r="AB468" s="3601"/>
      <c r="AC468" s="3601"/>
      <c r="AD468" s="3601"/>
      <c r="AE468" s="3601"/>
      <c r="AF468" s="3601"/>
      <c r="AG468" s="3601"/>
      <c r="AH468" s="3601"/>
      <c r="AI468" s="3601"/>
      <c r="AJ468" s="3601"/>
      <c r="AK468" s="3601"/>
      <c r="AL468" s="3601"/>
      <c r="AM468" s="3601"/>
      <c r="AN468" s="3601"/>
      <c r="AO468" s="3601"/>
      <c r="AP468" s="3601"/>
      <c r="AQ468" s="3601"/>
      <c r="AR468" s="3601"/>
      <c r="AS468" s="3601"/>
      <c r="AT468" s="3601"/>
      <c r="AU468" s="3601"/>
      <c r="AV468" s="3601"/>
      <c r="AW468" s="3601"/>
      <c r="AX468" s="3601"/>
      <c r="AY468" s="3291"/>
      <c r="AZ468" s="3292"/>
      <c r="BA468" s="3601"/>
      <c r="BB468" s="3601"/>
      <c r="BC468" s="3601"/>
      <c r="BD468" s="3601"/>
      <c r="BE468" s="3601"/>
      <c r="BF468" s="3601"/>
      <c r="BG468" s="3601"/>
      <c r="BH468" s="3601"/>
      <c r="BI468" s="3601"/>
      <c r="BJ468" s="3601"/>
      <c r="BK468" s="3601"/>
      <c r="BL468" s="3601"/>
    </row>
    <row r="469" spans="4:64">
      <c r="D469" s="3601"/>
      <c r="E469" s="3601"/>
      <c r="F469" s="3601"/>
      <c r="G469" s="3601"/>
      <c r="H469" s="3601"/>
      <c r="I469" s="3601"/>
      <c r="J469" s="3601"/>
      <c r="K469" s="3601"/>
      <c r="L469" s="3601"/>
      <c r="M469" s="3601"/>
      <c r="N469" s="3601"/>
      <c r="O469" s="3601"/>
      <c r="P469" s="3601"/>
      <c r="Q469" s="3601"/>
      <c r="R469" s="3601"/>
      <c r="S469" s="3601"/>
      <c r="T469" s="3601"/>
      <c r="U469" s="3601"/>
      <c r="V469" s="3601"/>
      <c r="W469" s="3601"/>
      <c r="X469" s="3601"/>
      <c r="Y469" s="3601"/>
      <c r="Z469" s="3601"/>
      <c r="AA469" s="3601"/>
      <c r="AB469" s="3601"/>
      <c r="AC469" s="3601"/>
      <c r="AD469" s="3601"/>
      <c r="AE469" s="3601"/>
      <c r="AF469" s="3601"/>
      <c r="AG469" s="3601"/>
      <c r="AH469" s="3601"/>
      <c r="AI469" s="3601"/>
      <c r="AJ469" s="3601"/>
      <c r="AK469" s="3601"/>
      <c r="AL469" s="3601"/>
      <c r="AM469" s="3601"/>
      <c r="AN469" s="3601"/>
      <c r="AO469" s="3601"/>
      <c r="AP469" s="3601"/>
      <c r="AQ469" s="3601"/>
      <c r="AR469" s="3601"/>
      <c r="AS469" s="3601"/>
      <c r="AT469" s="3601"/>
      <c r="AU469" s="3601"/>
      <c r="AV469" s="3601"/>
      <c r="AW469" s="3601"/>
      <c r="AX469" s="3601"/>
      <c r="AY469" s="3291"/>
      <c r="AZ469" s="3292"/>
      <c r="BA469" s="2980"/>
      <c r="BB469" s="3601"/>
      <c r="BC469" s="3601"/>
      <c r="BD469" s="3601"/>
      <c r="BE469" s="3601"/>
      <c r="BF469" s="3601"/>
      <c r="BG469" s="3601"/>
      <c r="BH469" s="3601"/>
      <c r="BI469" s="3601"/>
      <c r="BJ469" s="3601"/>
      <c r="BK469" s="3601"/>
      <c r="BL469" s="3601"/>
    </row>
    <row r="470" spans="4:64">
      <c r="D470" s="3601"/>
      <c r="E470" s="3601"/>
      <c r="F470" s="3601"/>
      <c r="G470" s="3601"/>
      <c r="H470" s="3601"/>
      <c r="I470" s="3601"/>
      <c r="J470" s="3601"/>
      <c r="K470" s="3601"/>
      <c r="L470" s="3601"/>
      <c r="M470" s="3601"/>
      <c r="N470" s="3601"/>
      <c r="O470" s="3601"/>
      <c r="P470" s="3601"/>
      <c r="Q470" s="3601"/>
      <c r="R470" s="3601"/>
      <c r="S470" s="3601"/>
      <c r="T470" s="3601"/>
      <c r="U470" s="3601"/>
      <c r="V470" s="3601"/>
      <c r="W470" s="3601"/>
      <c r="X470" s="3601"/>
      <c r="Y470" s="3601"/>
      <c r="Z470" s="3601"/>
      <c r="AA470" s="3601"/>
      <c r="AB470" s="3601"/>
      <c r="AC470" s="3601"/>
      <c r="AD470" s="3601"/>
      <c r="AE470" s="3601"/>
      <c r="AF470" s="3601"/>
      <c r="AG470" s="3601"/>
      <c r="AH470" s="3601"/>
      <c r="AI470" s="3601"/>
      <c r="AJ470" s="3601"/>
      <c r="AK470" s="3601"/>
      <c r="AL470" s="3601"/>
      <c r="AM470" s="3601"/>
      <c r="AN470" s="3601"/>
      <c r="AO470" s="3601"/>
      <c r="AP470" s="3601"/>
      <c r="AQ470" s="3601"/>
      <c r="AR470" s="3601"/>
      <c r="AS470" s="3601"/>
      <c r="AT470" s="3601"/>
      <c r="AU470" s="3601"/>
      <c r="AV470" s="3601"/>
      <c r="AW470" s="3601"/>
      <c r="AX470" s="3601"/>
      <c r="AY470" s="3291"/>
      <c r="AZ470" s="3292"/>
      <c r="BA470" s="3601"/>
      <c r="BB470" s="3601"/>
      <c r="BC470" s="3601"/>
      <c r="BD470" s="3601"/>
      <c r="BE470" s="3601"/>
      <c r="BF470" s="3601"/>
      <c r="BG470" s="3601"/>
      <c r="BH470" s="3601"/>
      <c r="BI470" s="3601"/>
      <c r="BJ470" s="3601"/>
      <c r="BK470" s="3601"/>
      <c r="BL470" s="3601"/>
    </row>
    <row r="471" spans="4:64">
      <c r="D471" s="3601"/>
      <c r="E471" s="3601"/>
      <c r="F471" s="3601"/>
      <c r="G471" s="3601"/>
      <c r="H471" s="3601"/>
      <c r="I471" s="3601"/>
      <c r="J471" s="3601"/>
      <c r="K471" s="3601"/>
      <c r="L471" s="3601"/>
      <c r="M471" s="3601"/>
      <c r="N471" s="3601"/>
      <c r="O471" s="3601"/>
      <c r="P471" s="3601"/>
      <c r="Q471" s="3601"/>
      <c r="R471" s="3601"/>
      <c r="S471" s="3601"/>
      <c r="T471" s="3601"/>
      <c r="U471" s="3601"/>
      <c r="V471" s="3601"/>
      <c r="W471" s="3601"/>
      <c r="X471" s="3601"/>
      <c r="Y471" s="3601"/>
      <c r="Z471" s="3601"/>
      <c r="AA471" s="3601"/>
      <c r="AB471" s="3601"/>
      <c r="AC471" s="3601"/>
      <c r="AD471" s="3601"/>
      <c r="AE471" s="3601"/>
      <c r="AF471" s="3601"/>
      <c r="AG471" s="3601"/>
      <c r="AH471" s="3601"/>
      <c r="AI471" s="3601"/>
      <c r="AJ471" s="3601"/>
      <c r="AK471" s="3601"/>
      <c r="AL471" s="3601"/>
      <c r="AM471" s="3601"/>
      <c r="AN471" s="3601"/>
      <c r="AO471" s="3601"/>
      <c r="AP471" s="3601"/>
      <c r="AQ471" s="3601"/>
      <c r="AR471" s="3601"/>
      <c r="AS471" s="3601"/>
      <c r="AT471" s="3601"/>
      <c r="AU471" s="3601"/>
      <c r="AV471" s="3601"/>
      <c r="AW471" s="3601"/>
      <c r="AX471" s="3601"/>
      <c r="AY471" s="3291"/>
      <c r="AZ471" s="3292"/>
      <c r="BA471" s="2980"/>
      <c r="BB471" s="3601"/>
      <c r="BC471" s="3601"/>
      <c r="BD471" s="3601"/>
      <c r="BE471" s="3601"/>
      <c r="BF471" s="3601"/>
      <c r="BG471" s="3601"/>
      <c r="BH471" s="3601"/>
      <c r="BI471" s="3601"/>
      <c r="BJ471" s="3601"/>
      <c r="BK471" s="3601"/>
      <c r="BL471" s="3601"/>
    </row>
    <row r="472" spans="4:64">
      <c r="D472" s="3601"/>
      <c r="E472" s="3601"/>
      <c r="F472" s="3601"/>
      <c r="G472" s="3601"/>
      <c r="H472" s="3601"/>
      <c r="I472" s="3601"/>
      <c r="J472" s="3601"/>
      <c r="K472" s="3601"/>
      <c r="L472" s="3601"/>
      <c r="M472" s="3601"/>
      <c r="N472" s="3601"/>
      <c r="O472" s="3601"/>
      <c r="P472" s="3601"/>
      <c r="Q472" s="3601"/>
      <c r="R472" s="3601"/>
      <c r="S472" s="3601"/>
      <c r="T472" s="3601"/>
      <c r="U472" s="3601"/>
      <c r="V472" s="3601"/>
      <c r="W472" s="3601"/>
      <c r="X472" s="3601"/>
      <c r="Y472" s="3601"/>
      <c r="Z472" s="3601"/>
      <c r="AA472" s="3601"/>
      <c r="AB472" s="3601"/>
      <c r="AC472" s="3601"/>
      <c r="AD472" s="3601"/>
      <c r="AE472" s="3601"/>
      <c r="AF472" s="3601"/>
      <c r="AG472" s="3601"/>
      <c r="AH472" s="3601"/>
      <c r="AI472" s="3601"/>
      <c r="AJ472" s="3601"/>
      <c r="AK472" s="3601"/>
      <c r="AL472" s="3601"/>
      <c r="AM472" s="3601"/>
      <c r="AN472" s="3601"/>
      <c r="AO472" s="3601"/>
      <c r="AP472" s="3601"/>
      <c r="AQ472" s="3601"/>
      <c r="AR472" s="3601"/>
      <c r="AS472" s="3601"/>
      <c r="AT472" s="3601"/>
      <c r="AU472" s="3601"/>
      <c r="AV472" s="3601"/>
      <c r="AW472" s="3601"/>
      <c r="AX472" s="3601"/>
      <c r="AY472" s="3291"/>
      <c r="AZ472" s="3292"/>
      <c r="BA472" s="2980"/>
      <c r="BB472" s="3601"/>
      <c r="BC472" s="3601"/>
      <c r="BD472" s="3601"/>
      <c r="BE472" s="3601"/>
      <c r="BF472" s="3601"/>
      <c r="BG472" s="3601"/>
      <c r="BH472" s="3601"/>
      <c r="BI472" s="3601"/>
      <c r="BJ472" s="3601"/>
      <c r="BK472" s="3601"/>
      <c r="BL472" s="3601"/>
    </row>
    <row r="473" spans="4:64">
      <c r="D473" s="3601"/>
      <c r="E473" s="3601"/>
      <c r="F473" s="3601"/>
      <c r="G473" s="3601"/>
      <c r="H473" s="3601"/>
      <c r="I473" s="3601"/>
      <c r="J473" s="3601"/>
      <c r="K473" s="3601"/>
      <c r="L473" s="3601"/>
      <c r="M473" s="3601"/>
      <c r="N473" s="3601"/>
      <c r="O473" s="3601"/>
      <c r="P473" s="3601"/>
      <c r="Q473" s="3601"/>
      <c r="R473" s="3601"/>
      <c r="S473" s="3601"/>
      <c r="T473" s="3601"/>
      <c r="U473" s="3601"/>
      <c r="V473" s="3601"/>
      <c r="W473" s="3601"/>
      <c r="X473" s="3601"/>
      <c r="Y473" s="3601"/>
      <c r="Z473" s="3601"/>
      <c r="AA473" s="3601"/>
      <c r="AB473" s="3601"/>
      <c r="AC473" s="3601"/>
      <c r="AD473" s="3601"/>
      <c r="AE473" s="3601"/>
      <c r="AF473" s="3601"/>
      <c r="AG473" s="3601"/>
      <c r="AH473" s="3601"/>
      <c r="AI473" s="3601"/>
      <c r="AJ473" s="3601"/>
      <c r="AK473" s="3601"/>
      <c r="AL473" s="3601"/>
      <c r="AM473" s="3601"/>
      <c r="AN473" s="3601"/>
      <c r="AO473" s="3601"/>
      <c r="AP473" s="3601"/>
      <c r="AQ473" s="3601"/>
      <c r="AR473" s="3601"/>
      <c r="AS473" s="3601"/>
      <c r="AT473" s="3601"/>
      <c r="AU473" s="3601"/>
      <c r="AV473" s="3601"/>
      <c r="AW473" s="3601"/>
      <c r="AX473" s="3601"/>
      <c r="AY473" s="3291"/>
      <c r="AZ473" s="3292"/>
      <c r="BA473" s="2980"/>
      <c r="BB473" s="3601"/>
      <c r="BC473" s="3601"/>
      <c r="BD473" s="3601"/>
      <c r="BE473" s="3601"/>
      <c r="BF473" s="3601"/>
      <c r="BG473" s="3601"/>
      <c r="BH473" s="3601"/>
      <c r="BI473" s="3601"/>
      <c r="BJ473" s="3601"/>
      <c r="BK473" s="3601"/>
      <c r="BL473" s="3601"/>
    </row>
    <row r="474" spans="4:64">
      <c r="D474" s="3601"/>
      <c r="E474" s="3601"/>
      <c r="F474" s="3601"/>
      <c r="G474" s="3601"/>
      <c r="H474" s="3601"/>
      <c r="I474" s="3601"/>
      <c r="J474" s="3601"/>
      <c r="K474" s="3601"/>
      <c r="L474" s="3601"/>
      <c r="M474" s="3601"/>
      <c r="N474" s="3601"/>
      <c r="O474" s="3601"/>
      <c r="P474" s="3601"/>
      <c r="Q474" s="3601"/>
      <c r="R474" s="3601"/>
      <c r="S474" s="3601"/>
      <c r="T474" s="3601"/>
      <c r="U474" s="3601"/>
      <c r="V474" s="3601"/>
      <c r="W474" s="3601"/>
      <c r="X474" s="3601"/>
      <c r="Y474" s="3601"/>
      <c r="Z474" s="3601"/>
      <c r="AA474" s="3601"/>
      <c r="AB474" s="3601"/>
      <c r="AC474" s="3601"/>
      <c r="AD474" s="3601"/>
      <c r="AE474" s="3601"/>
      <c r="AF474" s="3601"/>
      <c r="AG474" s="3601"/>
      <c r="AH474" s="3601"/>
      <c r="AI474" s="3601"/>
      <c r="AJ474" s="3601"/>
      <c r="AK474" s="3601"/>
      <c r="AL474" s="3601"/>
      <c r="AM474" s="3601"/>
      <c r="AN474" s="3601"/>
      <c r="AO474" s="3601"/>
      <c r="AP474" s="3601"/>
      <c r="AQ474" s="3601"/>
      <c r="AR474" s="3601"/>
      <c r="AS474" s="3601"/>
      <c r="AT474" s="3601"/>
      <c r="AU474" s="3601"/>
      <c r="AV474" s="3601"/>
      <c r="AW474" s="3601"/>
      <c r="AX474" s="3601"/>
      <c r="AY474" s="3291"/>
      <c r="AZ474" s="3292"/>
      <c r="BA474" s="2980"/>
      <c r="BB474" s="3601"/>
      <c r="BC474" s="3601"/>
      <c r="BD474" s="3601"/>
      <c r="BE474" s="3601"/>
      <c r="BF474" s="3601"/>
      <c r="BG474" s="3601"/>
      <c r="BH474" s="3601"/>
      <c r="BI474" s="3601"/>
      <c r="BJ474" s="3601"/>
      <c r="BK474" s="3601"/>
      <c r="BL474" s="3601"/>
    </row>
    <row r="475" spans="4:64">
      <c r="D475" s="3601"/>
      <c r="E475" s="3601"/>
      <c r="F475" s="3601"/>
      <c r="G475" s="3601"/>
      <c r="H475" s="3601"/>
      <c r="I475" s="3601"/>
      <c r="J475" s="3601"/>
      <c r="K475" s="3601"/>
      <c r="L475" s="3601"/>
      <c r="M475" s="3601"/>
      <c r="N475" s="3601"/>
      <c r="O475" s="3601"/>
      <c r="P475" s="3601"/>
      <c r="Q475" s="3601"/>
      <c r="R475" s="3601"/>
      <c r="S475" s="3601"/>
      <c r="T475" s="3601"/>
      <c r="U475" s="3601"/>
      <c r="V475" s="3601"/>
      <c r="W475" s="3601"/>
      <c r="X475" s="3601"/>
      <c r="Y475" s="3601"/>
      <c r="Z475" s="3601"/>
      <c r="AA475" s="3601"/>
      <c r="AB475" s="3601"/>
      <c r="AC475" s="3601"/>
      <c r="AD475" s="3601"/>
      <c r="AE475" s="3601"/>
      <c r="AF475" s="3601"/>
      <c r="AG475" s="3601"/>
      <c r="AH475" s="3601"/>
      <c r="AI475" s="3601"/>
      <c r="AJ475" s="3601"/>
      <c r="AK475" s="3601"/>
      <c r="AL475" s="3601"/>
      <c r="AM475" s="3601"/>
      <c r="AN475" s="3601"/>
      <c r="AO475" s="3601"/>
      <c r="AP475" s="3601"/>
      <c r="AQ475" s="3601"/>
      <c r="AR475" s="3601"/>
      <c r="AS475" s="3601"/>
      <c r="AT475" s="3601"/>
      <c r="AU475" s="3601"/>
      <c r="AV475" s="3601"/>
      <c r="AW475" s="3601"/>
      <c r="AX475" s="3601"/>
      <c r="AY475" s="3291"/>
      <c r="AZ475" s="3292"/>
      <c r="BA475" s="2980"/>
      <c r="BB475" s="3601"/>
      <c r="BC475" s="3601"/>
      <c r="BD475" s="3601"/>
      <c r="BE475" s="3601"/>
      <c r="BF475" s="3601"/>
      <c r="BG475" s="3601"/>
      <c r="BH475" s="3601"/>
      <c r="BI475" s="3601"/>
      <c r="BJ475" s="3601"/>
      <c r="BK475" s="3601"/>
      <c r="BL475" s="3601"/>
    </row>
    <row r="476" spans="4:64">
      <c r="D476" s="3601"/>
      <c r="E476" s="3601"/>
      <c r="F476" s="3601"/>
      <c r="G476" s="3601"/>
      <c r="H476" s="3601"/>
      <c r="I476" s="3601"/>
      <c r="J476" s="3601"/>
      <c r="K476" s="3601"/>
      <c r="L476" s="3601"/>
      <c r="M476" s="3601"/>
      <c r="N476" s="3601"/>
      <c r="O476" s="3601"/>
      <c r="P476" s="3601"/>
      <c r="Q476" s="3601"/>
      <c r="R476" s="3601"/>
      <c r="S476" s="3601"/>
      <c r="T476" s="3601"/>
      <c r="U476" s="3601"/>
      <c r="V476" s="3601"/>
      <c r="W476" s="3601"/>
      <c r="X476" s="3601"/>
      <c r="Y476" s="3601"/>
      <c r="Z476" s="3601"/>
      <c r="AA476" s="3601"/>
      <c r="AB476" s="3601"/>
      <c r="AC476" s="3601"/>
      <c r="AD476" s="3601"/>
      <c r="AE476" s="3601"/>
      <c r="AF476" s="3601"/>
      <c r="AG476" s="3601"/>
      <c r="AH476" s="3601"/>
      <c r="AI476" s="3601"/>
      <c r="AJ476" s="3601"/>
      <c r="AK476" s="3601"/>
      <c r="AL476" s="3601"/>
      <c r="AM476" s="3601"/>
      <c r="AN476" s="3601"/>
      <c r="AO476" s="3601"/>
      <c r="AP476" s="3601"/>
      <c r="AQ476" s="3601"/>
      <c r="AR476" s="3601"/>
      <c r="AS476" s="3601"/>
      <c r="AT476" s="3601"/>
      <c r="AU476" s="3601"/>
      <c r="AV476" s="3601"/>
      <c r="AW476" s="3601"/>
      <c r="AX476" s="3601"/>
      <c r="AY476" s="3291"/>
      <c r="AZ476" s="3292"/>
      <c r="BA476" s="2980"/>
      <c r="BB476" s="3601"/>
      <c r="BC476" s="3601"/>
      <c r="BD476" s="3601"/>
      <c r="BE476" s="3601"/>
      <c r="BF476" s="3601"/>
      <c r="BG476" s="3601"/>
      <c r="BH476" s="3601"/>
      <c r="BI476" s="3601"/>
      <c r="BJ476" s="3601"/>
      <c r="BK476" s="3601"/>
      <c r="BL476" s="3601"/>
    </row>
    <row r="477" spans="4:64">
      <c r="D477" s="3601"/>
      <c r="E477" s="3601"/>
      <c r="F477" s="3601"/>
      <c r="G477" s="3601"/>
      <c r="H477" s="3601"/>
      <c r="I477" s="3601"/>
      <c r="J477" s="3601"/>
      <c r="K477" s="3601"/>
      <c r="L477" s="3601"/>
      <c r="M477" s="3601"/>
      <c r="N477" s="3601"/>
      <c r="O477" s="3601"/>
      <c r="P477" s="3601"/>
      <c r="Q477" s="3601"/>
      <c r="R477" s="3601"/>
      <c r="S477" s="3601"/>
      <c r="T477" s="3601"/>
      <c r="U477" s="3601"/>
      <c r="V477" s="3601"/>
      <c r="W477" s="3601"/>
      <c r="X477" s="3601"/>
      <c r="Y477" s="3601"/>
      <c r="Z477" s="3601"/>
      <c r="AA477" s="3601"/>
      <c r="AB477" s="3601"/>
      <c r="AC477" s="3601"/>
      <c r="AD477" s="3601"/>
      <c r="AE477" s="3601"/>
      <c r="AF477" s="3601"/>
      <c r="AG477" s="3601"/>
      <c r="AH477" s="3601"/>
      <c r="AI477" s="3601"/>
      <c r="AJ477" s="3601"/>
      <c r="AK477" s="3601"/>
      <c r="AL477" s="3601"/>
      <c r="AM477" s="3601"/>
      <c r="AN477" s="3601"/>
      <c r="AO477" s="3601"/>
      <c r="AP477" s="3601"/>
      <c r="AQ477" s="3601"/>
      <c r="AR477" s="3601"/>
      <c r="AS477" s="3601"/>
      <c r="AT477" s="3601"/>
      <c r="AU477" s="3601"/>
      <c r="AV477" s="3601"/>
      <c r="AW477" s="3601"/>
      <c r="AX477" s="3601"/>
      <c r="AY477" s="3291"/>
      <c r="AZ477" s="3292"/>
      <c r="BA477" s="2981"/>
      <c r="BB477" s="3601"/>
      <c r="BC477" s="3601"/>
      <c r="BD477" s="3601"/>
      <c r="BE477" s="3601"/>
      <c r="BF477" s="3601"/>
      <c r="BG477" s="3601"/>
      <c r="BH477" s="3601"/>
      <c r="BI477" s="3601"/>
      <c r="BJ477" s="3601"/>
      <c r="BK477" s="3601"/>
      <c r="BL477" s="3601"/>
    </row>
    <row r="478" spans="4:64">
      <c r="D478" s="3601"/>
      <c r="E478" s="3601"/>
      <c r="F478" s="3601"/>
      <c r="G478" s="3601"/>
      <c r="H478" s="3601"/>
      <c r="I478" s="3601"/>
      <c r="J478" s="3601"/>
      <c r="K478" s="3601"/>
      <c r="L478" s="3601"/>
      <c r="M478" s="3601"/>
      <c r="N478" s="3601"/>
      <c r="O478" s="3601"/>
      <c r="P478" s="3601"/>
      <c r="Q478" s="3601"/>
      <c r="R478" s="3601"/>
      <c r="S478" s="3601"/>
      <c r="T478" s="3601"/>
      <c r="U478" s="3601"/>
      <c r="V478" s="3601"/>
      <c r="W478" s="3601"/>
      <c r="X478" s="3601"/>
      <c r="Y478" s="3601"/>
      <c r="Z478" s="3601"/>
      <c r="AA478" s="3601"/>
      <c r="AB478" s="3601"/>
      <c r="AC478" s="3601"/>
      <c r="AD478" s="3601"/>
      <c r="AE478" s="3601"/>
      <c r="AF478" s="3601"/>
      <c r="AG478" s="3601"/>
      <c r="AH478" s="3601"/>
      <c r="AI478" s="3601"/>
      <c r="AJ478" s="3601"/>
      <c r="AK478" s="3601"/>
      <c r="AL478" s="3601"/>
      <c r="AM478" s="3601"/>
      <c r="AN478" s="3601"/>
      <c r="AO478" s="3601"/>
      <c r="AP478" s="3601"/>
      <c r="AQ478" s="3601"/>
      <c r="AR478" s="3601"/>
      <c r="AS478" s="3601"/>
      <c r="AT478" s="3601"/>
      <c r="AU478" s="3601"/>
      <c r="AV478" s="3601"/>
      <c r="AW478" s="3601"/>
      <c r="AX478" s="3601"/>
      <c r="AY478" s="3291"/>
      <c r="AZ478" s="3292"/>
      <c r="BA478" s="2980"/>
      <c r="BB478" s="3601"/>
      <c r="BC478" s="3601"/>
      <c r="BD478" s="3601"/>
      <c r="BE478" s="3601"/>
      <c r="BF478" s="3601"/>
      <c r="BG478" s="3601"/>
      <c r="BH478" s="3601"/>
      <c r="BI478" s="3601"/>
      <c r="BJ478" s="3601"/>
      <c r="BK478" s="3601"/>
      <c r="BL478" s="3601"/>
    </row>
    <row r="479" spans="4:64">
      <c r="D479" s="3601"/>
      <c r="E479" s="3601"/>
      <c r="F479" s="3601"/>
      <c r="G479" s="3601"/>
      <c r="H479" s="3601"/>
      <c r="I479" s="3601"/>
      <c r="J479" s="3601"/>
      <c r="K479" s="3601"/>
      <c r="L479" s="3601"/>
      <c r="M479" s="3601"/>
      <c r="N479" s="3601"/>
      <c r="O479" s="3601"/>
      <c r="P479" s="3601"/>
      <c r="Q479" s="3601"/>
      <c r="R479" s="3601"/>
      <c r="S479" s="3601"/>
      <c r="T479" s="3601"/>
      <c r="U479" s="3601"/>
      <c r="V479" s="3601"/>
      <c r="W479" s="3601"/>
      <c r="X479" s="3601"/>
      <c r="Y479" s="3601"/>
      <c r="Z479" s="3601"/>
      <c r="AA479" s="3601"/>
      <c r="AB479" s="3601"/>
      <c r="AC479" s="3601"/>
      <c r="AD479" s="3601"/>
      <c r="AE479" s="3601"/>
      <c r="AF479" s="3601"/>
      <c r="AG479" s="3601"/>
      <c r="AH479" s="3601"/>
      <c r="AI479" s="3601"/>
      <c r="AJ479" s="3601"/>
      <c r="AK479" s="3601"/>
      <c r="AL479" s="3601"/>
      <c r="AM479" s="3601"/>
      <c r="AN479" s="3601"/>
      <c r="AO479" s="3601"/>
      <c r="AP479" s="3601"/>
      <c r="AQ479" s="3601"/>
      <c r="AR479" s="3601"/>
      <c r="AS479" s="3601"/>
      <c r="AT479" s="3601"/>
      <c r="AU479" s="3601"/>
      <c r="AV479" s="3601"/>
      <c r="AW479" s="3601"/>
      <c r="AX479" s="3601"/>
      <c r="AY479" s="3291"/>
      <c r="AZ479" s="3292"/>
      <c r="BA479" s="2980"/>
      <c r="BB479" s="3601"/>
      <c r="BC479" s="3601"/>
      <c r="BD479" s="3601"/>
      <c r="BE479" s="3601"/>
      <c r="BF479" s="3601"/>
      <c r="BG479" s="3601"/>
      <c r="BH479" s="3601"/>
      <c r="BI479" s="3601"/>
      <c r="BJ479" s="3601"/>
      <c r="BK479" s="3601"/>
      <c r="BL479" s="3601"/>
    </row>
    <row r="480" spans="4:64">
      <c r="D480" s="3601"/>
      <c r="E480" s="3601"/>
      <c r="F480" s="3601"/>
      <c r="G480" s="3601"/>
      <c r="H480" s="3601"/>
      <c r="I480" s="3601"/>
      <c r="J480" s="3601"/>
      <c r="K480" s="3601"/>
      <c r="L480" s="3601"/>
      <c r="M480" s="3601"/>
      <c r="N480" s="3601"/>
      <c r="O480" s="3601"/>
      <c r="P480" s="3601"/>
      <c r="Q480" s="3601"/>
      <c r="R480" s="3601"/>
      <c r="S480" s="3601"/>
      <c r="T480" s="3601"/>
      <c r="U480" s="3601"/>
      <c r="V480" s="3601"/>
      <c r="W480" s="3601"/>
      <c r="X480" s="3601"/>
      <c r="Y480" s="3601"/>
      <c r="Z480" s="3601"/>
      <c r="AA480" s="3601"/>
      <c r="AB480" s="3601"/>
      <c r="AC480" s="3601"/>
      <c r="AD480" s="3601"/>
      <c r="AE480" s="3601"/>
      <c r="AF480" s="3601"/>
      <c r="AG480" s="3601"/>
      <c r="AH480" s="3601"/>
      <c r="AI480" s="3601"/>
      <c r="AJ480" s="3601"/>
      <c r="AK480" s="3601"/>
      <c r="AL480" s="3601"/>
      <c r="AM480" s="3601"/>
      <c r="AN480" s="3601"/>
      <c r="AO480" s="3601"/>
      <c r="AP480" s="3601"/>
      <c r="AQ480" s="3601"/>
      <c r="AR480" s="3601"/>
      <c r="AS480" s="3601"/>
      <c r="AT480" s="3601"/>
      <c r="AU480" s="3601"/>
      <c r="AV480" s="3601"/>
      <c r="AW480" s="3601"/>
      <c r="AX480" s="3601"/>
      <c r="AY480" s="3291"/>
      <c r="AZ480" s="3292"/>
      <c r="BA480" s="2980"/>
      <c r="BB480" s="3601"/>
      <c r="BC480" s="3601"/>
      <c r="BD480" s="3601"/>
      <c r="BE480" s="3601"/>
      <c r="BF480" s="3601"/>
      <c r="BG480" s="3601"/>
      <c r="BH480" s="3601"/>
      <c r="BI480" s="3601"/>
      <c r="BJ480" s="3601"/>
      <c r="BK480" s="3601"/>
      <c r="BL480" s="3601"/>
    </row>
    <row r="481" spans="4:64">
      <c r="D481" s="3601"/>
      <c r="E481" s="3601"/>
      <c r="F481" s="3601"/>
      <c r="G481" s="3601"/>
      <c r="H481" s="3601"/>
      <c r="I481" s="3601"/>
      <c r="J481" s="3601"/>
      <c r="K481" s="3601"/>
      <c r="L481" s="3601"/>
      <c r="M481" s="3601"/>
      <c r="N481" s="3601"/>
      <c r="O481" s="3601"/>
      <c r="P481" s="3601"/>
      <c r="Q481" s="3601"/>
      <c r="R481" s="3601"/>
      <c r="S481" s="3601"/>
      <c r="T481" s="3601"/>
      <c r="U481" s="3601"/>
      <c r="V481" s="3601"/>
      <c r="W481" s="3601"/>
      <c r="X481" s="3601"/>
      <c r="Y481" s="3601"/>
      <c r="Z481" s="3601"/>
      <c r="AA481" s="3601"/>
      <c r="AB481" s="3601"/>
      <c r="AC481" s="3601"/>
      <c r="AD481" s="3601"/>
      <c r="AE481" s="3601"/>
      <c r="AF481" s="3601"/>
      <c r="AG481" s="3601"/>
      <c r="AH481" s="3601"/>
      <c r="AI481" s="3601"/>
      <c r="AJ481" s="3601"/>
      <c r="AK481" s="3601"/>
      <c r="AL481" s="3601"/>
      <c r="AM481" s="3601"/>
      <c r="AN481" s="3601"/>
      <c r="AO481" s="3601"/>
      <c r="AP481" s="3601"/>
      <c r="AQ481" s="3601"/>
      <c r="AR481" s="3601"/>
      <c r="AS481" s="3601"/>
      <c r="AT481" s="3601"/>
      <c r="AU481" s="3601"/>
      <c r="AV481" s="3601"/>
      <c r="AW481" s="3601"/>
      <c r="AX481" s="3601"/>
      <c r="AY481" s="3291"/>
      <c r="AZ481" s="3292"/>
      <c r="BA481" s="2980"/>
      <c r="BB481" s="3601"/>
      <c r="BC481" s="3601"/>
      <c r="BD481" s="3601"/>
      <c r="BE481" s="3601"/>
      <c r="BF481" s="3601"/>
      <c r="BG481" s="3601"/>
      <c r="BH481" s="3601"/>
      <c r="BI481" s="3601"/>
      <c r="BJ481" s="3601"/>
      <c r="BK481" s="3601"/>
      <c r="BL481" s="3601"/>
    </row>
    <row r="482" spans="4:64">
      <c r="D482" s="3601"/>
      <c r="E482" s="3601"/>
      <c r="F482" s="3601"/>
      <c r="G482" s="3601"/>
      <c r="H482" s="3601"/>
      <c r="I482" s="3601"/>
      <c r="J482" s="3601"/>
      <c r="K482" s="3601"/>
      <c r="L482" s="3601"/>
      <c r="M482" s="3601"/>
      <c r="N482" s="3601"/>
      <c r="O482" s="3601"/>
      <c r="P482" s="3601"/>
      <c r="Q482" s="3601"/>
      <c r="R482" s="3601"/>
      <c r="S482" s="3601"/>
      <c r="T482" s="3601"/>
      <c r="U482" s="3601"/>
      <c r="V482" s="3601"/>
      <c r="W482" s="3601"/>
      <c r="X482" s="3601"/>
      <c r="Y482" s="3601"/>
      <c r="Z482" s="3601"/>
      <c r="AA482" s="3601"/>
      <c r="AB482" s="3601"/>
      <c r="AC482" s="3601"/>
      <c r="AD482" s="3601"/>
      <c r="AE482" s="3601"/>
      <c r="AF482" s="3601"/>
      <c r="AG482" s="3601"/>
      <c r="AH482" s="3601"/>
      <c r="AI482" s="3601"/>
      <c r="AJ482" s="3601"/>
      <c r="AK482" s="3601"/>
      <c r="AL482" s="3601"/>
      <c r="AM482" s="3601"/>
      <c r="AN482" s="3601"/>
      <c r="AO482" s="3601"/>
      <c r="AP482" s="3601"/>
      <c r="AQ482" s="3601"/>
      <c r="AR482" s="3601"/>
      <c r="AS482" s="3601"/>
      <c r="AT482" s="3601"/>
      <c r="AU482" s="3601"/>
      <c r="AV482" s="3601"/>
      <c r="AW482" s="3601"/>
      <c r="AX482" s="3601"/>
      <c r="AY482" s="3291"/>
      <c r="AZ482" s="3292"/>
      <c r="BA482" s="2980"/>
      <c r="BB482" s="3601"/>
      <c r="BC482" s="3601"/>
      <c r="BD482" s="3601"/>
      <c r="BE482" s="3601"/>
      <c r="BF482" s="3601"/>
      <c r="BG482" s="3601"/>
      <c r="BH482" s="3601"/>
      <c r="BI482" s="3601"/>
      <c r="BJ482" s="3601"/>
      <c r="BK482" s="3601"/>
      <c r="BL482" s="3601"/>
    </row>
    <row r="483" spans="4:64">
      <c r="D483" s="3601"/>
      <c r="E483" s="3601"/>
      <c r="F483" s="3601"/>
      <c r="G483" s="3601"/>
      <c r="H483" s="3601"/>
      <c r="I483" s="3601"/>
      <c r="J483" s="3601"/>
      <c r="K483" s="3601"/>
      <c r="L483" s="3601"/>
      <c r="M483" s="3601"/>
      <c r="N483" s="3601"/>
      <c r="O483" s="3601"/>
      <c r="P483" s="3601"/>
      <c r="Q483" s="3601"/>
      <c r="R483" s="3601"/>
      <c r="S483" s="3601"/>
      <c r="T483" s="3601"/>
      <c r="U483" s="3601"/>
      <c r="V483" s="3601"/>
      <c r="W483" s="3601"/>
      <c r="X483" s="3601"/>
      <c r="Y483" s="3601"/>
      <c r="Z483" s="3601"/>
      <c r="AA483" s="3601"/>
      <c r="AB483" s="3601"/>
      <c r="AC483" s="3601"/>
      <c r="AD483" s="3601"/>
      <c r="AE483" s="3601"/>
      <c r="AF483" s="3601"/>
      <c r="AG483" s="3601"/>
      <c r="AH483" s="3601"/>
      <c r="AI483" s="3601"/>
      <c r="AJ483" s="3601"/>
      <c r="AK483" s="3601"/>
      <c r="AL483" s="3601"/>
      <c r="AM483" s="3601"/>
      <c r="AN483" s="3601"/>
      <c r="AO483" s="3601"/>
      <c r="AP483" s="3601"/>
      <c r="AQ483" s="3601"/>
      <c r="AR483" s="3601"/>
      <c r="AS483" s="3601"/>
      <c r="AT483" s="3601"/>
      <c r="AU483" s="3601"/>
      <c r="AV483" s="3601"/>
      <c r="AW483" s="3601"/>
      <c r="AX483" s="3601"/>
      <c r="AY483" s="3291"/>
      <c r="AZ483" s="3292"/>
      <c r="BA483" s="2980"/>
      <c r="BB483" s="3601"/>
      <c r="BC483" s="3601"/>
      <c r="BD483" s="3601"/>
      <c r="BE483" s="3601"/>
      <c r="BF483" s="3601"/>
      <c r="BG483" s="3601"/>
      <c r="BH483" s="3601"/>
      <c r="BI483" s="3601"/>
      <c r="BJ483" s="3601"/>
      <c r="BK483" s="3601"/>
      <c r="BL483" s="3601"/>
    </row>
    <row r="484" spans="4:64">
      <c r="D484" s="3601"/>
      <c r="E484" s="3601"/>
      <c r="F484" s="3601"/>
      <c r="G484" s="3601"/>
      <c r="H484" s="3601"/>
      <c r="I484" s="3601"/>
      <c r="J484" s="3601"/>
      <c r="K484" s="3601"/>
      <c r="L484" s="3601"/>
      <c r="M484" s="3601"/>
      <c r="N484" s="3601"/>
      <c r="O484" s="3601"/>
      <c r="P484" s="3601"/>
      <c r="Q484" s="3601"/>
      <c r="R484" s="3601"/>
      <c r="S484" s="3601"/>
      <c r="T484" s="3601"/>
      <c r="U484" s="3601"/>
      <c r="V484" s="3601"/>
      <c r="W484" s="3601"/>
      <c r="X484" s="3601"/>
      <c r="Y484" s="3601"/>
      <c r="Z484" s="3601"/>
      <c r="AA484" s="3601"/>
      <c r="AB484" s="3601"/>
      <c r="AC484" s="3601"/>
      <c r="AD484" s="3601"/>
      <c r="AE484" s="3601"/>
      <c r="AF484" s="3601"/>
      <c r="AG484" s="3601"/>
      <c r="AH484" s="3601"/>
      <c r="AI484" s="3601"/>
      <c r="AJ484" s="3601"/>
      <c r="AK484" s="3601"/>
      <c r="AL484" s="3601"/>
      <c r="AM484" s="3601"/>
      <c r="AN484" s="3601"/>
      <c r="AO484" s="3601"/>
      <c r="AP484" s="3601"/>
      <c r="AQ484" s="3601"/>
      <c r="AR484" s="3601"/>
      <c r="AS484" s="3601"/>
      <c r="AT484" s="3601"/>
      <c r="AU484" s="3601"/>
      <c r="AV484" s="3601"/>
      <c r="AW484" s="3601"/>
      <c r="AX484" s="3601"/>
      <c r="AY484" s="3291"/>
      <c r="AZ484" s="3292"/>
      <c r="BA484" s="3601"/>
      <c r="BB484" s="3601"/>
      <c r="BC484" s="3601"/>
      <c r="BD484" s="3601"/>
      <c r="BE484" s="3601"/>
      <c r="BF484" s="3601"/>
      <c r="BG484" s="3601"/>
      <c r="BH484" s="3601"/>
      <c r="BI484" s="3601"/>
      <c r="BJ484" s="3601"/>
      <c r="BK484" s="3601"/>
      <c r="BL484" s="3601"/>
    </row>
    <row r="485" spans="4:64">
      <c r="D485" s="3601"/>
      <c r="E485" s="3601"/>
      <c r="F485" s="3601"/>
      <c r="G485" s="3601"/>
      <c r="H485" s="3601"/>
      <c r="I485" s="3601"/>
      <c r="J485" s="3601"/>
      <c r="K485" s="3601"/>
      <c r="L485" s="3601"/>
      <c r="M485" s="3601"/>
      <c r="N485" s="3601"/>
      <c r="O485" s="3601"/>
      <c r="P485" s="3601"/>
      <c r="Q485" s="3601"/>
      <c r="R485" s="3601"/>
      <c r="S485" s="3601"/>
      <c r="T485" s="3601"/>
      <c r="U485" s="3601"/>
      <c r="V485" s="3601"/>
      <c r="W485" s="3601"/>
      <c r="X485" s="3601"/>
      <c r="Y485" s="3601"/>
      <c r="Z485" s="3601"/>
      <c r="AA485" s="3601"/>
      <c r="AB485" s="3601"/>
      <c r="AC485" s="3601"/>
      <c r="AD485" s="3601"/>
      <c r="AE485" s="3601"/>
      <c r="AF485" s="3601"/>
      <c r="AG485" s="3601"/>
      <c r="AH485" s="3601"/>
      <c r="AI485" s="3601"/>
      <c r="AJ485" s="3601"/>
      <c r="AK485" s="3601"/>
      <c r="AL485" s="3601"/>
      <c r="AM485" s="3601"/>
      <c r="AN485" s="3601"/>
      <c r="AO485" s="3601"/>
      <c r="AP485" s="3601"/>
      <c r="AQ485" s="3601"/>
      <c r="AR485" s="3601"/>
      <c r="AS485" s="3601"/>
      <c r="AT485" s="3601"/>
      <c r="AU485" s="3601"/>
      <c r="AV485" s="3601"/>
      <c r="AW485" s="3601"/>
      <c r="AX485" s="3601"/>
      <c r="AY485" s="3291"/>
      <c r="AZ485" s="3292"/>
      <c r="BA485" s="2980"/>
      <c r="BB485" s="3601"/>
      <c r="BC485" s="3601"/>
      <c r="BD485" s="3601"/>
      <c r="BE485" s="3601"/>
      <c r="BF485" s="3601"/>
      <c r="BG485" s="3601"/>
      <c r="BH485" s="3601"/>
      <c r="BI485" s="3601"/>
      <c r="BJ485" s="3601"/>
      <c r="BK485" s="3601"/>
      <c r="BL485" s="3601"/>
    </row>
    <row r="486" spans="4:64">
      <c r="D486" s="3601"/>
      <c r="E486" s="3601"/>
      <c r="F486" s="3601"/>
      <c r="G486" s="3601"/>
      <c r="H486" s="3601"/>
      <c r="I486" s="3601"/>
      <c r="J486" s="3601"/>
      <c r="K486" s="3601"/>
      <c r="L486" s="3601"/>
      <c r="M486" s="3601"/>
      <c r="N486" s="3601"/>
      <c r="O486" s="3601"/>
      <c r="P486" s="3601"/>
      <c r="Q486" s="3601"/>
      <c r="R486" s="3601"/>
      <c r="S486" s="3601"/>
      <c r="T486" s="3601"/>
      <c r="U486" s="3601"/>
      <c r="V486" s="3601"/>
      <c r="W486" s="3601"/>
      <c r="X486" s="3601"/>
      <c r="Y486" s="3601"/>
      <c r="Z486" s="3601"/>
      <c r="AA486" s="3601"/>
      <c r="AB486" s="3601"/>
      <c r="AC486" s="3601"/>
      <c r="AD486" s="3601"/>
      <c r="AE486" s="3601"/>
      <c r="AF486" s="3601"/>
      <c r="AG486" s="3601"/>
      <c r="AH486" s="3601"/>
      <c r="AI486" s="3601"/>
      <c r="AJ486" s="3601"/>
      <c r="AK486" s="3601"/>
      <c r="AL486" s="3601"/>
      <c r="AM486" s="3601"/>
      <c r="AN486" s="3601"/>
      <c r="AO486" s="3601"/>
      <c r="AP486" s="3601"/>
      <c r="AQ486" s="3601"/>
      <c r="AR486" s="3601"/>
      <c r="AS486" s="3601"/>
      <c r="AT486" s="3601"/>
      <c r="AU486" s="3601"/>
      <c r="AV486" s="3601"/>
      <c r="AW486" s="3601"/>
      <c r="AX486" s="3601"/>
      <c r="AY486" s="3291"/>
      <c r="AZ486" s="3292"/>
      <c r="BA486" s="2980"/>
      <c r="BB486" s="3601"/>
      <c r="BC486" s="3601"/>
      <c r="BD486" s="3601"/>
      <c r="BE486" s="3601"/>
      <c r="BF486" s="3601"/>
      <c r="BG486" s="3601"/>
      <c r="BH486" s="3601"/>
      <c r="BI486" s="3601"/>
      <c r="BJ486" s="3601"/>
      <c r="BK486" s="3601"/>
      <c r="BL486" s="3601"/>
    </row>
    <row r="487" spans="4:64">
      <c r="D487" s="3601"/>
      <c r="E487" s="3601"/>
      <c r="F487" s="3601"/>
      <c r="G487" s="3601"/>
      <c r="H487" s="3601"/>
      <c r="I487" s="3601"/>
      <c r="J487" s="3601"/>
      <c r="K487" s="3601"/>
      <c r="L487" s="3601"/>
      <c r="M487" s="3601"/>
      <c r="N487" s="3601"/>
      <c r="O487" s="3601"/>
      <c r="P487" s="3601"/>
      <c r="Q487" s="3601"/>
      <c r="R487" s="3601"/>
      <c r="S487" s="3601"/>
      <c r="T487" s="3601"/>
      <c r="U487" s="3601"/>
      <c r="V487" s="3601"/>
      <c r="W487" s="3601"/>
      <c r="X487" s="3601"/>
      <c r="Y487" s="3601"/>
      <c r="Z487" s="3601"/>
      <c r="AA487" s="3601"/>
      <c r="AB487" s="3601"/>
      <c r="AC487" s="3601"/>
      <c r="AD487" s="3601"/>
      <c r="AE487" s="3601"/>
      <c r="AF487" s="3601"/>
      <c r="AG487" s="3601"/>
      <c r="AH487" s="3601"/>
      <c r="AI487" s="3601"/>
      <c r="AJ487" s="3601"/>
      <c r="AK487" s="3601"/>
      <c r="AL487" s="3601"/>
      <c r="AM487" s="3601"/>
      <c r="AN487" s="3601"/>
      <c r="AO487" s="3601"/>
      <c r="AP487" s="3601"/>
      <c r="AQ487" s="3601"/>
      <c r="AR487" s="3601"/>
      <c r="AS487" s="3601"/>
      <c r="AT487" s="3601"/>
      <c r="AU487" s="3601"/>
      <c r="AV487" s="3601"/>
      <c r="AW487" s="3601"/>
      <c r="AX487" s="3601"/>
      <c r="AY487" s="3291"/>
      <c r="AZ487" s="3292"/>
      <c r="BA487" s="2980"/>
      <c r="BB487" s="3601"/>
      <c r="BC487" s="3601"/>
      <c r="BD487" s="3601"/>
      <c r="BE487" s="3601"/>
      <c r="BF487" s="3601"/>
      <c r="BG487" s="3601"/>
      <c r="BH487" s="3601"/>
      <c r="BI487" s="3601"/>
      <c r="BJ487" s="3601"/>
      <c r="BK487" s="3601"/>
      <c r="BL487" s="3601"/>
    </row>
    <row r="488" spans="4:64">
      <c r="D488" s="3601"/>
      <c r="E488" s="3601"/>
      <c r="F488" s="3601"/>
      <c r="G488" s="3601"/>
      <c r="H488" s="3601"/>
      <c r="I488" s="3601"/>
      <c r="J488" s="3601"/>
      <c r="K488" s="3601"/>
      <c r="L488" s="3601"/>
      <c r="M488" s="3601"/>
      <c r="N488" s="3601"/>
      <c r="O488" s="3601"/>
      <c r="P488" s="3601"/>
      <c r="Q488" s="3601"/>
      <c r="R488" s="3601"/>
      <c r="S488" s="3601"/>
      <c r="T488" s="3601"/>
      <c r="U488" s="3601"/>
      <c r="V488" s="3601"/>
      <c r="W488" s="3601"/>
      <c r="X488" s="3601"/>
      <c r="Y488" s="3601"/>
      <c r="Z488" s="3601"/>
      <c r="AA488" s="3601"/>
      <c r="AB488" s="3601"/>
      <c r="AC488" s="3601"/>
      <c r="AD488" s="3601"/>
      <c r="AE488" s="3601"/>
      <c r="AF488" s="3601"/>
      <c r="AG488" s="3601"/>
      <c r="AH488" s="3601"/>
      <c r="AI488" s="3601"/>
      <c r="AJ488" s="3601"/>
      <c r="AK488" s="3601"/>
      <c r="AL488" s="3601"/>
      <c r="AM488" s="3601"/>
      <c r="AN488" s="3601"/>
      <c r="AO488" s="3601"/>
      <c r="AP488" s="3601"/>
      <c r="AQ488" s="3601"/>
      <c r="AR488" s="3601"/>
      <c r="AS488" s="3601"/>
      <c r="AT488" s="3601"/>
      <c r="AU488" s="3601"/>
      <c r="AV488" s="3601"/>
      <c r="AW488" s="3601"/>
      <c r="AX488" s="3601"/>
      <c r="AY488" s="3291"/>
      <c r="AZ488" s="3292"/>
      <c r="BA488" s="2980"/>
      <c r="BB488" s="3601"/>
      <c r="BC488" s="3601"/>
      <c r="BD488" s="3601"/>
      <c r="BE488" s="3601"/>
      <c r="BF488" s="3601"/>
      <c r="BG488" s="3601"/>
      <c r="BH488" s="3601"/>
      <c r="BI488" s="3601"/>
      <c r="BJ488" s="3601"/>
      <c r="BK488" s="3601"/>
      <c r="BL488" s="3601"/>
    </row>
    <row r="489" spans="4:64">
      <c r="D489" s="3601"/>
      <c r="E489" s="3601"/>
      <c r="F489" s="3601"/>
      <c r="G489" s="3601"/>
      <c r="H489" s="3601"/>
      <c r="I489" s="3601"/>
      <c r="J489" s="3601"/>
      <c r="K489" s="3601"/>
      <c r="L489" s="3601"/>
      <c r="M489" s="3601"/>
      <c r="N489" s="3601"/>
      <c r="O489" s="3601"/>
      <c r="P489" s="3601"/>
      <c r="Q489" s="3601"/>
      <c r="R489" s="3601"/>
      <c r="S489" s="3601"/>
      <c r="T489" s="3601"/>
      <c r="U489" s="3601"/>
      <c r="V489" s="3601"/>
      <c r="W489" s="3601"/>
      <c r="X489" s="3601"/>
      <c r="Y489" s="3601"/>
      <c r="Z489" s="3601"/>
      <c r="AA489" s="3601"/>
      <c r="AB489" s="3601"/>
      <c r="AC489" s="3601"/>
      <c r="AD489" s="3601"/>
      <c r="AE489" s="3601"/>
      <c r="AF489" s="3601"/>
      <c r="AG489" s="3601"/>
      <c r="AH489" s="3601"/>
      <c r="AI489" s="3601"/>
      <c r="AJ489" s="3601"/>
      <c r="AK489" s="3601"/>
      <c r="AL489" s="3601"/>
      <c r="AM489" s="3601"/>
      <c r="AN489" s="3601"/>
      <c r="AO489" s="3601"/>
      <c r="AP489" s="3601"/>
      <c r="AQ489" s="3601"/>
      <c r="AR489" s="3601"/>
      <c r="AS489" s="3601"/>
      <c r="AT489" s="3601"/>
      <c r="AU489" s="3601"/>
      <c r="AV489" s="3601"/>
      <c r="AW489" s="3601"/>
      <c r="AX489" s="3601"/>
      <c r="AY489" s="3291"/>
      <c r="AZ489" s="3292"/>
      <c r="BA489" s="2980"/>
      <c r="BB489" s="3601"/>
      <c r="BC489" s="3601"/>
      <c r="BD489" s="3601"/>
      <c r="BE489" s="3601"/>
      <c r="BF489" s="3601"/>
      <c r="BG489" s="3601"/>
      <c r="BH489" s="3601"/>
      <c r="BI489" s="3601"/>
      <c r="BJ489" s="3601"/>
      <c r="BK489" s="3601"/>
      <c r="BL489" s="3601"/>
    </row>
    <row r="490" spans="4:64">
      <c r="D490" s="3601"/>
      <c r="E490" s="3601"/>
      <c r="F490" s="3601"/>
      <c r="G490" s="3601"/>
      <c r="H490" s="3601"/>
      <c r="I490" s="3601"/>
      <c r="J490" s="3601"/>
      <c r="K490" s="3601"/>
      <c r="L490" s="3601"/>
      <c r="M490" s="3601"/>
      <c r="N490" s="3601"/>
      <c r="O490" s="3601"/>
      <c r="P490" s="3601"/>
      <c r="Q490" s="3601"/>
      <c r="R490" s="3601"/>
      <c r="S490" s="3601"/>
      <c r="T490" s="3601"/>
      <c r="U490" s="3601"/>
      <c r="V490" s="3601"/>
      <c r="W490" s="3601"/>
      <c r="X490" s="3601"/>
      <c r="Y490" s="3601"/>
      <c r="Z490" s="3601"/>
      <c r="AA490" s="3601"/>
      <c r="AB490" s="3601"/>
      <c r="AC490" s="3601"/>
      <c r="AD490" s="3601"/>
      <c r="AE490" s="3601"/>
      <c r="AF490" s="3601"/>
      <c r="AG490" s="3601"/>
      <c r="AH490" s="3601"/>
      <c r="AI490" s="3601"/>
      <c r="AJ490" s="3601"/>
      <c r="AK490" s="3601"/>
      <c r="AL490" s="3601"/>
      <c r="AM490" s="3601"/>
      <c r="AN490" s="3601"/>
      <c r="AO490" s="3601"/>
      <c r="AP490" s="3601"/>
      <c r="AQ490" s="3601"/>
      <c r="AR490" s="3601"/>
      <c r="AS490" s="3601"/>
      <c r="AT490" s="3601"/>
      <c r="AU490" s="3601"/>
      <c r="AV490" s="3601"/>
      <c r="AW490" s="3601"/>
      <c r="AX490" s="3601"/>
      <c r="AY490" s="3291"/>
      <c r="AZ490" s="3292"/>
      <c r="BA490" s="2981"/>
      <c r="BB490" s="3601"/>
      <c r="BC490" s="3601"/>
      <c r="BD490" s="3601"/>
      <c r="BE490" s="3601"/>
      <c r="BF490" s="3601"/>
      <c r="BG490" s="3601"/>
      <c r="BH490" s="3601"/>
      <c r="BI490" s="3601"/>
      <c r="BJ490" s="3601"/>
      <c r="BK490" s="3601"/>
      <c r="BL490" s="3601"/>
    </row>
    <row r="491" spans="4:64">
      <c r="D491" s="3601"/>
      <c r="E491" s="3601"/>
      <c r="F491" s="3601"/>
      <c r="G491" s="3601"/>
      <c r="H491" s="3601"/>
      <c r="I491" s="3601"/>
      <c r="J491" s="3601"/>
      <c r="K491" s="3601"/>
      <c r="L491" s="3601"/>
      <c r="M491" s="3601"/>
      <c r="N491" s="3601"/>
      <c r="O491" s="3601"/>
      <c r="P491" s="3601"/>
      <c r="Q491" s="3601"/>
      <c r="R491" s="3601"/>
      <c r="S491" s="3601"/>
      <c r="T491" s="3601"/>
      <c r="U491" s="3601"/>
      <c r="V491" s="3601"/>
      <c r="W491" s="3601"/>
      <c r="X491" s="3601"/>
      <c r="Y491" s="3601"/>
      <c r="Z491" s="3601"/>
      <c r="AA491" s="3601"/>
      <c r="AB491" s="3601"/>
      <c r="AC491" s="3601"/>
      <c r="AD491" s="3601"/>
      <c r="AE491" s="3601"/>
      <c r="AF491" s="3601"/>
      <c r="AG491" s="3601"/>
      <c r="AH491" s="3601"/>
      <c r="AI491" s="3601"/>
      <c r="AJ491" s="3601"/>
      <c r="AK491" s="3601"/>
      <c r="AL491" s="3601"/>
      <c r="AM491" s="3601"/>
      <c r="AN491" s="3601"/>
      <c r="AO491" s="3601"/>
      <c r="AP491" s="3601"/>
      <c r="AQ491" s="3601"/>
      <c r="AR491" s="3601"/>
      <c r="AS491" s="3601"/>
      <c r="AT491" s="3601"/>
      <c r="AU491" s="3601"/>
      <c r="AV491" s="3601"/>
      <c r="AW491" s="3601"/>
      <c r="AX491" s="3601"/>
      <c r="AY491" s="3291"/>
      <c r="AZ491" s="3292"/>
      <c r="BA491" s="2980"/>
      <c r="BB491" s="3601"/>
      <c r="BC491" s="3601"/>
      <c r="BD491" s="3601"/>
      <c r="BE491" s="3601"/>
      <c r="BF491" s="3601"/>
      <c r="BG491" s="3601"/>
      <c r="BH491" s="3601"/>
      <c r="BI491" s="3601"/>
      <c r="BJ491" s="3601"/>
      <c r="BK491" s="3601"/>
      <c r="BL491" s="3601"/>
    </row>
    <row r="492" spans="4:64">
      <c r="D492" s="3601"/>
      <c r="E492" s="3601"/>
      <c r="F492" s="3601"/>
      <c r="G492" s="3601"/>
      <c r="H492" s="3601"/>
      <c r="I492" s="3601"/>
      <c r="J492" s="3601"/>
      <c r="K492" s="3601"/>
      <c r="L492" s="3601"/>
      <c r="M492" s="3601"/>
      <c r="N492" s="3601"/>
      <c r="O492" s="3601"/>
      <c r="P492" s="3601"/>
      <c r="Q492" s="3601"/>
      <c r="R492" s="3601"/>
      <c r="S492" s="3601"/>
      <c r="T492" s="3601"/>
      <c r="U492" s="3601"/>
      <c r="V492" s="3601"/>
      <c r="W492" s="3601"/>
      <c r="X492" s="3601"/>
      <c r="Y492" s="3601"/>
      <c r="Z492" s="3601"/>
      <c r="AA492" s="3601"/>
      <c r="AB492" s="3601"/>
      <c r="AC492" s="3601"/>
      <c r="AD492" s="3601"/>
      <c r="AE492" s="3601"/>
      <c r="AF492" s="3601"/>
      <c r="AG492" s="3601"/>
      <c r="AH492" s="3601"/>
      <c r="AI492" s="3601"/>
      <c r="AJ492" s="3601"/>
      <c r="AK492" s="3601"/>
      <c r="AL492" s="3601"/>
      <c r="AM492" s="3601"/>
      <c r="AN492" s="3601"/>
      <c r="AO492" s="3601"/>
      <c r="AP492" s="3601"/>
      <c r="AQ492" s="3601"/>
      <c r="AR492" s="3601"/>
      <c r="AS492" s="3601"/>
      <c r="AT492" s="3601"/>
      <c r="AU492" s="3601"/>
      <c r="AV492" s="3601"/>
      <c r="AW492" s="3601"/>
      <c r="AX492" s="3601"/>
      <c r="AY492" s="3294"/>
      <c r="AZ492" s="3292"/>
      <c r="BA492" s="2980"/>
      <c r="BB492" s="3601"/>
      <c r="BC492" s="3601"/>
      <c r="BD492" s="3601"/>
      <c r="BE492" s="3601"/>
      <c r="BF492" s="3601"/>
      <c r="BG492" s="3601"/>
      <c r="BH492" s="3601"/>
      <c r="BI492" s="3601"/>
      <c r="BJ492" s="3601"/>
      <c r="BK492" s="3601"/>
      <c r="BL492" s="3601"/>
    </row>
    <row r="493" spans="4:64">
      <c r="D493" s="3601"/>
      <c r="E493" s="3601"/>
      <c r="F493" s="3601"/>
      <c r="G493" s="3601"/>
      <c r="H493" s="3601"/>
      <c r="I493" s="3601"/>
      <c r="J493" s="3601"/>
      <c r="K493" s="3601"/>
      <c r="L493" s="3601"/>
      <c r="M493" s="3601"/>
      <c r="N493" s="3601"/>
      <c r="O493" s="3601"/>
      <c r="P493" s="3601"/>
      <c r="Q493" s="3601"/>
      <c r="R493" s="3601"/>
      <c r="S493" s="3601"/>
      <c r="T493" s="3601"/>
      <c r="U493" s="3601"/>
      <c r="V493" s="3601"/>
      <c r="W493" s="3601"/>
      <c r="X493" s="3601"/>
      <c r="Y493" s="3601"/>
      <c r="Z493" s="3601"/>
      <c r="AA493" s="3601"/>
      <c r="AB493" s="3601"/>
      <c r="AC493" s="3601"/>
      <c r="AD493" s="3601"/>
      <c r="AE493" s="3601"/>
      <c r="AF493" s="3601"/>
      <c r="AG493" s="3601"/>
      <c r="AH493" s="3601"/>
      <c r="AI493" s="3601"/>
      <c r="AJ493" s="3601"/>
      <c r="AK493" s="3601"/>
      <c r="AL493" s="3601"/>
      <c r="AM493" s="3601"/>
      <c r="AN493" s="3601"/>
      <c r="AO493" s="3601"/>
      <c r="AP493" s="3601"/>
      <c r="AQ493" s="3601"/>
      <c r="AR493" s="3601"/>
      <c r="AS493" s="3601"/>
      <c r="AT493" s="3601"/>
      <c r="AU493" s="3601"/>
      <c r="AV493" s="3601"/>
      <c r="AW493" s="3601"/>
      <c r="AX493" s="3601"/>
      <c r="AY493" s="3291"/>
      <c r="AZ493" s="3292"/>
      <c r="BA493" s="2980"/>
      <c r="BB493" s="3601"/>
      <c r="BC493" s="3601"/>
      <c r="BD493" s="3601"/>
      <c r="BE493" s="3601"/>
      <c r="BF493" s="3601"/>
      <c r="BG493" s="3601"/>
      <c r="BH493" s="3601"/>
      <c r="BI493" s="3601"/>
      <c r="BJ493" s="3601"/>
      <c r="BK493" s="3601"/>
      <c r="BL493" s="3601"/>
    </row>
    <row r="494" spans="4:64">
      <c r="D494" s="3601"/>
      <c r="E494" s="3601"/>
      <c r="F494" s="3601"/>
      <c r="G494" s="3601"/>
      <c r="H494" s="3601"/>
      <c r="I494" s="3601"/>
      <c r="J494" s="3601"/>
      <c r="K494" s="3601"/>
      <c r="L494" s="3601"/>
      <c r="M494" s="3601"/>
      <c r="N494" s="3601"/>
      <c r="O494" s="3601"/>
      <c r="P494" s="3601"/>
      <c r="Q494" s="3601"/>
      <c r="R494" s="3601"/>
      <c r="S494" s="3601"/>
      <c r="T494" s="3601"/>
      <c r="U494" s="3601"/>
      <c r="V494" s="3601"/>
      <c r="W494" s="3601"/>
      <c r="X494" s="3601"/>
      <c r="Y494" s="3601"/>
      <c r="Z494" s="3601"/>
      <c r="AA494" s="3601"/>
      <c r="AB494" s="3601"/>
      <c r="AC494" s="3601"/>
      <c r="AD494" s="3601"/>
      <c r="AE494" s="3601"/>
      <c r="AF494" s="3601"/>
      <c r="AG494" s="3601"/>
      <c r="AH494" s="3601"/>
      <c r="AI494" s="3601"/>
      <c r="AJ494" s="3601"/>
      <c r="AK494" s="3601"/>
      <c r="AL494" s="3601"/>
      <c r="AM494" s="3601"/>
      <c r="AN494" s="3601"/>
      <c r="AO494" s="3601"/>
      <c r="AP494" s="3601"/>
      <c r="AQ494" s="3601"/>
      <c r="AR494" s="3601"/>
      <c r="AS494" s="3601"/>
      <c r="AT494" s="3601"/>
      <c r="AU494" s="3601"/>
      <c r="AV494" s="3601"/>
      <c r="AW494" s="3601"/>
      <c r="AX494" s="3601"/>
      <c r="AY494" s="3294"/>
      <c r="AZ494" s="3292"/>
      <c r="BA494" s="2980"/>
      <c r="BB494" s="3601"/>
      <c r="BC494" s="3601"/>
      <c r="BD494" s="3601"/>
      <c r="BE494" s="3601"/>
      <c r="BF494" s="3601"/>
      <c r="BG494" s="3601"/>
      <c r="BH494" s="3601"/>
      <c r="BI494" s="3601"/>
      <c r="BJ494" s="3601"/>
      <c r="BK494" s="3601"/>
      <c r="BL494" s="3601"/>
    </row>
    <row r="495" spans="4:64">
      <c r="AY495" s="3294"/>
      <c r="AZ495" s="3292"/>
      <c r="BA495" s="2980"/>
    </row>
    <row r="496" spans="4:64">
      <c r="AY496" s="3294"/>
      <c r="AZ496" s="3292"/>
      <c r="BA496" s="2980"/>
    </row>
    <row r="497" spans="51:53">
      <c r="AY497" s="3294"/>
      <c r="AZ497" s="3292"/>
      <c r="BA497" s="2980"/>
    </row>
    <row r="498" spans="51:53">
      <c r="AY498" s="3294"/>
    </row>
    <row r="499" spans="51:53">
      <c r="AY499" s="3294"/>
    </row>
    <row r="500" spans="51:53">
      <c r="AY500" s="3291"/>
    </row>
    <row r="501" spans="51:53">
      <c r="AY501" s="3291"/>
    </row>
    <row r="502" spans="51:53">
      <c r="AY502" s="3291"/>
    </row>
    <row r="503" spans="51:53">
      <c r="AY503" s="3291"/>
    </row>
    <row r="504" spans="51:53">
      <c r="AY504" s="3291"/>
    </row>
    <row r="505" spans="51:53">
      <c r="AY505" s="3291"/>
    </row>
    <row r="506" spans="51:53">
      <c r="AY506" s="3294"/>
    </row>
    <row r="507" spans="51:53">
      <c r="AY507" s="3294"/>
    </row>
    <row r="508" spans="51:53">
      <c r="AY508" s="3294"/>
    </row>
    <row r="509" spans="51:53">
      <c r="AY509" s="3294"/>
    </row>
    <row r="510" spans="51:53">
      <c r="AY510" s="3294"/>
    </row>
    <row r="511" spans="51:53">
      <c r="AY511" s="3294"/>
    </row>
    <row r="512" spans="51:53">
      <c r="AY512" s="3291"/>
    </row>
    <row r="513" spans="51:51">
      <c r="AY513" s="3291"/>
    </row>
    <row r="514" spans="51:51">
      <c r="AY514" s="3291"/>
    </row>
    <row r="515" spans="51:51">
      <c r="AY515" s="3291"/>
    </row>
    <row r="516" spans="51:51">
      <c r="AY516" s="3291"/>
    </row>
    <row r="517" spans="51:51">
      <c r="AY517" s="3291"/>
    </row>
    <row r="518" spans="51:51">
      <c r="AY518" s="3291"/>
    </row>
    <row r="519" spans="51:51">
      <c r="AY519" s="3291"/>
    </row>
    <row r="520" spans="51:51">
      <c r="AY520" s="3291"/>
    </row>
    <row r="521" spans="51:51">
      <c r="AY521" s="3291"/>
    </row>
    <row r="522" spans="51:51">
      <c r="AY522" s="3291"/>
    </row>
    <row r="523" spans="51:51">
      <c r="AY523" s="3291"/>
    </row>
    <row r="524" spans="51:51">
      <c r="AY524" s="3291"/>
    </row>
    <row r="525" spans="51:51">
      <c r="AY525" s="3291"/>
    </row>
    <row r="526" spans="51:51">
      <c r="AY526" s="3291"/>
    </row>
    <row r="527" spans="51:51">
      <c r="AY527" s="3291"/>
    </row>
    <row r="528" spans="51:51">
      <c r="AY528" s="3291"/>
    </row>
    <row r="529" spans="51:51">
      <c r="AY529" s="3291"/>
    </row>
    <row r="530" spans="51:51">
      <c r="AY530" s="3291"/>
    </row>
    <row r="531" spans="51:51">
      <c r="AY531" s="3291"/>
    </row>
    <row r="532" spans="51:51">
      <c r="AY532" s="3291"/>
    </row>
    <row r="533" spans="51:51">
      <c r="AY533" s="3291"/>
    </row>
    <row r="534" spans="51:51">
      <c r="AY534" s="3291"/>
    </row>
    <row r="535" spans="51:51">
      <c r="AY535" s="3291"/>
    </row>
    <row r="536" spans="51:51">
      <c r="AY536" s="3291"/>
    </row>
    <row r="537" spans="51:51">
      <c r="AY537" s="3291"/>
    </row>
    <row r="538" spans="51:51">
      <c r="AY538" s="3291"/>
    </row>
    <row r="539" spans="51:51">
      <c r="AY539" s="3291"/>
    </row>
    <row r="540" spans="51:51">
      <c r="AY540" s="3291"/>
    </row>
    <row r="541" spans="51:51">
      <c r="AY541" s="3291"/>
    </row>
    <row r="542" spans="51:51">
      <c r="AY542" s="3291"/>
    </row>
    <row r="543" spans="51:51">
      <c r="AY543" s="3291"/>
    </row>
    <row r="544" spans="51:51">
      <c r="AY544" s="3291"/>
    </row>
    <row r="545" spans="51:51">
      <c r="AY545" s="3291"/>
    </row>
    <row r="546" spans="51:51">
      <c r="AY546" s="3291"/>
    </row>
    <row r="547" spans="51:51">
      <c r="AY547" s="3291"/>
    </row>
    <row r="548" spans="51:51">
      <c r="AY548" s="3291"/>
    </row>
    <row r="549" spans="51:51">
      <c r="AY549" s="3291"/>
    </row>
    <row r="550" spans="51:51">
      <c r="AY550" s="3291"/>
    </row>
    <row r="551" spans="51:51">
      <c r="AY551" s="3291"/>
    </row>
  </sheetData>
  <mergeCells count="31">
    <mergeCell ref="BT15:BT16"/>
    <mergeCell ref="BU15:BU16"/>
    <mergeCell ref="BN15:BN16"/>
    <mergeCell ref="BP15:BP16"/>
    <mergeCell ref="BQ15:BQ16"/>
    <mergeCell ref="BR15:BR16"/>
    <mergeCell ref="BS15:BS16"/>
    <mergeCell ref="F15:F16"/>
    <mergeCell ref="H15:H16"/>
    <mergeCell ref="I15:I16"/>
    <mergeCell ref="J15:J16"/>
    <mergeCell ref="K15:K16"/>
    <mergeCell ref="L15:L16"/>
    <mergeCell ref="M15:M16"/>
    <mergeCell ref="N15:N16"/>
    <mergeCell ref="O15:O16"/>
    <mergeCell ref="P15:P16"/>
    <mergeCell ref="Q15:Q16"/>
    <mergeCell ref="R15:R16"/>
    <mergeCell ref="S15:S16"/>
    <mergeCell ref="T15:T16"/>
    <mergeCell ref="U15:U16"/>
    <mergeCell ref="AA15:AA16"/>
    <mergeCell ref="AB15:AB16"/>
    <mergeCell ref="AC15:AC16"/>
    <mergeCell ref="AD15:AD16"/>
    <mergeCell ref="V15:V16"/>
    <mergeCell ref="W15:W16"/>
    <mergeCell ref="X15:X16"/>
    <mergeCell ref="Y15:Y16"/>
    <mergeCell ref="Z15:Z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sheetPr>
  <dimension ref="B2:AB84"/>
  <sheetViews>
    <sheetView showGridLines="0" topLeftCell="A60" zoomScale="80" zoomScaleNormal="80" workbookViewId="0">
      <selection activeCell="S6" sqref="S6:S10"/>
    </sheetView>
  </sheetViews>
  <sheetFormatPr defaultColWidth="9.1796875" defaultRowHeight="14.5"/>
  <cols>
    <col min="1" max="2" width="2.1796875" style="3853" customWidth="1"/>
    <col min="3" max="3" width="14.453125" style="3853" bestFit="1" customWidth="1"/>
    <col min="4" max="4" width="59.81640625" style="3853" customWidth="1"/>
    <col min="5" max="5" width="13.54296875" style="3853" customWidth="1"/>
    <col min="6" max="6" width="11.7265625" style="3853" customWidth="1"/>
    <col min="7" max="7" width="2.1796875" style="3853" customWidth="1"/>
    <col min="8" max="16384" width="9.1796875" style="3853"/>
  </cols>
  <sheetData>
    <row r="2" spans="2:28" ht="15">
      <c r="B2" s="3263" t="s">
        <v>3082</v>
      </c>
      <c r="C2" s="3264"/>
      <c r="D2" s="3264"/>
      <c r="E2" s="3264"/>
      <c r="F2" s="3264"/>
      <c r="G2" s="3264"/>
      <c r="H2" s="3265"/>
      <c r="I2" s="3265"/>
      <c r="J2" s="3265"/>
      <c r="K2" s="3265"/>
      <c r="L2" s="3265"/>
      <c r="M2" s="3265"/>
      <c r="N2" s="3265"/>
      <c r="O2" s="3265"/>
      <c r="P2" s="3265"/>
      <c r="Q2" s="3266"/>
      <c r="S2" s="3265"/>
      <c r="T2" s="3265"/>
      <c r="U2" s="3265"/>
      <c r="V2" s="3265"/>
      <c r="W2" s="3265"/>
      <c r="X2" s="3265"/>
      <c r="Y2" s="3265"/>
      <c r="Z2" s="3265"/>
      <c r="AA2" s="3265"/>
      <c r="AB2" s="3266"/>
    </row>
    <row r="3" spans="2:28" ht="15">
      <c r="B3" s="3267"/>
      <c r="C3" s="3268"/>
      <c r="D3" s="3268"/>
      <c r="E3" s="3268"/>
      <c r="F3" s="3268"/>
      <c r="G3" s="3268"/>
      <c r="H3" s="3269"/>
      <c r="I3" s="3269"/>
      <c r="J3" s="3269"/>
      <c r="K3" s="3269"/>
      <c r="L3" s="3269"/>
      <c r="M3" s="3269"/>
      <c r="N3" s="3269"/>
      <c r="O3" s="3269"/>
      <c r="P3" s="3269"/>
      <c r="Q3" s="3274" t="str">
        <f>Preferences.AreaUnits</f>
        <v>km^2</v>
      </c>
      <c r="S3" s="3269"/>
      <c r="T3" s="3269"/>
      <c r="U3" s="3269"/>
      <c r="V3" s="3269"/>
      <c r="W3" s="3269"/>
      <c r="X3" s="3269"/>
      <c r="Y3" s="3269"/>
      <c r="Z3" s="3269"/>
      <c r="AA3" s="3269"/>
      <c r="AB3" s="3274"/>
    </row>
    <row r="4" spans="2:28">
      <c r="B4" s="3271"/>
      <c r="C4" s="3279" t="s">
        <v>868</v>
      </c>
      <c r="D4" s="3280" t="s">
        <v>2692</v>
      </c>
      <c r="E4" s="3275"/>
      <c r="F4" s="3281"/>
      <c r="G4" s="3281"/>
      <c r="H4" s="3281">
        <v>2013</v>
      </c>
      <c r="I4" s="3281">
        <v>2015</v>
      </c>
      <c r="J4" s="3281">
        <v>2020</v>
      </c>
      <c r="K4" s="3281">
        <v>2025</v>
      </c>
      <c r="L4" s="3281">
        <v>2030</v>
      </c>
      <c r="M4" s="3281">
        <v>2035</v>
      </c>
      <c r="N4" s="3281">
        <v>2040</v>
      </c>
      <c r="O4" s="3281">
        <v>2045</v>
      </c>
      <c r="P4" s="3282">
        <v>2050</v>
      </c>
      <c r="Q4" s="3274"/>
      <c r="S4" s="3281"/>
      <c r="T4" s="3281"/>
      <c r="U4" s="3281"/>
      <c r="V4" s="3281"/>
      <c r="W4" s="3281"/>
      <c r="X4" s="3281"/>
      <c r="Y4" s="3281"/>
      <c r="Z4" s="3281"/>
      <c r="AA4" s="3282"/>
      <c r="AB4" s="3274"/>
    </row>
    <row r="5" spans="2:28" ht="6" customHeight="1">
      <c r="B5" s="3271"/>
      <c r="C5" s="3275"/>
      <c r="D5" s="3272"/>
      <c r="E5" s="3272"/>
      <c r="F5" s="3273"/>
      <c r="G5" s="3273"/>
      <c r="H5" s="3273"/>
      <c r="I5" s="3273"/>
      <c r="J5" s="3273"/>
      <c r="K5" s="3273"/>
      <c r="L5" s="3273"/>
      <c r="M5" s="3273"/>
      <c r="N5" s="3273"/>
      <c r="O5" s="3273"/>
      <c r="P5" s="3273"/>
      <c r="Q5" s="3274"/>
      <c r="S5" s="3273"/>
      <c r="T5" s="3273"/>
      <c r="U5" s="3273"/>
      <c r="V5" s="3273"/>
      <c r="W5" s="3273"/>
      <c r="X5" s="3273"/>
      <c r="Y5" s="3273"/>
      <c r="Z5" s="3273"/>
      <c r="AA5" s="3273"/>
      <c r="AB5" s="3274"/>
    </row>
    <row r="6" spans="2:28">
      <c r="B6" s="3271"/>
      <c r="C6" s="3283" t="s">
        <v>511</v>
      </c>
      <c r="D6" s="3286" t="s">
        <v>3210</v>
      </c>
      <c r="E6" s="3284"/>
      <c r="F6" s="3285"/>
      <c r="G6" s="3284"/>
      <c r="H6" s="3286">
        <f ca="1">INDEX(INDIRECT($C6&amp;".Info["&amp;H$4&amp;"]"),MATCH($C$4,INDIRECT($C6&amp;".Info[Vector]"),0))</f>
        <v>56.000000000000007</v>
      </c>
      <c r="I6" s="3286">
        <f ca="1">INDEX(INDIRECT($C6&amp;".Info["&amp;I$4&amp;"]"),MATCH($C$4,INDIRECT($C6&amp;".Info[Vector]"),0))</f>
        <v>70.144444444444431</v>
      </c>
      <c r="J6" s="3286">
        <f t="shared" ref="J6:P12" ca="1" si="0">INDEX(INDIRECT($C6&amp;".Info["&amp;J$4&amp;"]"),MATCH($C$4,INDIRECT($C6&amp;".Info[Vector]"),0))</f>
        <v>70.144444444444431</v>
      </c>
      <c r="K6" s="3286">
        <f t="shared" ca="1" si="0"/>
        <v>42.283333333333324</v>
      </c>
      <c r="L6" s="3286">
        <f t="shared" ca="1" si="0"/>
        <v>14.422222222222219</v>
      </c>
      <c r="M6" s="3286">
        <f t="shared" ca="1" si="0"/>
        <v>0.49166666666666337</v>
      </c>
      <c r="N6" s="3286">
        <f t="shared" ca="1" si="0"/>
        <v>0.49166666666666337</v>
      </c>
      <c r="O6" s="3286">
        <f t="shared" ca="1" si="0"/>
        <v>0.49166666666666337</v>
      </c>
      <c r="P6" s="3286">
        <f t="shared" ca="1" si="0"/>
        <v>0.49166666666666337</v>
      </c>
      <c r="Q6" s="3274"/>
      <c r="S6" s="3286"/>
      <c r="T6" s="3286"/>
      <c r="U6" s="3286"/>
      <c r="V6" s="3286"/>
      <c r="W6" s="3286"/>
      <c r="X6" s="3286"/>
      <c r="Y6" s="3286"/>
      <c r="Z6" s="3286"/>
      <c r="AA6" s="3286"/>
      <c r="AB6" s="3274"/>
    </row>
    <row r="7" spans="2:28">
      <c r="B7" s="3271"/>
      <c r="C7" s="3283" t="s">
        <v>515</v>
      </c>
      <c r="D7" s="3286" t="s">
        <v>3155</v>
      </c>
      <c r="E7" s="3284"/>
      <c r="F7" s="3285"/>
      <c r="G7" s="3284"/>
      <c r="H7" s="3286">
        <f t="shared" ref="H7:H12" ca="1" si="1">INDEX(INDIRECT($C7&amp;".Info["&amp;H$4&amp;"]"),MATCH($C$4,INDIRECT($C7&amp;".Info[Vector]"),0))</f>
        <v>7.5409090909090883</v>
      </c>
      <c r="I7" s="3286">
        <f t="shared" ref="I7:I12" ca="1" si="2">INDEX(INDIRECT($C7&amp;".Info["&amp;I$4&amp;"]"),MATCH($C$4,INDIRECT($C7&amp;".Info[Vector]"),0))</f>
        <v>7.5409090909090883</v>
      </c>
      <c r="J7" s="3286">
        <f t="shared" ca="1" si="0"/>
        <v>7.5409090909090883</v>
      </c>
      <c r="K7" s="3286">
        <f t="shared" ca="1" si="0"/>
        <v>7.5409090909090883</v>
      </c>
      <c r="L7" s="3286">
        <f t="shared" ca="1" si="0"/>
        <v>4.8363636363636351</v>
      </c>
      <c r="M7" s="3286">
        <f t="shared" ca="1" si="0"/>
        <v>3.1818181818181812</v>
      </c>
      <c r="N7" s="3286">
        <f t="shared" ca="1" si="0"/>
        <v>2.2272727272727266</v>
      </c>
      <c r="O7" s="3286">
        <f t="shared" ca="1" si="0"/>
        <v>1.5909090909090906</v>
      </c>
      <c r="P7" s="3286">
        <f t="shared" ca="1" si="0"/>
        <v>0</v>
      </c>
      <c r="Q7" s="3274"/>
      <c r="S7" s="3286"/>
      <c r="T7" s="3286"/>
      <c r="U7" s="3286"/>
      <c r="V7" s="3286"/>
      <c r="W7" s="3286"/>
      <c r="X7" s="3286"/>
      <c r="Y7" s="3286"/>
      <c r="Z7" s="3286"/>
      <c r="AA7" s="3286"/>
      <c r="AB7" s="3274"/>
    </row>
    <row r="8" spans="2:28">
      <c r="B8" s="3271"/>
      <c r="C8" s="3283" t="s">
        <v>525</v>
      </c>
      <c r="D8" s="3286" t="s">
        <v>1874</v>
      </c>
      <c r="E8" s="3284"/>
      <c r="F8" s="3285"/>
      <c r="G8" s="3284"/>
      <c r="H8" s="3286">
        <f t="shared" ca="1" si="1"/>
        <v>0</v>
      </c>
      <c r="I8" s="3286">
        <f t="shared" ca="1" si="2"/>
        <v>0</v>
      </c>
      <c r="J8" s="3286">
        <f t="shared" ca="1" si="0"/>
        <v>0</v>
      </c>
      <c r="K8" s="3286">
        <f t="shared" ca="1" si="0"/>
        <v>0</v>
      </c>
      <c r="L8" s="3286">
        <f t="shared" ca="1" si="0"/>
        <v>0</v>
      </c>
      <c r="M8" s="3286">
        <f t="shared" ca="1" si="0"/>
        <v>0</v>
      </c>
      <c r="N8" s="3286">
        <f t="shared" ca="1" si="0"/>
        <v>0</v>
      </c>
      <c r="O8" s="3286">
        <f t="shared" ca="1" si="0"/>
        <v>0</v>
      </c>
      <c r="P8" s="3286">
        <f t="shared" ca="1" si="0"/>
        <v>0</v>
      </c>
      <c r="Q8" s="3274"/>
      <c r="S8" s="3286"/>
      <c r="T8" s="3286"/>
      <c r="U8" s="3286"/>
      <c r="V8" s="3286"/>
      <c r="W8" s="3286"/>
      <c r="X8" s="3286"/>
      <c r="Y8" s="3286"/>
      <c r="Z8" s="3286"/>
      <c r="AA8" s="3286"/>
      <c r="AB8" s="3274"/>
    </row>
    <row r="9" spans="2:28">
      <c r="B9" s="3271"/>
      <c r="C9" s="3283" t="s">
        <v>25</v>
      </c>
      <c r="D9" s="3286" t="s">
        <v>2685</v>
      </c>
      <c r="E9" s="3284"/>
      <c r="F9" s="3285"/>
      <c r="G9" s="3284"/>
      <c r="H9" s="3286">
        <f t="shared" ca="1" si="1"/>
        <v>0.13381209031318281</v>
      </c>
      <c r="I9" s="3286">
        <f t="shared" ca="1" si="2"/>
        <v>0.17246850990151383</v>
      </c>
      <c r="J9" s="3286">
        <f t="shared" ca="1" si="0"/>
        <v>0.18186124430257217</v>
      </c>
      <c r="K9" s="3286">
        <f t="shared" ca="1" si="0"/>
        <v>0.19120054807283343</v>
      </c>
      <c r="L9" s="3286">
        <f t="shared" ca="1" si="0"/>
        <v>0.20000552580370909</v>
      </c>
      <c r="M9" s="3286">
        <f t="shared" ca="1" si="0"/>
        <v>0.20930766415949723</v>
      </c>
      <c r="N9" s="3286">
        <f t="shared" ca="1" si="0"/>
        <v>0.2190930054839145</v>
      </c>
      <c r="O9" s="3286">
        <f t="shared" ca="1" si="0"/>
        <v>0.22881871680332172</v>
      </c>
      <c r="P9" s="3286">
        <f t="shared" ca="1" si="0"/>
        <v>0.23905106792861408</v>
      </c>
      <c r="Q9" s="3274"/>
      <c r="S9" s="3286"/>
      <c r="T9" s="3286"/>
      <c r="U9" s="3286"/>
      <c r="V9" s="3286"/>
      <c r="W9" s="3286"/>
      <c r="X9" s="3286"/>
      <c r="Y9" s="3286"/>
      <c r="Z9" s="3286"/>
      <c r="AA9" s="3286"/>
      <c r="AB9" s="3274"/>
    </row>
    <row r="10" spans="2:28">
      <c r="B10" s="3271"/>
      <c r="C10" s="3283" t="s">
        <v>527</v>
      </c>
      <c r="D10" s="3286" t="s">
        <v>3083</v>
      </c>
      <c r="E10" s="3284"/>
      <c r="F10" s="3285"/>
      <c r="G10" s="3284"/>
      <c r="H10" s="3286">
        <f t="shared" ca="1" si="1"/>
        <v>0</v>
      </c>
      <c r="I10" s="3286">
        <f t="shared" ca="1" si="2"/>
        <v>0</v>
      </c>
      <c r="J10" s="3286">
        <f t="shared" ca="1" si="0"/>
        <v>0</v>
      </c>
      <c r="K10" s="3286">
        <f t="shared" ca="1" si="0"/>
        <v>0</v>
      </c>
      <c r="L10" s="3286">
        <f t="shared" ca="1" si="0"/>
        <v>0</v>
      </c>
      <c r="M10" s="3286">
        <f t="shared" ca="1" si="0"/>
        <v>0</v>
      </c>
      <c r="N10" s="3286">
        <f t="shared" ca="1" si="0"/>
        <v>0</v>
      </c>
      <c r="O10" s="3286">
        <f t="shared" ca="1" si="0"/>
        <v>0</v>
      </c>
      <c r="P10" s="3286">
        <f t="shared" ca="1" si="0"/>
        <v>0</v>
      </c>
      <c r="Q10" s="3274"/>
      <c r="S10" s="3286"/>
      <c r="T10" s="3286"/>
      <c r="U10" s="3286"/>
      <c r="V10" s="3286"/>
      <c r="W10" s="3286"/>
      <c r="X10" s="3286"/>
      <c r="Y10" s="3286"/>
      <c r="Z10" s="3286"/>
      <c r="AA10" s="3286"/>
      <c r="AB10" s="3274"/>
    </row>
    <row r="11" spans="2:28">
      <c r="B11" s="3271"/>
      <c r="C11" s="3283" t="s">
        <v>3084</v>
      </c>
      <c r="D11" s="3286" t="s">
        <v>2043</v>
      </c>
      <c r="E11" s="3284"/>
      <c r="F11" s="3285"/>
      <c r="G11" s="3284"/>
      <c r="H11" s="3286">
        <f t="shared" ca="1" si="1"/>
        <v>156</v>
      </c>
      <c r="I11" s="3286">
        <f t="shared" ca="1" si="2"/>
        <v>156</v>
      </c>
      <c r="J11" s="3286">
        <f t="shared" ca="1" si="0"/>
        <v>156</v>
      </c>
      <c r="K11" s="3286">
        <f t="shared" ca="1" si="0"/>
        <v>156</v>
      </c>
      <c r="L11" s="3286">
        <f t="shared" ca="1" si="0"/>
        <v>156</v>
      </c>
      <c r="M11" s="3286">
        <f t="shared" ca="1" si="0"/>
        <v>156</v>
      </c>
      <c r="N11" s="3286">
        <f t="shared" ca="1" si="0"/>
        <v>156</v>
      </c>
      <c r="O11" s="3286">
        <f t="shared" ca="1" si="0"/>
        <v>156</v>
      </c>
      <c r="P11" s="3286">
        <f t="shared" ca="1" si="0"/>
        <v>156</v>
      </c>
      <c r="Q11" s="3274"/>
      <c r="S11" s="3286"/>
      <c r="T11" s="3286"/>
      <c r="U11" s="3286"/>
      <c r="V11" s="3286"/>
      <c r="W11" s="3286"/>
      <c r="X11" s="3286"/>
      <c r="Y11" s="3286"/>
      <c r="Z11" s="3286"/>
      <c r="AA11" s="3286"/>
      <c r="AB11" s="3274"/>
    </row>
    <row r="12" spans="2:28">
      <c r="B12" s="3271"/>
      <c r="C12" s="3283" t="s">
        <v>3085</v>
      </c>
      <c r="D12" s="3286" t="s">
        <v>2045</v>
      </c>
      <c r="E12" s="3284"/>
      <c r="F12" s="3285"/>
      <c r="G12" s="3284"/>
      <c r="H12" s="3286">
        <f t="shared" ca="1" si="1"/>
        <v>7566</v>
      </c>
      <c r="I12" s="3286">
        <f t="shared" ca="1" si="2"/>
        <v>7652.4864864864903</v>
      </c>
      <c r="J12" s="3286">
        <f t="shared" ca="1" si="0"/>
        <v>7868.7027027026998</v>
      </c>
      <c r="K12" s="3286">
        <f t="shared" ca="1" si="0"/>
        <v>8084.9189189189201</v>
      </c>
      <c r="L12" s="3286">
        <f t="shared" ca="1" si="0"/>
        <v>8301.1351351351295</v>
      </c>
      <c r="M12" s="3286">
        <f t="shared" ca="1" si="0"/>
        <v>8517.3513513513499</v>
      </c>
      <c r="N12" s="3286">
        <f t="shared" ca="1" si="0"/>
        <v>8733.5675675675702</v>
      </c>
      <c r="O12" s="3286">
        <f t="shared" ca="1" si="0"/>
        <v>8949.7837837837797</v>
      </c>
      <c r="P12" s="3286">
        <f t="shared" ca="1" si="0"/>
        <v>9166</v>
      </c>
      <c r="Q12" s="3274"/>
      <c r="S12" s="3286"/>
      <c r="T12" s="3286"/>
      <c r="U12" s="3286"/>
      <c r="V12" s="3286"/>
      <c r="W12" s="3286"/>
      <c r="X12" s="3286"/>
      <c r="Y12" s="3286"/>
      <c r="Z12" s="3286"/>
      <c r="AA12" s="3286"/>
      <c r="AB12" s="3274"/>
    </row>
    <row r="13" spans="2:28">
      <c r="B13" s="3271"/>
      <c r="C13" s="3283"/>
      <c r="D13" s="3966" t="s">
        <v>3207</v>
      </c>
      <c r="E13" s="3968"/>
      <c r="F13" s="3285"/>
      <c r="G13" s="3968"/>
      <c r="H13" s="3967">
        <f>(Unit.km2)*68890</f>
        <v>68890</v>
      </c>
      <c r="I13" s="3967"/>
      <c r="J13" s="3967"/>
      <c r="K13" s="3967"/>
      <c r="L13" s="3967"/>
      <c r="M13" s="3967"/>
      <c r="N13" s="3967"/>
      <c r="O13" s="3967"/>
      <c r="P13" s="3967"/>
      <c r="Q13" s="3274" t="str">
        <f>Preferences.AreaUnits</f>
        <v>km^2</v>
      </c>
      <c r="S13" s="3286"/>
      <c r="T13" s="3286"/>
      <c r="U13" s="3286"/>
      <c r="V13" s="3286"/>
      <c r="W13" s="3286"/>
      <c r="X13" s="3286"/>
      <c r="Y13" s="3286"/>
      <c r="Z13" s="3286"/>
      <c r="AA13" s="3286"/>
      <c r="AB13" s="3274"/>
    </row>
    <row r="14" spans="2:28">
      <c r="B14" s="3271"/>
      <c r="C14" s="3279" t="s">
        <v>859</v>
      </c>
      <c r="D14" s="3280" t="s">
        <v>3081</v>
      </c>
      <c r="E14" s="3275"/>
      <c r="F14" s="3281"/>
      <c r="G14" s="3281"/>
      <c r="H14" s="3281">
        <v>2013</v>
      </c>
      <c r="I14" s="3281">
        <v>2015</v>
      </c>
      <c r="J14" s="3281">
        <v>2020</v>
      </c>
      <c r="K14" s="3281">
        <v>2025</v>
      </c>
      <c r="L14" s="3281">
        <v>2030</v>
      </c>
      <c r="M14" s="3281">
        <v>2035</v>
      </c>
      <c r="N14" s="3281">
        <v>2040</v>
      </c>
      <c r="O14" s="3281">
        <v>2045</v>
      </c>
      <c r="P14" s="3282">
        <v>2050</v>
      </c>
      <c r="Q14" s="3274"/>
      <c r="S14" s="3281"/>
      <c r="T14" s="3281"/>
      <c r="U14" s="3281"/>
      <c r="V14" s="3281"/>
      <c r="W14" s="3281"/>
      <c r="X14" s="3281"/>
      <c r="Y14" s="3281"/>
      <c r="Z14" s="3281"/>
      <c r="AA14" s="3282"/>
      <c r="AB14" s="3274"/>
    </row>
    <row r="15" spans="2:28" ht="4.5" customHeight="1">
      <c r="B15" s="3271"/>
      <c r="C15" s="3275"/>
      <c r="D15" s="3272"/>
      <c r="E15" s="3272"/>
      <c r="F15" s="3273"/>
      <c r="G15" s="3273"/>
      <c r="H15" s="3273"/>
      <c r="I15" s="3273"/>
      <c r="J15" s="3273"/>
      <c r="K15" s="3273"/>
      <c r="L15" s="3273"/>
      <c r="M15" s="3273"/>
      <c r="N15" s="3273"/>
      <c r="O15" s="3273"/>
      <c r="P15" s="3273"/>
      <c r="Q15" s="3274"/>
      <c r="S15" s="3273"/>
      <c r="T15" s="3273"/>
      <c r="U15" s="3273"/>
      <c r="V15" s="3273"/>
      <c r="W15" s="3273"/>
      <c r="X15" s="3273"/>
      <c r="Y15" s="3273"/>
      <c r="Z15" s="3273"/>
      <c r="AA15" s="3273"/>
      <c r="AB15" s="3274"/>
    </row>
    <row r="16" spans="2:28">
      <c r="B16" s="3271"/>
      <c r="C16" s="3283" t="s">
        <v>513</v>
      </c>
      <c r="D16" s="3286" t="s">
        <v>3364</v>
      </c>
      <c r="E16" s="3284"/>
      <c r="F16" s="3285"/>
      <c r="G16" s="3284"/>
      <c r="H16" s="3286">
        <f ca="1">INDEX(INDIRECT($C16&amp;".Info["&amp;H$4&amp;"]"),MATCH($C$14,INDIRECT($C16&amp;".Info[Vector]"),0))</f>
        <v>1.0555555555555558</v>
      </c>
      <c r="I16" s="3286">
        <f t="shared" ref="I16:P19" ca="1" si="3">INDEX(INDIRECT($C16&amp;".Info["&amp;I$4&amp;"]"),MATCH($C$14,INDIRECT($C16&amp;".Info[Vector]"),0))</f>
        <v>1.0555555555555558</v>
      </c>
      <c r="J16" s="3286">
        <f t="shared" ca="1" si="3"/>
        <v>1.1111111111111112</v>
      </c>
      <c r="K16" s="3286">
        <f t="shared" ca="1" si="3"/>
        <v>0</v>
      </c>
      <c r="L16" s="3286">
        <f t="shared" ca="1" si="3"/>
        <v>0</v>
      </c>
      <c r="M16" s="3286">
        <f t="shared" ca="1" si="3"/>
        <v>0</v>
      </c>
      <c r="N16" s="3286">
        <f t="shared" ca="1" si="3"/>
        <v>0</v>
      </c>
      <c r="O16" s="3286">
        <f t="shared" ca="1" si="3"/>
        <v>0</v>
      </c>
      <c r="P16" s="3286">
        <f t="shared" ca="1" si="3"/>
        <v>0</v>
      </c>
      <c r="Q16" s="3274"/>
      <c r="S16" s="3286"/>
      <c r="T16" s="3286"/>
      <c r="U16" s="3286"/>
      <c r="V16" s="3286"/>
      <c r="W16" s="3286"/>
      <c r="X16" s="3286"/>
      <c r="Y16" s="3286"/>
      <c r="Z16" s="3286"/>
      <c r="AA16" s="3286"/>
      <c r="AB16" s="3274"/>
    </row>
    <row r="17" spans="2:28">
      <c r="B17" s="3271"/>
      <c r="C17" s="3283" t="s">
        <v>614</v>
      </c>
      <c r="D17" s="3286" t="s">
        <v>919</v>
      </c>
      <c r="E17" s="3284"/>
      <c r="F17" s="3285"/>
      <c r="G17" s="3284"/>
      <c r="H17" s="3286">
        <f ca="1">INDEX(INDIRECT($C17&amp;".Info["&amp;H$4&amp;"]"),MATCH($C$14,INDIRECT($C17&amp;".Info[Vector]"),0))</f>
        <v>0</v>
      </c>
      <c r="I17" s="3286">
        <f t="shared" ca="1" si="3"/>
        <v>0</v>
      </c>
      <c r="J17" s="3286">
        <f t="shared" ca="1" si="3"/>
        <v>0</v>
      </c>
      <c r="K17" s="3286">
        <f t="shared" ca="1" si="3"/>
        <v>0</v>
      </c>
      <c r="L17" s="3286">
        <f t="shared" ca="1" si="3"/>
        <v>0</v>
      </c>
      <c r="M17" s="3286">
        <f t="shared" ca="1" si="3"/>
        <v>0</v>
      </c>
      <c r="N17" s="3286">
        <f t="shared" ca="1" si="3"/>
        <v>0</v>
      </c>
      <c r="O17" s="3286">
        <f t="shared" ca="1" si="3"/>
        <v>0</v>
      </c>
      <c r="P17" s="3286">
        <f t="shared" ca="1" si="3"/>
        <v>0</v>
      </c>
      <c r="Q17" s="3274"/>
      <c r="S17" s="3286"/>
      <c r="T17" s="3286"/>
      <c r="U17" s="3286"/>
      <c r="V17" s="3286"/>
      <c r="W17" s="3286"/>
      <c r="X17" s="3286"/>
      <c r="Y17" s="3286"/>
      <c r="Z17" s="3286"/>
      <c r="AA17" s="3286"/>
      <c r="AB17" s="3274"/>
    </row>
    <row r="18" spans="2:28">
      <c r="B18" s="3271"/>
      <c r="C18" s="3283" t="s">
        <v>616</v>
      </c>
      <c r="D18" s="3286" t="s">
        <v>922</v>
      </c>
      <c r="E18" s="3284"/>
      <c r="F18" s="3285"/>
      <c r="G18" s="3284"/>
      <c r="H18" s="3286">
        <f ca="1">INDEX(INDIRECT($C18&amp;".Info["&amp;H$4&amp;"]"),MATCH($C$14,INDIRECT($C18&amp;".Info[Vector]"),0))</f>
        <v>0</v>
      </c>
      <c r="I18" s="3286">
        <f t="shared" ca="1" si="3"/>
        <v>0</v>
      </c>
      <c r="J18" s="3286">
        <f t="shared" ca="1" si="3"/>
        <v>0</v>
      </c>
      <c r="K18" s="3286">
        <f t="shared" ca="1" si="3"/>
        <v>0</v>
      </c>
      <c r="L18" s="3286">
        <f t="shared" ca="1" si="3"/>
        <v>0</v>
      </c>
      <c r="M18" s="3286">
        <f t="shared" ca="1" si="3"/>
        <v>0</v>
      </c>
      <c r="N18" s="3286">
        <f t="shared" ca="1" si="3"/>
        <v>0</v>
      </c>
      <c r="O18" s="3286">
        <f t="shared" ca="1" si="3"/>
        <v>0</v>
      </c>
      <c r="P18" s="3286">
        <f t="shared" ca="1" si="3"/>
        <v>0</v>
      </c>
      <c r="Q18" s="3274"/>
      <c r="S18" s="3286"/>
      <c r="T18" s="3286" t="s">
        <v>5</v>
      </c>
      <c r="U18" s="3286"/>
      <c r="V18" s="3286"/>
      <c r="W18" s="3286"/>
      <c r="X18" s="3286"/>
      <c r="Y18" s="3286"/>
      <c r="Z18" s="3286"/>
      <c r="AA18" s="3286"/>
      <c r="AB18" s="3274"/>
    </row>
    <row r="19" spans="2:28">
      <c r="B19" s="3271"/>
      <c r="C19" s="3283" t="s">
        <v>497</v>
      </c>
      <c r="D19" s="3286" t="s">
        <v>2877</v>
      </c>
      <c r="E19" s="3284"/>
      <c r="F19" s="3285"/>
      <c r="G19" s="3284"/>
      <c r="H19" s="3286">
        <f ca="1">INDEX(INDIRECT($C19&amp;".Info["&amp;H$4&amp;"]"),MATCH($C$14,INDIRECT($C19&amp;".Info[Vector]"),0))</f>
        <v>0</v>
      </c>
      <c r="I19" s="3286">
        <f t="shared" ca="1" si="3"/>
        <v>0</v>
      </c>
      <c r="J19" s="3286">
        <f t="shared" ca="1" si="3"/>
        <v>0</v>
      </c>
      <c r="K19" s="3286">
        <f t="shared" ca="1" si="3"/>
        <v>0</v>
      </c>
      <c r="L19" s="3286">
        <f t="shared" ca="1" si="3"/>
        <v>0</v>
      </c>
      <c r="M19" s="3286">
        <f t="shared" ca="1" si="3"/>
        <v>0</v>
      </c>
      <c r="N19" s="3286">
        <f t="shared" ca="1" si="3"/>
        <v>0</v>
      </c>
      <c r="O19" s="3286">
        <f t="shared" ca="1" si="3"/>
        <v>0</v>
      </c>
      <c r="P19" s="3286">
        <f t="shared" ca="1" si="3"/>
        <v>0</v>
      </c>
      <c r="Q19" s="3274"/>
      <c r="S19" s="3286"/>
      <c r="T19" s="3286"/>
      <c r="U19" s="3286"/>
      <c r="V19" s="3286"/>
      <c r="W19" s="3286"/>
      <c r="X19" s="3286"/>
      <c r="Y19" s="3286"/>
      <c r="Z19" s="3286"/>
      <c r="AA19" s="3286"/>
      <c r="AB19" s="3274"/>
    </row>
    <row r="20" spans="2:28">
      <c r="B20" s="3271"/>
      <c r="C20" s="3283"/>
      <c r="D20" s="3283"/>
      <c r="E20" s="3284"/>
      <c r="F20" s="3285"/>
      <c r="G20" s="3284"/>
      <c r="H20" s="3286"/>
      <c r="I20" s="3286"/>
      <c r="J20" s="3286"/>
      <c r="K20" s="3286"/>
      <c r="L20" s="3286"/>
      <c r="M20" s="3286"/>
      <c r="N20" s="3286"/>
      <c r="O20" s="3286"/>
      <c r="P20" s="3286"/>
      <c r="Q20" s="3274" t="str">
        <f>Preferences.AreaUnits</f>
        <v>km^2</v>
      </c>
      <c r="S20" s="3286"/>
      <c r="T20" s="3286"/>
      <c r="U20" s="3286"/>
      <c r="V20" s="3286"/>
      <c r="W20" s="3286"/>
      <c r="X20" s="3286"/>
      <c r="Y20" s="3286"/>
      <c r="Z20" s="3286"/>
      <c r="AA20" s="3286"/>
      <c r="AB20" s="3274"/>
    </row>
    <row r="21" spans="2:28">
      <c r="B21" s="3271"/>
      <c r="C21" s="3279" t="s">
        <v>1816</v>
      </c>
      <c r="D21" s="3280" t="s">
        <v>1817</v>
      </c>
      <c r="E21" s="3275"/>
      <c r="F21" s="3281"/>
      <c r="G21" s="3281"/>
      <c r="H21" s="3281">
        <v>2013</v>
      </c>
      <c r="I21" s="3281">
        <v>2015</v>
      </c>
      <c r="J21" s="3281">
        <v>2020</v>
      </c>
      <c r="K21" s="3281">
        <v>2025</v>
      </c>
      <c r="L21" s="3281">
        <v>2030</v>
      </c>
      <c r="M21" s="3281">
        <v>2035</v>
      </c>
      <c r="N21" s="3281">
        <v>2040</v>
      </c>
      <c r="O21" s="3281">
        <v>2045</v>
      </c>
      <c r="P21" s="3282">
        <v>2050</v>
      </c>
      <c r="Q21" s="3274"/>
      <c r="S21" s="3281"/>
      <c r="T21" s="3281"/>
      <c r="U21" s="3281"/>
      <c r="V21" s="3281"/>
      <c r="W21" s="3281"/>
      <c r="X21" s="3281"/>
      <c r="Y21" s="3281"/>
      <c r="Z21" s="3281"/>
      <c r="AA21" s="3282"/>
      <c r="AB21" s="3274"/>
    </row>
    <row r="22" spans="2:28">
      <c r="B22" s="3271"/>
      <c r="C22" s="3275"/>
      <c r="D22" s="3272"/>
      <c r="E22" s="3272"/>
      <c r="F22" s="3273"/>
      <c r="G22" s="3273"/>
      <c r="H22" s="3273"/>
      <c r="I22" s="3273"/>
      <c r="J22" s="3273"/>
      <c r="K22" s="3273"/>
      <c r="L22" s="3273"/>
      <c r="M22" s="3273"/>
      <c r="N22" s="3273"/>
      <c r="O22" s="3273"/>
      <c r="P22" s="3273"/>
      <c r="Q22" s="3274"/>
      <c r="S22" s="3273"/>
      <c r="T22" s="3273"/>
      <c r="U22" s="3273"/>
      <c r="V22" s="3273"/>
      <c r="W22" s="3273"/>
      <c r="X22" s="3273"/>
      <c r="Y22" s="3273"/>
      <c r="Z22" s="3273"/>
      <c r="AA22" s="3273"/>
      <c r="AB22" s="3274"/>
    </row>
    <row r="23" spans="2:28">
      <c r="B23" s="3271"/>
      <c r="C23" s="3283" t="s">
        <v>569</v>
      </c>
      <c r="D23" s="3286" t="s">
        <v>2666</v>
      </c>
      <c r="E23" s="3284"/>
      <c r="F23" s="3285"/>
      <c r="G23" s="3284"/>
      <c r="H23" s="3286">
        <f ca="1">INDEX(INDIRECT($C23&amp;".Info["&amp;H$4&amp;"]"),MATCH($C$21,INDIRECT($C23&amp;".Info[Vector]"),0))</f>
        <v>208.27375972824288</v>
      </c>
      <c r="I23" s="3286">
        <f t="shared" ref="I23:P23" ca="1" si="4">INDEX(INDIRECT($C23&amp;".Info["&amp;I$4&amp;"]"),MATCH($C$21,INDIRECT($C23&amp;".Info[Vector]"),0))</f>
        <v>246.53966081070794</v>
      </c>
      <c r="J23" s="3286">
        <f t="shared" ca="1" si="4"/>
        <v>246.53966081070794</v>
      </c>
      <c r="K23" s="3286">
        <f t="shared" ca="1" si="4"/>
        <v>237.03323446649927</v>
      </c>
      <c r="L23" s="3286">
        <f t="shared" ca="1" si="4"/>
        <v>304.20564301467783</v>
      </c>
      <c r="M23" s="3286">
        <f t="shared" ca="1" si="4"/>
        <v>275.68636398205177</v>
      </c>
      <c r="N23" s="3286">
        <f t="shared" ca="1" si="4"/>
        <v>152.10282150733889</v>
      </c>
      <c r="O23" s="3286">
        <f t="shared" ca="1" si="4"/>
        <v>28.519279032626027</v>
      </c>
      <c r="P23" s="3286">
        <f t="shared" ca="1" si="4"/>
        <v>0</v>
      </c>
      <c r="Q23" s="3274"/>
      <c r="S23" s="3286"/>
      <c r="T23" s="3286"/>
      <c r="U23" s="3286"/>
      <c r="V23" s="3286"/>
      <c r="W23" s="3286"/>
      <c r="X23" s="3286"/>
      <c r="Y23" s="3286"/>
      <c r="Z23" s="3286"/>
      <c r="AA23" s="3286"/>
      <c r="AB23" s="3274"/>
    </row>
    <row r="24" spans="2:28">
      <c r="B24" s="3271"/>
      <c r="C24" s="3283" t="s">
        <v>554</v>
      </c>
      <c r="D24" s="3286" t="s">
        <v>3163</v>
      </c>
      <c r="E24" s="3284"/>
      <c r="F24" s="3285"/>
      <c r="G24" s="3284"/>
      <c r="H24" s="3286"/>
      <c r="I24" s="3286"/>
      <c r="J24" s="3286"/>
      <c r="K24" s="3286"/>
      <c r="L24" s="3286"/>
      <c r="M24" s="3286"/>
      <c r="N24" s="3286"/>
      <c r="O24" s="3286"/>
      <c r="P24" s="3286"/>
      <c r="Q24" s="3274"/>
      <c r="S24" s="3286"/>
      <c r="T24" s="3286"/>
      <c r="U24" s="3286"/>
      <c r="V24" s="3286"/>
      <c r="W24" s="3286"/>
      <c r="X24" s="3286"/>
      <c r="Y24" s="3286"/>
      <c r="Z24" s="3286"/>
      <c r="AA24" s="3286"/>
      <c r="AB24" s="3274"/>
    </row>
    <row r="25" spans="2:28">
      <c r="B25" s="3271"/>
      <c r="C25" s="3283"/>
      <c r="D25" s="3283"/>
      <c r="E25" s="3284"/>
      <c r="F25" s="3285"/>
      <c r="G25" s="3284"/>
      <c r="H25" s="3286"/>
      <c r="I25" s="3286"/>
      <c r="J25" s="3286"/>
      <c r="K25" s="3286"/>
      <c r="L25" s="3286"/>
      <c r="M25" s="3286"/>
      <c r="N25" s="3286"/>
      <c r="O25" s="3286"/>
      <c r="P25" s="3286"/>
      <c r="Q25" s="3274" t="s">
        <v>902</v>
      </c>
      <c r="S25" s="3286"/>
      <c r="T25" s="3286"/>
      <c r="U25" s="3286"/>
      <c r="V25" s="3286"/>
      <c r="W25" s="3286"/>
      <c r="X25" s="3286"/>
      <c r="Y25" s="3286"/>
      <c r="Z25" s="3286"/>
      <c r="AA25" s="3286"/>
      <c r="AB25" s="3274"/>
    </row>
    <row r="26" spans="2:28">
      <c r="B26" s="3271"/>
      <c r="C26" s="3279" t="s">
        <v>916</v>
      </c>
      <c r="D26" s="3280" t="s">
        <v>1819</v>
      </c>
      <c r="E26" s="3284"/>
      <c r="F26" s="3285"/>
      <c r="G26" s="3284"/>
      <c r="H26" s="3281">
        <v>2013</v>
      </c>
      <c r="I26" s="3281">
        <v>2015</v>
      </c>
      <c r="J26" s="3281">
        <v>2020</v>
      </c>
      <c r="K26" s="3281">
        <v>2025</v>
      </c>
      <c r="L26" s="3281">
        <v>2030</v>
      </c>
      <c r="M26" s="3281">
        <v>2035</v>
      </c>
      <c r="N26" s="3281">
        <v>2040</v>
      </c>
      <c r="O26" s="3281">
        <v>2045</v>
      </c>
      <c r="P26" s="3282">
        <v>2050</v>
      </c>
      <c r="Q26" s="3274"/>
      <c r="S26" s="3281"/>
      <c r="T26" s="3281"/>
      <c r="U26" s="3281"/>
      <c r="V26" s="3281"/>
      <c r="W26" s="3281"/>
      <c r="X26" s="3281"/>
      <c r="Y26" s="3281"/>
      <c r="Z26" s="3281"/>
      <c r="AA26" s="3282"/>
      <c r="AB26" s="3274"/>
    </row>
    <row r="27" spans="2:28">
      <c r="B27" s="3271"/>
      <c r="C27" s="3285"/>
      <c r="D27" s="3285"/>
      <c r="E27" s="3285"/>
      <c r="F27" s="3285"/>
      <c r="G27" s="3284"/>
      <c r="H27" s="3273"/>
      <c r="I27" s="3273"/>
      <c r="J27" s="3273"/>
      <c r="K27" s="3273"/>
      <c r="L27" s="3273"/>
      <c r="M27" s="3273"/>
      <c r="N27" s="3273"/>
      <c r="O27" s="3273"/>
      <c r="P27" s="3273"/>
      <c r="Q27" s="3274"/>
      <c r="S27" s="3273"/>
      <c r="T27" s="3273"/>
      <c r="U27" s="3273"/>
      <c r="V27" s="3273"/>
      <c r="W27" s="3273"/>
      <c r="X27" s="3273"/>
      <c r="Y27" s="3273"/>
      <c r="Z27" s="3273"/>
      <c r="AA27" s="3273"/>
      <c r="AB27" s="3274"/>
    </row>
    <row r="28" spans="2:28">
      <c r="B28" s="3271"/>
      <c r="C28" s="3283" t="s">
        <v>612</v>
      </c>
      <c r="D28" s="3286" t="s">
        <v>917</v>
      </c>
      <c r="E28" s="3284"/>
      <c r="F28" s="3285"/>
      <c r="G28" s="3284"/>
      <c r="H28" s="3286">
        <f ca="1">INDEX(INDIRECT($C28&amp;".Info["&amp;H$4&amp;"]"),MATCH($C$26,INDIRECT($C28&amp;".Info[Vector]"),0))</f>
        <v>0</v>
      </c>
      <c r="I28" s="3286">
        <f t="shared" ref="I28:P28" ca="1" si="5">INDEX(INDIRECT($C28&amp;".Info["&amp;I$4&amp;"]"),MATCH($C$26,INDIRECT($C28&amp;".Info[Vector]"),0))</f>
        <v>2.6435952895938475E-2</v>
      </c>
      <c r="J28" s="3286">
        <f t="shared" ca="1" si="5"/>
        <v>8.6842105263157901E-2</v>
      </c>
      <c r="K28" s="3286">
        <f t="shared" ca="1" si="5"/>
        <v>8.6842105263157901E-2</v>
      </c>
      <c r="L28" s="3286">
        <f t="shared" ca="1" si="5"/>
        <v>8.6842105263157901E-2</v>
      </c>
      <c r="M28" s="3286">
        <f t="shared" ca="1" si="5"/>
        <v>8.6842105263157901E-2</v>
      </c>
      <c r="N28" s="3286">
        <f t="shared" ca="1" si="5"/>
        <v>8.6842105263157901E-2</v>
      </c>
      <c r="O28" s="3286">
        <f t="shared" ca="1" si="5"/>
        <v>0</v>
      </c>
      <c r="P28" s="3286">
        <f t="shared" ca="1" si="5"/>
        <v>0</v>
      </c>
      <c r="Q28" s="3274"/>
      <c r="S28" s="3286"/>
      <c r="T28" s="3286"/>
      <c r="U28" s="3286"/>
      <c r="V28" s="3286"/>
      <c r="W28" s="3286"/>
      <c r="X28" s="3286"/>
      <c r="Y28" s="3286"/>
      <c r="Z28" s="3286"/>
      <c r="AA28" s="3286"/>
      <c r="AB28" s="3274"/>
    </row>
    <row r="29" spans="2:28">
      <c r="B29" s="3271"/>
      <c r="C29" s="3283"/>
      <c r="D29" s="3283"/>
      <c r="E29" s="3284"/>
      <c r="F29" s="3285"/>
      <c r="G29" s="3284"/>
      <c r="H29" s="3286"/>
      <c r="I29" s="3286"/>
      <c r="J29" s="3286"/>
      <c r="K29" s="3286"/>
      <c r="L29" s="3286"/>
      <c r="M29" s="3286"/>
      <c r="N29" s="3286"/>
      <c r="O29" s="3286"/>
      <c r="P29" s="3286"/>
      <c r="Q29" s="3274" t="s">
        <v>741</v>
      </c>
      <c r="S29" s="3286"/>
      <c r="T29" s="3286"/>
      <c r="U29" s="3286"/>
      <c r="V29" s="3286"/>
      <c r="W29" s="3286"/>
      <c r="X29" s="3286"/>
      <c r="Y29" s="3286"/>
      <c r="Z29" s="3286"/>
      <c r="AA29" s="3286"/>
      <c r="AB29" s="3274"/>
    </row>
    <row r="30" spans="2:28">
      <c r="B30" s="3271"/>
      <c r="C30" s="3279" t="s">
        <v>313</v>
      </c>
      <c r="D30" s="3280" t="s">
        <v>314</v>
      </c>
      <c r="E30" s="3275"/>
      <c r="F30" s="3281"/>
      <c r="G30" s="3281"/>
      <c r="H30" s="3281">
        <v>2013</v>
      </c>
      <c r="I30" s="3281">
        <v>2015</v>
      </c>
      <c r="J30" s="3281">
        <v>2020</v>
      </c>
      <c r="K30" s="3281">
        <v>2025</v>
      </c>
      <c r="L30" s="3281">
        <v>2030</v>
      </c>
      <c r="M30" s="3281">
        <v>2035</v>
      </c>
      <c r="N30" s="3281">
        <v>2040</v>
      </c>
      <c r="O30" s="3281">
        <v>2045</v>
      </c>
      <c r="P30" s="3282">
        <v>2050</v>
      </c>
      <c r="Q30" s="3274"/>
      <c r="S30" s="3281"/>
      <c r="T30" s="3281"/>
      <c r="U30" s="3281"/>
      <c r="V30" s="3281"/>
      <c r="W30" s="3281"/>
      <c r="X30" s="3281"/>
      <c r="Y30" s="3281"/>
      <c r="Z30" s="3281"/>
      <c r="AA30" s="3282"/>
      <c r="AB30" s="3274"/>
    </row>
    <row r="31" spans="2:28">
      <c r="B31" s="3271"/>
      <c r="C31" s="3275"/>
      <c r="D31" s="3272"/>
      <c r="E31" s="3272"/>
      <c r="F31" s="3273"/>
      <c r="G31" s="3273"/>
      <c r="H31" s="3273"/>
      <c r="I31" s="3273"/>
      <c r="J31" s="3273"/>
      <c r="K31" s="3273"/>
      <c r="L31" s="3273"/>
      <c r="M31" s="3273"/>
      <c r="N31" s="3273"/>
      <c r="O31" s="3273"/>
      <c r="P31" s="3273"/>
      <c r="Q31" s="3274"/>
      <c r="S31" s="3273"/>
      <c r="T31" s="3273"/>
      <c r="U31" s="3273"/>
      <c r="V31" s="3273"/>
      <c r="W31" s="3273"/>
      <c r="X31" s="3273"/>
      <c r="Y31" s="3273"/>
      <c r="Z31" s="3273"/>
      <c r="AA31" s="3273"/>
      <c r="AB31" s="3274"/>
    </row>
    <row r="32" spans="2:28">
      <c r="B32" s="3271"/>
      <c r="C32" s="3283" t="s">
        <v>547</v>
      </c>
      <c r="D32" s="3286" t="str">
        <f ca="1">INDEX(INDIRECT($C32&amp;".Info[Information type]"),MATCH($C$30,INDIRECT($C32&amp;".Info[Vector]"),0))</f>
        <v>Number of thermal power stations</v>
      </c>
      <c r="E32" s="3284"/>
      <c r="F32" s="3285"/>
      <c r="G32" s="3284"/>
      <c r="H32" s="3286">
        <f ca="1">INDEX(INDIRECT($C32&amp;".Info["&amp;H$4&amp;"]"),MATCH($C$30,INDIRECT($C32&amp;".Info[Vector]"),0))</f>
        <v>12.093462921874524</v>
      </c>
      <c r="I32" s="3286">
        <f t="shared" ref="I32:P37" ca="1" si="6">INDEX(INDIRECT($C32&amp;".Info["&amp;I$4&amp;"]"),MATCH($C$30,INDIRECT($C32&amp;".Info[Vector]"),0))</f>
        <v>11.844501955014668</v>
      </c>
      <c r="J32" s="3286">
        <f t="shared" ca="1" si="6"/>
        <v>10.90279012134325</v>
      </c>
      <c r="K32" s="3286">
        <f t="shared" ca="1" si="6"/>
        <v>13.890101296193075</v>
      </c>
      <c r="L32" s="3286">
        <f t="shared" ca="1" si="6"/>
        <v>17.334712905038412</v>
      </c>
      <c r="M32" s="3286">
        <f t="shared" ca="1" si="6"/>
        <v>20.529628971391105</v>
      </c>
      <c r="N32" s="3286">
        <f t="shared" ca="1" si="6"/>
        <v>21.968035991843696</v>
      </c>
      <c r="O32" s="3286">
        <f t="shared" ca="1" si="6"/>
        <v>23.457837871518571</v>
      </c>
      <c r="P32" s="3286">
        <f t="shared" ca="1" si="6"/>
        <v>25.00350605466652</v>
      </c>
      <c r="Q32" s="3274"/>
      <c r="S32" s="3286"/>
      <c r="T32" s="3286"/>
      <c r="U32" s="3286"/>
      <c r="V32" s="3286"/>
      <c r="W32" s="3286"/>
      <c r="X32" s="3286"/>
      <c r="Y32" s="3286"/>
      <c r="Z32" s="3286"/>
      <c r="AA32" s="3286"/>
      <c r="AB32" s="3274"/>
    </row>
    <row r="33" spans="2:28">
      <c r="B33" s="3271"/>
      <c r="C33" s="3283" t="s">
        <v>544</v>
      </c>
      <c r="D33" s="3286" t="str">
        <f ca="1">INDEX(INDIRECT($C33&amp;".Info[Information type]"),MATCH($C$30,INDIRECT($C33&amp;".Info[Vector]"),0))</f>
        <v>0.5 GW CCS power stations</v>
      </c>
      <c r="E33" s="3284"/>
      <c r="F33" s="3285"/>
      <c r="G33" s="3284"/>
      <c r="H33" s="3286">
        <f ca="1">INDEX(INDIRECT($C33&amp;".Info["&amp;H$4&amp;"]"),MATCH($C$30,INDIRECT($C33&amp;".Info[Vector]"),0))</f>
        <v>0</v>
      </c>
      <c r="I33" s="3286">
        <f t="shared" ca="1" si="6"/>
        <v>0</v>
      </c>
      <c r="J33" s="3286">
        <f t="shared" ca="1" si="6"/>
        <v>0</v>
      </c>
      <c r="K33" s="3286">
        <f t="shared" ca="1" si="6"/>
        <v>0</v>
      </c>
      <c r="L33" s="3286">
        <f t="shared" ca="1" si="6"/>
        <v>0</v>
      </c>
      <c r="M33" s="3286">
        <f t="shared" ca="1" si="6"/>
        <v>0</v>
      </c>
      <c r="N33" s="3286">
        <f t="shared" ca="1" si="6"/>
        <v>0</v>
      </c>
      <c r="O33" s="3286">
        <f t="shared" ca="1" si="6"/>
        <v>0</v>
      </c>
      <c r="P33" s="3286">
        <f t="shared" ca="1" si="6"/>
        <v>0</v>
      </c>
      <c r="Q33" s="3274"/>
      <c r="S33" s="3286"/>
      <c r="T33" s="3286"/>
      <c r="U33" s="3286"/>
      <c r="V33" s="3286"/>
      <c r="W33" s="3286"/>
      <c r="X33" s="3286"/>
      <c r="Y33" s="3286"/>
      <c r="Z33" s="3286"/>
      <c r="AA33" s="3286"/>
      <c r="AB33" s="3274"/>
    </row>
    <row r="34" spans="2:28">
      <c r="B34" s="3271"/>
      <c r="C34" s="3283" t="s">
        <v>539</v>
      </c>
      <c r="D34" s="3286" t="str">
        <f ca="1">INDEX(INDIRECT($C34&amp;".Info[Information type]"),MATCH($C$30,INDIRECT($C34&amp;".Info[Vector]"),0))</f>
        <v>1 GW nuclear power station complexes</v>
      </c>
      <c r="E34" s="3284"/>
      <c r="F34" s="3285"/>
      <c r="G34" s="3284"/>
      <c r="H34" s="3286">
        <f ca="1">INDEX(INDIRECT($C34&amp;".Info["&amp;H$4&amp;"]"),MATCH($C$30,INDIRECT($C34&amp;".Info[Vector]"),0))</f>
        <v>0</v>
      </c>
      <c r="I34" s="3286">
        <f t="shared" ca="1" si="6"/>
        <v>0</v>
      </c>
      <c r="J34" s="3286">
        <f t="shared" ca="1" si="6"/>
        <v>0</v>
      </c>
      <c r="K34" s="3286">
        <f t="shared" ca="1" si="6"/>
        <v>0</v>
      </c>
      <c r="L34" s="3286">
        <f t="shared" ca="1" si="6"/>
        <v>0</v>
      </c>
      <c r="M34" s="3286">
        <f t="shared" ca="1" si="6"/>
        <v>0</v>
      </c>
      <c r="N34" s="3286">
        <f t="shared" ca="1" si="6"/>
        <v>0</v>
      </c>
      <c r="O34" s="3286">
        <f t="shared" ca="1" si="6"/>
        <v>0</v>
      </c>
      <c r="P34" s="3286">
        <f t="shared" ca="1" si="6"/>
        <v>0</v>
      </c>
      <c r="Q34" s="3274"/>
      <c r="S34" s="3286"/>
      <c r="T34" s="3286"/>
      <c r="U34" s="3286"/>
      <c r="V34" s="3286"/>
      <c r="W34" s="3286"/>
      <c r="X34" s="3286"/>
      <c r="Y34" s="3286"/>
      <c r="Z34" s="3286"/>
      <c r="AA34" s="3286"/>
      <c r="AB34" s="3274"/>
    </row>
    <row r="35" spans="2:28">
      <c r="B35" s="3271"/>
      <c r="C35" s="3283" t="s">
        <v>519</v>
      </c>
      <c r="D35" s="3286" t="s">
        <v>3088</v>
      </c>
      <c r="E35" s="3284"/>
      <c r="F35" s="3285"/>
      <c r="G35" s="3284"/>
      <c r="H35" s="3286"/>
      <c r="I35" s="3286"/>
      <c r="J35" s="3286"/>
      <c r="K35" s="3286"/>
      <c r="L35" s="3286"/>
      <c r="M35" s="3286"/>
      <c r="N35" s="3286"/>
      <c r="O35" s="3286"/>
      <c r="P35" s="3286"/>
      <c r="Q35" s="3274"/>
      <c r="S35" s="3286"/>
      <c r="T35" s="3286"/>
      <c r="U35" s="3286"/>
      <c r="V35" s="3286"/>
      <c r="W35" s="3286"/>
      <c r="X35" s="3286"/>
      <c r="Y35" s="3286"/>
      <c r="Z35" s="3286"/>
      <c r="AA35" s="3286"/>
      <c r="AB35" s="3274"/>
    </row>
    <row r="36" spans="2:28">
      <c r="B36" s="3271"/>
      <c r="C36" s="3283" t="s">
        <v>560</v>
      </c>
      <c r="D36" s="3286" t="str">
        <f ca="1">INDEX(INDIRECT($C36&amp;".Info[Information type]"),MATCH($C$30,INDIRECT($C36&amp;".Info[Vector]"),0))</f>
        <v>Number of 500 MW standby generators</v>
      </c>
      <c r="E36" s="3284"/>
      <c r="F36" s="3285"/>
      <c r="G36" s="3284"/>
      <c r="H36" s="3286">
        <f ca="1">INDEX(INDIRECT($C36&amp;".Info["&amp;H$4&amp;"]"),MATCH($C$30,INDIRECT($C36&amp;".Info[Vector]"),0))</f>
        <v>0.56569974542912582</v>
      </c>
      <c r="I36" s="3286">
        <f t="shared" ca="1" si="6"/>
        <v>0.98203282221065447</v>
      </c>
      <c r="J36" s="3286">
        <f t="shared" ca="1" si="6"/>
        <v>2.38453405360374</v>
      </c>
      <c r="K36" s="3286">
        <f t="shared" ca="1" si="6"/>
        <v>0</v>
      </c>
      <c r="L36" s="3286">
        <f t="shared" ca="1" si="6"/>
        <v>0</v>
      </c>
      <c r="M36" s="3286">
        <f t="shared" ca="1" si="6"/>
        <v>0</v>
      </c>
      <c r="N36" s="3286">
        <f t="shared" ca="1" si="6"/>
        <v>0</v>
      </c>
      <c r="O36" s="3286">
        <f t="shared" ca="1" si="6"/>
        <v>0</v>
      </c>
      <c r="P36" s="3286">
        <f t="shared" ca="1" si="6"/>
        <v>0</v>
      </c>
      <c r="Q36" s="3274"/>
      <c r="S36" s="3286"/>
      <c r="T36" s="3286"/>
      <c r="U36" s="3286"/>
      <c r="V36" s="3286"/>
      <c r="W36" s="3286"/>
      <c r="X36" s="3286"/>
      <c r="Y36" s="3286"/>
      <c r="Z36" s="3286"/>
      <c r="AA36" s="3286"/>
      <c r="AB36" s="3274"/>
    </row>
    <row r="37" spans="2:28">
      <c r="B37" s="3271"/>
      <c r="C37" s="3283" t="s">
        <v>499</v>
      </c>
      <c r="D37" s="3286" t="str">
        <f ca="1">INDEX(INDIRECT($C37&amp;".Info[Information type]"),MATCH($C$30,INDIRECT($C37&amp;".Info[Vector]"),0))</f>
        <v>Number of waste to energy facilities (0.25 Mt capacity)</v>
      </c>
      <c r="E37" s="3284"/>
      <c r="F37" s="3285"/>
      <c r="G37" s="3284"/>
      <c r="H37" s="3286">
        <f ca="1">INDEX(INDIRECT($C37&amp;".Info["&amp;H$4&amp;"]"),MATCH($C$30,INDIRECT($C37&amp;".Info[Vector]"),0))</f>
        <v>0.69393436000000008</v>
      </c>
      <c r="I37" s="3286">
        <f t="shared" ca="1" si="6"/>
        <v>0.74444735000000006</v>
      </c>
      <c r="J37" s="3286">
        <f t="shared" ca="1" si="6"/>
        <v>2.8722638173063184</v>
      </c>
      <c r="K37" s="3286">
        <f t="shared" ca="1" si="6"/>
        <v>2.8837378734162455</v>
      </c>
      <c r="L37" s="3286">
        <f t="shared" ca="1" si="6"/>
        <v>2.8966980242694973</v>
      </c>
      <c r="M37" s="3286">
        <f t="shared" ca="1" si="6"/>
        <v>2.9376844985923918</v>
      </c>
      <c r="N37" s="3286">
        <f t="shared" ca="1" si="6"/>
        <v>2.9853050574340472</v>
      </c>
      <c r="O37" s="3286">
        <f t="shared" ca="1" si="6"/>
        <v>3.0404254619208886</v>
      </c>
      <c r="P37" s="3286">
        <f t="shared" ca="1" si="6"/>
        <v>3.1040139029092226</v>
      </c>
      <c r="Q37" s="3274"/>
      <c r="S37" s="3286"/>
      <c r="T37" s="3286"/>
      <c r="U37" s="3286"/>
      <c r="V37" s="3286"/>
      <c r="W37" s="3286"/>
      <c r="X37" s="3286"/>
      <c r="Y37" s="3286"/>
      <c r="Z37" s="3286"/>
      <c r="AA37" s="3286"/>
      <c r="AB37" s="3274"/>
    </row>
    <row r="38" spans="2:28">
      <c r="B38" s="3271"/>
      <c r="C38" s="3283"/>
      <c r="D38" s="3283"/>
      <c r="E38" s="3284"/>
      <c r="F38" s="3285"/>
      <c r="G38" s="3284"/>
      <c r="H38" s="3286"/>
      <c r="I38" s="3286"/>
      <c r="J38" s="3286"/>
      <c r="K38" s="3286"/>
      <c r="L38" s="3286"/>
      <c r="M38" s="3286"/>
      <c r="N38" s="3286"/>
      <c r="O38" s="3286"/>
      <c r="P38" s="3286"/>
      <c r="Q38" s="3274"/>
      <c r="R38" s="3971" t="s">
        <v>5</v>
      </c>
      <c r="S38" s="3286"/>
      <c r="T38" s="3286"/>
      <c r="U38" s="3286"/>
      <c r="V38" s="3286"/>
      <c r="W38" s="3286"/>
      <c r="X38" s="3286"/>
      <c r="Y38" s="3286"/>
      <c r="Z38" s="3286"/>
      <c r="AA38" s="3286"/>
      <c r="AB38" s="3274"/>
    </row>
    <row r="39" spans="2:28">
      <c r="S39" s="3286"/>
      <c r="T39" s="3286"/>
      <c r="U39" s="3286"/>
      <c r="V39" s="3286"/>
      <c r="W39" s="3286"/>
      <c r="X39" s="3286"/>
      <c r="Y39" s="3286"/>
      <c r="Z39" s="3286"/>
      <c r="AA39" s="3286"/>
      <c r="AB39" s="3274"/>
    </row>
    <row r="40" spans="2:28">
      <c r="P40" s="3972" t="s">
        <v>5</v>
      </c>
      <c r="S40" s="3286"/>
      <c r="T40" s="3286"/>
      <c r="U40" s="3286"/>
      <c r="V40" s="3286"/>
      <c r="W40" s="3286"/>
      <c r="X40" s="3286"/>
      <c r="Y40" s="3286"/>
      <c r="Z40" s="3286"/>
      <c r="AA40" s="3286"/>
      <c r="AB40" s="3274"/>
    </row>
    <row r="41" spans="2:28" ht="15">
      <c r="B41" s="3263"/>
      <c r="C41" s="3976" t="s">
        <v>3255</v>
      </c>
      <c r="D41" s="3264"/>
      <c r="E41" s="3264"/>
      <c r="F41" s="3264"/>
      <c r="G41" s="3264"/>
      <c r="H41" s="3265"/>
      <c r="I41" s="3265"/>
      <c r="J41" s="3265"/>
      <c r="K41" s="3265"/>
      <c r="L41" s="3265"/>
      <c r="M41" s="3265"/>
      <c r="N41" s="3265"/>
      <c r="O41" s="3265"/>
      <c r="P41" s="3265"/>
      <c r="Q41" s="3266"/>
      <c r="S41" s="3286"/>
      <c r="T41" s="3286"/>
      <c r="U41" s="3286"/>
      <c r="V41" s="3286"/>
      <c r="W41" s="3286"/>
      <c r="X41" s="3286"/>
      <c r="Y41" s="3286"/>
      <c r="Z41" s="3286"/>
      <c r="AA41" s="3286"/>
      <c r="AB41" s="3274"/>
    </row>
    <row r="42" spans="2:28" ht="15">
      <c r="B42" s="3267"/>
      <c r="C42" s="3268"/>
      <c r="D42" s="3268"/>
      <c r="E42" s="3268"/>
      <c r="F42" s="3268"/>
      <c r="G42" s="3268"/>
      <c r="H42" s="3269"/>
      <c r="I42" s="3269"/>
      <c r="J42" s="3269"/>
      <c r="K42" s="3269"/>
      <c r="L42" s="3269"/>
      <c r="M42" s="3269"/>
      <c r="N42" s="3269"/>
      <c r="O42" s="3269"/>
      <c r="P42" s="3269"/>
      <c r="Q42" s="3274"/>
      <c r="S42" s="3286"/>
      <c r="T42" s="3286"/>
      <c r="U42" s="3286"/>
      <c r="V42" s="3286"/>
      <c r="W42" s="3286"/>
      <c r="X42" s="3286"/>
      <c r="Y42" s="3286"/>
      <c r="Z42" s="3286"/>
      <c r="AA42" s="3286"/>
      <c r="AB42" s="3274"/>
    </row>
    <row r="43" spans="2:28">
      <c r="B43" s="3271"/>
      <c r="C43" s="3281"/>
      <c r="D43" s="3975"/>
      <c r="E43" s="3281"/>
      <c r="F43" s="3281"/>
      <c r="G43" s="3282" t="s">
        <v>3252</v>
      </c>
      <c r="H43" s="3281">
        <v>2013</v>
      </c>
      <c r="I43" s="3281">
        <v>2015</v>
      </c>
      <c r="J43" s="3281">
        <v>2020</v>
      </c>
      <c r="K43" s="3281">
        <v>2025</v>
      </c>
      <c r="L43" s="3281">
        <v>2030</v>
      </c>
      <c r="M43" s="3281">
        <v>2035</v>
      </c>
      <c r="N43" s="3281">
        <v>2040</v>
      </c>
      <c r="O43" s="3281">
        <v>2045</v>
      </c>
      <c r="P43" s="3282">
        <v>2050</v>
      </c>
      <c r="Q43" s="3274"/>
      <c r="S43" s="3286"/>
      <c r="T43" s="3286"/>
      <c r="U43" s="3286"/>
      <c r="V43" s="3286"/>
      <c r="W43" s="3286"/>
      <c r="X43" s="3286"/>
      <c r="Y43" s="3286"/>
      <c r="Z43" s="3286"/>
      <c r="AA43" s="3286"/>
      <c r="AB43" s="3274"/>
    </row>
    <row r="44" spans="2:28">
      <c r="B44" s="3271"/>
      <c r="C44" s="3283"/>
      <c r="D44" s="3286" t="s">
        <v>3210</v>
      </c>
      <c r="E44" s="3283"/>
      <c r="F44" s="3273"/>
      <c r="G44" s="3977" t="s">
        <v>511</v>
      </c>
      <c r="H44" s="3273">
        <f t="shared" ref="H44:H50" ca="1" si="7">INDEX(INDIRECT($C6&amp;".Info["&amp;H$4&amp;"]"),MATCH($C$4,INDIRECT($C6&amp;".Info[Vector]"),0))</f>
        <v>56.000000000000007</v>
      </c>
      <c r="I44" s="3273">
        <f t="shared" ref="I44:P44" ca="1" si="8">INDEX(INDIRECT($C6&amp;".Info["&amp;I$4&amp;"]"),MATCH($C$4,INDIRECT($C6&amp;".Info[Vector]"),0))</f>
        <v>70.144444444444431</v>
      </c>
      <c r="J44" s="3273">
        <f t="shared" ca="1" si="8"/>
        <v>70.144444444444431</v>
      </c>
      <c r="K44" s="3273">
        <f t="shared" ca="1" si="8"/>
        <v>42.283333333333324</v>
      </c>
      <c r="L44" s="3273">
        <f t="shared" ca="1" si="8"/>
        <v>14.422222222222219</v>
      </c>
      <c r="M44" s="3273">
        <f t="shared" ca="1" si="8"/>
        <v>0.49166666666666337</v>
      </c>
      <c r="N44" s="3273">
        <f t="shared" ca="1" si="8"/>
        <v>0.49166666666666337</v>
      </c>
      <c r="O44" s="3273">
        <f t="shared" ca="1" si="8"/>
        <v>0.49166666666666337</v>
      </c>
      <c r="P44" s="3273">
        <f t="shared" ca="1" si="8"/>
        <v>0.49166666666666337</v>
      </c>
      <c r="Q44" s="3274"/>
      <c r="S44" s="3286"/>
      <c r="T44" s="3286"/>
      <c r="U44" s="3286"/>
      <c r="V44" s="3286"/>
      <c r="W44" s="3286"/>
      <c r="X44" s="3286"/>
      <c r="Y44" s="3286"/>
      <c r="Z44" s="3286"/>
      <c r="AA44" s="3286"/>
      <c r="AB44" s="3274"/>
    </row>
    <row r="45" spans="2:28">
      <c r="B45" s="3271"/>
      <c r="C45" s="3283"/>
      <c r="D45" s="3286" t="s">
        <v>3155</v>
      </c>
      <c r="E45" s="3283"/>
      <c r="F45" s="3285"/>
      <c r="G45" s="3977" t="s">
        <v>515</v>
      </c>
      <c r="H45" s="3967">
        <f t="shared" ca="1" si="7"/>
        <v>7.5409090909090883</v>
      </c>
      <c r="I45" s="3967">
        <f t="shared" ref="I45:P45" ca="1" si="9">INDEX(INDIRECT($C7&amp;".Info["&amp;I$4&amp;"]"),MATCH($C$4,INDIRECT($C7&amp;".Info[Vector]"),0))</f>
        <v>7.5409090909090883</v>
      </c>
      <c r="J45" s="3967">
        <f t="shared" ca="1" si="9"/>
        <v>7.5409090909090883</v>
      </c>
      <c r="K45" s="3967">
        <f t="shared" ca="1" si="9"/>
        <v>7.5409090909090883</v>
      </c>
      <c r="L45" s="3967">
        <f t="shared" ca="1" si="9"/>
        <v>4.8363636363636351</v>
      </c>
      <c r="M45" s="3967">
        <f t="shared" ca="1" si="9"/>
        <v>3.1818181818181812</v>
      </c>
      <c r="N45" s="3967">
        <f t="shared" ca="1" si="9"/>
        <v>2.2272727272727266</v>
      </c>
      <c r="O45" s="3967">
        <f t="shared" ca="1" si="9"/>
        <v>1.5909090909090906</v>
      </c>
      <c r="P45" s="3967">
        <f t="shared" ca="1" si="9"/>
        <v>0</v>
      </c>
      <c r="Q45" s="3274"/>
      <c r="S45" s="3286"/>
      <c r="T45" s="3286"/>
      <c r="U45" s="3286"/>
      <c r="V45" s="3286"/>
      <c r="W45" s="3286"/>
      <c r="X45" s="3286"/>
      <c r="Y45" s="3286"/>
      <c r="Z45" s="3286"/>
      <c r="AA45" s="3286"/>
      <c r="AB45" s="3274"/>
    </row>
    <row r="46" spans="2:28">
      <c r="B46" s="3271"/>
      <c r="C46" s="3283"/>
      <c r="D46" s="3286" t="s">
        <v>1874</v>
      </c>
      <c r="E46" s="3283"/>
      <c r="F46" s="3285"/>
      <c r="G46" s="3977" t="s">
        <v>525</v>
      </c>
      <c r="H46" s="3967">
        <f t="shared" ca="1" si="7"/>
        <v>0</v>
      </c>
      <c r="I46" s="3967">
        <f t="shared" ref="I46:P46" ca="1" si="10">INDEX(INDIRECT($C8&amp;".Info["&amp;I$4&amp;"]"),MATCH($C$4,INDIRECT($C8&amp;".Info[Vector]"),0))</f>
        <v>0</v>
      </c>
      <c r="J46" s="3967">
        <f t="shared" ca="1" si="10"/>
        <v>0</v>
      </c>
      <c r="K46" s="3967">
        <f t="shared" ca="1" si="10"/>
        <v>0</v>
      </c>
      <c r="L46" s="3967">
        <f t="shared" ca="1" si="10"/>
        <v>0</v>
      </c>
      <c r="M46" s="3967">
        <f t="shared" ca="1" si="10"/>
        <v>0</v>
      </c>
      <c r="N46" s="3967">
        <f t="shared" ca="1" si="10"/>
        <v>0</v>
      </c>
      <c r="O46" s="3967">
        <f t="shared" ca="1" si="10"/>
        <v>0</v>
      </c>
      <c r="P46" s="3967">
        <f t="shared" ca="1" si="10"/>
        <v>0</v>
      </c>
      <c r="Q46" s="3274"/>
      <c r="S46" s="3286"/>
      <c r="T46" s="3286"/>
      <c r="U46" s="3286"/>
      <c r="V46" s="3286"/>
      <c r="W46" s="3286"/>
      <c r="X46" s="3286"/>
      <c r="Y46" s="3286"/>
      <c r="Z46" s="3286"/>
      <c r="AA46" s="3286"/>
      <c r="AB46" s="3274"/>
    </row>
    <row r="47" spans="2:28">
      <c r="B47" s="3271"/>
      <c r="C47" s="3283"/>
      <c r="D47" s="3286" t="s">
        <v>2685</v>
      </c>
      <c r="E47" s="3283"/>
      <c r="F47" s="3285"/>
      <c r="G47" s="3977" t="s">
        <v>25</v>
      </c>
      <c r="H47" s="3967">
        <f t="shared" ca="1" si="7"/>
        <v>0.13381209031318281</v>
      </c>
      <c r="I47" s="3967">
        <f t="shared" ref="I47:P47" ca="1" si="11">INDEX(INDIRECT($C9&amp;".Info["&amp;I$4&amp;"]"),MATCH($C$4,INDIRECT($C9&amp;".Info[Vector]"),0))</f>
        <v>0.17246850990151383</v>
      </c>
      <c r="J47" s="3967">
        <f t="shared" ca="1" si="11"/>
        <v>0.18186124430257217</v>
      </c>
      <c r="K47" s="3967">
        <f t="shared" ca="1" si="11"/>
        <v>0.19120054807283343</v>
      </c>
      <c r="L47" s="3967">
        <f t="shared" ca="1" si="11"/>
        <v>0.20000552580370909</v>
      </c>
      <c r="M47" s="3967">
        <f t="shared" ca="1" si="11"/>
        <v>0.20930766415949723</v>
      </c>
      <c r="N47" s="3967">
        <f t="shared" ca="1" si="11"/>
        <v>0.2190930054839145</v>
      </c>
      <c r="O47" s="3967">
        <f t="shared" ca="1" si="11"/>
        <v>0.22881871680332172</v>
      </c>
      <c r="P47" s="3967">
        <f t="shared" ca="1" si="11"/>
        <v>0.23905106792861408</v>
      </c>
      <c r="Q47" s="3274"/>
      <c r="S47" s="3286"/>
      <c r="T47" s="3286"/>
      <c r="U47" s="3286"/>
      <c r="V47" s="3286"/>
      <c r="W47" s="3286"/>
      <c r="X47" s="3286"/>
      <c r="Y47" s="3286"/>
      <c r="Z47" s="3286"/>
      <c r="AA47" s="3286"/>
      <c r="AB47" s="3274"/>
    </row>
    <row r="48" spans="2:28">
      <c r="B48" s="3271"/>
      <c r="C48" s="3283"/>
      <c r="D48" s="3286" t="s">
        <v>3083</v>
      </c>
      <c r="E48" s="3283"/>
      <c r="F48" s="3285"/>
      <c r="G48" s="3977" t="s">
        <v>527</v>
      </c>
      <c r="H48" s="3967">
        <f t="shared" ca="1" si="7"/>
        <v>0</v>
      </c>
      <c r="I48" s="3967">
        <f t="shared" ref="I48:P48" ca="1" si="12">INDEX(INDIRECT($C10&amp;".Info["&amp;I$4&amp;"]"),MATCH($C$4,INDIRECT($C10&amp;".Info[Vector]"),0))</f>
        <v>0</v>
      </c>
      <c r="J48" s="3967">
        <f t="shared" ca="1" si="12"/>
        <v>0</v>
      </c>
      <c r="K48" s="3967">
        <f t="shared" ca="1" si="12"/>
        <v>0</v>
      </c>
      <c r="L48" s="3967">
        <f t="shared" ca="1" si="12"/>
        <v>0</v>
      </c>
      <c r="M48" s="3967">
        <f t="shared" ca="1" si="12"/>
        <v>0</v>
      </c>
      <c r="N48" s="3967">
        <f t="shared" ca="1" si="12"/>
        <v>0</v>
      </c>
      <c r="O48" s="3967">
        <f t="shared" ca="1" si="12"/>
        <v>0</v>
      </c>
      <c r="P48" s="3967">
        <f t="shared" ca="1" si="12"/>
        <v>0</v>
      </c>
      <c r="Q48" s="3274"/>
      <c r="S48" s="3286"/>
      <c r="T48" s="3286"/>
      <c r="U48" s="3286"/>
      <c r="V48" s="3286"/>
      <c r="W48" s="3286"/>
      <c r="X48" s="3286"/>
      <c r="Y48" s="3286"/>
      <c r="Z48" s="3286"/>
      <c r="AA48" s="3286"/>
      <c r="AB48" s="3274"/>
    </row>
    <row r="49" spans="2:28">
      <c r="B49" s="3271"/>
      <c r="C49" s="3283"/>
      <c r="D49" s="3286" t="s">
        <v>2043</v>
      </c>
      <c r="E49" s="3283"/>
      <c r="F49" s="3285"/>
      <c r="G49" s="3977" t="s">
        <v>3084</v>
      </c>
      <c r="H49" s="3967">
        <f t="shared" ca="1" si="7"/>
        <v>156</v>
      </c>
      <c r="I49" s="3967">
        <f t="shared" ref="I49:P49" ca="1" si="13">INDEX(INDIRECT($C11&amp;".Info["&amp;I$4&amp;"]"),MATCH($C$4,INDIRECT($C11&amp;".Info[Vector]"),0))</f>
        <v>156</v>
      </c>
      <c r="J49" s="3967">
        <f t="shared" ca="1" si="13"/>
        <v>156</v>
      </c>
      <c r="K49" s="3967">
        <f t="shared" ca="1" si="13"/>
        <v>156</v>
      </c>
      <c r="L49" s="3967">
        <f t="shared" ca="1" si="13"/>
        <v>156</v>
      </c>
      <c r="M49" s="3967">
        <f t="shared" ca="1" si="13"/>
        <v>156</v>
      </c>
      <c r="N49" s="3967">
        <f t="shared" ca="1" si="13"/>
        <v>156</v>
      </c>
      <c r="O49" s="3967">
        <f t="shared" ca="1" si="13"/>
        <v>156</v>
      </c>
      <c r="P49" s="3967">
        <f t="shared" ca="1" si="13"/>
        <v>156</v>
      </c>
      <c r="Q49" s="3274"/>
      <c r="S49" s="3286"/>
      <c r="T49" s="3286"/>
      <c r="U49" s="3286"/>
      <c r="V49" s="3286"/>
      <c r="W49" s="3286"/>
      <c r="X49" s="3286"/>
      <c r="Y49" s="3286"/>
      <c r="Z49" s="3286"/>
      <c r="AA49" s="3286"/>
      <c r="AB49" s="3274"/>
    </row>
    <row r="50" spans="2:28">
      <c r="B50" s="3271"/>
      <c r="C50" s="3283"/>
      <c r="D50" s="3286" t="s">
        <v>2045</v>
      </c>
      <c r="E50" s="3283"/>
      <c r="F50" s="3285"/>
      <c r="G50" s="3977" t="s">
        <v>3085</v>
      </c>
      <c r="H50" s="3967">
        <f t="shared" ca="1" si="7"/>
        <v>7566</v>
      </c>
      <c r="I50" s="3967">
        <f t="shared" ref="I50:P50" ca="1" si="14">INDEX(INDIRECT($C12&amp;".Info["&amp;I$4&amp;"]"),MATCH($C$4,INDIRECT($C12&amp;".Info[Vector]"),0))</f>
        <v>7652.4864864864903</v>
      </c>
      <c r="J50" s="3967">
        <f t="shared" ca="1" si="14"/>
        <v>7868.7027027026998</v>
      </c>
      <c r="K50" s="3967">
        <f t="shared" ca="1" si="14"/>
        <v>8084.9189189189201</v>
      </c>
      <c r="L50" s="3967">
        <f t="shared" ca="1" si="14"/>
        <v>8301.1351351351295</v>
      </c>
      <c r="M50" s="3967">
        <f t="shared" ca="1" si="14"/>
        <v>8517.3513513513499</v>
      </c>
      <c r="N50" s="3967">
        <f t="shared" ca="1" si="14"/>
        <v>8733.5675675675702</v>
      </c>
      <c r="O50" s="3967">
        <f t="shared" ca="1" si="14"/>
        <v>8949.7837837837797</v>
      </c>
      <c r="P50" s="3967">
        <f t="shared" ca="1" si="14"/>
        <v>9166</v>
      </c>
      <c r="Q50" s="3274"/>
      <c r="S50" s="3286"/>
      <c r="T50" s="3286"/>
      <c r="U50" s="3286"/>
      <c r="V50" s="3286"/>
      <c r="W50" s="3286"/>
      <c r="X50" s="3286"/>
      <c r="Y50" s="3286"/>
      <c r="Z50" s="3286"/>
      <c r="AA50" s="3286"/>
      <c r="AB50" s="3274"/>
    </row>
    <row r="51" spans="2:28">
      <c r="B51" s="3271"/>
      <c r="C51" s="3283"/>
      <c r="D51" s="3286" t="s">
        <v>3086</v>
      </c>
      <c r="E51" s="3283"/>
      <c r="F51" s="3285"/>
      <c r="G51" s="3977" t="s">
        <v>513</v>
      </c>
      <c r="H51" s="3967">
        <f ca="1">INDEX(INDIRECT($C16&amp;".Info["&amp;H$4&amp;"]"),MATCH($C$14,INDIRECT($C16&amp;".Info[Vector]"),0))</f>
        <v>1.0555555555555558</v>
      </c>
      <c r="I51" s="3967">
        <f t="shared" ref="I51:P51" ca="1" si="15">INDEX(INDIRECT($C16&amp;".Info["&amp;I$4&amp;"]"),MATCH($C$14,INDIRECT($C16&amp;".Info[Vector]"),0))</f>
        <v>1.0555555555555558</v>
      </c>
      <c r="J51" s="3967">
        <f t="shared" ca="1" si="15"/>
        <v>1.1111111111111112</v>
      </c>
      <c r="K51" s="3967">
        <f t="shared" ca="1" si="15"/>
        <v>0</v>
      </c>
      <c r="L51" s="3967">
        <f t="shared" ca="1" si="15"/>
        <v>0</v>
      </c>
      <c r="M51" s="3967">
        <f t="shared" ca="1" si="15"/>
        <v>0</v>
      </c>
      <c r="N51" s="3967">
        <f t="shared" ca="1" si="15"/>
        <v>0</v>
      </c>
      <c r="O51" s="3967">
        <f t="shared" ca="1" si="15"/>
        <v>0</v>
      </c>
      <c r="P51" s="3967">
        <f t="shared" ca="1" si="15"/>
        <v>0</v>
      </c>
      <c r="Q51" s="3274"/>
      <c r="S51" s="3286"/>
      <c r="T51" s="3286"/>
      <c r="U51" s="3286"/>
      <c r="V51" s="3286"/>
      <c r="W51" s="3286"/>
      <c r="X51" s="3286"/>
      <c r="Y51" s="3286"/>
      <c r="Z51" s="3286"/>
      <c r="AA51" s="3286"/>
      <c r="AB51" s="3274"/>
    </row>
    <row r="52" spans="2:28">
      <c r="B52" s="3271"/>
      <c r="C52" s="3283"/>
      <c r="D52" s="3286" t="s">
        <v>919</v>
      </c>
      <c r="E52" s="3283"/>
      <c r="F52" s="3285"/>
      <c r="G52" s="3977" t="s">
        <v>614</v>
      </c>
      <c r="H52" s="3967">
        <f ca="1">INDEX(INDIRECT($C17&amp;".Info["&amp;H$4&amp;"]"),MATCH($C$14,INDIRECT($C17&amp;".Info[Vector]"),0))</f>
        <v>0</v>
      </c>
      <c r="I52" s="3967">
        <f t="shared" ref="I52:P52" ca="1" si="16">INDEX(INDIRECT($C17&amp;".Info["&amp;I$4&amp;"]"),MATCH($C$14,INDIRECT($C17&amp;".Info[Vector]"),0))</f>
        <v>0</v>
      </c>
      <c r="J52" s="3967">
        <f t="shared" ca="1" si="16"/>
        <v>0</v>
      </c>
      <c r="K52" s="3967">
        <f t="shared" ca="1" si="16"/>
        <v>0</v>
      </c>
      <c r="L52" s="3967">
        <f t="shared" ca="1" si="16"/>
        <v>0</v>
      </c>
      <c r="M52" s="3967">
        <f t="shared" ca="1" si="16"/>
        <v>0</v>
      </c>
      <c r="N52" s="3967">
        <f t="shared" ca="1" si="16"/>
        <v>0</v>
      </c>
      <c r="O52" s="3967">
        <f t="shared" ca="1" si="16"/>
        <v>0</v>
      </c>
      <c r="P52" s="3967">
        <f t="shared" ca="1" si="16"/>
        <v>0</v>
      </c>
      <c r="Q52" s="3274"/>
      <c r="S52" s="3286"/>
      <c r="T52" s="3286"/>
      <c r="U52" s="3286"/>
      <c r="V52" s="3286"/>
      <c r="W52" s="3286"/>
      <c r="X52" s="3286"/>
      <c r="Y52" s="3286"/>
      <c r="Z52" s="3286"/>
      <c r="AA52" s="3286"/>
      <c r="AB52" s="3274"/>
    </row>
    <row r="53" spans="2:28">
      <c r="B53" s="3271"/>
      <c r="C53" s="3283"/>
      <c r="D53" s="3286" t="s">
        <v>922</v>
      </c>
      <c r="E53" s="3283"/>
      <c r="F53" s="3281"/>
      <c r="G53" s="3977" t="s">
        <v>616</v>
      </c>
      <c r="H53" s="3272">
        <f ca="1">INDEX(INDIRECT($C18&amp;".Info["&amp;H$4&amp;"]"),MATCH($C$14,INDIRECT($C18&amp;".Info[Vector]"),0))</f>
        <v>0</v>
      </c>
      <c r="I53" s="3272">
        <f t="shared" ref="I53:P53" ca="1" si="17">INDEX(INDIRECT($C18&amp;".Info["&amp;I$4&amp;"]"),MATCH($C$14,INDIRECT($C18&amp;".Info[Vector]"),0))</f>
        <v>0</v>
      </c>
      <c r="J53" s="3272">
        <f t="shared" ca="1" si="17"/>
        <v>0</v>
      </c>
      <c r="K53" s="3272">
        <f t="shared" ca="1" si="17"/>
        <v>0</v>
      </c>
      <c r="L53" s="3272">
        <f t="shared" ca="1" si="17"/>
        <v>0</v>
      </c>
      <c r="M53" s="3272">
        <f t="shared" ca="1" si="17"/>
        <v>0</v>
      </c>
      <c r="N53" s="3272">
        <f t="shared" ca="1" si="17"/>
        <v>0</v>
      </c>
      <c r="O53" s="3272">
        <f t="shared" ca="1" si="17"/>
        <v>0</v>
      </c>
      <c r="P53" s="3272">
        <f t="shared" ca="1" si="17"/>
        <v>0</v>
      </c>
      <c r="Q53" s="3274"/>
      <c r="S53" s="3286"/>
      <c r="T53" s="3286"/>
      <c r="U53" s="3286"/>
      <c r="V53" s="3286"/>
      <c r="W53" s="3286"/>
      <c r="X53" s="3286"/>
      <c r="Y53" s="3286"/>
      <c r="Z53" s="3286"/>
      <c r="AA53" s="3286"/>
      <c r="AB53" s="3274"/>
    </row>
    <row r="54" spans="2:28">
      <c r="B54" s="3271"/>
      <c r="C54" s="3283"/>
      <c r="D54" s="3286" t="s">
        <v>2877</v>
      </c>
      <c r="E54" s="3283"/>
      <c r="F54" s="3273"/>
      <c r="G54" s="3977" t="s">
        <v>497</v>
      </c>
      <c r="H54" s="3273">
        <f ca="1">INDEX(INDIRECT($C19&amp;".Info["&amp;H$4&amp;"]"),MATCH($C$14,INDIRECT($C19&amp;".Info[Vector]"),0))</f>
        <v>0</v>
      </c>
      <c r="I54" s="3273">
        <f t="shared" ref="I54:P54" ca="1" si="18">INDEX(INDIRECT($C19&amp;".Info["&amp;I$4&amp;"]"),MATCH($C$14,INDIRECT($C19&amp;".Info[Vector]"),0))</f>
        <v>0</v>
      </c>
      <c r="J54" s="3273">
        <f t="shared" ca="1" si="18"/>
        <v>0</v>
      </c>
      <c r="K54" s="3273">
        <f t="shared" ca="1" si="18"/>
        <v>0</v>
      </c>
      <c r="L54" s="3273">
        <f t="shared" ca="1" si="18"/>
        <v>0</v>
      </c>
      <c r="M54" s="3273">
        <f t="shared" ca="1" si="18"/>
        <v>0</v>
      </c>
      <c r="N54" s="3273">
        <f t="shared" ca="1" si="18"/>
        <v>0</v>
      </c>
      <c r="O54" s="3273">
        <f t="shared" ca="1" si="18"/>
        <v>0</v>
      </c>
      <c r="P54" s="3273">
        <f t="shared" ca="1" si="18"/>
        <v>0</v>
      </c>
      <c r="Q54" s="3274"/>
      <c r="S54" s="3286"/>
      <c r="T54" s="3286"/>
      <c r="U54" s="3286"/>
      <c r="V54" s="3286"/>
      <c r="W54" s="3286"/>
      <c r="X54" s="3286"/>
      <c r="Y54" s="3286"/>
      <c r="Z54" s="3286"/>
      <c r="AA54" s="3286"/>
      <c r="AB54" s="3274"/>
    </row>
    <row r="55" spans="2:28">
      <c r="B55" s="3271"/>
      <c r="C55" s="3283"/>
      <c r="D55" s="3286" t="s">
        <v>2666</v>
      </c>
      <c r="E55" s="3283"/>
      <c r="F55" s="3285"/>
      <c r="G55" s="3977" t="s">
        <v>569</v>
      </c>
      <c r="H55" s="3967">
        <f ca="1">INDEX(INDIRECT($C23&amp;".Info["&amp;H$4&amp;"]"),MATCH($C$21,INDIRECT($C23&amp;".Info[Vector]"),0))</f>
        <v>208.27375972824288</v>
      </c>
      <c r="I55" s="3967">
        <f t="shared" ref="I55:P55" ca="1" si="19">INDEX(INDIRECT($C23&amp;".Info["&amp;I$4&amp;"]"),MATCH($C$21,INDIRECT($C23&amp;".Info[Vector]"),0))</f>
        <v>246.53966081070794</v>
      </c>
      <c r="J55" s="3967">
        <f t="shared" ca="1" si="19"/>
        <v>246.53966081070794</v>
      </c>
      <c r="K55" s="3967">
        <f t="shared" ca="1" si="19"/>
        <v>237.03323446649927</v>
      </c>
      <c r="L55" s="3967">
        <f t="shared" ca="1" si="19"/>
        <v>304.20564301467783</v>
      </c>
      <c r="M55" s="3967">
        <f t="shared" ca="1" si="19"/>
        <v>275.68636398205177</v>
      </c>
      <c r="N55" s="3967">
        <f t="shared" ca="1" si="19"/>
        <v>152.10282150733889</v>
      </c>
      <c r="O55" s="3967">
        <f t="shared" ca="1" si="19"/>
        <v>28.519279032626027</v>
      </c>
      <c r="P55" s="3967">
        <f t="shared" ca="1" si="19"/>
        <v>0</v>
      </c>
      <c r="Q55" s="3274"/>
      <c r="S55" s="3286"/>
      <c r="T55" s="3286"/>
      <c r="U55" s="3286"/>
      <c r="V55" s="3286"/>
      <c r="W55" s="3286"/>
      <c r="X55" s="3286"/>
      <c r="Y55" s="3286"/>
      <c r="Z55" s="3286"/>
      <c r="AA55" s="3286"/>
      <c r="AB55" s="3274"/>
    </row>
    <row r="56" spans="2:28">
      <c r="B56" s="3271"/>
      <c r="C56" s="3283"/>
      <c r="D56" s="3286" t="s">
        <v>3163</v>
      </c>
      <c r="E56" s="3283"/>
      <c r="F56" s="3285"/>
      <c r="G56" s="3977" t="s">
        <v>554</v>
      </c>
      <c r="H56" s="3967"/>
      <c r="I56" s="3967"/>
      <c r="J56" s="3967"/>
      <c r="K56" s="3967"/>
      <c r="L56" s="3967"/>
      <c r="M56" s="3967"/>
      <c r="N56" s="3967"/>
      <c r="O56" s="3967"/>
      <c r="P56" s="3967"/>
      <c r="Q56" s="3274"/>
      <c r="S56" s="3286"/>
      <c r="T56" s="3286"/>
      <c r="U56" s="3286"/>
      <c r="V56" s="3286"/>
      <c r="W56" s="3286"/>
      <c r="X56" s="3286"/>
      <c r="Y56" s="3286"/>
      <c r="Z56" s="3286"/>
      <c r="AA56" s="3286"/>
      <c r="AB56" s="3274"/>
    </row>
    <row r="57" spans="2:28">
      <c r="B57" s="3271"/>
      <c r="C57" s="3283"/>
      <c r="D57" s="3286" t="s">
        <v>917</v>
      </c>
      <c r="E57" s="3283"/>
      <c r="F57" s="3285"/>
      <c r="G57" s="3977" t="s">
        <v>612</v>
      </c>
      <c r="H57" s="3967">
        <f ca="1">INDEX(INDIRECT($C28&amp;".Info["&amp;H$4&amp;"]"),MATCH($C$26,INDIRECT($C28&amp;".Info[Vector]"),0))</f>
        <v>0</v>
      </c>
      <c r="I57" s="3967">
        <f t="shared" ref="I57:P57" ca="1" si="20">INDEX(INDIRECT($C28&amp;".Info["&amp;I$4&amp;"]"),MATCH($C$26,INDIRECT($C28&amp;".Info[Vector]"),0))</f>
        <v>2.6435952895938475E-2</v>
      </c>
      <c r="J57" s="3967">
        <f t="shared" ca="1" si="20"/>
        <v>8.6842105263157901E-2</v>
      </c>
      <c r="K57" s="3967">
        <f t="shared" ca="1" si="20"/>
        <v>8.6842105263157901E-2</v>
      </c>
      <c r="L57" s="3967">
        <f t="shared" ca="1" si="20"/>
        <v>8.6842105263157901E-2</v>
      </c>
      <c r="M57" s="3967">
        <f t="shared" ca="1" si="20"/>
        <v>8.6842105263157901E-2</v>
      </c>
      <c r="N57" s="3967">
        <f t="shared" ca="1" si="20"/>
        <v>8.6842105263157901E-2</v>
      </c>
      <c r="O57" s="3967">
        <f t="shared" ca="1" si="20"/>
        <v>0</v>
      </c>
      <c r="P57" s="3967">
        <f t="shared" ca="1" si="20"/>
        <v>0</v>
      </c>
      <c r="Q57" s="3274"/>
      <c r="S57" s="3286"/>
      <c r="T57" s="3286"/>
      <c r="U57" s="3286"/>
      <c r="V57" s="3286"/>
      <c r="W57" s="3286"/>
      <c r="X57" s="3286"/>
      <c r="Y57" s="3286"/>
      <c r="Z57" s="3286"/>
      <c r="AA57" s="3286"/>
      <c r="AB57" s="3274"/>
    </row>
    <row r="58" spans="2:28">
      <c r="B58" s="3271"/>
      <c r="C58" s="3283"/>
      <c r="D58" s="3286" t="s">
        <v>3087</v>
      </c>
      <c r="E58" s="3283"/>
      <c r="F58" s="3285"/>
      <c r="G58" s="3977" t="s">
        <v>547</v>
      </c>
      <c r="H58" s="3967">
        <f ca="1">INDEX(INDIRECT($C32&amp;".Info["&amp;H$4&amp;"]"),MATCH($C$30,INDIRECT($C32&amp;".Info[Vector]"),0))</f>
        <v>12.093462921874524</v>
      </c>
      <c r="I58" s="3967">
        <f t="shared" ref="I58:P58" ca="1" si="21">INDEX(INDIRECT($C32&amp;".Info["&amp;I$4&amp;"]"),MATCH($C$30,INDIRECT($C32&amp;".Info[Vector]"),0))</f>
        <v>11.844501955014668</v>
      </c>
      <c r="J58" s="3967">
        <f t="shared" ca="1" si="21"/>
        <v>10.90279012134325</v>
      </c>
      <c r="K58" s="3967">
        <f t="shared" ca="1" si="21"/>
        <v>13.890101296193075</v>
      </c>
      <c r="L58" s="3967">
        <f t="shared" ca="1" si="21"/>
        <v>17.334712905038412</v>
      </c>
      <c r="M58" s="3967">
        <f t="shared" ca="1" si="21"/>
        <v>20.529628971391105</v>
      </c>
      <c r="N58" s="3967">
        <f t="shared" ca="1" si="21"/>
        <v>21.968035991843696</v>
      </c>
      <c r="O58" s="3967">
        <f t="shared" ca="1" si="21"/>
        <v>23.457837871518571</v>
      </c>
      <c r="P58" s="3967">
        <f t="shared" ca="1" si="21"/>
        <v>25.00350605466652</v>
      </c>
      <c r="Q58" s="3274"/>
      <c r="S58"/>
      <c r="T58"/>
      <c r="U58"/>
      <c r="V58"/>
      <c r="W58"/>
      <c r="X58"/>
      <c r="Y58"/>
      <c r="Z58"/>
      <c r="AA58"/>
      <c r="AB58"/>
    </row>
    <row r="59" spans="2:28">
      <c r="B59" s="3271"/>
      <c r="C59" s="3283"/>
      <c r="D59" s="3286" t="s">
        <v>3253</v>
      </c>
      <c r="E59" s="3283"/>
      <c r="F59" s="3285" t="s">
        <v>5</v>
      </c>
      <c r="G59" s="3977" t="s">
        <v>544</v>
      </c>
      <c r="H59" s="3967">
        <f ca="1">INDEX(INDIRECT($C33&amp;".Info["&amp;H$4&amp;"]"),MATCH($C$30,INDIRECT($C33&amp;".Info[Vector]"),0))</f>
        <v>0</v>
      </c>
      <c r="I59" s="3967">
        <f t="shared" ref="I59:P59" ca="1" si="22">INDEX(INDIRECT($C33&amp;".Info["&amp;I$4&amp;"]"),MATCH($C$30,INDIRECT($C33&amp;".Info[Vector]"),0))</f>
        <v>0</v>
      </c>
      <c r="J59" s="3967">
        <f t="shared" ca="1" si="22"/>
        <v>0</v>
      </c>
      <c r="K59" s="3967">
        <f t="shared" ca="1" si="22"/>
        <v>0</v>
      </c>
      <c r="L59" s="3967">
        <f t="shared" ca="1" si="22"/>
        <v>0</v>
      </c>
      <c r="M59" s="3967">
        <f t="shared" ca="1" si="22"/>
        <v>0</v>
      </c>
      <c r="N59" s="3967">
        <f t="shared" ca="1" si="22"/>
        <v>0</v>
      </c>
      <c r="O59" s="3967">
        <f t="shared" ca="1" si="22"/>
        <v>0</v>
      </c>
      <c r="P59" s="3967">
        <f t="shared" ca="1" si="22"/>
        <v>0</v>
      </c>
      <c r="Q59" s="3274"/>
      <c r="S59"/>
      <c r="T59"/>
      <c r="U59"/>
      <c r="V59"/>
      <c r="W59"/>
      <c r="X59"/>
      <c r="Y59"/>
      <c r="Z59"/>
      <c r="AA59"/>
      <c r="AB59"/>
    </row>
    <row r="60" spans="2:28">
      <c r="B60" s="3271"/>
      <c r="C60" s="3283"/>
      <c r="D60" s="3286" t="s">
        <v>3254</v>
      </c>
      <c r="E60" s="3283"/>
      <c r="F60" s="3281"/>
      <c r="G60" s="3977" t="s">
        <v>539</v>
      </c>
      <c r="H60" s="3272">
        <f ca="1">INDEX(INDIRECT($C34&amp;".Info["&amp;H$4&amp;"]"),MATCH($C$30,INDIRECT($C34&amp;".Info[Vector]"),0))</f>
        <v>0</v>
      </c>
      <c r="I60" s="3272">
        <f t="shared" ref="I60:P60" ca="1" si="23">INDEX(INDIRECT($C34&amp;".Info["&amp;I$4&amp;"]"),MATCH($C$30,INDIRECT($C34&amp;".Info[Vector]"),0))</f>
        <v>0</v>
      </c>
      <c r="J60" s="3272">
        <f t="shared" ca="1" si="23"/>
        <v>0</v>
      </c>
      <c r="K60" s="3272">
        <f t="shared" ca="1" si="23"/>
        <v>0</v>
      </c>
      <c r="L60" s="3272">
        <f t="shared" ca="1" si="23"/>
        <v>0</v>
      </c>
      <c r="M60" s="3272">
        <f t="shared" ca="1" si="23"/>
        <v>0</v>
      </c>
      <c r="N60" s="3272">
        <f t="shared" ca="1" si="23"/>
        <v>0</v>
      </c>
      <c r="O60" s="3272">
        <f t="shared" ca="1" si="23"/>
        <v>0</v>
      </c>
      <c r="P60" s="3272">
        <f t="shared" ca="1" si="23"/>
        <v>0</v>
      </c>
      <c r="Q60" s="3274"/>
      <c r="S60"/>
      <c r="T60"/>
      <c r="U60"/>
      <c r="V60"/>
      <c r="W60"/>
      <c r="X60"/>
      <c r="Y60"/>
      <c r="Z60"/>
      <c r="AA60"/>
      <c r="AB60"/>
    </row>
    <row r="61" spans="2:28">
      <c r="B61" s="3271"/>
      <c r="C61" s="3283"/>
      <c r="D61" s="3286" t="s">
        <v>3088</v>
      </c>
      <c r="E61" s="3283"/>
      <c r="F61" s="3273"/>
      <c r="G61" s="3977" t="s">
        <v>519</v>
      </c>
      <c r="H61" s="3273"/>
      <c r="I61" s="3273"/>
      <c r="J61" s="3273"/>
      <c r="K61" s="3273"/>
      <c r="L61" s="3273"/>
      <c r="M61" s="3273"/>
      <c r="N61" s="3273"/>
      <c r="O61" s="3273"/>
      <c r="P61" s="3273"/>
      <c r="Q61" s="3274"/>
      <c r="S61"/>
      <c r="T61"/>
      <c r="U61"/>
      <c r="V61"/>
      <c r="W61"/>
      <c r="X61"/>
      <c r="Y61"/>
      <c r="Z61"/>
      <c r="AA61"/>
      <c r="AB61"/>
    </row>
    <row r="62" spans="2:28">
      <c r="B62" s="3271"/>
      <c r="C62" s="3283"/>
      <c r="D62" s="3286" t="s">
        <v>3133</v>
      </c>
      <c r="E62" s="3283"/>
      <c r="F62" s="3285"/>
      <c r="G62" s="3977" t="s">
        <v>560</v>
      </c>
      <c r="H62" s="3967">
        <f ca="1">INDEX(INDIRECT($C36&amp;".Info["&amp;H$4&amp;"]"),MATCH($C$30,INDIRECT($C36&amp;".Info[Vector]"),0))</f>
        <v>0.56569974542912582</v>
      </c>
      <c r="I62" s="3967">
        <f t="shared" ref="I62:P62" ca="1" si="24">INDEX(INDIRECT($C36&amp;".Info["&amp;I$4&amp;"]"),MATCH($C$30,INDIRECT($C36&amp;".Info[Vector]"),0))</f>
        <v>0.98203282221065447</v>
      </c>
      <c r="J62" s="3967">
        <f t="shared" ca="1" si="24"/>
        <v>2.38453405360374</v>
      </c>
      <c r="K62" s="3967">
        <f t="shared" ca="1" si="24"/>
        <v>0</v>
      </c>
      <c r="L62" s="3967">
        <f t="shared" ca="1" si="24"/>
        <v>0</v>
      </c>
      <c r="M62" s="3967">
        <f t="shared" ca="1" si="24"/>
        <v>0</v>
      </c>
      <c r="N62" s="3967">
        <f t="shared" ca="1" si="24"/>
        <v>0</v>
      </c>
      <c r="O62" s="3967">
        <f t="shared" ca="1" si="24"/>
        <v>0</v>
      </c>
      <c r="P62" s="3967">
        <f t="shared" ca="1" si="24"/>
        <v>0</v>
      </c>
      <c r="Q62" s="3274"/>
      <c r="S62"/>
      <c r="T62"/>
      <c r="U62"/>
      <c r="V62"/>
      <c r="W62"/>
      <c r="X62"/>
      <c r="Y62"/>
      <c r="Z62"/>
      <c r="AA62"/>
      <c r="AB62"/>
    </row>
    <row r="63" spans="2:28">
      <c r="B63" s="3271"/>
      <c r="C63" s="3283"/>
      <c r="D63" s="3286" t="s">
        <v>3089</v>
      </c>
      <c r="E63" s="3283"/>
      <c r="F63" s="3285"/>
      <c r="G63" s="3977" t="s">
        <v>499</v>
      </c>
      <c r="H63" s="3967">
        <f ca="1">INDEX(INDIRECT($C37&amp;".Info["&amp;H$4&amp;"]"),MATCH($C$30,INDIRECT($C37&amp;".Info[Vector]"),0))</f>
        <v>0.69393436000000008</v>
      </c>
      <c r="I63" s="3967">
        <f t="shared" ref="I63:P63" ca="1" si="25">INDEX(INDIRECT($C37&amp;".Info["&amp;I$4&amp;"]"),MATCH($C$30,INDIRECT($C37&amp;".Info[Vector]"),0))</f>
        <v>0.74444735000000006</v>
      </c>
      <c r="J63" s="3967">
        <f t="shared" ca="1" si="25"/>
        <v>2.8722638173063184</v>
      </c>
      <c r="K63" s="3967">
        <f t="shared" ca="1" si="25"/>
        <v>2.8837378734162455</v>
      </c>
      <c r="L63" s="3967">
        <f t="shared" ca="1" si="25"/>
        <v>2.8966980242694973</v>
      </c>
      <c r="M63" s="3967">
        <f t="shared" ca="1" si="25"/>
        <v>2.9376844985923918</v>
      </c>
      <c r="N63" s="3967">
        <f t="shared" ca="1" si="25"/>
        <v>2.9853050574340472</v>
      </c>
      <c r="O63" s="3967">
        <f t="shared" ca="1" si="25"/>
        <v>3.0404254619208886</v>
      </c>
      <c r="P63" s="3967">
        <f t="shared" ca="1" si="25"/>
        <v>3.1040139029092226</v>
      </c>
      <c r="Q63" s="3274"/>
    </row>
    <row r="64" spans="2:28">
      <c r="B64" s="3271"/>
      <c r="C64" s="3283"/>
      <c r="D64" s="3283"/>
      <c r="E64" s="3284"/>
      <c r="F64" s="3285"/>
      <c r="G64" s="3284"/>
      <c r="H64" s="3286"/>
      <c r="I64" s="3286"/>
      <c r="J64" s="3286"/>
      <c r="K64" s="3286"/>
      <c r="L64" s="3286"/>
      <c r="M64" s="3286"/>
      <c r="N64" s="3286"/>
      <c r="O64" s="3286"/>
      <c r="P64" s="3286"/>
      <c r="Q64" s="3274"/>
    </row>
    <row r="65" spans="2:17">
      <c r="B65"/>
      <c r="C65"/>
      <c r="D65"/>
      <c r="E65"/>
      <c r="F65"/>
      <c r="G65"/>
      <c r="H65"/>
      <c r="I65"/>
      <c r="J65"/>
      <c r="K65"/>
      <c r="L65"/>
      <c r="M65"/>
      <c r="N65"/>
      <c r="O65"/>
      <c r="P65"/>
      <c r="Q65"/>
    </row>
    <row r="66" spans="2:17" ht="15">
      <c r="B66" s="3263" t="s">
        <v>3348</v>
      </c>
      <c r="C66" s="3264"/>
      <c r="D66" s="3264"/>
      <c r="E66" s="3264"/>
      <c r="F66" s="3264"/>
      <c r="G66" s="3264"/>
      <c r="H66"/>
      <c r="I66"/>
      <c r="J66"/>
      <c r="K66"/>
      <c r="L66"/>
      <c r="M66"/>
      <c r="N66"/>
      <c r="O66"/>
      <c r="P66"/>
      <c r="Q66"/>
    </row>
    <row r="67" spans="2:17" ht="15">
      <c r="B67" s="3267"/>
      <c r="C67" s="3268"/>
      <c r="D67" s="3268"/>
      <c r="E67" s="3268"/>
      <c r="F67" s="3268"/>
      <c r="G67" s="3268"/>
      <c r="H67"/>
      <c r="I67"/>
      <c r="J67"/>
      <c r="K67"/>
      <c r="L67"/>
      <c r="M67"/>
      <c r="N67"/>
      <c r="O67"/>
      <c r="P67"/>
      <c r="Q67"/>
    </row>
    <row r="68" spans="2:17" ht="15">
      <c r="B68" s="3866"/>
      <c r="C68" s="3272"/>
      <c r="D68" s="3281" t="s">
        <v>3341</v>
      </c>
      <c r="E68" s="3282" t="s">
        <v>1433</v>
      </c>
      <c r="F68" s="3282" t="s">
        <v>2362</v>
      </c>
      <c r="G68" s="3272"/>
      <c r="H68"/>
      <c r="I68"/>
      <c r="J68"/>
      <c r="K68"/>
      <c r="L68"/>
      <c r="M68"/>
      <c r="N68"/>
      <c r="O68"/>
      <c r="P68"/>
      <c r="Q68"/>
    </row>
    <row r="69" spans="2:17" ht="15">
      <c r="B69" s="3866"/>
      <c r="C69" s="3272"/>
      <c r="D69" s="3870" t="s">
        <v>45</v>
      </c>
      <c r="E69" s="4072">
        <f>IX.a!N626</f>
        <v>0</v>
      </c>
      <c r="F69" s="4072">
        <f>IX.c!M317</f>
        <v>0</v>
      </c>
      <c r="G69" s="3272"/>
      <c r="H69"/>
      <c r="I69"/>
      <c r="J69"/>
      <c r="K69"/>
      <c r="L69"/>
      <c r="M69"/>
      <c r="N69"/>
      <c r="O69"/>
      <c r="P69"/>
      <c r="Q69"/>
    </row>
    <row r="70" spans="2:17" ht="15">
      <c r="B70" s="3866"/>
      <c r="C70" s="3272"/>
      <c r="D70" s="3870" t="s">
        <v>46</v>
      </c>
      <c r="E70" s="4072">
        <f>IX.a!N627</f>
        <v>0.9</v>
      </c>
      <c r="F70" s="4072">
        <f>IX.c!M318</f>
        <v>0.8</v>
      </c>
      <c r="G70" s="3272"/>
      <c r="H70"/>
      <c r="I70"/>
      <c r="J70"/>
      <c r="K70"/>
      <c r="L70"/>
      <c r="M70"/>
      <c r="N70"/>
      <c r="O70"/>
      <c r="P70"/>
      <c r="Q70"/>
    </row>
    <row r="71" spans="2:17" ht="15">
      <c r="B71" s="3866"/>
      <c r="C71" s="3272"/>
      <c r="D71" s="3870" t="s">
        <v>3342</v>
      </c>
      <c r="E71" s="4072">
        <f>IX.a!N628</f>
        <v>0.1</v>
      </c>
      <c r="F71" s="4072">
        <f>IX.c!M319</f>
        <v>0.1</v>
      </c>
      <c r="G71" s="3272"/>
      <c r="H71"/>
      <c r="I71"/>
      <c r="J71"/>
      <c r="K71"/>
      <c r="L71"/>
      <c r="M71"/>
      <c r="N71"/>
      <c r="O71"/>
      <c r="P71"/>
      <c r="Q71"/>
    </row>
    <row r="72" spans="2:17" ht="15">
      <c r="B72" s="3866"/>
      <c r="C72" s="3272"/>
      <c r="D72" s="3870" t="s">
        <v>48</v>
      </c>
      <c r="E72" s="4072">
        <f>IX.a!N629</f>
        <v>0</v>
      </c>
      <c r="F72" s="4072">
        <f>IX.c!M320</f>
        <v>0</v>
      </c>
      <c r="G72" s="3272"/>
      <c r="H72"/>
      <c r="I72"/>
      <c r="J72"/>
      <c r="K72"/>
      <c r="L72"/>
      <c r="M72"/>
      <c r="N72"/>
      <c r="O72"/>
      <c r="P72"/>
      <c r="Q72"/>
    </row>
    <row r="73" spans="2:17" ht="15">
      <c r="B73" s="3866"/>
      <c r="C73" s="3272"/>
      <c r="D73" s="3870" t="s">
        <v>49</v>
      </c>
      <c r="E73" s="4072">
        <f>IX.a!N630</f>
        <v>0</v>
      </c>
      <c r="F73" s="4072">
        <f>IX.c!M321</f>
        <v>0</v>
      </c>
      <c r="G73" s="3272"/>
      <c r="H73"/>
      <c r="I73"/>
      <c r="J73"/>
      <c r="K73"/>
      <c r="L73"/>
      <c r="M73"/>
      <c r="N73"/>
      <c r="O73"/>
      <c r="P73"/>
      <c r="Q73"/>
    </row>
    <row r="74" spans="2:17" ht="15">
      <c r="B74" s="3866"/>
      <c r="C74" s="3272"/>
      <c r="D74" s="3870" t="s">
        <v>3343</v>
      </c>
      <c r="E74" s="4072">
        <f>IX.a!N631</f>
        <v>0</v>
      </c>
      <c r="F74" s="4072">
        <f>IX.c!M322</f>
        <v>0</v>
      </c>
      <c r="G74" s="3272"/>
      <c r="H74"/>
      <c r="I74"/>
      <c r="J74"/>
      <c r="K74"/>
      <c r="L74"/>
      <c r="M74"/>
      <c r="N74"/>
      <c r="O74"/>
      <c r="P74"/>
      <c r="Q74"/>
    </row>
    <row r="75" spans="2:17" ht="15">
      <c r="B75" s="3866"/>
      <c r="C75" s="3272"/>
      <c r="D75" s="3870" t="s">
        <v>3344</v>
      </c>
      <c r="E75" s="4072">
        <f>IX.a!N632</f>
        <v>0</v>
      </c>
      <c r="F75" s="4072">
        <f>IX.c!M323</f>
        <v>0</v>
      </c>
      <c r="G75" s="3272"/>
      <c r="H75"/>
      <c r="I75"/>
      <c r="J75"/>
      <c r="K75"/>
      <c r="L75"/>
      <c r="M75"/>
      <c r="N75"/>
      <c r="O75"/>
      <c r="P75"/>
      <c r="Q75"/>
    </row>
    <row r="76" spans="2:17" ht="15">
      <c r="B76" s="3866"/>
      <c r="C76" s="3272"/>
      <c r="D76" s="3870" t="s">
        <v>52</v>
      </c>
      <c r="E76" s="4072">
        <f>IX.a!N633</f>
        <v>0</v>
      </c>
      <c r="F76" s="4072">
        <f>IX.c!M324</f>
        <v>0.05</v>
      </c>
      <c r="G76" s="3272"/>
      <c r="H76"/>
      <c r="I76"/>
      <c r="J76"/>
      <c r="K76"/>
      <c r="L76"/>
      <c r="M76"/>
      <c r="N76"/>
      <c r="O76"/>
      <c r="P76"/>
      <c r="Q76"/>
    </row>
    <row r="77" spans="2:17" ht="15">
      <c r="B77" s="3866"/>
      <c r="C77" s="3272"/>
      <c r="D77" s="3870" t="s">
        <v>53</v>
      </c>
      <c r="E77" s="4072">
        <f>IX.a!N634</f>
        <v>0</v>
      </c>
      <c r="F77" s="4072">
        <f>IX.c!M325</f>
        <v>0.05</v>
      </c>
      <c r="G77" s="3272"/>
      <c r="H77"/>
      <c r="I77"/>
      <c r="J77"/>
      <c r="K77"/>
      <c r="L77"/>
      <c r="M77"/>
      <c r="N77"/>
      <c r="O77"/>
      <c r="P77"/>
      <c r="Q77"/>
    </row>
    <row r="78" spans="2:17" ht="15">
      <c r="B78" s="3866"/>
      <c r="C78" s="3272"/>
      <c r="D78" s="3870" t="s">
        <v>520</v>
      </c>
      <c r="E78" s="4072">
        <f>IX.a!N635</f>
        <v>0</v>
      </c>
      <c r="F78" s="4072">
        <f>IX.c!M326</f>
        <v>0</v>
      </c>
      <c r="G78" s="3272"/>
    </row>
    <row r="79" spans="2:17" ht="15">
      <c r="B79" s="3866"/>
      <c r="C79" s="3272"/>
      <c r="D79" s="3870" t="s">
        <v>3345</v>
      </c>
      <c r="E79" s="4072">
        <f>IX.a!N636</f>
        <v>0</v>
      </c>
      <c r="F79" s="4072">
        <f>IX.c!M327</f>
        <v>0</v>
      </c>
      <c r="G79" s="3272"/>
    </row>
    <row r="80" spans="2:17">
      <c r="B80" s="3271"/>
      <c r="C80" s="3279"/>
      <c r="D80" s="4073" t="s">
        <v>3346</v>
      </c>
      <c r="E80" s="4072">
        <f>IX.a!N637</f>
        <v>0</v>
      </c>
      <c r="F80" s="4072">
        <f>IX.c!M328</f>
        <v>0</v>
      </c>
      <c r="G80" s="3281"/>
    </row>
    <row r="81" spans="2:7">
      <c r="B81" s="3271"/>
      <c r="C81" s="3275"/>
      <c r="D81" s="3870" t="s">
        <v>3347</v>
      </c>
      <c r="E81" s="4072">
        <f>IX.a!N638</f>
        <v>0</v>
      </c>
      <c r="F81" s="4072">
        <f>IX.c!M329</f>
        <v>0</v>
      </c>
      <c r="G81" s="3273"/>
    </row>
    <row r="82" spans="2:7">
      <c r="B82" s="3271"/>
      <c r="C82" s="3283"/>
      <c r="D82" s="4074" t="s">
        <v>58</v>
      </c>
      <c r="E82" s="4075">
        <f>ROUND(SUM(E69:E81),0)</f>
        <v>1</v>
      </c>
      <c r="F82" s="4075">
        <f>ROUND(SUM(F69:F81),0)</f>
        <v>1</v>
      </c>
      <c r="G82" s="3285"/>
    </row>
    <row r="83" spans="2:7">
      <c r="B83" s="3271"/>
      <c r="C83" s="3283"/>
      <c r="D83" s="3283"/>
      <c r="E83" s="3284"/>
      <c r="F83" s="3285"/>
      <c r="G83" s="3285"/>
    </row>
    <row r="84" spans="2:7">
      <c r="B84" s="3271"/>
      <c r="C84" s="3283"/>
      <c r="D84" s="3283"/>
      <c r="E84" s="3284"/>
      <c r="F84" s="3285"/>
      <c r="G84" s="3285"/>
    </row>
  </sheetData>
  <conditionalFormatting sqref="E82:F82">
    <cfRule type="cellIs" dxfId="3009" priority="2" operator="notEqual">
      <formula>1</formula>
    </cfRule>
  </conditionalFormatting>
  <conditionalFormatting sqref="E82:F82">
    <cfRule type="cellIs" dxfId="3008"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sheetPr>
  <dimension ref="A2:BI44"/>
  <sheetViews>
    <sheetView showGridLines="0" topLeftCell="A9" zoomScale="80" zoomScaleNormal="80" workbookViewId="0">
      <selection activeCell="F36" sqref="F36"/>
    </sheetView>
  </sheetViews>
  <sheetFormatPr defaultColWidth="11.453125" defaultRowHeight="14.5"/>
  <cols>
    <col min="1" max="1" width="3.1796875" style="3973" customWidth="1"/>
    <col min="2" max="2" width="11.453125" style="3973"/>
    <col min="3" max="3" width="5.453125" style="3973" customWidth="1"/>
    <col min="4" max="4" width="28.7265625" style="3973" customWidth="1"/>
    <col min="5" max="14" width="11.453125" style="3973"/>
    <col min="15" max="16384" width="11.453125" style="39"/>
  </cols>
  <sheetData>
    <row r="2" spans="1:61" ht="23.5">
      <c r="A2" s="7"/>
      <c r="B2" s="502" t="s">
        <v>1005</v>
      </c>
      <c r="C2" s="503"/>
      <c r="D2" s="503"/>
      <c r="E2" s="503"/>
      <c r="F2" s="503"/>
      <c r="G2" s="503"/>
      <c r="H2" s="503"/>
      <c r="I2" s="503"/>
      <c r="J2" s="503"/>
      <c r="K2" s="503"/>
      <c r="L2" s="503"/>
      <c r="M2" s="503"/>
      <c r="N2" s="857"/>
    </row>
    <row r="3" spans="1:61" s="850" customFormat="1" ht="18" customHeight="1">
      <c r="A3" s="6"/>
      <c r="B3" s="505"/>
      <c r="C3" s="506"/>
      <c r="D3" s="506"/>
      <c r="E3" s="506"/>
      <c r="F3" s="506"/>
      <c r="G3" s="506"/>
      <c r="H3" s="506"/>
      <c r="I3" s="506"/>
      <c r="J3" s="506"/>
      <c r="K3" s="506"/>
      <c r="L3" s="3989"/>
      <c r="M3" s="3961"/>
      <c r="N3" s="866"/>
      <c r="P3" s="39"/>
      <c r="Q3" s="39"/>
      <c r="R3" s="39"/>
      <c r="S3" s="39"/>
      <c r="T3" s="39"/>
      <c r="U3" s="39"/>
      <c r="V3" s="39"/>
      <c r="W3" s="39"/>
      <c r="X3" s="39"/>
      <c r="Y3" s="39"/>
      <c r="Z3" s="39"/>
      <c r="AA3" s="39"/>
      <c r="AB3" s="39"/>
    </row>
    <row r="4" spans="1:61" s="850" customFormat="1" ht="18" customHeight="1">
      <c r="A4" s="6"/>
      <c r="B4" s="505"/>
      <c r="C4" s="3089" t="s">
        <v>3338</v>
      </c>
      <c r="D4" s="506"/>
      <c r="E4" s="506"/>
      <c r="F4" s="506"/>
      <c r="G4" s="506"/>
      <c r="H4" s="506"/>
      <c r="I4" s="506"/>
      <c r="J4" s="506"/>
      <c r="K4" s="506"/>
      <c r="L4" s="506"/>
      <c r="M4" s="17"/>
      <c r="N4" s="866"/>
      <c r="P4" s="39"/>
      <c r="Q4" s="39"/>
      <c r="R4" s="39"/>
      <c r="S4" s="39"/>
      <c r="T4" s="39"/>
      <c r="U4" s="39"/>
      <c r="V4" s="39"/>
      <c r="W4" s="39"/>
      <c r="X4" s="39"/>
      <c r="Y4" s="39"/>
      <c r="Z4" s="39"/>
      <c r="AA4" s="39"/>
      <c r="AB4" s="39"/>
    </row>
    <row r="5" spans="1:61" s="850" customFormat="1" ht="18" customHeight="1">
      <c r="A5" s="6"/>
      <c r="B5" s="505"/>
      <c r="C5" s="506"/>
      <c r="D5" s="506"/>
      <c r="E5" s="506"/>
      <c r="F5" s="506"/>
      <c r="G5" s="506"/>
      <c r="H5" s="506"/>
      <c r="I5" s="506"/>
      <c r="J5" s="506"/>
      <c r="K5" s="506"/>
      <c r="L5" s="506"/>
      <c r="M5" s="17"/>
      <c r="N5" s="866"/>
      <c r="P5" s="39"/>
      <c r="Q5" s="39"/>
      <c r="R5" s="39"/>
      <c r="S5" s="39"/>
      <c r="T5" s="39"/>
      <c r="U5" s="39"/>
      <c r="V5" s="39"/>
      <c r="W5" s="39"/>
      <c r="X5" s="39"/>
      <c r="Y5" s="39"/>
      <c r="Z5" s="39"/>
      <c r="AA5" s="39"/>
      <c r="AB5" s="39"/>
    </row>
    <row r="6" spans="1:61" s="1298" customFormat="1" ht="18" customHeight="1">
      <c r="A6" s="918"/>
      <c r="B6" s="3064"/>
      <c r="C6" s="3065"/>
      <c r="D6" s="4057" t="s">
        <v>251</v>
      </c>
      <c r="E6" s="3063">
        <v>2013</v>
      </c>
      <c r="F6" s="3063">
        <v>2015</v>
      </c>
      <c r="G6" s="3063">
        <v>2020</v>
      </c>
      <c r="H6" s="3063">
        <v>2025</v>
      </c>
      <c r="I6" s="3063">
        <v>2030</v>
      </c>
      <c r="J6" s="3063">
        <v>2035</v>
      </c>
      <c r="K6" s="3063">
        <v>2040</v>
      </c>
      <c r="L6" s="3063">
        <v>2045</v>
      </c>
      <c r="M6" s="3063">
        <v>2050</v>
      </c>
      <c r="N6" s="3068"/>
      <c r="O6" s="4058"/>
    </row>
    <row r="7" spans="1:61" s="1298" customFormat="1" ht="13">
      <c r="A7" s="918"/>
      <c r="B7" s="3064"/>
      <c r="C7" s="4039" t="s">
        <v>304</v>
      </c>
      <c r="D7" s="4039" t="s">
        <v>305</v>
      </c>
      <c r="E7" s="4040">
        <f ca="1">SUMIFS(INDIRECT("'"&amp;E$6&amp;"'!Year.Emissions"), INDIRECT("'"&amp;E$6&amp;"'!Year.IPCC"), $C7)</f>
        <v>35.768059495427799</v>
      </c>
      <c r="F7" s="4040">
        <f t="shared" ref="F7:M8" ca="1" si="0">SUMIFS(INDIRECT("'"&amp;F$6&amp;"'!Year.Emissions"), INDIRECT("'"&amp;F$6&amp;"'!Year.IPCC"), $C7)</f>
        <v>35.747273380196894</v>
      </c>
      <c r="G7" s="4040">
        <f t="shared" ca="1" si="0"/>
        <v>36.802890310558283</v>
      </c>
      <c r="H7" s="4040">
        <f t="shared" ca="1" si="0"/>
        <v>39.030244583674282</v>
      </c>
      <c r="I7" s="4040">
        <f t="shared" ca="1" si="0"/>
        <v>40.114821741946599</v>
      </c>
      <c r="J7" s="4040">
        <f t="shared" ca="1" si="0"/>
        <v>39.59902595148526</v>
      </c>
      <c r="K7" s="4040">
        <f t="shared" ca="1" si="0"/>
        <v>41.249522180640859</v>
      </c>
      <c r="L7" s="4040">
        <f t="shared" ca="1" si="0"/>
        <v>43.005163781058485</v>
      </c>
      <c r="M7" s="4040">
        <f t="shared" ca="1" si="0"/>
        <v>44.704706275683677</v>
      </c>
      <c r="N7" s="3068"/>
      <c r="O7" s="4058"/>
    </row>
    <row r="8" spans="1:61" s="1298" customFormat="1" ht="13">
      <c r="A8" s="918"/>
      <c r="B8" s="3064"/>
      <c r="C8" s="4039" t="s">
        <v>447</v>
      </c>
      <c r="D8" s="4059" t="s">
        <v>398</v>
      </c>
      <c r="E8" s="4060">
        <f ca="1">SUMIFS(INDIRECT("'"&amp;E$6&amp;"'!Year.Emissions"), INDIRECT("'"&amp;E$6&amp;"'!Year.IPCC"), $C8)</f>
        <v>0.02</v>
      </c>
      <c r="F8" s="4060">
        <f t="shared" ca="1" si="0"/>
        <v>2.0834095506315257E-2</v>
      </c>
      <c r="G8" s="4060">
        <f t="shared" ca="1" si="0"/>
        <v>2.4325814698518078E-2</v>
      </c>
      <c r="H8" s="4060">
        <f t="shared" ca="1" si="0"/>
        <v>2.9193324943068855E-2</v>
      </c>
      <c r="I8" s="4060">
        <f t="shared" ca="1" si="0"/>
        <v>3.6191614904551091E-2</v>
      </c>
      <c r="J8" s="4060">
        <f t="shared" ca="1" si="0"/>
        <v>4.5042771399935073E-2</v>
      </c>
      <c r="K8" s="4060">
        <f t="shared" ca="1" si="0"/>
        <v>4.8902284664374789E-2</v>
      </c>
      <c r="L8" s="4060">
        <f t="shared" ca="1" si="0"/>
        <v>5.2918337260030368E-2</v>
      </c>
      <c r="M8" s="4060">
        <f t="shared" ca="1" si="0"/>
        <v>5.71861961245669E-2</v>
      </c>
      <c r="N8" s="3068"/>
      <c r="O8" s="4058"/>
    </row>
    <row r="9" spans="1:61" s="1298" customFormat="1" ht="13">
      <c r="A9" s="918"/>
      <c r="B9" s="3064"/>
      <c r="C9" s="4061">
        <v>1</v>
      </c>
      <c r="D9" s="4039" t="s">
        <v>3331</v>
      </c>
      <c r="E9" s="4040">
        <f ca="1">SUM(E7:E8)</f>
        <v>35.788059495427802</v>
      </c>
      <c r="F9" s="4040">
        <f t="shared" ref="F9:M9" ca="1" si="1">SUM(F7:F8)</f>
        <v>35.768107475703211</v>
      </c>
      <c r="G9" s="4040">
        <f t="shared" ca="1" si="1"/>
        <v>36.827216125256804</v>
      </c>
      <c r="H9" s="4040">
        <f t="shared" ca="1" si="1"/>
        <v>39.059437908617348</v>
      </c>
      <c r="I9" s="4040">
        <f t="shared" ca="1" si="1"/>
        <v>40.151013356851152</v>
      </c>
      <c r="J9" s="4040">
        <f t="shared" ca="1" si="1"/>
        <v>39.644068722885194</v>
      </c>
      <c r="K9" s="4040">
        <f t="shared" ca="1" si="1"/>
        <v>41.298424465305231</v>
      </c>
      <c r="L9" s="4040">
        <f t="shared" ca="1" si="1"/>
        <v>43.058082118318517</v>
      </c>
      <c r="M9" s="4040">
        <f t="shared" ca="1" si="1"/>
        <v>44.761892471808245</v>
      </c>
      <c r="N9" s="3068"/>
      <c r="O9" s="4058"/>
    </row>
    <row r="10" spans="1:61" s="1298" customFormat="1" ht="18" customHeight="1">
      <c r="A10" s="918"/>
      <c r="B10" s="3064"/>
      <c r="C10" s="3066"/>
      <c r="D10" s="3066"/>
      <c r="E10" s="4041"/>
      <c r="F10" s="4041"/>
      <c r="G10" s="4041"/>
      <c r="H10" s="4041"/>
      <c r="I10" s="4041"/>
      <c r="J10" s="4041"/>
      <c r="K10" s="4041"/>
      <c r="L10" s="4041"/>
      <c r="M10" s="4041"/>
      <c r="N10" s="3068"/>
      <c r="O10" s="4058"/>
    </row>
    <row r="11" spans="1:61" s="1298" customFormat="1" ht="18" customHeight="1">
      <c r="A11" s="918"/>
      <c r="B11" s="3064"/>
      <c r="C11" s="4042" t="s">
        <v>3339</v>
      </c>
      <c r="D11" s="3066"/>
      <c r="E11" s="4041"/>
      <c r="F11" s="4041"/>
      <c r="G11" s="4041"/>
      <c r="H11" s="4041"/>
      <c r="I11" s="4041"/>
      <c r="J11" s="4041"/>
      <c r="K11" s="4041"/>
      <c r="L11" s="4041"/>
      <c r="M11" s="4041"/>
      <c r="N11" s="3068"/>
      <c r="O11" s="4058"/>
    </row>
    <row r="12" spans="1:61" s="1298" customFormat="1" ht="18" customHeight="1">
      <c r="A12" s="918"/>
      <c r="B12" s="3064"/>
      <c r="C12" s="4042"/>
      <c r="D12" s="3066"/>
      <c r="E12" s="4041"/>
      <c r="F12" s="4041"/>
      <c r="G12" s="4041"/>
      <c r="H12" s="4041"/>
      <c r="I12" s="4041"/>
      <c r="J12" s="4041"/>
      <c r="K12" s="4041"/>
      <c r="L12" s="4041"/>
      <c r="M12" s="4041"/>
      <c r="N12" s="3068"/>
      <c r="O12" s="4058"/>
    </row>
    <row r="13" spans="1:61" s="1298" customFormat="1" ht="18" customHeight="1">
      <c r="A13" s="918"/>
      <c r="B13" s="3064"/>
      <c r="C13" s="3065"/>
      <c r="D13" s="4057" t="s">
        <v>251</v>
      </c>
      <c r="E13" s="3063">
        <v>2013</v>
      </c>
      <c r="F13" s="3063">
        <v>2015</v>
      </c>
      <c r="G13" s="3063">
        <v>2020</v>
      </c>
      <c r="H13" s="3063">
        <v>2025</v>
      </c>
      <c r="I13" s="3063">
        <v>2030</v>
      </c>
      <c r="J13" s="3063">
        <v>2035</v>
      </c>
      <c r="K13" s="3063">
        <v>2040</v>
      </c>
      <c r="L13" s="3063">
        <v>2045</v>
      </c>
      <c r="M13" s="3063">
        <v>2050</v>
      </c>
      <c r="N13" s="3068"/>
      <c r="O13" s="4058"/>
    </row>
    <row r="14" spans="1:61">
      <c r="B14" s="3064"/>
      <c r="C14" s="4061">
        <v>1</v>
      </c>
      <c r="D14" s="4039" t="s">
        <v>305</v>
      </c>
      <c r="E14" s="4040">
        <f ca="1">E9</f>
        <v>35.788059495427802</v>
      </c>
      <c r="F14" s="4040">
        <f t="shared" ref="F14:M14" ca="1" si="2">F9</f>
        <v>35.768107475703211</v>
      </c>
      <c r="G14" s="4040">
        <f t="shared" ca="1" si="2"/>
        <v>36.827216125256804</v>
      </c>
      <c r="H14" s="4040">
        <f t="shared" ca="1" si="2"/>
        <v>39.059437908617348</v>
      </c>
      <c r="I14" s="4040">
        <f t="shared" ca="1" si="2"/>
        <v>40.151013356851152</v>
      </c>
      <c r="J14" s="4040">
        <f t="shared" ca="1" si="2"/>
        <v>39.644068722885194</v>
      </c>
      <c r="K14" s="4040">
        <f t="shared" ca="1" si="2"/>
        <v>41.298424465305231</v>
      </c>
      <c r="L14" s="4040">
        <f t="shared" ca="1" si="2"/>
        <v>43.058082118318517</v>
      </c>
      <c r="M14" s="4040">
        <f t="shared" ca="1" si="2"/>
        <v>44.761892471808245</v>
      </c>
      <c r="N14" s="3068"/>
      <c r="O14" s="4062"/>
      <c r="P14" s="4062"/>
      <c r="Q14" s="4062"/>
      <c r="R14" s="4062"/>
      <c r="S14" s="4062"/>
      <c r="T14" s="4062"/>
      <c r="U14" s="4062"/>
      <c r="V14" s="4062"/>
      <c r="W14" s="4062"/>
      <c r="X14" s="4062"/>
      <c r="Y14" s="4062"/>
      <c r="Z14" s="4062"/>
      <c r="AA14" s="4062"/>
      <c r="AB14" s="4062"/>
      <c r="AC14" s="4062"/>
      <c r="AD14" s="4062"/>
      <c r="AE14" s="4062"/>
      <c r="AF14" s="4062"/>
      <c r="AG14" s="4062"/>
      <c r="AH14" s="4062"/>
      <c r="AI14" s="4062"/>
      <c r="AJ14" s="4062"/>
      <c r="AK14" s="4062"/>
      <c r="AL14" s="4062"/>
      <c r="AM14" s="4062"/>
      <c r="AN14" s="4062"/>
      <c r="AO14" s="4062"/>
      <c r="AP14" s="4062"/>
      <c r="AQ14" s="4062"/>
      <c r="AR14" s="4062"/>
      <c r="AS14" s="4062"/>
      <c r="AT14" s="4062"/>
      <c r="AU14" s="4062"/>
      <c r="AV14" s="4062"/>
      <c r="AW14" s="4062"/>
      <c r="AX14" s="1225"/>
      <c r="AY14" s="3353"/>
      <c r="AZ14" s="3353"/>
      <c r="BA14" s="3353"/>
      <c r="BB14" s="3353"/>
      <c r="BC14" s="3353"/>
      <c r="BD14" s="3353"/>
      <c r="BE14" s="3353"/>
      <c r="BF14" s="3353"/>
      <c r="BG14" s="3353"/>
      <c r="BH14" s="3353"/>
      <c r="BI14" s="2467"/>
    </row>
    <row r="15" spans="1:61">
      <c r="B15" s="3064"/>
      <c r="C15" s="4061">
        <v>2</v>
      </c>
      <c r="D15" s="4039" t="s">
        <v>399</v>
      </c>
      <c r="E15" s="4040">
        <f ca="1">SUMIFS(INDIRECT("'"&amp;E$6&amp;"'!Year.Emissions"), INDIRECT("'"&amp;E$6&amp;"'!Year.IPCC"), $C15)</f>
        <v>2.2359100000000001</v>
      </c>
      <c r="F15" s="4040">
        <f t="shared" ref="F15:M15" ca="1" si="3">SUMIFS(INDIRECT("'"&amp;F$6&amp;"'!Year.Emissions"), INDIRECT("'"&amp;F$6&amp;"'!Year.IPCC"), $C15)</f>
        <v>2.2672054173720992</v>
      </c>
      <c r="G15" s="4040">
        <f t="shared" ca="1" si="3"/>
        <v>2.3499754855073904</v>
      </c>
      <c r="H15" s="4040">
        <f t="shared" ca="1" si="3"/>
        <v>2.4396159800605437</v>
      </c>
      <c r="I15" s="4040">
        <f t="shared" ca="1" si="3"/>
        <v>2.5366554486670707</v>
      </c>
      <c r="J15" s="4040">
        <f t="shared" ca="1" si="3"/>
        <v>2.6416632996708347</v>
      </c>
      <c r="K15" s="4040">
        <f t="shared" ca="1" si="3"/>
        <v>2.7552529599395106</v>
      </c>
      <c r="L15" s="4040">
        <f t="shared" ca="1" si="3"/>
        <v>2.8780852767289957</v>
      </c>
      <c r="M15" s="4040">
        <f t="shared" ca="1" si="3"/>
        <v>3.0108721824578417</v>
      </c>
      <c r="N15" s="3068"/>
      <c r="O15" s="4062"/>
      <c r="P15" s="4062"/>
      <c r="Q15" s="4062"/>
      <c r="R15" s="4062"/>
      <c r="S15" s="4062"/>
      <c r="T15" s="4062"/>
      <c r="U15" s="4062"/>
      <c r="V15" s="4062"/>
      <c r="W15" s="4062"/>
      <c r="X15" s="4062"/>
      <c r="Y15" s="4062"/>
      <c r="Z15" s="4062"/>
      <c r="AA15" s="4062"/>
      <c r="AB15" s="4062"/>
      <c r="AC15" s="4062"/>
      <c r="AD15" s="4062"/>
      <c r="AE15" s="4062"/>
      <c r="AF15" s="4062"/>
      <c r="AG15" s="4062"/>
      <c r="AH15" s="4062"/>
      <c r="AI15" s="4062"/>
      <c r="AJ15" s="4062"/>
      <c r="AK15" s="4062"/>
      <c r="AL15" s="4062"/>
      <c r="AM15" s="4062"/>
      <c r="AN15" s="4062"/>
      <c r="AO15" s="4062"/>
      <c r="AP15" s="4062"/>
      <c r="AQ15" s="4062"/>
      <c r="AR15" s="4062"/>
      <c r="AS15" s="4062"/>
      <c r="AT15" s="4062"/>
      <c r="AU15" s="4062"/>
      <c r="AV15" s="4062"/>
      <c r="AW15" s="4062"/>
      <c r="AX15" s="1225"/>
      <c r="AY15" s="4063"/>
      <c r="AZ15" s="4063"/>
      <c r="BA15" s="4063"/>
      <c r="BB15" s="4063"/>
      <c r="BC15" s="4063"/>
      <c r="BD15" s="4063"/>
      <c r="BE15" s="4063"/>
      <c r="BF15" s="4063"/>
      <c r="BG15" s="4063"/>
      <c r="BH15" s="4063"/>
      <c r="BI15" s="2467"/>
    </row>
    <row r="16" spans="1:61">
      <c r="B16" s="3064"/>
      <c r="C16" s="4061">
        <v>3</v>
      </c>
      <c r="D16" s="4039" t="s">
        <v>400</v>
      </c>
      <c r="E16" s="4040">
        <f t="shared" ref="E16:M23" ca="1" si="4">SUMIFS(INDIRECT("'"&amp;E$6&amp;"'!Year.Emissions"), INDIRECT("'"&amp;E$6&amp;"'!Year.IPCC"), $C16)</f>
        <v>0</v>
      </c>
      <c r="F16" s="4040">
        <f t="shared" ca="1" si="4"/>
        <v>0</v>
      </c>
      <c r="G16" s="4040">
        <f t="shared" ca="1" si="4"/>
        <v>0</v>
      </c>
      <c r="H16" s="4040">
        <f t="shared" ca="1" si="4"/>
        <v>0</v>
      </c>
      <c r="I16" s="4040">
        <f t="shared" ca="1" si="4"/>
        <v>0</v>
      </c>
      <c r="J16" s="4040">
        <f t="shared" ca="1" si="4"/>
        <v>0</v>
      </c>
      <c r="K16" s="4040">
        <f t="shared" ca="1" si="4"/>
        <v>0</v>
      </c>
      <c r="L16" s="4040">
        <f t="shared" ca="1" si="4"/>
        <v>0</v>
      </c>
      <c r="M16" s="4040">
        <f t="shared" ca="1" si="4"/>
        <v>0</v>
      </c>
      <c r="N16" s="3068"/>
      <c r="O16" s="4062"/>
      <c r="P16" s="4062"/>
      <c r="Q16" s="4062"/>
      <c r="R16" s="4062"/>
      <c r="S16" s="4062"/>
      <c r="T16" s="4062"/>
      <c r="U16" s="4062"/>
      <c r="V16" s="4062"/>
      <c r="W16" s="4062"/>
      <c r="X16" s="4062"/>
      <c r="Y16" s="4062"/>
      <c r="Z16" s="4062"/>
      <c r="AA16" s="4062"/>
      <c r="AB16" s="4062"/>
      <c r="AC16" s="4062"/>
      <c r="AD16" s="4062"/>
      <c r="AE16" s="4062"/>
      <c r="AF16" s="4062"/>
      <c r="AG16" s="4062"/>
      <c r="AH16" s="4062"/>
      <c r="AI16" s="4062"/>
      <c r="AJ16" s="4062"/>
      <c r="AK16" s="4062"/>
      <c r="AL16" s="4062"/>
      <c r="AM16" s="4062"/>
      <c r="AN16" s="4062"/>
      <c r="AO16" s="4062"/>
      <c r="AP16" s="4062"/>
      <c r="AQ16" s="4062"/>
      <c r="AR16" s="4062"/>
      <c r="AS16" s="4062"/>
      <c r="AT16" s="4062"/>
      <c r="AU16" s="4062"/>
      <c r="AV16" s="4062"/>
      <c r="AW16" s="4062"/>
      <c r="AX16" s="1225"/>
      <c r="AY16" s="4063"/>
      <c r="AZ16" s="4063"/>
      <c r="BA16" s="4063"/>
      <c r="BB16" s="4063"/>
      <c r="BC16" s="4063"/>
      <c r="BD16" s="4063"/>
      <c r="BE16" s="4063"/>
      <c r="BF16" s="4063"/>
      <c r="BG16" s="4063"/>
      <c r="BH16" s="4063"/>
      <c r="BI16" s="2467"/>
    </row>
    <row r="17" spans="1:61">
      <c r="B17" s="3064"/>
      <c r="C17" s="4061">
        <v>4</v>
      </c>
      <c r="D17" s="4039" t="s">
        <v>392</v>
      </c>
      <c r="E17" s="4040">
        <f t="shared" ca="1" si="4"/>
        <v>17.018677357203991</v>
      </c>
      <c r="F17" s="4040">
        <f t="shared" ca="1" si="4"/>
        <v>16.696505720845657</v>
      </c>
      <c r="G17" s="4040">
        <f t="shared" ca="1" si="4"/>
        <v>16.446598748983337</v>
      </c>
      <c r="H17" s="4040">
        <f t="shared" ca="1" si="4"/>
        <v>16.200377209999687</v>
      </c>
      <c r="I17" s="4040">
        <f t="shared" ca="1" si="4"/>
        <v>16.245430448515698</v>
      </c>
      <c r="J17" s="4040">
        <f t="shared" ca="1" si="4"/>
        <v>16.294779929168037</v>
      </c>
      <c r="K17" s="4040">
        <f t="shared" ca="1" si="4"/>
        <v>16.348656667243954</v>
      </c>
      <c r="L17" s="4040">
        <f t="shared" ca="1" si="4"/>
        <v>16.407305153092555</v>
      </c>
      <c r="M17" s="4040">
        <f t="shared" ca="1" si="4"/>
        <v>16.470984175766258</v>
      </c>
      <c r="N17" s="3068"/>
      <c r="O17" s="4062"/>
      <c r="P17" s="4062"/>
      <c r="Q17" s="4062"/>
      <c r="R17" s="4062"/>
      <c r="S17" s="4062"/>
      <c r="T17" s="4062"/>
      <c r="U17" s="4062"/>
      <c r="V17" s="4062"/>
      <c r="W17" s="4062"/>
      <c r="X17" s="4062"/>
      <c r="Y17" s="4062"/>
      <c r="Z17" s="4062"/>
      <c r="AA17" s="4062"/>
      <c r="AB17" s="4062"/>
      <c r="AC17" s="4062"/>
      <c r="AD17" s="4062"/>
      <c r="AE17" s="4062"/>
      <c r="AF17" s="4062"/>
      <c r="AG17" s="4062"/>
      <c r="AH17" s="4062"/>
      <c r="AI17" s="4062"/>
      <c r="AJ17" s="4062"/>
      <c r="AK17" s="4062"/>
      <c r="AL17" s="4062"/>
      <c r="AM17" s="4062"/>
      <c r="AN17" s="4062"/>
      <c r="AO17" s="4062"/>
      <c r="AP17" s="4062"/>
      <c r="AQ17" s="4062"/>
      <c r="AR17" s="4062"/>
      <c r="AS17" s="4062"/>
      <c r="AT17" s="4062"/>
      <c r="AU17" s="4062"/>
      <c r="AV17" s="4062"/>
      <c r="AW17" s="4062"/>
      <c r="AX17" s="1225"/>
      <c r="AY17" s="4063"/>
      <c r="AZ17" s="4063"/>
      <c r="BA17" s="4063"/>
      <c r="BB17" s="4063"/>
      <c r="BC17" s="4063"/>
      <c r="BD17" s="4063"/>
      <c r="BE17" s="4063"/>
      <c r="BF17" s="4063"/>
      <c r="BG17" s="4063"/>
      <c r="BH17" s="4063"/>
      <c r="BI17" s="2467"/>
    </row>
    <row r="18" spans="1:61">
      <c r="B18" s="3064"/>
      <c r="C18" s="4061">
        <v>5</v>
      </c>
      <c r="D18" s="4039" t="s">
        <v>2027</v>
      </c>
      <c r="E18" s="4040">
        <f t="shared" ca="1" si="4"/>
        <v>3.7122100000000002</v>
      </c>
      <c r="F18" s="4040">
        <f t="shared" ca="1" si="4"/>
        <v>3.6481720684198971</v>
      </c>
      <c r="G18" s="4040">
        <f t="shared" ca="1" si="4"/>
        <v>3.4880772394696558</v>
      </c>
      <c r="H18" s="4040">
        <f t="shared" ca="1" si="4"/>
        <v>3.3279824105194078</v>
      </c>
      <c r="I18" s="4040">
        <f t="shared" ca="1" si="4"/>
        <v>3.1678875815691661</v>
      </c>
      <c r="J18" s="4040">
        <f t="shared" ca="1" si="4"/>
        <v>3.007792752618919</v>
      </c>
      <c r="K18" s="4040">
        <f t="shared" ca="1" si="4"/>
        <v>2.8476979236686719</v>
      </c>
      <c r="L18" s="4040">
        <f t="shared" ca="1" si="4"/>
        <v>2.6876030947184297</v>
      </c>
      <c r="M18" s="4040">
        <f t="shared" ca="1" si="4"/>
        <v>2.527508265768164</v>
      </c>
      <c r="N18" s="3068"/>
      <c r="O18" s="4062"/>
      <c r="P18" s="4062"/>
      <c r="Q18" s="4062"/>
      <c r="R18" s="4062"/>
      <c r="S18" s="4062"/>
      <c r="T18" s="4062"/>
      <c r="U18" s="4062"/>
      <c r="V18" s="4062"/>
      <c r="W18" s="4062"/>
      <c r="X18" s="4062"/>
      <c r="Y18" s="4062"/>
      <c r="Z18" s="4062"/>
      <c r="AA18" s="4062"/>
      <c r="AB18" s="4062"/>
      <c r="AC18" s="4062"/>
      <c r="AD18" s="4062"/>
      <c r="AE18" s="4062"/>
      <c r="AF18" s="4062"/>
      <c r="AG18" s="4062"/>
      <c r="AH18" s="4062"/>
      <c r="AI18" s="4062"/>
      <c r="AJ18" s="4062"/>
      <c r="AK18" s="4062"/>
      <c r="AL18" s="4062"/>
      <c r="AM18" s="4062"/>
      <c r="AN18" s="4062"/>
      <c r="AO18" s="4062"/>
      <c r="AP18" s="4062"/>
      <c r="AQ18" s="4062"/>
      <c r="AR18" s="4062"/>
      <c r="AS18" s="4062"/>
      <c r="AT18" s="4062"/>
      <c r="AU18" s="4062"/>
      <c r="AV18" s="4062"/>
      <c r="AW18" s="4062"/>
      <c r="AX18" s="1225"/>
      <c r="AY18" s="4063"/>
      <c r="AZ18" s="4063"/>
      <c r="BA18" s="4063"/>
      <c r="BB18" s="4063"/>
      <c r="BC18" s="4063"/>
      <c r="BD18" s="4063"/>
      <c r="BE18" s="4063"/>
      <c r="BF18" s="4063"/>
      <c r="BG18" s="4063"/>
      <c r="BH18" s="4063"/>
      <c r="BI18" s="2467"/>
    </row>
    <row r="19" spans="1:61">
      <c r="B19" s="3064"/>
      <c r="C19" s="4061">
        <v>6</v>
      </c>
      <c r="D19" s="4039" t="s">
        <v>393</v>
      </c>
      <c r="E19" s="4040">
        <f t="shared" ca="1" si="4"/>
        <v>1.2062990035714285</v>
      </c>
      <c r="F19" s="4040">
        <f t="shared" ca="1" si="4"/>
        <v>1.0022900829989212</v>
      </c>
      <c r="G19" s="4040">
        <f t="shared" ca="1" si="4"/>
        <v>0.7790264394424834</v>
      </c>
      <c r="H19" s="4040">
        <f t="shared" ca="1" si="4"/>
        <v>0.72131943607726112</v>
      </c>
      <c r="I19" s="4040">
        <f t="shared" ca="1" si="4"/>
        <v>0.70240852992795211</v>
      </c>
      <c r="J19" s="4040">
        <f t="shared" ca="1" si="4"/>
        <v>0.67787209861968312</v>
      </c>
      <c r="K19" s="4040">
        <f t="shared" ca="1" si="4"/>
        <v>0.64771014215245426</v>
      </c>
      <c r="L19" s="4040">
        <f t="shared" ca="1" si="4"/>
        <v>0.61192266052626565</v>
      </c>
      <c r="M19" s="4040">
        <f t="shared" ca="1" si="4"/>
        <v>0.57050965374111751</v>
      </c>
      <c r="N19" s="3068"/>
      <c r="O19" s="4062"/>
      <c r="P19" s="4062"/>
      <c r="Q19" s="4062"/>
      <c r="R19" s="4062"/>
      <c r="S19" s="4062"/>
      <c r="T19" s="4062"/>
      <c r="U19" s="4062"/>
      <c r="V19" s="4062"/>
      <c r="W19" s="4062"/>
      <c r="X19" s="4062"/>
      <c r="Y19" s="4062"/>
      <c r="Z19" s="4062"/>
      <c r="AA19" s="4062"/>
      <c r="AB19" s="4062"/>
      <c r="AC19" s="4062"/>
      <c r="AD19" s="4062"/>
      <c r="AE19" s="4062"/>
      <c r="AF19" s="4062"/>
      <c r="AG19" s="4062"/>
      <c r="AH19" s="4062"/>
      <c r="AI19" s="4062"/>
      <c r="AJ19" s="4062"/>
      <c r="AK19" s="4062"/>
      <c r="AL19" s="4062"/>
      <c r="AM19" s="4062"/>
      <c r="AN19" s="4062"/>
      <c r="AO19" s="4062"/>
      <c r="AP19" s="4062"/>
      <c r="AQ19" s="4062"/>
      <c r="AR19" s="4062"/>
      <c r="AS19" s="4062"/>
      <c r="AT19" s="4062"/>
      <c r="AU19" s="4062"/>
      <c r="AV19" s="4062"/>
      <c r="AW19" s="4062"/>
      <c r="AX19" s="1225"/>
      <c r="AY19" s="4063"/>
      <c r="AZ19" s="4063"/>
      <c r="BA19" s="4063"/>
      <c r="BB19" s="4063"/>
      <c r="BC19" s="4063"/>
      <c r="BD19" s="4063"/>
      <c r="BE19" s="4063"/>
      <c r="BF19" s="4063"/>
      <c r="BG19" s="4063"/>
      <c r="BH19" s="4063"/>
      <c r="BI19" s="2467"/>
    </row>
    <row r="20" spans="1:61">
      <c r="B20" s="3064"/>
      <c r="C20" s="4061">
        <v>7</v>
      </c>
      <c r="D20" s="4039" t="s">
        <v>402</v>
      </c>
      <c r="E20" s="4040">
        <f t="shared" ca="1" si="4"/>
        <v>0</v>
      </c>
      <c r="F20" s="4040">
        <f t="shared" ca="1" si="4"/>
        <v>0</v>
      </c>
      <c r="G20" s="4040">
        <f t="shared" ca="1" si="4"/>
        <v>0</v>
      </c>
      <c r="H20" s="4040">
        <f t="shared" ca="1" si="4"/>
        <v>0</v>
      </c>
      <c r="I20" s="4040">
        <f t="shared" ca="1" si="4"/>
        <v>0</v>
      </c>
      <c r="J20" s="4040">
        <f t="shared" ca="1" si="4"/>
        <v>0</v>
      </c>
      <c r="K20" s="4040">
        <f t="shared" ca="1" si="4"/>
        <v>0</v>
      </c>
      <c r="L20" s="4040">
        <f t="shared" ca="1" si="4"/>
        <v>0</v>
      </c>
      <c r="M20" s="4040">
        <f t="shared" ca="1" si="4"/>
        <v>0</v>
      </c>
      <c r="N20" s="3068"/>
      <c r="O20" s="4064"/>
      <c r="P20" s="4064"/>
      <c r="Q20" s="4064"/>
      <c r="R20" s="4064"/>
      <c r="S20" s="4064"/>
      <c r="T20" s="4064"/>
      <c r="U20" s="4064"/>
      <c r="V20" s="4064"/>
      <c r="W20" s="4064"/>
      <c r="X20" s="4064"/>
      <c r="Y20" s="4064"/>
      <c r="Z20" s="4064"/>
      <c r="AA20" s="4064"/>
      <c r="AB20" s="4064"/>
      <c r="AC20" s="4064"/>
      <c r="AD20" s="4064"/>
      <c r="AE20" s="4064"/>
      <c r="AF20" s="4064"/>
      <c r="AG20" s="4064"/>
      <c r="AH20" s="4064"/>
      <c r="AI20" s="4064"/>
      <c r="AJ20" s="4064"/>
      <c r="AK20" s="4064"/>
      <c r="AL20" s="4064"/>
      <c r="AM20" s="4064"/>
      <c r="AN20" s="4064"/>
      <c r="AO20" s="4064"/>
      <c r="AP20" s="4064"/>
      <c r="AQ20" s="4064"/>
      <c r="AR20" s="4064"/>
      <c r="AS20" s="4064"/>
      <c r="AT20" s="4064"/>
      <c r="AU20" s="4064"/>
      <c r="AV20" s="4064"/>
      <c r="AW20" s="4064"/>
      <c r="AX20" s="1225"/>
      <c r="AY20" s="4063"/>
      <c r="AZ20" s="4063"/>
      <c r="BA20" s="4063"/>
      <c r="BB20" s="4063"/>
      <c r="BC20" s="4063"/>
      <c r="BD20" s="4063"/>
      <c r="BE20" s="4063"/>
      <c r="BF20" s="4063"/>
      <c r="BG20" s="4063"/>
      <c r="BH20" s="4063"/>
      <c r="BI20" s="2467"/>
    </row>
    <row r="21" spans="1:61">
      <c r="B21" s="3064"/>
      <c r="C21" s="4039" t="s">
        <v>448</v>
      </c>
      <c r="D21" s="4039" t="s">
        <v>1429</v>
      </c>
      <c r="E21" s="4040">
        <f t="shared" ca="1" si="4"/>
        <v>1.8587303279999996</v>
      </c>
      <c r="F21" s="4040">
        <f t="shared" ca="1" si="4"/>
        <v>1.8254237392525674</v>
      </c>
      <c r="G21" s="4040">
        <f t="shared" ca="1" si="4"/>
        <v>1.9740188412391277</v>
      </c>
      <c r="H21" s="4040">
        <f t="shared" ca="1" si="4"/>
        <v>2.1347100411670006</v>
      </c>
      <c r="I21" s="4040">
        <f t="shared" ca="1" si="4"/>
        <v>2.3084819985804761</v>
      </c>
      <c r="J21" s="4040">
        <f t="shared" ca="1" si="4"/>
        <v>2.4963995273366537</v>
      </c>
      <c r="K21" s="4040">
        <f t="shared" ca="1" si="4"/>
        <v>2.6996141204128228</v>
      </c>
      <c r="L21" s="4040">
        <f t="shared" ca="1" si="4"/>
        <v>2.9193710058532174</v>
      </c>
      <c r="M21" s="4040">
        <f t="shared" ca="1" si="4"/>
        <v>3.1570167770915103</v>
      </c>
      <c r="N21" s="3068"/>
      <c r="O21" s="4062"/>
      <c r="P21" s="4062"/>
      <c r="Q21" s="4062"/>
      <c r="R21" s="4062"/>
      <c r="S21" s="4062"/>
      <c r="T21" s="4062"/>
      <c r="U21" s="4062"/>
      <c r="V21" s="4062"/>
      <c r="W21" s="4062"/>
      <c r="X21" s="4062"/>
      <c r="Y21" s="4062"/>
      <c r="Z21" s="4062"/>
      <c r="AA21" s="4062"/>
      <c r="AB21" s="4062"/>
      <c r="AC21" s="4062"/>
      <c r="AD21" s="4062"/>
      <c r="AE21" s="4062"/>
      <c r="AF21" s="4062"/>
      <c r="AG21" s="4062"/>
      <c r="AH21" s="4062"/>
      <c r="AI21" s="4062"/>
      <c r="AJ21" s="4062"/>
      <c r="AK21" s="4062"/>
      <c r="AL21" s="4062"/>
      <c r="AM21" s="4062"/>
      <c r="AN21" s="4062"/>
      <c r="AO21" s="4062"/>
      <c r="AP21" s="4062"/>
      <c r="AQ21" s="4062"/>
      <c r="AR21" s="4062"/>
      <c r="AS21" s="4062"/>
      <c r="AT21" s="4062"/>
      <c r="AU21" s="4062"/>
      <c r="AV21" s="4062"/>
      <c r="AW21" s="4062"/>
      <c r="AX21" s="1225"/>
      <c r="AY21" s="4063"/>
      <c r="AZ21" s="4063"/>
      <c r="BA21" s="4063"/>
      <c r="BB21" s="4063"/>
      <c r="BC21" s="4063"/>
      <c r="BD21" s="4063"/>
      <c r="BE21" s="4063"/>
      <c r="BF21" s="4063"/>
      <c r="BG21" s="4063"/>
      <c r="BH21" s="4063"/>
      <c r="BI21" s="2467"/>
    </row>
    <row r="22" spans="1:61" s="1298" customFormat="1">
      <c r="A22" s="918"/>
      <c r="B22" s="3064"/>
      <c r="C22" s="4039" t="s">
        <v>449</v>
      </c>
      <c r="D22" s="4039" t="s">
        <v>404</v>
      </c>
      <c r="E22" s="4040">
        <f t="shared" ca="1" si="4"/>
        <v>-0.70135482576316632</v>
      </c>
      <c r="F22" s="4040">
        <f t="shared" ca="1" si="4"/>
        <v>-0.91489304793507442</v>
      </c>
      <c r="G22" s="4040">
        <f t="shared" ca="1" si="4"/>
        <v>-1.0625349391574228</v>
      </c>
      <c r="H22" s="4040">
        <f t="shared" ca="1" si="4"/>
        <v>-1.2440262551222085</v>
      </c>
      <c r="I22" s="4040">
        <f t="shared" ca="1" si="4"/>
        <v>-1.4167153109533932</v>
      </c>
      <c r="J22" s="4040">
        <f t="shared" ca="1" si="4"/>
        <v>-1.4277256653884112</v>
      </c>
      <c r="K22" s="4040">
        <f t="shared" ca="1" si="4"/>
        <v>-1.2732716855631914</v>
      </c>
      <c r="L22" s="4040">
        <f t="shared" ca="1" si="4"/>
        <v>-1.122345084686408</v>
      </c>
      <c r="M22" s="4040">
        <f t="shared" ca="1" si="4"/>
        <v>-1.1151876435289807</v>
      </c>
      <c r="N22" s="3068"/>
      <c r="O22" s="4062"/>
      <c r="P22" s="4062"/>
      <c r="Q22" s="4062"/>
      <c r="R22" s="4062"/>
      <c r="S22" s="4062"/>
      <c r="T22" s="4062"/>
      <c r="U22" s="4062"/>
      <c r="V22" s="4062"/>
      <c r="W22" s="4062"/>
      <c r="X22" s="4062"/>
      <c r="Y22" s="4062"/>
      <c r="Z22" s="4062"/>
      <c r="AA22" s="4062"/>
      <c r="AB22" s="4062"/>
      <c r="AC22" s="4062"/>
      <c r="AD22" s="4062"/>
      <c r="AE22" s="4062"/>
      <c r="AF22" s="4062"/>
      <c r="AG22" s="4062"/>
      <c r="AH22" s="4062"/>
      <c r="AI22" s="4062"/>
      <c r="AJ22" s="4062"/>
      <c r="AK22" s="4062"/>
      <c r="AL22" s="4062"/>
      <c r="AM22" s="4062"/>
      <c r="AN22" s="4062"/>
      <c r="AO22" s="4062"/>
      <c r="AP22" s="4062"/>
      <c r="AQ22" s="4062"/>
      <c r="AR22" s="4062"/>
      <c r="AS22" s="4062"/>
      <c r="AT22" s="4062"/>
      <c r="AU22" s="4062"/>
      <c r="AV22" s="4062"/>
      <c r="AW22" s="4062"/>
      <c r="AX22" s="1225"/>
      <c r="AY22" s="4063"/>
      <c r="AZ22" s="4063"/>
      <c r="BA22" s="4063"/>
      <c r="BB22" s="4063"/>
      <c r="BC22" s="4063"/>
      <c r="BD22" s="4063"/>
      <c r="BE22" s="4063"/>
      <c r="BF22" s="4063"/>
      <c r="BG22" s="4063"/>
      <c r="BH22" s="4063"/>
      <c r="BI22" s="4065"/>
    </row>
    <row r="23" spans="1:61">
      <c r="B23" s="3064"/>
      <c r="C23" s="4039" t="s">
        <v>450</v>
      </c>
      <c r="D23" s="4059" t="s">
        <v>405</v>
      </c>
      <c r="E23" s="4060">
        <f t="shared" ca="1" si="4"/>
        <v>0</v>
      </c>
      <c r="F23" s="4060">
        <f t="shared" ca="1" si="4"/>
        <v>0</v>
      </c>
      <c r="G23" s="4060">
        <f t="shared" ca="1" si="4"/>
        <v>0</v>
      </c>
      <c r="H23" s="4060">
        <f t="shared" ca="1" si="4"/>
        <v>0</v>
      </c>
      <c r="I23" s="4060">
        <f t="shared" ca="1" si="4"/>
        <v>0</v>
      </c>
      <c r="J23" s="4060">
        <f t="shared" ca="1" si="4"/>
        <v>0</v>
      </c>
      <c r="K23" s="4060">
        <f t="shared" ca="1" si="4"/>
        <v>0</v>
      </c>
      <c r="L23" s="4060">
        <f t="shared" ca="1" si="4"/>
        <v>0</v>
      </c>
      <c r="M23" s="4060">
        <f t="shared" ca="1" si="4"/>
        <v>0</v>
      </c>
      <c r="N23" s="3068"/>
      <c r="O23" s="4062"/>
      <c r="P23" s="4062"/>
      <c r="Q23" s="4062"/>
      <c r="R23" s="4062"/>
      <c r="S23" s="4062"/>
      <c r="T23" s="4062"/>
      <c r="U23" s="4062"/>
      <c r="V23" s="4062"/>
      <c r="W23" s="4062"/>
      <c r="X23" s="4062"/>
      <c r="Y23" s="4062"/>
      <c r="Z23" s="4062"/>
      <c r="AA23" s="4062"/>
      <c r="AB23" s="4062"/>
      <c r="AC23" s="4062"/>
      <c r="AD23" s="4062"/>
      <c r="AE23" s="4062"/>
      <c r="AF23" s="4062"/>
      <c r="AG23" s="4062"/>
      <c r="AH23" s="4062"/>
      <c r="AI23" s="4062"/>
      <c r="AJ23" s="4062"/>
      <c r="AK23" s="4062"/>
      <c r="AL23" s="4062"/>
      <c r="AM23" s="4062"/>
      <c r="AN23" s="4062"/>
      <c r="AO23" s="4062"/>
      <c r="AP23" s="4062"/>
      <c r="AQ23" s="4062"/>
      <c r="AR23" s="4062"/>
      <c r="AS23" s="4062"/>
      <c r="AT23" s="4062"/>
      <c r="AU23" s="4062"/>
      <c r="AV23" s="4062"/>
      <c r="AW23" s="4062"/>
      <c r="AX23" s="1225"/>
      <c r="AY23" s="4063"/>
      <c r="AZ23" s="4063"/>
      <c r="BA23" s="4063"/>
      <c r="BB23" s="4063"/>
      <c r="BC23" s="4063"/>
      <c r="BD23" s="4063"/>
      <c r="BE23" s="4063"/>
      <c r="BF23" s="4063"/>
      <c r="BG23" s="4063"/>
      <c r="BH23" s="4063"/>
      <c r="BI23" s="2467"/>
    </row>
    <row r="24" spans="1:61" s="1298" customFormat="1" ht="13">
      <c r="A24" s="918"/>
      <c r="B24" s="3064"/>
      <c r="C24" s="4061">
        <v>1</v>
      </c>
      <c r="D24" s="4039" t="s">
        <v>58</v>
      </c>
      <c r="E24" s="4040">
        <f ca="1">SUM(E14:E23)</f>
        <v>61.118531358440052</v>
      </c>
      <c r="F24" s="4040">
        <f t="shared" ref="F24:M24" ca="1" si="5">SUM(F14:F23)</f>
        <v>60.292811456657269</v>
      </c>
      <c r="G24" s="4040">
        <f t="shared" ca="1" si="5"/>
        <v>60.802377940741373</v>
      </c>
      <c r="H24" s="4040">
        <f t="shared" ca="1" si="5"/>
        <v>62.639416731319045</v>
      </c>
      <c r="I24" s="4040">
        <f t="shared" ca="1" si="5"/>
        <v>63.695162053158128</v>
      </c>
      <c r="J24" s="4040">
        <f t="shared" ca="1" si="5"/>
        <v>63.334850664910903</v>
      </c>
      <c r="K24" s="4040">
        <f t="shared" ca="1" si="5"/>
        <v>65.324084593159455</v>
      </c>
      <c r="L24" s="4040">
        <f t="shared" ca="1" si="5"/>
        <v>67.440024224551578</v>
      </c>
      <c r="M24" s="4040">
        <f t="shared" ca="1" si="5"/>
        <v>69.383595883104149</v>
      </c>
      <c r="N24" s="3068"/>
      <c r="O24" s="4058"/>
    </row>
    <row r="25" spans="1:61" s="1298" customFormat="1" ht="13">
      <c r="A25" s="918"/>
      <c r="B25" s="3064"/>
      <c r="C25" s="4061"/>
      <c r="D25" s="4039" t="s">
        <v>2492</v>
      </c>
      <c r="E25" s="4040"/>
      <c r="F25" s="4040"/>
      <c r="G25" s="4040"/>
      <c r="H25" s="4040"/>
      <c r="I25" s="4040"/>
      <c r="J25" s="4040"/>
      <c r="K25" s="4040"/>
      <c r="L25" s="4040"/>
      <c r="M25" s="4040">
        <f>0.2*E36</f>
        <v>11.349567200000001</v>
      </c>
      <c r="N25" s="3068"/>
      <c r="O25" s="4058"/>
    </row>
    <row r="26" spans="1:61" s="1298" customFormat="1" ht="13">
      <c r="A26" s="918"/>
      <c r="B26" s="3064"/>
      <c r="C26" s="4061"/>
      <c r="D26" s="4039"/>
      <c r="E26" s="4040"/>
      <c r="F26" s="4040"/>
      <c r="G26" s="4040"/>
      <c r="H26" s="4040"/>
      <c r="I26" s="4040"/>
      <c r="J26" s="4040"/>
      <c r="K26" s="4040"/>
      <c r="L26" s="4040"/>
      <c r="M26" s="4040"/>
      <c r="N26" s="3068"/>
      <c r="O26" s="4058"/>
    </row>
    <row r="27" spans="1:61" s="1298" customFormat="1" ht="13">
      <c r="A27" s="918"/>
      <c r="B27" s="3064"/>
      <c r="C27" s="4061"/>
      <c r="D27" s="4039" t="s">
        <v>3332</v>
      </c>
      <c r="E27" s="4040"/>
      <c r="F27" s="4040"/>
      <c r="G27" s="4040"/>
      <c r="H27" s="4040"/>
      <c r="I27" s="4040"/>
      <c r="J27" s="4040"/>
      <c r="K27" s="4040"/>
      <c r="L27" s="4040"/>
      <c r="M27" s="4040"/>
      <c r="N27" s="3068"/>
      <c r="O27" s="4058"/>
    </row>
    <row r="28" spans="1:61" s="1298" customFormat="1" ht="13">
      <c r="A28" s="918"/>
      <c r="B28" s="3064"/>
      <c r="C28" s="4061"/>
      <c r="D28" s="4039"/>
      <c r="E28" s="4040"/>
      <c r="F28" s="4040"/>
      <c r="G28" s="4040"/>
      <c r="H28" s="4040"/>
      <c r="I28" s="4040"/>
      <c r="J28" s="4040"/>
      <c r="K28" s="4040"/>
      <c r="L28" s="4040"/>
      <c r="M28" s="4040"/>
      <c r="N28" s="3068"/>
      <c r="O28" s="4058"/>
    </row>
    <row r="29" spans="1:61" s="4068" customFormat="1" ht="18" customHeight="1">
      <c r="A29" s="372"/>
      <c r="B29" s="3076"/>
      <c r="C29" s="3077"/>
      <c r="D29" s="23"/>
      <c r="E29" s="4066"/>
      <c r="F29" s="4066"/>
      <c r="G29" s="4066"/>
      <c r="H29" s="4066"/>
      <c r="I29" s="4066"/>
      <c r="J29" s="4066"/>
      <c r="K29" s="4066"/>
      <c r="L29" s="4066"/>
      <c r="M29" s="4066"/>
      <c r="N29" s="3081"/>
      <c r="O29" s="4067"/>
    </row>
    <row r="31" spans="1:61" ht="15">
      <c r="B31" s="502" t="s">
        <v>3333</v>
      </c>
      <c r="C31" s="503"/>
      <c r="D31" s="503"/>
      <c r="E31" s="503"/>
      <c r="F31" s="857"/>
      <c r="G31" s="39"/>
      <c r="H31" s="39"/>
      <c r="I31" s="39"/>
      <c r="J31" s="39"/>
      <c r="K31" s="39"/>
      <c r="L31" s="39"/>
      <c r="M31" s="39"/>
      <c r="N31" s="39"/>
    </row>
    <row r="32" spans="1:61">
      <c r="B32" s="505"/>
      <c r="C32" s="506"/>
      <c r="D32" s="506"/>
      <c r="E32" s="506"/>
      <c r="F32" s="866"/>
      <c r="G32" s="39"/>
      <c r="H32" s="39"/>
      <c r="I32" s="39"/>
      <c r="J32" s="39"/>
      <c r="K32" s="39"/>
      <c r="L32" s="39"/>
      <c r="M32" s="39"/>
      <c r="N32" s="39"/>
    </row>
    <row r="33" spans="1:15">
      <c r="B33" s="505"/>
      <c r="C33" s="506"/>
      <c r="D33" s="506" t="s">
        <v>3334</v>
      </c>
      <c r="E33" s="506"/>
      <c r="F33" s="866"/>
      <c r="G33" s="39"/>
      <c r="H33" s="39"/>
      <c r="I33" s="39"/>
      <c r="J33" s="39"/>
      <c r="K33" s="39"/>
      <c r="L33" s="39"/>
      <c r="M33" s="39"/>
      <c r="N33" s="39"/>
    </row>
    <row r="34" spans="1:15">
      <c r="B34" s="505"/>
      <c r="C34" s="506"/>
      <c r="D34" s="506" t="s">
        <v>2497</v>
      </c>
      <c r="E34" s="4236">
        <f>'Intermediate output'!F203</f>
        <v>55.607835999999999</v>
      </c>
      <c r="F34" s="866"/>
      <c r="G34" s="39"/>
      <c r="H34" s="39"/>
      <c r="I34" s="39"/>
      <c r="J34" s="39"/>
      <c r="K34" s="39"/>
      <c r="L34" s="39"/>
      <c r="M34" s="39"/>
      <c r="N34" s="39"/>
    </row>
    <row r="35" spans="1:15">
      <c r="B35" s="505"/>
      <c r="C35" s="506"/>
      <c r="D35" s="506" t="s">
        <v>2498</v>
      </c>
      <c r="E35" s="4236">
        <v>1.1399999999999999</v>
      </c>
      <c r="F35" s="866"/>
      <c r="G35" s="39"/>
      <c r="H35" s="39"/>
      <c r="I35" s="39"/>
      <c r="J35" s="39"/>
      <c r="K35" s="39"/>
      <c r="L35" s="39"/>
      <c r="M35" s="39"/>
      <c r="N35" s="39"/>
      <c r="O35" s="39" t="s">
        <v>5</v>
      </c>
    </row>
    <row r="36" spans="1:15">
      <c r="B36" s="505"/>
      <c r="C36" s="506"/>
      <c r="D36" s="506" t="s">
        <v>3335</v>
      </c>
      <c r="E36" s="4237">
        <f>E34+E35</f>
        <v>56.747836</v>
      </c>
      <c r="F36" s="866"/>
      <c r="G36" s="39"/>
      <c r="H36" s="39"/>
      <c r="I36" s="39"/>
      <c r="J36" s="39"/>
      <c r="K36" s="39"/>
      <c r="L36" s="39"/>
      <c r="M36" s="39"/>
      <c r="N36" s="39"/>
    </row>
    <row r="37" spans="1:15">
      <c r="B37" s="505"/>
      <c r="C37" s="506"/>
      <c r="D37" s="506"/>
      <c r="E37" s="506"/>
      <c r="F37" s="866"/>
      <c r="G37" s="39"/>
      <c r="H37" s="39"/>
      <c r="I37" s="39"/>
      <c r="J37" s="39"/>
      <c r="K37" s="39"/>
      <c r="L37" s="39"/>
      <c r="M37" s="39"/>
      <c r="N37" s="39"/>
    </row>
    <row r="38" spans="1:15">
      <c r="B38" s="505"/>
      <c r="C38" s="506"/>
      <c r="D38" s="506" t="s">
        <v>3340</v>
      </c>
      <c r="E38" s="4004">
        <f ca="1">'Intermediate output'!AY192</f>
        <v>61.118531358440052</v>
      </c>
      <c r="F38" s="866"/>
      <c r="G38" s="39"/>
      <c r="H38" s="39"/>
      <c r="I38" s="39"/>
      <c r="J38" s="39"/>
      <c r="K38" s="39"/>
      <c r="L38" s="39"/>
      <c r="M38" s="39"/>
      <c r="N38" s="39"/>
    </row>
    <row r="39" spans="1:15">
      <c r="B39" s="505"/>
      <c r="C39" s="506"/>
      <c r="D39" s="506" t="s">
        <v>3790</v>
      </c>
      <c r="E39" s="4004">
        <f>'Intermediate output'!F192</f>
        <v>61.132199999999997</v>
      </c>
      <c r="F39" s="866"/>
      <c r="G39" s="39"/>
      <c r="H39" s="39"/>
      <c r="I39" s="39"/>
      <c r="J39" s="39"/>
      <c r="K39" s="39"/>
      <c r="L39" s="39"/>
      <c r="M39" s="39"/>
      <c r="N39" s="39"/>
    </row>
    <row r="40" spans="1:15">
      <c r="B40" s="505"/>
      <c r="C40" s="506"/>
      <c r="D40" s="506" t="s">
        <v>3336</v>
      </c>
      <c r="E40" s="4069">
        <f ca="1">E38/E39</f>
        <v>0.99977640847932925</v>
      </c>
      <c r="F40" s="866"/>
      <c r="G40" s="39"/>
      <c r="H40" s="39"/>
      <c r="I40" s="39"/>
      <c r="J40" s="39"/>
      <c r="K40" s="39"/>
      <c r="L40" s="39"/>
      <c r="M40" s="39"/>
      <c r="N40" s="39"/>
    </row>
    <row r="41" spans="1:15">
      <c r="B41" s="505"/>
      <c r="C41" s="506"/>
      <c r="D41" s="506"/>
      <c r="E41" s="506"/>
      <c r="F41" s="866"/>
      <c r="G41" s="39"/>
      <c r="H41" s="39"/>
      <c r="I41" s="39"/>
      <c r="J41" s="39"/>
      <c r="K41" s="39"/>
      <c r="L41" s="39"/>
      <c r="M41" s="39"/>
      <c r="N41" s="39"/>
    </row>
    <row r="42" spans="1:15">
      <c r="B42" s="505"/>
      <c r="C42" s="3089"/>
      <c r="D42" s="506" t="s">
        <v>3337</v>
      </c>
      <c r="E42" s="4004">
        <f ca="1">E36*E40</f>
        <v>56.735147665053987</v>
      </c>
      <c r="F42" s="866"/>
      <c r="G42" s="39"/>
      <c r="H42" s="39"/>
      <c r="I42" s="39"/>
      <c r="J42" s="39"/>
      <c r="K42" s="39"/>
      <c r="L42" s="39"/>
      <c r="M42" s="39"/>
      <c r="N42" s="39"/>
    </row>
    <row r="43" spans="1:15" s="1298" customFormat="1" ht="13">
      <c r="A43" s="918"/>
      <c r="B43" s="3064"/>
      <c r="C43" s="4061"/>
      <c r="D43" s="4039" t="s">
        <v>3382</v>
      </c>
      <c r="E43" s="4070">
        <f ca="1">(M24/E42)</f>
        <v>1.2229384911928409</v>
      </c>
      <c r="F43" s="3068"/>
      <c r="G43" s="4058"/>
    </row>
    <row r="44" spans="1:15" s="4068" customFormat="1" ht="18.5">
      <c r="A44" s="372"/>
      <c r="B44" s="3076"/>
      <c r="C44" s="3077"/>
      <c r="D44" s="23"/>
      <c r="E44" s="4066"/>
      <c r="F44" s="3081"/>
      <c r="G44" s="406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sheetPr>
  <dimension ref="A2:AB78"/>
  <sheetViews>
    <sheetView showGridLines="0" topLeftCell="A4" zoomScale="80" zoomScaleNormal="80" workbookViewId="0">
      <selection activeCell="C1" sqref="C1"/>
    </sheetView>
  </sheetViews>
  <sheetFormatPr defaultColWidth="11.453125" defaultRowHeight="14.5"/>
  <cols>
    <col min="1" max="1" width="3.1796875" style="3973" customWidth="1"/>
    <col min="2" max="2" width="11.453125" style="3973"/>
    <col min="3" max="3" width="5.453125" style="3973" customWidth="1"/>
    <col min="4" max="4" width="31.453125" style="3973" customWidth="1"/>
    <col min="5" max="16384" width="11.453125" style="3973"/>
  </cols>
  <sheetData>
    <row r="2" spans="1:28" ht="23.5">
      <c r="A2" s="7"/>
      <c r="B2" s="502" t="s">
        <v>3307</v>
      </c>
      <c r="C2" s="503"/>
      <c r="D2" s="503"/>
      <c r="E2" s="503"/>
      <c r="F2" s="503"/>
      <c r="G2" s="503"/>
      <c r="H2" s="503"/>
      <c r="I2" s="503"/>
      <c r="J2" s="503"/>
      <c r="K2" s="503"/>
      <c r="L2" s="503"/>
      <c r="M2" s="503"/>
      <c r="N2" s="857"/>
    </row>
    <row r="3" spans="1:28" s="6" customFormat="1" ht="18" customHeight="1">
      <c r="B3" s="505"/>
      <c r="C3" s="506"/>
      <c r="D3" s="506"/>
      <c r="E3" s="506"/>
      <c r="F3" s="506"/>
      <c r="G3" s="506"/>
      <c r="H3" s="506"/>
      <c r="I3" s="506"/>
      <c r="J3" s="506"/>
      <c r="K3" s="506"/>
      <c r="L3" s="3989"/>
      <c r="M3" s="3961"/>
      <c r="N3" s="866"/>
      <c r="P3" s="3973"/>
      <c r="Q3" s="3973"/>
      <c r="R3" s="3973"/>
      <c r="S3" s="3973"/>
      <c r="T3" s="3973"/>
      <c r="U3" s="3973"/>
      <c r="V3" s="3973"/>
      <c r="W3" s="3973"/>
      <c r="X3" s="3973"/>
      <c r="Y3" s="3973"/>
      <c r="Z3" s="3973"/>
      <c r="AA3" s="3973"/>
      <c r="AB3" s="3973"/>
    </row>
    <row r="4" spans="1:28" s="6" customFormat="1" ht="18" customHeight="1">
      <c r="B4" s="505"/>
      <c r="C4" s="3089" t="s">
        <v>3320</v>
      </c>
      <c r="D4" s="506"/>
      <c r="E4" s="506"/>
      <c r="F4" s="506"/>
      <c r="G4" s="506"/>
      <c r="H4" s="506"/>
      <c r="I4" s="506"/>
      <c r="J4" s="506"/>
      <c r="K4" s="506"/>
      <c r="L4" s="506"/>
      <c r="M4" s="17"/>
      <c r="N4" s="866"/>
      <c r="P4" s="3973"/>
      <c r="Q4" s="3973"/>
      <c r="R4" s="3973"/>
      <c r="S4" s="3973"/>
      <c r="T4" s="3973"/>
      <c r="U4" s="3973"/>
      <c r="V4" s="3973"/>
      <c r="W4" s="3973"/>
      <c r="X4" s="3973"/>
      <c r="Y4" s="3973"/>
      <c r="Z4" s="3973"/>
      <c r="AA4" s="3973"/>
      <c r="AB4" s="3973"/>
    </row>
    <row r="5" spans="1:28" s="6" customFormat="1" ht="18" customHeight="1">
      <c r="B5" s="505"/>
      <c r="C5" s="506"/>
      <c r="D5" s="506"/>
      <c r="E5" s="506"/>
      <c r="F5" s="506"/>
      <c r="G5" s="506"/>
      <c r="H5" s="506"/>
      <c r="I5" s="506"/>
      <c r="J5" s="506"/>
      <c r="K5" s="506"/>
      <c r="L5" s="506"/>
      <c r="M5" s="17"/>
      <c r="N5" s="866"/>
      <c r="P5" s="3973"/>
      <c r="Q5" s="3973"/>
      <c r="R5" s="3973"/>
      <c r="S5" s="3973"/>
      <c r="T5" s="3973"/>
      <c r="U5" s="3973"/>
      <c r="V5" s="3973"/>
      <c r="W5" s="3973"/>
      <c r="X5" s="3973"/>
      <c r="Y5" s="3973"/>
      <c r="Z5" s="3973"/>
      <c r="AA5" s="3973"/>
      <c r="AB5" s="3973"/>
    </row>
    <row r="6" spans="1:28" s="918" customFormat="1" ht="18" customHeight="1">
      <c r="B6" s="3064"/>
      <c r="C6" s="3065"/>
      <c r="D6" s="4037" t="str">
        <f>Preferences.EnergyUnits &amp; " / year"</f>
        <v>TWh / year</v>
      </c>
      <c r="E6" s="3063">
        <v>2013</v>
      </c>
      <c r="F6" s="3063">
        <v>2015</v>
      </c>
      <c r="G6" s="3063">
        <v>2020</v>
      </c>
      <c r="H6" s="3063">
        <v>2025</v>
      </c>
      <c r="I6" s="3063">
        <v>2030</v>
      </c>
      <c r="J6" s="3063">
        <v>2035</v>
      </c>
      <c r="K6" s="3063">
        <v>2040</v>
      </c>
      <c r="L6" s="3063">
        <v>2045</v>
      </c>
      <c r="M6" s="3063">
        <v>2050</v>
      </c>
      <c r="N6" s="3068"/>
      <c r="O6" s="4038"/>
    </row>
    <row r="7" spans="1:28" s="918" customFormat="1" ht="13">
      <c r="B7" s="3064"/>
      <c r="C7" s="4039" t="s">
        <v>409</v>
      </c>
      <c r="D7" s="4039" t="s">
        <v>360</v>
      </c>
      <c r="E7" s="4040">
        <f ca="1">INDEX(INDIRECT("'"&amp;E$6&amp;"'!Year.NetBalance"), MATCH($C7, INDIRECT("'"&amp;E$6&amp;"'!Year.Vectors"), 0))</f>
        <v>38.938914480389414</v>
      </c>
      <c r="F7" s="4040">
        <f t="shared" ref="F7:M7" ca="1" si="0">INDEX(INDIRECT("'"&amp;F$6&amp;"'!Year.NetBalance"), MATCH($C7, INDIRECT("'"&amp;F$6&amp;"'!Year.Vectors"), 0))</f>
        <v>40.051952761847303</v>
      </c>
      <c r="G7" s="4040">
        <f t="shared" ca="1" si="0"/>
        <v>42.438057670171453</v>
      </c>
      <c r="H7" s="4040">
        <f t="shared" ca="1" si="0"/>
        <v>43.402334272018976</v>
      </c>
      <c r="I7" s="4040">
        <f t="shared" ca="1" si="0"/>
        <v>44.291061534783324</v>
      </c>
      <c r="J7" s="4040">
        <f t="shared" ca="1" si="0"/>
        <v>45.330977507891568</v>
      </c>
      <c r="K7" s="4040">
        <f t="shared" ca="1" si="0"/>
        <v>46.359403076699564</v>
      </c>
      <c r="L7" s="4040">
        <f t="shared" ca="1" si="0"/>
        <v>47.557692394089628</v>
      </c>
      <c r="M7" s="4040">
        <f t="shared" ca="1" si="0"/>
        <v>48.119877929838552</v>
      </c>
      <c r="N7" s="3068"/>
      <c r="O7" s="4038"/>
    </row>
    <row r="8" spans="1:28" s="918" customFormat="1" ht="13">
      <c r="B8" s="3064"/>
      <c r="C8" s="4039" t="s">
        <v>410</v>
      </c>
      <c r="D8" s="4039" t="s">
        <v>361</v>
      </c>
      <c r="E8" s="4040">
        <f t="shared" ref="E8:M12" ca="1" si="1">INDEX(INDIRECT("'"&amp;E$6&amp;"'!Year.NetBalance"), MATCH($C8, INDIRECT("'"&amp;E$6&amp;"'!Year.Vectors"), 0))</f>
        <v>0.49153024479009</v>
      </c>
      <c r="F8" s="4040">
        <f t="shared" ca="1" si="1"/>
        <v>0.60466126198529713</v>
      </c>
      <c r="G8" s="4040">
        <f t="shared" ca="1" si="1"/>
        <v>0.59792767940406566</v>
      </c>
      <c r="H8" s="4040">
        <f t="shared" ca="1" si="1"/>
        <v>0.57994494620088843</v>
      </c>
      <c r="I8" s="4040">
        <f t="shared" ca="1" si="1"/>
        <v>0.56031657970381665</v>
      </c>
      <c r="J8" s="4040">
        <f t="shared" ca="1" si="1"/>
        <v>0.53893545054834324</v>
      </c>
      <c r="K8" s="4040">
        <f t="shared" ca="1" si="1"/>
        <v>0.5146138572299841</v>
      </c>
      <c r="L8" s="4040">
        <f t="shared" ca="1" si="1"/>
        <v>0.48874347912078209</v>
      </c>
      <c r="M8" s="4040">
        <f t="shared" ca="1" si="1"/>
        <v>0.42446014374891816</v>
      </c>
      <c r="N8" s="3068"/>
      <c r="O8" s="4038"/>
    </row>
    <row r="9" spans="1:28" s="918" customFormat="1" ht="13">
      <c r="B9" s="3064"/>
      <c r="C9" s="4039" t="s">
        <v>411</v>
      </c>
      <c r="D9" s="4039" t="s">
        <v>362</v>
      </c>
      <c r="E9" s="4040">
        <f t="shared" ca="1" si="1"/>
        <v>2.7179785187540276E-2</v>
      </c>
      <c r="F9" s="4040">
        <f t="shared" ca="1" si="1"/>
        <v>2.8688317425508068E-2</v>
      </c>
      <c r="G9" s="4040">
        <f t="shared" ca="1" si="1"/>
        <v>2.8626918373697949E-2</v>
      </c>
      <c r="H9" s="4040">
        <f t="shared" ca="1" si="1"/>
        <v>2.8375533440997854E-2</v>
      </c>
      <c r="I9" s="4040">
        <f t="shared" ca="1" si="1"/>
        <v>2.8092836249242522E-2</v>
      </c>
      <c r="J9" s="4040">
        <f t="shared" ca="1" si="1"/>
        <v>2.7773770259370195E-2</v>
      </c>
      <c r="K9" s="4040">
        <f t="shared" ca="1" si="1"/>
        <v>2.7351212236636904E-2</v>
      </c>
      <c r="L9" s="4040">
        <f t="shared" ca="1" si="1"/>
        <v>2.6897963862265332E-2</v>
      </c>
      <c r="M9" s="4040">
        <f t="shared" ca="1" si="1"/>
        <v>2.5579695995584108E-2</v>
      </c>
      <c r="N9" s="3068"/>
      <c r="O9" s="4038"/>
    </row>
    <row r="10" spans="1:28" s="918" customFormat="1" ht="13">
      <c r="B10" s="3064"/>
      <c r="C10" s="4039" t="s">
        <v>412</v>
      </c>
      <c r="D10" s="4039" t="s">
        <v>363</v>
      </c>
      <c r="E10" s="4040">
        <f t="shared" ca="1" si="1"/>
        <v>0.66</v>
      </c>
      <c r="F10" s="4040">
        <f t="shared" ca="1" si="1"/>
        <v>0.66</v>
      </c>
      <c r="G10" s="4040">
        <f t="shared" ca="1" si="1"/>
        <v>0.66</v>
      </c>
      <c r="H10" s="4040">
        <f t="shared" ca="1" si="1"/>
        <v>0.66</v>
      </c>
      <c r="I10" s="4040">
        <f t="shared" ca="1" si="1"/>
        <v>0.66</v>
      </c>
      <c r="J10" s="4040">
        <f t="shared" ca="1" si="1"/>
        <v>0.66</v>
      </c>
      <c r="K10" s="4040">
        <f t="shared" ca="1" si="1"/>
        <v>0.66</v>
      </c>
      <c r="L10" s="4040">
        <f t="shared" ca="1" si="1"/>
        <v>0.66</v>
      </c>
      <c r="M10" s="4040">
        <f t="shared" ca="1" si="1"/>
        <v>0.66</v>
      </c>
      <c r="N10" s="3068"/>
      <c r="O10" s="4038"/>
    </row>
    <row r="11" spans="1:28" s="918" customFormat="1" ht="13">
      <c r="B11" s="3064"/>
      <c r="C11" s="4039" t="s">
        <v>413</v>
      </c>
      <c r="D11" s="4039" t="s">
        <v>364</v>
      </c>
      <c r="E11" s="4040">
        <f t="shared" ca="1" si="1"/>
        <v>7.02</v>
      </c>
      <c r="F11" s="4040">
        <f t="shared" ca="1" si="1"/>
        <v>6.8942086199999997</v>
      </c>
      <c r="G11" s="4040">
        <f t="shared" ca="1" si="1"/>
        <v>7.4554183878892841</v>
      </c>
      <c r="H11" s="4040">
        <f t="shared" ca="1" si="1"/>
        <v>8.0623123555082739</v>
      </c>
      <c r="I11" s="4040">
        <f t="shared" ca="1" si="1"/>
        <v>8.7186093571046239</v>
      </c>
      <c r="J11" s="4040">
        <f t="shared" ca="1" si="1"/>
        <v>9.4283309514618914</v>
      </c>
      <c r="K11" s="4040">
        <f t="shared" ca="1" si="1"/>
        <v>10.195826064607054</v>
      </c>
      <c r="L11" s="4040">
        <f t="shared" ca="1" si="1"/>
        <v>11.025797638510145</v>
      </c>
      <c r="M11" s="4040">
        <f t="shared" ca="1" si="1"/>
        <v>11.923331449069897</v>
      </c>
      <c r="N11" s="3068"/>
      <c r="O11" s="4038"/>
    </row>
    <row r="12" spans="1:28" s="918" customFormat="1" ht="13">
      <c r="B12" s="3064"/>
      <c r="C12" s="4039" t="s">
        <v>414</v>
      </c>
      <c r="D12" s="4039" t="s">
        <v>365</v>
      </c>
      <c r="E12" s="4040">
        <f t="shared" ca="1" si="1"/>
        <v>0</v>
      </c>
      <c r="F12" s="4040">
        <f t="shared" ca="1" si="1"/>
        <v>0</v>
      </c>
      <c r="G12" s="4040">
        <f t="shared" ca="1" si="1"/>
        <v>0</v>
      </c>
      <c r="H12" s="4040">
        <f t="shared" ca="1" si="1"/>
        <v>0</v>
      </c>
      <c r="I12" s="4040">
        <f t="shared" ca="1" si="1"/>
        <v>0</v>
      </c>
      <c r="J12" s="4040">
        <f t="shared" ca="1" si="1"/>
        <v>0</v>
      </c>
      <c r="K12" s="4040">
        <f t="shared" ca="1" si="1"/>
        <v>0</v>
      </c>
      <c r="L12" s="4040">
        <f t="shared" ca="1" si="1"/>
        <v>0</v>
      </c>
      <c r="M12" s="4040">
        <f t="shared" ca="1" si="1"/>
        <v>0</v>
      </c>
      <c r="N12" s="3068"/>
      <c r="O12" s="4038"/>
    </row>
    <row r="13" spans="1:28" s="918" customFormat="1" ht="13">
      <c r="B13" s="3064"/>
      <c r="C13" s="4039"/>
      <c r="D13" s="4039" t="s">
        <v>3308</v>
      </c>
      <c r="E13" s="4040">
        <f ca="1">SUM(E7:E12)</f>
        <v>47.137624510367047</v>
      </c>
      <c r="F13" s="4040">
        <f t="shared" ref="F13:M13" ca="1" si="2">SUM(F7:F12)</f>
        <v>48.239510961258105</v>
      </c>
      <c r="G13" s="4040">
        <f t="shared" ca="1" si="2"/>
        <v>51.180030655838493</v>
      </c>
      <c r="H13" s="4040">
        <f t="shared" ca="1" si="2"/>
        <v>52.732967107169138</v>
      </c>
      <c r="I13" s="4040">
        <f t="shared" ca="1" si="2"/>
        <v>54.258080307841006</v>
      </c>
      <c r="J13" s="4040">
        <f t="shared" ca="1" si="2"/>
        <v>55.986017680161169</v>
      </c>
      <c r="K13" s="4040">
        <f t="shared" ca="1" si="2"/>
        <v>57.757194210773235</v>
      </c>
      <c r="L13" s="4040">
        <f t="shared" ca="1" si="2"/>
        <v>59.759131475582819</v>
      </c>
      <c r="M13" s="4040">
        <f t="shared" ca="1" si="2"/>
        <v>61.153249218652945</v>
      </c>
      <c r="N13" s="3068"/>
      <c r="O13" s="4038"/>
    </row>
    <row r="14" spans="1:28" s="918" customFormat="1" ht="18" customHeight="1">
      <c r="B14" s="3064"/>
      <c r="C14" s="3066"/>
      <c r="D14" s="3066"/>
      <c r="E14" s="4041"/>
      <c r="F14" s="4041"/>
      <c r="G14" s="4041"/>
      <c r="H14" s="4041"/>
      <c r="I14" s="4041"/>
      <c r="J14" s="4041"/>
      <c r="K14" s="4041"/>
      <c r="L14" s="4041"/>
      <c r="M14" s="4041"/>
      <c r="N14" s="3068"/>
      <c r="O14" s="4038"/>
    </row>
    <row r="15" spans="1:28" s="918" customFormat="1" ht="18" customHeight="1">
      <c r="B15" s="3064"/>
      <c r="C15" s="4042" t="s">
        <v>3321</v>
      </c>
      <c r="D15" s="3066"/>
      <c r="E15" s="4041"/>
      <c r="F15" s="4041"/>
      <c r="G15" s="4041"/>
      <c r="H15" s="4041"/>
      <c r="I15" s="4041"/>
      <c r="J15" s="4041"/>
      <c r="K15" s="4041"/>
      <c r="L15" s="4041"/>
      <c r="M15" s="3090" t="str">
        <f>Preferences.EnergyUnits &amp; " / year"</f>
        <v>TWh / year</v>
      </c>
      <c r="N15" s="3068"/>
      <c r="O15" s="4038"/>
    </row>
    <row r="16" spans="1:28" s="918" customFormat="1" ht="18" customHeight="1">
      <c r="B16" s="3064"/>
      <c r="C16" s="3065"/>
      <c r="D16" s="3065"/>
      <c r="E16" s="4043"/>
      <c r="F16" s="4043"/>
      <c r="G16" s="4043"/>
      <c r="H16" s="4043"/>
      <c r="I16" s="4043"/>
      <c r="J16" s="4043"/>
      <c r="K16" s="4043"/>
      <c r="L16" s="4043"/>
      <c r="M16" s="4043"/>
      <c r="N16" s="3068"/>
      <c r="O16" s="4038"/>
    </row>
    <row r="17" spans="2:18" s="918" customFormat="1" ht="13">
      <c r="B17" s="3064"/>
      <c r="C17" s="3065" t="s">
        <v>43</v>
      </c>
      <c r="D17" s="3065" t="s">
        <v>28</v>
      </c>
      <c r="E17" s="4043">
        <v>2013</v>
      </c>
      <c r="F17" s="4043">
        <v>2015</v>
      </c>
      <c r="G17" s="4043">
        <v>2020</v>
      </c>
      <c r="H17" s="4043">
        <v>2025</v>
      </c>
      <c r="I17" s="4043">
        <v>2030</v>
      </c>
      <c r="J17" s="4043">
        <v>2035</v>
      </c>
      <c r="K17" s="4043">
        <v>2040</v>
      </c>
      <c r="L17" s="4043">
        <v>2045</v>
      </c>
      <c r="M17" s="4043">
        <v>2050</v>
      </c>
      <c r="N17" s="3068"/>
      <c r="O17" s="4038"/>
    </row>
    <row r="18" spans="2:18">
      <c r="B18" s="505"/>
      <c r="C18" s="4044"/>
      <c r="D18" s="4044" t="s">
        <v>482</v>
      </c>
      <c r="E18" s="4045">
        <f ca="1">E13</f>
        <v>47.137624510367047</v>
      </c>
      <c r="F18" s="4045">
        <f t="shared" ref="F18:M18" ca="1" si="3">F13</f>
        <v>48.239510961258105</v>
      </c>
      <c r="G18" s="4045">
        <f t="shared" ca="1" si="3"/>
        <v>51.180030655838493</v>
      </c>
      <c r="H18" s="4045">
        <f t="shared" ca="1" si="3"/>
        <v>52.732967107169138</v>
      </c>
      <c r="I18" s="4045">
        <f t="shared" ca="1" si="3"/>
        <v>54.258080307841006</v>
      </c>
      <c r="J18" s="4045">
        <f t="shared" ca="1" si="3"/>
        <v>55.986017680161169</v>
      </c>
      <c r="K18" s="4045">
        <f t="shared" ca="1" si="3"/>
        <v>57.757194210773235</v>
      </c>
      <c r="L18" s="4045">
        <f t="shared" ca="1" si="3"/>
        <v>59.759131475582819</v>
      </c>
      <c r="M18" s="4045">
        <f t="shared" ca="1" si="3"/>
        <v>61.153249218652945</v>
      </c>
      <c r="N18" s="3068"/>
      <c r="O18" s="2480"/>
      <c r="Q18" s="2480"/>
      <c r="R18" s="2480"/>
    </row>
    <row r="19" spans="2:18">
      <c r="B19" s="505"/>
      <c r="C19" s="4044" t="s">
        <v>408</v>
      </c>
      <c r="D19" s="4044" t="s">
        <v>359</v>
      </c>
      <c r="E19" s="4040">
        <f ca="1">INDEX(INDIRECT("'"&amp;E$17&amp;"'!Year.NetBalance"), MATCH($C19, INDIRECT("'"&amp;E$17&amp;"'!Year.Vectors"), 0))</f>
        <v>28.675543224779016</v>
      </c>
      <c r="F19" s="4040">
        <f t="shared" ref="F19:M19" ca="1" si="4">INDEX(INDIRECT("'"&amp;F$17&amp;"'!Year.NetBalance"), MATCH($C19, INDIRECT("'"&amp;F$17&amp;"'!Year.Vectors"), 0))</f>
        <v>29.571616266227064</v>
      </c>
      <c r="G19" s="4040">
        <f t="shared" ca="1" si="4"/>
        <v>33.849866348584726</v>
      </c>
      <c r="H19" s="4040">
        <f t="shared" ca="1" si="4"/>
        <v>34.516085234770344</v>
      </c>
      <c r="I19" s="4040">
        <f t="shared" ca="1" si="4"/>
        <v>36.391704965243136</v>
      </c>
      <c r="J19" s="4040">
        <f t="shared" ca="1" si="4"/>
        <v>39.204647409941131</v>
      </c>
      <c r="K19" s="4040">
        <f t="shared" ca="1" si="4"/>
        <v>42.29943877073584</v>
      </c>
      <c r="L19" s="4040">
        <f t="shared" ca="1" si="4"/>
        <v>45.705285254959719</v>
      </c>
      <c r="M19" s="4040">
        <f t="shared" ca="1" si="4"/>
        <v>49.454475610191139</v>
      </c>
      <c r="N19" s="3073"/>
      <c r="O19" s="2480"/>
    </row>
    <row r="20" spans="2:18">
      <c r="B20" s="505"/>
      <c r="C20" s="4044" t="s">
        <v>102</v>
      </c>
      <c r="D20" s="4044" t="s">
        <v>3309</v>
      </c>
      <c r="E20" s="4040">
        <f t="shared" ref="E20:M21" ca="1" si="5">INDEX(INDIRECT("'"&amp;E$17&amp;"'!Year.NetBalance"), MATCH($C20, INDIRECT("'"&amp;E$17&amp;"'!Year.Vectors"), 0))</f>
        <v>37.580937210387134</v>
      </c>
      <c r="F20" s="4040">
        <f t="shared" ca="1" si="5"/>
        <v>38.053120882448788</v>
      </c>
      <c r="G20" s="4040">
        <f t="shared" ca="1" si="5"/>
        <v>38.706446706551574</v>
      </c>
      <c r="H20" s="4040">
        <f t="shared" ca="1" si="5"/>
        <v>40.345847182119613</v>
      </c>
      <c r="I20" s="4040">
        <f t="shared" ca="1" si="5"/>
        <v>41.868828503935063</v>
      </c>
      <c r="J20" s="4040">
        <f t="shared" ca="1" si="5"/>
        <v>43.41920856398503</v>
      </c>
      <c r="K20" s="4040">
        <f t="shared" ca="1" si="5"/>
        <v>44.991607222661436</v>
      </c>
      <c r="L20" s="4040">
        <f t="shared" ca="1" si="5"/>
        <v>46.513567046398222</v>
      </c>
      <c r="M20" s="4040">
        <f t="shared" ca="1" si="5"/>
        <v>48.057882978926571</v>
      </c>
      <c r="N20" s="3073"/>
      <c r="O20" s="2480"/>
    </row>
    <row r="21" spans="2:18">
      <c r="B21" s="505"/>
      <c r="C21" s="4044" t="s">
        <v>407</v>
      </c>
      <c r="D21" s="4044" t="s">
        <v>358</v>
      </c>
      <c r="E21" s="4040">
        <f t="shared" ca="1" si="5"/>
        <v>9.9969722741160645</v>
      </c>
      <c r="F21" s="4040">
        <f t="shared" ca="1" si="5"/>
        <v>10.171449921149492</v>
      </c>
      <c r="G21" s="4040">
        <f t="shared" ca="1" si="5"/>
        <v>10.471932632280287</v>
      </c>
      <c r="H21" s="4040">
        <f t="shared" ca="1" si="5"/>
        <v>10.763652138289398</v>
      </c>
      <c r="I21" s="4040">
        <f t="shared" ca="1" si="5"/>
        <v>11.030755299063758</v>
      </c>
      <c r="J21" s="4040">
        <f t="shared" ca="1" si="5"/>
        <v>11.303980489562141</v>
      </c>
      <c r="K21" s="4040">
        <f t="shared" ca="1" si="5"/>
        <v>11.582936791093138</v>
      </c>
      <c r="L21" s="4040">
        <f t="shared" ca="1" si="5"/>
        <v>11.851775794774838</v>
      </c>
      <c r="M21" s="4040">
        <f t="shared" ca="1" si="5"/>
        <v>12.155714431932322</v>
      </c>
      <c r="N21" s="3073"/>
      <c r="O21" s="2480"/>
    </row>
    <row r="22" spans="2:18" s="372" customFormat="1" ht="18.5">
      <c r="B22" s="3076"/>
      <c r="C22" s="3077"/>
      <c r="D22" s="3078" t="s">
        <v>58</v>
      </c>
      <c r="E22" s="4046">
        <f ca="1">SUM(E18:E21)</f>
        <v>123.39107721964926</v>
      </c>
      <c r="F22" s="4046">
        <f t="shared" ref="F22:M22" ca="1" si="6">SUM(F18:F21)</f>
        <v>126.03569803108344</v>
      </c>
      <c r="G22" s="4046">
        <f t="shared" ca="1" si="6"/>
        <v>134.20827634325508</v>
      </c>
      <c r="H22" s="4046">
        <f t="shared" ca="1" si="6"/>
        <v>138.3585516623485</v>
      </c>
      <c r="I22" s="4046">
        <f t="shared" ca="1" si="6"/>
        <v>143.54936907608297</v>
      </c>
      <c r="J22" s="4046">
        <f t="shared" ca="1" si="6"/>
        <v>149.91385414364947</v>
      </c>
      <c r="K22" s="4046">
        <f t="shared" ca="1" si="6"/>
        <v>156.63117699526364</v>
      </c>
      <c r="L22" s="4046">
        <f t="shared" ca="1" si="6"/>
        <v>163.82975957171561</v>
      </c>
      <c r="M22" s="4046">
        <f t="shared" ca="1" si="6"/>
        <v>170.82132223970297</v>
      </c>
      <c r="N22" s="3081"/>
      <c r="O22" s="2450"/>
    </row>
    <row r="24" spans="2:18" ht="15">
      <c r="B24" s="502" t="s">
        <v>3310</v>
      </c>
      <c r="C24" s="503"/>
      <c r="D24" s="503"/>
      <c r="E24" s="503"/>
      <c r="F24" s="503"/>
      <c r="G24" s="503"/>
      <c r="H24" s="503"/>
      <c r="I24" s="503"/>
      <c r="J24" s="503"/>
      <c r="K24" s="503"/>
      <c r="L24" s="503"/>
      <c r="M24" s="503"/>
      <c r="N24" s="857"/>
    </row>
    <row r="25" spans="2:18">
      <c r="B25" s="505"/>
      <c r="C25" s="506"/>
      <c r="D25" s="506"/>
      <c r="E25" s="506"/>
      <c r="F25" s="506"/>
      <c r="G25" s="506"/>
      <c r="H25" s="506"/>
      <c r="I25" s="506"/>
      <c r="J25" s="506"/>
      <c r="K25" s="506"/>
      <c r="L25" s="3989"/>
      <c r="M25" s="3961"/>
      <c r="N25" s="866"/>
    </row>
    <row r="26" spans="2:18" ht="15">
      <c r="B26" s="4047"/>
      <c r="C26" s="3089" t="s">
        <v>3322</v>
      </c>
      <c r="D26" s="3089"/>
      <c r="E26" s="3089"/>
      <c r="F26" s="3089"/>
      <c r="G26" s="3089"/>
      <c r="H26" s="3090"/>
      <c r="I26" s="3090"/>
      <c r="J26" s="3090"/>
      <c r="K26" s="3090"/>
      <c r="L26" s="3090"/>
      <c r="M26" s="3090" t="str">
        <f>Preferences.EnergyUnits &amp; " / year"</f>
        <v>TWh / year</v>
      </c>
      <c r="N26" s="866"/>
    </row>
    <row r="27" spans="2:18" ht="15">
      <c r="B27" s="4047"/>
      <c r="C27" s="3089"/>
      <c r="D27" s="3089"/>
      <c r="E27" s="3089"/>
      <c r="F27" s="3089"/>
      <c r="G27" s="3090"/>
      <c r="H27" s="3090"/>
      <c r="I27" s="3090"/>
      <c r="J27" s="3090"/>
      <c r="K27" s="3090"/>
      <c r="L27" s="3090"/>
      <c r="M27" s="4043"/>
      <c r="N27" s="866"/>
    </row>
    <row r="28" spans="2:18">
      <c r="B28" s="3087"/>
      <c r="C28" s="4048" t="s">
        <v>43</v>
      </c>
      <c r="D28" s="4049" t="s">
        <v>28</v>
      </c>
      <c r="E28" s="34">
        <v>2013</v>
      </c>
      <c r="F28" s="34">
        <v>2015</v>
      </c>
      <c r="G28" s="34">
        <v>2020</v>
      </c>
      <c r="H28" s="34">
        <v>2025</v>
      </c>
      <c r="I28" s="34">
        <v>2030</v>
      </c>
      <c r="J28" s="34">
        <v>2035</v>
      </c>
      <c r="K28" s="34">
        <v>2040</v>
      </c>
      <c r="L28" s="34">
        <v>2045</v>
      </c>
      <c r="M28" s="1117">
        <v>2050</v>
      </c>
      <c r="N28" s="866"/>
    </row>
    <row r="29" spans="2:18">
      <c r="B29" s="3087"/>
      <c r="C29" s="4007" t="s">
        <v>436</v>
      </c>
      <c r="D29" s="4008" t="s">
        <v>387</v>
      </c>
      <c r="E29" s="4050">
        <f ca="1">-INDEX(INDIRECT("'"&amp;E$28&amp;"'!Year.NetBalance"),MATCH($C29,INDIRECT("'"&amp;E$28&amp;"'!Year.Vectors"),0))</f>
        <v>0</v>
      </c>
      <c r="F29" s="4050">
        <f t="shared" ref="F29:M29" ca="1" si="7">-INDEX(INDIRECT("'"&amp;F$28&amp;"'!Year.NetBalance"),MATCH($C29,INDIRECT("'"&amp;F$28&amp;"'!Year.Vectors"),0))</f>
        <v>0</v>
      </c>
      <c r="G29" s="4050">
        <f t="shared" ca="1" si="7"/>
        <v>0</v>
      </c>
      <c r="H29" s="4050">
        <f t="shared" ca="1" si="7"/>
        <v>0</v>
      </c>
      <c r="I29" s="4050">
        <f t="shared" ca="1" si="7"/>
        <v>0</v>
      </c>
      <c r="J29" s="4050">
        <f t="shared" ca="1" si="7"/>
        <v>0</v>
      </c>
      <c r="K29" s="4050">
        <f t="shared" ca="1" si="7"/>
        <v>0</v>
      </c>
      <c r="L29" s="4050">
        <f t="shared" ca="1" si="7"/>
        <v>0</v>
      </c>
      <c r="M29" s="4050">
        <f t="shared" ca="1" si="7"/>
        <v>0</v>
      </c>
      <c r="N29" s="866"/>
    </row>
    <row r="30" spans="2:18">
      <c r="B30" s="3087"/>
      <c r="C30" s="4007" t="s">
        <v>437</v>
      </c>
      <c r="D30" s="4008" t="s">
        <v>78</v>
      </c>
      <c r="E30" s="4050">
        <f t="shared" ref="E30:M46" ca="1" si="8">-INDEX(INDIRECT("'"&amp;E$28&amp;"'!Year.NetBalance"),MATCH($C30,INDIRECT("'"&amp;E$28&amp;"'!Year.Vectors"),0))</f>
        <v>4.1054887428987621E-2</v>
      </c>
      <c r="F30" s="4050">
        <f t="shared" ca="1" si="8"/>
        <v>5.2915063522883464E-2</v>
      </c>
      <c r="G30" s="4050">
        <f t="shared" ca="1" si="8"/>
        <v>5.5796848364472185E-2</v>
      </c>
      <c r="H30" s="4050">
        <f t="shared" ca="1" si="8"/>
        <v>5.8662240154226032E-2</v>
      </c>
      <c r="I30" s="4050">
        <f t="shared" ca="1" si="8"/>
        <v>7.0129937567812564E-2</v>
      </c>
      <c r="J30" s="4050">
        <f t="shared" ca="1" si="8"/>
        <v>7.3391639360886121E-2</v>
      </c>
      <c r="K30" s="4050">
        <f t="shared" ca="1" si="8"/>
        <v>7.68227714428798E-2</v>
      </c>
      <c r="L30" s="4050">
        <f t="shared" ca="1" si="8"/>
        <v>8.0232994859916751E-2</v>
      </c>
      <c r="M30" s="4050">
        <f t="shared" ca="1" si="8"/>
        <v>8.3820866458489254E-2</v>
      </c>
      <c r="N30" s="866"/>
    </row>
    <row r="31" spans="2:18">
      <c r="B31" s="3087"/>
      <c r="C31" s="4007" t="s">
        <v>438</v>
      </c>
      <c r="D31" s="4008" t="s">
        <v>388</v>
      </c>
      <c r="E31" s="4050">
        <f t="shared" ca="1" si="8"/>
        <v>4.5013410000000009</v>
      </c>
      <c r="F31" s="4050">
        <f t="shared" ca="1" si="8"/>
        <v>5.6172527999999993</v>
      </c>
      <c r="G31" s="4050">
        <f t="shared" ca="1" si="8"/>
        <v>5.6216357999999991</v>
      </c>
      <c r="H31" s="4050">
        <f t="shared" ca="1" si="8"/>
        <v>3.3359012999999997</v>
      </c>
      <c r="I31" s="4050">
        <f t="shared" ca="1" si="8"/>
        <v>1.1378267999999998</v>
      </c>
      <c r="J31" s="4050">
        <f t="shared" ca="1" si="8"/>
        <v>3.8789549999999742E-2</v>
      </c>
      <c r="K31" s="4050">
        <f t="shared" ca="1" si="8"/>
        <v>3.8789549999999742E-2</v>
      </c>
      <c r="L31" s="4050">
        <f t="shared" ca="1" si="8"/>
        <v>3.8789549999999742E-2</v>
      </c>
      <c r="M31" s="4050">
        <f t="shared" ca="1" si="8"/>
        <v>3.8789549999999742E-2</v>
      </c>
      <c r="N31" s="866"/>
    </row>
    <row r="32" spans="2:18">
      <c r="B32" s="3087"/>
      <c r="C32" s="4007" t="s">
        <v>439</v>
      </c>
      <c r="D32" s="4008" t="s">
        <v>389</v>
      </c>
      <c r="E32" s="4050">
        <f t="shared" ca="1" si="8"/>
        <v>0</v>
      </c>
      <c r="F32" s="4050">
        <f t="shared" ca="1" si="8"/>
        <v>0</v>
      </c>
      <c r="G32" s="4050">
        <f t="shared" ca="1" si="8"/>
        <v>0</v>
      </c>
      <c r="H32" s="4050">
        <f t="shared" ca="1" si="8"/>
        <v>0</v>
      </c>
      <c r="I32" s="4050">
        <f t="shared" ca="1" si="8"/>
        <v>0</v>
      </c>
      <c r="J32" s="4050">
        <f t="shared" ca="1" si="8"/>
        <v>0</v>
      </c>
      <c r="K32" s="4050">
        <f t="shared" ca="1" si="8"/>
        <v>0</v>
      </c>
      <c r="L32" s="4050">
        <f t="shared" ca="1" si="8"/>
        <v>0</v>
      </c>
      <c r="M32" s="4050">
        <f t="shared" ca="1" si="8"/>
        <v>0</v>
      </c>
      <c r="N32" s="866"/>
    </row>
    <row r="33" spans="2:14">
      <c r="B33" s="3087"/>
      <c r="C33" s="4007" t="s">
        <v>440</v>
      </c>
      <c r="D33" s="4008" t="s">
        <v>390</v>
      </c>
      <c r="E33" s="4050">
        <f t="shared" ca="1" si="8"/>
        <v>0</v>
      </c>
      <c r="F33" s="4050">
        <f t="shared" ca="1" si="8"/>
        <v>3.9627123287671231E-3</v>
      </c>
      <c r="G33" s="4050">
        <f t="shared" ca="1" si="8"/>
        <v>1.3017510000000001E-2</v>
      </c>
      <c r="H33" s="4050">
        <f t="shared" ca="1" si="8"/>
        <v>1.3017510000000001E-2</v>
      </c>
      <c r="I33" s="4050">
        <f t="shared" ca="1" si="8"/>
        <v>1.3017510000000001E-2</v>
      </c>
      <c r="J33" s="4050">
        <f t="shared" ca="1" si="8"/>
        <v>1.3017510000000001E-2</v>
      </c>
      <c r="K33" s="4050">
        <f t="shared" ca="1" si="8"/>
        <v>1.3017510000000001E-2</v>
      </c>
      <c r="L33" s="4050">
        <f t="shared" ca="1" si="8"/>
        <v>0</v>
      </c>
      <c r="M33" s="4050">
        <f t="shared" ca="1" si="8"/>
        <v>0</v>
      </c>
      <c r="N33" s="866"/>
    </row>
    <row r="34" spans="2:14">
      <c r="B34" s="3087"/>
      <c r="C34" s="4007" t="s">
        <v>441</v>
      </c>
      <c r="D34" s="4008" t="s">
        <v>54</v>
      </c>
      <c r="E34" s="4050">
        <f t="shared" ca="1" si="8"/>
        <v>0</v>
      </c>
      <c r="F34" s="4050">
        <f t="shared" ca="1" si="8"/>
        <v>0</v>
      </c>
      <c r="G34" s="4050">
        <f t="shared" ca="1" si="8"/>
        <v>0</v>
      </c>
      <c r="H34" s="4050">
        <f t="shared" ca="1" si="8"/>
        <v>0</v>
      </c>
      <c r="I34" s="4050">
        <f t="shared" ca="1" si="8"/>
        <v>0</v>
      </c>
      <c r="J34" s="4050">
        <f t="shared" ca="1" si="8"/>
        <v>0</v>
      </c>
      <c r="K34" s="4050">
        <f t="shared" ca="1" si="8"/>
        <v>0</v>
      </c>
      <c r="L34" s="4050">
        <f t="shared" ca="1" si="8"/>
        <v>0</v>
      </c>
      <c r="M34" s="4050">
        <f t="shared" ca="1" si="8"/>
        <v>0</v>
      </c>
      <c r="N34" s="866"/>
    </row>
    <row r="35" spans="2:14">
      <c r="B35" s="3087"/>
      <c r="C35" s="4007" t="s">
        <v>442</v>
      </c>
      <c r="D35" s="4008" t="s">
        <v>391</v>
      </c>
      <c r="E35" s="4050">
        <f t="shared" ca="1" si="8"/>
        <v>0.74791511999999993</v>
      </c>
      <c r="F35" s="4050">
        <f t="shared" ca="1" si="8"/>
        <v>0.74791511999999993</v>
      </c>
      <c r="G35" s="4050">
        <f t="shared" ca="1" si="8"/>
        <v>0.74791511999999993</v>
      </c>
      <c r="H35" s="4050">
        <f t="shared" ca="1" si="8"/>
        <v>0.78946596000000002</v>
      </c>
      <c r="I35" s="4050">
        <f t="shared" ca="1" si="8"/>
        <v>0.50632416000000002</v>
      </c>
      <c r="J35" s="4050">
        <f t="shared" ca="1" si="8"/>
        <v>0.33310800000000007</v>
      </c>
      <c r="K35" s="4050">
        <f t="shared" ca="1" si="8"/>
        <v>0.23317560000000004</v>
      </c>
      <c r="L35" s="4050">
        <f t="shared" ca="1" si="8"/>
        <v>0.16655400000000004</v>
      </c>
      <c r="M35" s="4050">
        <f t="shared" ca="1" si="8"/>
        <v>0</v>
      </c>
      <c r="N35" s="866"/>
    </row>
    <row r="36" spans="2:14">
      <c r="B36" s="3087"/>
      <c r="C36" s="4007" t="s">
        <v>431</v>
      </c>
      <c r="D36" s="4008" t="s">
        <v>382</v>
      </c>
      <c r="E36" s="4050">
        <f t="shared" ca="1" si="8"/>
        <v>2.5</v>
      </c>
      <c r="F36" s="4050">
        <f t="shared" ca="1" si="8"/>
        <v>2.4999999999999964</v>
      </c>
      <c r="G36" s="4050">
        <f t="shared" ca="1" si="8"/>
        <v>2.5</v>
      </c>
      <c r="H36" s="4050">
        <f t="shared" ca="1" si="8"/>
        <v>1.4999999999999964</v>
      </c>
      <c r="I36" s="4050">
        <f t="shared" ca="1" si="8"/>
        <v>1</v>
      </c>
      <c r="J36" s="4050">
        <f t="shared" ca="1" si="8"/>
        <v>3.5527136788005009E-15</v>
      </c>
      <c r="K36" s="4050">
        <f t="shared" ca="1" si="8"/>
        <v>7.1054273576010019E-15</v>
      </c>
      <c r="L36" s="4050">
        <f t="shared" ca="1" si="8"/>
        <v>0</v>
      </c>
      <c r="M36" s="4050">
        <f t="shared" ca="1" si="8"/>
        <v>0</v>
      </c>
      <c r="N36" s="866"/>
    </row>
    <row r="37" spans="2:14">
      <c r="B37" s="3087"/>
      <c r="C37" s="4007" t="s">
        <v>101</v>
      </c>
      <c r="D37" s="4008" t="s">
        <v>91</v>
      </c>
      <c r="E37" s="4050">
        <f t="shared" ca="1" si="8"/>
        <v>0.11119904983501781</v>
      </c>
      <c r="F37" s="4050">
        <f t="shared" ca="1" si="8"/>
        <v>0.1434054871385817</v>
      </c>
      <c r="G37" s="4050">
        <f t="shared" ca="1" si="8"/>
        <v>0.23314146875358133</v>
      </c>
      <c r="H37" s="4050">
        <f t="shared" ca="1" si="8"/>
        <v>0.3313595195314073</v>
      </c>
      <c r="I37" s="4050">
        <f t="shared" ca="1" si="8"/>
        <v>0.43792102798625754</v>
      </c>
      <c r="J37" s="4050">
        <f t="shared" ca="1" si="8"/>
        <v>0.55304324430206342</v>
      </c>
      <c r="K37" s="4050">
        <f t="shared" ca="1" si="8"/>
        <v>0.67669216126185838</v>
      </c>
      <c r="L37" s="4050">
        <f t="shared" ca="1" si="8"/>
        <v>0.80883168050723919</v>
      </c>
      <c r="M37" s="4050">
        <f t="shared" ca="1" si="8"/>
        <v>0.9494999999999999</v>
      </c>
      <c r="N37" s="866"/>
    </row>
    <row r="38" spans="2:14">
      <c r="B38" s="3087"/>
      <c r="C38" s="4007" t="s">
        <v>444</v>
      </c>
      <c r="D38" s="4008" t="s">
        <v>393</v>
      </c>
      <c r="E38" s="4050">
        <f t="shared" ca="1" si="8"/>
        <v>1.3469022662175592</v>
      </c>
      <c r="F38" s="4050">
        <f t="shared" ca="1" si="8"/>
        <v>1.8746115688184966</v>
      </c>
      <c r="G38" s="4050">
        <f t="shared" ca="1" si="8"/>
        <v>2.5939350670133425</v>
      </c>
      <c r="H38" s="4050">
        <f t="shared" ca="1" si="8"/>
        <v>3.1510020039229341</v>
      </c>
      <c r="I38" s="4050">
        <f t="shared" ca="1" si="8"/>
        <v>3.2175631879671385</v>
      </c>
      <c r="J38" s="4050">
        <f t="shared" ca="1" si="8"/>
        <v>3.4481065044894366</v>
      </c>
      <c r="K38" s="4050">
        <f t="shared" ca="1" si="8"/>
        <v>3.6950346199087507</v>
      </c>
      <c r="L38" s="4050">
        <f t="shared" ca="1" si="8"/>
        <v>3.9589143994025449</v>
      </c>
      <c r="M38" s="4050">
        <f t="shared" ca="1" si="8"/>
        <v>4.0753442102770014</v>
      </c>
      <c r="N38" s="866"/>
    </row>
    <row r="39" spans="2:14">
      <c r="B39" s="3087"/>
      <c r="C39" s="4007" t="s">
        <v>443</v>
      </c>
      <c r="D39" s="4008" t="s">
        <v>392</v>
      </c>
      <c r="E39" s="4050">
        <f t="shared" ca="1" si="8"/>
        <v>0.31308333333333338</v>
      </c>
      <c r="F39" s="4050">
        <f t="shared" ca="1" si="8"/>
        <v>0.31819825788025435</v>
      </c>
      <c r="G39" s="4050">
        <f t="shared" ca="1" si="8"/>
        <v>0.33156731444804843</v>
      </c>
      <c r="H39" s="4050">
        <f t="shared" ca="1" si="8"/>
        <v>0.34581642466848794</v>
      </c>
      <c r="I39" s="4050">
        <f t="shared" ca="1" si="8"/>
        <v>0.36101075337977562</v>
      </c>
      <c r="J39" s="4050">
        <f t="shared" ca="1" si="8"/>
        <v>0.37722039553007852</v>
      </c>
      <c r="K39" s="4050">
        <f t="shared" ca="1" si="8"/>
        <v>0.39452075052198765</v>
      </c>
      <c r="L39" s="4050">
        <f t="shared" ca="1" si="8"/>
        <v>0.41299292499810381</v>
      </c>
      <c r="M39" s="4050">
        <f t="shared" ca="1" si="8"/>
        <v>0.43272416622880361</v>
      </c>
      <c r="N39" s="866"/>
    </row>
    <row r="40" spans="2:14">
      <c r="B40" s="3087"/>
      <c r="C40" s="4007" t="s">
        <v>430</v>
      </c>
      <c r="D40" s="4008" t="s">
        <v>381</v>
      </c>
      <c r="E40" s="4050">
        <f t="shared" ca="1" si="8"/>
        <v>1.0954366666666666</v>
      </c>
      <c r="F40" s="4050">
        <f t="shared" ca="1" si="8"/>
        <v>1.2967</v>
      </c>
      <c r="G40" s="4050">
        <f t="shared" ca="1" si="8"/>
        <v>1.2967</v>
      </c>
      <c r="H40" s="4050">
        <f t="shared" ca="1" si="8"/>
        <v>1.2466999999999999</v>
      </c>
      <c r="I40" s="4050">
        <f t="shared" ca="1" si="8"/>
        <v>1.6</v>
      </c>
      <c r="J40" s="4050">
        <f t="shared" ca="1" si="8"/>
        <v>1.45</v>
      </c>
      <c r="K40" s="4050">
        <f t="shared" ca="1" si="8"/>
        <v>0.79999999999999993</v>
      </c>
      <c r="L40" s="4050">
        <f t="shared" ca="1" si="8"/>
        <v>0.14999999999999991</v>
      </c>
      <c r="M40" s="4050">
        <f t="shared" ca="1" si="8"/>
        <v>0</v>
      </c>
      <c r="N40" s="866"/>
    </row>
    <row r="41" spans="2:14">
      <c r="B41" s="3087"/>
      <c r="C41" s="4007" t="s">
        <v>427</v>
      </c>
      <c r="D41" s="4008" t="s">
        <v>3323</v>
      </c>
      <c r="E41" s="4050">
        <f t="shared" ca="1" si="8"/>
        <v>8.4</v>
      </c>
      <c r="F41" s="4050">
        <f t="shared" ca="1" si="8"/>
        <v>7</v>
      </c>
      <c r="G41" s="4050">
        <f t="shared" ca="1" si="8"/>
        <v>2</v>
      </c>
      <c r="H41" s="4050">
        <f t="shared" ca="1" si="8"/>
        <v>2</v>
      </c>
      <c r="I41" s="4050">
        <f t="shared" ca="1" si="8"/>
        <v>0</v>
      </c>
      <c r="J41" s="4050">
        <f t="shared" ca="1" si="8"/>
        <v>0</v>
      </c>
      <c r="K41" s="4050">
        <f t="shared" ca="1" si="8"/>
        <v>0</v>
      </c>
      <c r="L41" s="4050">
        <f t="shared" ca="1" si="8"/>
        <v>0</v>
      </c>
      <c r="M41" s="4050">
        <f t="shared" ca="1" si="8"/>
        <v>0</v>
      </c>
      <c r="N41" s="866"/>
    </row>
    <row r="42" spans="2:14">
      <c r="B42" s="3087"/>
      <c r="C42" s="4007" t="s">
        <v>433</v>
      </c>
      <c r="D42" s="4008" t="s">
        <v>384</v>
      </c>
      <c r="E42" s="4050">
        <f t="shared" ca="1" si="8"/>
        <v>14.911266915263244</v>
      </c>
      <c r="F42" s="4050">
        <f t="shared" ca="1" si="8"/>
        <v>16.267581324784786</v>
      </c>
      <c r="G42" s="4050">
        <f t="shared" ca="1" si="8"/>
        <v>18.650649187310073</v>
      </c>
      <c r="H42" s="4050">
        <f t="shared" ca="1" si="8"/>
        <v>18.40843063217299</v>
      </c>
      <c r="I42" s="4050">
        <f t="shared" ca="1" si="8"/>
        <v>13.883093074912559</v>
      </c>
      <c r="J42" s="4050">
        <f t="shared" ca="1" si="8"/>
        <v>1.0246834611179927</v>
      </c>
      <c r="K42" s="4050">
        <f t="shared" ca="1" si="8"/>
        <v>1.7111936919719914</v>
      </c>
      <c r="L42" s="4050">
        <f t="shared" ca="1" si="8"/>
        <v>2.4238277679140663</v>
      </c>
      <c r="M42" s="4050">
        <f t="shared" ca="1" si="8"/>
        <v>2.6655686309587772</v>
      </c>
      <c r="N42" s="866"/>
    </row>
    <row r="43" spans="2:14">
      <c r="B43" s="3087"/>
      <c r="C43" s="4007" t="s">
        <v>428</v>
      </c>
      <c r="D43" s="4008" t="s">
        <v>379</v>
      </c>
      <c r="E43" s="4050">
        <f t="shared" ca="1" si="8"/>
        <v>0</v>
      </c>
      <c r="F43" s="4050">
        <f t="shared" ca="1" si="8"/>
        <v>0</v>
      </c>
      <c r="G43" s="4050">
        <f t="shared" ca="1" si="8"/>
        <v>0</v>
      </c>
      <c r="H43" s="4050">
        <f t="shared" ca="1" si="8"/>
        <v>0</v>
      </c>
      <c r="I43" s="4050">
        <f t="shared" ca="1" si="8"/>
        <v>0</v>
      </c>
      <c r="J43" s="4050">
        <f t="shared" ca="1" si="8"/>
        <v>0</v>
      </c>
      <c r="K43" s="4050">
        <f t="shared" ca="1" si="8"/>
        <v>0</v>
      </c>
      <c r="L43" s="4050">
        <f t="shared" ca="1" si="8"/>
        <v>0</v>
      </c>
      <c r="M43" s="4050">
        <f t="shared" ca="1" si="8"/>
        <v>0</v>
      </c>
      <c r="N43" s="866"/>
    </row>
    <row r="44" spans="2:14">
      <c r="B44" s="3087"/>
      <c r="C44" s="4007" t="s">
        <v>434</v>
      </c>
      <c r="D44" s="4008" t="s">
        <v>385</v>
      </c>
      <c r="E44" s="4050">
        <f t="shared" ca="1" si="8"/>
        <v>76.526836320775942</v>
      </c>
      <c r="F44" s="4050">
        <f t="shared" ca="1" si="8"/>
        <v>74.08927995898263</v>
      </c>
      <c r="G44" s="4050">
        <f t="shared" ca="1" si="8"/>
        <v>75.114909897863313</v>
      </c>
      <c r="H44" s="4050">
        <f t="shared" ca="1" si="8"/>
        <v>75.036510281436605</v>
      </c>
      <c r="I44" s="4050">
        <f t="shared" ca="1" si="8"/>
        <v>75.220892589846784</v>
      </c>
      <c r="J44" s="4050">
        <f t="shared" ca="1" si="8"/>
        <v>75.174956561456597</v>
      </c>
      <c r="K44" s="4050">
        <f t="shared" ca="1" si="8"/>
        <v>75.040093616616304</v>
      </c>
      <c r="L44" s="4050">
        <f t="shared" ca="1" si="8"/>
        <v>75.04125554596699</v>
      </c>
      <c r="M44" s="4050">
        <f t="shared" ca="1" si="8"/>
        <v>74.505208807877793</v>
      </c>
      <c r="N44" s="866"/>
    </row>
    <row r="45" spans="2:14">
      <c r="B45" s="3087"/>
      <c r="C45" s="4007" t="s">
        <v>429</v>
      </c>
      <c r="D45" s="4008" t="s">
        <v>380</v>
      </c>
      <c r="E45" s="4050">
        <f t="shared" ca="1" si="8"/>
        <v>0</v>
      </c>
      <c r="F45" s="4050">
        <f t="shared" ca="1" si="8"/>
        <v>1.7555282514130199</v>
      </c>
      <c r="G45" s="4050">
        <f t="shared" ca="1" si="8"/>
        <v>35</v>
      </c>
      <c r="H45" s="4050">
        <f t="shared" ca="1" si="8"/>
        <v>10</v>
      </c>
      <c r="I45" s="4050">
        <f t="shared" ca="1" si="8"/>
        <v>0</v>
      </c>
      <c r="J45" s="4050">
        <f t="shared" ca="1" si="8"/>
        <v>0</v>
      </c>
      <c r="K45" s="4050">
        <f t="shared" ca="1" si="8"/>
        <v>0</v>
      </c>
      <c r="L45" s="4050">
        <f t="shared" ca="1" si="8"/>
        <v>0</v>
      </c>
      <c r="M45" s="4050">
        <f t="shared" ca="1" si="8"/>
        <v>0</v>
      </c>
      <c r="N45" s="866"/>
    </row>
    <row r="46" spans="2:14">
      <c r="B46" s="3087"/>
      <c r="C46" s="4007" t="s">
        <v>435</v>
      </c>
      <c r="D46" s="4008" t="s">
        <v>386</v>
      </c>
      <c r="E46" s="4050">
        <f t="shared" ca="1" si="8"/>
        <v>47.473619810652579</v>
      </c>
      <c r="F46" s="4050">
        <f t="shared" ca="1" si="8"/>
        <v>47.697968206868779</v>
      </c>
      <c r="G46" s="4050">
        <f t="shared" ca="1" si="8"/>
        <v>22.74172392909157</v>
      </c>
      <c r="H46" s="4050">
        <f t="shared" ca="1" si="8"/>
        <v>59.295640467804589</v>
      </c>
      <c r="I46" s="4050">
        <f t="shared" ca="1" si="8"/>
        <v>85.907348315610292</v>
      </c>
      <c r="J46" s="4050">
        <f t="shared" ca="1" si="8"/>
        <v>106.91717023293266</v>
      </c>
      <c r="K46" s="4050">
        <f t="shared" ca="1" si="8"/>
        <v>116.07842350144173</v>
      </c>
      <c r="L46" s="4050">
        <f t="shared" ca="1" si="8"/>
        <v>125.61125120472862</v>
      </c>
      <c r="M46" s="4050">
        <f t="shared" ca="1" si="8"/>
        <v>135.74178666175516</v>
      </c>
      <c r="N46" s="866"/>
    </row>
    <row r="47" spans="2:14" s="354" customFormat="1" ht="13">
      <c r="B47" s="4051"/>
      <c r="C47" s="4048"/>
      <c r="D47" s="4052" t="s">
        <v>3311</v>
      </c>
      <c r="E47" s="4053">
        <f ca="1">SUM(E29:E46)</f>
        <v>157.96865537017334</v>
      </c>
      <c r="F47" s="4053">
        <f t="shared" ref="F47:M47" ca="1" si="9">SUM(F29:F46)</f>
        <v>159.36531875173819</v>
      </c>
      <c r="G47" s="4053">
        <f t="shared" ca="1" si="9"/>
        <v>166.90099214284439</v>
      </c>
      <c r="H47" s="4053">
        <f t="shared" ca="1" si="9"/>
        <v>175.51250633969124</v>
      </c>
      <c r="I47" s="4053">
        <f t="shared" ca="1" si="9"/>
        <v>183.35512735727062</v>
      </c>
      <c r="J47" s="4053">
        <f t="shared" ca="1" si="9"/>
        <v>189.4034870991897</v>
      </c>
      <c r="K47" s="4053">
        <f t="shared" ca="1" si="9"/>
        <v>198.75776377316549</v>
      </c>
      <c r="L47" s="4053">
        <f t="shared" ca="1" si="9"/>
        <v>208.69265006837747</v>
      </c>
      <c r="M47" s="4053">
        <f t="shared" ca="1" si="9"/>
        <v>218.49274289355603</v>
      </c>
      <c r="N47" s="4054"/>
    </row>
    <row r="48" spans="2:14">
      <c r="B48" s="3343"/>
      <c r="C48" s="3343"/>
      <c r="D48" s="3343"/>
      <c r="E48" s="3343"/>
      <c r="F48" s="3343"/>
      <c r="G48" s="3343"/>
      <c r="H48" s="3343"/>
      <c r="I48" s="3343"/>
      <c r="J48" s="3343"/>
      <c r="K48" s="3343"/>
      <c r="L48" s="3343"/>
      <c r="M48" s="3343"/>
      <c r="N48" s="866"/>
    </row>
    <row r="49" spans="2:15">
      <c r="B49" s="3343"/>
      <c r="C49" s="4055" t="s">
        <v>3328</v>
      </c>
      <c r="D49" s="4056" t="s">
        <v>3329</v>
      </c>
      <c r="E49" s="4050"/>
      <c r="F49" s="4050"/>
      <c r="G49" s="4050"/>
      <c r="H49" s="4050"/>
      <c r="I49" s="4050"/>
      <c r="J49" s="4050"/>
      <c r="K49" s="4050"/>
      <c r="L49" s="4050"/>
      <c r="M49" s="4050"/>
      <c r="N49" s="866"/>
    </row>
    <row r="50" spans="2:15">
      <c r="B50" s="3343"/>
      <c r="C50" s="4007"/>
      <c r="D50" s="4008" t="s">
        <v>3312</v>
      </c>
      <c r="E50" s="4050">
        <f ca="1">E40</f>
        <v>1.0954366666666666</v>
      </c>
      <c r="F50" s="4050">
        <f t="shared" ref="F50:M50" ca="1" si="10">F40</f>
        <v>1.2967</v>
      </c>
      <c r="G50" s="4050">
        <f t="shared" ca="1" si="10"/>
        <v>1.2967</v>
      </c>
      <c r="H50" s="4050">
        <f t="shared" ca="1" si="10"/>
        <v>1.2466999999999999</v>
      </c>
      <c r="I50" s="4050">
        <f t="shared" ca="1" si="10"/>
        <v>1.6</v>
      </c>
      <c r="J50" s="4050">
        <f t="shared" ca="1" si="10"/>
        <v>1.45</v>
      </c>
      <c r="K50" s="4050">
        <f t="shared" ca="1" si="10"/>
        <v>0.79999999999999993</v>
      </c>
      <c r="L50" s="4050">
        <f t="shared" ca="1" si="10"/>
        <v>0.14999999999999991</v>
      </c>
      <c r="M50" s="4050">
        <f t="shared" ca="1" si="10"/>
        <v>0</v>
      </c>
      <c r="N50" s="866"/>
    </row>
    <row r="51" spans="2:15">
      <c r="B51" s="3343"/>
      <c r="C51" s="4007"/>
      <c r="D51" s="4008" t="s">
        <v>3313</v>
      </c>
      <c r="E51" s="4050">
        <f ca="1">IF(SUM(E41:E42)&lt;0,-SUM(E41:E42),0)</f>
        <v>0</v>
      </c>
      <c r="F51" s="4050">
        <f t="shared" ref="F51:M51" ca="1" si="11">IF(SUM(F41:F42)&lt;0,-SUM(F41:F42),0)</f>
        <v>0</v>
      </c>
      <c r="G51" s="4050">
        <f t="shared" ca="1" si="11"/>
        <v>0</v>
      </c>
      <c r="H51" s="4050">
        <f t="shared" ca="1" si="11"/>
        <v>0</v>
      </c>
      <c r="I51" s="4050">
        <f t="shared" ca="1" si="11"/>
        <v>0</v>
      </c>
      <c r="J51" s="4050">
        <f t="shared" ca="1" si="11"/>
        <v>0</v>
      </c>
      <c r="K51" s="4050">
        <f t="shared" ca="1" si="11"/>
        <v>0</v>
      </c>
      <c r="L51" s="4050">
        <f t="shared" ca="1" si="11"/>
        <v>0</v>
      </c>
      <c r="M51" s="4050">
        <f t="shared" ca="1" si="11"/>
        <v>0</v>
      </c>
      <c r="N51" s="866"/>
    </row>
    <row r="52" spans="2:15">
      <c r="B52" s="3343"/>
      <c r="C52" s="4007"/>
      <c r="D52" s="4008" t="s">
        <v>3314</v>
      </c>
      <c r="E52" s="4050">
        <f ca="1">IF(SUM(E43:E44)&lt;0,-SUM(E43:E44),0)</f>
        <v>0</v>
      </c>
      <c r="F52" s="4050">
        <f t="shared" ref="F52:M52" ca="1" si="12">IF(SUM(F43:F44)&lt;0,-SUM(F43:F44),0)</f>
        <v>0</v>
      </c>
      <c r="G52" s="4050">
        <f t="shared" ca="1" si="12"/>
        <v>0</v>
      </c>
      <c r="H52" s="4050">
        <f t="shared" ca="1" si="12"/>
        <v>0</v>
      </c>
      <c r="I52" s="4050">
        <f t="shared" ca="1" si="12"/>
        <v>0</v>
      </c>
      <c r="J52" s="4050">
        <f t="shared" ca="1" si="12"/>
        <v>0</v>
      </c>
      <c r="K52" s="4050">
        <f t="shared" ca="1" si="12"/>
        <v>0</v>
      </c>
      <c r="L52" s="4050">
        <f t="shared" ca="1" si="12"/>
        <v>0</v>
      </c>
      <c r="M52" s="4050">
        <f t="shared" ca="1" si="12"/>
        <v>0</v>
      </c>
      <c r="N52" s="866"/>
    </row>
    <row r="53" spans="2:15">
      <c r="B53" s="3343"/>
      <c r="C53" s="4007"/>
      <c r="D53" s="4008" t="s">
        <v>3315</v>
      </c>
      <c r="E53" s="4050">
        <f ca="1">IF(SUM(E45:E46)&lt;0,-SUM(E45:E46),0)</f>
        <v>0</v>
      </c>
      <c r="F53" s="4050">
        <f t="shared" ref="F53:M53" ca="1" si="13">IF(SUM(F45:F46)&lt;0,-SUM(F45:F46),0)</f>
        <v>0</v>
      </c>
      <c r="G53" s="4050">
        <f t="shared" ca="1" si="13"/>
        <v>0</v>
      </c>
      <c r="H53" s="4050">
        <f t="shared" ca="1" si="13"/>
        <v>0</v>
      </c>
      <c r="I53" s="4050">
        <f t="shared" ca="1" si="13"/>
        <v>0</v>
      </c>
      <c r="J53" s="4050">
        <f t="shared" ca="1" si="13"/>
        <v>0</v>
      </c>
      <c r="K53" s="4050">
        <f t="shared" ca="1" si="13"/>
        <v>0</v>
      </c>
      <c r="L53" s="4050">
        <f t="shared" ca="1" si="13"/>
        <v>0</v>
      </c>
      <c r="M53" s="4050">
        <f t="shared" ca="1" si="13"/>
        <v>0</v>
      </c>
      <c r="N53" s="866"/>
    </row>
    <row r="54" spans="2:15">
      <c r="B54" s="3343"/>
      <c r="C54" s="4007"/>
      <c r="D54" s="4008" t="s">
        <v>3316</v>
      </c>
      <c r="E54" s="4050">
        <f ca="1">E50-SUM(E51:E53)</f>
        <v>1.0954366666666666</v>
      </c>
      <c r="F54" s="4050">
        <f t="shared" ref="F54:M54" ca="1" si="14">F50-SUM(F51:F53)</f>
        <v>1.2967</v>
      </c>
      <c r="G54" s="4050">
        <f t="shared" ca="1" si="14"/>
        <v>1.2967</v>
      </c>
      <c r="H54" s="4050">
        <f t="shared" ca="1" si="14"/>
        <v>1.2466999999999999</v>
      </c>
      <c r="I54" s="4050">
        <f t="shared" ca="1" si="14"/>
        <v>1.6</v>
      </c>
      <c r="J54" s="4050">
        <f t="shared" ca="1" si="14"/>
        <v>1.45</v>
      </c>
      <c r="K54" s="4050">
        <f t="shared" ca="1" si="14"/>
        <v>0.79999999999999993</v>
      </c>
      <c r="L54" s="4050">
        <f t="shared" ca="1" si="14"/>
        <v>0.14999999999999991</v>
      </c>
      <c r="M54" s="4050">
        <f t="shared" ca="1" si="14"/>
        <v>0</v>
      </c>
      <c r="N54" s="866"/>
    </row>
    <row r="55" spans="2:15">
      <c r="B55" s="3343"/>
      <c r="C55" s="4007"/>
      <c r="D55" s="4008"/>
      <c r="E55" s="4050"/>
      <c r="F55" s="4050"/>
      <c r="G55" s="4050"/>
      <c r="H55" s="4050"/>
      <c r="I55" s="4050"/>
      <c r="J55" s="4050"/>
      <c r="K55" s="4050"/>
      <c r="L55" s="4050"/>
      <c r="M55" s="4050"/>
      <c r="N55" s="866"/>
    </row>
    <row r="56" spans="2:15">
      <c r="B56" s="3343"/>
      <c r="C56" s="3089" t="s">
        <v>3330</v>
      </c>
      <c r="D56" s="3343"/>
      <c r="E56" s="3343"/>
      <c r="F56" s="3343"/>
      <c r="G56" s="3343"/>
      <c r="H56" s="3343"/>
      <c r="I56" s="3343"/>
      <c r="J56" s="3343"/>
      <c r="K56" s="3343"/>
      <c r="L56" s="3343"/>
      <c r="M56" s="3090" t="str">
        <f>Preferences.EnergyUnits &amp; " / year"</f>
        <v>TWh / year</v>
      </c>
      <c r="N56" s="866"/>
    </row>
    <row r="57" spans="2:15">
      <c r="B57" s="3343"/>
      <c r="C57" s="3089"/>
      <c r="D57" s="3089"/>
      <c r="E57" s="3089"/>
      <c r="F57" s="3089"/>
      <c r="G57" s="3090"/>
      <c r="H57" s="3090"/>
      <c r="I57" s="3090"/>
      <c r="J57" s="3090"/>
      <c r="K57" s="3090"/>
      <c r="L57" s="3090"/>
      <c r="M57" s="3090"/>
      <c r="N57" s="866"/>
      <c r="O57" s="3973" t="s">
        <v>5</v>
      </c>
    </row>
    <row r="58" spans="2:15">
      <c r="B58" s="3343"/>
      <c r="C58" s="4048" t="s">
        <v>43</v>
      </c>
      <c r="D58" s="4049" t="s">
        <v>28</v>
      </c>
      <c r="E58" s="34">
        <v>2013</v>
      </c>
      <c r="F58" s="34">
        <v>2015</v>
      </c>
      <c r="G58" s="34">
        <v>2020</v>
      </c>
      <c r="H58" s="34">
        <v>2025</v>
      </c>
      <c r="I58" s="34">
        <v>2030</v>
      </c>
      <c r="J58" s="34">
        <v>2035</v>
      </c>
      <c r="K58" s="34">
        <v>2040</v>
      </c>
      <c r="L58" s="34">
        <v>2045</v>
      </c>
      <c r="M58" s="1117">
        <v>2050</v>
      </c>
      <c r="N58" s="866"/>
    </row>
    <row r="59" spans="2:15">
      <c r="B59" s="3343"/>
      <c r="C59" s="4007"/>
      <c r="D59" s="4008" t="s">
        <v>3326</v>
      </c>
      <c r="E59" s="4050">
        <f ca="1">MAX(IF(E46&lt;0,E45+E46,E45),0)</f>
        <v>0</v>
      </c>
      <c r="F59" s="4050">
        <f t="shared" ref="F59:M59" ca="1" si="15">MAX(IF(F46&lt;0,F45+F46,F45),0)</f>
        <v>1.7555282514130199</v>
      </c>
      <c r="G59" s="4050">
        <f t="shared" ca="1" si="15"/>
        <v>35</v>
      </c>
      <c r="H59" s="4050">
        <f t="shared" ca="1" si="15"/>
        <v>10</v>
      </c>
      <c r="I59" s="4050">
        <f t="shared" ca="1" si="15"/>
        <v>0</v>
      </c>
      <c r="J59" s="4050">
        <f t="shared" ca="1" si="15"/>
        <v>0</v>
      </c>
      <c r="K59" s="4050">
        <f t="shared" ca="1" si="15"/>
        <v>0</v>
      </c>
      <c r="L59" s="4050">
        <f t="shared" ca="1" si="15"/>
        <v>0</v>
      </c>
      <c r="M59" s="4050">
        <f t="shared" ca="1" si="15"/>
        <v>0</v>
      </c>
      <c r="N59" s="866"/>
    </row>
    <row r="60" spans="2:15">
      <c r="B60" s="3343"/>
      <c r="C60" s="4007"/>
      <c r="D60" s="4008" t="s">
        <v>3317</v>
      </c>
      <c r="E60" s="4050">
        <f ca="1">MAX(E46,0)</f>
        <v>47.473619810652579</v>
      </c>
      <c r="F60" s="4050">
        <f t="shared" ref="F60:M60" ca="1" si="16">MAX(F46,0)</f>
        <v>47.697968206868779</v>
      </c>
      <c r="G60" s="4050">
        <f t="shared" ca="1" si="16"/>
        <v>22.74172392909157</v>
      </c>
      <c r="H60" s="4050">
        <f t="shared" ca="1" si="16"/>
        <v>59.295640467804589</v>
      </c>
      <c r="I60" s="4050">
        <f t="shared" ca="1" si="16"/>
        <v>85.907348315610292</v>
      </c>
      <c r="J60" s="4050">
        <f t="shared" ca="1" si="16"/>
        <v>106.91717023293266</v>
      </c>
      <c r="K60" s="4050">
        <f t="shared" ca="1" si="16"/>
        <v>116.07842350144173</v>
      </c>
      <c r="L60" s="4050">
        <f t="shared" ca="1" si="16"/>
        <v>125.61125120472862</v>
      </c>
      <c r="M60" s="4050">
        <f t="shared" ca="1" si="16"/>
        <v>135.74178666175516</v>
      </c>
      <c r="N60" s="866"/>
    </row>
    <row r="61" spans="2:15">
      <c r="B61" s="3343"/>
      <c r="C61" s="4007"/>
      <c r="D61" s="4008" t="s">
        <v>3327</v>
      </c>
      <c r="E61" s="4050">
        <f ca="1">MAX(IF(E44&lt;0,E43+E44,E43),0)</f>
        <v>0</v>
      </c>
      <c r="F61" s="4050">
        <f t="shared" ref="F61:M61" ca="1" si="17">MAX(IF(F44&lt;0,F43+F44,F43),0)</f>
        <v>0</v>
      </c>
      <c r="G61" s="4050">
        <f t="shared" ca="1" si="17"/>
        <v>0</v>
      </c>
      <c r="H61" s="4050">
        <f t="shared" ca="1" si="17"/>
        <v>0</v>
      </c>
      <c r="I61" s="4050">
        <f t="shared" ca="1" si="17"/>
        <v>0</v>
      </c>
      <c r="J61" s="4050">
        <f t="shared" ca="1" si="17"/>
        <v>0</v>
      </c>
      <c r="K61" s="4050">
        <f t="shared" ca="1" si="17"/>
        <v>0</v>
      </c>
      <c r="L61" s="4050">
        <f t="shared" ca="1" si="17"/>
        <v>0</v>
      </c>
      <c r="M61" s="4050">
        <f t="shared" ca="1" si="17"/>
        <v>0</v>
      </c>
      <c r="N61" s="866"/>
    </row>
    <row r="62" spans="2:15">
      <c r="B62" s="3343"/>
      <c r="C62" s="4007"/>
      <c r="D62" s="4008" t="s">
        <v>3318</v>
      </c>
      <c r="E62" s="4050">
        <f ca="1">MAX(E44,0)</f>
        <v>76.526836320775942</v>
      </c>
      <c r="F62" s="4050">
        <f t="shared" ref="F62:M62" ca="1" si="18">MAX(F44,0)</f>
        <v>74.08927995898263</v>
      </c>
      <c r="G62" s="4050">
        <f t="shared" ca="1" si="18"/>
        <v>75.114909897863313</v>
      </c>
      <c r="H62" s="4050">
        <f t="shared" ca="1" si="18"/>
        <v>75.036510281436605</v>
      </c>
      <c r="I62" s="4050">
        <f t="shared" ca="1" si="18"/>
        <v>75.220892589846784</v>
      </c>
      <c r="J62" s="4050">
        <f t="shared" ca="1" si="18"/>
        <v>75.174956561456597</v>
      </c>
      <c r="K62" s="4050">
        <f t="shared" ca="1" si="18"/>
        <v>75.040093616616304</v>
      </c>
      <c r="L62" s="4050">
        <f t="shared" ca="1" si="18"/>
        <v>75.04125554596699</v>
      </c>
      <c r="M62" s="4050">
        <f t="shared" ca="1" si="18"/>
        <v>74.505208807877793</v>
      </c>
      <c r="N62" s="866"/>
    </row>
    <row r="63" spans="2:15">
      <c r="B63" s="3343"/>
      <c r="C63" s="4007"/>
      <c r="D63" s="4008" t="s">
        <v>3325</v>
      </c>
      <c r="E63" s="4050">
        <f ca="1">MAX(IF(E42&lt;0,SUM(E41:E42),E41),0)</f>
        <v>8.4</v>
      </c>
      <c r="F63" s="4050">
        <f t="shared" ref="F63:M63" ca="1" si="19">MAX(IF(F42&lt;0,SUM(F41:F42),F41),0)</f>
        <v>7</v>
      </c>
      <c r="G63" s="4050">
        <f t="shared" ca="1" si="19"/>
        <v>2</v>
      </c>
      <c r="H63" s="4050">
        <f t="shared" ca="1" si="19"/>
        <v>2</v>
      </c>
      <c r="I63" s="4050">
        <f t="shared" ca="1" si="19"/>
        <v>0</v>
      </c>
      <c r="J63" s="4050">
        <f t="shared" ca="1" si="19"/>
        <v>0</v>
      </c>
      <c r="K63" s="4050">
        <f t="shared" ca="1" si="19"/>
        <v>0</v>
      </c>
      <c r="L63" s="4050">
        <f t="shared" ca="1" si="19"/>
        <v>0</v>
      </c>
      <c r="M63" s="4050">
        <f t="shared" ca="1" si="19"/>
        <v>0</v>
      </c>
      <c r="N63" s="866"/>
    </row>
    <row r="64" spans="2:15">
      <c r="B64" s="3343"/>
      <c r="C64" s="4007"/>
      <c r="D64" s="4008" t="s">
        <v>3319</v>
      </c>
      <c r="E64" s="4050">
        <f ca="1">MAX(E42,0)</f>
        <v>14.911266915263244</v>
      </c>
      <c r="F64" s="4050">
        <f t="shared" ref="F64:M64" ca="1" si="20">MAX(F42,0)</f>
        <v>16.267581324784786</v>
      </c>
      <c r="G64" s="4050">
        <f t="shared" ca="1" si="20"/>
        <v>18.650649187310073</v>
      </c>
      <c r="H64" s="4050">
        <f t="shared" ca="1" si="20"/>
        <v>18.40843063217299</v>
      </c>
      <c r="I64" s="4050">
        <f t="shared" ca="1" si="20"/>
        <v>13.883093074912559</v>
      </c>
      <c r="J64" s="4050">
        <f t="shared" ca="1" si="20"/>
        <v>1.0246834611179927</v>
      </c>
      <c r="K64" s="4050">
        <f t="shared" ca="1" si="20"/>
        <v>1.7111936919719914</v>
      </c>
      <c r="L64" s="4050">
        <f t="shared" ca="1" si="20"/>
        <v>2.4238277679140663</v>
      </c>
      <c r="M64" s="4050">
        <f t="shared" ca="1" si="20"/>
        <v>2.6655686309587772</v>
      </c>
      <c r="N64" s="866"/>
    </row>
    <row r="65" spans="2:14">
      <c r="B65" s="3343"/>
      <c r="C65" s="4007"/>
      <c r="D65" s="4008" t="s">
        <v>2689</v>
      </c>
      <c r="E65" s="4050">
        <f ca="1">IF(E54&lt;0,SUM(E38:E39,E54),SUM(E38:E39))</f>
        <v>1.6599855995508925</v>
      </c>
      <c r="F65" s="4050">
        <f t="shared" ref="F65:M65" ca="1" si="21">IF(F54&lt;0,SUM(F38:F39,F54),SUM(F38:F39))</f>
        <v>2.1928098266987508</v>
      </c>
      <c r="G65" s="4050">
        <f t="shared" ca="1" si="21"/>
        <v>2.9255023814613912</v>
      </c>
      <c r="H65" s="4050">
        <f t="shared" ca="1" si="21"/>
        <v>3.4968184285914221</v>
      </c>
      <c r="I65" s="4050">
        <f t="shared" ca="1" si="21"/>
        <v>3.5785739413469142</v>
      </c>
      <c r="J65" s="4050">
        <f t="shared" ca="1" si="21"/>
        <v>3.8253269000195149</v>
      </c>
      <c r="K65" s="4050">
        <f t="shared" ca="1" si="21"/>
        <v>4.0895553704307384</v>
      </c>
      <c r="L65" s="4050">
        <f t="shared" ca="1" si="21"/>
        <v>4.3719073244006488</v>
      </c>
      <c r="M65" s="4050">
        <f t="shared" ca="1" si="21"/>
        <v>4.5080683765058049</v>
      </c>
      <c r="N65" s="866"/>
    </row>
    <row r="66" spans="2:14">
      <c r="B66" s="3343"/>
      <c r="C66" s="4007"/>
      <c r="D66" s="4008" t="s">
        <v>643</v>
      </c>
      <c r="E66" s="4050">
        <f ca="1">MAX(E54,0)</f>
        <v>1.0954366666666666</v>
      </c>
      <c r="F66" s="4050">
        <f t="shared" ref="F66:M66" ca="1" si="22">MAX(F54,0)</f>
        <v>1.2967</v>
      </c>
      <c r="G66" s="4050">
        <f t="shared" ca="1" si="22"/>
        <v>1.2967</v>
      </c>
      <c r="H66" s="4050">
        <f t="shared" ca="1" si="22"/>
        <v>1.2466999999999999</v>
      </c>
      <c r="I66" s="4050">
        <f t="shared" ca="1" si="22"/>
        <v>1.6</v>
      </c>
      <c r="J66" s="4050">
        <f t="shared" ca="1" si="22"/>
        <v>1.45</v>
      </c>
      <c r="K66" s="4050">
        <f t="shared" ca="1" si="22"/>
        <v>0.79999999999999993</v>
      </c>
      <c r="L66" s="4050">
        <f t="shared" ca="1" si="22"/>
        <v>0.14999999999999991</v>
      </c>
      <c r="M66" s="4050">
        <f t="shared" ca="1" si="22"/>
        <v>0</v>
      </c>
      <c r="N66" s="866"/>
    </row>
    <row r="67" spans="2:14">
      <c r="B67" s="3343"/>
      <c r="C67" s="4007" t="s">
        <v>436</v>
      </c>
      <c r="D67" s="4008" t="s">
        <v>387</v>
      </c>
      <c r="E67" s="4050">
        <f ca="1">E29</f>
        <v>0</v>
      </c>
      <c r="F67" s="4050">
        <f t="shared" ref="F67:M67" ca="1" si="23">F29</f>
        <v>0</v>
      </c>
      <c r="G67" s="4050">
        <f t="shared" ca="1" si="23"/>
        <v>0</v>
      </c>
      <c r="H67" s="4050">
        <f t="shared" ca="1" si="23"/>
        <v>0</v>
      </c>
      <c r="I67" s="4050">
        <f t="shared" ca="1" si="23"/>
        <v>0</v>
      </c>
      <c r="J67" s="4050">
        <f t="shared" ca="1" si="23"/>
        <v>0</v>
      </c>
      <c r="K67" s="4050">
        <f t="shared" ca="1" si="23"/>
        <v>0</v>
      </c>
      <c r="L67" s="4050">
        <f t="shared" ca="1" si="23"/>
        <v>0</v>
      </c>
      <c r="M67" s="4050">
        <f t="shared" ca="1" si="23"/>
        <v>0</v>
      </c>
      <c r="N67" s="866"/>
    </row>
    <row r="68" spans="2:14">
      <c r="B68" s="3343"/>
      <c r="C68" s="4007" t="s">
        <v>438</v>
      </c>
      <c r="D68" s="4008" t="s">
        <v>388</v>
      </c>
      <c r="E68" s="4050">
        <f ca="1">E31</f>
        <v>4.5013410000000009</v>
      </c>
      <c r="F68" s="4050">
        <f t="shared" ref="F68:M68" ca="1" si="24">F31</f>
        <v>5.6172527999999993</v>
      </c>
      <c r="G68" s="4050">
        <f t="shared" ca="1" si="24"/>
        <v>5.6216357999999991</v>
      </c>
      <c r="H68" s="4050">
        <f t="shared" ca="1" si="24"/>
        <v>3.3359012999999997</v>
      </c>
      <c r="I68" s="4050">
        <f t="shared" ca="1" si="24"/>
        <v>1.1378267999999998</v>
      </c>
      <c r="J68" s="4050">
        <f t="shared" ca="1" si="24"/>
        <v>3.8789549999999742E-2</v>
      </c>
      <c r="K68" s="4050">
        <f t="shared" ca="1" si="24"/>
        <v>3.8789549999999742E-2</v>
      </c>
      <c r="L68" s="4050">
        <f t="shared" ca="1" si="24"/>
        <v>3.8789549999999742E-2</v>
      </c>
      <c r="M68" s="4050">
        <f t="shared" ca="1" si="24"/>
        <v>3.8789549999999742E-2</v>
      </c>
      <c r="N68" s="866"/>
    </row>
    <row r="69" spans="2:14">
      <c r="B69" s="3343"/>
      <c r="C69" s="4007" t="s">
        <v>437</v>
      </c>
      <c r="D69" s="4008" t="s">
        <v>78</v>
      </c>
      <c r="E69" s="4050">
        <f ca="1">E30</f>
        <v>4.1054887428987621E-2</v>
      </c>
      <c r="F69" s="4050">
        <f t="shared" ref="F69:M69" ca="1" si="25">F30</f>
        <v>5.2915063522883464E-2</v>
      </c>
      <c r="G69" s="4050">
        <f t="shared" ca="1" si="25"/>
        <v>5.5796848364472185E-2</v>
      </c>
      <c r="H69" s="4050">
        <f t="shared" ca="1" si="25"/>
        <v>5.8662240154226032E-2</v>
      </c>
      <c r="I69" s="4050">
        <f t="shared" ca="1" si="25"/>
        <v>7.0129937567812564E-2</v>
      </c>
      <c r="J69" s="4050">
        <f t="shared" ca="1" si="25"/>
        <v>7.3391639360886121E-2</v>
      </c>
      <c r="K69" s="4050">
        <f t="shared" ca="1" si="25"/>
        <v>7.68227714428798E-2</v>
      </c>
      <c r="L69" s="4050">
        <f t="shared" ca="1" si="25"/>
        <v>8.0232994859916751E-2</v>
      </c>
      <c r="M69" s="4050">
        <f t="shared" ca="1" si="25"/>
        <v>8.3820866458489254E-2</v>
      </c>
      <c r="N69" s="866"/>
    </row>
    <row r="70" spans="2:14">
      <c r="B70" s="3343"/>
      <c r="C70" s="4007" t="s">
        <v>439</v>
      </c>
      <c r="D70" s="4008" t="s">
        <v>389</v>
      </c>
      <c r="E70" s="4050">
        <f ca="1">E32</f>
        <v>0</v>
      </c>
      <c r="F70" s="4050">
        <f t="shared" ref="F70:M70" ca="1" si="26">F32</f>
        <v>0</v>
      </c>
      <c r="G70" s="4050">
        <f t="shared" ca="1" si="26"/>
        <v>0</v>
      </c>
      <c r="H70" s="4050">
        <f t="shared" ca="1" si="26"/>
        <v>0</v>
      </c>
      <c r="I70" s="4050">
        <f t="shared" ca="1" si="26"/>
        <v>0</v>
      </c>
      <c r="J70" s="4050">
        <f t="shared" ca="1" si="26"/>
        <v>0</v>
      </c>
      <c r="K70" s="4050">
        <f t="shared" ca="1" si="26"/>
        <v>0</v>
      </c>
      <c r="L70" s="4050">
        <f t="shared" ca="1" si="26"/>
        <v>0</v>
      </c>
      <c r="M70" s="4050">
        <f t="shared" ca="1" si="26"/>
        <v>0</v>
      </c>
      <c r="N70" s="866"/>
    </row>
    <row r="71" spans="2:14">
      <c r="B71" s="3343"/>
      <c r="C71" s="4007" t="s">
        <v>440</v>
      </c>
      <c r="D71" s="4008" t="s">
        <v>390</v>
      </c>
      <c r="E71" s="4050">
        <f ca="1">E33</f>
        <v>0</v>
      </c>
      <c r="F71" s="4050">
        <f t="shared" ref="F71:M71" ca="1" si="27">F33</f>
        <v>3.9627123287671231E-3</v>
      </c>
      <c r="G71" s="4050">
        <f t="shared" ca="1" si="27"/>
        <v>1.3017510000000001E-2</v>
      </c>
      <c r="H71" s="4050">
        <f t="shared" ca="1" si="27"/>
        <v>1.3017510000000001E-2</v>
      </c>
      <c r="I71" s="4050">
        <f t="shared" ca="1" si="27"/>
        <v>1.3017510000000001E-2</v>
      </c>
      <c r="J71" s="4050">
        <f t="shared" ca="1" si="27"/>
        <v>1.3017510000000001E-2</v>
      </c>
      <c r="K71" s="4050">
        <f t="shared" ca="1" si="27"/>
        <v>1.3017510000000001E-2</v>
      </c>
      <c r="L71" s="4050">
        <f t="shared" ca="1" si="27"/>
        <v>0</v>
      </c>
      <c r="M71" s="4050">
        <f t="shared" ca="1" si="27"/>
        <v>0</v>
      </c>
      <c r="N71" s="866"/>
    </row>
    <row r="72" spans="2:14">
      <c r="B72" s="3343"/>
      <c r="C72" s="4007" t="s">
        <v>441</v>
      </c>
      <c r="D72" s="4008" t="s">
        <v>54</v>
      </c>
      <c r="E72" s="4050">
        <f ca="1">E34</f>
        <v>0</v>
      </c>
      <c r="F72" s="4050">
        <f t="shared" ref="F72:M72" ca="1" si="28">F34</f>
        <v>0</v>
      </c>
      <c r="G72" s="4050">
        <f t="shared" ca="1" si="28"/>
        <v>0</v>
      </c>
      <c r="H72" s="4050">
        <f t="shared" ca="1" si="28"/>
        <v>0</v>
      </c>
      <c r="I72" s="4050">
        <f t="shared" ca="1" si="28"/>
        <v>0</v>
      </c>
      <c r="J72" s="4050">
        <f t="shared" ca="1" si="28"/>
        <v>0</v>
      </c>
      <c r="K72" s="4050">
        <f t="shared" ca="1" si="28"/>
        <v>0</v>
      </c>
      <c r="L72" s="4050">
        <f t="shared" ca="1" si="28"/>
        <v>0</v>
      </c>
      <c r="M72" s="4050">
        <f t="shared" ca="1" si="28"/>
        <v>0</v>
      </c>
      <c r="N72" s="866"/>
    </row>
    <row r="73" spans="2:14">
      <c r="B73" s="3343"/>
      <c r="C73" s="4007" t="s">
        <v>442</v>
      </c>
      <c r="D73" s="4008" t="s">
        <v>391</v>
      </c>
      <c r="E73" s="4050">
        <f ca="1">E35</f>
        <v>0.74791511999999993</v>
      </c>
      <c r="F73" s="4050">
        <f t="shared" ref="F73:M73" ca="1" si="29">F35</f>
        <v>0.74791511999999993</v>
      </c>
      <c r="G73" s="4050">
        <f t="shared" ca="1" si="29"/>
        <v>0.74791511999999993</v>
      </c>
      <c r="H73" s="4050">
        <f t="shared" ca="1" si="29"/>
        <v>0.78946596000000002</v>
      </c>
      <c r="I73" s="4050">
        <f t="shared" ca="1" si="29"/>
        <v>0.50632416000000002</v>
      </c>
      <c r="J73" s="4050">
        <f t="shared" ca="1" si="29"/>
        <v>0.33310800000000007</v>
      </c>
      <c r="K73" s="4050">
        <f t="shared" ca="1" si="29"/>
        <v>0.23317560000000004</v>
      </c>
      <c r="L73" s="4050">
        <f t="shared" ca="1" si="29"/>
        <v>0.16655400000000004</v>
      </c>
      <c r="M73" s="4050">
        <f t="shared" ca="1" si="29"/>
        <v>0</v>
      </c>
      <c r="N73" s="866"/>
    </row>
    <row r="74" spans="2:14">
      <c r="B74" s="3343"/>
      <c r="C74" s="4007" t="s">
        <v>431</v>
      </c>
      <c r="D74" s="4008" t="s">
        <v>555</v>
      </c>
      <c r="E74" s="4050">
        <f ca="1">MAX(E36,0)</f>
        <v>2.5</v>
      </c>
      <c r="F74" s="4050">
        <f t="shared" ref="F74:M74" ca="1" si="30">MAX(F36,0)</f>
        <v>2.4999999999999964</v>
      </c>
      <c r="G74" s="4050">
        <f t="shared" ca="1" si="30"/>
        <v>2.5</v>
      </c>
      <c r="H74" s="4050">
        <f t="shared" ca="1" si="30"/>
        <v>1.4999999999999964</v>
      </c>
      <c r="I74" s="4050">
        <f t="shared" ca="1" si="30"/>
        <v>1</v>
      </c>
      <c r="J74" s="4050">
        <f t="shared" ca="1" si="30"/>
        <v>3.5527136788005009E-15</v>
      </c>
      <c r="K74" s="4050">
        <f t="shared" ca="1" si="30"/>
        <v>7.1054273576010019E-15</v>
      </c>
      <c r="L74" s="4050">
        <f t="shared" ca="1" si="30"/>
        <v>0</v>
      </c>
      <c r="M74" s="4050">
        <f t="shared" ca="1" si="30"/>
        <v>0</v>
      </c>
      <c r="N74" s="866"/>
    </row>
    <row r="75" spans="2:14">
      <c r="B75" s="3343"/>
      <c r="C75" s="4007" t="s">
        <v>101</v>
      </c>
      <c r="D75" s="4008" t="s">
        <v>91</v>
      </c>
      <c r="E75" s="4050">
        <f ca="1">E37</f>
        <v>0.11119904983501781</v>
      </c>
      <c r="F75" s="4050">
        <f t="shared" ref="F75:M75" ca="1" si="31">F37</f>
        <v>0.1434054871385817</v>
      </c>
      <c r="G75" s="4050">
        <f t="shared" ca="1" si="31"/>
        <v>0.23314146875358133</v>
      </c>
      <c r="H75" s="4050">
        <f t="shared" ca="1" si="31"/>
        <v>0.3313595195314073</v>
      </c>
      <c r="I75" s="4050">
        <f t="shared" ca="1" si="31"/>
        <v>0.43792102798625754</v>
      </c>
      <c r="J75" s="4050">
        <f t="shared" ca="1" si="31"/>
        <v>0.55304324430206342</v>
      </c>
      <c r="K75" s="4050">
        <f t="shared" ca="1" si="31"/>
        <v>0.67669216126185838</v>
      </c>
      <c r="L75" s="4050">
        <f t="shared" ca="1" si="31"/>
        <v>0.80883168050723919</v>
      </c>
      <c r="M75" s="4050">
        <f t="shared" ca="1" si="31"/>
        <v>0.9494999999999999</v>
      </c>
      <c r="N75" s="866"/>
    </row>
    <row r="76" spans="2:14">
      <c r="B76" s="3343"/>
      <c r="C76" s="4007"/>
      <c r="D76" s="4008" t="s">
        <v>3324</v>
      </c>
      <c r="E76" s="4050">
        <f ca="1">E47</f>
        <v>157.96865537017334</v>
      </c>
      <c r="F76" s="4050">
        <f t="shared" ref="F76:M76" ca="1" si="32">F47</f>
        <v>159.36531875173819</v>
      </c>
      <c r="G76" s="4050">
        <f t="shared" ca="1" si="32"/>
        <v>166.90099214284439</v>
      </c>
      <c r="H76" s="4050">
        <f t="shared" ca="1" si="32"/>
        <v>175.51250633969124</v>
      </c>
      <c r="I76" s="4050">
        <f t="shared" ca="1" si="32"/>
        <v>183.35512735727062</v>
      </c>
      <c r="J76" s="4050">
        <f t="shared" ca="1" si="32"/>
        <v>189.4034870991897</v>
      </c>
      <c r="K76" s="4050">
        <f t="shared" ca="1" si="32"/>
        <v>198.75776377316549</v>
      </c>
      <c r="L76" s="4050">
        <f t="shared" ca="1" si="32"/>
        <v>208.69265006837747</v>
      </c>
      <c r="M76" s="4050">
        <f t="shared" ca="1" si="32"/>
        <v>218.49274289355603</v>
      </c>
      <c r="N76" s="866"/>
    </row>
    <row r="77" spans="2:14">
      <c r="B77" s="3343"/>
      <c r="C77" s="4007"/>
      <c r="D77" s="4008"/>
      <c r="E77" s="4050"/>
      <c r="F77" s="4050"/>
      <c r="G77" s="4050"/>
      <c r="H77" s="4050"/>
      <c r="I77" s="4050"/>
      <c r="J77" s="4050"/>
      <c r="K77" s="4050"/>
      <c r="L77" s="4050"/>
      <c r="M77" s="4050"/>
      <c r="N77" s="866"/>
    </row>
    <row r="78" spans="2:14">
      <c r="B78" s="3343"/>
      <c r="C78" s="4007"/>
      <c r="D78" s="4008"/>
      <c r="E78" s="3343"/>
      <c r="F78" s="3343"/>
      <c r="G78" s="3343"/>
      <c r="H78" s="3343"/>
      <c r="I78" s="3343"/>
      <c r="J78" s="3343"/>
      <c r="K78" s="3343"/>
      <c r="L78" s="3343"/>
      <c r="M78" s="3343"/>
      <c r="N78" s="8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sheetPr>
  <dimension ref="A2:AB116"/>
  <sheetViews>
    <sheetView showGridLines="0" zoomScale="80" zoomScaleNormal="80" workbookViewId="0">
      <selection activeCell="O53" sqref="O53"/>
    </sheetView>
  </sheetViews>
  <sheetFormatPr defaultColWidth="11.453125" defaultRowHeight="14.5"/>
  <cols>
    <col min="1" max="1" width="2.26953125" style="3972" customWidth="1"/>
    <col min="2" max="2" width="11.453125" style="3972"/>
    <col min="3" max="3" width="5.453125" style="3972" customWidth="1"/>
    <col min="4" max="4" width="38.7265625" style="3972" customWidth="1"/>
    <col min="5" max="16384" width="11.453125" style="3972"/>
  </cols>
  <sheetData>
    <row r="2" spans="1:28" ht="23.5">
      <c r="A2" s="7"/>
      <c r="B2" s="502" t="s">
        <v>3282</v>
      </c>
      <c r="C2" s="503"/>
      <c r="D2" s="503"/>
      <c r="E2" s="503"/>
      <c r="F2" s="503"/>
      <c r="G2" s="503"/>
      <c r="H2" s="503"/>
      <c r="I2" s="503"/>
      <c r="J2" s="503"/>
      <c r="K2" s="503"/>
      <c r="L2" s="503"/>
      <c r="M2" s="503"/>
      <c r="N2" s="857"/>
    </row>
    <row r="3" spans="1:28" s="6" customFormat="1" ht="18" customHeight="1">
      <c r="B3" s="505"/>
      <c r="C3" s="506"/>
      <c r="D3" s="506"/>
      <c r="E3" s="506"/>
      <c r="F3" s="506"/>
      <c r="G3" s="506"/>
      <c r="H3" s="506"/>
      <c r="I3" s="506"/>
      <c r="J3" s="506"/>
      <c r="K3" s="506" t="s">
        <v>5</v>
      </c>
      <c r="L3" s="3989"/>
      <c r="M3" s="3961"/>
      <c r="N3" s="866"/>
      <c r="P3" s="3972"/>
      <c r="Q3" s="3972"/>
      <c r="R3" s="3972"/>
      <c r="S3" s="3972"/>
      <c r="T3" s="3972"/>
      <c r="U3" s="3972"/>
      <c r="V3" s="3972"/>
      <c r="W3" s="3972"/>
      <c r="X3" s="3972"/>
      <c r="Y3" s="3972"/>
      <c r="Z3" s="3972"/>
      <c r="AA3" s="3972"/>
      <c r="AB3" s="3972"/>
    </row>
    <row r="4" spans="1:28" s="6" customFormat="1" ht="18" customHeight="1">
      <c r="B4" s="506"/>
      <c r="C4" s="4019" t="s">
        <v>3293</v>
      </c>
      <c r="D4" s="4020"/>
      <c r="E4" s="4020"/>
      <c r="F4" s="4020"/>
      <c r="G4" s="4020"/>
      <c r="H4" s="4020"/>
      <c r="I4" s="4020"/>
      <c r="J4" s="4020"/>
      <c r="K4" s="4020"/>
      <c r="L4" s="4020"/>
      <c r="M4" s="4021" t="str">
        <f>Preferences.EnergyUnits &amp; " / year"</f>
        <v>TWh / year</v>
      </c>
      <c r="N4" s="17"/>
      <c r="P4" s="3972"/>
      <c r="Q4" s="3972"/>
      <c r="R4" s="3972"/>
      <c r="S4" s="3972"/>
      <c r="T4" s="3972"/>
      <c r="U4" s="3972"/>
      <c r="V4" s="3972"/>
      <c r="W4" s="3972"/>
      <c r="X4" s="3972"/>
      <c r="Y4" s="3972"/>
      <c r="Z4" s="3972"/>
      <c r="AA4" s="3972"/>
      <c r="AB4" s="3972"/>
    </row>
    <row r="5" spans="1:28" s="3990" customFormat="1" ht="18" customHeight="1">
      <c r="B5" s="12"/>
      <c r="C5" s="4020"/>
      <c r="D5" s="4020"/>
      <c r="E5" s="4020"/>
      <c r="F5" s="4020"/>
      <c r="G5" s="4020"/>
      <c r="H5" s="4020"/>
      <c r="I5" s="4020"/>
      <c r="J5" s="4020"/>
      <c r="K5" s="4020"/>
      <c r="L5" s="4020"/>
      <c r="M5" s="4022"/>
      <c r="N5" s="18"/>
      <c r="P5" s="297"/>
      <c r="Q5" s="297"/>
      <c r="R5" s="297"/>
      <c r="S5" s="297"/>
      <c r="T5" s="297"/>
      <c r="U5" s="297"/>
      <c r="V5" s="297"/>
      <c r="W5" s="297"/>
      <c r="X5" s="297"/>
      <c r="Y5" s="297"/>
      <c r="Z5" s="297"/>
      <c r="AA5" s="297"/>
      <c r="AB5" s="297"/>
    </row>
    <row r="6" spans="1:28" s="3990" customFormat="1" ht="18" customHeight="1">
      <c r="B6" s="12"/>
      <c r="C6" s="4020" t="s">
        <v>95</v>
      </c>
      <c r="D6" s="4010" t="s">
        <v>406</v>
      </c>
      <c r="E6" s="4011">
        <v>2013</v>
      </c>
      <c r="F6" s="4011">
        <v>2015</v>
      </c>
      <c r="G6" s="4011">
        <v>2020</v>
      </c>
      <c r="H6" s="4011">
        <v>2025</v>
      </c>
      <c r="I6" s="4011">
        <v>2030</v>
      </c>
      <c r="J6" s="4011">
        <v>2035</v>
      </c>
      <c r="K6" s="4011">
        <v>2040</v>
      </c>
      <c r="L6" s="4011">
        <v>2045</v>
      </c>
      <c r="M6" s="4011">
        <v>2050</v>
      </c>
      <c r="N6" s="18"/>
      <c r="P6" s="297"/>
      <c r="Q6" s="297"/>
      <c r="R6" s="297"/>
      <c r="S6" s="297"/>
      <c r="T6" s="297"/>
      <c r="U6" s="297"/>
      <c r="V6" s="297"/>
      <c r="W6" s="297"/>
      <c r="X6" s="297"/>
      <c r="Y6" s="297"/>
      <c r="Z6" s="297"/>
      <c r="AA6" s="297"/>
      <c r="AB6" s="297"/>
    </row>
    <row r="7" spans="1:28" s="3992" customFormat="1" ht="18" customHeight="1">
      <c r="B7" s="3093"/>
      <c r="C7" s="4023" t="s">
        <v>493</v>
      </c>
      <c r="D7" s="4015" t="s">
        <v>494</v>
      </c>
      <c r="E7" s="4014">
        <f ca="1">-INDEX(INDIRECT($C7&amp;".Outputs["&amp;E$6&amp;"]"),MATCH($C$6,INDIRECT($C7&amp;".Outputs[Vector]"),0))</f>
        <v>0</v>
      </c>
      <c r="F7" s="4014">
        <f t="shared" ref="F7:M7" ca="1" si="0">-INDEX(INDIRECT($C7&amp;".Outputs["&amp;F$6&amp;"]"),MATCH($C$6,INDIRECT($C7&amp;".Outputs[Vector]"),0))</f>
        <v>0</v>
      </c>
      <c r="G7" s="4014">
        <f t="shared" ca="1" si="0"/>
        <v>0</v>
      </c>
      <c r="H7" s="4014">
        <f t="shared" ca="1" si="0"/>
        <v>0</v>
      </c>
      <c r="I7" s="4014">
        <f t="shared" ca="1" si="0"/>
        <v>0</v>
      </c>
      <c r="J7" s="4014">
        <f t="shared" ca="1" si="0"/>
        <v>0</v>
      </c>
      <c r="K7" s="4014">
        <f t="shared" ca="1" si="0"/>
        <v>0</v>
      </c>
      <c r="L7" s="4014">
        <f t="shared" ca="1" si="0"/>
        <v>0</v>
      </c>
      <c r="M7" s="4014">
        <f t="shared" ca="1" si="0"/>
        <v>0</v>
      </c>
      <c r="N7" s="2906"/>
      <c r="O7" s="3993"/>
    </row>
    <row r="8" spans="1:28" s="3992" customFormat="1" ht="12.5">
      <c r="B8" s="3093"/>
      <c r="C8" s="4023" t="s">
        <v>501</v>
      </c>
      <c r="D8" s="4023" t="s">
        <v>502</v>
      </c>
      <c r="E8" s="4014">
        <f t="shared" ref="E8:M19" ca="1" si="1">-INDEX(INDIRECT($C8&amp;".Outputs["&amp;E$6&amp;"]"),MATCH($C$6,INDIRECT($C8&amp;".Outputs[Vector]"),0))</f>
        <v>0.54810000000000003</v>
      </c>
      <c r="F8" s="4014">
        <f t="shared" ca="1" si="1"/>
        <v>0.55489580999999999</v>
      </c>
      <c r="G8" s="4014">
        <f t="shared" ca="1" si="1"/>
        <v>0.57248896254738002</v>
      </c>
      <c r="H8" s="4014">
        <f t="shared" ca="1" si="1"/>
        <v>0.59097954268761899</v>
      </c>
      <c r="I8" s="4014">
        <f t="shared" ca="1" si="1"/>
        <v>0.61041332824718952</v>
      </c>
      <c r="J8" s="4014">
        <f t="shared" ca="1" si="1"/>
        <v>0.63083843218178637</v>
      </c>
      <c r="K8" s="4014">
        <f t="shared" ca="1" si="1"/>
        <v>0.65230542169138483</v>
      </c>
      <c r="L8" s="4014">
        <f t="shared" ca="1" si="1"/>
        <v>0.67486744341136407</v>
      </c>
      <c r="M8" s="4014">
        <f t="shared" ca="1" si="1"/>
        <v>0.69858035498963655</v>
      </c>
      <c r="N8" s="2906"/>
      <c r="O8" s="3993"/>
    </row>
    <row r="9" spans="1:28" s="3992" customFormat="1" ht="12.5">
      <c r="B9" s="3093"/>
      <c r="C9" s="4023" t="s">
        <v>25</v>
      </c>
      <c r="D9" s="4023" t="s">
        <v>26</v>
      </c>
      <c r="E9" s="4014">
        <f t="shared" ca="1" si="1"/>
        <v>2.9324919592134012E-3</v>
      </c>
      <c r="F9" s="4014">
        <f t="shared" ca="1" si="1"/>
        <v>3.779647394491676E-3</v>
      </c>
      <c r="G9" s="4014">
        <f t="shared" ca="1" si="1"/>
        <v>3.9854891688908701E-3</v>
      </c>
      <c r="H9" s="4014">
        <f t="shared" ca="1" si="1"/>
        <v>4.1901600110161447E-3</v>
      </c>
      <c r="I9" s="4014">
        <f t="shared" ca="1" si="1"/>
        <v>5.0092812548437546E-3</v>
      </c>
      <c r="J9" s="4014">
        <f t="shared" ca="1" si="1"/>
        <v>5.2422599543490087E-3</v>
      </c>
      <c r="K9" s="4014">
        <f t="shared" ca="1" si="1"/>
        <v>5.4873408173485572E-3</v>
      </c>
      <c r="L9" s="4014">
        <f t="shared" ca="1" si="1"/>
        <v>5.7309282042797673E-3</v>
      </c>
      <c r="M9" s="4014">
        <f t="shared" ca="1" si="1"/>
        <v>5.9872047470349464E-3</v>
      </c>
      <c r="N9" s="2906"/>
      <c r="O9" s="3993"/>
    </row>
    <row r="10" spans="1:28" s="3992" customFormat="1" ht="12.5">
      <c r="B10" s="3093"/>
      <c r="C10" s="4023" t="s">
        <v>2</v>
      </c>
      <c r="D10" s="4023" t="s">
        <v>3</v>
      </c>
      <c r="E10" s="4014">
        <f t="shared" ca="1" si="1"/>
        <v>0.88256437808531207</v>
      </c>
      <c r="F10" s="4014">
        <f t="shared" ca="1" si="1"/>
        <v>0.962793920118858</v>
      </c>
      <c r="G10" s="4014">
        <f t="shared" ca="1" si="1"/>
        <v>1.1454171196981839</v>
      </c>
      <c r="H10" s="4014">
        <f t="shared" ca="1" si="1"/>
        <v>1.3895260738128647</v>
      </c>
      <c r="I10" s="4014">
        <f t="shared" ca="1" si="1"/>
        <v>1.639370956886139</v>
      </c>
      <c r="J10" s="4014">
        <f t="shared" ca="1" si="1"/>
        <v>1.9030564366680982</v>
      </c>
      <c r="K10" s="4014">
        <f t="shared" ca="1" si="1"/>
        <v>2.1804320076135117</v>
      </c>
      <c r="L10" s="4014">
        <f t="shared" ca="1" si="1"/>
        <v>2.4660030407149582</v>
      </c>
      <c r="M10" s="4014">
        <f t="shared" ca="1" si="1"/>
        <v>2.76531347349606</v>
      </c>
      <c r="N10" s="2906"/>
      <c r="O10" s="3993"/>
    </row>
    <row r="11" spans="1:28" s="3992" customFormat="1" ht="12.5">
      <c r="B11" s="3093"/>
      <c r="C11" s="4023" t="s">
        <v>456</v>
      </c>
      <c r="D11" s="4023" t="s">
        <v>457</v>
      </c>
      <c r="E11" s="4014">
        <f t="shared" ca="1" si="1"/>
        <v>3.90225</v>
      </c>
      <c r="F11" s="4014">
        <f t="shared" ca="1" si="1"/>
        <v>4.0955180180180175</v>
      </c>
      <c r="G11" s="4014">
        <f t="shared" ca="1" si="1"/>
        <v>4.3753471283783796</v>
      </c>
      <c r="H11" s="4014">
        <f t="shared" ca="1" si="1"/>
        <v>4.5082162162162165</v>
      </c>
      <c r="I11" s="4014">
        <f t="shared" ca="1" si="1"/>
        <v>4.6165478603603614</v>
      </c>
      <c r="J11" s="4014">
        <f t="shared" ca="1" si="1"/>
        <v>4.7003420608108115</v>
      </c>
      <c r="K11" s="4014">
        <f t="shared" ca="1" si="1"/>
        <v>4.7595988175675679</v>
      </c>
      <c r="L11" s="4014">
        <f t="shared" ca="1" si="1"/>
        <v>4.7943181306306304</v>
      </c>
      <c r="M11" s="4014">
        <f t="shared" ca="1" si="1"/>
        <v>4.8045</v>
      </c>
      <c r="N11" s="2906"/>
      <c r="O11" s="3993"/>
    </row>
    <row r="12" spans="1:28" s="3992" customFormat="1" ht="12.5">
      <c r="B12" s="3093"/>
      <c r="C12" s="4023" t="s">
        <v>461</v>
      </c>
      <c r="D12" s="4023" t="s">
        <v>462</v>
      </c>
      <c r="E12" s="4014">
        <f t="shared" ca="1" si="1"/>
        <v>5.0494625667764526</v>
      </c>
      <c r="F12" s="4014">
        <f t="shared" ca="1" si="1"/>
        <v>5.1606913335354161</v>
      </c>
      <c r="G12" s="4014">
        <f t="shared" ca="1" si="1"/>
        <v>5.3166079380983984</v>
      </c>
      <c r="H12" s="4014">
        <f t="shared" ca="1" si="1"/>
        <v>5.4637212796504775</v>
      </c>
      <c r="I12" s="4014">
        <f t="shared" ca="1" si="1"/>
        <v>5.5872861382671468</v>
      </c>
      <c r="J12" s="4014">
        <f t="shared" ca="1" si="1"/>
        <v>5.7168645758329122</v>
      </c>
      <c r="K12" s="4014">
        <f t="shared" ca="1" si="1"/>
        <v>5.8515274564846518</v>
      </c>
      <c r="L12" s="4014">
        <f t="shared" ca="1" si="1"/>
        <v>5.9765991111064452</v>
      </c>
      <c r="M12" s="4014">
        <f t="shared" ca="1" si="1"/>
        <v>6.1340795367240126</v>
      </c>
      <c r="N12" s="2906"/>
      <c r="O12" s="3993"/>
    </row>
    <row r="13" spans="1:28" s="3992" customFormat="1" ht="12.5">
      <c r="B13" s="3093"/>
      <c r="C13" s="4023" t="s">
        <v>463</v>
      </c>
      <c r="D13" s="4023" t="s">
        <v>464</v>
      </c>
      <c r="E13" s="4014">
        <f t="shared" ca="1" si="1"/>
        <v>4.048</v>
      </c>
      <c r="F13" s="4014">
        <f t="shared" ca="1" si="1"/>
        <v>4.1010179951924579</v>
      </c>
      <c r="G13" s="4014">
        <f t="shared" ca="1" si="1"/>
        <v>4.2335629831736199</v>
      </c>
      <c r="H13" s="4014">
        <f t="shared" ca="1" si="1"/>
        <v>4.3661079711547659</v>
      </c>
      <c r="I13" s="4014">
        <f t="shared" ca="1" si="1"/>
        <v>4.4986529591359217</v>
      </c>
      <c r="J13" s="4014">
        <f t="shared" ca="1" si="1"/>
        <v>4.6311979471170677</v>
      </c>
      <c r="K13" s="4014">
        <f t="shared" ca="1" si="1"/>
        <v>4.7637429350982234</v>
      </c>
      <c r="L13" s="4014">
        <f t="shared" ca="1" si="1"/>
        <v>4.8962879230793801</v>
      </c>
      <c r="M13" s="4014">
        <f t="shared" ca="1" si="1"/>
        <v>5.0288329110605261</v>
      </c>
      <c r="N13" s="2906"/>
      <c r="O13" s="3993"/>
    </row>
    <row r="14" spans="1:28" s="3992" customFormat="1" ht="12.5">
      <c r="B14" s="3093"/>
      <c r="C14" s="4023" t="s">
        <v>466</v>
      </c>
      <c r="D14" s="4023" t="s">
        <v>467</v>
      </c>
      <c r="E14" s="4014">
        <f t="shared" ca="1" si="1"/>
        <v>9.2899999999999991</v>
      </c>
      <c r="F14" s="4014">
        <f t="shared" ca="1" si="1"/>
        <v>9.5615695738896491</v>
      </c>
      <c r="G14" s="4014">
        <f t="shared" ca="1" si="1"/>
        <v>10.288010053347909</v>
      </c>
      <c r="H14" s="4014">
        <f t="shared" ca="1" si="1"/>
        <v>11.087950167558603</v>
      </c>
      <c r="I14" s="4014">
        <f t="shared" ca="1" si="1"/>
        <v>11.969042561658595</v>
      </c>
      <c r="J14" s="4014">
        <f t="shared" ca="1" si="1"/>
        <v>12.939749280324914</v>
      </c>
      <c r="K14" s="4014">
        <f t="shared" ca="1" si="1"/>
        <v>14.009428118931382</v>
      </c>
      <c r="L14" s="4014">
        <f t="shared" ca="1" si="1"/>
        <v>15.188428233314889</v>
      </c>
      <c r="M14" s="4014">
        <f t="shared" ca="1" si="1"/>
        <v>16.488196003970057</v>
      </c>
      <c r="N14" s="2906"/>
      <c r="O14" s="3993"/>
    </row>
    <row r="15" spans="1:28" s="3992" customFormat="1" ht="12.5">
      <c r="B15" s="3093"/>
      <c r="C15" s="4023" t="s">
        <v>469</v>
      </c>
      <c r="D15" s="4023" t="s">
        <v>470</v>
      </c>
      <c r="E15" s="4014">
        <f t="shared" ca="1" si="1"/>
        <v>7.2483297329708235E-2</v>
      </c>
      <c r="F15" s="4014">
        <f t="shared" ca="1" si="1"/>
        <v>8.8942421637678293E-2</v>
      </c>
      <c r="G15" s="4014">
        <f t="shared" ca="1" si="1"/>
        <v>0.11407707117919191</v>
      </c>
      <c r="H15" s="4014">
        <f t="shared" ca="1" si="1"/>
        <v>0.33538018024090949</v>
      </c>
      <c r="I15" s="4014">
        <f t="shared" ca="1" si="1"/>
        <v>0.56988402892402579</v>
      </c>
      <c r="J15" s="4014">
        <f t="shared" ca="1" si="1"/>
        <v>0.85486832975631022</v>
      </c>
      <c r="K15" s="4014">
        <f t="shared" ca="1" si="1"/>
        <v>1.179728224252236</v>
      </c>
      <c r="L15" s="4014">
        <f t="shared" ca="1" si="1"/>
        <v>1.500922690987198</v>
      </c>
      <c r="M15" s="4014">
        <f t="shared" ca="1" si="1"/>
        <v>1.6704305219751758</v>
      </c>
      <c r="N15" s="2906"/>
      <c r="O15" s="3993"/>
    </row>
    <row r="16" spans="1:28" s="3992" customFormat="1" ht="12.5">
      <c r="B16" s="3093"/>
      <c r="C16" s="4023" t="s">
        <v>471</v>
      </c>
      <c r="D16" s="4023" t="s">
        <v>472</v>
      </c>
      <c r="E16" s="4014">
        <f t="shared" ca="1" si="1"/>
        <v>0</v>
      </c>
      <c r="F16" s="4014">
        <f t="shared" ca="1" si="1"/>
        <v>0</v>
      </c>
      <c r="G16" s="4014">
        <f t="shared" ca="1" si="1"/>
        <v>-2.3659767727210967E-17</v>
      </c>
      <c r="H16" s="4014">
        <f t="shared" ca="1" si="1"/>
        <v>6.1844962632768369E-2</v>
      </c>
      <c r="I16" s="4014">
        <f t="shared" ca="1" si="1"/>
        <v>0.13460763047622651</v>
      </c>
      <c r="J16" s="4014">
        <f t="shared" ca="1" si="1"/>
        <v>0.21973350873395048</v>
      </c>
      <c r="K16" s="4014">
        <f t="shared" ca="1" si="1"/>
        <v>0.31883822263246137</v>
      </c>
      <c r="L16" s="4014">
        <f t="shared" ca="1" si="1"/>
        <v>0.43372628734384555</v>
      </c>
      <c r="M16" s="4014">
        <f t="shared" ca="1" si="1"/>
        <v>0.56641186602000015</v>
      </c>
      <c r="N16" s="2906"/>
      <c r="O16" s="3993"/>
    </row>
    <row r="17" spans="2:15" s="3992" customFormat="1" ht="12.5">
      <c r="B17" s="3093"/>
      <c r="C17" s="4023" t="s">
        <v>485</v>
      </c>
      <c r="D17" s="4023" t="s">
        <v>486</v>
      </c>
      <c r="E17" s="4014">
        <f t="shared" ca="1" si="1"/>
        <v>0</v>
      </c>
      <c r="F17" s="4014">
        <f t="shared" ca="1" si="1"/>
        <v>0</v>
      </c>
      <c r="G17" s="4014">
        <f t="shared" ca="1" si="1"/>
        <v>0</v>
      </c>
      <c r="H17" s="4014">
        <f t="shared" ca="1" si="1"/>
        <v>0</v>
      </c>
      <c r="I17" s="4014">
        <f t="shared" ca="1" si="1"/>
        <v>0</v>
      </c>
      <c r="J17" s="4014">
        <f t="shared" ca="1" si="1"/>
        <v>0</v>
      </c>
      <c r="K17" s="4014">
        <f t="shared" ca="1" si="1"/>
        <v>0</v>
      </c>
      <c r="L17" s="4014">
        <f t="shared" ca="1" si="1"/>
        <v>0</v>
      </c>
      <c r="M17" s="4014">
        <f t="shared" ca="1" si="1"/>
        <v>0</v>
      </c>
      <c r="N17" s="2906"/>
      <c r="O17" s="3993" t="s">
        <v>5</v>
      </c>
    </row>
    <row r="18" spans="2:15" s="3992" customFormat="1" ht="12.5">
      <c r="B18" s="3093"/>
      <c r="C18" s="4023" t="s">
        <v>505</v>
      </c>
      <c r="D18" s="4023" t="s">
        <v>506</v>
      </c>
      <c r="E18" s="4014">
        <f t="shared" ca="1" si="1"/>
        <v>0.22598810482362028</v>
      </c>
      <c r="F18" s="4014">
        <f t="shared" ca="1" si="1"/>
        <v>0.22598810482362028</v>
      </c>
      <c r="G18" s="4014">
        <f t="shared" ca="1" si="1"/>
        <v>0.22598810482362028</v>
      </c>
      <c r="H18" s="4014">
        <f t="shared" ca="1" si="1"/>
        <v>0.22598810482362028</v>
      </c>
      <c r="I18" s="4014">
        <f t="shared" ca="1" si="1"/>
        <v>0.22598810482362028</v>
      </c>
      <c r="J18" s="4014">
        <f t="shared" ca="1" si="1"/>
        <v>0.22598810482362028</v>
      </c>
      <c r="K18" s="4014">
        <f t="shared" ca="1" si="1"/>
        <v>0.22598810482362028</v>
      </c>
      <c r="L18" s="4014">
        <f t="shared" ca="1" si="1"/>
        <v>0.22598810482362028</v>
      </c>
      <c r="M18" s="4014">
        <f t="shared" ca="1" si="1"/>
        <v>0.22598810482362028</v>
      </c>
      <c r="N18" s="2906"/>
      <c r="O18" s="3993"/>
    </row>
    <row r="19" spans="2:15" s="3992" customFormat="1" ht="12.5">
      <c r="B19" s="3093"/>
      <c r="C19" s="4023" t="s">
        <v>507</v>
      </c>
      <c r="D19" s="4023" t="s">
        <v>508</v>
      </c>
      <c r="E19" s="4014">
        <f t="shared" ca="1" si="1"/>
        <v>6.6380393902542884E-2</v>
      </c>
      <c r="F19" s="4014">
        <f t="shared" ca="1" si="1"/>
        <v>5.632506858883312E-2</v>
      </c>
      <c r="G19" s="4014">
        <f t="shared" ca="1" si="1"/>
        <v>3.5902839544807497E-2</v>
      </c>
      <c r="H19" s="4014">
        <f t="shared" ca="1" si="1"/>
        <v>2.154713679214617E-2</v>
      </c>
      <c r="I19" s="4014">
        <f t="shared" ca="1" si="1"/>
        <v>0</v>
      </c>
      <c r="J19" s="4014">
        <f t="shared" ca="1" si="1"/>
        <v>0</v>
      </c>
      <c r="K19" s="4014">
        <f t="shared" ca="1" si="1"/>
        <v>0</v>
      </c>
      <c r="L19" s="4014">
        <f t="shared" ca="1" si="1"/>
        <v>0</v>
      </c>
      <c r="M19" s="4014">
        <f t="shared" ca="1" si="1"/>
        <v>0</v>
      </c>
      <c r="N19" s="2906"/>
      <c r="O19" s="3993"/>
    </row>
    <row r="20" spans="2:15" s="3992" customFormat="1" ht="12.5">
      <c r="B20" s="3093"/>
      <c r="C20" s="4023" t="s">
        <v>533</v>
      </c>
      <c r="D20" s="4024" t="s">
        <v>534</v>
      </c>
      <c r="E20" s="4025">
        <f ca="1">-INDEX(INDIRECT($C20&amp;".Outputs["&amp;E$6&amp;"]"),MATCH("V.02",INDIRECT($C20&amp;".Outputs[Vector]"),0))</f>
        <v>3.7911428177742012E-3</v>
      </c>
      <c r="F20" s="4025">
        <f t="shared" ref="F20:M20" ca="1" si="2">-INDEX(INDIRECT($C20&amp;".Outputs["&amp;F$6&amp;"]"),MATCH("V.02",INDIRECT($C20&amp;".Outputs[Vector]"),0))</f>
        <v>3.7911428177742012E-3</v>
      </c>
      <c r="G20" s="4025">
        <f t="shared" ca="1" si="2"/>
        <v>3.7911428177742012E-3</v>
      </c>
      <c r="H20" s="4025">
        <f t="shared" ca="1" si="2"/>
        <v>3.7911428177742012E-3</v>
      </c>
      <c r="I20" s="4025">
        <f t="shared" ca="1" si="2"/>
        <v>3.7911428177742012E-3</v>
      </c>
      <c r="J20" s="4025">
        <f t="shared" ca="1" si="2"/>
        <v>3.7911428177742012E-3</v>
      </c>
      <c r="K20" s="4025">
        <f t="shared" ca="1" si="2"/>
        <v>3.7911428177742012E-3</v>
      </c>
      <c r="L20" s="4025">
        <f t="shared" ca="1" si="2"/>
        <v>3.7911428177742012E-3</v>
      </c>
      <c r="M20" s="4025">
        <f t="shared" ca="1" si="2"/>
        <v>3.7911428177742012E-3</v>
      </c>
      <c r="N20" s="2906"/>
      <c r="O20" s="3993"/>
    </row>
    <row r="21" spans="2:15" s="3992" customFormat="1" ht="12.5">
      <c r="B21" s="3093"/>
      <c r="C21" s="4023"/>
      <c r="D21" s="4023" t="s">
        <v>58</v>
      </c>
      <c r="E21" s="4026">
        <f ca="1">SUM(E7:E20)</f>
        <v>24.091952375694621</v>
      </c>
      <c r="F21" s="4026">
        <f t="shared" ref="F21:M21" ca="1" si="3">SUM(F7:F20)</f>
        <v>24.8153130360168</v>
      </c>
      <c r="G21" s="4026">
        <f t="shared" ca="1" si="3"/>
        <v>26.315178832778159</v>
      </c>
      <c r="H21" s="4026">
        <f t="shared" ca="1" si="3"/>
        <v>28.059242938398786</v>
      </c>
      <c r="I21" s="4026">
        <f t="shared" ca="1" si="3"/>
        <v>29.860593992851843</v>
      </c>
      <c r="J21" s="4026">
        <f t="shared" ca="1" si="3"/>
        <v>31.831672079021597</v>
      </c>
      <c r="K21" s="4026">
        <f t="shared" ca="1" si="3"/>
        <v>33.950867792730165</v>
      </c>
      <c r="L21" s="4026">
        <f t="shared" ca="1" si="3"/>
        <v>36.166663036434386</v>
      </c>
      <c r="M21" s="4026">
        <f t="shared" ca="1" si="3"/>
        <v>38.392111120623895</v>
      </c>
      <c r="N21" s="2906"/>
      <c r="O21" s="3993"/>
    </row>
    <row r="22" spans="2:15" s="3992" customFormat="1" ht="12.5">
      <c r="B22" s="3093"/>
      <c r="C22" s="4023"/>
      <c r="D22" s="4023"/>
      <c r="E22" s="4026"/>
      <c r="F22" s="4026"/>
      <c r="G22" s="4026"/>
      <c r="H22" s="4026"/>
      <c r="I22" s="4026"/>
      <c r="J22" s="4026"/>
      <c r="K22" s="4026"/>
      <c r="L22" s="4026"/>
      <c r="M22" s="4026"/>
      <c r="N22" s="2906"/>
      <c r="O22" s="3993"/>
    </row>
    <row r="23" spans="2:15" s="3992" customFormat="1" ht="14">
      <c r="B23" s="3093"/>
      <c r="C23" s="4027" t="s">
        <v>3294</v>
      </c>
      <c r="D23" s="4023"/>
      <c r="E23" s="4026"/>
      <c r="F23" s="4026"/>
      <c r="G23" s="4026"/>
      <c r="H23" s="4026"/>
      <c r="I23" s="4026"/>
      <c r="J23" s="4026"/>
      <c r="K23" s="4026"/>
      <c r="L23" s="4026"/>
      <c r="M23" s="4021" t="str">
        <f>Preferences.EnergyUnits &amp; " / year"</f>
        <v>TWh / year</v>
      </c>
      <c r="N23" s="2906"/>
      <c r="O23" s="3993"/>
    </row>
    <row r="24" spans="2:15" s="3992" customFormat="1" ht="12.5">
      <c r="B24" s="3093"/>
      <c r="C24" s="4023"/>
      <c r="D24" s="4023"/>
      <c r="E24" s="4026"/>
      <c r="F24" s="4026"/>
      <c r="G24" s="4026"/>
      <c r="H24" s="4026"/>
      <c r="I24" s="4026"/>
      <c r="J24" s="4026"/>
      <c r="K24" s="4026"/>
      <c r="L24" s="4026"/>
      <c r="M24" s="4026"/>
      <c r="N24" s="2906"/>
      <c r="O24" s="3993"/>
    </row>
    <row r="25" spans="2:15" s="3992" customFormat="1" ht="13">
      <c r="B25" s="3093"/>
      <c r="C25" s="4023"/>
      <c r="D25" s="4010" t="s">
        <v>406</v>
      </c>
      <c r="E25" s="4011">
        <v>2013</v>
      </c>
      <c r="F25" s="4011">
        <v>2015</v>
      </c>
      <c r="G25" s="4011">
        <v>2020</v>
      </c>
      <c r="H25" s="4011">
        <v>2025</v>
      </c>
      <c r="I25" s="4011">
        <v>2030</v>
      </c>
      <c r="J25" s="4011">
        <v>2035</v>
      </c>
      <c r="K25" s="4011">
        <v>2040</v>
      </c>
      <c r="L25" s="4011">
        <v>2045</v>
      </c>
      <c r="M25" s="4011">
        <v>2050</v>
      </c>
      <c r="N25" s="2906"/>
      <c r="O25" s="3993"/>
    </row>
    <row r="26" spans="2:15" s="3992" customFormat="1" ht="12.5">
      <c r="B26" s="3093"/>
      <c r="C26" s="4023"/>
      <c r="D26" s="4023" t="s">
        <v>482</v>
      </c>
      <c r="E26" s="4026">
        <f t="shared" ref="E26:M26" ca="1" si="4">SUM(E15:E16,E7)</f>
        <v>7.2483297329708235E-2</v>
      </c>
      <c r="F26" s="4026">
        <f t="shared" ca="1" si="4"/>
        <v>8.8942421637678293E-2</v>
      </c>
      <c r="G26" s="4026">
        <f t="shared" ca="1" si="4"/>
        <v>0.11407707117919189</v>
      </c>
      <c r="H26" s="4026">
        <f t="shared" ca="1" si="4"/>
        <v>0.39722514287367783</v>
      </c>
      <c r="I26" s="4026">
        <f t="shared" ca="1" si="4"/>
        <v>0.70449165940025227</v>
      </c>
      <c r="J26" s="4026">
        <f t="shared" ca="1" si="4"/>
        <v>1.0746018384902607</v>
      </c>
      <c r="K26" s="4026">
        <f t="shared" ca="1" si="4"/>
        <v>1.4985664468846973</v>
      </c>
      <c r="L26" s="4026">
        <f t="shared" ca="1" si="4"/>
        <v>1.9346489783310434</v>
      </c>
      <c r="M26" s="4026">
        <f t="shared" ca="1" si="4"/>
        <v>2.2368423879951758</v>
      </c>
      <c r="N26" s="2906"/>
      <c r="O26" s="3993"/>
    </row>
    <row r="27" spans="2:15" s="3992" customFormat="1" ht="12.5">
      <c r="B27" s="3093"/>
      <c r="C27" s="4023"/>
      <c r="D27" s="4023" t="s">
        <v>359</v>
      </c>
      <c r="E27" s="4026">
        <f ca="1">SUM(E17:E19,E14,E8)</f>
        <v>10.130468498726161</v>
      </c>
      <c r="F27" s="4026">
        <f t="shared" ref="F27:M27" ca="1" si="5">SUM(F17:F19,F14,F8)</f>
        <v>10.398778557302101</v>
      </c>
      <c r="G27" s="4026">
        <f t="shared" ca="1" si="5"/>
        <v>11.122389960263718</v>
      </c>
      <c r="H27" s="4026">
        <f t="shared" ca="1" si="5"/>
        <v>11.926464951861988</v>
      </c>
      <c r="I27" s="4026">
        <f t="shared" ca="1" si="5"/>
        <v>12.805443994729405</v>
      </c>
      <c r="J27" s="4026">
        <f t="shared" ca="1" si="5"/>
        <v>13.796575817330321</v>
      </c>
      <c r="K27" s="4026">
        <f t="shared" ca="1" si="5"/>
        <v>14.887721645446387</v>
      </c>
      <c r="L27" s="4026">
        <f t="shared" ca="1" si="5"/>
        <v>16.089283781549874</v>
      </c>
      <c r="M27" s="4026">
        <f t="shared" ca="1" si="5"/>
        <v>17.412764463783315</v>
      </c>
      <c r="N27" s="2906"/>
      <c r="O27" s="3993"/>
    </row>
    <row r="28" spans="2:15" s="3992" customFormat="1" ht="12.5">
      <c r="B28" s="3093"/>
      <c r="C28" s="4023"/>
      <c r="D28" s="4023" t="s">
        <v>92</v>
      </c>
      <c r="E28" s="4026">
        <f t="shared" ref="E28:M28" ca="1" si="6">SUM(E9:E11,E20)</f>
        <v>4.7915380128622997</v>
      </c>
      <c r="F28" s="4026">
        <f t="shared" ca="1" si="6"/>
        <v>5.0658827283491412</v>
      </c>
      <c r="G28" s="4026">
        <f t="shared" ca="1" si="6"/>
        <v>5.5285408800632281</v>
      </c>
      <c r="H28" s="4026">
        <f t="shared" ca="1" si="6"/>
        <v>5.9057235928578713</v>
      </c>
      <c r="I28" s="4026">
        <f t="shared" ca="1" si="6"/>
        <v>6.2647192413191179</v>
      </c>
      <c r="J28" s="4026">
        <f t="shared" ca="1" si="6"/>
        <v>6.6124319002510328</v>
      </c>
      <c r="K28" s="4026">
        <f t="shared" ca="1" si="6"/>
        <v>6.9493093088162023</v>
      </c>
      <c r="L28" s="4026">
        <f t="shared" ca="1" si="6"/>
        <v>7.2698432423676431</v>
      </c>
      <c r="M28" s="4026">
        <f t="shared" ca="1" si="6"/>
        <v>7.5795918210608688</v>
      </c>
      <c r="N28" s="2906"/>
      <c r="O28" s="3993"/>
    </row>
    <row r="29" spans="2:15" s="3992" customFormat="1" ht="12.5">
      <c r="B29" s="3093"/>
      <c r="C29" s="4023"/>
      <c r="D29" s="4024" t="s">
        <v>358</v>
      </c>
      <c r="E29" s="4028">
        <f t="shared" ref="E29:M29" ca="1" si="7">SUM(E12:E13)</f>
        <v>9.0974625667764535</v>
      </c>
      <c r="F29" s="4028">
        <f t="shared" ca="1" si="7"/>
        <v>9.2617093287278749</v>
      </c>
      <c r="G29" s="4028">
        <f t="shared" ca="1" si="7"/>
        <v>9.5501709212720183</v>
      </c>
      <c r="H29" s="4028">
        <f t="shared" ca="1" si="7"/>
        <v>9.8298292508052434</v>
      </c>
      <c r="I29" s="4028">
        <f t="shared" ca="1" si="7"/>
        <v>10.085939097403068</v>
      </c>
      <c r="J29" s="4028">
        <f t="shared" ca="1" si="7"/>
        <v>10.348062522949981</v>
      </c>
      <c r="K29" s="4028">
        <f t="shared" ca="1" si="7"/>
        <v>10.615270391582875</v>
      </c>
      <c r="L29" s="4028">
        <f t="shared" ca="1" si="7"/>
        <v>10.872887034185826</v>
      </c>
      <c r="M29" s="4028">
        <f t="shared" ca="1" si="7"/>
        <v>11.162912447784539</v>
      </c>
      <c r="N29" s="2906"/>
      <c r="O29" s="3993"/>
    </row>
    <row r="30" spans="2:15" s="3992" customFormat="1" ht="12.5">
      <c r="B30" s="3093"/>
      <c r="C30" s="4023"/>
      <c r="D30" s="4023" t="s">
        <v>58</v>
      </c>
      <c r="E30" s="4026">
        <f t="shared" ref="E30:M30" ca="1" si="8">SUM(E26:E29)</f>
        <v>24.091952375694621</v>
      </c>
      <c r="F30" s="4026">
        <f t="shared" ca="1" si="8"/>
        <v>24.815313036016796</v>
      </c>
      <c r="G30" s="4026">
        <f t="shared" ca="1" si="8"/>
        <v>26.315178832778159</v>
      </c>
      <c r="H30" s="4026">
        <f t="shared" ca="1" si="8"/>
        <v>28.059242938398778</v>
      </c>
      <c r="I30" s="4026">
        <f t="shared" ca="1" si="8"/>
        <v>29.860593992851847</v>
      </c>
      <c r="J30" s="4026">
        <f t="shared" ca="1" si="8"/>
        <v>31.831672079021594</v>
      </c>
      <c r="K30" s="4026">
        <f t="shared" ca="1" si="8"/>
        <v>33.950867792730165</v>
      </c>
      <c r="L30" s="4026">
        <f t="shared" ca="1" si="8"/>
        <v>36.166663036434386</v>
      </c>
      <c r="M30" s="4026">
        <f t="shared" ca="1" si="8"/>
        <v>38.392111120623895</v>
      </c>
      <c r="N30" s="2906"/>
      <c r="O30" s="3993"/>
    </row>
    <row r="31" spans="2:15" s="3990" customFormat="1" ht="18.5">
      <c r="B31" s="3994"/>
      <c r="C31" s="3995"/>
      <c r="D31" s="18"/>
      <c r="E31" s="3996"/>
      <c r="F31" s="3996"/>
      <c r="G31" s="3996"/>
      <c r="H31" s="3996"/>
      <c r="I31" s="3996"/>
      <c r="J31" s="3996"/>
      <c r="K31" s="3996"/>
      <c r="L31" s="3996"/>
      <c r="M31" s="3996"/>
      <c r="N31" s="3997"/>
      <c r="O31" s="2414"/>
    </row>
    <row r="33" spans="2:14" ht="15">
      <c r="B33" s="3998" t="s">
        <v>3283</v>
      </c>
      <c r="C33" s="3999"/>
      <c r="D33" s="3999"/>
      <c r="E33" s="3999"/>
      <c r="F33" s="3999"/>
      <c r="G33" s="3999"/>
      <c r="H33" s="3999"/>
      <c r="I33" s="3999"/>
      <c r="J33" s="3999"/>
      <c r="K33" s="3999"/>
      <c r="L33" s="3999"/>
      <c r="M33" s="3999"/>
      <c r="N33" s="4000"/>
    </row>
    <row r="34" spans="2:14" s="389" customFormat="1">
      <c r="B34" s="506"/>
      <c r="C34" s="506"/>
      <c r="D34" s="506"/>
      <c r="E34" s="506"/>
      <c r="F34" s="506"/>
      <c r="G34" s="506"/>
      <c r="H34" s="506"/>
      <c r="I34" s="506"/>
      <c r="J34" s="506"/>
      <c r="K34" s="506"/>
      <c r="L34" s="506"/>
      <c r="M34" s="17"/>
      <c r="N34" s="17"/>
    </row>
    <row r="35" spans="2:14" s="389" customFormat="1" ht="15">
      <c r="B35" s="4001"/>
      <c r="C35" s="3089" t="s">
        <v>3295</v>
      </c>
      <c r="D35" s="506"/>
      <c r="E35" s="506"/>
      <c r="F35" s="506"/>
      <c r="G35" s="506"/>
      <c r="H35" s="506"/>
      <c r="I35" s="506"/>
      <c r="J35" s="506"/>
      <c r="K35" s="506"/>
      <c r="L35" s="506"/>
      <c r="M35" s="3060" t="str">
        <f>Preferences.EnergyUnits &amp; " / year"</f>
        <v>TWh / year</v>
      </c>
      <c r="N35" s="17"/>
    </row>
    <row r="36" spans="2:14" s="389" customFormat="1" ht="15">
      <c r="B36" s="4001"/>
      <c r="C36" s="12"/>
      <c r="D36" s="12"/>
      <c r="E36" s="12"/>
      <c r="F36" s="12"/>
      <c r="G36" s="12"/>
      <c r="H36" s="12"/>
      <c r="I36" s="12"/>
      <c r="J36" s="12"/>
      <c r="K36" s="12"/>
      <c r="L36" s="12"/>
      <c r="M36" s="18"/>
      <c r="N36" s="17"/>
    </row>
    <row r="37" spans="2:14" s="389" customFormat="1">
      <c r="B37" s="3089"/>
      <c r="C37" s="12" t="s">
        <v>96</v>
      </c>
      <c r="D37" s="3991" t="s">
        <v>406</v>
      </c>
      <c r="E37" s="3063">
        <v>2013</v>
      </c>
      <c r="F37" s="3063">
        <v>2015</v>
      </c>
      <c r="G37" s="3063">
        <v>2020</v>
      </c>
      <c r="H37" s="3063">
        <v>2025</v>
      </c>
      <c r="I37" s="3063">
        <v>2030</v>
      </c>
      <c r="J37" s="3063">
        <v>2035</v>
      </c>
      <c r="K37" s="3063">
        <v>2040</v>
      </c>
      <c r="L37" s="3063">
        <v>2045</v>
      </c>
      <c r="M37" s="3063">
        <v>2050</v>
      </c>
      <c r="N37" s="17"/>
    </row>
    <row r="38" spans="2:14" s="389" customFormat="1">
      <c r="B38" s="3089"/>
      <c r="C38" s="4002" t="s">
        <v>547</v>
      </c>
      <c r="D38" s="4003" t="s">
        <v>3296</v>
      </c>
      <c r="E38" s="4004">
        <f ca="1">INDEX(INDIRECT("'"&amp;E$37&amp;"'!Year.Matrix"), MATCH($C38, INDIRECT("'"&amp;E$37&amp;"'!Year.Modules"), 0), MATCH($C$37, INDIRECT("'"&amp;E$37&amp;"'!Year.Vectors"), 0))</f>
        <v>19.783214082973807</v>
      </c>
      <c r="F38" s="4004">
        <f t="shared" ref="F38:M40" ca="1" si="9">INDEX(INDIRECT("'"&amp;F$37&amp;"'!Year.Matrix"), MATCH($C38, INDIRECT("'"&amp;F$37&amp;"'!Year.Modules"), 0), MATCH($C$37, INDIRECT("'"&amp;F$37&amp;"'!Year.Vectors"), 0))</f>
        <v>19.48990957229227</v>
      </c>
      <c r="G38" s="4004">
        <f t="shared" ca="1" si="9"/>
        <v>21.190560440738988</v>
      </c>
      <c r="H38" s="4004">
        <f t="shared" ca="1" si="9"/>
        <v>26.427914392485704</v>
      </c>
      <c r="I38" s="4004">
        <f t="shared" ca="1" si="9"/>
        <v>31.467683465113346</v>
      </c>
      <c r="J38" s="4004">
        <f t="shared" ca="1" si="9"/>
        <v>35.992545512642891</v>
      </c>
      <c r="K38" s="4004">
        <f t="shared" ca="1" si="9"/>
        <v>38.514360700900369</v>
      </c>
      <c r="L38" s="4004">
        <f t="shared" ca="1" si="9"/>
        <v>41.126281356346361</v>
      </c>
      <c r="M38" s="4004">
        <f t="shared" ca="1" si="9"/>
        <v>43.836146815041346</v>
      </c>
      <c r="N38" s="17"/>
    </row>
    <row r="39" spans="2:14" s="389" customFormat="1">
      <c r="B39" s="3089"/>
      <c r="C39" s="4002" t="s">
        <v>2</v>
      </c>
      <c r="D39" s="4003" t="s">
        <v>3</v>
      </c>
      <c r="E39" s="4004">
        <f ca="1">INDEX(INDIRECT("'"&amp;E$37&amp;"'!Year.Matrix"), MATCH($C39, INDIRECT("'"&amp;E$37&amp;"'!Year.Modules"), 0), MATCH($C$37, INDIRECT("'"&amp;E$37&amp;"'!Year.Vectors"), 0))</f>
        <v>0</v>
      </c>
      <c r="F39" s="4004">
        <f t="shared" ca="1" si="9"/>
        <v>0</v>
      </c>
      <c r="G39" s="4004">
        <f t="shared" ca="1" si="9"/>
        <v>0</v>
      </c>
      <c r="H39" s="4004">
        <f t="shared" ca="1" si="9"/>
        <v>0</v>
      </c>
      <c r="I39" s="4004">
        <f t="shared" ca="1" si="9"/>
        <v>0</v>
      </c>
      <c r="J39" s="4004">
        <f t="shared" ca="1" si="9"/>
        <v>0</v>
      </c>
      <c r="K39" s="4004">
        <f t="shared" ca="1" si="9"/>
        <v>0</v>
      </c>
      <c r="L39" s="4004">
        <f t="shared" ca="1" si="9"/>
        <v>0</v>
      </c>
      <c r="M39" s="4004">
        <f t="shared" ca="1" si="9"/>
        <v>0</v>
      </c>
      <c r="N39" s="17"/>
    </row>
    <row r="40" spans="2:14" s="389" customFormat="1">
      <c r="B40" s="3089"/>
      <c r="C40" s="4002" t="s">
        <v>456</v>
      </c>
      <c r="D40" s="4005" t="s">
        <v>457</v>
      </c>
      <c r="E40" s="4006">
        <f ca="1">INDEX(INDIRECT("'"&amp;E$37&amp;"'!Year.Matrix"), MATCH($C40, INDIRECT("'"&amp;E$37&amp;"'!Year.Modules"), 0), MATCH($C$37, INDIRECT("'"&amp;E$37&amp;"'!Year.Vectors"), 0))</f>
        <v>0</v>
      </c>
      <c r="F40" s="4006">
        <f t="shared" ca="1" si="9"/>
        <v>0</v>
      </c>
      <c r="G40" s="4006">
        <f t="shared" ca="1" si="9"/>
        <v>0</v>
      </c>
      <c r="H40" s="4006">
        <f t="shared" ca="1" si="9"/>
        <v>0</v>
      </c>
      <c r="I40" s="4006">
        <f t="shared" ca="1" si="9"/>
        <v>0</v>
      </c>
      <c r="J40" s="4006">
        <f t="shared" ca="1" si="9"/>
        <v>0</v>
      </c>
      <c r="K40" s="4006">
        <f t="shared" ca="1" si="9"/>
        <v>0</v>
      </c>
      <c r="L40" s="4006">
        <f t="shared" ca="1" si="9"/>
        <v>0</v>
      </c>
      <c r="M40" s="4006">
        <f t="shared" ca="1" si="9"/>
        <v>0</v>
      </c>
      <c r="N40" s="17"/>
    </row>
    <row r="41" spans="2:14" s="389" customFormat="1">
      <c r="B41" s="3089"/>
      <c r="C41" s="4002"/>
      <c r="D41" s="4003" t="s">
        <v>3284</v>
      </c>
      <c r="E41" s="4004">
        <f ca="1">SUM(E38:E40)</f>
        <v>19.783214082973807</v>
      </c>
      <c r="F41" s="4004">
        <f t="shared" ref="F41:M41" ca="1" si="10">SUM(F38:F40)</f>
        <v>19.48990957229227</v>
      </c>
      <c r="G41" s="4004">
        <f t="shared" ca="1" si="10"/>
        <v>21.190560440738988</v>
      </c>
      <c r="H41" s="4004">
        <f t="shared" ca="1" si="10"/>
        <v>26.427914392485704</v>
      </c>
      <c r="I41" s="4004">
        <f t="shared" ca="1" si="10"/>
        <v>31.467683465113346</v>
      </c>
      <c r="J41" s="4004">
        <f t="shared" ca="1" si="10"/>
        <v>35.992545512642891</v>
      </c>
      <c r="K41" s="4004">
        <f t="shared" ca="1" si="10"/>
        <v>38.514360700900369</v>
      </c>
      <c r="L41" s="4004">
        <f t="shared" ca="1" si="10"/>
        <v>41.126281356346361</v>
      </c>
      <c r="M41" s="4004">
        <f t="shared" ca="1" si="10"/>
        <v>43.836146815041346</v>
      </c>
      <c r="N41" s="17"/>
    </row>
    <row r="42" spans="2:14" s="389" customFormat="1">
      <c r="B42" s="3089"/>
      <c r="C42" s="4002"/>
      <c r="D42" s="4003"/>
      <c r="E42" s="4004"/>
      <c r="F42" s="4004"/>
      <c r="G42" s="4004"/>
      <c r="H42" s="4004"/>
      <c r="I42" s="4004"/>
      <c r="J42" s="4004"/>
      <c r="K42" s="4004"/>
      <c r="L42" s="4004"/>
      <c r="M42" s="4004"/>
      <c r="N42" s="17"/>
    </row>
    <row r="43" spans="2:14" s="389" customFormat="1">
      <c r="B43" s="3089"/>
      <c r="C43" s="3089" t="s">
        <v>3285</v>
      </c>
      <c r="D43" s="506"/>
      <c r="E43" s="506"/>
      <c r="F43" s="506"/>
      <c r="G43" s="506"/>
      <c r="H43" s="506"/>
      <c r="I43" s="506"/>
      <c r="J43" s="506"/>
      <c r="K43" s="506"/>
      <c r="L43" s="506"/>
      <c r="M43" s="3060" t="str">
        <f>Preferences.EnergyUnits &amp; " / year"</f>
        <v>TWh / year</v>
      </c>
      <c r="N43" s="17"/>
    </row>
    <row r="44" spans="2:14" s="389" customFormat="1">
      <c r="B44" s="3089"/>
      <c r="C44" s="12"/>
      <c r="D44" s="12"/>
      <c r="E44" s="12"/>
      <c r="F44" s="12"/>
      <c r="G44" s="12"/>
      <c r="H44" s="12"/>
      <c r="I44" s="12"/>
      <c r="J44" s="12"/>
      <c r="K44" s="12"/>
      <c r="L44" s="12"/>
      <c r="M44" s="18"/>
      <c r="N44" s="17"/>
    </row>
    <row r="45" spans="2:14" s="389" customFormat="1">
      <c r="B45" s="3089"/>
      <c r="C45" s="12" t="s">
        <v>96</v>
      </c>
      <c r="D45" s="3991" t="s">
        <v>406</v>
      </c>
      <c r="E45" s="3063">
        <v>2013</v>
      </c>
      <c r="F45" s="3063">
        <v>2015</v>
      </c>
      <c r="G45" s="3063">
        <v>2020</v>
      </c>
      <c r="H45" s="3063">
        <v>2025</v>
      </c>
      <c r="I45" s="3063">
        <v>2030</v>
      </c>
      <c r="J45" s="3063">
        <v>2035</v>
      </c>
      <c r="K45" s="3063">
        <v>2040</v>
      </c>
      <c r="L45" s="3063">
        <v>2045</v>
      </c>
      <c r="M45" s="3063">
        <v>2050</v>
      </c>
      <c r="N45" s="17"/>
    </row>
    <row r="46" spans="2:14" s="389" customFormat="1">
      <c r="B46" s="3089"/>
      <c r="C46" s="4002"/>
      <c r="D46" s="4003" t="s">
        <v>3286</v>
      </c>
      <c r="E46" s="4004">
        <f ca="1">E41</f>
        <v>19.783214082973807</v>
      </c>
      <c r="F46" s="4004">
        <f t="shared" ref="F46:M46" ca="1" si="11">F41</f>
        <v>19.48990957229227</v>
      </c>
      <c r="G46" s="4004">
        <f t="shared" ca="1" si="11"/>
        <v>21.190560440738988</v>
      </c>
      <c r="H46" s="4004">
        <f t="shared" ca="1" si="11"/>
        <v>26.427914392485704</v>
      </c>
      <c r="I46" s="4004">
        <f t="shared" ca="1" si="11"/>
        <v>31.467683465113346</v>
      </c>
      <c r="J46" s="4004">
        <f t="shared" ca="1" si="11"/>
        <v>35.992545512642891</v>
      </c>
      <c r="K46" s="4004">
        <f t="shared" ca="1" si="11"/>
        <v>38.514360700900369</v>
      </c>
      <c r="L46" s="4004">
        <f t="shared" ca="1" si="11"/>
        <v>41.126281356346361</v>
      </c>
      <c r="M46" s="4004">
        <f t="shared" ca="1" si="11"/>
        <v>43.836146815041346</v>
      </c>
      <c r="N46" s="17"/>
    </row>
    <row r="47" spans="2:14" s="389" customFormat="1">
      <c r="B47" s="3089"/>
      <c r="C47" s="4002" t="s">
        <v>544</v>
      </c>
      <c r="D47" s="4003" t="s">
        <v>3287</v>
      </c>
      <c r="E47" s="4004">
        <f ca="1">INDEX(INDIRECT("'"&amp;E$45&amp;"'!Year.Matrix"), MATCH($C47, INDIRECT("'"&amp;E$37&amp;"'!Year.Modules"), 0), MATCH($C$45, INDIRECT("'"&amp;E$37&amp;"'!Year.Vectors"), 0))</f>
        <v>0</v>
      </c>
      <c r="F47" s="4004">
        <f t="shared" ref="F47:M47" ca="1" si="12">INDEX(INDIRECT("'"&amp;F$45&amp;"'!Year.Matrix"), MATCH($C47, INDIRECT("'"&amp;F$37&amp;"'!Year.Modules"), 0), MATCH($C$45, INDIRECT("'"&amp;F$37&amp;"'!Year.Vectors"), 0))</f>
        <v>0</v>
      </c>
      <c r="G47" s="4004">
        <f t="shared" ca="1" si="12"/>
        <v>0</v>
      </c>
      <c r="H47" s="4004">
        <f t="shared" ca="1" si="12"/>
        <v>0</v>
      </c>
      <c r="I47" s="4004">
        <f t="shared" ca="1" si="12"/>
        <v>0</v>
      </c>
      <c r="J47" s="4004">
        <f t="shared" ca="1" si="12"/>
        <v>0</v>
      </c>
      <c r="K47" s="4004">
        <f t="shared" ca="1" si="12"/>
        <v>0</v>
      </c>
      <c r="L47" s="4004">
        <f t="shared" ca="1" si="12"/>
        <v>0</v>
      </c>
      <c r="M47" s="4004">
        <f t="shared" ca="1" si="12"/>
        <v>0</v>
      </c>
      <c r="N47" s="17"/>
    </row>
    <row r="48" spans="2:14" s="389" customFormat="1">
      <c r="B48" s="3089"/>
      <c r="C48" s="4002" t="s">
        <v>539</v>
      </c>
      <c r="D48" s="4003" t="s">
        <v>540</v>
      </c>
      <c r="E48" s="4004">
        <f t="shared" ref="E48:M55" ca="1" si="13">INDEX(INDIRECT("'"&amp;E$45&amp;"'!Year.Matrix"), MATCH($C48, INDIRECT("'"&amp;E$37&amp;"'!Year.Modules"), 0), MATCH($C$45, INDIRECT("'"&amp;E$37&amp;"'!Year.Vectors"), 0))</f>
        <v>0</v>
      </c>
      <c r="F48" s="4004">
        <f t="shared" ca="1" si="13"/>
        <v>0</v>
      </c>
      <c r="G48" s="4004">
        <f t="shared" ca="1" si="13"/>
        <v>0</v>
      </c>
      <c r="H48" s="4004">
        <f t="shared" ca="1" si="13"/>
        <v>0</v>
      </c>
      <c r="I48" s="4004">
        <f t="shared" ca="1" si="13"/>
        <v>0</v>
      </c>
      <c r="J48" s="4004">
        <f t="shared" ca="1" si="13"/>
        <v>0</v>
      </c>
      <c r="K48" s="4004">
        <f t="shared" ca="1" si="13"/>
        <v>0</v>
      </c>
      <c r="L48" s="4004">
        <f t="shared" ca="1" si="13"/>
        <v>0</v>
      </c>
      <c r="M48" s="4004">
        <f t="shared" ca="1" si="13"/>
        <v>0</v>
      </c>
      <c r="N48" s="17"/>
    </row>
    <row r="49" spans="2:14" s="389" customFormat="1">
      <c r="B49" s="3089"/>
      <c r="C49" s="4002" t="s">
        <v>511</v>
      </c>
      <c r="D49" s="4003" t="s">
        <v>512</v>
      </c>
      <c r="E49" s="4004">
        <f t="shared" ca="1" si="13"/>
        <v>4.4180640000000011</v>
      </c>
      <c r="F49" s="4004">
        <f t="shared" ca="1" si="13"/>
        <v>5.5339757999999994</v>
      </c>
      <c r="G49" s="4004">
        <f t="shared" ca="1" si="13"/>
        <v>5.5339757999999994</v>
      </c>
      <c r="H49" s="4004">
        <f t="shared" ca="1" si="13"/>
        <v>3.3359012999999997</v>
      </c>
      <c r="I49" s="4004">
        <f t="shared" ca="1" si="13"/>
        <v>1.1378267999999998</v>
      </c>
      <c r="J49" s="4004">
        <f t="shared" ca="1" si="13"/>
        <v>3.8789549999999742E-2</v>
      </c>
      <c r="K49" s="4004">
        <f t="shared" ca="1" si="13"/>
        <v>3.8789549999999742E-2</v>
      </c>
      <c r="L49" s="4004">
        <f t="shared" ca="1" si="13"/>
        <v>3.8789549999999742E-2</v>
      </c>
      <c r="M49" s="4004">
        <f t="shared" ca="1" si="13"/>
        <v>3.8789549999999742E-2</v>
      </c>
      <c r="N49" s="17"/>
    </row>
    <row r="50" spans="2:14" s="389" customFormat="1">
      <c r="B50" s="3089"/>
      <c r="C50" s="4002" t="s">
        <v>513</v>
      </c>
      <c r="D50" s="4003" t="s">
        <v>514</v>
      </c>
      <c r="E50" s="4004">
        <f t="shared" ca="1" si="13"/>
        <v>8.3277000000000018E-2</v>
      </c>
      <c r="F50" s="4004">
        <f t="shared" ca="1" si="13"/>
        <v>8.3277000000000018E-2</v>
      </c>
      <c r="G50" s="4004">
        <f t="shared" ca="1" si="13"/>
        <v>8.7660000000000016E-2</v>
      </c>
      <c r="H50" s="4004">
        <f t="shared" ca="1" si="13"/>
        <v>0</v>
      </c>
      <c r="I50" s="4004">
        <f t="shared" ca="1" si="13"/>
        <v>0</v>
      </c>
      <c r="J50" s="4004">
        <f t="shared" ca="1" si="13"/>
        <v>0</v>
      </c>
      <c r="K50" s="4004">
        <f t="shared" ca="1" si="13"/>
        <v>0</v>
      </c>
      <c r="L50" s="4004">
        <f t="shared" ca="1" si="13"/>
        <v>0</v>
      </c>
      <c r="M50" s="4004">
        <f t="shared" ca="1" si="13"/>
        <v>0</v>
      </c>
      <c r="N50" s="17"/>
    </row>
    <row r="51" spans="2:14" s="389" customFormat="1">
      <c r="B51" s="3089"/>
      <c r="C51" s="4002" t="s">
        <v>515</v>
      </c>
      <c r="D51" s="4003" t="s">
        <v>516</v>
      </c>
      <c r="E51" s="4004">
        <f t="shared" ca="1" si="13"/>
        <v>0.74791511999999993</v>
      </c>
      <c r="F51" s="4004">
        <f t="shared" ca="1" si="13"/>
        <v>0.74791511999999993</v>
      </c>
      <c r="G51" s="4004">
        <f t="shared" ca="1" si="13"/>
        <v>0.74791511999999993</v>
      </c>
      <c r="H51" s="4004">
        <f t="shared" ca="1" si="13"/>
        <v>0.78946596000000002</v>
      </c>
      <c r="I51" s="4004">
        <f t="shared" ca="1" si="13"/>
        <v>0.50632416000000002</v>
      </c>
      <c r="J51" s="4004">
        <f t="shared" ca="1" si="13"/>
        <v>0.33310800000000007</v>
      </c>
      <c r="K51" s="4004">
        <f t="shared" ca="1" si="13"/>
        <v>0.23317560000000004</v>
      </c>
      <c r="L51" s="4004">
        <f t="shared" ca="1" si="13"/>
        <v>0.16655400000000004</v>
      </c>
      <c r="M51" s="4004">
        <f t="shared" ca="1" si="13"/>
        <v>0</v>
      </c>
      <c r="N51" s="17"/>
    </row>
    <row r="52" spans="2:14" s="389" customFormat="1">
      <c r="B52" s="3089"/>
      <c r="C52" s="4002" t="s">
        <v>517</v>
      </c>
      <c r="D52" s="4003" t="s">
        <v>3288</v>
      </c>
      <c r="E52" s="4004">
        <f t="shared" ca="1" si="13"/>
        <v>0</v>
      </c>
      <c r="F52" s="4004">
        <f t="shared" ca="1" si="13"/>
        <v>3.9627123287671231E-3</v>
      </c>
      <c r="G52" s="4004">
        <f t="shared" ca="1" si="13"/>
        <v>1.3017510000000001E-2</v>
      </c>
      <c r="H52" s="4004">
        <f t="shared" ca="1" si="13"/>
        <v>1.3017510000000001E-2</v>
      </c>
      <c r="I52" s="4004">
        <f t="shared" ca="1" si="13"/>
        <v>1.3017510000000001E-2</v>
      </c>
      <c r="J52" s="4004">
        <f t="shared" ca="1" si="13"/>
        <v>1.3017510000000001E-2</v>
      </c>
      <c r="K52" s="4004">
        <f t="shared" ca="1" si="13"/>
        <v>1.3017510000000001E-2</v>
      </c>
      <c r="L52" s="4004">
        <f t="shared" ca="1" si="13"/>
        <v>0</v>
      </c>
      <c r="M52" s="4004">
        <f t="shared" ca="1" si="13"/>
        <v>0</v>
      </c>
      <c r="N52" s="17"/>
    </row>
    <row r="53" spans="2:14" s="389" customFormat="1">
      <c r="B53" s="3089"/>
      <c r="C53" s="4002" t="s">
        <v>519</v>
      </c>
      <c r="D53" s="4003" t="s">
        <v>520</v>
      </c>
      <c r="E53" s="4004">
        <f t="shared" ca="1" si="13"/>
        <v>0</v>
      </c>
      <c r="F53" s="4004">
        <f t="shared" ca="1" si="13"/>
        <v>0</v>
      </c>
      <c r="G53" s="4004">
        <f t="shared" ca="1" si="13"/>
        <v>0</v>
      </c>
      <c r="H53" s="4004">
        <f t="shared" ca="1" si="13"/>
        <v>0</v>
      </c>
      <c r="I53" s="4004">
        <f t="shared" ca="1" si="13"/>
        <v>0</v>
      </c>
      <c r="J53" s="4004">
        <f t="shared" ca="1" si="13"/>
        <v>0</v>
      </c>
      <c r="K53" s="4004">
        <f t="shared" ca="1" si="13"/>
        <v>0</v>
      </c>
      <c r="L53" s="4004">
        <f t="shared" ca="1" si="13"/>
        <v>0</v>
      </c>
      <c r="M53" s="4004">
        <f t="shared" ca="1" si="13"/>
        <v>0</v>
      </c>
      <c r="N53" s="17"/>
    </row>
    <row r="54" spans="2:14" s="389" customFormat="1">
      <c r="B54" s="3089"/>
      <c r="C54" s="4002" t="s">
        <v>525</v>
      </c>
      <c r="D54" s="4003" t="s">
        <v>526</v>
      </c>
      <c r="E54" s="4004">
        <f t="shared" ca="1" si="13"/>
        <v>0</v>
      </c>
      <c r="F54" s="4004">
        <f t="shared" ca="1" si="13"/>
        <v>0</v>
      </c>
      <c r="G54" s="4004">
        <f t="shared" ca="1" si="13"/>
        <v>0</v>
      </c>
      <c r="H54" s="4004">
        <f t="shared" ca="1" si="13"/>
        <v>0</v>
      </c>
      <c r="I54" s="4004">
        <f t="shared" ca="1" si="13"/>
        <v>0</v>
      </c>
      <c r="J54" s="4004">
        <f t="shared" ca="1" si="13"/>
        <v>0</v>
      </c>
      <c r="K54" s="4004">
        <f t="shared" ca="1" si="13"/>
        <v>0</v>
      </c>
      <c r="L54" s="4004">
        <f t="shared" ca="1" si="13"/>
        <v>0</v>
      </c>
      <c r="M54" s="4004">
        <f t="shared" ca="1" si="13"/>
        <v>0</v>
      </c>
      <c r="N54" s="17"/>
    </row>
    <row r="55" spans="2:14" s="389" customFormat="1">
      <c r="B55" s="3089"/>
      <c r="C55" s="4002" t="s">
        <v>554</v>
      </c>
      <c r="D55" s="4005" t="s">
        <v>555</v>
      </c>
      <c r="E55" s="4006">
        <f t="shared" ca="1" si="13"/>
        <v>2.5</v>
      </c>
      <c r="F55" s="4006">
        <f t="shared" ca="1" si="13"/>
        <v>2.5</v>
      </c>
      <c r="G55" s="4006">
        <f t="shared" ca="1" si="13"/>
        <v>2.5</v>
      </c>
      <c r="H55" s="4006">
        <f t="shared" ca="1" si="13"/>
        <v>1.5</v>
      </c>
      <c r="I55" s="4006">
        <f t="shared" ca="1" si="13"/>
        <v>1</v>
      </c>
      <c r="J55" s="4006">
        <f t="shared" ca="1" si="13"/>
        <v>0</v>
      </c>
      <c r="K55" s="4006">
        <f t="shared" ca="1" si="13"/>
        <v>0</v>
      </c>
      <c r="L55" s="4006">
        <f t="shared" ca="1" si="13"/>
        <v>0</v>
      </c>
      <c r="M55" s="4006">
        <f t="shared" ca="1" si="13"/>
        <v>0</v>
      </c>
      <c r="N55" s="17"/>
    </row>
    <row r="56" spans="2:14" s="389" customFormat="1">
      <c r="B56" s="3089"/>
      <c r="C56" s="4002"/>
      <c r="D56" s="4003" t="s">
        <v>58</v>
      </c>
      <c r="E56" s="4004">
        <f ca="1">SUM(E46:E55)</f>
        <v>27.532470202973805</v>
      </c>
      <c r="F56" s="4004">
        <f t="shared" ref="F56:M56" ca="1" si="14">SUM(F46:F55)</f>
        <v>28.359040204621035</v>
      </c>
      <c r="G56" s="4004">
        <f t="shared" ca="1" si="14"/>
        <v>30.073128870738987</v>
      </c>
      <c r="H56" s="4004">
        <f t="shared" ca="1" si="14"/>
        <v>32.066299162485706</v>
      </c>
      <c r="I56" s="4004">
        <f t="shared" ca="1" si="14"/>
        <v>34.124851935113341</v>
      </c>
      <c r="J56" s="4004">
        <f t="shared" ca="1" si="14"/>
        <v>36.377460572642889</v>
      </c>
      <c r="K56" s="4004">
        <f t="shared" ca="1" si="14"/>
        <v>38.799343360900366</v>
      </c>
      <c r="L56" s="4004">
        <f t="shared" ca="1" si="14"/>
        <v>41.331624906346356</v>
      </c>
      <c r="M56" s="4004">
        <f t="shared" ca="1" si="14"/>
        <v>43.874936365041343</v>
      </c>
      <c r="N56" s="17"/>
    </row>
    <row r="57" spans="2:14">
      <c r="B57" s="3343"/>
      <c r="C57" s="4007"/>
      <c r="D57" s="4008"/>
      <c r="E57" s="3343"/>
      <c r="F57" s="3343"/>
      <c r="G57" s="3343"/>
      <c r="H57" s="3343"/>
      <c r="I57" s="3343"/>
      <c r="J57" s="3343"/>
      <c r="K57" s="3343"/>
      <c r="L57" s="3343"/>
      <c r="M57" s="3343"/>
      <c r="N57" s="866"/>
    </row>
    <row r="59" spans="2:14" ht="15">
      <c r="B59" s="3998" t="s">
        <v>3289</v>
      </c>
      <c r="C59" s="3999"/>
      <c r="D59" s="3999"/>
      <c r="E59" s="3999"/>
      <c r="F59" s="3999"/>
      <c r="G59" s="3999"/>
      <c r="H59" s="3999"/>
      <c r="I59" s="3999"/>
      <c r="J59" s="3999"/>
      <c r="K59" s="3999"/>
      <c r="L59" s="3999"/>
      <c r="M59" s="3999"/>
      <c r="N59" s="4000"/>
    </row>
    <row r="60" spans="2:14">
      <c r="B60" s="506"/>
      <c r="C60" s="506"/>
      <c r="D60" s="506"/>
      <c r="E60" s="506"/>
      <c r="F60" s="506"/>
      <c r="G60" s="506"/>
      <c r="H60" s="506"/>
      <c r="I60" s="506"/>
      <c r="J60" s="506"/>
      <c r="K60" s="506"/>
      <c r="L60" s="506"/>
      <c r="M60" s="17"/>
      <c r="N60" s="17"/>
    </row>
    <row r="61" spans="2:14">
      <c r="B61" s="506"/>
      <c r="C61" s="506"/>
      <c r="D61" s="506"/>
      <c r="E61" s="506"/>
      <c r="F61" s="506"/>
      <c r="G61" s="506"/>
      <c r="H61" s="506"/>
      <c r="I61" s="506"/>
      <c r="J61" s="506"/>
      <c r="K61" s="506"/>
      <c r="L61" s="506"/>
      <c r="M61" s="3060" t="str">
        <f>Preferences.PowerUnits</f>
        <v>GW</v>
      </c>
      <c r="N61" s="17"/>
    </row>
    <row r="62" spans="2:14" ht="15">
      <c r="B62" s="4001"/>
      <c r="C62" s="3089"/>
      <c r="D62" s="506"/>
      <c r="E62" s="506"/>
      <c r="F62" s="506"/>
      <c r="G62" s="506"/>
      <c r="H62" s="506"/>
      <c r="I62" s="506"/>
      <c r="J62" s="506"/>
      <c r="K62" s="506"/>
      <c r="L62" s="506"/>
      <c r="M62" s="3060"/>
      <c r="N62" s="17"/>
    </row>
    <row r="63" spans="2:14" ht="15">
      <c r="B63" s="4001"/>
      <c r="C63" s="4009"/>
      <c r="D63" s="4010" t="s">
        <v>406</v>
      </c>
      <c r="E63" s="4011">
        <v>2013</v>
      </c>
      <c r="F63" s="4011">
        <v>2015</v>
      </c>
      <c r="G63" s="4011">
        <v>2020</v>
      </c>
      <c r="H63" s="4011">
        <v>2025</v>
      </c>
      <c r="I63" s="4011">
        <v>2030</v>
      </c>
      <c r="J63" s="4011">
        <v>2035</v>
      </c>
      <c r="K63" s="4011">
        <v>2040</v>
      </c>
      <c r="L63" s="4011">
        <v>2045</v>
      </c>
      <c r="M63" s="4011">
        <v>2050</v>
      </c>
      <c r="N63" s="17"/>
    </row>
    <row r="64" spans="2:14">
      <c r="B64" s="3089"/>
      <c r="C64" s="4029" t="s">
        <v>2339</v>
      </c>
      <c r="D64" s="4003" t="s">
        <v>2480</v>
      </c>
      <c r="E64" s="4012">
        <f ca="1">IFERROR(INDEX(INDIRECT($C64&amp;".info["&amp;E$63&amp;"]"), MATCH("B.02", INDIRECT($C64&amp;".info[Vector]"), 0)), 0)</f>
        <v>1.1000000000000001</v>
      </c>
      <c r="F64" s="4012">
        <f t="shared" ref="F64:M64" ca="1" si="15">IFERROR(INDEX(INDIRECT($C64&amp;".info["&amp;F$63&amp;"]"), MATCH("B.02", INDIRECT($C64&amp;".info[Vector]"), 0)), 0)</f>
        <v>0.91600000000000004</v>
      </c>
      <c r="G64" s="4012">
        <f t="shared" ca="1" si="15"/>
        <v>0.32400000000000001</v>
      </c>
      <c r="H64" s="4012">
        <f t="shared" ca="1" si="15"/>
        <v>0.32400000000000001</v>
      </c>
      <c r="I64" s="4012">
        <f t="shared" ca="1" si="15"/>
        <v>0.32400000000000001</v>
      </c>
      <c r="J64" s="4012">
        <f t="shared" ca="1" si="15"/>
        <v>0</v>
      </c>
      <c r="K64" s="4012">
        <f t="shared" ca="1" si="15"/>
        <v>0</v>
      </c>
      <c r="L64" s="4012">
        <f t="shared" ca="1" si="15"/>
        <v>0</v>
      </c>
      <c r="M64" s="4012">
        <f t="shared" ca="1" si="15"/>
        <v>0</v>
      </c>
      <c r="N64" s="17"/>
    </row>
    <row r="65" spans="2:14">
      <c r="B65" s="3089"/>
      <c r="C65" s="4029" t="s">
        <v>2340</v>
      </c>
      <c r="D65" s="4003" t="s">
        <v>3290</v>
      </c>
      <c r="E65" s="4012">
        <f t="shared" ref="E65:M77" ca="1" si="16">IFERROR(INDEX(INDIRECT($C65&amp;".info["&amp;E$63&amp;"]"), MATCH("B.02", INDIRECT($C65&amp;".info[Vector]"), 0)), 0)</f>
        <v>1.216</v>
      </c>
      <c r="F65" s="4012">
        <f t="shared" ca="1" si="16"/>
        <v>1.2009999999999998</v>
      </c>
      <c r="G65" s="4012">
        <f t="shared" ca="1" si="16"/>
        <v>0.91600000000000004</v>
      </c>
      <c r="H65" s="4012">
        <f t="shared" ca="1" si="16"/>
        <v>0.91600000000000004</v>
      </c>
      <c r="I65" s="4012">
        <f t="shared" ca="1" si="16"/>
        <v>0.63100000000000012</v>
      </c>
      <c r="J65" s="4012">
        <f t="shared" ca="1" si="16"/>
        <v>0</v>
      </c>
      <c r="K65" s="4012">
        <f t="shared" ca="1" si="16"/>
        <v>0</v>
      </c>
      <c r="L65" s="4012">
        <f t="shared" ca="1" si="16"/>
        <v>0</v>
      </c>
      <c r="M65" s="4012">
        <f t="shared" ca="1" si="16"/>
        <v>0</v>
      </c>
      <c r="N65" s="17"/>
    </row>
    <row r="66" spans="2:14">
      <c r="B66" s="3089"/>
      <c r="C66" s="4029" t="s">
        <v>2337</v>
      </c>
      <c r="D66" s="4003" t="s">
        <v>2481</v>
      </c>
      <c r="E66" s="4012">
        <f t="shared" ca="1" si="16"/>
        <v>3.7307314609372622</v>
      </c>
      <c r="F66" s="4012">
        <f t="shared" ca="1" si="16"/>
        <v>3.8052509775073333</v>
      </c>
      <c r="G66" s="4012">
        <f t="shared" ca="1" si="16"/>
        <v>4.2113950606716246</v>
      </c>
      <c r="H66" s="4012">
        <f t="shared" ca="1" si="16"/>
        <v>5.7050506480965373</v>
      </c>
      <c r="I66" s="4012">
        <f t="shared" ca="1" si="16"/>
        <v>7.7123564525192059</v>
      </c>
      <c r="J66" s="4012">
        <f t="shared" ca="1" si="16"/>
        <v>10.264814485695553</v>
      </c>
      <c r="K66" s="4012">
        <f t="shared" ca="1" si="16"/>
        <v>10.984017995921848</v>
      </c>
      <c r="L66" s="4012">
        <f t="shared" ca="1" si="16"/>
        <v>11.728918935759285</v>
      </c>
      <c r="M66" s="4012">
        <f t="shared" ca="1" si="16"/>
        <v>12.50175302733326</v>
      </c>
      <c r="N66" s="17"/>
    </row>
    <row r="67" spans="2:14">
      <c r="B67" s="3089"/>
      <c r="C67" s="4029" t="s">
        <v>544</v>
      </c>
      <c r="D67" s="4003" t="s">
        <v>3287</v>
      </c>
      <c r="E67" s="4012">
        <f t="shared" ca="1" si="16"/>
        <v>0</v>
      </c>
      <c r="F67" s="4012">
        <f t="shared" ca="1" si="16"/>
        <v>0</v>
      </c>
      <c r="G67" s="4012">
        <f t="shared" ca="1" si="16"/>
        <v>0</v>
      </c>
      <c r="H67" s="4012">
        <f t="shared" ca="1" si="16"/>
        <v>0</v>
      </c>
      <c r="I67" s="4012">
        <f t="shared" ca="1" si="16"/>
        <v>0</v>
      </c>
      <c r="J67" s="4012">
        <f t="shared" ca="1" si="16"/>
        <v>0</v>
      </c>
      <c r="K67" s="4012">
        <f t="shared" ca="1" si="16"/>
        <v>0</v>
      </c>
      <c r="L67" s="4012">
        <f t="shared" ca="1" si="16"/>
        <v>0</v>
      </c>
      <c r="M67" s="4012">
        <f t="shared" ca="1" si="16"/>
        <v>0</v>
      </c>
      <c r="N67" s="17"/>
    </row>
    <row r="68" spans="2:14">
      <c r="B68" s="3089"/>
      <c r="C68" s="4029" t="s">
        <v>539</v>
      </c>
      <c r="D68" s="4003" t="s">
        <v>540</v>
      </c>
      <c r="E68" s="4012">
        <f t="shared" ca="1" si="16"/>
        <v>0</v>
      </c>
      <c r="F68" s="4012">
        <f t="shared" ca="1" si="16"/>
        <v>0</v>
      </c>
      <c r="G68" s="4012">
        <f t="shared" ca="1" si="16"/>
        <v>0</v>
      </c>
      <c r="H68" s="4012">
        <f t="shared" ca="1" si="16"/>
        <v>0</v>
      </c>
      <c r="I68" s="4012">
        <f t="shared" ca="1" si="16"/>
        <v>0</v>
      </c>
      <c r="J68" s="4012">
        <f t="shared" ca="1" si="16"/>
        <v>0</v>
      </c>
      <c r="K68" s="4012">
        <f t="shared" ca="1" si="16"/>
        <v>0</v>
      </c>
      <c r="L68" s="4012">
        <f t="shared" ca="1" si="16"/>
        <v>0</v>
      </c>
      <c r="M68" s="4012">
        <f t="shared" ca="1" si="16"/>
        <v>0</v>
      </c>
      <c r="N68" s="17"/>
    </row>
    <row r="69" spans="2:14">
      <c r="B69" s="3089"/>
      <c r="C69" s="4030" t="s">
        <v>511</v>
      </c>
      <c r="D69" s="4009" t="s">
        <v>512</v>
      </c>
      <c r="E69" s="4012">
        <f t="shared" ca="1" si="16"/>
        <v>1.8</v>
      </c>
      <c r="F69" s="4012">
        <f t="shared" ca="1" si="16"/>
        <v>2.14</v>
      </c>
      <c r="G69" s="4012">
        <f t="shared" ca="1" si="16"/>
        <v>2.14</v>
      </c>
      <c r="H69" s="4012">
        <f t="shared" ca="1" si="16"/>
        <v>1.29</v>
      </c>
      <c r="I69" s="4012">
        <f t="shared" ca="1" si="16"/>
        <v>0.43999999999999995</v>
      </c>
      <c r="J69" s="4012">
        <f t="shared" ca="1" si="16"/>
        <v>1.4999999999999902E-2</v>
      </c>
      <c r="K69" s="4012">
        <f t="shared" ca="1" si="16"/>
        <v>1.4999999999999902E-2</v>
      </c>
      <c r="L69" s="4012">
        <f t="shared" ca="1" si="16"/>
        <v>1.4999999999999902E-2</v>
      </c>
      <c r="M69" s="4013">
        <f t="shared" ca="1" si="16"/>
        <v>1.4999999999999902E-2</v>
      </c>
      <c r="N69" s="17"/>
    </row>
    <row r="70" spans="2:14">
      <c r="B70" s="3089"/>
      <c r="C70" s="4030" t="s">
        <v>513</v>
      </c>
      <c r="D70" s="4009" t="s">
        <v>514</v>
      </c>
      <c r="E70" s="4012">
        <f t="shared" ca="1" si="16"/>
        <v>2.5000000000000001E-2</v>
      </c>
      <c r="F70" s="4012">
        <f t="shared" ca="1" si="16"/>
        <v>2.5000000000000001E-2</v>
      </c>
      <c r="G70" s="4012">
        <f t="shared" ca="1" si="16"/>
        <v>2.5000000000000001E-2</v>
      </c>
      <c r="H70" s="4012">
        <f t="shared" ca="1" si="16"/>
        <v>0</v>
      </c>
      <c r="I70" s="4012">
        <f t="shared" ca="1" si="16"/>
        <v>0</v>
      </c>
      <c r="J70" s="4012">
        <f t="shared" ca="1" si="16"/>
        <v>0</v>
      </c>
      <c r="K70" s="4012">
        <f t="shared" ca="1" si="16"/>
        <v>0</v>
      </c>
      <c r="L70" s="4012">
        <f t="shared" ca="1" si="16"/>
        <v>0</v>
      </c>
      <c r="M70" s="4014">
        <f t="shared" ca="1" si="16"/>
        <v>0</v>
      </c>
      <c r="N70" s="17"/>
    </row>
    <row r="71" spans="2:14">
      <c r="B71" s="3089"/>
      <c r="C71" s="4030" t="s">
        <v>515</v>
      </c>
      <c r="D71" s="4015" t="s">
        <v>516</v>
      </c>
      <c r="E71" s="4012">
        <f t="shared" ca="1" si="16"/>
        <v>0.23699999999999999</v>
      </c>
      <c r="F71" s="4014">
        <f t="shared" ca="1" si="16"/>
        <v>0.23699999999999999</v>
      </c>
      <c r="G71" s="4014">
        <f t="shared" ca="1" si="16"/>
        <v>0.23699999999999999</v>
      </c>
      <c r="H71" s="4014">
        <f t="shared" ca="1" si="16"/>
        <v>0.23699999999999999</v>
      </c>
      <c r="I71" s="4014">
        <f t="shared" ca="1" si="16"/>
        <v>0.152</v>
      </c>
      <c r="J71" s="4014">
        <f t="shared" ca="1" si="16"/>
        <v>0.1</v>
      </c>
      <c r="K71" s="4014">
        <f t="shared" ca="1" si="16"/>
        <v>7.0000000000000007E-2</v>
      </c>
      <c r="L71" s="4014">
        <f t="shared" ca="1" si="16"/>
        <v>0.05</v>
      </c>
      <c r="M71" s="4014">
        <f t="shared" ca="1" si="16"/>
        <v>0</v>
      </c>
      <c r="N71" s="17"/>
    </row>
    <row r="72" spans="2:14">
      <c r="B72" s="3089"/>
      <c r="C72" s="4029" t="s">
        <v>612</v>
      </c>
      <c r="D72" s="4003" t="s">
        <v>390</v>
      </c>
      <c r="E72" s="4012">
        <f t="shared" ca="1" si="16"/>
        <v>0</v>
      </c>
      <c r="F72" s="4012">
        <f t="shared" ca="1" si="16"/>
        <v>1.5220700152207001E-3</v>
      </c>
      <c r="G72" s="4012">
        <f t="shared" ca="1" si="16"/>
        <v>5.0000000000000001E-3</v>
      </c>
      <c r="H72" s="4012">
        <f t="shared" ca="1" si="16"/>
        <v>5.0000000000000001E-3</v>
      </c>
      <c r="I72" s="4012">
        <f t="shared" ca="1" si="16"/>
        <v>5.0000000000000001E-3</v>
      </c>
      <c r="J72" s="4012">
        <f t="shared" ca="1" si="16"/>
        <v>5.0000000000000001E-3</v>
      </c>
      <c r="K72" s="4012">
        <f t="shared" ca="1" si="16"/>
        <v>5.0000000000000001E-3</v>
      </c>
      <c r="L72" s="4012">
        <f t="shared" ca="1" si="16"/>
        <v>0</v>
      </c>
      <c r="M72" s="4012">
        <f t="shared" ca="1" si="16"/>
        <v>0</v>
      </c>
      <c r="N72" s="17"/>
    </row>
    <row r="73" spans="2:14">
      <c r="B73" s="3089"/>
      <c r="C73" s="4029" t="s">
        <v>614</v>
      </c>
      <c r="D73" s="4003" t="s">
        <v>615</v>
      </c>
      <c r="E73" s="4012">
        <f t="shared" ca="1" si="16"/>
        <v>0</v>
      </c>
      <c r="F73" s="4012">
        <f t="shared" ca="1" si="16"/>
        <v>0</v>
      </c>
      <c r="G73" s="4012">
        <f t="shared" ca="1" si="16"/>
        <v>0</v>
      </c>
      <c r="H73" s="4012">
        <f t="shared" ca="1" si="16"/>
        <v>0</v>
      </c>
      <c r="I73" s="4012">
        <f t="shared" ca="1" si="16"/>
        <v>0</v>
      </c>
      <c r="J73" s="4012">
        <f t="shared" ca="1" si="16"/>
        <v>0</v>
      </c>
      <c r="K73" s="4012">
        <f t="shared" ca="1" si="16"/>
        <v>0</v>
      </c>
      <c r="L73" s="4012">
        <f t="shared" ca="1" si="16"/>
        <v>0</v>
      </c>
      <c r="M73" s="4012">
        <f t="shared" ca="1" si="16"/>
        <v>0</v>
      </c>
      <c r="N73" s="17"/>
    </row>
    <row r="74" spans="2:14">
      <c r="B74" s="3089"/>
      <c r="C74" s="4029" t="s">
        <v>616</v>
      </c>
      <c r="D74" s="4003" t="s">
        <v>617</v>
      </c>
      <c r="E74" s="4012">
        <f t="shared" ca="1" si="16"/>
        <v>0</v>
      </c>
      <c r="F74" s="4012">
        <f t="shared" ca="1" si="16"/>
        <v>0</v>
      </c>
      <c r="G74" s="4012">
        <f t="shared" ca="1" si="16"/>
        <v>0</v>
      </c>
      <c r="H74" s="4012">
        <f t="shared" ca="1" si="16"/>
        <v>0</v>
      </c>
      <c r="I74" s="4012">
        <f t="shared" ca="1" si="16"/>
        <v>0</v>
      </c>
      <c r="J74" s="4012">
        <f t="shared" ca="1" si="16"/>
        <v>0</v>
      </c>
      <c r="K74" s="4012">
        <f t="shared" ca="1" si="16"/>
        <v>0</v>
      </c>
      <c r="L74" s="4012">
        <f t="shared" ca="1" si="16"/>
        <v>0</v>
      </c>
      <c r="M74" s="4012">
        <f t="shared" ca="1" si="16"/>
        <v>0</v>
      </c>
      <c r="N74" s="17"/>
    </row>
    <row r="75" spans="2:14">
      <c r="B75" s="3089"/>
      <c r="C75" s="4029" t="s">
        <v>519</v>
      </c>
      <c r="D75" s="4003" t="s">
        <v>520</v>
      </c>
      <c r="E75" s="4012">
        <f t="shared" ca="1" si="16"/>
        <v>0</v>
      </c>
      <c r="F75" s="4012">
        <f t="shared" ca="1" si="16"/>
        <v>0</v>
      </c>
      <c r="G75" s="4012">
        <f t="shared" ca="1" si="16"/>
        <v>0</v>
      </c>
      <c r="H75" s="4012">
        <f t="shared" ca="1" si="16"/>
        <v>0</v>
      </c>
      <c r="I75" s="4012">
        <f t="shared" ca="1" si="16"/>
        <v>0</v>
      </c>
      <c r="J75" s="4012">
        <f t="shared" ca="1" si="16"/>
        <v>0</v>
      </c>
      <c r="K75" s="4012">
        <f t="shared" ca="1" si="16"/>
        <v>0</v>
      </c>
      <c r="L75" s="4012">
        <f t="shared" ca="1" si="16"/>
        <v>0</v>
      </c>
      <c r="M75" s="4012">
        <f t="shared" ca="1" si="16"/>
        <v>0</v>
      </c>
      <c r="N75" s="17"/>
    </row>
    <row r="76" spans="2:14">
      <c r="B76" s="3089"/>
      <c r="C76" s="4029" t="s">
        <v>525</v>
      </c>
      <c r="D76" s="4003" t="s">
        <v>526</v>
      </c>
      <c r="E76" s="4012">
        <f t="shared" ca="1" si="16"/>
        <v>0</v>
      </c>
      <c r="F76" s="4012">
        <f t="shared" ca="1" si="16"/>
        <v>0</v>
      </c>
      <c r="G76" s="4012">
        <f t="shared" ca="1" si="16"/>
        <v>0</v>
      </c>
      <c r="H76" s="4012">
        <f t="shared" ca="1" si="16"/>
        <v>0</v>
      </c>
      <c r="I76" s="4012">
        <f t="shared" ca="1" si="16"/>
        <v>0</v>
      </c>
      <c r="J76" s="4012">
        <f t="shared" ca="1" si="16"/>
        <v>0</v>
      </c>
      <c r="K76" s="4012">
        <f t="shared" ca="1" si="16"/>
        <v>0</v>
      </c>
      <c r="L76" s="4012">
        <f t="shared" ca="1" si="16"/>
        <v>0</v>
      </c>
      <c r="M76" s="4012">
        <f t="shared" ca="1" si="16"/>
        <v>0</v>
      </c>
      <c r="N76" s="17"/>
    </row>
    <row r="77" spans="2:14">
      <c r="B77" s="3089"/>
      <c r="C77" s="4029" t="s">
        <v>560</v>
      </c>
      <c r="D77" s="4005" t="s">
        <v>2482</v>
      </c>
      <c r="E77" s="4016">
        <f t="shared" ca="1" si="16"/>
        <v>0.28284987271456291</v>
      </c>
      <c r="F77" s="4016">
        <f t="shared" ca="1" si="16"/>
        <v>0.49101641110532723</v>
      </c>
      <c r="G77" s="4016">
        <f t="shared" ca="1" si="16"/>
        <v>1.19226702680187</v>
      </c>
      <c r="H77" s="4016">
        <f t="shared" ca="1" si="16"/>
        <v>0</v>
      </c>
      <c r="I77" s="4016">
        <f t="shared" ca="1" si="16"/>
        <v>0</v>
      </c>
      <c r="J77" s="4016">
        <f t="shared" ca="1" si="16"/>
        <v>0</v>
      </c>
      <c r="K77" s="4016">
        <f t="shared" ca="1" si="16"/>
        <v>0</v>
      </c>
      <c r="L77" s="4016">
        <f t="shared" ca="1" si="16"/>
        <v>0</v>
      </c>
      <c r="M77" s="4016">
        <f t="shared" ca="1" si="16"/>
        <v>0</v>
      </c>
      <c r="N77" s="17"/>
    </row>
    <row r="78" spans="2:14">
      <c r="B78" s="3089"/>
      <c r="C78" s="4002"/>
      <c r="D78" s="4003" t="s">
        <v>1703</v>
      </c>
      <c r="E78" s="4012">
        <f ca="1">SUM(E64:E77)</f>
        <v>8.3915813336518248</v>
      </c>
      <c r="F78" s="4012">
        <f t="shared" ref="F78:M78" ca="1" si="17">SUM(F64:F77)</f>
        <v>8.8167894586278823</v>
      </c>
      <c r="G78" s="4012">
        <f t="shared" ca="1" si="17"/>
        <v>9.0506620874734942</v>
      </c>
      <c r="H78" s="4012">
        <f t="shared" ca="1" si="17"/>
        <v>8.4770506480965384</v>
      </c>
      <c r="I78" s="4012">
        <f t="shared" ca="1" si="17"/>
        <v>9.2643564525192055</v>
      </c>
      <c r="J78" s="4012">
        <f t="shared" ca="1" si="17"/>
        <v>10.384814485695554</v>
      </c>
      <c r="K78" s="4012">
        <f t="shared" ca="1" si="17"/>
        <v>11.074017995921849</v>
      </c>
      <c r="L78" s="4012">
        <f t="shared" ca="1" si="17"/>
        <v>11.793918935759287</v>
      </c>
      <c r="M78" s="4012">
        <f t="shared" ca="1" si="17"/>
        <v>12.516753027333261</v>
      </c>
      <c r="N78" s="17"/>
    </row>
    <row r="79" spans="2:14">
      <c r="B79" s="3343"/>
      <c r="C79" s="4007"/>
      <c r="D79" s="4008"/>
      <c r="E79" s="3343"/>
      <c r="F79" s="3343"/>
      <c r="G79" s="3343"/>
      <c r="H79" s="3343"/>
      <c r="I79" s="3343"/>
      <c r="J79" s="3343"/>
      <c r="K79" s="3343"/>
      <c r="L79" s="3343"/>
      <c r="M79" s="3343"/>
      <c r="N79" s="866"/>
    </row>
    <row r="81" spans="2:15" ht="15">
      <c r="B81" s="3998" t="s">
        <v>3291</v>
      </c>
      <c r="C81" s="3999"/>
      <c r="D81" s="3999"/>
      <c r="E81" s="3999"/>
      <c r="F81" s="3999"/>
      <c r="G81" s="3999"/>
      <c r="H81" s="3999"/>
      <c r="I81" s="3999"/>
      <c r="J81" s="3999"/>
      <c r="K81" s="3999"/>
      <c r="L81" s="3999"/>
      <c r="M81" s="3999"/>
      <c r="N81" s="4000"/>
    </row>
    <row r="82" spans="2:15">
      <c r="B82" s="506"/>
      <c r="C82" s="506"/>
      <c r="D82" s="506"/>
      <c r="E82" s="506"/>
      <c r="F82" s="506"/>
      <c r="G82" s="506"/>
      <c r="H82" s="506"/>
      <c r="I82" s="506"/>
      <c r="J82" s="506"/>
      <c r="K82" s="506"/>
      <c r="L82" s="506"/>
      <c r="M82" s="17"/>
      <c r="N82" s="17"/>
    </row>
    <row r="83" spans="2:15">
      <c r="B83" s="506"/>
      <c r="C83" s="506"/>
      <c r="D83" s="3089" t="s">
        <v>3297</v>
      </c>
      <c r="E83" s="506"/>
      <c r="F83" s="506"/>
      <c r="G83" s="506"/>
      <c r="H83" s="506"/>
      <c r="I83" s="506"/>
      <c r="J83" s="506"/>
      <c r="K83" s="506"/>
      <c r="L83" s="506"/>
      <c r="M83" s="3060" t="s">
        <v>27</v>
      </c>
      <c r="N83" s="17"/>
    </row>
    <row r="84" spans="2:15" ht="15">
      <c r="B84" s="4001"/>
      <c r="C84" s="3089"/>
      <c r="D84" s="506"/>
      <c r="E84" s="506"/>
      <c r="F84" s="506"/>
      <c r="G84" s="506"/>
      <c r="H84" s="506"/>
      <c r="I84" s="506"/>
      <c r="J84" s="506"/>
      <c r="K84" s="506"/>
      <c r="L84" s="506"/>
      <c r="M84" s="3060"/>
      <c r="N84" s="17"/>
    </row>
    <row r="85" spans="2:15" ht="15">
      <c r="B85" s="4001"/>
      <c r="C85" s="4009"/>
      <c r="D85" s="4010" t="s">
        <v>131</v>
      </c>
      <c r="E85" s="4011">
        <v>2013</v>
      </c>
      <c r="F85" s="4011">
        <v>2015</v>
      </c>
      <c r="G85" s="4011">
        <v>2020</v>
      </c>
      <c r="H85" s="4011">
        <v>2025</v>
      </c>
      <c r="I85" s="4011">
        <v>2030</v>
      </c>
      <c r="J85" s="4011">
        <v>2035</v>
      </c>
      <c r="K85" s="4011">
        <v>2040</v>
      </c>
      <c r="L85" s="4011">
        <v>2045</v>
      </c>
      <c r="M85" s="4011">
        <v>2050</v>
      </c>
      <c r="N85" s="17"/>
    </row>
    <row r="86" spans="2:15">
      <c r="B86" s="3089"/>
      <c r="C86" s="4029" t="s">
        <v>2596</v>
      </c>
      <c r="D86" s="4003" t="s">
        <v>526</v>
      </c>
      <c r="E86" s="4031">
        <f ca="1">SUMIFS(INDIRECT("FlowsTable["&amp;E$85&amp;"]"),FlowsTable[From],$D86,FlowsTable[To],$C86)</f>
        <v>0</v>
      </c>
      <c r="F86" s="4031">
        <f ca="1">SUMIFS(INDIRECT("FlowsTable["&amp;F$85&amp;"]"),FlowsTable[From],$D86,FlowsTable[To],$C86)</f>
        <v>0</v>
      </c>
      <c r="G86" s="4031">
        <f ca="1">SUMIFS(INDIRECT("FlowsTable["&amp;G$85&amp;"]"),FlowsTable[From],$D86,FlowsTable[To],$C86)</f>
        <v>0</v>
      </c>
      <c r="H86" s="4031">
        <f ca="1">SUMIFS(INDIRECT("FlowsTable["&amp;H$85&amp;"]"),FlowsTable[From],$D86,FlowsTable[To],$C86)</f>
        <v>0</v>
      </c>
      <c r="I86" s="4031">
        <f ca="1">SUMIFS(INDIRECT("FlowsTable["&amp;I$85&amp;"]"),FlowsTable[From],$D86,FlowsTable[To],$C86)</f>
        <v>0</v>
      </c>
      <c r="J86" s="4031">
        <f ca="1">SUMIFS(INDIRECT("FlowsTable["&amp;J$85&amp;"]"),FlowsTable[From],$D86,FlowsTable[To],$C86)</f>
        <v>0</v>
      </c>
      <c r="K86" s="4031">
        <f ca="1">SUMIFS(INDIRECT("FlowsTable["&amp;K$85&amp;"]"),FlowsTable[From],$D86,FlowsTable[To],$C86)</f>
        <v>0</v>
      </c>
      <c r="L86" s="4031">
        <f ca="1">SUMIFS(INDIRECT("FlowsTable["&amp;L$85&amp;"]"),FlowsTable[From],$D86,FlowsTable[To],$C86)</f>
        <v>0</v>
      </c>
      <c r="M86" s="4031">
        <f ca="1">SUMIFS(INDIRECT("FlowsTable["&amp;M$85&amp;"]"),FlowsTable[From],$D86,FlowsTable[To],$C86)</f>
        <v>0</v>
      </c>
      <c r="N86" s="17"/>
      <c r="O86" s="3972" t="s">
        <v>5</v>
      </c>
    </row>
    <row r="87" spans="2:15">
      <c r="B87" s="3089"/>
      <c r="C87" s="4029" t="s">
        <v>2596</v>
      </c>
      <c r="D87" s="4003" t="s">
        <v>388</v>
      </c>
      <c r="E87" s="4012">
        <f ca="1">SUMIFS(INDIRECT("FlowsTable["&amp;E$85&amp;"]"),FlowsTable[From],$D87,FlowsTable[To],$C87)</f>
        <v>4.5013410000000009</v>
      </c>
      <c r="F87" s="4012">
        <f ca="1">SUMIFS(INDIRECT("FlowsTable["&amp;F$85&amp;"]"),FlowsTable[From],$D87,FlowsTable[To],$C87)</f>
        <v>5.6172527999999993</v>
      </c>
      <c r="G87" s="4012">
        <f ca="1">SUMIFS(INDIRECT("FlowsTable["&amp;G$85&amp;"]"),FlowsTable[From],$D87,FlowsTable[To],$C87)</f>
        <v>5.6216357999999991</v>
      </c>
      <c r="H87" s="4012">
        <f ca="1">SUMIFS(INDIRECT("FlowsTable["&amp;H$85&amp;"]"),FlowsTable[From],$D87,FlowsTable[To],$C87)</f>
        <v>3.3359012999999997</v>
      </c>
      <c r="I87" s="4012">
        <f ca="1">SUMIFS(INDIRECT("FlowsTable["&amp;I$85&amp;"]"),FlowsTable[From],$D87,FlowsTable[To],$C87)</f>
        <v>1.1378267999999998</v>
      </c>
      <c r="J87" s="4012">
        <f ca="1">SUMIFS(INDIRECT("FlowsTable["&amp;J$85&amp;"]"),FlowsTable[From],$D87,FlowsTable[To],$C87)</f>
        <v>3.8789549999999742E-2</v>
      </c>
      <c r="K87" s="4012">
        <f ca="1">SUMIFS(INDIRECT("FlowsTable["&amp;K$85&amp;"]"),FlowsTable[From],$D87,FlowsTable[To],$C87)</f>
        <v>3.8789549999999742E-2</v>
      </c>
      <c r="L87" s="4012">
        <f ca="1">SUMIFS(INDIRECT("FlowsTable["&amp;L$85&amp;"]"),FlowsTable[From],$D87,FlowsTable[To],$C87)</f>
        <v>3.8789549999999742E-2</v>
      </c>
      <c r="M87" s="4012">
        <f ca="1">SUMIFS(INDIRECT("FlowsTable["&amp;M$85&amp;"]"),FlowsTable[From],$D87,FlowsTable[To],$C87)</f>
        <v>3.8789549999999742E-2</v>
      </c>
      <c r="N87" s="17"/>
    </row>
    <row r="88" spans="2:15">
      <c r="B88" s="3089"/>
      <c r="C88" s="4029" t="s">
        <v>2596</v>
      </c>
      <c r="D88" s="4003" t="s">
        <v>389</v>
      </c>
      <c r="E88" s="4012">
        <f ca="1">SUMIFS(INDIRECT("FlowsTable["&amp;E$85&amp;"]"),FlowsTable[From],$D88,FlowsTable[To],$C88)</f>
        <v>0</v>
      </c>
      <c r="F88" s="4012">
        <f ca="1">SUMIFS(INDIRECT("FlowsTable["&amp;F$85&amp;"]"),FlowsTable[From],$D88,FlowsTable[To],$C88)</f>
        <v>0</v>
      </c>
      <c r="G88" s="4012">
        <f ca="1">SUMIFS(INDIRECT("FlowsTable["&amp;G$85&amp;"]"),FlowsTable[From],$D88,FlowsTable[To],$C88)</f>
        <v>0</v>
      </c>
      <c r="H88" s="4012">
        <f ca="1">SUMIFS(INDIRECT("FlowsTable["&amp;H$85&amp;"]"),FlowsTable[From],$D88,FlowsTable[To],$C88)</f>
        <v>0</v>
      </c>
      <c r="I88" s="4012">
        <f ca="1">SUMIFS(INDIRECT("FlowsTable["&amp;I$85&amp;"]"),FlowsTable[From],$D88,FlowsTable[To],$C88)</f>
        <v>0</v>
      </c>
      <c r="J88" s="4012">
        <f ca="1">SUMIFS(INDIRECT("FlowsTable["&amp;J$85&amp;"]"),FlowsTable[From],$D88,FlowsTable[To],$C88)</f>
        <v>0</v>
      </c>
      <c r="K88" s="4012">
        <f ca="1">SUMIFS(INDIRECT("FlowsTable["&amp;K$85&amp;"]"),FlowsTable[From],$D88,FlowsTable[To],$C88)</f>
        <v>0</v>
      </c>
      <c r="L88" s="4012">
        <f ca="1">SUMIFS(INDIRECT("FlowsTable["&amp;L$85&amp;"]"),FlowsTable[From],$D88,FlowsTable[To],$C88)</f>
        <v>0</v>
      </c>
      <c r="M88" s="4012">
        <f ca="1">SUMIFS(INDIRECT("FlowsTable["&amp;M$85&amp;"]"),FlowsTable[From],$D88,FlowsTable[To],$C88)</f>
        <v>0</v>
      </c>
      <c r="N88" s="17"/>
    </row>
    <row r="89" spans="2:15">
      <c r="B89" s="3089"/>
      <c r="C89" s="4029" t="s">
        <v>2596</v>
      </c>
      <c r="D89" s="4003" t="s">
        <v>390</v>
      </c>
      <c r="E89" s="4012">
        <f ca="1">SUMIFS(INDIRECT("FlowsTable["&amp;E$85&amp;"]"),FlowsTable[From],$D89,FlowsTable[To],$C89)</f>
        <v>0</v>
      </c>
      <c r="F89" s="4012">
        <f ca="1">SUMIFS(INDIRECT("FlowsTable["&amp;F$85&amp;"]"),FlowsTable[From],$D89,FlowsTable[To],$C89)</f>
        <v>3.9627123287671231E-3</v>
      </c>
      <c r="G89" s="4012">
        <f ca="1">SUMIFS(INDIRECT("FlowsTable["&amp;G$85&amp;"]"),FlowsTable[From],$D89,FlowsTable[To],$C89)</f>
        <v>1.3017510000000001E-2</v>
      </c>
      <c r="H89" s="4012">
        <f ca="1">SUMIFS(INDIRECT("FlowsTable["&amp;H$85&amp;"]"),FlowsTable[From],$D89,FlowsTable[To],$C89)</f>
        <v>1.3017510000000001E-2</v>
      </c>
      <c r="I89" s="4012">
        <f ca="1">SUMIFS(INDIRECT("FlowsTable["&amp;I$85&amp;"]"),FlowsTable[From],$D89,FlowsTable[To],$C89)</f>
        <v>1.3017510000000001E-2</v>
      </c>
      <c r="J89" s="4012">
        <f ca="1">SUMIFS(INDIRECT("FlowsTable["&amp;J$85&amp;"]"),FlowsTable[From],$D89,FlowsTable[To],$C89)</f>
        <v>1.3017510000000001E-2</v>
      </c>
      <c r="K89" s="4012">
        <f ca="1">SUMIFS(INDIRECT("FlowsTable["&amp;K$85&amp;"]"),FlowsTable[From],$D89,FlowsTable[To],$C89)</f>
        <v>1.3017510000000001E-2</v>
      </c>
      <c r="L89" s="4012">
        <f ca="1">SUMIFS(INDIRECT("FlowsTable["&amp;L$85&amp;"]"),FlowsTable[From],$D89,FlowsTable[To],$C89)</f>
        <v>0</v>
      </c>
      <c r="M89" s="4012">
        <f ca="1">SUMIFS(INDIRECT("FlowsTable["&amp;M$85&amp;"]"),FlowsTable[From],$D89,FlowsTable[To],$C89)</f>
        <v>0</v>
      </c>
      <c r="N89" s="17"/>
    </row>
    <row r="90" spans="2:15">
      <c r="B90" s="3089"/>
      <c r="C90" s="4029" t="s">
        <v>2596</v>
      </c>
      <c r="D90" s="4003" t="s">
        <v>391</v>
      </c>
      <c r="E90" s="4012">
        <f ca="1">SUMIFS(INDIRECT("FlowsTable["&amp;E$85&amp;"]"),FlowsTable[From],$D90,FlowsTable[To],$C90)</f>
        <v>0.74791511999999993</v>
      </c>
      <c r="F90" s="4012">
        <f ca="1">SUMIFS(INDIRECT("FlowsTable["&amp;F$85&amp;"]"),FlowsTable[From],$D90,FlowsTable[To],$C90)</f>
        <v>0.74791511999999993</v>
      </c>
      <c r="G90" s="4012">
        <f ca="1">SUMIFS(INDIRECT("FlowsTable["&amp;G$85&amp;"]"),FlowsTable[From],$D90,FlowsTable[To],$C90)</f>
        <v>0.74791511999999993</v>
      </c>
      <c r="H90" s="4012">
        <f ca="1">SUMIFS(INDIRECT("FlowsTable["&amp;H$85&amp;"]"),FlowsTable[From],$D90,FlowsTable[To],$C90)</f>
        <v>0.78946596000000002</v>
      </c>
      <c r="I90" s="4012">
        <f ca="1">SUMIFS(INDIRECT("FlowsTable["&amp;I$85&amp;"]"),FlowsTable[From],$D90,FlowsTable[To],$C90)</f>
        <v>0.50632416000000002</v>
      </c>
      <c r="J90" s="4012">
        <f ca="1">SUMIFS(INDIRECT("FlowsTable["&amp;J$85&amp;"]"),FlowsTable[From],$D90,FlowsTable[To],$C90)</f>
        <v>0.33310800000000007</v>
      </c>
      <c r="K90" s="4012">
        <f ca="1">SUMIFS(INDIRECT("FlowsTable["&amp;K$85&amp;"]"),FlowsTable[From],$D90,FlowsTable[To],$C90)</f>
        <v>0.23317560000000004</v>
      </c>
      <c r="L90" s="4012">
        <f ca="1">SUMIFS(INDIRECT("FlowsTable["&amp;L$85&amp;"]"),FlowsTable[From],$D90,FlowsTable[To],$C90)</f>
        <v>0.16655400000000004</v>
      </c>
      <c r="M90" s="4012">
        <f ca="1">SUMIFS(INDIRECT("FlowsTable["&amp;M$85&amp;"]"),FlowsTable[From],$D90,FlowsTable[To],$C90)</f>
        <v>0</v>
      </c>
      <c r="N90" s="17"/>
    </row>
    <row r="91" spans="2:15">
      <c r="B91" s="3089"/>
      <c r="C91" s="4029" t="s">
        <v>2596</v>
      </c>
      <c r="D91" s="4009" t="s">
        <v>54</v>
      </c>
      <c r="E91" s="4012">
        <f ca="1">SUMIFS(INDIRECT("FlowsTable["&amp;E$85&amp;"]"),FlowsTable[From],$D91,FlowsTable[To],$C91)</f>
        <v>0</v>
      </c>
      <c r="F91" s="4012">
        <f ca="1">SUMIFS(INDIRECT("FlowsTable["&amp;F$85&amp;"]"),FlowsTable[From],$D91,FlowsTable[To],$C91)</f>
        <v>0</v>
      </c>
      <c r="G91" s="4012">
        <f ca="1">SUMIFS(INDIRECT("FlowsTable["&amp;G$85&amp;"]"),FlowsTable[From],$D91,FlowsTable[To],$C91)</f>
        <v>0</v>
      </c>
      <c r="H91" s="4012">
        <f ca="1">SUMIFS(INDIRECT("FlowsTable["&amp;H$85&amp;"]"),FlowsTable[From],$D91,FlowsTable[To],$C91)</f>
        <v>0</v>
      </c>
      <c r="I91" s="4012">
        <f ca="1">SUMIFS(INDIRECT("FlowsTable["&amp;I$85&amp;"]"),FlowsTable[From],$D91,FlowsTable[To],$C91)</f>
        <v>0</v>
      </c>
      <c r="J91" s="4012">
        <f ca="1">SUMIFS(INDIRECT("FlowsTable["&amp;J$85&amp;"]"),FlowsTable[From],$D91,FlowsTable[To],$C91)</f>
        <v>0</v>
      </c>
      <c r="K91" s="4012">
        <f ca="1">SUMIFS(INDIRECT("FlowsTable["&amp;K$85&amp;"]"),FlowsTable[From],$D91,FlowsTable[To],$C91)</f>
        <v>0</v>
      </c>
      <c r="L91" s="4012">
        <f ca="1">SUMIFS(INDIRECT("FlowsTable["&amp;L$85&amp;"]"),FlowsTable[From],$D91,FlowsTable[To],$C91)</f>
        <v>0</v>
      </c>
      <c r="M91" s="4012">
        <f ca="1">SUMIFS(INDIRECT("FlowsTable["&amp;M$85&amp;"]"),FlowsTable[From],$D91,FlowsTable[To],$C91)</f>
        <v>0</v>
      </c>
      <c r="N91" s="17"/>
    </row>
    <row r="92" spans="2:15">
      <c r="B92" s="3089"/>
      <c r="C92" s="4029" t="s">
        <v>2596</v>
      </c>
      <c r="D92" s="4009" t="s">
        <v>555</v>
      </c>
      <c r="E92" s="4012">
        <f ca="1">SUMIFS(INDIRECT("FlowsTable["&amp;E$85&amp;"]"),FlowsTable[From],$D92,FlowsTable[To],$C92)</f>
        <v>2.5</v>
      </c>
      <c r="F92" s="4012">
        <f ca="1">SUMIFS(INDIRECT("FlowsTable["&amp;F$85&amp;"]"),FlowsTable[From],$D92,FlowsTable[To],$C92)</f>
        <v>2.5</v>
      </c>
      <c r="G92" s="4012">
        <f ca="1">SUMIFS(INDIRECT("FlowsTable["&amp;G$85&amp;"]"),FlowsTable[From],$D92,FlowsTable[To],$C92)</f>
        <v>2.5</v>
      </c>
      <c r="H92" s="4012">
        <f ca="1">SUMIFS(INDIRECT("FlowsTable["&amp;H$85&amp;"]"),FlowsTable[From],$D92,FlowsTable[To],$C92)</f>
        <v>1.5</v>
      </c>
      <c r="I92" s="4012">
        <f ca="1">SUMIFS(INDIRECT("FlowsTable["&amp;I$85&amp;"]"),FlowsTable[From],$D92,FlowsTable[To],$C92)</f>
        <v>1</v>
      </c>
      <c r="J92" s="4012">
        <f ca="1">SUMIFS(INDIRECT("FlowsTable["&amp;J$85&amp;"]"),FlowsTable[From],$D92,FlowsTable[To],$C92)</f>
        <v>0</v>
      </c>
      <c r="K92" s="4012">
        <f ca="1">SUMIFS(INDIRECT("FlowsTable["&amp;K$85&amp;"]"),FlowsTable[From],$D92,FlowsTable[To],$C92)</f>
        <v>0</v>
      </c>
      <c r="L92" s="4012">
        <f ca="1">SUMIFS(INDIRECT("FlowsTable["&amp;L$85&amp;"]"),FlowsTable[From],$D92,FlowsTable[To],$C92)</f>
        <v>0</v>
      </c>
      <c r="M92" s="4012">
        <f ca="1">SUMIFS(INDIRECT("FlowsTable["&amp;M$85&amp;"]"),FlowsTable[From],$D92,FlowsTable[To],$C92)</f>
        <v>0</v>
      </c>
      <c r="N92" s="17"/>
    </row>
    <row r="93" spans="2:15">
      <c r="B93" s="3089"/>
      <c r="C93" s="4030" t="s">
        <v>2603</v>
      </c>
      <c r="D93" s="4009" t="s">
        <v>725</v>
      </c>
      <c r="E93" s="4012">
        <f ca="1">SUMIFS(INDIRECT("FlowsTable["&amp;E$85&amp;"]"),FlowsTable[From],$D93,FlowsTable[To],$C93)</f>
        <v>0</v>
      </c>
      <c r="F93" s="4012">
        <f ca="1">SUMIFS(INDIRECT("FlowsTable["&amp;F$85&amp;"]"),FlowsTable[From],$D93,FlowsTable[To],$C93)</f>
        <v>0</v>
      </c>
      <c r="G93" s="4012">
        <f ca="1">SUMIFS(INDIRECT("FlowsTable["&amp;G$85&amp;"]"),FlowsTable[From],$D93,FlowsTable[To],$C93)</f>
        <v>0</v>
      </c>
      <c r="H93" s="4012">
        <f ca="1">SUMIFS(INDIRECT("FlowsTable["&amp;H$85&amp;"]"),FlowsTable[From],$D93,FlowsTable[To],$C93)</f>
        <v>0</v>
      </c>
      <c r="I93" s="4012">
        <f ca="1">SUMIFS(INDIRECT("FlowsTable["&amp;I$85&amp;"]"),FlowsTable[From],$D93,FlowsTable[To],$C93)</f>
        <v>0</v>
      </c>
      <c r="J93" s="4012">
        <f ca="1">SUMIFS(INDIRECT("FlowsTable["&amp;J$85&amp;"]"),FlowsTable[From],$D93,FlowsTable[To],$C93)</f>
        <v>0</v>
      </c>
      <c r="K93" s="4012">
        <f ca="1">SUMIFS(INDIRECT("FlowsTable["&amp;K$85&amp;"]"),FlowsTable[From],$D93,FlowsTable[To],$C93)</f>
        <v>0</v>
      </c>
      <c r="L93" s="4012">
        <f ca="1">SUMIFS(INDIRECT("FlowsTable["&amp;L$85&amp;"]"),FlowsTable[From],$D93,FlowsTable[To],$C93)</f>
        <v>0</v>
      </c>
      <c r="M93" s="4012">
        <f ca="1">SUMIFS(INDIRECT("FlowsTable["&amp;M$85&amp;"]"),FlowsTable[From],$D93,FlowsTable[To],$C93)</f>
        <v>0</v>
      </c>
      <c r="N93" s="17"/>
    </row>
    <row r="94" spans="2:15">
      <c r="B94" s="3089"/>
      <c r="C94" s="4030" t="s">
        <v>2603</v>
      </c>
      <c r="D94" s="4015" t="s">
        <v>16</v>
      </c>
      <c r="E94" s="4012">
        <f ca="1">SUMIFS(INDIRECT("FlowsTable["&amp;E$85&amp;"]"),FlowsTable[From],$D94,FlowsTable[To],$C94)</f>
        <v>20.691997156645641</v>
      </c>
      <c r="F94" s="4012">
        <f ca="1">SUMIFS(INDIRECT("FlowsTable["&amp;F$85&amp;"]"),FlowsTable[From],$D94,FlowsTable[To],$C94)</f>
        <v>21.10530957034457</v>
      </c>
      <c r="G94" s="4012">
        <f ca="1">SUMIFS(INDIRECT("FlowsTable["&amp;G$85&amp;"]"),FlowsTable[From],$D94,FlowsTable[To],$C94)</f>
        <v>18.904104411428573</v>
      </c>
      <c r="H94" s="4012">
        <f ca="1">SUMIFS(INDIRECT("FlowsTable["&amp;H$85&amp;"]"),FlowsTable[From],$D94,FlowsTable[To],$C94)</f>
        <v>18.904104411428573</v>
      </c>
      <c r="I94" s="4012">
        <f ca="1">SUMIFS(INDIRECT("FlowsTable["&amp;I$85&amp;"]"),FlowsTable[From],$D94,FlowsTable[To],$C94)</f>
        <v>13.022368868571434</v>
      </c>
      <c r="J94" s="4012">
        <f ca="1">SUMIFS(INDIRECT("FlowsTable["&amp;J$85&amp;"]"),FlowsTable[From],$D94,FlowsTable[To],$C94)</f>
        <v>0</v>
      </c>
      <c r="K94" s="4012">
        <f ca="1">SUMIFS(INDIRECT("FlowsTable["&amp;K$85&amp;"]"),FlowsTable[From],$D94,FlowsTable[To],$C94)</f>
        <v>0</v>
      </c>
      <c r="L94" s="4012">
        <f ca="1">SUMIFS(INDIRECT("FlowsTable["&amp;L$85&amp;"]"),FlowsTable[From],$D94,FlowsTable[To],$C94)</f>
        <v>0</v>
      </c>
      <c r="M94" s="4012">
        <f ca="1">SUMIFS(INDIRECT("FlowsTable["&amp;M$85&amp;"]"),FlowsTable[From],$D94,FlowsTable[To],$C94)</f>
        <v>0</v>
      </c>
      <c r="N94" s="17"/>
    </row>
    <row r="95" spans="2:15">
      <c r="B95" s="3089"/>
      <c r="C95" s="4030" t="s">
        <v>2603</v>
      </c>
      <c r="D95" s="4003" t="s">
        <v>1668</v>
      </c>
      <c r="E95" s="4012">
        <f ca="1">SUMIFS(INDIRECT("FlowsTable["&amp;E$85&amp;"]"),FlowsTable[From],$D95,FlowsTable[To],$C95)</f>
        <v>2.6999280000000003</v>
      </c>
      <c r="F95" s="4012">
        <f ca="1">SUMIFS(INDIRECT("FlowsTable["&amp;F$85&amp;"]"),FlowsTable[From],$D95,FlowsTable[To],$C95)</f>
        <v>0</v>
      </c>
      <c r="G95" s="4012">
        <f ca="1">SUMIFS(INDIRECT("FlowsTable["&amp;G$85&amp;"]"),FlowsTable[From],$D95,FlowsTable[To],$C95)</f>
        <v>0</v>
      </c>
      <c r="H95" s="4012">
        <f ca="1">SUMIFS(INDIRECT("FlowsTable["&amp;H$85&amp;"]"),FlowsTable[From],$D95,FlowsTable[To],$C95)</f>
        <v>0</v>
      </c>
      <c r="I95" s="4012">
        <f ca="1">SUMIFS(INDIRECT("FlowsTable["&amp;I$85&amp;"]"),FlowsTable[From],$D95,FlowsTable[To],$C95)</f>
        <v>0</v>
      </c>
      <c r="J95" s="4012">
        <f ca="1">SUMIFS(INDIRECT("FlowsTable["&amp;J$85&amp;"]"),FlowsTable[From],$D95,FlowsTable[To],$C95)</f>
        <v>0</v>
      </c>
      <c r="K95" s="4012">
        <f ca="1">SUMIFS(INDIRECT("FlowsTable["&amp;K$85&amp;"]"),FlowsTable[From],$D95,FlowsTable[To],$C95)</f>
        <v>0</v>
      </c>
      <c r="L95" s="4012">
        <f ca="1">SUMIFS(INDIRECT("FlowsTable["&amp;L$85&amp;"]"),FlowsTable[From],$D95,FlowsTable[To],$C95)</f>
        <v>0</v>
      </c>
      <c r="M95" s="4012">
        <f ca="1">SUMIFS(INDIRECT("FlowsTable["&amp;M$85&amp;"]"),FlowsTable[From],$D95,FlowsTable[To],$C95)</f>
        <v>0</v>
      </c>
      <c r="N95" s="17"/>
    </row>
    <row r="96" spans="2:15">
      <c r="B96" s="3089"/>
      <c r="C96" s="4030" t="s">
        <v>2603</v>
      </c>
      <c r="D96" s="4005" t="s">
        <v>15</v>
      </c>
      <c r="E96" s="4016">
        <f ca="1">SUMIFS(INDIRECT("FlowsTable["&amp;E$85&amp;"]"),FlowsTable[From],$D96,FlowsTable[To],$C96)</f>
        <v>24.254439331469616</v>
      </c>
      <c r="F96" s="4016">
        <f ca="1">SUMIFS(INDIRECT("FlowsTable["&amp;F$85&amp;"]"),FlowsTable[From],$D96,FlowsTable[To],$C96)</f>
        <v>24.744703032876998</v>
      </c>
      <c r="G96" s="4016">
        <f ca="1">SUMIFS(INDIRECT("FlowsTable["&amp;G$85&amp;"]"),FlowsTable[From],$D96,FlowsTable[To],$C96)</f>
        <v>27.385767915552304</v>
      </c>
      <c r="H96" s="4016">
        <f ca="1">SUMIFS(INDIRECT("FlowsTable["&amp;H$85&amp;"]"),FlowsTable[From],$D96,FlowsTable[To],$C96)</f>
        <v>37.098678880609839</v>
      </c>
      <c r="I96" s="4016">
        <f ca="1">SUMIFS(INDIRECT("FlowsTable["&amp;I$85&amp;"]"),FlowsTable[From],$D96,FlowsTable[To],$C96)</f>
        <v>50.151743269846563</v>
      </c>
      <c r="J96" s="4016">
        <f ca="1">SUMIFS(INDIRECT("FlowsTable["&amp;J$85&amp;"]"),FlowsTable[From],$D96,FlowsTable[To],$C96)</f>
        <v>66.74981167799227</v>
      </c>
      <c r="K96" s="4016">
        <f ca="1">SUMIFS(INDIRECT("FlowsTable["&amp;K$85&amp;"]"),FlowsTable[From],$D96,FlowsTable[To],$C96)</f>
        <v>71.426632572578853</v>
      </c>
      <c r="L96" s="4016">
        <f ca="1">SUMIFS(INDIRECT("FlowsTable["&amp;L$85&amp;"]"),FlowsTable[From],$D96,FlowsTable[To],$C96)</f>
        <v>76.270558151769606</v>
      </c>
      <c r="M96" s="4016">
        <f ca="1">SUMIFS(INDIRECT("FlowsTable["&amp;M$85&amp;"]"),FlowsTable[From],$D96,FlowsTable[To],$C96)</f>
        <v>81.296126820622135</v>
      </c>
      <c r="N96" s="17"/>
    </row>
    <row r="97" spans="1:15">
      <c r="B97" s="3089"/>
      <c r="C97" s="4002"/>
      <c r="D97" s="4003" t="s">
        <v>58</v>
      </c>
      <c r="E97" s="4012">
        <f ca="1">SUM(E86:E96)</f>
        <v>55.395620608115259</v>
      </c>
      <c r="F97" s="4012">
        <f t="shared" ref="F97:M97" ca="1" si="18">SUM(F86:F96)</f>
        <v>54.719143235550334</v>
      </c>
      <c r="G97" s="4012">
        <f t="shared" ca="1" si="18"/>
        <v>55.172440756980876</v>
      </c>
      <c r="H97" s="4012">
        <f t="shared" ca="1" si="18"/>
        <v>61.64116806203841</v>
      </c>
      <c r="I97" s="4012">
        <f t="shared" ca="1" si="18"/>
        <v>65.831280608417998</v>
      </c>
      <c r="J97" s="4012">
        <f t="shared" ca="1" si="18"/>
        <v>67.134726737992267</v>
      </c>
      <c r="K97" s="4012">
        <f t="shared" ca="1" si="18"/>
        <v>71.711615232578851</v>
      </c>
      <c r="L97" s="4012">
        <f t="shared" ca="1" si="18"/>
        <v>76.475901701769601</v>
      </c>
      <c r="M97" s="4012">
        <f t="shared" ca="1" si="18"/>
        <v>81.334916370622139</v>
      </c>
      <c r="N97" s="17"/>
    </row>
    <row r="98" spans="1:15">
      <c r="B98" s="3343"/>
      <c r="C98" s="4007"/>
      <c r="D98" s="4008"/>
      <c r="E98" s="3343"/>
      <c r="F98" s="3343"/>
      <c r="G98" s="3343"/>
      <c r="H98" s="3343"/>
      <c r="I98" s="3343"/>
      <c r="J98" s="3343"/>
      <c r="K98" s="3343"/>
      <c r="L98" s="3343"/>
      <c r="M98" s="3343"/>
      <c r="N98" s="866"/>
    </row>
    <row r="100" spans="1:15" ht="15">
      <c r="A100"/>
      <c r="B100" s="3998" t="s">
        <v>3291</v>
      </c>
      <c r="C100" s="3999"/>
      <c r="D100" s="3999"/>
      <c r="E100" s="3999"/>
      <c r="F100" s="3999"/>
      <c r="G100" s="3999"/>
      <c r="H100" s="3999"/>
      <c r="I100" s="3999"/>
      <c r="J100" s="3999"/>
      <c r="K100" s="3999"/>
      <c r="L100" s="3999"/>
      <c r="M100" s="3999"/>
      <c r="N100" s="4000"/>
    </row>
    <row r="101" spans="1:15">
      <c r="B101" s="506"/>
      <c r="C101" s="506"/>
      <c r="D101" s="506"/>
      <c r="E101" s="506"/>
      <c r="F101" s="506"/>
      <c r="G101" s="506"/>
      <c r="H101" s="506"/>
      <c r="I101" s="506"/>
      <c r="J101" s="506"/>
      <c r="K101" s="506"/>
      <c r="L101" s="506"/>
      <c r="M101" s="17"/>
      <c r="N101" s="17"/>
    </row>
    <row r="102" spans="1:15">
      <c r="B102" s="506"/>
      <c r="C102" s="506"/>
      <c r="D102" s="3089" t="s">
        <v>3306</v>
      </c>
      <c r="E102" s="506"/>
      <c r="F102" s="506"/>
      <c r="G102" s="506"/>
      <c r="H102" s="506"/>
      <c r="I102" s="506"/>
      <c r="J102" s="506"/>
      <c r="K102" s="506"/>
      <c r="L102" s="506"/>
      <c r="M102" s="3060" t="s">
        <v>611</v>
      </c>
      <c r="N102" s="17"/>
    </row>
    <row r="103" spans="1:15" ht="15">
      <c r="B103" s="4001"/>
      <c r="C103" s="3089"/>
      <c r="D103" s="506"/>
      <c r="E103" s="506"/>
      <c r="F103" s="506"/>
      <c r="G103" s="506"/>
      <c r="H103" s="506"/>
      <c r="I103" s="506"/>
      <c r="J103" s="506"/>
      <c r="K103" s="506"/>
      <c r="L103" s="506"/>
      <c r="M103" s="3060"/>
      <c r="N103" s="17"/>
    </row>
    <row r="104" spans="1:15" ht="15">
      <c r="B104" s="4001"/>
      <c r="C104" s="4010" t="s">
        <v>28</v>
      </c>
      <c r="D104" s="4010" t="s">
        <v>131</v>
      </c>
      <c r="E104" s="4011">
        <v>2013</v>
      </c>
      <c r="F104" s="4011">
        <v>2015</v>
      </c>
      <c r="G104" s="4011">
        <v>2020</v>
      </c>
      <c r="H104" s="4011">
        <v>2025</v>
      </c>
      <c r="I104" s="4011">
        <v>2030</v>
      </c>
      <c r="J104" s="4011">
        <v>2035</v>
      </c>
      <c r="K104" s="4011">
        <v>2040</v>
      </c>
      <c r="L104" s="4011">
        <v>2045</v>
      </c>
      <c r="M104" s="4011">
        <v>2050</v>
      </c>
      <c r="N104" s="17"/>
    </row>
    <row r="105" spans="1:15">
      <c r="B105" s="3089"/>
      <c r="C105" s="4002" t="s">
        <v>97</v>
      </c>
      <c r="D105" s="4003" t="s">
        <v>16</v>
      </c>
      <c r="E105" s="4031">
        <f ca="1">INDEX(bioenergy.credit.factors[],MATCH($C105,bioenergy.credit.factors[Vector],0),MATCH(TEXT(E$104,"0000"),bioenergy.credit.factors[#Headers],0))*E94</f>
        <v>0.33411718906306226</v>
      </c>
      <c r="F105" s="4031">
        <f ca="1">INDEX(bioenergy.credit.factors[],MATCH($C105,bioenergy.credit.factors[Vector],0),MATCH(TEXT(F$104,"0000"),bioenergy.credit.factors[#Headers],0))*F94</f>
        <v>0.48100196420911318</v>
      </c>
      <c r="G105" s="4031">
        <f ca="1">INDEX(bioenergy.credit.factors[],MATCH($C105,bioenergy.credit.factors[Vector],0),MATCH(TEXT(G$104,"0000"),bioenergy.credit.factors[#Headers],0))*G94</f>
        <v>0.57641298524723994</v>
      </c>
      <c r="H105" s="4031">
        <f ca="1">INDEX(bioenergy.credit.factors[],MATCH($C105,bioenergy.credit.factors[Vector],0),MATCH(TEXT(H$104,"0000"),bioenergy.credit.factors[#Headers],0))*H94</f>
        <v>0.69071688405079079</v>
      </c>
      <c r="I105" s="4031">
        <f ca="1">INDEX(bioenergy.credit.factors[],MATCH($C105,bioenergy.credit.factors[Vector],0),MATCH(TEXT(I$104,"0000"),bioenergy.credit.factors[#Headers],0))*I94</f>
        <v>0.84422060146599909</v>
      </c>
      <c r="J105" s="4031">
        <f ca="1">INDEX(bioenergy.credit.factors[],MATCH($C105,bioenergy.credit.factors[Vector],0),MATCH(TEXT(J$104,"0000"),bioenergy.credit.factors[#Headers],0))*J94</f>
        <v>0</v>
      </c>
      <c r="K105" s="4031">
        <f ca="1">INDEX(bioenergy.credit.factors[],MATCH($C105,bioenergy.credit.factors[Vector],0),MATCH(TEXT(K$104,"0000"),bioenergy.credit.factors[#Headers],0))*K94</f>
        <v>0</v>
      </c>
      <c r="L105" s="4031">
        <f ca="1">INDEX(bioenergy.credit.factors[],MATCH($C105,bioenergy.credit.factors[Vector],0),MATCH(TEXT(L$104,"0000"),bioenergy.credit.factors[#Headers],0))*L94</f>
        <v>0</v>
      </c>
      <c r="M105" s="4031">
        <f ca="1">INDEX(bioenergy.credit.factors[],MATCH($C105,bioenergy.credit.factors[Vector],0),MATCH(TEXT(M$104,"0000"),bioenergy.credit.factors[#Headers],0))*M94</f>
        <v>0</v>
      </c>
      <c r="N105" s="17"/>
      <c r="O105" s="3973" t="s">
        <v>5</v>
      </c>
    </row>
    <row r="106" spans="1:15">
      <c r="B106" s="3089"/>
      <c r="C106" s="4002" t="s">
        <v>98</v>
      </c>
      <c r="D106" s="4003" t="s">
        <v>1668</v>
      </c>
      <c r="E106" s="4012">
        <f ca="1">INDEX(bioenergy.credit.factors[],MATCH($C106,bioenergy.credit.factors[Vector],0),MATCH(TEXT(E$104,"0000"),bioenergy.credit.factors[#Headers],0))*E95</f>
        <v>9.457611692416705E-3</v>
      </c>
      <c r="F106" s="4012">
        <f ca="1">INDEX(bioenergy.credit.factors[],MATCH($C106,bioenergy.credit.factors[Vector],0),MATCH(TEXT(F$104,"0000"),bioenergy.credit.factors[#Headers],0))*F95</f>
        <v>0</v>
      </c>
      <c r="G106" s="4012">
        <f ca="1">INDEX(bioenergy.credit.factors[],MATCH($C106,bioenergy.credit.factors[Vector],0),MATCH(TEXT(G$104,"0000"),bioenergy.credit.factors[#Headers],0))*G95</f>
        <v>0</v>
      </c>
      <c r="H106" s="4012">
        <f ca="1">INDEX(bioenergy.credit.factors[],MATCH($C106,bioenergy.credit.factors[Vector],0),MATCH(TEXT(H$104,"0000"),bioenergy.credit.factors[#Headers],0))*H95</f>
        <v>0</v>
      </c>
      <c r="I106" s="4012">
        <f ca="1">INDEX(bioenergy.credit.factors[],MATCH($C106,bioenergy.credit.factors[Vector],0),MATCH(TEXT(I$104,"0000"),bioenergy.credit.factors[#Headers],0))*I95</f>
        <v>0</v>
      </c>
      <c r="J106" s="4012">
        <f ca="1">INDEX(bioenergy.credit.factors[],MATCH($C106,bioenergy.credit.factors[Vector],0),MATCH(TEXT(J$104,"0000"),bioenergy.credit.factors[#Headers],0))*J95</f>
        <v>0</v>
      </c>
      <c r="K106" s="4012">
        <f ca="1">INDEX(bioenergy.credit.factors[],MATCH($C106,bioenergy.credit.factors[Vector],0),MATCH(TEXT(K$104,"0000"),bioenergy.credit.factors[#Headers],0))*K95</f>
        <v>0</v>
      </c>
      <c r="L106" s="4012">
        <f ca="1">INDEX(bioenergy.credit.factors[],MATCH($C106,bioenergy.credit.factors[Vector],0),MATCH(TEXT(L$104,"0000"),bioenergy.credit.factors[#Headers],0))*L95</f>
        <v>0</v>
      </c>
      <c r="M106" s="4012">
        <f ca="1">INDEX(bioenergy.credit.factors[],MATCH($C106,bioenergy.credit.factors[Vector],0),MATCH(TEXT(M$104,"0000"),bioenergy.credit.factors[#Headers],0))*M95</f>
        <v>0</v>
      </c>
      <c r="N106" s="17"/>
    </row>
    <row r="107" spans="1:15">
      <c r="B107" s="3089"/>
      <c r="C107" s="4017" t="s">
        <v>99</v>
      </c>
      <c r="D107" s="4005" t="s">
        <v>15</v>
      </c>
      <c r="E107" s="4016">
        <f ca="1">INDEX(bioenergy.credit.factors[],MATCH($C107,bioenergy.credit.factors[Vector],0),MATCH(TEXT(E$104,"0000"),bioenergy.credit.factors[#Headers],0))*E96</f>
        <v>1.8088720797084668E-2</v>
      </c>
      <c r="F107" s="4016">
        <f ca="1">INDEX(bioenergy.credit.factors[],MATCH($C107,bioenergy.credit.factors[Vector],0),MATCH(TEXT(F$104,"0000"),bioenergy.credit.factors[#Headers],0))*F96</f>
        <v>2.0658133107555612E-2</v>
      </c>
      <c r="G107" s="4016">
        <f ca="1">INDEX(bioenergy.credit.factors[],MATCH($C107,bioenergy.credit.factors[Vector],0),MATCH(TEXT(G$104,"0000"),bioenergy.credit.factors[#Headers],0))*G96</f>
        <v>2.7459117290349621E-2</v>
      </c>
      <c r="H107" s="4016">
        <f ca="1">INDEX(bioenergy.credit.factors[],MATCH($C107,bioenergy.credit.factors[Vector],0),MATCH(TEXT(H$104,"0000"),bioenergy.credit.factors[#Headers],0))*H96</f>
        <v>4.7675262997889503E-2</v>
      </c>
      <c r="I107" s="4016">
        <f ca="1">INDEX(bioenergy.credit.factors[],MATCH($C107,bioenergy.credit.factors[Vector],0),MATCH(TEXT(I$104,"0000"),bioenergy.credit.factors[#Headers],0))*I96</f>
        <v>5.3689265018221709E-2</v>
      </c>
      <c r="J107" s="4016">
        <f ca="1">INDEX(bioenergy.credit.factors[],MATCH($C107,bioenergy.credit.factors[Vector],0),MATCH(TEXT(J$104,"0000"),bioenergy.credit.factors[#Headers],0))*J96</f>
        <v>7.540868396068505E-2</v>
      </c>
      <c r="K107" s="4016">
        <f ca="1">INDEX(bioenergy.credit.factors[],MATCH($C107,bioenergy.credit.factors[Vector],0),MATCH(TEXT(K$104,"0000"),bioenergy.credit.factors[#Headers],0))*K96</f>
        <v>9.3484952549788322E-2</v>
      </c>
      <c r="L107" s="4016">
        <f ca="1">INDEX(bioenergy.credit.factors[],MATCH($C107,bioenergy.credit.factors[Vector],0),MATCH(TEXT(L$104,"0000"),bioenergy.credit.factors[#Headers],0))*L96</f>
        <v>0.11270490060071836</v>
      </c>
      <c r="M107" s="4016">
        <f ca="1">INDEX(bioenergy.credit.factors[],MATCH($C107,bioenergy.credit.factors[Vector],0),MATCH(TEXT(M$104,"0000"),bioenergy.credit.factors[#Headers],0))*M96</f>
        <v>0.11558943887600345</v>
      </c>
      <c r="N107" s="17"/>
    </row>
    <row r="108" spans="1:15">
      <c r="B108" s="3089"/>
      <c r="C108" s="4002"/>
      <c r="D108" s="4003" t="s">
        <v>58</v>
      </c>
      <c r="E108" s="4012">
        <f ca="1">SUM(E105:E107)</f>
        <v>0.36166352155256365</v>
      </c>
      <c r="F108" s="4012">
        <f t="shared" ref="F108:M108" ca="1" si="19">SUM(F105:F107)</f>
        <v>0.50166009731666883</v>
      </c>
      <c r="G108" s="4012">
        <f t="shared" ca="1" si="19"/>
        <v>0.60387210253758961</v>
      </c>
      <c r="H108" s="4012">
        <f t="shared" ca="1" si="19"/>
        <v>0.73839214704868028</v>
      </c>
      <c r="I108" s="4012">
        <f t="shared" ca="1" si="19"/>
        <v>0.89790986648422078</v>
      </c>
      <c r="J108" s="4012">
        <f t="shared" ca="1" si="19"/>
        <v>7.540868396068505E-2</v>
      </c>
      <c r="K108" s="4012">
        <f t="shared" ca="1" si="19"/>
        <v>9.3484952549788322E-2</v>
      </c>
      <c r="L108" s="4012">
        <f t="shared" ca="1" si="19"/>
        <v>0.11270490060071836</v>
      </c>
      <c r="M108" s="4012">
        <f t="shared" ca="1" si="19"/>
        <v>0.11558943887600345</v>
      </c>
      <c r="N108" s="17"/>
    </row>
    <row r="109" spans="1:15">
      <c r="B109" s="3089"/>
      <c r="C109" s="4002"/>
      <c r="D109" s="4003"/>
      <c r="E109" s="4012"/>
      <c r="F109" s="4012"/>
      <c r="G109" s="4012"/>
      <c r="H109" s="4012"/>
      <c r="I109" s="4012"/>
      <c r="J109" s="4012"/>
      <c r="K109" s="4012"/>
      <c r="L109" s="4012"/>
      <c r="M109" s="4012"/>
      <c r="N109" s="17"/>
    </row>
    <row r="110" spans="1:15">
      <c r="B110" s="3089"/>
      <c r="C110" s="4002"/>
      <c r="D110" s="3089" t="s">
        <v>3306</v>
      </c>
      <c r="E110" s="506"/>
      <c r="F110" s="506"/>
      <c r="G110" s="506"/>
      <c r="H110" s="506"/>
      <c r="I110" s="506"/>
      <c r="J110" s="506"/>
      <c r="K110" s="506"/>
      <c r="L110" s="506"/>
      <c r="M110" s="3060" t="s">
        <v>611</v>
      </c>
      <c r="N110" s="17"/>
    </row>
    <row r="111" spans="1:15">
      <c r="B111" s="3089"/>
      <c r="C111" s="4002"/>
      <c r="D111" s="4003"/>
      <c r="E111" s="4012"/>
      <c r="F111" s="4012"/>
      <c r="G111" s="4012"/>
      <c r="H111" s="4012"/>
      <c r="I111" s="4012"/>
      <c r="J111" s="4012"/>
      <c r="K111" s="4012"/>
      <c r="L111" s="4012"/>
      <c r="M111" s="4012"/>
      <c r="N111" s="17"/>
    </row>
    <row r="112" spans="1:15">
      <c r="B112" s="3089"/>
      <c r="C112" s="4010" t="s">
        <v>406</v>
      </c>
      <c r="D112" s="4010" t="s">
        <v>2053</v>
      </c>
      <c r="E112" s="4011">
        <v>2013</v>
      </c>
      <c r="F112" s="4011">
        <v>2015</v>
      </c>
      <c r="G112" s="4011">
        <v>2020</v>
      </c>
      <c r="H112" s="4011">
        <v>2025</v>
      </c>
      <c r="I112" s="4011">
        <v>2030</v>
      </c>
      <c r="J112" s="4011">
        <v>2035</v>
      </c>
      <c r="K112" s="4011">
        <v>2040</v>
      </c>
      <c r="L112" s="4011">
        <v>2045</v>
      </c>
      <c r="M112" s="4011">
        <v>2050</v>
      </c>
      <c r="N112" s="17"/>
    </row>
    <row r="113" spans="2:14">
      <c r="B113" s="3089"/>
      <c r="C113" s="4002" t="s">
        <v>549</v>
      </c>
      <c r="D113" s="4012" t="s">
        <v>3292</v>
      </c>
      <c r="E113" s="4012">
        <f ca="1">SUMIFS(INDIRECT("'"&amp;E$112&amp;"'!Year.EmissionsBySector"), INDIRECT("'"&amp;E$112&amp;"'!Year.Modules"),$C113)</f>
        <v>13.10989694268479</v>
      </c>
      <c r="F113" s="4012">
        <f t="shared" ref="F113:M113" ca="1" si="20">SUMIFS(INDIRECT("'"&amp;F$112&amp;"'!Year.EmissionsBySector"), INDIRECT("'"&amp;F$112&amp;"'!Year.Modules"),$C113)</f>
        <v>12.643809309650932</v>
      </c>
      <c r="G113" s="4012">
        <f t="shared" ca="1" si="20"/>
        <v>12.411424275242368</v>
      </c>
      <c r="H113" s="4012">
        <f t="shared" ca="1" si="20"/>
        <v>14.432032224618373</v>
      </c>
      <c r="I113" s="4012">
        <f t="shared" ca="1" si="20"/>
        <v>15.058454428799742</v>
      </c>
      <c r="J113" s="4012">
        <f t="shared" ca="1" si="20"/>
        <v>13.886176922770101</v>
      </c>
      <c r="K113" s="4012">
        <f t="shared" ca="1" si="20"/>
        <v>14.85911093929781</v>
      </c>
      <c r="L113" s="4012">
        <f t="shared" ca="1" si="20"/>
        <v>15.866808278098716</v>
      </c>
      <c r="M113" s="4012">
        <f t="shared" ca="1" si="20"/>
        <v>16.912293410099849</v>
      </c>
      <c r="N113" s="17"/>
    </row>
    <row r="114" spans="2:14">
      <c r="B114" s="3089"/>
      <c r="C114" s="4018"/>
      <c r="D114" s="4018" t="s">
        <v>404</v>
      </c>
      <c r="E114" s="4016">
        <f ca="1">-E108</f>
        <v>-0.36166352155256365</v>
      </c>
      <c r="F114" s="4016">
        <f t="shared" ref="F114:M114" ca="1" si="21">-F108</f>
        <v>-0.50166009731666883</v>
      </c>
      <c r="G114" s="4016">
        <f t="shared" ca="1" si="21"/>
        <v>-0.60387210253758961</v>
      </c>
      <c r="H114" s="4016">
        <f t="shared" ca="1" si="21"/>
        <v>-0.73839214704868028</v>
      </c>
      <c r="I114" s="4016">
        <f t="shared" ca="1" si="21"/>
        <v>-0.89790986648422078</v>
      </c>
      <c r="J114" s="4016">
        <f t="shared" ca="1" si="21"/>
        <v>-7.540868396068505E-2</v>
      </c>
      <c r="K114" s="4016">
        <f t="shared" ca="1" si="21"/>
        <v>-9.3484952549788322E-2</v>
      </c>
      <c r="L114" s="4016">
        <f t="shared" ca="1" si="21"/>
        <v>-0.11270490060071836</v>
      </c>
      <c r="M114" s="4016">
        <f t="shared" ca="1" si="21"/>
        <v>-0.11558943887600345</v>
      </c>
      <c r="N114" s="17"/>
    </row>
    <row r="115" spans="2:14">
      <c r="B115" s="3089"/>
      <c r="C115" s="4002"/>
      <c r="D115" s="4003" t="s">
        <v>58</v>
      </c>
      <c r="E115" s="4012">
        <f ca="1">SUM(E113:E114)</f>
        <v>12.748233421132227</v>
      </c>
      <c r="F115" s="4012">
        <f t="shared" ref="F115:M115" ca="1" si="22">SUM(F113:F114)</f>
        <v>12.142149212334262</v>
      </c>
      <c r="G115" s="4012">
        <f t="shared" ca="1" si="22"/>
        <v>11.807552172704778</v>
      </c>
      <c r="H115" s="4012">
        <f t="shared" ca="1" si="22"/>
        <v>13.693640077569693</v>
      </c>
      <c r="I115" s="4012">
        <f t="shared" ca="1" si="22"/>
        <v>14.16054456231552</v>
      </c>
      <c r="J115" s="4012">
        <f t="shared" ca="1" si="22"/>
        <v>13.810768238809416</v>
      </c>
      <c r="K115" s="4012">
        <f t="shared" ca="1" si="22"/>
        <v>14.765625986748022</v>
      </c>
      <c r="L115" s="4012">
        <f t="shared" ca="1" si="22"/>
        <v>15.754103377497998</v>
      </c>
      <c r="M115" s="4012">
        <f t="shared" ca="1" si="22"/>
        <v>16.796703971223845</v>
      </c>
      <c r="N115" s="17"/>
    </row>
    <row r="116" spans="2:14">
      <c r="B116" s="3343"/>
      <c r="C116" s="4007"/>
      <c r="D116" s="4008"/>
      <c r="E116" s="3343"/>
      <c r="F116" s="3343"/>
      <c r="G116" s="3343"/>
      <c r="H116" s="3343"/>
      <c r="I116" s="3343"/>
      <c r="J116" s="3343"/>
      <c r="K116" s="3343"/>
      <c r="L116" s="3343"/>
      <c r="M116" s="3343"/>
      <c r="N116" s="8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sheetPr>
  <dimension ref="B1:Q147"/>
  <sheetViews>
    <sheetView showGridLines="0" topLeftCell="A122" zoomScale="80" zoomScaleNormal="80" workbookViewId="0">
      <selection activeCell="S4" sqref="S4"/>
    </sheetView>
  </sheetViews>
  <sheetFormatPr defaultColWidth="11.453125" defaultRowHeight="14.5"/>
  <cols>
    <col min="1" max="1" width="3" style="3972" customWidth="1"/>
    <col min="2" max="3" width="11.453125" style="3972"/>
    <col min="4" max="4" width="38.453125" style="3972" customWidth="1"/>
    <col min="5" max="5" width="19.453125" style="3972" bestFit="1" customWidth="1"/>
    <col min="6" max="16384" width="11.453125" style="3972"/>
  </cols>
  <sheetData>
    <row r="1" spans="2:17" ht="8.25" customHeight="1"/>
    <row r="2" spans="2:17" ht="9" customHeight="1"/>
    <row r="3" spans="2:17">
      <c r="B3" s="3972" t="s">
        <v>3276</v>
      </c>
    </row>
    <row r="4" spans="2:17">
      <c r="B4" s="3972" t="s">
        <v>3256</v>
      </c>
    </row>
    <row r="5" spans="2:17">
      <c r="B5" s="3972" t="s">
        <v>3257</v>
      </c>
    </row>
    <row r="6" spans="2:17">
      <c r="B6" s="3972" t="s">
        <v>3258</v>
      </c>
    </row>
    <row r="8" spans="2:17" ht="15">
      <c r="B8" s="3263" t="s">
        <v>3259</v>
      </c>
      <c r="C8" s="3264"/>
      <c r="D8" s="3264"/>
      <c r="E8" s="3264"/>
      <c r="F8" s="3264"/>
      <c r="G8" s="3265"/>
      <c r="H8" s="3265"/>
      <c r="I8" s="3265"/>
      <c r="J8" s="3265"/>
      <c r="K8" s="3265"/>
      <c r="L8" s="3265"/>
      <c r="M8" s="3265"/>
      <c r="N8" s="3265"/>
      <c r="O8" s="3265"/>
      <c r="P8" s="3265"/>
      <c r="Q8" s="3266"/>
    </row>
    <row r="9" spans="2:17" ht="15">
      <c r="B9" s="3267"/>
      <c r="C9" s="3268"/>
      <c r="D9" s="3268"/>
      <c r="E9" s="3268"/>
      <c r="F9" s="3268"/>
      <c r="G9" s="3269"/>
      <c r="H9" s="3269"/>
      <c r="I9" s="3269"/>
      <c r="J9" s="3269"/>
      <c r="K9" s="3269"/>
      <c r="L9" s="3269"/>
      <c r="M9" s="3269"/>
      <c r="N9" s="3269"/>
      <c r="O9" s="3269"/>
      <c r="P9" s="3269"/>
      <c r="Q9" s="3270"/>
    </row>
    <row r="10" spans="2:17" ht="15">
      <c r="B10" s="3866"/>
      <c r="C10" s="3986" t="s">
        <v>3273</v>
      </c>
      <c r="D10" s="3272"/>
      <c r="E10" s="3272"/>
      <c r="F10" s="3272"/>
      <c r="G10" s="3867"/>
      <c r="H10" s="3867"/>
      <c r="I10" s="3867"/>
      <c r="J10" s="3867"/>
      <c r="K10" s="3867"/>
      <c r="L10" s="3867"/>
      <c r="M10" s="3867"/>
      <c r="N10" s="3867"/>
      <c r="O10" s="3867"/>
      <c r="P10" s="3867"/>
      <c r="Q10" s="3869"/>
    </row>
    <row r="11" spans="2:17" ht="15">
      <c r="B11" s="3866"/>
      <c r="C11" s="3272"/>
      <c r="D11" s="3272"/>
      <c r="E11" s="3272"/>
      <c r="F11" s="3272"/>
      <c r="G11" s="3867"/>
      <c r="H11" s="3867"/>
      <c r="I11" s="3867"/>
      <c r="J11" s="3867"/>
      <c r="K11" s="3867"/>
      <c r="L11" s="3867"/>
      <c r="M11" s="3868" t="str">
        <f>Preferences.EnergyUnits</f>
        <v>TWh</v>
      </c>
      <c r="N11" s="3867"/>
      <c r="O11" s="3867"/>
      <c r="P11" s="3867"/>
      <c r="Q11" s="3869"/>
    </row>
    <row r="12" spans="2:17">
      <c r="B12" s="3271"/>
      <c r="C12" s="3279" t="s">
        <v>43</v>
      </c>
      <c r="D12" s="3280" t="s">
        <v>28</v>
      </c>
      <c r="E12" s="3281">
        <v>2013</v>
      </c>
      <c r="F12" s="3281">
        <v>2015</v>
      </c>
      <c r="G12" s="3281">
        <v>2020</v>
      </c>
      <c r="H12" s="3281">
        <v>2025</v>
      </c>
      <c r="I12" s="3281">
        <v>2030</v>
      </c>
      <c r="J12" s="3281">
        <v>2035</v>
      </c>
      <c r="K12" s="3281">
        <v>2040</v>
      </c>
      <c r="L12" s="3281">
        <v>2045</v>
      </c>
      <c r="M12" s="3282">
        <v>2050</v>
      </c>
      <c r="N12" s="3286"/>
      <c r="O12" s="3286"/>
      <c r="P12" s="3286"/>
      <c r="Q12" s="3274"/>
    </row>
    <row r="13" spans="2:17">
      <c r="B13" s="3271"/>
      <c r="C13" s="3283" t="s">
        <v>436</v>
      </c>
      <c r="D13" s="3286" t="s">
        <v>387</v>
      </c>
      <c r="E13" s="3978">
        <f t="shared" ref="E13:E30" ca="1" si="0">MAX(-INDEX(INDIRECT("'"&amp;E$12&amp;"'!Year.NetBalance"), MATCH($C13, INDIRECT("'"&amp;E$12&amp;"'!Year.Vectors"), 0)),0)</f>
        <v>0</v>
      </c>
      <c r="F13" s="3978">
        <f t="shared" ref="F13:M13" ca="1" si="1">MAX(-INDEX(INDIRECT("'"&amp;F$12&amp;"'!Year.NetBalance"), MATCH($C13, INDIRECT("'"&amp;F$12&amp;"'!Year.Vectors"), 0)),0)</f>
        <v>0</v>
      </c>
      <c r="G13" s="3978">
        <f t="shared" ca="1" si="1"/>
        <v>0</v>
      </c>
      <c r="H13" s="3978">
        <f t="shared" ca="1" si="1"/>
        <v>0</v>
      </c>
      <c r="I13" s="3978">
        <f t="shared" ca="1" si="1"/>
        <v>0</v>
      </c>
      <c r="J13" s="3978">
        <f t="shared" ca="1" si="1"/>
        <v>0</v>
      </c>
      <c r="K13" s="3978">
        <f t="shared" ca="1" si="1"/>
        <v>0</v>
      </c>
      <c r="L13" s="3978">
        <f t="shared" ca="1" si="1"/>
        <v>0</v>
      </c>
      <c r="M13" s="3978">
        <f t="shared" ca="1" si="1"/>
        <v>0</v>
      </c>
      <c r="N13" s="3286"/>
      <c r="O13" s="3286"/>
      <c r="P13" s="3286"/>
      <c r="Q13" s="3274"/>
    </row>
    <row r="14" spans="2:17">
      <c r="B14" s="3271"/>
      <c r="C14" s="3283" t="s">
        <v>437</v>
      </c>
      <c r="D14" s="3286" t="s">
        <v>78</v>
      </c>
      <c r="E14" s="3978">
        <f t="shared" ca="1" si="0"/>
        <v>4.1054887428987621E-2</v>
      </c>
      <c r="F14" s="3978">
        <f t="shared" ref="F14:M23" ca="1" si="2">MAX(-INDEX(INDIRECT("'"&amp;F$12&amp;"'!Year.NetBalance"), MATCH($C14, INDIRECT("'"&amp;F$12&amp;"'!Year.Vectors"), 0)),0)</f>
        <v>5.2915063522883464E-2</v>
      </c>
      <c r="G14" s="3978">
        <f t="shared" ca="1" si="2"/>
        <v>5.5796848364472185E-2</v>
      </c>
      <c r="H14" s="3978">
        <f t="shared" ca="1" si="2"/>
        <v>5.8662240154226032E-2</v>
      </c>
      <c r="I14" s="3978">
        <f t="shared" ca="1" si="2"/>
        <v>7.0129937567812564E-2</v>
      </c>
      <c r="J14" s="3978">
        <f t="shared" ca="1" si="2"/>
        <v>7.3391639360886121E-2</v>
      </c>
      <c r="K14" s="3978">
        <f t="shared" ca="1" si="2"/>
        <v>7.68227714428798E-2</v>
      </c>
      <c r="L14" s="3978">
        <f t="shared" ca="1" si="2"/>
        <v>8.0232994859916751E-2</v>
      </c>
      <c r="M14" s="3978">
        <f t="shared" ca="1" si="2"/>
        <v>8.3820866458489254E-2</v>
      </c>
      <c r="N14" s="3286"/>
      <c r="O14" s="3286"/>
      <c r="P14" s="3286"/>
      <c r="Q14" s="3274"/>
    </row>
    <row r="15" spans="2:17">
      <c r="B15" s="3271"/>
      <c r="C15" s="3283" t="s">
        <v>438</v>
      </c>
      <c r="D15" s="3286" t="s">
        <v>388</v>
      </c>
      <c r="E15" s="3978">
        <f t="shared" ca="1" si="0"/>
        <v>4.5013410000000009</v>
      </c>
      <c r="F15" s="3978">
        <f t="shared" ca="1" si="2"/>
        <v>5.6172527999999993</v>
      </c>
      <c r="G15" s="3978">
        <f t="shared" ca="1" si="2"/>
        <v>5.6216357999999991</v>
      </c>
      <c r="H15" s="3978">
        <f t="shared" ca="1" si="2"/>
        <v>3.3359012999999997</v>
      </c>
      <c r="I15" s="3978">
        <f t="shared" ca="1" si="2"/>
        <v>1.1378267999999998</v>
      </c>
      <c r="J15" s="3978">
        <f t="shared" ca="1" si="2"/>
        <v>3.8789549999999742E-2</v>
      </c>
      <c r="K15" s="3978">
        <f t="shared" ca="1" si="2"/>
        <v>3.8789549999999742E-2</v>
      </c>
      <c r="L15" s="3978">
        <f t="shared" ca="1" si="2"/>
        <v>3.8789549999999742E-2</v>
      </c>
      <c r="M15" s="3978">
        <f t="shared" ca="1" si="2"/>
        <v>3.8789549999999742E-2</v>
      </c>
      <c r="N15" s="3286"/>
      <c r="O15" s="3286"/>
      <c r="P15" s="3286"/>
      <c r="Q15" s="3274"/>
    </row>
    <row r="16" spans="2:17">
      <c r="B16" s="3271"/>
      <c r="C16" s="3283" t="s">
        <v>439</v>
      </c>
      <c r="D16" s="3286" t="s">
        <v>389</v>
      </c>
      <c r="E16" s="3978">
        <f t="shared" ca="1" si="0"/>
        <v>0</v>
      </c>
      <c r="F16" s="3978">
        <f t="shared" ca="1" si="2"/>
        <v>0</v>
      </c>
      <c r="G16" s="3978">
        <f t="shared" ca="1" si="2"/>
        <v>0</v>
      </c>
      <c r="H16" s="3978">
        <f t="shared" ca="1" si="2"/>
        <v>0</v>
      </c>
      <c r="I16" s="3978">
        <f t="shared" ca="1" si="2"/>
        <v>0</v>
      </c>
      <c r="J16" s="3978">
        <f t="shared" ca="1" si="2"/>
        <v>0</v>
      </c>
      <c r="K16" s="3978">
        <f t="shared" ca="1" si="2"/>
        <v>0</v>
      </c>
      <c r="L16" s="3978">
        <f t="shared" ca="1" si="2"/>
        <v>0</v>
      </c>
      <c r="M16" s="3978">
        <f t="shared" ca="1" si="2"/>
        <v>0</v>
      </c>
      <c r="N16" s="3286"/>
      <c r="O16" s="3286"/>
      <c r="P16" s="3286"/>
      <c r="Q16" s="3274"/>
    </row>
    <row r="17" spans="2:17">
      <c r="B17" s="3271"/>
      <c r="C17" s="3283" t="s">
        <v>440</v>
      </c>
      <c r="D17" s="3286" t="s">
        <v>390</v>
      </c>
      <c r="E17" s="3978">
        <f t="shared" ca="1" si="0"/>
        <v>0</v>
      </c>
      <c r="F17" s="3978">
        <f t="shared" ca="1" si="2"/>
        <v>3.9627123287671231E-3</v>
      </c>
      <c r="G17" s="3978">
        <f t="shared" ca="1" si="2"/>
        <v>1.3017510000000001E-2</v>
      </c>
      <c r="H17" s="3978">
        <f t="shared" ca="1" si="2"/>
        <v>1.3017510000000001E-2</v>
      </c>
      <c r="I17" s="3978">
        <f t="shared" ca="1" si="2"/>
        <v>1.3017510000000001E-2</v>
      </c>
      <c r="J17" s="3978">
        <f t="shared" ca="1" si="2"/>
        <v>1.3017510000000001E-2</v>
      </c>
      <c r="K17" s="3978">
        <f t="shared" ca="1" si="2"/>
        <v>1.3017510000000001E-2</v>
      </c>
      <c r="L17" s="3978">
        <f t="shared" ca="1" si="2"/>
        <v>0</v>
      </c>
      <c r="M17" s="3978">
        <f t="shared" ca="1" si="2"/>
        <v>0</v>
      </c>
      <c r="N17" s="3286"/>
      <c r="O17" s="3286"/>
      <c r="P17" s="3286"/>
      <c r="Q17" s="3274"/>
    </row>
    <row r="18" spans="2:17">
      <c r="B18" s="3271"/>
      <c r="C18" s="3283" t="s">
        <v>441</v>
      </c>
      <c r="D18" s="3286" t="s">
        <v>54</v>
      </c>
      <c r="E18" s="3978">
        <f t="shared" ca="1" si="0"/>
        <v>0</v>
      </c>
      <c r="F18" s="3978">
        <f t="shared" ca="1" si="2"/>
        <v>0</v>
      </c>
      <c r="G18" s="3978">
        <f t="shared" ca="1" si="2"/>
        <v>0</v>
      </c>
      <c r="H18" s="3978">
        <f t="shared" ca="1" si="2"/>
        <v>0</v>
      </c>
      <c r="I18" s="3978">
        <f t="shared" ca="1" si="2"/>
        <v>0</v>
      </c>
      <c r="J18" s="3978">
        <f t="shared" ca="1" si="2"/>
        <v>0</v>
      </c>
      <c r="K18" s="3978">
        <f t="shared" ca="1" si="2"/>
        <v>0</v>
      </c>
      <c r="L18" s="3978">
        <f t="shared" ca="1" si="2"/>
        <v>0</v>
      </c>
      <c r="M18" s="3978">
        <f t="shared" ca="1" si="2"/>
        <v>0</v>
      </c>
      <c r="N18" s="3286"/>
      <c r="O18" s="3286"/>
      <c r="P18" s="3286"/>
      <c r="Q18" s="3274"/>
    </row>
    <row r="19" spans="2:17">
      <c r="B19" s="3271"/>
      <c r="C19" s="3283" t="s">
        <v>442</v>
      </c>
      <c r="D19" s="3286" t="s">
        <v>391</v>
      </c>
      <c r="E19" s="3978">
        <f t="shared" ca="1" si="0"/>
        <v>0.74791511999999993</v>
      </c>
      <c r="F19" s="3978">
        <f t="shared" ca="1" si="2"/>
        <v>0.74791511999999993</v>
      </c>
      <c r="G19" s="3978">
        <f t="shared" ca="1" si="2"/>
        <v>0.74791511999999993</v>
      </c>
      <c r="H19" s="3978">
        <f t="shared" ca="1" si="2"/>
        <v>0.78946596000000002</v>
      </c>
      <c r="I19" s="3978">
        <f t="shared" ca="1" si="2"/>
        <v>0.50632416000000002</v>
      </c>
      <c r="J19" s="3978">
        <f t="shared" ca="1" si="2"/>
        <v>0.33310800000000007</v>
      </c>
      <c r="K19" s="3978">
        <f t="shared" ca="1" si="2"/>
        <v>0.23317560000000004</v>
      </c>
      <c r="L19" s="3978">
        <f t="shared" ca="1" si="2"/>
        <v>0.16655400000000004</v>
      </c>
      <c r="M19" s="3978">
        <f t="shared" ca="1" si="2"/>
        <v>0</v>
      </c>
      <c r="N19" s="3286"/>
      <c r="O19" s="3286"/>
      <c r="P19" s="3286"/>
      <c r="Q19" s="3274"/>
    </row>
    <row r="20" spans="2:17">
      <c r="B20" s="3271"/>
      <c r="C20" s="3283" t="s">
        <v>431</v>
      </c>
      <c r="D20" s="3286" t="s">
        <v>382</v>
      </c>
      <c r="E20" s="3978">
        <f t="shared" ca="1" si="0"/>
        <v>2.5</v>
      </c>
      <c r="F20" s="3978">
        <f t="shared" ca="1" si="2"/>
        <v>2.4999999999999964</v>
      </c>
      <c r="G20" s="3978">
        <f t="shared" ca="1" si="2"/>
        <v>2.5</v>
      </c>
      <c r="H20" s="3978">
        <f t="shared" ca="1" si="2"/>
        <v>1.4999999999999964</v>
      </c>
      <c r="I20" s="3978">
        <f t="shared" ca="1" si="2"/>
        <v>1</v>
      </c>
      <c r="J20" s="3978">
        <f t="shared" ca="1" si="2"/>
        <v>3.5527136788005009E-15</v>
      </c>
      <c r="K20" s="3978">
        <f t="shared" ca="1" si="2"/>
        <v>7.1054273576010019E-15</v>
      </c>
      <c r="L20" s="3978">
        <f t="shared" ca="1" si="2"/>
        <v>0</v>
      </c>
      <c r="M20" s="3978">
        <f t="shared" ca="1" si="2"/>
        <v>0</v>
      </c>
      <c r="N20" s="3286"/>
      <c r="O20" s="3286"/>
      <c r="P20" s="3286"/>
      <c r="Q20" s="3274"/>
    </row>
    <row r="21" spans="2:17">
      <c r="B21" s="3271"/>
      <c r="C21" s="3283" t="s">
        <v>101</v>
      </c>
      <c r="D21" s="3286" t="s">
        <v>91</v>
      </c>
      <c r="E21" s="3978">
        <f t="shared" ca="1" si="0"/>
        <v>0.11119904983501781</v>
      </c>
      <c r="F21" s="3978">
        <f t="shared" ca="1" si="2"/>
        <v>0.1434054871385817</v>
      </c>
      <c r="G21" s="3978">
        <f t="shared" ca="1" si="2"/>
        <v>0.23314146875358133</v>
      </c>
      <c r="H21" s="3978">
        <f t="shared" ca="1" si="2"/>
        <v>0.3313595195314073</v>
      </c>
      <c r="I21" s="3978">
        <f t="shared" ca="1" si="2"/>
        <v>0.43792102798625754</v>
      </c>
      <c r="J21" s="3978">
        <f t="shared" ca="1" si="2"/>
        <v>0.55304324430206342</v>
      </c>
      <c r="K21" s="3978">
        <f t="shared" ca="1" si="2"/>
        <v>0.67669216126185838</v>
      </c>
      <c r="L21" s="3978">
        <f t="shared" ca="1" si="2"/>
        <v>0.80883168050723919</v>
      </c>
      <c r="M21" s="3978">
        <f t="shared" ca="1" si="2"/>
        <v>0.9494999999999999</v>
      </c>
      <c r="N21" s="3286"/>
      <c r="O21" s="3286"/>
      <c r="P21" s="3286"/>
      <c r="Q21" s="3274"/>
    </row>
    <row r="22" spans="2:17">
      <c r="B22" s="3271"/>
      <c r="C22" s="3283" t="s">
        <v>444</v>
      </c>
      <c r="D22" s="3286" t="s">
        <v>393</v>
      </c>
      <c r="E22" s="3978">
        <f t="shared" ca="1" si="0"/>
        <v>1.3469022662175592</v>
      </c>
      <c r="F22" s="3978">
        <f t="shared" ca="1" si="2"/>
        <v>1.8746115688184966</v>
      </c>
      <c r="G22" s="3978">
        <f t="shared" ca="1" si="2"/>
        <v>2.5939350670133425</v>
      </c>
      <c r="H22" s="3978">
        <f t="shared" ca="1" si="2"/>
        <v>3.1510020039229341</v>
      </c>
      <c r="I22" s="3978">
        <f t="shared" ca="1" si="2"/>
        <v>3.2175631879671385</v>
      </c>
      <c r="J22" s="3978">
        <f t="shared" ca="1" si="2"/>
        <v>3.4481065044894366</v>
      </c>
      <c r="K22" s="3978">
        <f t="shared" ca="1" si="2"/>
        <v>3.6950346199087507</v>
      </c>
      <c r="L22" s="3978">
        <f t="shared" ca="1" si="2"/>
        <v>3.9589143994025449</v>
      </c>
      <c r="M22" s="3978">
        <f t="shared" ca="1" si="2"/>
        <v>4.0753442102770014</v>
      </c>
      <c r="N22" s="3286"/>
      <c r="O22" s="3286"/>
      <c r="P22" s="3286"/>
      <c r="Q22" s="3274"/>
    </row>
    <row r="23" spans="2:17">
      <c r="B23" s="3271"/>
      <c r="C23" s="3283" t="s">
        <v>443</v>
      </c>
      <c r="D23" s="3286" t="s">
        <v>392</v>
      </c>
      <c r="E23" s="3978">
        <f t="shared" ca="1" si="0"/>
        <v>0.31308333333333338</v>
      </c>
      <c r="F23" s="3978">
        <f t="shared" ca="1" si="2"/>
        <v>0.31819825788025435</v>
      </c>
      <c r="G23" s="3978">
        <f t="shared" ca="1" si="2"/>
        <v>0.33156731444804843</v>
      </c>
      <c r="H23" s="3978">
        <f t="shared" ca="1" si="2"/>
        <v>0.34581642466848794</v>
      </c>
      <c r="I23" s="3978">
        <f t="shared" ca="1" si="2"/>
        <v>0.36101075337977562</v>
      </c>
      <c r="J23" s="3978">
        <f t="shared" ca="1" si="2"/>
        <v>0.37722039553007852</v>
      </c>
      <c r="K23" s="3978">
        <f t="shared" ca="1" si="2"/>
        <v>0.39452075052198765</v>
      </c>
      <c r="L23" s="3978">
        <f t="shared" ca="1" si="2"/>
        <v>0.41299292499810381</v>
      </c>
      <c r="M23" s="3978">
        <f t="shared" ca="1" si="2"/>
        <v>0.43272416622880361</v>
      </c>
      <c r="N23" s="3286"/>
      <c r="O23" s="3286"/>
      <c r="P23" s="3286"/>
      <c r="Q23" s="3274"/>
    </row>
    <row r="24" spans="2:17">
      <c r="B24" s="3271"/>
      <c r="C24" s="3283" t="s">
        <v>430</v>
      </c>
      <c r="D24" s="3286" t="s">
        <v>381</v>
      </c>
      <c r="E24" s="3978">
        <f t="shared" ca="1" si="0"/>
        <v>1.0954366666666666</v>
      </c>
      <c r="F24" s="3978">
        <f t="shared" ref="F24:M30" ca="1" si="3">MAX(-INDEX(INDIRECT("'"&amp;F$12&amp;"'!Year.NetBalance"), MATCH($C24, INDIRECT("'"&amp;F$12&amp;"'!Year.Vectors"), 0)),0)</f>
        <v>1.2967</v>
      </c>
      <c r="G24" s="3978">
        <f t="shared" ca="1" si="3"/>
        <v>1.2967</v>
      </c>
      <c r="H24" s="3978">
        <f t="shared" ca="1" si="3"/>
        <v>1.2466999999999999</v>
      </c>
      <c r="I24" s="3978">
        <f t="shared" ca="1" si="3"/>
        <v>1.6</v>
      </c>
      <c r="J24" s="3978">
        <f t="shared" ca="1" si="3"/>
        <v>1.45</v>
      </c>
      <c r="K24" s="3978">
        <f t="shared" ca="1" si="3"/>
        <v>0.79999999999999993</v>
      </c>
      <c r="L24" s="3978">
        <f t="shared" ca="1" si="3"/>
        <v>0.14999999999999991</v>
      </c>
      <c r="M24" s="3978">
        <f t="shared" ca="1" si="3"/>
        <v>0</v>
      </c>
      <c r="N24" s="3286"/>
      <c r="O24" s="3286"/>
      <c r="P24" s="3286"/>
      <c r="Q24" s="3274"/>
    </row>
    <row r="25" spans="2:17">
      <c r="B25" s="3271"/>
      <c r="C25" s="3283" t="s">
        <v>427</v>
      </c>
      <c r="D25" s="3286" t="s">
        <v>3275</v>
      </c>
      <c r="E25" s="3978">
        <f t="shared" ca="1" si="0"/>
        <v>8.4</v>
      </c>
      <c r="F25" s="3978">
        <f t="shared" ca="1" si="3"/>
        <v>7</v>
      </c>
      <c r="G25" s="3978">
        <f t="shared" ca="1" si="3"/>
        <v>2</v>
      </c>
      <c r="H25" s="3978">
        <f t="shared" ca="1" si="3"/>
        <v>2</v>
      </c>
      <c r="I25" s="3978">
        <f t="shared" ca="1" si="3"/>
        <v>0</v>
      </c>
      <c r="J25" s="3978">
        <f t="shared" ca="1" si="3"/>
        <v>0</v>
      </c>
      <c r="K25" s="3978">
        <f t="shared" ca="1" si="3"/>
        <v>0</v>
      </c>
      <c r="L25" s="3978">
        <f t="shared" ca="1" si="3"/>
        <v>0</v>
      </c>
      <c r="M25" s="3978">
        <f t="shared" ca="1" si="3"/>
        <v>0</v>
      </c>
      <c r="N25" s="3286"/>
      <c r="O25" s="3286"/>
      <c r="P25" s="3286"/>
      <c r="Q25" s="3274"/>
    </row>
    <row r="26" spans="2:17">
      <c r="B26" s="3271"/>
      <c r="C26" s="3283" t="s">
        <v>433</v>
      </c>
      <c r="D26" s="3286" t="s">
        <v>384</v>
      </c>
      <c r="E26" s="3978">
        <f t="shared" ca="1" si="0"/>
        <v>14.911266915263244</v>
      </c>
      <c r="F26" s="3978">
        <f t="shared" ca="1" si="3"/>
        <v>16.267581324784786</v>
      </c>
      <c r="G26" s="3978">
        <f t="shared" ca="1" si="3"/>
        <v>18.650649187310073</v>
      </c>
      <c r="H26" s="3978">
        <f t="shared" ca="1" si="3"/>
        <v>18.40843063217299</v>
      </c>
      <c r="I26" s="3978">
        <f t="shared" ca="1" si="3"/>
        <v>13.883093074912559</v>
      </c>
      <c r="J26" s="3978">
        <f t="shared" ca="1" si="3"/>
        <v>1.0246834611179927</v>
      </c>
      <c r="K26" s="3978">
        <f t="shared" ca="1" si="3"/>
        <v>1.7111936919719914</v>
      </c>
      <c r="L26" s="3978">
        <f t="shared" ca="1" si="3"/>
        <v>2.4238277679140663</v>
      </c>
      <c r="M26" s="3978">
        <f t="shared" ca="1" si="3"/>
        <v>2.6655686309587772</v>
      </c>
      <c r="N26" s="3286"/>
      <c r="O26" s="3286"/>
      <c r="P26" s="3286"/>
      <c r="Q26" s="3274"/>
    </row>
    <row r="27" spans="2:17">
      <c r="B27" s="3271"/>
      <c r="C27" s="3283" t="s">
        <v>428</v>
      </c>
      <c r="D27" s="3286" t="s">
        <v>379</v>
      </c>
      <c r="E27" s="3978">
        <f t="shared" ca="1" si="0"/>
        <v>0</v>
      </c>
      <c r="F27" s="3978">
        <f t="shared" ca="1" si="3"/>
        <v>0</v>
      </c>
      <c r="G27" s="3978">
        <f t="shared" ca="1" si="3"/>
        <v>0</v>
      </c>
      <c r="H27" s="3978">
        <f t="shared" ca="1" si="3"/>
        <v>0</v>
      </c>
      <c r="I27" s="3978">
        <f t="shared" ca="1" si="3"/>
        <v>0</v>
      </c>
      <c r="J27" s="3978">
        <f t="shared" ca="1" si="3"/>
        <v>0</v>
      </c>
      <c r="K27" s="3978">
        <f t="shared" ca="1" si="3"/>
        <v>0</v>
      </c>
      <c r="L27" s="3978">
        <f t="shared" ca="1" si="3"/>
        <v>0</v>
      </c>
      <c r="M27" s="3978">
        <f t="shared" ca="1" si="3"/>
        <v>0</v>
      </c>
      <c r="N27" s="3286"/>
      <c r="O27" s="3286"/>
      <c r="P27" s="3286"/>
      <c r="Q27" s="3274"/>
    </row>
    <row r="28" spans="2:17">
      <c r="B28" s="3271"/>
      <c r="C28" s="3283" t="s">
        <v>434</v>
      </c>
      <c r="D28" s="3286" t="s">
        <v>385</v>
      </c>
      <c r="E28" s="3978">
        <f t="shared" ca="1" si="0"/>
        <v>76.526836320775942</v>
      </c>
      <c r="F28" s="3978">
        <f t="shared" ca="1" si="3"/>
        <v>74.08927995898263</v>
      </c>
      <c r="G28" s="3978">
        <f t="shared" ca="1" si="3"/>
        <v>75.114909897863313</v>
      </c>
      <c r="H28" s="3978">
        <f t="shared" ca="1" si="3"/>
        <v>75.036510281436605</v>
      </c>
      <c r="I28" s="3978">
        <f t="shared" ca="1" si="3"/>
        <v>75.220892589846784</v>
      </c>
      <c r="J28" s="3978">
        <f t="shared" ca="1" si="3"/>
        <v>75.174956561456597</v>
      </c>
      <c r="K28" s="3978">
        <f t="shared" ca="1" si="3"/>
        <v>75.040093616616304</v>
      </c>
      <c r="L28" s="3978">
        <f t="shared" ca="1" si="3"/>
        <v>75.04125554596699</v>
      </c>
      <c r="M28" s="3978">
        <f t="shared" ca="1" si="3"/>
        <v>74.505208807877793</v>
      </c>
      <c r="N28" s="3286"/>
      <c r="O28" s="3286"/>
      <c r="P28" s="3286"/>
      <c r="Q28" s="3274"/>
    </row>
    <row r="29" spans="2:17">
      <c r="B29" s="3271"/>
      <c r="C29" s="3283" t="s">
        <v>429</v>
      </c>
      <c r="D29" s="3286" t="s">
        <v>380</v>
      </c>
      <c r="E29" s="3978">
        <f t="shared" ca="1" si="0"/>
        <v>0</v>
      </c>
      <c r="F29" s="3978">
        <f t="shared" ca="1" si="3"/>
        <v>1.7555282514130199</v>
      </c>
      <c r="G29" s="3978">
        <f t="shared" ca="1" si="3"/>
        <v>35</v>
      </c>
      <c r="H29" s="3978">
        <f t="shared" ca="1" si="3"/>
        <v>10</v>
      </c>
      <c r="I29" s="3978">
        <f t="shared" ca="1" si="3"/>
        <v>0</v>
      </c>
      <c r="J29" s="3978">
        <f t="shared" ca="1" si="3"/>
        <v>0</v>
      </c>
      <c r="K29" s="3978">
        <f t="shared" ca="1" si="3"/>
        <v>0</v>
      </c>
      <c r="L29" s="3978">
        <f t="shared" ca="1" si="3"/>
        <v>0</v>
      </c>
      <c r="M29" s="3978">
        <f t="shared" ca="1" si="3"/>
        <v>0</v>
      </c>
      <c r="N29" s="3286"/>
      <c r="O29" s="3286"/>
      <c r="P29" s="3286"/>
      <c r="Q29" s="3274"/>
    </row>
    <row r="30" spans="2:17">
      <c r="B30" s="3271"/>
      <c r="C30" s="3283" t="s">
        <v>435</v>
      </c>
      <c r="D30" s="3286" t="s">
        <v>386</v>
      </c>
      <c r="E30" s="3978">
        <f t="shared" ca="1" si="0"/>
        <v>47.473619810652579</v>
      </c>
      <c r="F30" s="3978">
        <f t="shared" ca="1" si="3"/>
        <v>47.697968206868779</v>
      </c>
      <c r="G30" s="3978">
        <f t="shared" ca="1" si="3"/>
        <v>22.74172392909157</v>
      </c>
      <c r="H30" s="3978">
        <f t="shared" ca="1" si="3"/>
        <v>59.295640467804589</v>
      </c>
      <c r="I30" s="3978">
        <f t="shared" ca="1" si="3"/>
        <v>85.907348315610292</v>
      </c>
      <c r="J30" s="3978">
        <f t="shared" ca="1" si="3"/>
        <v>106.91717023293266</v>
      </c>
      <c r="K30" s="3978">
        <f t="shared" ca="1" si="3"/>
        <v>116.07842350144173</v>
      </c>
      <c r="L30" s="3978">
        <f t="shared" ca="1" si="3"/>
        <v>125.61125120472862</v>
      </c>
      <c r="M30" s="3978">
        <f t="shared" ca="1" si="3"/>
        <v>135.74178666175516</v>
      </c>
      <c r="N30" s="3286"/>
      <c r="O30" s="3286"/>
      <c r="P30" s="3286"/>
      <c r="Q30" s="3274"/>
    </row>
    <row r="31" spans="2:17">
      <c r="B31" s="3271"/>
      <c r="C31" s="3283"/>
      <c r="D31" s="3286" t="s">
        <v>3270</v>
      </c>
      <c r="E31" s="3978">
        <f ca="1">SUM(E13:E30)</f>
        <v>157.96865537017334</v>
      </c>
      <c r="F31" s="3978">
        <f t="shared" ref="F31:M31" ca="1" si="4">SUM(F13:F30)</f>
        <v>159.36531875173819</v>
      </c>
      <c r="G31" s="3978">
        <f t="shared" ca="1" si="4"/>
        <v>166.90099214284439</v>
      </c>
      <c r="H31" s="3978">
        <f t="shared" ca="1" si="4"/>
        <v>175.51250633969124</v>
      </c>
      <c r="I31" s="3978">
        <f t="shared" ca="1" si="4"/>
        <v>183.35512735727062</v>
      </c>
      <c r="J31" s="3978">
        <f t="shared" ca="1" si="4"/>
        <v>189.4034870991897</v>
      </c>
      <c r="K31" s="3978">
        <f t="shared" ca="1" si="4"/>
        <v>198.75776377316549</v>
      </c>
      <c r="L31" s="3978">
        <f t="shared" ca="1" si="4"/>
        <v>208.69265006837747</v>
      </c>
      <c r="M31" s="3978">
        <f t="shared" ca="1" si="4"/>
        <v>218.49274289355603</v>
      </c>
      <c r="N31" s="3286"/>
      <c r="O31" s="3286"/>
      <c r="P31" s="3286"/>
      <c r="Q31" s="3274"/>
    </row>
    <row r="32" spans="2:17">
      <c r="B32" s="3271"/>
      <c r="C32" s="3283"/>
      <c r="D32" s="3286"/>
      <c r="E32" s="3284"/>
      <c r="F32" s="3284"/>
      <c r="G32" s="3286"/>
      <c r="H32" s="3286"/>
      <c r="I32" s="3286"/>
      <c r="J32" s="3286"/>
      <c r="K32" s="3286"/>
      <c r="L32" s="3286"/>
      <c r="M32" s="3286"/>
      <c r="N32" s="3286"/>
      <c r="O32" s="3286"/>
      <c r="P32" s="3286"/>
      <c r="Q32" s="3274"/>
    </row>
    <row r="33" spans="2:17">
      <c r="B33" s="3271"/>
      <c r="C33" s="3966" t="s">
        <v>3271</v>
      </c>
      <c r="D33" s="3286"/>
      <c r="E33" s="3284"/>
      <c r="F33" s="3284"/>
      <c r="G33" s="3286"/>
      <c r="H33" s="3286"/>
      <c r="I33" s="3286"/>
      <c r="J33" s="3286"/>
      <c r="K33" s="3286"/>
      <c r="L33" s="3286"/>
      <c r="M33" s="3286"/>
      <c r="N33" s="3286"/>
      <c r="O33" s="3286"/>
      <c r="P33" s="3286"/>
      <c r="Q33" s="3274"/>
    </row>
    <row r="34" spans="2:17">
      <c r="B34" s="3271"/>
      <c r="C34" s="3966"/>
      <c r="D34" s="3286"/>
      <c r="E34" s="3284"/>
      <c r="F34" s="3284"/>
      <c r="G34" s="3286"/>
      <c r="H34" s="3286"/>
      <c r="I34" s="3286"/>
      <c r="J34" s="3286"/>
      <c r="K34" s="3286"/>
      <c r="L34" s="3286"/>
      <c r="M34" s="3979" t="s">
        <v>42</v>
      </c>
      <c r="N34" s="3286"/>
      <c r="O34" s="3286"/>
      <c r="P34" s="3286"/>
      <c r="Q34" s="3274"/>
    </row>
    <row r="35" spans="2:17">
      <c r="B35" s="3271"/>
      <c r="C35" s="3283"/>
      <c r="D35" s="3280" t="s">
        <v>28</v>
      </c>
      <c r="E35" s="3281">
        <v>2013</v>
      </c>
      <c r="F35" s="3281">
        <v>2015</v>
      </c>
      <c r="G35" s="3281">
        <v>2020</v>
      </c>
      <c r="H35" s="3281">
        <v>2025</v>
      </c>
      <c r="I35" s="3281">
        <v>2030</v>
      </c>
      <c r="J35" s="3281">
        <v>2035</v>
      </c>
      <c r="K35" s="3281">
        <v>2040</v>
      </c>
      <c r="L35" s="3281">
        <v>2045</v>
      </c>
      <c r="M35" s="3282">
        <v>2050</v>
      </c>
      <c r="N35" s="3286"/>
      <c r="O35" s="3286"/>
      <c r="P35" s="3286"/>
      <c r="Q35" s="3274"/>
    </row>
    <row r="36" spans="2:17">
      <c r="B36" s="3271"/>
      <c r="C36" s="3283"/>
      <c r="D36" s="3286" t="s">
        <v>387</v>
      </c>
      <c r="E36" s="3987">
        <f ca="1">E13/E$31</f>
        <v>0</v>
      </c>
      <c r="F36" s="3987">
        <f t="shared" ref="F36:M36" ca="1" si="5">F13/F$31</f>
        <v>0</v>
      </c>
      <c r="G36" s="3987">
        <f t="shared" ca="1" si="5"/>
        <v>0</v>
      </c>
      <c r="H36" s="3987">
        <f t="shared" ca="1" si="5"/>
        <v>0</v>
      </c>
      <c r="I36" s="3987">
        <f t="shared" ca="1" si="5"/>
        <v>0</v>
      </c>
      <c r="J36" s="3987">
        <f t="shared" ca="1" si="5"/>
        <v>0</v>
      </c>
      <c r="K36" s="3987">
        <f t="shared" ca="1" si="5"/>
        <v>0</v>
      </c>
      <c r="L36" s="3987">
        <f t="shared" ca="1" si="5"/>
        <v>0</v>
      </c>
      <c r="M36" s="3987">
        <f t="shared" ca="1" si="5"/>
        <v>0</v>
      </c>
      <c r="N36" s="3286"/>
      <c r="O36" s="3286"/>
      <c r="P36" s="3286"/>
      <c r="Q36" s="3274"/>
    </row>
    <row r="37" spans="2:17">
      <c r="B37" s="3271"/>
      <c r="C37" s="3283"/>
      <c r="D37" s="3286" t="s">
        <v>78</v>
      </c>
      <c r="E37" s="3987">
        <f t="shared" ref="E37:M37" ca="1" si="6">E14/E$31</f>
        <v>2.5989261814492442E-4</v>
      </c>
      <c r="F37" s="3987">
        <f t="shared" ca="1" si="6"/>
        <v>3.3203625442067096E-4</v>
      </c>
      <c r="G37" s="3987">
        <f t="shared" ca="1" si="6"/>
        <v>3.3431106459042329E-4</v>
      </c>
      <c r="H37" s="3987">
        <f t="shared" ca="1" si="6"/>
        <v>3.3423396074516585E-4</v>
      </c>
      <c r="I37" s="3987">
        <f t="shared" ca="1" si="6"/>
        <v>3.824814641325147E-4</v>
      </c>
      <c r="J37" s="3987">
        <f t="shared" ca="1" si="6"/>
        <v>3.8748832180925618E-4</v>
      </c>
      <c r="K37" s="3987">
        <f t="shared" ca="1" si="6"/>
        <v>3.8651456921478871E-4</v>
      </c>
      <c r="L37" s="3987">
        <f t="shared" ca="1" si="6"/>
        <v>3.8445529746078107E-4</v>
      </c>
      <c r="M37" s="3987">
        <f t="shared" ca="1" si="6"/>
        <v>3.8363226782010145E-4</v>
      </c>
      <c r="N37" s="3286"/>
      <c r="O37" s="3286"/>
      <c r="P37" s="3286"/>
      <c r="Q37" s="3274"/>
    </row>
    <row r="38" spans="2:17">
      <c r="B38" s="3271"/>
      <c r="C38" s="3283"/>
      <c r="D38" s="3286" t="s">
        <v>388</v>
      </c>
      <c r="E38" s="3987">
        <f t="shared" ref="E38:M38" ca="1" si="7">E15/E$31</f>
        <v>2.8495152974821841E-2</v>
      </c>
      <c r="F38" s="3987">
        <f t="shared" ca="1" si="7"/>
        <v>3.5247648886208703E-2</v>
      </c>
      <c r="G38" s="3987">
        <f t="shared" ca="1" si="7"/>
        <v>3.3682458850745771E-2</v>
      </c>
      <c r="H38" s="3987">
        <f t="shared" ca="1" si="7"/>
        <v>1.9006630180208435E-2</v>
      </c>
      <c r="I38" s="3987">
        <f t="shared" ca="1" si="7"/>
        <v>6.2055903011805323E-3</v>
      </c>
      <c r="J38" s="3987">
        <f t="shared" ca="1" si="7"/>
        <v>2.0479849972184429E-4</v>
      </c>
      <c r="K38" s="3987">
        <f t="shared" ca="1" si="7"/>
        <v>1.9515992363583216E-4</v>
      </c>
      <c r="L38" s="3987">
        <f t="shared" ca="1" si="7"/>
        <v>1.8586926749595864E-4</v>
      </c>
      <c r="M38" s="3987">
        <f t="shared" ca="1" si="7"/>
        <v>1.7753244106096924E-4</v>
      </c>
      <c r="N38" s="3286"/>
      <c r="O38" s="3286"/>
      <c r="P38" s="3286"/>
      <c r="Q38" s="3274"/>
    </row>
    <row r="39" spans="2:17">
      <c r="B39" s="3271"/>
      <c r="C39" s="3283"/>
      <c r="D39" s="3286" t="s">
        <v>389</v>
      </c>
      <c r="E39" s="3987">
        <f t="shared" ref="E39:M39" ca="1" si="8">E16/E$31</f>
        <v>0</v>
      </c>
      <c r="F39" s="3987">
        <f t="shared" ca="1" si="8"/>
        <v>0</v>
      </c>
      <c r="G39" s="3987">
        <f t="shared" ca="1" si="8"/>
        <v>0</v>
      </c>
      <c r="H39" s="3987">
        <f t="shared" ca="1" si="8"/>
        <v>0</v>
      </c>
      <c r="I39" s="3987">
        <f t="shared" ca="1" si="8"/>
        <v>0</v>
      </c>
      <c r="J39" s="3987">
        <f t="shared" ca="1" si="8"/>
        <v>0</v>
      </c>
      <c r="K39" s="3987">
        <f t="shared" ca="1" si="8"/>
        <v>0</v>
      </c>
      <c r="L39" s="3987">
        <f t="shared" ca="1" si="8"/>
        <v>0</v>
      </c>
      <c r="M39" s="3987">
        <f t="shared" ca="1" si="8"/>
        <v>0</v>
      </c>
      <c r="N39" s="3286"/>
      <c r="O39" s="3286"/>
      <c r="P39" s="3286"/>
      <c r="Q39" s="3274"/>
    </row>
    <row r="40" spans="2:17">
      <c r="B40" s="3271"/>
      <c r="C40" s="3283"/>
      <c r="D40" s="3286" t="s">
        <v>390</v>
      </c>
      <c r="E40" s="3987">
        <f t="shared" ref="E40:M40" ca="1" si="9">E17/E$31</f>
        <v>0</v>
      </c>
      <c r="F40" s="3987">
        <f t="shared" ca="1" si="9"/>
        <v>2.4865587819268877E-5</v>
      </c>
      <c r="G40" s="3987">
        <f t="shared" ca="1" si="9"/>
        <v>7.7995402141521093E-5</v>
      </c>
      <c r="H40" s="3987">
        <f t="shared" ca="1" si="9"/>
        <v>7.4168560813584359E-5</v>
      </c>
      <c r="I40" s="3987">
        <f t="shared" ca="1" si="9"/>
        <v>7.0996160225370511E-5</v>
      </c>
      <c r="J40" s="3987">
        <f t="shared" ca="1" si="9"/>
        <v>6.8728988042246513E-5</v>
      </c>
      <c r="K40" s="3987">
        <f t="shared" ca="1" si="9"/>
        <v>6.5494347254059363E-5</v>
      </c>
      <c r="L40" s="3987">
        <f t="shared" ca="1" si="9"/>
        <v>0</v>
      </c>
      <c r="M40" s="3987">
        <f t="shared" ca="1" si="9"/>
        <v>0</v>
      </c>
      <c r="N40" s="3286"/>
      <c r="O40" s="3286"/>
      <c r="P40" s="3286"/>
      <c r="Q40" s="3274"/>
    </row>
    <row r="41" spans="2:17">
      <c r="B41" s="3271"/>
      <c r="C41" s="3283"/>
      <c r="D41" s="3286" t="s">
        <v>54</v>
      </c>
      <c r="E41" s="3987">
        <f t="shared" ref="E41:M41" ca="1" si="10">E18/E$31</f>
        <v>0</v>
      </c>
      <c r="F41" s="3987">
        <f t="shared" ca="1" si="10"/>
        <v>0</v>
      </c>
      <c r="G41" s="3987">
        <f t="shared" ca="1" si="10"/>
        <v>0</v>
      </c>
      <c r="H41" s="3987">
        <f t="shared" ca="1" si="10"/>
        <v>0</v>
      </c>
      <c r="I41" s="3987">
        <f t="shared" ca="1" si="10"/>
        <v>0</v>
      </c>
      <c r="J41" s="3987">
        <f t="shared" ca="1" si="10"/>
        <v>0</v>
      </c>
      <c r="K41" s="3987">
        <f t="shared" ca="1" si="10"/>
        <v>0</v>
      </c>
      <c r="L41" s="3987">
        <f t="shared" ca="1" si="10"/>
        <v>0</v>
      </c>
      <c r="M41" s="3987">
        <f t="shared" ca="1" si="10"/>
        <v>0</v>
      </c>
      <c r="N41" s="3286"/>
      <c r="O41" s="3286"/>
      <c r="P41" s="3286"/>
      <c r="Q41" s="3274"/>
    </row>
    <row r="42" spans="2:17">
      <c r="B42" s="3271"/>
      <c r="C42" s="3283"/>
      <c r="D42" s="3286" t="s">
        <v>391</v>
      </c>
      <c r="E42" s="3987">
        <f t="shared" ref="E42:M42" ca="1" si="11">E19/E$31</f>
        <v>4.734579263508858E-3</v>
      </c>
      <c r="F42" s="3987">
        <f t="shared" ca="1" si="11"/>
        <v>4.6930858348491365E-3</v>
      </c>
      <c r="G42" s="3987">
        <f t="shared" ca="1" si="11"/>
        <v>4.4811903775855751E-3</v>
      </c>
      <c r="H42" s="3987">
        <f t="shared" ca="1" si="11"/>
        <v>4.4980610012602066E-3</v>
      </c>
      <c r="I42" s="3987">
        <f t="shared" ca="1" si="11"/>
        <v>2.7614398751632328E-3</v>
      </c>
      <c r="J42" s="3987">
        <f t="shared" ca="1" si="11"/>
        <v>1.7587215795322342E-3</v>
      </c>
      <c r="K42" s="3987">
        <f t="shared" ca="1" si="11"/>
        <v>1.1731647386922419E-3</v>
      </c>
      <c r="L42" s="3987">
        <f t="shared" ca="1" si="11"/>
        <v>7.9808273049112731E-4</v>
      </c>
      <c r="M42" s="3987">
        <f t="shared" ca="1" si="11"/>
        <v>0</v>
      </c>
      <c r="N42" s="3286"/>
      <c r="O42" s="3286"/>
      <c r="P42" s="3286"/>
      <c r="Q42" s="3274"/>
    </row>
    <row r="43" spans="2:17">
      <c r="B43" s="3271"/>
      <c r="C43" s="3283"/>
      <c r="D43" s="3286" t="s">
        <v>555</v>
      </c>
      <c r="E43" s="3987">
        <f t="shared" ref="E43:M43" ca="1" si="12">E20/E$31</f>
        <v>1.5825924416091691E-2</v>
      </c>
      <c r="F43" s="3987">
        <f t="shared" ca="1" si="12"/>
        <v>1.5687227431801117E-2</v>
      </c>
      <c r="G43" s="3987">
        <f t="shared" ca="1" si="12"/>
        <v>1.4978940316066799E-2</v>
      </c>
      <c r="H43" s="3987">
        <f t="shared" ca="1" si="12"/>
        <v>8.5463995203672802E-3</v>
      </c>
      <c r="I43" s="3987">
        <f t="shared" ca="1" si="12"/>
        <v>5.4538971143767512E-3</v>
      </c>
      <c r="J43" s="3987">
        <f t="shared" ca="1" si="12"/>
        <v>1.8757382629074625E-17</v>
      </c>
      <c r="K43" s="3987">
        <f t="shared" ca="1" si="12"/>
        <v>3.5749181429260544E-17</v>
      </c>
      <c r="L43" s="3987">
        <f t="shared" ca="1" si="12"/>
        <v>0</v>
      </c>
      <c r="M43" s="3987">
        <f t="shared" ca="1" si="12"/>
        <v>0</v>
      </c>
      <c r="N43" s="3286"/>
      <c r="O43" s="3286"/>
      <c r="P43" s="3286"/>
      <c r="Q43" s="3274"/>
    </row>
    <row r="44" spans="2:17">
      <c r="B44" s="3271"/>
      <c r="C44" s="3283"/>
      <c r="D44" s="3286" t="s">
        <v>91</v>
      </c>
      <c r="E44" s="3987">
        <f t="shared" ref="E44:M44" ca="1" si="13">E21/E$31</f>
        <v>7.0393110313208206E-4</v>
      </c>
      <c r="F44" s="3987">
        <f t="shared" ca="1" si="13"/>
        <v>8.9985379668446584E-4</v>
      </c>
      <c r="G44" s="3987">
        <f t="shared" ca="1" si="13"/>
        <v>1.396884858264019E-3</v>
      </c>
      <c r="H44" s="3987">
        <f t="shared" ca="1" si="13"/>
        <v>1.887953892528239E-3</v>
      </c>
      <c r="I44" s="3987">
        <f t="shared" ca="1" si="13"/>
        <v>2.3883762308591506E-3</v>
      </c>
      <c r="J44" s="3987">
        <f t="shared" ca="1" si="13"/>
        <v>2.9199211311903531E-3</v>
      </c>
      <c r="K44" s="3987">
        <f t="shared" ca="1" si="13"/>
        <v>3.4046074398086951E-3</v>
      </c>
      <c r="L44" s="3987">
        <f t="shared" ca="1" si="13"/>
        <v>3.8757075548287306E-3</v>
      </c>
      <c r="M44" s="3987">
        <f t="shared" ca="1" si="13"/>
        <v>4.3456820918879287E-3</v>
      </c>
      <c r="N44" s="3286"/>
      <c r="O44" s="3286"/>
      <c r="P44" s="3286"/>
      <c r="Q44" s="3274"/>
    </row>
    <row r="45" spans="2:17">
      <c r="B45" s="3271"/>
      <c r="C45" s="3283"/>
      <c r="D45" s="3286" t="s">
        <v>393</v>
      </c>
      <c r="E45" s="3987">
        <f t="shared" ref="E45:M45" ca="1" si="14">E22/E$31</f>
        <v>8.5263893844086808E-3</v>
      </c>
      <c r="F45" s="3987">
        <f t="shared" ca="1" si="14"/>
        <v>1.1762983210536516E-2</v>
      </c>
      <c r="G45" s="3987">
        <f t="shared" ca="1" si="14"/>
        <v>1.5541759421018236E-2</v>
      </c>
      <c r="H45" s="3987">
        <f t="shared" ca="1" si="14"/>
        <v>1.7953148010002244E-2</v>
      </c>
      <c r="I45" s="3987">
        <f t="shared" ca="1" si="14"/>
        <v>1.7548258586178839E-2</v>
      </c>
      <c r="J45" s="3987">
        <f t="shared" ca="1" si="14"/>
        <v>1.8205084591096675E-2</v>
      </c>
      <c r="K45" s="3987">
        <f t="shared" ca="1" si="14"/>
        <v>1.859064295030885E-2</v>
      </c>
      <c r="L45" s="3987">
        <f t="shared" ca="1" si="14"/>
        <v>1.8970071049964718E-2</v>
      </c>
      <c r="M45" s="3987">
        <f t="shared" ca="1" si="14"/>
        <v>1.8652080413775588E-2</v>
      </c>
      <c r="N45" s="3286"/>
      <c r="O45" s="3286"/>
      <c r="P45" s="3286"/>
      <c r="Q45" s="3274"/>
    </row>
    <row r="46" spans="2:17">
      <c r="B46" s="3271"/>
      <c r="C46" s="3283"/>
      <c r="D46" s="3286" t="s">
        <v>392</v>
      </c>
      <c r="E46" s="3987">
        <f t="shared" ref="E46:M46" ca="1" si="15">E23/E$31</f>
        <v>1.9819332677085497E-3</v>
      </c>
      <c r="F46" s="3987">
        <f t="shared" ca="1" si="15"/>
        <v>1.9966593759081839E-3</v>
      </c>
      <c r="G46" s="3987">
        <f t="shared" ca="1" si="15"/>
        <v>1.9866108055503484E-3</v>
      </c>
      <c r="H46" s="3987">
        <f t="shared" ca="1" si="15"/>
        <v>1.9703235506145999E-3</v>
      </c>
      <c r="I46" s="3987">
        <f t="shared" ca="1" si="15"/>
        <v>1.9689155061169352E-3</v>
      </c>
      <c r="J46" s="3987">
        <f t="shared" ca="1" si="15"/>
        <v>1.9916232869172574E-3</v>
      </c>
      <c r="K46" s="3987">
        <f t="shared" ca="1" si="15"/>
        <v>1.9849325280809601E-3</v>
      </c>
      <c r="L46" s="3987">
        <f t="shared" ca="1" si="15"/>
        <v>1.9789528996962185E-3</v>
      </c>
      <c r="M46" s="3987">
        <f t="shared" ca="1" si="15"/>
        <v>1.9804967455583434E-3</v>
      </c>
      <c r="N46" s="3286"/>
      <c r="O46" s="3286"/>
      <c r="P46" s="3286"/>
      <c r="Q46" s="3274"/>
    </row>
    <row r="47" spans="2:17">
      <c r="B47" s="3271"/>
      <c r="C47" s="3283"/>
      <c r="D47" s="3286" t="s">
        <v>2591</v>
      </c>
      <c r="E47" s="3987">
        <f t="shared" ref="E47:M47" ca="1" si="16">E24/E$31</f>
        <v>6.9345191557128377E-3</v>
      </c>
      <c r="F47" s="3987">
        <f t="shared" ca="1" si="16"/>
        <v>8.1366511243266149E-3</v>
      </c>
      <c r="G47" s="3987">
        <f t="shared" ca="1" si="16"/>
        <v>7.7692767631375274E-3</v>
      </c>
      <c r="H47" s="3987">
        <f t="shared" ca="1" si="16"/>
        <v>7.1031975213612748E-3</v>
      </c>
      <c r="I47" s="3987">
        <f t="shared" ca="1" si="16"/>
        <v>8.7262353830028037E-3</v>
      </c>
      <c r="J47" s="3987">
        <f t="shared" ca="1" si="16"/>
        <v>7.6556140660738832E-3</v>
      </c>
      <c r="K47" s="3987">
        <f t="shared" ca="1" si="16"/>
        <v>4.025000004090451E-3</v>
      </c>
      <c r="L47" s="3987">
        <f t="shared" ca="1" si="16"/>
        <v>7.1876033943146962E-4</v>
      </c>
      <c r="M47" s="3987">
        <f t="shared" ca="1" si="16"/>
        <v>0</v>
      </c>
      <c r="N47" s="3286"/>
      <c r="O47" s="3286"/>
      <c r="P47" s="3286"/>
      <c r="Q47" s="3274"/>
    </row>
    <row r="48" spans="2:17">
      <c r="B48" s="3271"/>
      <c r="C48" s="3283"/>
      <c r="D48" s="3286" t="s">
        <v>3275</v>
      </c>
      <c r="E48" s="3987">
        <f t="shared" ref="E48:M48" ca="1" si="17">E25/E$31</f>
        <v>5.3175106038068083E-2</v>
      </c>
      <c r="F48" s="3987">
        <f t="shared" ca="1" si="17"/>
        <v>4.3924236809043192E-2</v>
      </c>
      <c r="G48" s="3987">
        <f t="shared" ca="1" si="17"/>
        <v>1.198315225285344E-2</v>
      </c>
      <c r="H48" s="3987">
        <f t="shared" ca="1" si="17"/>
        <v>1.1395199360489734E-2</v>
      </c>
      <c r="I48" s="3987">
        <f t="shared" ca="1" si="17"/>
        <v>0</v>
      </c>
      <c r="J48" s="3987">
        <f t="shared" ca="1" si="17"/>
        <v>0</v>
      </c>
      <c r="K48" s="3987">
        <f t="shared" ca="1" si="17"/>
        <v>0</v>
      </c>
      <c r="L48" s="3987">
        <f t="shared" ca="1" si="17"/>
        <v>0</v>
      </c>
      <c r="M48" s="3987">
        <f t="shared" ca="1" si="17"/>
        <v>0</v>
      </c>
      <c r="N48" s="3286"/>
      <c r="O48" s="3286"/>
      <c r="P48" s="3286"/>
      <c r="Q48" s="3274"/>
    </row>
    <row r="49" spans="2:17">
      <c r="B49" s="3271"/>
      <c r="C49" s="3283"/>
      <c r="D49" s="3286" t="s">
        <v>2586</v>
      </c>
      <c r="E49" s="3987">
        <f t="shared" ref="E49:M49" ca="1" si="18">E26/E$31</f>
        <v>9.4393833259649923E-2</v>
      </c>
      <c r="F49" s="3987">
        <f t="shared" ca="1" si="18"/>
        <v>0.10207729920288793</v>
      </c>
      <c r="G49" s="3987">
        <f t="shared" ca="1" si="18"/>
        <v>0.11174678441304695</v>
      </c>
      <c r="H49" s="3987">
        <f t="shared" ca="1" si="18"/>
        <v>0.10488386848367864</v>
      </c>
      <c r="I49" s="3987">
        <f t="shared" ca="1" si="18"/>
        <v>7.571696125988947E-2</v>
      </c>
      <c r="J49" s="3987">
        <f t="shared" ca="1" si="18"/>
        <v>5.4100559435918457E-3</v>
      </c>
      <c r="K49" s="3987">
        <f t="shared" ca="1" si="18"/>
        <v>8.6094432714835245E-3</v>
      </c>
      <c r="L49" s="3987">
        <f t="shared" ca="1" si="18"/>
        <v>1.1614341794595579E-2</v>
      </c>
      <c r="M49" s="3987">
        <f t="shared" ca="1" si="18"/>
        <v>1.2199803964461065E-2</v>
      </c>
      <c r="N49" s="3286"/>
      <c r="O49" s="3286"/>
      <c r="P49" s="3286"/>
      <c r="Q49" s="3274"/>
    </row>
    <row r="50" spans="2:17">
      <c r="B50" s="3271"/>
      <c r="C50" s="3283"/>
      <c r="D50" s="3286" t="s">
        <v>379</v>
      </c>
      <c r="E50" s="3987">
        <f t="shared" ref="E50:M50" ca="1" si="19">E27/E$31</f>
        <v>0</v>
      </c>
      <c r="F50" s="3987">
        <f t="shared" ca="1" si="19"/>
        <v>0</v>
      </c>
      <c r="G50" s="3987">
        <f t="shared" ca="1" si="19"/>
        <v>0</v>
      </c>
      <c r="H50" s="3987">
        <f t="shared" ca="1" si="19"/>
        <v>0</v>
      </c>
      <c r="I50" s="3987">
        <f t="shared" ca="1" si="19"/>
        <v>0</v>
      </c>
      <c r="J50" s="3987">
        <f t="shared" ca="1" si="19"/>
        <v>0</v>
      </c>
      <c r="K50" s="3987">
        <f t="shared" ca="1" si="19"/>
        <v>0</v>
      </c>
      <c r="L50" s="3987">
        <f t="shared" ca="1" si="19"/>
        <v>0</v>
      </c>
      <c r="M50" s="3987">
        <f t="shared" ca="1" si="19"/>
        <v>0</v>
      </c>
      <c r="N50" s="3286"/>
      <c r="O50" s="3286"/>
      <c r="P50" s="3286"/>
      <c r="Q50" s="3274"/>
    </row>
    <row r="51" spans="2:17">
      <c r="B51" s="3271"/>
      <c r="C51" s="3283"/>
      <c r="D51" s="3286" t="s">
        <v>2588</v>
      </c>
      <c r="E51" s="3987">
        <f t="shared" ref="E51:M51" ca="1" si="20">E28/E$31</f>
        <v>0.48444317096608813</v>
      </c>
      <c r="F51" s="3987">
        <f t="shared" ca="1" si="20"/>
        <v>0.46490215398997869</v>
      </c>
      <c r="G51" s="3987">
        <f t="shared" ca="1" si="20"/>
        <v>0.45005670088273197</v>
      </c>
      <c r="H51" s="3987">
        <f t="shared" ca="1" si="20"/>
        <v>0.42752799698620386</v>
      </c>
      <c r="I51" s="3987">
        <f t="shared" ca="1" si="20"/>
        <v>0.41024700903660893</v>
      </c>
      <c r="J51" s="3987">
        <f t="shared" ca="1" si="20"/>
        <v>0.39690376197819333</v>
      </c>
      <c r="K51" s="3987">
        <f t="shared" ca="1" si="20"/>
        <v>0.37754547139228556</v>
      </c>
      <c r="L51" s="3987">
        <f t="shared" ca="1" si="20"/>
        <v>0.35957785538388615</v>
      </c>
      <c r="M51" s="3987">
        <f t="shared" ca="1" si="20"/>
        <v>0.34099626294762014</v>
      </c>
      <c r="N51" s="3286"/>
      <c r="O51" s="3286"/>
      <c r="P51" s="3286"/>
      <c r="Q51" s="3274"/>
    </row>
    <row r="52" spans="2:17">
      <c r="B52" s="3271"/>
      <c r="C52" s="3283"/>
      <c r="D52" s="3286" t="s">
        <v>380</v>
      </c>
      <c r="E52" s="3987">
        <f t="shared" ref="E52:M52" ca="1" si="21">E29/E$31</f>
        <v>0</v>
      </c>
      <c r="F52" s="3987">
        <f t="shared" ca="1" si="21"/>
        <v>1.1015748377147286E-2</v>
      </c>
      <c r="G52" s="3987">
        <f t="shared" ca="1" si="21"/>
        <v>0.2097051644249352</v>
      </c>
      <c r="H52" s="3987">
        <f t="shared" ca="1" si="21"/>
        <v>5.6975996802448671E-2</v>
      </c>
      <c r="I52" s="3987">
        <f t="shared" ca="1" si="21"/>
        <v>0</v>
      </c>
      <c r="J52" s="3987">
        <f t="shared" ca="1" si="21"/>
        <v>0</v>
      </c>
      <c r="K52" s="3987">
        <f t="shared" ca="1" si="21"/>
        <v>0</v>
      </c>
      <c r="L52" s="3987">
        <f t="shared" ca="1" si="21"/>
        <v>0</v>
      </c>
      <c r="M52" s="3987">
        <f t="shared" ca="1" si="21"/>
        <v>0</v>
      </c>
      <c r="N52" s="3286"/>
      <c r="O52" s="3286"/>
      <c r="P52" s="3286"/>
      <c r="Q52" s="3274"/>
    </row>
    <row r="53" spans="2:17">
      <c r="B53" s="3271"/>
      <c r="C53" s="3283"/>
      <c r="D53" s="3286" t="s">
        <v>2592</v>
      </c>
      <c r="E53" s="3987">
        <f t="shared" ref="E53:M53" ca="1" si="22">E30/E$31</f>
        <v>0.30052556755266435</v>
      </c>
      <c r="F53" s="3987">
        <f t="shared" ca="1" si="22"/>
        <v>0.29929955011838821</v>
      </c>
      <c r="G53" s="3987">
        <f t="shared" ca="1" si="22"/>
        <v>0.13625877016733232</v>
      </c>
      <c r="H53" s="3987">
        <f t="shared" ca="1" si="22"/>
        <v>0.33784282216927802</v>
      </c>
      <c r="I53" s="3987">
        <f t="shared" ca="1" si="22"/>
        <v>0.46852983908226548</v>
      </c>
      <c r="J53" s="3987">
        <f t="shared" ca="1" si="22"/>
        <v>0.56449420161383113</v>
      </c>
      <c r="K53" s="3987">
        <f t="shared" ca="1" si="22"/>
        <v>0.58401956883514505</v>
      </c>
      <c r="L53" s="3987">
        <f t="shared" ca="1" si="22"/>
        <v>0.60189590368214929</v>
      </c>
      <c r="M53" s="3987">
        <f t="shared" ca="1" si="22"/>
        <v>0.62126450912781583</v>
      </c>
      <c r="N53" s="3286"/>
      <c r="O53" s="3286"/>
      <c r="P53" s="3286"/>
      <c r="Q53" s="3274"/>
    </row>
    <row r="54" spans="2:17">
      <c r="B54" s="3271"/>
      <c r="C54" s="3283"/>
      <c r="D54" s="3286" t="s">
        <v>3272</v>
      </c>
      <c r="E54" s="3987">
        <f t="shared" ref="E54:M54" ca="1" si="23">E31/E$31</f>
        <v>1</v>
      </c>
      <c r="F54" s="3987">
        <f t="shared" ca="1" si="23"/>
        <v>1</v>
      </c>
      <c r="G54" s="3987">
        <f t="shared" ca="1" si="23"/>
        <v>1</v>
      </c>
      <c r="H54" s="3987">
        <f t="shared" ca="1" si="23"/>
        <v>1</v>
      </c>
      <c r="I54" s="3987">
        <f t="shared" ca="1" si="23"/>
        <v>1</v>
      </c>
      <c r="J54" s="3987">
        <f t="shared" ca="1" si="23"/>
        <v>1</v>
      </c>
      <c r="K54" s="3987">
        <f t="shared" ca="1" si="23"/>
        <v>1</v>
      </c>
      <c r="L54" s="3987">
        <f t="shared" ca="1" si="23"/>
        <v>1</v>
      </c>
      <c r="M54" s="3987">
        <f t="shared" ca="1" si="23"/>
        <v>1</v>
      </c>
      <c r="N54" s="3286"/>
      <c r="O54" s="3286"/>
      <c r="P54" s="3286"/>
      <c r="Q54" s="3274"/>
    </row>
    <row r="55" spans="2:17">
      <c r="B55" s="3271"/>
      <c r="C55" s="3283"/>
      <c r="D55" s="3286" t="s">
        <v>3260</v>
      </c>
      <c r="E55" s="3981" t="str">
        <f ca="1">IF(ROUND(E54,2)=1,"Ok","Error")</f>
        <v>Ok</v>
      </c>
      <c r="F55" s="3981" t="str">
        <f t="shared" ref="F55:M55" ca="1" si="24">IF(ROUND(F54,2)=1,"Ok","Error")</f>
        <v>Ok</v>
      </c>
      <c r="G55" s="3981" t="str">
        <f t="shared" ca="1" si="24"/>
        <v>Ok</v>
      </c>
      <c r="H55" s="3981" t="str">
        <f t="shared" ca="1" si="24"/>
        <v>Ok</v>
      </c>
      <c r="I55" s="3981" t="str">
        <f t="shared" ca="1" si="24"/>
        <v>Ok</v>
      </c>
      <c r="J55" s="3981" t="str">
        <f t="shared" ca="1" si="24"/>
        <v>Ok</v>
      </c>
      <c r="K55" s="3981" t="str">
        <f t="shared" ca="1" si="24"/>
        <v>Ok</v>
      </c>
      <c r="L55" s="3981" t="str">
        <f t="shared" ca="1" si="24"/>
        <v>Ok</v>
      </c>
      <c r="M55" s="3981" t="str">
        <f t="shared" ca="1" si="24"/>
        <v>Ok</v>
      </c>
      <c r="N55" s="3286"/>
      <c r="O55" s="3286"/>
      <c r="P55" s="3286"/>
      <c r="Q55" s="3274"/>
    </row>
    <row r="56" spans="2:17">
      <c r="B56" s="3271"/>
      <c r="C56" s="3283"/>
      <c r="D56" s="3286"/>
      <c r="E56" s="3284"/>
      <c r="F56" s="3284"/>
      <c r="G56" s="3286"/>
      <c r="H56" s="3286"/>
      <c r="I56" s="3286"/>
      <c r="J56" s="3286"/>
      <c r="K56" s="3286"/>
      <c r="L56" s="3286"/>
      <c r="M56" s="3286"/>
      <c r="N56" s="3286"/>
      <c r="O56" s="3286"/>
      <c r="P56" s="3286"/>
      <c r="Q56" s="3274"/>
    </row>
    <row r="57" spans="2:17">
      <c r="B57" s="3271"/>
      <c r="C57" s="3966" t="s">
        <v>3274</v>
      </c>
      <c r="D57" s="3286"/>
      <c r="E57" s="3284"/>
      <c r="F57" s="3284"/>
      <c r="G57" s="3286"/>
      <c r="H57" s="3286"/>
      <c r="I57" s="3286"/>
      <c r="J57" s="3286"/>
      <c r="K57" s="3286"/>
      <c r="L57" s="3286"/>
      <c r="M57" s="3286"/>
      <c r="N57" s="3286"/>
      <c r="O57" s="3286"/>
      <c r="P57" s="3286"/>
      <c r="Q57" s="3274"/>
    </row>
    <row r="58" spans="2:17">
      <c r="B58" s="3271"/>
      <c r="C58" s="3966"/>
      <c r="D58" s="3286"/>
      <c r="E58" s="3284"/>
      <c r="F58" s="3284"/>
      <c r="G58" s="3286"/>
      <c r="H58" s="3286"/>
      <c r="I58" s="3286"/>
      <c r="J58" s="3286"/>
      <c r="K58" s="3286"/>
      <c r="L58" s="3286"/>
      <c r="M58" s="3982" t="s">
        <v>3261</v>
      </c>
      <c r="N58" s="3286"/>
      <c r="O58" s="3286"/>
      <c r="P58" s="3286"/>
      <c r="Q58" s="3274"/>
    </row>
    <row r="59" spans="2:17">
      <c r="B59" s="3271"/>
      <c r="C59" s="3966"/>
      <c r="D59" s="3280" t="s">
        <v>28</v>
      </c>
      <c r="E59" s="3281">
        <v>2013</v>
      </c>
      <c r="F59" s="3281">
        <v>2015</v>
      </c>
      <c r="G59" s="3281">
        <v>2020</v>
      </c>
      <c r="H59" s="3281">
        <v>2025</v>
      </c>
      <c r="I59" s="3281">
        <v>2030</v>
      </c>
      <c r="J59" s="3281">
        <v>2035</v>
      </c>
      <c r="K59" s="3281">
        <v>2040</v>
      </c>
      <c r="L59" s="3281">
        <v>2045</v>
      </c>
      <c r="M59" s="3282">
        <v>2050</v>
      </c>
      <c r="N59" s="3974"/>
      <c r="O59" s="3286"/>
      <c r="P59" s="3286"/>
      <c r="Q59" s="3274"/>
    </row>
    <row r="60" spans="2:17">
      <c r="B60" s="3272"/>
      <c r="C60" s="3988" t="s">
        <v>3298</v>
      </c>
      <c r="D60" s="3286" t="s">
        <v>387</v>
      </c>
      <c r="E60" s="3983">
        <f ca="1">IF(E36&gt;0,-E36*LN(E36),0)</f>
        <v>0</v>
      </c>
      <c r="F60" s="3983">
        <f t="shared" ref="F60:M60" ca="1" si="25">IF(F36&gt;0,-F36*LN(F36),0)</f>
        <v>0</v>
      </c>
      <c r="G60" s="3983">
        <f t="shared" ca="1" si="25"/>
        <v>0</v>
      </c>
      <c r="H60" s="3983">
        <f t="shared" ca="1" si="25"/>
        <v>0</v>
      </c>
      <c r="I60" s="3983">
        <f t="shared" ca="1" si="25"/>
        <v>0</v>
      </c>
      <c r="J60" s="3983">
        <f t="shared" ca="1" si="25"/>
        <v>0</v>
      </c>
      <c r="K60" s="3983">
        <f t="shared" ca="1" si="25"/>
        <v>0</v>
      </c>
      <c r="L60" s="3983">
        <f t="shared" ca="1" si="25"/>
        <v>0</v>
      </c>
      <c r="M60" s="3983">
        <f t="shared" ca="1" si="25"/>
        <v>0</v>
      </c>
      <c r="N60" s="3286"/>
      <c r="O60" s="3286"/>
      <c r="P60" s="3286"/>
      <c r="Q60" s="3274"/>
    </row>
    <row r="61" spans="2:17">
      <c r="B61" s="3271"/>
      <c r="C61" s="3966"/>
      <c r="D61" s="3286" t="s">
        <v>78</v>
      </c>
      <c r="E61" s="3983">
        <f t="shared" ref="E61:M61" ca="1" si="26">IF(E37&gt;0,-E37*LN(E37),0)</f>
        <v>2.1454764618404529E-3</v>
      </c>
      <c r="F61" s="3983">
        <f t="shared" ca="1" si="26"/>
        <v>2.6596988506901111E-3</v>
      </c>
      <c r="G61" s="3983">
        <f t="shared" ca="1" si="26"/>
        <v>2.6756381012486381E-3</v>
      </c>
      <c r="H61" s="3983">
        <f t="shared" ca="1" si="26"/>
        <v>2.675098100305257E-3</v>
      </c>
      <c r="I61" s="3983">
        <f t="shared" ca="1" si="26"/>
        <v>3.0096817592665638E-3</v>
      </c>
      <c r="J61" s="3983">
        <f t="shared" ca="1" si="26"/>
        <v>3.0440403863494225E-3</v>
      </c>
      <c r="K61" s="3983">
        <f t="shared" ca="1" si="26"/>
        <v>3.0373632845782168E-3</v>
      </c>
      <c r="L61" s="3983">
        <f t="shared" ca="1" si="26"/>
        <v>3.0232346012262759E-3</v>
      </c>
      <c r="M61" s="3983">
        <f t="shared" ca="1" si="26"/>
        <v>3.0175847050552627E-3</v>
      </c>
      <c r="N61" s="3286"/>
      <c r="O61" s="3286"/>
      <c r="P61" s="3286"/>
      <c r="Q61" s="3274"/>
    </row>
    <row r="62" spans="2:17">
      <c r="B62" s="3271"/>
      <c r="C62" s="3966"/>
      <c r="D62" s="3286" t="s">
        <v>388</v>
      </c>
      <c r="E62" s="3983">
        <f t="shared" ref="E62:M62" ca="1" si="27">IF(E38&gt;0,-E38*LN(E38),0)</f>
        <v>0.10138636058234377</v>
      </c>
      <c r="F62" s="3983">
        <f t="shared" ca="1" si="27"/>
        <v>0.11791594955628153</v>
      </c>
      <c r="G62" s="3983">
        <f t="shared" ca="1" si="27"/>
        <v>0.11420974335422897</v>
      </c>
      <c r="H62" s="3983">
        <f t="shared" ca="1" si="27"/>
        <v>7.5322655860891735E-2</v>
      </c>
      <c r="I62" s="3983">
        <f t="shared" ca="1" si="27"/>
        <v>3.1538700950699383E-2</v>
      </c>
      <c r="J62" s="3983">
        <f t="shared" ca="1" si="27"/>
        <v>1.7394527786459733E-3</v>
      </c>
      <c r="K62" s="3983">
        <f t="shared" ca="1" si="27"/>
        <v>1.6669958051049683E-3</v>
      </c>
      <c r="L62" s="3983">
        <f t="shared" ca="1" si="27"/>
        <v>1.5967038076787458E-3</v>
      </c>
      <c r="M62" s="3983">
        <f t="shared" ca="1" si="27"/>
        <v>1.5332335754498542E-3</v>
      </c>
      <c r="N62" s="3286"/>
      <c r="O62" s="3286"/>
      <c r="P62" s="3286"/>
      <c r="Q62" s="3274"/>
    </row>
    <row r="63" spans="2:17">
      <c r="B63" s="3271"/>
      <c r="C63" s="3966"/>
      <c r="D63" s="3286" t="s">
        <v>389</v>
      </c>
      <c r="E63" s="3983">
        <f t="shared" ref="E63:M63" ca="1" si="28">IF(E39&gt;0,-E39*LN(E39),0)</f>
        <v>0</v>
      </c>
      <c r="F63" s="3983">
        <f t="shared" ca="1" si="28"/>
        <v>0</v>
      </c>
      <c r="G63" s="3983">
        <f t="shared" ca="1" si="28"/>
        <v>0</v>
      </c>
      <c r="H63" s="3983">
        <f t="shared" ca="1" si="28"/>
        <v>0</v>
      </c>
      <c r="I63" s="3983">
        <f t="shared" ca="1" si="28"/>
        <v>0</v>
      </c>
      <c r="J63" s="3983">
        <f t="shared" ca="1" si="28"/>
        <v>0</v>
      </c>
      <c r="K63" s="3983">
        <f t="shared" ca="1" si="28"/>
        <v>0</v>
      </c>
      <c r="L63" s="3983">
        <f t="shared" ca="1" si="28"/>
        <v>0</v>
      </c>
      <c r="M63" s="3983">
        <f t="shared" ca="1" si="28"/>
        <v>0</v>
      </c>
      <c r="N63" s="3286"/>
      <c r="O63" s="3286"/>
      <c r="P63" s="3286"/>
      <c r="Q63" s="3274"/>
    </row>
    <row r="64" spans="2:17">
      <c r="B64" s="3271"/>
      <c r="C64" s="3966"/>
      <c r="D64" s="3286" t="s">
        <v>390</v>
      </c>
      <c r="E64" s="3983">
        <f t="shared" ref="E64:M64" ca="1" si="29">IF(E40&gt;0,-E40*LN(E40),0)</f>
        <v>0</v>
      </c>
      <c r="F64" s="3983">
        <f t="shared" ca="1" si="29"/>
        <v>2.6362560174324646E-4</v>
      </c>
      <c r="G64" s="3983">
        <f t="shared" ca="1" si="29"/>
        <v>7.3774764253064628E-4</v>
      </c>
      <c r="H64" s="3983">
        <f t="shared" ca="1" si="29"/>
        <v>7.0528146873214022E-4</v>
      </c>
      <c r="I64" s="3983">
        <f t="shared" ca="1" si="29"/>
        <v>6.7821813729943925E-4</v>
      </c>
      <c r="J64" s="3983">
        <f t="shared" ca="1" si="29"/>
        <v>6.5879068364323829E-4</v>
      </c>
      <c r="K64" s="3983">
        <f t="shared" ca="1" si="29"/>
        <v>6.3094285420141739E-4</v>
      </c>
      <c r="L64" s="3983">
        <f t="shared" ca="1" si="29"/>
        <v>0</v>
      </c>
      <c r="M64" s="3983">
        <f t="shared" ca="1" si="29"/>
        <v>0</v>
      </c>
      <c r="N64" s="3286"/>
      <c r="O64" s="3286"/>
      <c r="P64" s="3286"/>
      <c r="Q64" s="3274"/>
    </row>
    <row r="65" spans="2:17">
      <c r="B65" s="3271"/>
      <c r="C65" s="3966"/>
      <c r="D65" s="3286" t="s">
        <v>54</v>
      </c>
      <c r="E65" s="3983">
        <f t="shared" ref="E65:M65" ca="1" si="30">IF(E41&gt;0,-E41*LN(E41),0)</f>
        <v>0</v>
      </c>
      <c r="F65" s="3983">
        <f t="shared" ca="1" si="30"/>
        <v>0</v>
      </c>
      <c r="G65" s="3983">
        <f t="shared" ca="1" si="30"/>
        <v>0</v>
      </c>
      <c r="H65" s="3983">
        <f t="shared" ca="1" si="30"/>
        <v>0</v>
      </c>
      <c r="I65" s="3983">
        <f t="shared" ca="1" si="30"/>
        <v>0</v>
      </c>
      <c r="J65" s="3983">
        <f t="shared" ca="1" si="30"/>
        <v>0</v>
      </c>
      <c r="K65" s="3983">
        <f t="shared" ca="1" si="30"/>
        <v>0</v>
      </c>
      <c r="L65" s="3983">
        <f t="shared" ca="1" si="30"/>
        <v>0</v>
      </c>
      <c r="M65" s="3983">
        <f t="shared" ca="1" si="30"/>
        <v>0</v>
      </c>
      <c r="N65" s="3286"/>
      <c r="O65" s="3286"/>
      <c r="P65" s="3286"/>
      <c r="Q65" s="3274"/>
    </row>
    <row r="66" spans="2:17">
      <c r="B66" s="3271"/>
      <c r="C66" s="3966"/>
      <c r="D66" s="3286" t="s">
        <v>391</v>
      </c>
      <c r="E66" s="3983">
        <f t="shared" ref="E66:M66" ca="1" si="31">IF(E42&gt;0,-E42*LN(E42),0)</f>
        <v>2.5343551380984961E-2</v>
      </c>
      <c r="F66" s="3983">
        <f t="shared" ca="1" si="31"/>
        <v>2.5162753839141253E-2</v>
      </c>
      <c r="G66" s="3983">
        <f t="shared" ca="1" si="31"/>
        <v>2.4233679585518191E-2</v>
      </c>
      <c r="H66" s="3983">
        <f t="shared" ca="1" si="31"/>
        <v>2.4308011326256082E-2</v>
      </c>
      <c r="I66" s="3983">
        <f t="shared" ca="1" si="31"/>
        <v>1.6270412143072718E-2</v>
      </c>
      <c r="J66" s="3983">
        <f t="shared" ca="1" si="31"/>
        <v>1.1155866636138488E-2</v>
      </c>
      <c r="K66" s="3983">
        <f t="shared" ca="1" si="31"/>
        <v>7.9165746398741858E-3</v>
      </c>
      <c r="L66" s="3983">
        <f t="shared" ca="1" si="31"/>
        <v>5.6929621795587361E-3</v>
      </c>
      <c r="M66" s="3983">
        <f t="shared" ca="1" si="31"/>
        <v>0</v>
      </c>
      <c r="N66" s="3286"/>
      <c r="O66" s="3286"/>
      <c r="P66" s="3286"/>
      <c r="Q66" s="3274"/>
    </row>
    <row r="67" spans="2:17">
      <c r="B67" s="3271"/>
      <c r="C67" s="3966"/>
      <c r="D67" s="3286" t="s">
        <v>555</v>
      </c>
      <c r="E67" s="3983">
        <f t="shared" ref="E67:M67" ca="1" si="32">IF(E43&gt;0,-E43*LN(E43),0)</f>
        <v>6.5615958558730605E-2</v>
      </c>
      <c r="F67" s="3983">
        <f t="shared" ca="1" si="32"/>
        <v>6.5178993611196584E-2</v>
      </c>
      <c r="G67" s="3983">
        <f t="shared" ca="1" si="32"/>
        <v>6.2928176599979541E-2</v>
      </c>
      <c r="H67" s="3983">
        <f t="shared" ca="1" si="32"/>
        <v>4.0700050037203422E-2</v>
      </c>
      <c r="I67" s="3983">
        <f t="shared" ca="1" si="32"/>
        <v>2.8422575000222428E-2</v>
      </c>
      <c r="J67" s="3983">
        <f t="shared" ca="1" si="32"/>
        <v>7.2243954639893767E-16</v>
      </c>
      <c r="K67" s="3983">
        <f t="shared" ca="1" si="32"/>
        <v>1.3538216545225992E-15</v>
      </c>
      <c r="L67" s="3983">
        <f t="shared" ca="1" si="32"/>
        <v>0</v>
      </c>
      <c r="M67" s="3983">
        <f t="shared" ca="1" si="32"/>
        <v>0</v>
      </c>
      <c r="N67" s="3286"/>
      <c r="O67" s="3286"/>
      <c r="P67" s="3286"/>
      <c r="Q67" s="3274"/>
    </row>
    <row r="68" spans="2:17">
      <c r="B68" s="3271"/>
      <c r="C68" s="3966"/>
      <c r="D68" s="3286" t="s">
        <v>91</v>
      </c>
      <c r="E68" s="3983">
        <f t="shared" ref="E68:M68" ca="1" si="33">IF(E44&gt;0,-E44*LN(E44),0)</f>
        <v>5.1097162596543443E-3</v>
      </c>
      <c r="F68" s="3983">
        <f t="shared" ca="1" si="33"/>
        <v>6.3109250658342289E-3</v>
      </c>
      <c r="G68" s="3983">
        <f t="shared" ca="1" si="33"/>
        <v>9.1824374546507891E-3</v>
      </c>
      <c r="H68" s="3983">
        <f t="shared" ca="1" si="33"/>
        <v>1.1841740764765324E-2</v>
      </c>
      <c r="I68" s="3983">
        <f t="shared" ca="1" si="33"/>
        <v>1.4418965369008675E-2</v>
      </c>
      <c r="J68" s="3983">
        <f t="shared" ca="1" si="33"/>
        <v>1.7041239830922272E-2</v>
      </c>
      <c r="K68" s="3983">
        <f t="shared" ca="1" si="33"/>
        <v>1.9347109515806666E-2</v>
      </c>
      <c r="L68" s="3983">
        <f t="shared" ca="1" si="33"/>
        <v>2.1521908843541371E-2</v>
      </c>
      <c r="M68" s="3983">
        <f t="shared" ca="1" si="33"/>
        <v>2.3634307333413283E-2</v>
      </c>
      <c r="N68" s="3286"/>
      <c r="O68" s="3286"/>
      <c r="P68" s="3286"/>
      <c r="Q68" s="3274"/>
    </row>
    <row r="69" spans="2:17">
      <c r="B69" s="3271"/>
      <c r="C69" s="3966"/>
      <c r="D69" s="3286" t="s">
        <v>393</v>
      </c>
      <c r="E69" s="3983">
        <f t="shared" ref="E69:M69" ca="1" si="34">IF(E45&gt;0,-E45*LN(E45),0)</f>
        <v>4.062474355567567E-2</v>
      </c>
      <c r="F69" s="3983">
        <f t="shared" ca="1" si="34"/>
        <v>5.2260554686051897E-2</v>
      </c>
      <c r="G69" s="3983">
        <f t="shared" ca="1" si="34"/>
        <v>6.4719378798096458E-2</v>
      </c>
      <c r="H69" s="3983">
        <f t="shared" ca="1" si="34"/>
        <v>7.2171471928776237E-2</v>
      </c>
      <c r="I69" s="3983">
        <f t="shared" ca="1" si="34"/>
        <v>7.09441096366355E-2</v>
      </c>
      <c r="J69" s="3983">
        <f t="shared" ca="1" si="34"/>
        <v>7.2930558332473777E-2</v>
      </c>
      <c r="K69" s="3983">
        <f t="shared" ca="1" si="34"/>
        <v>7.4085513442141801E-2</v>
      </c>
      <c r="L69" s="3983">
        <f t="shared" ca="1" si="34"/>
        <v>7.5214297166476318E-2</v>
      </c>
      <c r="M69" s="3983">
        <f t="shared" ca="1" si="34"/>
        <v>7.4268808817248136E-2</v>
      </c>
      <c r="N69" s="3286"/>
      <c r="O69" s="3286"/>
      <c r="P69" s="3286"/>
      <c r="Q69" s="3274"/>
    </row>
    <row r="70" spans="2:17">
      <c r="B70" s="3271"/>
      <c r="C70" s="3966"/>
      <c r="D70" s="3286" t="s">
        <v>392</v>
      </c>
      <c r="E70" s="3983">
        <f t="shared" ref="E70:M70" ca="1" si="35">IF(E46&gt;0,-E46*LN(E46),0)</f>
        <v>1.2334923419792891E-2</v>
      </c>
      <c r="F70" s="3983">
        <f t="shared" ca="1" si="35"/>
        <v>1.2411793359904428E-2</v>
      </c>
      <c r="G70" s="3983">
        <f t="shared" ca="1" si="35"/>
        <v>1.2359351877055759E-2</v>
      </c>
      <c r="H70" s="3983">
        <f t="shared" ca="1" si="35"/>
        <v>1.2274243873491113E-2</v>
      </c>
      <c r="I70" s="3983">
        <f t="shared" ca="1" si="35"/>
        <v>1.2266879920580259E-2</v>
      </c>
      <c r="J70" s="3983">
        <f t="shared" ca="1" si="35"/>
        <v>1.2385517354091841E-2</v>
      </c>
      <c r="K70" s="3983">
        <f t="shared" ca="1" si="35"/>
        <v>1.2350588335504569E-2</v>
      </c>
      <c r="L70" s="3983">
        <f t="shared" ca="1" si="35"/>
        <v>1.2319352681509872E-2</v>
      </c>
      <c r="M70" s="3983">
        <f t="shared" ca="1" si="35"/>
        <v>1.2327418963430013E-2</v>
      </c>
      <c r="N70" s="3286"/>
      <c r="O70" s="3286"/>
      <c r="P70" s="3286"/>
      <c r="Q70" s="3274"/>
    </row>
    <row r="71" spans="2:17">
      <c r="B71" s="3271"/>
      <c r="C71" s="3966"/>
      <c r="D71" s="3286" t="s">
        <v>2591</v>
      </c>
      <c r="E71" s="3983">
        <f t="shared" ref="E71:M71" ca="1" si="36">IF(E47&gt;0,-E47*LN(E47),0)</f>
        <v>3.4473183718758613E-2</v>
      </c>
      <c r="F71" s="3983">
        <f t="shared" ca="1" si="36"/>
        <v>3.9148492768310325E-2</v>
      </c>
      <c r="G71" s="3983">
        <f t="shared" ca="1" si="36"/>
        <v>3.7739869431369998E-2</v>
      </c>
      <c r="H71" s="3983">
        <f t="shared" ca="1" si="36"/>
        <v>3.5141011522895171E-2</v>
      </c>
      <c r="I71" s="3983">
        <f t="shared" ca="1" si="36"/>
        <v>4.1374757700692023E-2</v>
      </c>
      <c r="J71" s="3983">
        <f t="shared" ca="1" si="36"/>
        <v>3.7300571175306781E-2</v>
      </c>
      <c r="K71" s="3983">
        <f t="shared" ca="1" si="36"/>
        <v>2.2198802250118561E-2</v>
      </c>
      <c r="L71" s="3983">
        <f t="shared" ca="1" si="36"/>
        <v>5.2023748164744064E-3</v>
      </c>
      <c r="M71" s="3983">
        <f t="shared" ca="1" si="36"/>
        <v>0</v>
      </c>
      <c r="N71" s="3286"/>
      <c r="O71" s="3286"/>
      <c r="P71" s="3286"/>
      <c r="Q71" s="3274"/>
    </row>
    <row r="72" spans="2:17">
      <c r="B72" s="3271"/>
      <c r="C72" s="3966"/>
      <c r="D72" s="3286" t="s">
        <v>378</v>
      </c>
      <c r="E72" s="3983">
        <f t="shared" ref="E72:M72" ca="1" si="37">IF(E48&gt;0,-E48*LN(E48),0)</f>
        <v>0.15602453095432869</v>
      </c>
      <c r="F72" s="3983">
        <f t="shared" ca="1" si="37"/>
        <v>0.13727593500789642</v>
      </c>
      <c r="G72" s="3983">
        <f t="shared" ca="1" si="37"/>
        <v>5.3016504429624224E-2</v>
      </c>
      <c r="H72" s="3983">
        <f t="shared" ca="1" si="37"/>
        <v>5.0988538814911097E-2</v>
      </c>
      <c r="I72" s="3983">
        <f t="shared" ca="1" si="37"/>
        <v>0</v>
      </c>
      <c r="J72" s="3983">
        <f t="shared" ca="1" si="37"/>
        <v>0</v>
      </c>
      <c r="K72" s="3983">
        <f t="shared" ca="1" si="37"/>
        <v>0</v>
      </c>
      <c r="L72" s="3983">
        <f t="shared" ca="1" si="37"/>
        <v>0</v>
      </c>
      <c r="M72" s="3983">
        <f t="shared" ca="1" si="37"/>
        <v>0</v>
      </c>
      <c r="N72" s="3286"/>
      <c r="O72" s="3286"/>
      <c r="P72" s="3286"/>
      <c r="Q72" s="3274"/>
    </row>
    <row r="73" spans="2:17">
      <c r="B73" s="3271"/>
      <c r="C73" s="3966"/>
      <c r="D73" s="3286" t="s">
        <v>2586</v>
      </c>
      <c r="E73" s="3983">
        <f t="shared" ref="E73:M73" ca="1" si="38">IF(E49&gt;0,-E49*LN(E49),0)</f>
        <v>0.22279583274116102</v>
      </c>
      <c r="F73" s="3983">
        <f t="shared" ca="1" si="38"/>
        <v>0.2329429402806224</v>
      </c>
      <c r="G73" s="3983">
        <f t="shared" ca="1" si="38"/>
        <v>0.24489529294401027</v>
      </c>
      <c r="H73" s="3983">
        <f t="shared" ca="1" si="38"/>
        <v>0.23650279817508721</v>
      </c>
      <c r="I73" s="3983">
        <f t="shared" ca="1" si="38"/>
        <v>0.19540678133715014</v>
      </c>
      <c r="J73" s="3983">
        <f t="shared" ca="1" si="38"/>
        <v>2.8237764520972087E-2</v>
      </c>
      <c r="K73" s="3983">
        <f t="shared" ca="1" si="38"/>
        <v>4.0937004130801015E-2</v>
      </c>
      <c r="L73" s="3983">
        <f t="shared" ca="1" si="38"/>
        <v>5.1747869236981603E-2</v>
      </c>
      <c r="M73" s="3983">
        <f t="shared" ca="1" si="38"/>
        <v>5.375642803114359E-2</v>
      </c>
      <c r="N73" s="3286"/>
      <c r="O73" s="3286"/>
      <c r="P73" s="3286"/>
      <c r="Q73" s="3274"/>
    </row>
    <row r="74" spans="2:17">
      <c r="B74" s="3271"/>
      <c r="C74" s="3966"/>
      <c r="D74" s="3286" t="s">
        <v>379</v>
      </c>
      <c r="E74" s="3983">
        <f t="shared" ref="E74:M74" ca="1" si="39">IF(E50&gt;0,-E50*LN(E50),0)</f>
        <v>0</v>
      </c>
      <c r="F74" s="3983">
        <f t="shared" ca="1" si="39"/>
        <v>0</v>
      </c>
      <c r="G74" s="3983">
        <f t="shared" ca="1" si="39"/>
        <v>0</v>
      </c>
      <c r="H74" s="3983">
        <f t="shared" ca="1" si="39"/>
        <v>0</v>
      </c>
      <c r="I74" s="3983">
        <f t="shared" ca="1" si="39"/>
        <v>0</v>
      </c>
      <c r="J74" s="3983">
        <f t="shared" ca="1" si="39"/>
        <v>0</v>
      </c>
      <c r="K74" s="3983">
        <f t="shared" ca="1" si="39"/>
        <v>0</v>
      </c>
      <c r="L74" s="3983">
        <f t="shared" ca="1" si="39"/>
        <v>0</v>
      </c>
      <c r="M74" s="3983">
        <f t="shared" ca="1" si="39"/>
        <v>0</v>
      </c>
      <c r="N74" s="3286"/>
      <c r="O74" s="3286"/>
      <c r="P74" s="3286"/>
      <c r="Q74" s="3274"/>
    </row>
    <row r="75" spans="2:17">
      <c r="B75" s="3271"/>
      <c r="C75" s="3966"/>
      <c r="D75" s="3286" t="s">
        <v>2588</v>
      </c>
      <c r="E75" s="3983">
        <f t="shared" ref="E75:M75" ca="1" si="40">IF(E51&gt;0,-E51*LN(E51),0)</f>
        <v>0.35110268241916853</v>
      </c>
      <c r="F75" s="3983">
        <f t="shared" ca="1" si="40"/>
        <v>0.35608172440470515</v>
      </c>
      <c r="G75" s="3983">
        <f t="shared" ca="1" si="40"/>
        <v>0.35931703493444789</v>
      </c>
      <c r="H75" s="3983">
        <f t="shared" ca="1" si="40"/>
        <v>0.3632857174474397</v>
      </c>
      <c r="I75" s="3983">
        <f t="shared" ca="1" si="40"/>
        <v>0.36552837827050322</v>
      </c>
      <c r="J75" s="3983">
        <f t="shared" ca="1" si="40"/>
        <v>0.36676346216637329</v>
      </c>
      <c r="K75" s="3983">
        <f t="shared" ca="1" si="40"/>
        <v>0.36775355153996797</v>
      </c>
      <c r="L75" s="3983">
        <f t="shared" ca="1" si="40"/>
        <v>0.36778506154869384</v>
      </c>
      <c r="M75" s="3983">
        <f t="shared" ca="1" si="40"/>
        <v>0.3668723418181179</v>
      </c>
      <c r="N75" s="3286"/>
      <c r="O75" s="3286"/>
      <c r="P75" s="3286"/>
      <c r="Q75" s="3274"/>
    </row>
    <row r="76" spans="2:17">
      <c r="B76" s="3271"/>
      <c r="C76" s="3966"/>
      <c r="D76" s="3286" t="s">
        <v>380</v>
      </c>
      <c r="E76" s="3983">
        <f t="shared" ref="E76:M76" ca="1" si="41">IF(E52&gt;0,-E52*LN(E52),0)</f>
        <v>0</v>
      </c>
      <c r="F76" s="3983">
        <f t="shared" ca="1" si="41"/>
        <v>4.966372339926433E-2</v>
      </c>
      <c r="G76" s="3983">
        <f t="shared" ca="1" si="41"/>
        <v>0.32757052116591528</v>
      </c>
      <c r="H76" s="3983">
        <f t="shared" ca="1" si="41"/>
        <v>0.16324336472197054</v>
      </c>
      <c r="I76" s="3983">
        <f t="shared" ca="1" si="41"/>
        <v>0</v>
      </c>
      <c r="J76" s="3983">
        <f t="shared" ca="1" si="41"/>
        <v>0</v>
      </c>
      <c r="K76" s="3983">
        <f t="shared" ca="1" si="41"/>
        <v>0</v>
      </c>
      <c r="L76" s="3983">
        <f t="shared" ca="1" si="41"/>
        <v>0</v>
      </c>
      <c r="M76" s="3983">
        <f t="shared" ca="1" si="41"/>
        <v>0</v>
      </c>
      <c r="N76" s="3286"/>
      <c r="O76" s="3286"/>
      <c r="P76" s="3286"/>
      <c r="Q76" s="3274"/>
    </row>
    <row r="77" spans="2:17">
      <c r="B77" s="3271"/>
      <c r="C77" s="3966"/>
      <c r="D77" s="3286" t="s">
        <v>2592</v>
      </c>
      <c r="E77" s="3983">
        <f t="shared" ref="E77:M77" ca="1" si="42">IF(E53&gt;0,-E53*LN(E53),0)</f>
        <v>0.36129858268520998</v>
      </c>
      <c r="F77" s="3983">
        <f t="shared" ca="1" si="42"/>
        <v>0.36104815021725623</v>
      </c>
      <c r="G77" s="3983">
        <f t="shared" ca="1" si="42"/>
        <v>0.27159090974891004</v>
      </c>
      <c r="H77" s="3983">
        <f t="shared" ca="1" si="42"/>
        <v>0.36661842063422928</v>
      </c>
      <c r="I77" s="3983">
        <f t="shared" ca="1" si="42"/>
        <v>0.35521846909869059</v>
      </c>
      <c r="J77" s="3983">
        <f t="shared" ca="1" si="42"/>
        <v>0.32279199120182978</v>
      </c>
      <c r="K77" s="3983">
        <f t="shared" ca="1" si="42"/>
        <v>0.31409786497293651</v>
      </c>
      <c r="L77" s="3983">
        <f t="shared" ca="1" si="42"/>
        <v>0.3055649545328295</v>
      </c>
      <c r="M77" s="3983">
        <f t="shared" ca="1" si="42"/>
        <v>0.29572087946363751</v>
      </c>
      <c r="N77" s="3286"/>
      <c r="O77" s="3974" t="s">
        <v>3262</v>
      </c>
      <c r="P77" s="3286"/>
      <c r="Q77" s="3274"/>
    </row>
    <row r="78" spans="2:17">
      <c r="B78" s="3271"/>
      <c r="C78" s="3283"/>
      <c r="D78" s="3974" t="s">
        <v>3263</v>
      </c>
      <c r="E78" s="3984">
        <f ca="1">SUM(E60:E77)</f>
        <v>1.3782555427376495</v>
      </c>
      <c r="F78" s="3984">
        <f t="shared" ref="F78:M78" ca="1" si="43">SUM(F60:F77)</f>
        <v>1.4583252606488981</v>
      </c>
      <c r="G78" s="3984">
        <f t="shared" ca="1" si="43"/>
        <v>1.5851762860675866</v>
      </c>
      <c r="H78" s="3984">
        <f t="shared" ca="1" si="43"/>
        <v>1.4557784046769544</v>
      </c>
      <c r="I78" s="3984">
        <f t="shared" ca="1" si="43"/>
        <v>1.1350779293238209</v>
      </c>
      <c r="J78" s="3984">
        <f t="shared" ca="1" si="43"/>
        <v>0.87404925506674769</v>
      </c>
      <c r="K78" s="3984">
        <f t="shared" ca="1" si="43"/>
        <v>0.86402231077103719</v>
      </c>
      <c r="L78" s="3984">
        <f t="shared" ca="1" si="43"/>
        <v>0.84966871941497069</v>
      </c>
      <c r="M78" s="3984">
        <f t="shared" ca="1" si="43"/>
        <v>0.83113100270749563</v>
      </c>
      <c r="N78" s="3286"/>
      <c r="O78" s="3985">
        <f ca="1">LN(COUNT(M60:M77))</f>
        <v>2.8903717578961645</v>
      </c>
      <c r="P78" s="3286"/>
      <c r="Q78" s="3274"/>
    </row>
    <row r="79" spans="2:17">
      <c r="B79" s="3271"/>
      <c r="C79" s="3283" t="s">
        <v>5</v>
      </c>
      <c r="D79" s="3283"/>
      <c r="E79" s="3284"/>
      <c r="F79" s="3284"/>
      <c r="G79" s="3286"/>
      <c r="H79" s="3286"/>
      <c r="I79" s="3286"/>
      <c r="J79" s="3286"/>
      <c r="K79" s="3286"/>
      <c r="L79" s="3286"/>
      <c r="M79" s="3286"/>
      <c r="N79" s="3286"/>
      <c r="O79" s="3286"/>
      <c r="P79" s="3286"/>
      <c r="Q79" s="3274"/>
    </row>
    <row r="81" spans="2:17" ht="15">
      <c r="B81" s="3263" t="s">
        <v>3264</v>
      </c>
      <c r="C81" s="3264"/>
      <c r="D81" s="3264"/>
      <c r="E81" s="3264"/>
      <c r="F81" s="3264"/>
      <c r="G81" s="3265"/>
      <c r="H81" s="3265"/>
      <c r="I81" s="3265"/>
      <c r="J81" s="3265"/>
      <c r="K81" s="3265"/>
      <c r="L81" s="3265"/>
      <c r="M81" s="3265"/>
      <c r="N81" s="3265"/>
      <c r="O81" s="3265"/>
      <c r="P81" s="3265"/>
      <c r="Q81" s="3266"/>
    </row>
    <row r="82" spans="2:17" ht="15">
      <c r="B82" s="3267"/>
      <c r="C82" s="3268"/>
      <c r="D82" s="3268"/>
      <c r="E82" s="3268"/>
      <c r="F82" s="3268"/>
      <c r="G82" s="3269"/>
      <c r="H82" s="3269"/>
      <c r="I82" s="3269"/>
      <c r="J82" s="3269"/>
      <c r="K82" s="3269"/>
      <c r="L82" s="3269"/>
      <c r="M82" s="3269"/>
      <c r="N82" s="3269"/>
      <c r="O82" s="3269"/>
      <c r="P82" s="3269"/>
      <c r="Q82" s="3270"/>
    </row>
    <row r="83" spans="2:17" ht="15">
      <c r="B83" s="3866"/>
      <c r="C83" s="3272" t="s">
        <v>3277</v>
      </c>
      <c r="D83" s="3272"/>
      <c r="E83" s="3272"/>
      <c r="F83" s="3272"/>
      <c r="G83" s="3867"/>
      <c r="H83" s="3867"/>
      <c r="I83" s="3867"/>
      <c r="J83" s="3867"/>
      <c r="K83" s="3867"/>
      <c r="L83" s="3867"/>
      <c r="M83" s="3867"/>
      <c r="N83" s="3867"/>
      <c r="O83" s="3867"/>
      <c r="P83" s="3867"/>
      <c r="Q83" s="3869"/>
    </row>
    <row r="84" spans="2:17" ht="15">
      <c r="B84" s="3866"/>
      <c r="C84" s="3272"/>
      <c r="D84" s="3272"/>
      <c r="E84" s="3272"/>
      <c r="F84" s="3272"/>
      <c r="G84" s="3867"/>
      <c r="H84" s="3867"/>
      <c r="I84" s="3867"/>
      <c r="J84" s="3867"/>
      <c r="K84" s="3867"/>
      <c r="L84" s="3867"/>
      <c r="M84" s="3868" t="str">
        <f>Preferences.EnergyUnits</f>
        <v>TWh</v>
      </c>
      <c r="N84" s="3867"/>
      <c r="O84" s="3867"/>
      <c r="P84" s="3867"/>
      <c r="Q84" s="3869"/>
    </row>
    <row r="85" spans="2:17">
      <c r="B85" s="3271"/>
      <c r="C85" s="3279" t="s">
        <v>43</v>
      </c>
      <c r="D85" s="3280" t="s">
        <v>28</v>
      </c>
      <c r="E85" s="3281">
        <v>2013</v>
      </c>
      <c r="F85" s="3281">
        <v>2015</v>
      </c>
      <c r="G85" s="3281">
        <v>2020</v>
      </c>
      <c r="H85" s="3281">
        <v>2025</v>
      </c>
      <c r="I85" s="3281">
        <v>2030</v>
      </c>
      <c r="J85" s="3281">
        <v>2035</v>
      </c>
      <c r="K85" s="3281">
        <v>2040</v>
      </c>
      <c r="L85" s="3281">
        <v>2045</v>
      </c>
      <c r="M85" s="3282">
        <v>2050</v>
      </c>
      <c r="N85" s="3286"/>
      <c r="O85" s="3286"/>
      <c r="P85" s="3286"/>
      <c r="Q85" s="3274"/>
    </row>
    <row r="86" spans="2:17">
      <c r="B86" s="3271"/>
      <c r="C86" s="3283" t="s">
        <v>436</v>
      </c>
      <c r="D86" s="3286" t="s">
        <v>387</v>
      </c>
      <c r="E86" s="3978">
        <f ca="1">-INDEX(INDIRECT("'"&amp;E$12&amp;"'!Year.NetBalance"), MATCH($C86, INDIRECT("'"&amp;E$12&amp;"'!Year.Vectors"), 0))</f>
        <v>0</v>
      </c>
      <c r="F86" s="3978">
        <f t="shared" ref="F86:M86" ca="1" si="44">-INDEX(INDIRECT("'"&amp;F$12&amp;"'!Year.NetBalance"), MATCH($C86, INDIRECT("'"&amp;F$12&amp;"'!Year.Vectors"), 0))</f>
        <v>0</v>
      </c>
      <c r="G86" s="3978">
        <f t="shared" ca="1" si="44"/>
        <v>0</v>
      </c>
      <c r="H86" s="3978">
        <f t="shared" ca="1" si="44"/>
        <v>0</v>
      </c>
      <c r="I86" s="3978">
        <f t="shared" ca="1" si="44"/>
        <v>0</v>
      </c>
      <c r="J86" s="3978">
        <f t="shared" ca="1" si="44"/>
        <v>0</v>
      </c>
      <c r="K86" s="3978">
        <f t="shared" ca="1" si="44"/>
        <v>0</v>
      </c>
      <c r="L86" s="3978">
        <f t="shared" ca="1" si="44"/>
        <v>0</v>
      </c>
      <c r="M86" s="3978">
        <f t="shared" ca="1" si="44"/>
        <v>0</v>
      </c>
      <c r="N86" s="3286"/>
      <c r="O86" s="3286"/>
      <c r="P86" s="3286"/>
      <c r="Q86" s="3274"/>
    </row>
    <row r="87" spans="2:17">
      <c r="B87" s="3271"/>
      <c r="C87" s="3283" t="s">
        <v>437</v>
      </c>
      <c r="D87" s="3286" t="s">
        <v>78</v>
      </c>
      <c r="E87" s="3978">
        <f t="shared" ref="E87:M103" ca="1" si="45">-INDEX(INDIRECT("'"&amp;E$12&amp;"'!Year.NetBalance"), MATCH($C87, INDIRECT("'"&amp;E$12&amp;"'!Year.Vectors"), 0))</f>
        <v>4.1054887428987621E-2</v>
      </c>
      <c r="F87" s="3978">
        <f t="shared" ca="1" si="45"/>
        <v>5.2915063522883464E-2</v>
      </c>
      <c r="G87" s="3978">
        <f t="shared" ca="1" si="45"/>
        <v>5.5796848364472185E-2</v>
      </c>
      <c r="H87" s="3978">
        <f t="shared" ca="1" si="45"/>
        <v>5.8662240154226032E-2</v>
      </c>
      <c r="I87" s="3978">
        <f t="shared" ca="1" si="45"/>
        <v>7.0129937567812564E-2</v>
      </c>
      <c r="J87" s="3978">
        <f t="shared" ca="1" si="45"/>
        <v>7.3391639360886121E-2</v>
      </c>
      <c r="K87" s="3978">
        <f t="shared" ca="1" si="45"/>
        <v>7.68227714428798E-2</v>
      </c>
      <c r="L87" s="3978">
        <f t="shared" ca="1" si="45"/>
        <v>8.0232994859916751E-2</v>
      </c>
      <c r="M87" s="3978">
        <f t="shared" ca="1" si="45"/>
        <v>8.3820866458489254E-2</v>
      </c>
      <c r="N87" s="3286"/>
      <c r="O87" s="3286"/>
      <c r="P87" s="3286"/>
      <c r="Q87" s="3274"/>
    </row>
    <row r="88" spans="2:17">
      <c r="B88" s="3271"/>
      <c r="C88" s="3283" t="s">
        <v>438</v>
      </c>
      <c r="D88" s="3286" t="s">
        <v>388</v>
      </c>
      <c r="E88" s="3978">
        <f t="shared" ca="1" si="45"/>
        <v>4.5013410000000009</v>
      </c>
      <c r="F88" s="3978">
        <f t="shared" ca="1" si="45"/>
        <v>5.6172527999999993</v>
      </c>
      <c r="G88" s="3978">
        <f t="shared" ca="1" si="45"/>
        <v>5.6216357999999991</v>
      </c>
      <c r="H88" s="3978">
        <f t="shared" ca="1" si="45"/>
        <v>3.3359012999999997</v>
      </c>
      <c r="I88" s="3978">
        <f t="shared" ca="1" si="45"/>
        <v>1.1378267999999998</v>
      </c>
      <c r="J88" s="3978">
        <f t="shared" ca="1" si="45"/>
        <v>3.8789549999999742E-2</v>
      </c>
      <c r="K88" s="3978">
        <f t="shared" ca="1" si="45"/>
        <v>3.8789549999999742E-2</v>
      </c>
      <c r="L88" s="3978">
        <f t="shared" ca="1" si="45"/>
        <v>3.8789549999999742E-2</v>
      </c>
      <c r="M88" s="3978">
        <f t="shared" ca="1" si="45"/>
        <v>3.8789549999999742E-2</v>
      </c>
      <c r="N88" s="3286"/>
      <c r="O88" s="3286"/>
      <c r="P88" s="3286"/>
      <c r="Q88" s="3274"/>
    </row>
    <row r="89" spans="2:17">
      <c r="B89" s="3271"/>
      <c r="C89" s="3283" t="s">
        <v>439</v>
      </c>
      <c r="D89" s="3286" t="s">
        <v>389</v>
      </c>
      <c r="E89" s="3978">
        <f t="shared" ca="1" si="45"/>
        <v>0</v>
      </c>
      <c r="F89" s="3978">
        <f t="shared" ca="1" si="45"/>
        <v>0</v>
      </c>
      <c r="G89" s="3978">
        <f t="shared" ca="1" si="45"/>
        <v>0</v>
      </c>
      <c r="H89" s="3978">
        <f t="shared" ca="1" si="45"/>
        <v>0</v>
      </c>
      <c r="I89" s="3978">
        <f t="shared" ca="1" si="45"/>
        <v>0</v>
      </c>
      <c r="J89" s="3978">
        <f t="shared" ca="1" si="45"/>
        <v>0</v>
      </c>
      <c r="K89" s="3978">
        <f t="shared" ca="1" si="45"/>
        <v>0</v>
      </c>
      <c r="L89" s="3978">
        <f t="shared" ca="1" si="45"/>
        <v>0</v>
      </c>
      <c r="M89" s="3978">
        <f t="shared" ca="1" si="45"/>
        <v>0</v>
      </c>
      <c r="N89" s="3286"/>
      <c r="O89" s="3286"/>
      <c r="P89" s="3286"/>
      <c r="Q89" s="3274"/>
    </row>
    <row r="90" spans="2:17">
      <c r="B90" s="3271"/>
      <c r="C90" s="3283" t="s">
        <v>440</v>
      </c>
      <c r="D90" s="3286" t="s">
        <v>390</v>
      </c>
      <c r="E90" s="3978">
        <f t="shared" ca="1" si="45"/>
        <v>0</v>
      </c>
      <c r="F90" s="3978">
        <f t="shared" ca="1" si="45"/>
        <v>3.9627123287671231E-3</v>
      </c>
      <c r="G90" s="3978">
        <f t="shared" ca="1" si="45"/>
        <v>1.3017510000000001E-2</v>
      </c>
      <c r="H90" s="3978">
        <f t="shared" ca="1" si="45"/>
        <v>1.3017510000000001E-2</v>
      </c>
      <c r="I90" s="3978">
        <f t="shared" ca="1" si="45"/>
        <v>1.3017510000000001E-2</v>
      </c>
      <c r="J90" s="3978">
        <f t="shared" ca="1" si="45"/>
        <v>1.3017510000000001E-2</v>
      </c>
      <c r="K90" s="3978">
        <f t="shared" ca="1" si="45"/>
        <v>1.3017510000000001E-2</v>
      </c>
      <c r="L90" s="3978">
        <f t="shared" ca="1" si="45"/>
        <v>0</v>
      </c>
      <c r="M90" s="3978">
        <f t="shared" ca="1" si="45"/>
        <v>0</v>
      </c>
      <c r="N90" s="3286"/>
      <c r="O90" s="3286"/>
      <c r="P90" s="3286"/>
      <c r="Q90" s="3274"/>
    </row>
    <row r="91" spans="2:17">
      <c r="B91" s="3271"/>
      <c r="C91" s="3283" t="s">
        <v>441</v>
      </c>
      <c r="D91" s="3286" t="s">
        <v>54</v>
      </c>
      <c r="E91" s="3978">
        <f t="shared" ca="1" si="45"/>
        <v>0</v>
      </c>
      <c r="F91" s="3978">
        <f t="shared" ca="1" si="45"/>
        <v>0</v>
      </c>
      <c r="G91" s="3978">
        <f t="shared" ca="1" si="45"/>
        <v>0</v>
      </c>
      <c r="H91" s="3978">
        <f t="shared" ca="1" si="45"/>
        <v>0</v>
      </c>
      <c r="I91" s="3978">
        <f t="shared" ca="1" si="45"/>
        <v>0</v>
      </c>
      <c r="J91" s="3978">
        <f t="shared" ca="1" si="45"/>
        <v>0</v>
      </c>
      <c r="K91" s="3978">
        <f t="shared" ca="1" si="45"/>
        <v>0</v>
      </c>
      <c r="L91" s="3978">
        <f t="shared" ca="1" si="45"/>
        <v>0</v>
      </c>
      <c r="M91" s="3978">
        <f t="shared" ca="1" si="45"/>
        <v>0</v>
      </c>
      <c r="N91" s="3286"/>
      <c r="O91" s="3286"/>
      <c r="P91" s="3286"/>
      <c r="Q91" s="3274"/>
    </row>
    <row r="92" spans="2:17">
      <c r="B92" s="3271"/>
      <c r="C92" s="3283" t="s">
        <v>442</v>
      </c>
      <c r="D92" s="3286" t="s">
        <v>391</v>
      </c>
      <c r="E92" s="3978">
        <f t="shared" ca="1" si="45"/>
        <v>0.74791511999999993</v>
      </c>
      <c r="F92" s="3978">
        <f t="shared" ca="1" si="45"/>
        <v>0.74791511999999993</v>
      </c>
      <c r="G92" s="3978">
        <f t="shared" ca="1" si="45"/>
        <v>0.74791511999999993</v>
      </c>
      <c r="H92" s="3978">
        <f t="shared" ca="1" si="45"/>
        <v>0.78946596000000002</v>
      </c>
      <c r="I92" s="3978">
        <f t="shared" ca="1" si="45"/>
        <v>0.50632416000000002</v>
      </c>
      <c r="J92" s="3978">
        <f t="shared" ca="1" si="45"/>
        <v>0.33310800000000007</v>
      </c>
      <c r="K92" s="3978">
        <f t="shared" ca="1" si="45"/>
        <v>0.23317560000000004</v>
      </c>
      <c r="L92" s="3978">
        <f t="shared" ca="1" si="45"/>
        <v>0.16655400000000004</v>
      </c>
      <c r="M92" s="3978">
        <f t="shared" ca="1" si="45"/>
        <v>0</v>
      </c>
      <c r="N92" s="3286"/>
      <c r="O92" s="3286"/>
      <c r="P92" s="3286"/>
      <c r="Q92" s="3274"/>
    </row>
    <row r="93" spans="2:17">
      <c r="B93" s="3271"/>
      <c r="C93" s="3283" t="s">
        <v>431</v>
      </c>
      <c r="D93" s="3286" t="s">
        <v>382</v>
      </c>
      <c r="E93" s="3978">
        <f t="shared" ca="1" si="45"/>
        <v>2.5</v>
      </c>
      <c r="F93" s="3978">
        <f t="shared" ca="1" si="45"/>
        <v>2.4999999999999964</v>
      </c>
      <c r="G93" s="3978">
        <f t="shared" ca="1" si="45"/>
        <v>2.5</v>
      </c>
      <c r="H93" s="3978">
        <f t="shared" ca="1" si="45"/>
        <v>1.4999999999999964</v>
      </c>
      <c r="I93" s="3978">
        <f t="shared" ca="1" si="45"/>
        <v>1</v>
      </c>
      <c r="J93" s="3978">
        <f t="shared" ca="1" si="45"/>
        <v>3.5527136788005009E-15</v>
      </c>
      <c r="K93" s="3978">
        <f t="shared" ca="1" si="45"/>
        <v>7.1054273576010019E-15</v>
      </c>
      <c r="L93" s="3978">
        <f t="shared" ca="1" si="45"/>
        <v>0</v>
      </c>
      <c r="M93" s="3978">
        <f t="shared" ca="1" si="45"/>
        <v>0</v>
      </c>
      <c r="N93" s="3286"/>
      <c r="O93" s="3286"/>
      <c r="P93" s="3286"/>
      <c r="Q93" s="3274"/>
    </row>
    <row r="94" spans="2:17">
      <c r="B94" s="3271"/>
      <c r="C94" s="3283" t="s">
        <v>101</v>
      </c>
      <c r="D94" s="3286" t="s">
        <v>91</v>
      </c>
      <c r="E94" s="3978">
        <f t="shared" ca="1" si="45"/>
        <v>0.11119904983501781</v>
      </c>
      <c r="F94" s="3978">
        <f t="shared" ca="1" si="45"/>
        <v>0.1434054871385817</v>
      </c>
      <c r="G94" s="3978">
        <f t="shared" ca="1" si="45"/>
        <v>0.23314146875358133</v>
      </c>
      <c r="H94" s="3978">
        <f t="shared" ca="1" si="45"/>
        <v>0.3313595195314073</v>
      </c>
      <c r="I94" s="3978">
        <f t="shared" ca="1" si="45"/>
        <v>0.43792102798625754</v>
      </c>
      <c r="J94" s="3978">
        <f t="shared" ca="1" si="45"/>
        <v>0.55304324430206342</v>
      </c>
      <c r="K94" s="3978">
        <f t="shared" ca="1" si="45"/>
        <v>0.67669216126185838</v>
      </c>
      <c r="L94" s="3978">
        <f t="shared" ca="1" si="45"/>
        <v>0.80883168050723919</v>
      </c>
      <c r="M94" s="3978">
        <f t="shared" ca="1" si="45"/>
        <v>0.9494999999999999</v>
      </c>
      <c r="N94" s="3286"/>
      <c r="O94" s="3286"/>
      <c r="P94" s="3286"/>
      <c r="Q94" s="3274"/>
    </row>
    <row r="95" spans="2:17">
      <c r="B95" s="3271"/>
      <c r="C95" s="3283" t="s">
        <v>444</v>
      </c>
      <c r="D95" s="3286" t="s">
        <v>393</v>
      </c>
      <c r="E95" s="3978">
        <f t="shared" ca="1" si="45"/>
        <v>1.3469022662175592</v>
      </c>
      <c r="F95" s="3978">
        <f t="shared" ca="1" si="45"/>
        <v>1.8746115688184966</v>
      </c>
      <c r="G95" s="3978">
        <f t="shared" ca="1" si="45"/>
        <v>2.5939350670133425</v>
      </c>
      <c r="H95" s="3978">
        <f t="shared" ca="1" si="45"/>
        <v>3.1510020039229341</v>
      </c>
      <c r="I95" s="3978">
        <f t="shared" ca="1" si="45"/>
        <v>3.2175631879671385</v>
      </c>
      <c r="J95" s="3978">
        <f t="shared" ca="1" si="45"/>
        <v>3.4481065044894366</v>
      </c>
      <c r="K95" s="3978">
        <f t="shared" ca="1" si="45"/>
        <v>3.6950346199087507</v>
      </c>
      <c r="L95" s="3978">
        <f t="shared" ca="1" si="45"/>
        <v>3.9589143994025449</v>
      </c>
      <c r="M95" s="3978">
        <f t="shared" ca="1" si="45"/>
        <v>4.0753442102770014</v>
      </c>
      <c r="N95" s="3286"/>
      <c r="O95" s="3286"/>
      <c r="P95" s="3286"/>
      <c r="Q95" s="3274"/>
    </row>
    <row r="96" spans="2:17">
      <c r="B96" s="3271"/>
      <c r="C96" s="3283" t="s">
        <v>443</v>
      </c>
      <c r="D96" s="3286" t="s">
        <v>392</v>
      </c>
      <c r="E96" s="3978">
        <f t="shared" ca="1" si="45"/>
        <v>0.31308333333333338</v>
      </c>
      <c r="F96" s="3978">
        <f t="shared" ca="1" si="45"/>
        <v>0.31819825788025435</v>
      </c>
      <c r="G96" s="3978">
        <f t="shared" ca="1" si="45"/>
        <v>0.33156731444804843</v>
      </c>
      <c r="H96" s="3978">
        <f t="shared" ca="1" si="45"/>
        <v>0.34581642466848794</v>
      </c>
      <c r="I96" s="3978">
        <f t="shared" ca="1" si="45"/>
        <v>0.36101075337977562</v>
      </c>
      <c r="J96" s="3978">
        <f t="shared" ca="1" si="45"/>
        <v>0.37722039553007852</v>
      </c>
      <c r="K96" s="3978">
        <f t="shared" ca="1" si="45"/>
        <v>0.39452075052198765</v>
      </c>
      <c r="L96" s="3978">
        <f t="shared" ca="1" si="45"/>
        <v>0.41299292499810381</v>
      </c>
      <c r="M96" s="3978">
        <f t="shared" ca="1" si="45"/>
        <v>0.43272416622880361</v>
      </c>
      <c r="N96" s="3286"/>
      <c r="O96" s="3286"/>
      <c r="P96" s="3286"/>
      <c r="Q96" s="3274"/>
    </row>
    <row r="97" spans="2:17">
      <c r="B97" s="3271"/>
      <c r="C97" s="3283" t="s">
        <v>430</v>
      </c>
      <c r="D97" s="3286" t="s">
        <v>381</v>
      </c>
      <c r="E97" s="3978">
        <f t="shared" ca="1" si="45"/>
        <v>1.0954366666666666</v>
      </c>
      <c r="F97" s="3978">
        <f t="shared" ca="1" si="45"/>
        <v>1.2967</v>
      </c>
      <c r="G97" s="3978">
        <f t="shared" ca="1" si="45"/>
        <v>1.2967</v>
      </c>
      <c r="H97" s="3978">
        <f t="shared" ca="1" si="45"/>
        <v>1.2466999999999999</v>
      </c>
      <c r="I97" s="3978">
        <f t="shared" ca="1" si="45"/>
        <v>1.6</v>
      </c>
      <c r="J97" s="3978">
        <f t="shared" ca="1" si="45"/>
        <v>1.45</v>
      </c>
      <c r="K97" s="3978">
        <f t="shared" ca="1" si="45"/>
        <v>0.79999999999999993</v>
      </c>
      <c r="L97" s="3978">
        <f t="shared" ca="1" si="45"/>
        <v>0.14999999999999991</v>
      </c>
      <c r="M97" s="3978">
        <f t="shared" ca="1" si="45"/>
        <v>0</v>
      </c>
      <c r="N97" s="3286"/>
      <c r="O97" s="3286"/>
      <c r="P97" s="3286"/>
      <c r="Q97" s="3274"/>
    </row>
    <row r="98" spans="2:17">
      <c r="B98" s="3271"/>
      <c r="C98" s="3283" t="s">
        <v>427</v>
      </c>
      <c r="D98" s="3286" t="s">
        <v>378</v>
      </c>
      <c r="E98" s="3978">
        <f t="shared" ca="1" si="45"/>
        <v>8.4</v>
      </c>
      <c r="F98" s="3978">
        <f t="shared" ca="1" si="45"/>
        <v>7</v>
      </c>
      <c r="G98" s="3978">
        <f t="shared" ca="1" si="45"/>
        <v>2</v>
      </c>
      <c r="H98" s="3978">
        <f t="shared" ca="1" si="45"/>
        <v>2</v>
      </c>
      <c r="I98" s="3978">
        <f t="shared" ca="1" si="45"/>
        <v>0</v>
      </c>
      <c r="J98" s="3978">
        <f t="shared" ca="1" si="45"/>
        <v>0</v>
      </c>
      <c r="K98" s="3978">
        <f t="shared" ca="1" si="45"/>
        <v>0</v>
      </c>
      <c r="L98" s="3978">
        <f t="shared" ca="1" si="45"/>
        <v>0</v>
      </c>
      <c r="M98" s="3978">
        <f t="shared" ca="1" si="45"/>
        <v>0</v>
      </c>
      <c r="N98" s="3286"/>
      <c r="O98" s="3286"/>
      <c r="P98" s="3286"/>
      <c r="Q98" s="3274"/>
    </row>
    <row r="99" spans="2:17">
      <c r="B99" s="3271"/>
      <c r="C99" s="3283" t="s">
        <v>433</v>
      </c>
      <c r="D99" s="3286" t="s">
        <v>384</v>
      </c>
      <c r="E99" s="3978">
        <f t="shared" ca="1" si="45"/>
        <v>14.911266915263244</v>
      </c>
      <c r="F99" s="3978">
        <f t="shared" ca="1" si="45"/>
        <v>16.267581324784786</v>
      </c>
      <c r="G99" s="3978">
        <f t="shared" ca="1" si="45"/>
        <v>18.650649187310073</v>
      </c>
      <c r="H99" s="3978">
        <f t="shared" ca="1" si="45"/>
        <v>18.40843063217299</v>
      </c>
      <c r="I99" s="3978">
        <f t="shared" ca="1" si="45"/>
        <v>13.883093074912559</v>
      </c>
      <c r="J99" s="3978">
        <f t="shared" ca="1" si="45"/>
        <v>1.0246834611179927</v>
      </c>
      <c r="K99" s="3978">
        <f t="shared" ca="1" si="45"/>
        <v>1.7111936919719914</v>
      </c>
      <c r="L99" s="3978">
        <f t="shared" ca="1" si="45"/>
        <v>2.4238277679140663</v>
      </c>
      <c r="M99" s="3978">
        <f t="shared" ca="1" si="45"/>
        <v>2.6655686309587772</v>
      </c>
      <c r="N99" s="3286"/>
      <c r="O99" s="3286"/>
      <c r="P99" s="3286"/>
      <c r="Q99" s="3274"/>
    </row>
    <row r="100" spans="2:17">
      <c r="B100" s="3271"/>
      <c r="C100" s="3283" t="s">
        <v>428</v>
      </c>
      <c r="D100" s="3286" t="s">
        <v>379</v>
      </c>
      <c r="E100" s="3978">
        <f t="shared" ca="1" si="45"/>
        <v>0</v>
      </c>
      <c r="F100" s="3978">
        <f t="shared" ca="1" si="45"/>
        <v>0</v>
      </c>
      <c r="G100" s="3978">
        <f t="shared" ca="1" si="45"/>
        <v>0</v>
      </c>
      <c r="H100" s="3978">
        <f t="shared" ca="1" si="45"/>
        <v>0</v>
      </c>
      <c r="I100" s="3978">
        <f t="shared" ca="1" si="45"/>
        <v>0</v>
      </c>
      <c r="J100" s="3978">
        <f t="shared" ca="1" si="45"/>
        <v>0</v>
      </c>
      <c r="K100" s="3978">
        <f t="shared" ca="1" si="45"/>
        <v>0</v>
      </c>
      <c r="L100" s="3978">
        <f t="shared" ca="1" si="45"/>
        <v>0</v>
      </c>
      <c r="M100" s="3978">
        <f t="shared" ca="1" si="45"/>
        <v>0</v>
      </c>
      <c r="N100" s="3286"/>
      <c r="O100" s="3286"/>
      <c r="P100" s="3286"/>
      <c r="Q100" s="3274"/>
    </row>
    <row r="101" spans="2:17">
      <c r="B101" s="3271"/>
      <c r="C101" s="3283" t="s">
        <v>434</v>
      </c>
      <c r="D101" s="3286" t="s">
        <v>385</v>
      </c>
      <c r="E101" s="3978">
        <f t="shared" ca="1" si="45"/>
        <v>76.526836320775942</v>
      </c>
      <c r="F101" s="3978">
        <f t="shared" ca="1" si="45"/>
        <v>74.08927995898263</v>
      </c>
      <c r="G101" s="3978">
        <f t="shared" ca="1" si="45"/>
        <v>75.114909897863313</v>
      </c>
      <c r="H101" s="3978">
        <f t="shared" ca="1" si="45"/>
        <v>75.036510281436605</v>
      </c>
      <c r="I101" s="3978">
        <f t="shared" ca="1" si="45"/>
        <v>75.220892589846784</v>
      </c>
      <c r="J101" s="3978">
        <f t="shared" ca="1" si="45"/>
        <v>75.174956561456597</v>
      </c>
      <c r="K101" s="3978">
        <f t="shared" ca="1" si="45"/>
        <v>75.040093616616304</v>
      </c>
      <c r="L101" s="3978">
        <f t="shared" ca="1" si="45"/>
        <v>75.04125554596699</v>
      </c>
      <c r="M101" s="3978">
        <f t="shared" ca="1" si="45"/>
        <v>74.505208807877793</v>
      </c>
      <c r="N101" s="3286"/>
      <c r="O101" s="3286"/>
      <c r="P101" s="3286"/>
      <c r="Q101" s="3274"/>
    </row>
    <row r="102" spans="2:17">
      <c r="B102" s="3271"/>
      <c r="C102" s="3283" t="s">
        <v>429</v>
      </c>
      <c r="D102" s="3286" t="s">
        <v>380</v>
      </c>
      <c r="E102" s="3978">
        <f t="shared" ca="1" si="45"/>
        <v>0</v>
      </c>
      <c r="F102" s="3978">
        <f t="shared" ca="1" si="45"/>
        <v>1.7555282514130199</v>
      </c>
      <c r="G102" s="3978">
        <f t="shared" ca="1" si="45"/>
        <v>35</v>
      </c>
      <c r="H102" s="3978">
        <f t="shared" ca="1" si="45"/>
        <v>10</v>
      </c>
      <c r="I102" s="3978">
        <f t="shared" ca="1" si="45"/>
        <v>0</v>
      </c>
      <c r="J102" s="3978">
        <f t="shared" ca="1" si="45"/>
        <v>0</v>
      </c>
      <c r="K102" s="3978">
        <f t="shared" ca="1" si="45"/>
        <v>0</v>
      </c>
      <c r="L102" s="3978">
        <f t="shared" ca="1" si="45"/>
        <v>0</v>
      </c>
      <c r="M102" s="3978">
        <f t="shared" ca="1" si="45"/>
        <v>0</v>
      </c>
      <c r="N102" s="3286"/>
      <c r="O102" s="3286"/>
      <c r="P102" s="3286"/>
      <c r="Q102" s="3274"/>
    </row>
    <row r="103" spans="2:17">
      <c r="B103" s="3271"/>
      <c r="C103" s="3283" t="s">
        <v>435</v>
      </c>
      <c r="D103" s="3286" t="s">
        <v>386</v>
      </c>
      <c r="E103" s="3978">
        <f t="shared" ca="1" si="45"/>
        <v>47.473619810652579</v>
      </c>
      <c r="F103" s="3978">
        <f t="shared" ca="1" si="45"/>
        <v>47.697968206868779</v>
      </c>
      <c r="G103" s="3978">
        <f t="shared" ca="1" si="45"/>
        <v>22.74172392909157</v>
      </c>
      <c r="H103" s="3978">
        <f t="shared" ca="1" si="45"/>
        <v>59.295640467804589</v>
      </c>
      <c r="I103" s="3978">
        <f t="shared" ca="1" si="45"/>
        <v>85.907348315610292</v>
      </c>
      <c r="J103" s="3978">
        <f t="shared" ca="1" si="45"/>
        <v>106.91717023293266</v>
      </c>
      <c r="K103" s="3978">
        <f t="shared" ca="1" si="45"/>
        <v>116.07842350144173</v>
      </c>
      <c r="L103" s="3978">
        <f t="shared" ca="1" si="45"/>
        <v>125.61125120472862</v>
      </c>
      <c r="M103" s="3978">
        <f t="shared" ca="1" si="45"/>
        <v>135.74178666175516</v>
      </c>
      <c r="N103" s="3286"/>
      <c r="O103" s="3286"/>
      <c r="P103" s="3286"/>
      <c r="Q103" s="3274"/>
    </row>
    <row r="104" spans="2:17">
      <c r="B104" s="3271"/>
      <c r="C104" s="3283"/>
      <c r="D104" s="3286" t="s">
        <v>3278</v>
      </c>
      <c r="E104" s="3978">
        <f ca="1">SUM(E86:E103)</f>
        <v>157.96865537017334</v>
      </c>
      <c r="F104" s="3978">
        <f t="shared" ref="F104:M104" ca="1" si="46">SUM(F86:F103)</f>
        <v>159.36531875173819</v>
      </c>
      <c r="G104" s="3978">
        <f t="shared" ca="1" si="46"/>
        <v>166.90099214284439</v>
      </c>
      <c r="H104" s="3978">
        <f t="shared" ca="1" si="46"/>
        <v>175.51250633969124</v>
      </c>
      <c r="I104" s="3978">
        <f t="shared" ca="1" si="46"/>
        <v>183.35512735727062</v>
      </c>
      <c r="J104" s="3978">
        <f t="shared" ca="1" si="46"/>
        <v>189.4034870991897</v>
      </c>
      <c r="K104" s="3978">
        <f t="shared" ca="1" si="46"/>
        <v>198.75776377316549</v>
      </c>
      <c r="L104" s="3978">
        <f t="shared" ca="1" si="46"/>
        <v>208.69265006837747</v>
      </c>
      <c r="M104" s="3978">
        <f t="shared" ca="1" si="46"/>
        <v>218.49274289355603</v>
      </c>
      <c r="N104" s="3286"/>
      <c r="O104" s="3286"/>
      <c r="P104" s="3286"/>
      <c r="Q104" s="3274"/>
    </row>
    <row r="105" spans="2:17">
      <c r="B105" s="3271"/>
      <c r="C105" s="3283"/>
      <c r="D105" s="3286"/>
      <c r="E105" s="3978"/>
      <c r="F105" s="3978"/>
      <c r="G105" s="3978"/>
      <c r="H105" s="3978"/>
      <c r="I105" s="3978"/>
      <c r="J105" s="3978"/>
      <c r="K105" s="3978"/>
      <c r="L105" s="3978"/>
      <c r="M105" s="3978"/>
      <c r="N105" s="3286"/>
      <c r="O105" s="3286"/>
      <c r="P105" s="3286"/>
      <c r="Q105" s="3274"/>
    </row>
    <row r="106" spans="2:17" ht="15">
      <c r="B106" s="3866"/>
      <c r="C106" s="3272" t="s">
        <v>3279</v>
      </c>
      <c r="D106" s="3272"/>
      <c r="E106" s="3272"/>
      <c r="F106" s="3272"/>
      <c r="G106" s="3867"/>
      <c r="H106" s="3867"/>
      <c r="I106" s="3867"/>
      <c r="J106" s="3867"/>
      <c r="K106" s="3867"/>
      <c r="L106" s="3867"/>
      <c r="M106" s="3867"/>
      <c r="N106" s="3867"/>
      <c r="O106" s="3867"/>
      <c r="P106" s="3867"/>
      <c r="Q106" s="3869"/>
    </row>
    <row r="107" spans="2:17" ht="15">
      <c r="B107" s="3866"/>
      <c r="C107" s="3272"/>
      <c r="D107" s="3272"/>
      <c r="E107" s="3272"/>
      <c r="F107" s="3272"/>
      <c r="G107" s="3867"/>
      <c r="H107" s="3867"/>
      <c r="I107" s="3867"/>
      <c r="J107" s="3867"/>
      <c r="K107" s="3867"/>
      <c r="L107" s="3867"/>
      <c r="M107" s="3868" t="str">
        <f>Preferences.EnergyUnits</f>
        <v>TWh</v>
      </c>
      <c r="N107" s="3867"/>
      <c r="O107" s="3867"/>
      <c r="P107" s="3867"/>
      <c r="Q107" s="3869"/>
    </row>
    <row r="108" spans="2:17">
      <c r="B108" s="3271"/>
      <c r="C108" s="3279" t="s">
        <v>43</v>
      </c>
      <c r="D108" s="3280" t="s">
        <v>28</v>
      </c>
      <c r="E108" s="3281">
        <v>2013</v>
      </c>
      <c r="F108" s="3281">
        <v>2015</v>
      </c>
      <c r="G108" s="3281">
        <v>2020</v>
      </c>
      <c r="H108" s="3281">
        <v>2025</v>
      </c>
      <c r="I108" s="3281">
        <v>2030</v>
      </c>
      <c r="J108" s="3281">
        <v>2035</v>
      </c>
      <c r="K108" s="3281">
        <v>2040</v>
      </c>
      <c r="L108" s="3281">
        <v>2045</v>
      </c>
      <c r="M108" s="3282">
        <v>2050</v>
      </c>
      <c r="N108" s="3286"/>
      <c r="O108" s="3286"/>
      <c r="P108" s="3286"/>
      <c r="Q108" s="3274"/>
    </row>
    <row r="109" spans="2:17">
      <c r="B109" s="3271"/>
      <c r="C109" s="3283" t="s">
        <v>436</v>
      </c>
      <c r="D109" s="3286" t="s">
        <v>744</v>
      </c>
      <c r="E109" s="3978">
        <f ca="1">MAX(E86,0)</f>
        <v>0</v>
      </c>
      <c r="F109" s="3978">
        <f t="shared" ref="F109:M109" ca="1" si="47">MAX(F86,0)</f>
        <v>0</v>
      </c>
      <c r="G109" s="3978">
        <f t="shared" ca="1" si="47"/>
        <v>0</v>
      </c>
      <c r="H109" s="3978">
        <f t="shared" ca="1" si="47"/>
        <v>0</v>
      </c>
      <c r="I109" s="3978">
        <f t="shared" ca="1" si="47"/>
        <v>0</v>
      </c>
      <c r="J109" s="3978">
        <f t="shared" ca="1" si="47"/>
        <v>0</v>
      </c>
      <c r="K109" s="3978">
        <f t="shared" ca="1" si="47"/>
        <v>0</v>
      </c>
      <c r="L109" s="3978">
        <f t="shared" ca="1" si="47"/>
        <v>0</v>
      </c>
      <c r="M109" s="3978">
        <f t="shared" ca="1" si="47"/>
        <v>0</v>
      </c>
      <c r="N109" s="3286"/>
      <c r="O109" s="3286"/>
      <c r="P109" s="3286"/>
      <c r="Q109" s="3274"/>
    </row>
    <row r="110" spans="2:17">
      <c r="B110" s="3271"/>
      <c r="C110" s="3283" t="s">
        <v>431</v>
      </c>
      <c r="D110" s="3286" t="s">
        <v>1217</v>
      </c>
      <c r="E110" s="3978">
        <f ca="1">MAX(E93,0)</f>
        <v>2.5</v>
      </c>
      <c r="F110" s="3978">
        <f t="shared" ref="F110:M110" ca="1" si="48">MAX(F93,0)</f>
        <v>2.4999999999999964</v>
      </c>
      <c r="G110" s="3978">
        <f t="shared" ca="1" si="48"/>
        <v>2.5</v>
      </c>
      <c r="H110" s="3978">
        <f t="shared" ca="1" si="48"/>
        <v>1.4999999999999964</v>
      </c>
      <c r="I110" s="3978">
        <f t="shared" ca="1" si="48"/>
        <v>1</v>
      </c>
      <c r="J110" s="3978">
        <f t="shared" ca="1" si="48"/>
        <v>3.5527136788005009E-15</v>
      </c>
      <c r="K110" s="3978">
        <f t="shared" ca="1" si="48"/>
        <v>7.1054273576010019E-15</v>
      </c>
      <c r="L110" s="3978">
        <f t="shared" ca="1" si="48"/>
        <v>0</v>
      </c>
      <c r="M110" s="3978">
        <f t="shared" ca="1" si="48"/>
        <v>0</v>
      </c>
      <c r="N110" s="3286"/>
      <c r="O110" s="3286"/>
      <c r="P110" s="3286"/>
      <c r="Q110" s="3274"/>
    </row>
    <row r="111" spans="2:17">
      <c r="B111" s="3271"/>
      <c r="C111" s="3283" t="s">
        <v>430</v>
      </c>
      <c r="D111" s="3286" t="s">
        <v>572</v>
      </c>
      <c r="E111" s="3978">
        <f ca="1">MAX(E97,0)</f>
        <v>1.0954366666666666</v>
      </c>
      <c r="F111" s="3978">
        <f t="shared" ref="F111:M111" ca="1" si="49">MAX(F97,0)</f>
        <v>1.2967</v>
      </c>
      <c r="G111" s="3978">
        <f t="shared" ca="1" si="49"/>
        <v>1.2967</v>
      </c>
      <c r="H111" s="3978">
        <f t="shared" ca="1" si="49"/>
        <v>1.2466999999999999</v>
      </c>
      <c r="I111" s="3978">
        <f t="shared" ca="1" si="49"/>
        <v>1.6</v>
      </c>
      <c r="J111" s="3978">
        <f t="shared" ca="1" si="49"/>
        <v>1.45</v>
      </c>
      <c r="K111" s="3978">
        <f t="shared" ca="1" si="49"/>
        <v>0.79999999999999993</v>
      </c>
      <c r="L111" s="3978">
        <f t="shared" ca="1" si="49"/>
        <v>0.14999999999999991</v>
      </c>
      <c r="M111" s="3978">
        <f t="shared" ca="1" si="49"/>
        <v>0</v>
      </c>
      <c r="N111" s="3286"/>
      <c r="O111" s="3286"/>
      <c r="P111" s="3286"/>
      <c r="Q111" s="3274"/>
    </row>
    <row r="112" spans="2:17">
      <c r="B112" s="3271"/>
      <c r="C112" s="3283" t="s">
        <v>433</v>
      </c>
      <c r="D112" s="3286" t="s">
        <v>146</v>
      </c>
      <c r="E112" s="3978">
        <f ca="1">MAX(E99,0)</f>
        <v>14.911266915263244</v>
      </c>
      <c r="F112" s="3978">
        <f t="shared" ref="F112:M112" ca="1" si="50">MAX(F99,0)</f>
        <v>16.267581324784786</v>
      </c>
      <c r="G112" s="3978">
        <f t="shared" ca="1" si="50"/>
        <v>18.650649187310073</v>
      </c>
      <c r="H112" s="3978">
        <f t="shared" ca="1" si="50"/>
        <v>18.40843063217299</v>
      </c>
      <c r="I112" s="3978">
        <f t="shared" ca="1" si="50"/>
        <v>13.883093074912559</v>
      </c>
      <c r="J112" s="3978">
        <f t="shared" ca="1" si="50"/>
        <v>1.0246834611179927</v>
      </c>
      <c r="K112" s="3978">
        <f t="shared" ca="1" si="50"/>
        <v>1.7111936919719914</v>
      </c>
      <c r="L112" s="3978">
        <f t="shared" ca="1" si="50"/>
        <v>2.4238277679140663</v>
      </c>
      <c r="M112" s="3978">
        <f t="shared" ca="1" si="50"/>
        <v>2.6655686309587772</v>
      </c>
      <c r="N112" s="3286"/>
      <c r="O112" s="3286"/>
      <c r="P112" s="3286"/>
      <c r="Q112" s="3274"/>
    </row>
    <row r="113" spans="2:17">
      <c r="B113" s="3271"/>
      <c r="C113" s="3283" t="s">
        <v>434</v>
      </c>
      <c r="D113" s="3286" t="s">
        <v>144</v>
      </c>
      <c r="E113" s="3978">
        <f ca="1">MAX(E101,0)</f>
        <v>76.526836320775942</v>
      </c>
      <c r="F113" s="3978">
        <f t="shared" ref="F113:M113" ca="1" si="51">MAX(F101,0)</f>
        <v>74.08927995898263</v>
      </c>
      <c r="G113" s="3978">
        <f t="shared" ca="1" si="51"/>
        <v>75.114909897863313</v>
      </c>
      <c r="H113" s="3978">
        <f t="shared" ca="1" si="51"/>
        <v>75.036510281436605</v>
      </c>
      <c r="I113" s="3978">
        <f t="shared" ca="1" si="51"/>
        <v>75.220892589846784</v>
      </c>
      <c r="J113" s="3978">
        <f t="shared" ca="1" si="51"/>
        <v>75.174956561456597</v>
      </c>
      <c r="K113" s="3978">
        <f t="shared" ca="1" si="51"/>
        <v>75.040093616616304</v>
      </c>
      <c r="L113" s="3978">
        <f t="shared" ca="1" si="51"/>
        <v>75.04125554596699</v>
      </c>
      <c r="M113" s="3978">
        <f t="shared" ca="1" si="51"/>
        <v>74.505208807877793</v>
      </c>
      <c r="N113" s="3286"/>
      <c r="O113" s="3286"/>
      <c r="P113" s="3286"/>
      <c r="Q113" s="3274"/>
    </row>
    <row r="114" spans="2:17">
      <c r="B114" s="3271"/>
      <c r="C114" s="3283" t="s">
        <v>435</v>
      </c>
      <c r="D114" s="3286" t="s">
        <v>15</v>
      </c>
      <c r="E114" s="3978">
        <f ca="1">MAX(E103,0)</f>
        <v>47.473619810652579</v>
      </c>
      <c r="F114" s="3978">
        <f t="shared" ref="F114:M114" ca="1" si="52">MAX(F103,0)</f>
        <v>47.697968206868779</v>
      </c>
      <c r="G114" s="3978">
        <f t="shared" ca="1" si="52"/>
        <v>22.74172392909157</v>
      </c>
      <c r="H114" s="3978">
        <f t="shared" ca="1" si="52"/>
        <v>59.295640467804589</v>
      </c>
      <c r="I114" s="3978">
        <f t="shared" ca="1" si="52"/>
        <v>85.907348315610292</v>
      </c>
      <c r="J114" s="3978">
        <f t="shared" ca="1" si="52"/>
        <v>106.91717023293266</v>
      </c>
      <c r="K114" s="3978">
        <f t="shared" ca="1" si="52"/>
        <v>116.07842350144173</v>
      </c>
      <c r="L114" s="3978">
        <f t="shared" ca="1" si="52"/>
        <v>125.61125120472862</v>
      </c>
      <c r="M114" s="3978">
        <f t="shared" ca="1" si="52"/>
        <v>135.74178666175516</v>
      </c>
      <c r="N114" s="3286"/>
      <c r="O114" s="3286"/>
      <c r="P114" s="3286"/>
      <c r="Q114" s="3274"/>
    </row>
    <row r="115" spans="2:17">
      <c r="B115" s="3271"/>
      <c r="C115" s="3283"/>
      <c r="D115" s="3286" t="s">
        <v>58</v>
      </c>
      <c r="E115" s="3978">
        <f ca="1">SUM(E109:E114)</f>
        <v>142.50715971335842</v>
      </c>
      <c r="F115" s="3978">
        <f t="shared" ref="F115:M115" ca="1" si="53">SUM(F109:F114)</f>
        <v>141.85152949063621</v>
      </c>
      <c r="G115" s="3978">
        <f t="shared" ca="1" si="53"/>
        <v>120.30398301426496</v>
      </c>
      <c r="H115" s="3978">
        <f t="shared" ca="1" si="53"/>
        <v>155.48728138141416</v>
      </c>
      <c r="I115" s="3978">
        <f t="shared" ca="1" si="53"/>
        <v>177.61133398036964</v>
      </c>
      <c r="J115" s="3978">
        <f t="shared" ca="1" si="53"/>
        <v>184.56681025550725</v>
      </c>
      <c r="K115" s="3978">
        <f t="shared" ca="1" si="53"/>
        <v>193.62971081003002</v>
      </c>
      <c r="L115" s="3978">
        <f t="shared" ca="1" si="53"/>
        <v>203.22633451860969</v>
      </c>
      <c r="M115" s="3978">
        <f t="shared" ca="1" si="53"/>
        <v>212.91256410059174</v>
      </c>
      <c r="N115" s="3286"/>
      <c r="O115" s="3286"/>
      <c r="P115" s="3286"/>
      <c r="Q115" s="3274"/>
    </row>
    <row r="116" spans="2:17">
      <c r="B116" s="3271"/>
      <c r="C116" s="3283"/>
      <c r="D116" s="3286"/>
      <c r="E116" s="3978"/>
      <c r="F116" s="3978"/>
      <c r="G116" s="3978"/>
      <c r="H116" s="3978"/>
      <c r="I116" s="3978"/>
      <c r="J116" s="3978"/>
      <c r="K116" s="3978"/>
      <c r="L116" s="3978"/>
      <c r="M116" s="3978"/>
      <c r="N116" s="3286"/>
      <c r="O116" s="3286"/>
      <c r="P116" s="3286"/>
      <c r="Q116" s="3274"/>
    </row>
    <row r="117" spans="2:17">
      <c r="B117" s="3271"/>
      <c r="C117" s="3966" t="s">
        <v>3280</v>
      </c>
      <c r="D117" s="3272"/>
      <c r="E117" s="3272"/>
      <c r="F117" s="3272"/>
      <c r="G117" s="3867"/>
      <c r="H117" s="3867"/>
      <c r="I117" s="3867"/>
      <c r="J117" s="3867"/>
      <c r="K117" s="3867"/>
      <c r="L117" s="3867"/>
      <c r="M117" s="3868"/>
      <c r="N117" s="3286"/>
      <c r="O117" s="3286"/>
      <c r="P117" s="3286"/>
      <c r="Q117" s="3274"/>
    </row>
    <row r="118" spans="2:17">
      <c r="B118" s="3271"/>
      <c r="C118" s="3283"/>
      <c r="D118" s="3272"/>
      <c r="E118" s="3272"/>
      <c r="F118" s="3272"/>
      <c r="G118" s="3867"/>
      <c r="H118" s="3867"/>
      <c r="I118" s="3867"/>
      <c r="J118" s="3867"/>
      <c r="K118" s="3867"/>
      <c r="L118" s="3867"/>
      <c r="M118" s="3868" t="str">
        <f>Preferences.EnergyUnits</f>
        <v>TWh</v>
      </c>
      <c r="N118" s="3286"/>
      <c r="O118" s="3286"/>
      <c r="P118" s="3286"/>
      <c r="Q118" s="3274"/>
    </row>
    <row r="119" spans="2:17">
      <c r="B119" s="3271"/>
      <c r="C119" s="3283"/>
      <c r="D119" s="3280" t="s">
        <v>28</v>
      </c>
      <c r="E119" s="3281">
        <v>2013</v>
      </c>
      <c r="F119" s="3281">
        <v>2015</v>
      </c>
      <c r="G119" s="3281">
        <v>2020</v>
      </c>
      <c r="H119" s="3281">
        <v>2025</v>
      </c>
      <c r="I119" s="3281">
        <v>2030</v>
      </c>
      <c r="J119" s="3281">
        <v>2035</v>
      </c>
      <c r="K119" s="3281">
        <v>2040</v>
      </c>
      <c r="L119" s="3281">
        <v>2045</v>
      </c>
      <c r="M119" s="3282">
        <v>2050</v>
      </c>
      <c r="N119" s="3286"/>
      <c r="O119" s="3286"/>
      <c r="P119" s="3286"/>
      <c r="Q119" s="3274"/>
    </row>
    <row r="120" spans="2:17">
      <c r="B120" s="3271"/>
      <c r="C120" s="3283" t="s">
        <v>436</v>
      </c>
      <c r="D120" s="3286" t="s">
        <v>744</v>
      </c>
      <c r="E120" s="3978">
        <f ca="1">E86</f>
        <v>0</v>
      </c>
      <c r="F120" s="3978">
        <f t="shared" ref="F120:M120" ca="1" si="54">F86</f>
        <v>0</v>
      </c>
      <c r="G120" s="3978">
        <f t="shared" ca="1" si="54"/>
        <v>0</v>
      </c>
      <c r="H120" s="3978">
        <f t="shared" ca="1" si="54"/>
        <v>0</v>
      </c>
      <c r="I120" s="3978">
        <f t="shared" ca="1" si="54"/>
        <v>0</v>
      </c>
      <c r="J120" s="3978">
        <f t="shared" ca="1" si="54"/>
        <v>0</v>
      </c>
      <c r="K120" s="3978">
        <f t="shared" ca="1" si="54"/>
        <v>0</v>
      </c>
      <c r="L120" s="3978">
        <f t="shared" ca="1" si="54"/>
        <v>0</v>
      </c>
      <c r="M120" s="3978">
        <f t="shared" ca="1" si="54"/>
        <v>0</v>
      </c>
      <c r="N120" s="3286"/>
      <c r="O120" s="3286"/>
      <c r="P120" s="3286"/>
      <c r="Q120" s="3274"/>
    </row>
    <row r="121" spans="2:17">
      <c r="B121" s="3271"/>
      <c r="C121" s="3283" t="s">
        <v>431</v>
      </c>
      <c r="D121" s="3286" t="s">
        <v>1217</v>
      </c>
      <c r="E121" s="3978">
        <f ca="1">SUM(E86:E93)</f>
        <v>7.790311007428989</v>
      </c>
      <c r="F121" s="3978">
        <f t="shared" ref="F121:M121" ca="1" si="55">SUM(F86:F93)</f>
        <v>8.9220456958516472</v>
      </c>
      <c r="G121" s="3978">
        <f t="shared" ca="1" si="55"/>
        <v>8.938365278364472</v>
      </c>
      <c r="H121" s="3978">
        <f t="shared" ca="1" si="55"/>
        <v>5.6970470101542219</v>
      </c>
      <c r="I121" s="3978">
        <f t="shared" ca="1" si="55"/>
        <v>2.7272984075678126</v>
      </c>
      <c r="J121" s="3978">
        <f t="shared" ca="1" si="55"/>
        <v>0.45830669936088952</v>
      </c>
      <c r="K121" s="3978">
        <f t="shared" ca="1" si="55"/>
        <v>0.36180543144288668</v>
      </c>
      <c r="L121" s="3978">
        <f t="shared" ca="1" si="55"/>
        <v>0.28557654485991651</v>
      </c>
      <c r="M121" s="3978">
        <f t="shared" ca="1" si="55"/>
        <v>0.122610416458489</v>
      </c>
      <c r="N121" s="3286"/>
      <c r="O121" s="3286"/>
      <c r="P121" s="3286"/>
      <c r="Q121" s="3274"/>
    </row>
    <row r="122" spans="2:17">
      <c r="B122" s="3271"/>
      <c r="C122" s="3283" t="s">
        <v>430</v>
      </c>
      <c r="D122" s="3286" t="s">
        <v>572</v>
      </c>
      <c r="E122" s="3978">
        <f ca="1">SUM(E95:E97)</f>
        <v>2.7554222662175594</v>
      </c>
      <c r="F122" s="3978">
        <f t="shared" ref="F122:M122" ca="1" si="56">SUM(F95:F97)</f>
        <v>3.4895098266987508</v>
      </c>
      <c r="G122" s="3978">
        <f t="shared" ca="1" si="56"/>
        <v>4.2222023814613916</v>
      </c>
      <c r="H122" s="3978">
        <f t="shared" ca="1" si="56"/>
        <v>4.7435184285914218</v>
      </c>
      <c r="I122" s="3978">
        <f t="shared" ca="1" si="56"/>
        <v>5.1785739413469143</v>
      </c>
      <c r="J122" s="3978">
        <f t="shared" ca="1" si="56"/>
        <v>5.2753269000195147</v>
      </c>
      <c r="K122" s="3978">
        <f t="shared" ca="1" si="56"/>
        <v>4.8895553704307382</v>
      </c>
      <c r="L122" s="3978">
        <f t="shared" ca="1" si="56"/>
        <v>4.5219073244006491</v>
      </c>
      <c r="M122" s="3978">
        <f t="shared" ca="1" si="56"/>
        <v>4.5080683765058049</v>
      </c>
      <c r="N122" s="3286"/>
      <c r="O122" s="3286"/>
      <c r="P122" s="3286"/>
      <c r="Q122" s="3274"/>
    </row>
    <row r="123" spans="2:17">
      <c r="B123" s="3271"/>
      <c r="C123" s="3283" t="s">
        <v>433</v>
      </c>
      <c r="D123" s="3286" t="s">
        <v>146</v>
      </c>
      <c r="E123" s="3978">
        <f ca="1">SUM(E98:E99)</f>
        <v>23.311266915263246</v>
      </c>
      <c r="F123" s="3978">
        <f t="shared" ref="F123:M123" ca="1" si="57">SUM(F98:F99)</f>
        <v>23.267581324784786</v>
      </c>
      <c r="G123" s="3978">
        <f t="shared" ca="1" si="57"/>
        <v>20.650649187310073</v>
      </c>
      <c r="H123" s="3978">
        <f t="shared" ca="1" si="57"/>
        <v>20.40843063217299</v>
      </c>
      <c r="I123" s="3978">
        <f t="shared" ca="1" si="57"/>
        <v>13.883093074912559</v>
      </c>
      <c r="J123" s="3978">
        <f t="shared" ca="1" si="57"/>
        <v>1.0246834611179927</v>
      </c>
      <c r="K123" s="3978">
        <f t="shared" ca="1" si="57"/>
        <v>1.7111936919719914</v>
      </c>
      <c r="L123" s="3978">
        <f t="shared" ca="1" si="57"/>
        <v>2.4238277679140663</v>
      </c>
      <c r="M123" s="3978">
        <f t="shared" ca="1" si="57"/>
        <v>2.6655686309587772</v>
      </c>
      <c r="N123" s="3286"/>
      <c r="O123" s="3286"/>
      <c r="P123" s="3286"/>
      <c r="Q123" s="3274"/>
    </row>
    <row r="124" spans="2:17">
      <c r="B124" s="3271"/>
      <c r="C124" s="3283" t="s">
        <v>434</v>
      </c>
      <c r="D124" s="3286" t="s">
        <v>144</v>
      </c>
      <c r="E124" s="3978">
        <f ca="1">SUM(E100:E101)</f>
        <v>76.526836320775942</v>
      </c>
      <c r="F124" s="3978">
        <f t="shared" ref="F124:M124" ca="1" si="58">SUM(F100:F101)</f>
        <v>74.08927995898263</v>
      </c>
      <c r="G124" s="3978">
        <f t="shared" ca="1" si="58"/>
        <v>75.114909897863313</v>
      </c>
      <c r="H124" s="3978">
        <f t="shared" ca="1" si="58"/>
        <v>75.036510281436605</v>
      </c>
      <c r="I124" s="3978">
        <f t="shared" ca="1" si="58"/>
        <v>75.220892589846784</v>
      </c>
      <c r="J124" s="3978">
        <f t="shared" ca="1" si="58"/>
        <v>75.174956561456597</v>
      </c>
      <c r="K124" s="3978">
        <f t="shared" ca="1" si="58"/>
        <v>75.040093616616304</v>
      </c>
      <c r="L124" s="3978">
        <f t="shared" ca="1" si="58"/>
        <v>75.04125554596699</v>
      </c>
      <c r="M124" s="3978">
        <f t="shared" ca="1" si="58"/>
        <v>74.505208807877793</v>
      </c>
      <c r="N124" s="3286"/>
      <c r="O124" s="3286"/>
      <c r="P124" s="3286"/>
      <c r="Q124" s="3274"/>
    </row>
    <row r="125" spans="2:17">
      <c r="B125" s="3271"/>
      <c r="C125" s="3283" t="s">
        <v>435</v>
      </c>
      <c r="D125" s="3286" t="s">
        <v>15</v>
      </c>
      <c r="E125" s="3978">
        <f ca="1">SUM(E102:E103)</f>
        <v>47.473619810652579</v>
      </c>
      <c r="F125" s="3978">
        <f t="shared" ref="F125:M125" ca="1" si="59">SUM(F102:F103)</f>
        <v>49.453496458281798</v>
      </c>
      <c r="G125" s="3978">
        <f t="shared" ca="1" si="59"/>
        <v>57.74172392909157</v>
      </c>
      <c r="H125" s="3978">
        <f t="shared" ca="1" si="59"/>
        <v>69.295640467804589</v>
      </c>
      <c r="I125" s="3978">
        <f t="shared" ca="1" si="59"/>
        <v>85.907348315610292</v>
      </c>
      <c r="J125" s="3978">
        <f t="shared" ca="1" si="59"/>
        <v>106.91717023293266</v>
      </c>
      <c r="K125" s="3978">
        <f t="shared" ca="1" si="59"/>
        <v>116.07842350144173</v>
      </c>
      <c r="L125" s="3978">
        <f t="shared" ca="1" si="59"/>
        <v>125.61125120472862</v>
      </c>
      <c r="M125" s="3978">
        <f t="shared" ca="1" si="59"/>
        <v>135.74178666175516</v>
      </c>
      <c r="N125" s="3286"/>
      <c r="O125" s="3286"/>
      <c r="P125" s="3286"/>
      <c r="Q125" s="3274"/>
    </row>
    <row r="126" spans="2:17">
      <c r="B126" s="3271"/>
      <c r="C126" s="3283"/>
      <c r="D126" s="3286" t="s">
        <v>58</v>
      </c>
      <c r="E126" s="3978">
        <f ca="1">E104</f>
        <v>157.96865537017334</v>
      </c>
      <c r="F126" s="3978">
        <f t="shared" ref="F126:M126" ca="1" si="60">F104</f>
        <v>159.36531875173819</v>
      </c>
      <c r="G126" s="3978">
        <f t="shared" ca="1" si="60"/>
        <v>166.90099214284439</v>
      </c>
      <c r="H126" s="3978">
        <f t="shared" ca="1" si="60"/>
        <v>175.51250633969124</v>
      </c>
      <c r="I126" s="3978">
        <f t="shared" ca="1" si="60"/>
        <v>183.35512735727062</v>
      </c>
      <c r="J126" s="3978">
        <f t="shared" ca="1" si="60"/>
        <v>189.4034870991897</v>
      </c>
      <c r="K126" s="3978">
        <f t="shared" ca="1" si="60"/>
        <v>198.75776377316549</v>
      </c>
      <c r="L126" s="3978">
        <f t="shared" ca="1" si="60"/>
        <v>208.69265006837747</v>
      </c>
      <c r="M126" s="3978">
        <f t="shared" ca="1" si="60"/>
        <v>218.49274289355603</v>
      </c>
      <c r="N126" s="3286"/>
      <c r="O126" s="3286"/>
      <c r="P126" s="3286"/>
      <c r="Q126" s="3274"/>
    </row>
    <row r="127" spans="2:17">
      <c r="B127" s="3271"/>
      <c r="C127" s="3283"/>
      <c r="D127" s="3286"/>
      <c r="E127" s="3978"/>
      <c r="F127" s="3978"/>
      <c r="G127" s="3978"/>
      <c r="H127" s="3978"/>
      <c r="I127" s="3978"/>
      <c r="J127" s="3978"/>
      <c r="K127" s="3978"/>
      <c r="L127" s="3978"/>
      <c r="M127" s="3978"/>
      <c r="N127" s="3286"/>
      <c r="O127" s="3286"/>
      <c r="P127" s="3286"/>
      <c r="Q127" s="3274"/>
    </row>
    <row r="128" spans="2:17">
      <c r="B128" s="3271"/>
      <c r="C128" s="3966" t="s">
        <v>3281</v>
      </c>
      <c r="D128" s="3286"/>
      <c r="E128" s="3978"/>
      <c r="F128" s="3978"/>
      <c r="G128" s="3978"/>
      <c r="H128" s="3978"/>
      <c r="I128" s="3978"/>
      <c r="J128" s="3978"/>
      <c r="K128" s="3978"/>
      <c r="L128" s="3978"/>
      <c r="M128" s="3978"/>
      <c r="N128" s="3286"/>
      <c r="O128" s="3286"/>
      <c r="P128" s="3286"/>
      <c r="Q128" s="3274"/>
    </row>
    <row r="129" spans="2:17">
      <c r="B129" s="3271"/>
      <c r="C129" s="3283"/>
      <c r="D129" s="3272"/>
      <c r="E129" s="3272"/>
      <c r="F129" s="3272"/>
      <c r="G129" s="3867"/>
      <c r="H129" s="3867"/>
      <c r="I129" s="3867"/>
      <c r="J129" s="3867"/>
      <c r="K129" s="3867"/>
      <c r="L129" s="3867"/>
      <c r="M129" s="3868" t="s">
        <v>42</v>
      </c>
      <c r="N129" s="3286"/>
      <c r="O129" s="3286"/>
      <c r="P129" s="3286"/>
      <c r="Q129" s="3274"/>
    </row>
    <row r="130" spans="2:17">
      <c r="B130" s="3271"/>
      <c r="C130" s="3283"/>
      <c r="D130" s="3280" t="s">
        <v>28</v>
      </c>
      <c r="E130" s="3281">
        <v>2013</v>
      </c>
      <c r="F130" s="3281">
        <v>2015</v>
      </c>
      <c r="G130" s="3281">
        <v>2020</v>
      </c>
      <c r="H130" s="3281">
        <v>2025</v>
      </c>
      <c r="I130" s="3281">
        <v>2030</v>
      </c>
      <c r="J130" s="3281">
        <v>2035</v>
      </c>
      <c r="K130" s="3281">
        <v>2040</v>
      </c>
      <c r="L130" s="3281">
        <v>2045</v>
      </c>
      <c r="M130" s="3282">
        <v>2050</v>
      </c>
      <c r="N130" s="3286"/>
      <c r="O130" s="3286"/>
      <c r="P130" s="3286"/>
      <c r="Q130" s="3274"/>
    </row>
    <row r="131" spans="2:17">
      <c r="B131" s="3271"/>
      <c r="C131" s="3283" t="s">
        <v>436</v>
      </c>
      <c r="D131" s="3286" t="s">
        <v>744</v>
      </c>
      <c r="E131" s="3980">
        <f ca="1">IFERROR(E109/E120,0)</f>
        <v>0</v>
      </c>
      <c r="F131" s="3980">
        <f t="shared" ref="F131:M131" ca="1" si="61">IFERROR(F109/F120,0)</f>
        <v>0</v>
      </c>
      <c r="G131" s="3980">
        <f t="shared" ca="1" si="61"/>
        <v>0</v>
      </c>
      <c r="H131" s="3980">
        <f t="shared" ca="1" si="61"/>
        <v>0</v>
      </c>
      <c r="I131" s="3980">
        <f t="shared" ca="1" si="61"/>
        <v>0</v>
      </c>
      <c r="J131" s="3980">
        <f t="shared" ca="1" si="61"/>
        <v>0</v>
      </c>
      <c r="K131" s="3980">
        <f t="shared" ca="1" si="61"/>
        <v>0</v>
      </c>
      <c r="L131" s="3980">
        <f t="shared" ca="1" si="61"/>
        <v>0</v>
      </c>
      <c r="M131" s="3980">
        <f t="shared" ca="1" si="61"/>
        <v>0</v>
      </c>
      <c r="N131" s="3286"/>
      <c r="O131" s="3286"/>
      <c r="P131" s="3286"/>
      <c r="Q131" s="3274"/>
    </row>
    <row r="132" spans="2:17">
      <c r="B132" s="3271"/>
      <c r="C132" s="3283" t="s">
        <v>431</v>
      </c>
      <c r="D132" s="3286" t="s">
        <v>1217</v>
      </c>
      <c r="E132" s="3980">
        <f t="shared" ref="E132:M137" ca="1" si="62">IFERROR(E110/E121,0)</f>
        <v>0.32091144982734993</v>
      </c>
      <c r="F132" s="3980">
        <f t="shared" ca="1" si="62"/>
        <v>0.28020479666029785</v>
      </c>
      <c r="G132" s="3980">
        <f t="shared" ca="1" si="62"/>
        <v>0.27969320140130211</v>
      </c>
      <c r="H132" s="3980">
        <f t="shared" ca="1" si="62"/>
        <v>0.26329429919157199</v>
      </c>
      <c r="I132" s="3980">
        <f t="shared" ca="1" si="62"/>
        <v>0.36666321412617026</v>
      </c>
      <c r="J132" s="3980">
        <f t="shared" ca="1" si="62"/>
        <v>7.7518257615583059E-15</v>
      </c>
      <c r="K132" s="3980">
        <f t="shared" ca="1" si="62"/>
        <v>1.9638807878766296E-14</v>
      </c>
      <c r="L132" s="3980">
        <f t="shared" ca="1" si="62"/>
        <v>0</v>
      </c>
      <c r="M132" s="3980">
        <f t="shared" ca="1" si="62"/>
        <v>0</v>
      </c>
      <c r="N132" s="3286"/>
      <c r="O132" s="3286"/>
      <c r="P132" s="3286"/>
      <c r="Q132" s="3274"/>
    </row>
    <row r="133" spans="2:17">
      <c r="B133" s="3271"/>
      <c r="C133" s="3283" t="s">
        <v>430</v>
      </c>
      <c r="D133" s="3286" t="s">
        <v>572</v>
      </c>
      <c r="E133" s="3980">
        <f t="shared" ca="1" si="62"/>
        <v>0.39755673026857019</v>
      </c>
      <c r="F133" s="3980">
        <f t="shared" ca="1" si="62"/>
        <v>0.37159946938070165</v>
      </c>
      <c r="G133" s="3980">
        <f t="shared" ca="1" si="62"/>
        <v>0.30711460106542438</v>
      </c>
      <c r="H133" s="3980">
        <f t="shared" ca="1" si="62"/>
        <v>0.2628217890934188</v>
      </c>
      <c r="I133" s="3980">
        <f t="shared" ca="1" si="62"/>
        <v>0.30896536732347019</v>
      </c>
      <c r="J133" s="3980">
        <f t="shared" ca="1" si="62"/>
        <v>0.2748644828047786</v>
      </c>
      <c r="K133" s="3980">
        <f t="shared" ca="1" si="62"/>
        <v>0.16361405882382413</v>
      </c>
      <c r="L133" s="3980">
        <f t="shared" ca="1" si="62"/>
        <v>3.3171843038574761E-2</v>
      </c>
      <c r="M133" s="3980">
        <f t="shared" ca="1" si="62"/>
        <v>0</v>
      </c>
      <c r="N133" s="3286"/>
      <c r="O133" s="3286"/>
      <c r="P133" s="3286"/>
      <c r="Q133" s="3274"/>
    </row>
    <row r="134" spans="2:17">
      <c r="B134" s="3271"/>
      <c r="C134" s="3283" t="s">
        <v>433</v>
      </c>
      <c r="D134" s="3286" t="s">
        <v>146</v>
      </c>
      <c r="E134" s="3980">
        <f t="shared" ca="1" si="62"/>
        <v>0.63965922441992917</v>
      </c>
      <c r="F134" s="3980">
        <f t="shared" ca="1" si="62"/>
        <v>0.69915222805975319</v>
      </c>
      <c r="G134" s="3980">
        <f t="shared" ca="1" si="62"/>
        <v>0.90315074447010557</v>
      </c>
      <c r="H134" s="3980">
        <f t="shared" ca="1" si="62"/>
        <v>0.90200128387887468</v>
      </c>
      <c r="I134" s="3980">
        <f t="shared" ca="1" si="62"/>
        <v>1</v>
      </c>
      <c r="J134" s="3980">
        <f t="shared" ca="1" si="62"/>
        <v>1</v>
      </c>
      <c r="K134" s="3980">
        <f t="shared" ca="1" si="62"/>
        <v>1</v>
      </c>
      <c r="L134" s="3980">
        <f t="shared" ca="1" si="62"/>
        <v>1</v>
      </c>
      <c r="M134" s="3980">
        <f t="shared" ca="1" si="62"/>
        <v>1</v>
      </c>
      <c r="N134" s="3286"/>
      <c r="O134" s="3286"/>
      <c r="P134" s="3286"/>
      <c r="Q134" s="3274"/>
    </row>
    <row r="135" spans="2:17">
      <c r="B135" s="3271"/>
      <c r="C135" s="3283" t="s">
        <v>434</v>
      </c>
      <c r="D135" s="3286" t="s">
        <v>144</v>
      </c>
      <c r="E135" s="3980">
        <f t="shared" ca="1" si="62"/>
        <v>1</v>
      </c>
      <c r="F135" s="3980">
        <f t="shared" ca="1" si="62"/>
        <v>1</v>
      </c>
      <c r="G135" s="3980">
        <f t="shared" ca="1" si="62"/>
        <v>1</v>
      </c>
      <c r="H135" s="3980">
        <f t="shared" ca="1" si="62"/>
        <v>1</v>
      </c>
      <c r="I135" s="3980">
        <f t="shared" ca="1" si="62"/>
        <v>1</v>
      </c>
      <c r="J135" s="3980">
        <f t="shared" ca="1" si="62"/>
        <v>1</v>
      </c>
      <c r="K135" s="3980">
        <f t="shared" ca="1" si="62"/>
        <v>1</v>
      </c>
      <c r="L135" s="3980">
        <f t="shared" ca="1" si="62"/>
        <v>1</v>
      </c>
      <c r="M135" s="3980">
        <f t="shared" ca="1" si="62"/>
        <v>1</v>
      </c>
      <c r="N135" s="3286"/>
      <c r="O135" s="3286"/>
      <c r="P135" s="3286"/>
      <c r="Q135" s="3274"/>
    </row>
    <row r="136" spans="2:17">
      <c r="B136" s="3271"/>
      <c r="C136" s="3283" t="s">
        <v>435</v>
      </c>
      <c r="D136" s="3286" t="s">
        <v>15</v>
      </c>
      <c r="E136" s="3980">
        <f t="shared" ca="1" si="62"/>
        <v>1</v>
      </c>
      <c r="F136" s="3980">
        <f t="shared" ca="1" si="62"/>
        <v>0.96450143312123637</v>
      </c>
      <c r="G136" s="3980">
        <f t="shared" ca="1" si="62"/>
        <v>0.39385252780154323</v>
      </c>
      <c r="H136" s="3980">
        <f t="shared" ca="1" si="62"/>
        <v>0.85569077747905231</v>
      </c>
      <c r="I136" s="3980">
        <f t="shared" ca="1" si="62"/>
        <v>1</v>
      </c>
      <c r="J136" s="3980">
        <f t="shared" ca="1" si="62"/>
        <v>1</v>
      </c>
      <c r="K136" s="3980">
        <f t="shared" ca="1" si="62"/>
        <v>1</v>
      </c>
      <c r="L136" s="3980">
        <f t="shared" ca="1" si="62"/>
        <v>1</v>
      </c>
      <c r="M136" s="3980">
        <f t="shared" ca="1" si="62"/>
        <v>1</v>
      </c>
      <c r="N136" s="3286"/>
      <c r="O136" s="3286"/>
      <c r="P136" s="3286"/>
      <c r="Q136" s="3274"/>
    </row>
    <row r="137" spans="2:17">
      <c r="B137" s="3271"/>
      <c r="C137" s="3283"/>
      <c r="D137" s="3286" t="s">
        <v>58</v>
      </c>
      <c r="E137" s="3980">
        <f t="shared" ca="1" si="62"/>
        <v>0.90212301535020689</v>
      </c>
      <c r="F137" s="3980">
        <f t="shared" ca="1" si="62"/>
        <v>0.89010288186738273</v>
      </c>
      <c r="G137" s="3980">
        <f t="shared" ca="1" si="62"/>
        <v>0.72081047254231556</v>
      </c>
      <c r="H137" s="3980">
        <f t="shared" ca="1" si="62"/>
        <v>0.885904284680889</v>
      </c>
      <c r="I137" s="3980">
        <f t="shared" ca="1" si="62"/>
        <v>0.96867394187614342</v>
      </c>
      <c r="J137" s="3980">
        <f t="shared" ca="1" si="62"/>
        <v>0.97446363360169019</v>
      </c>
      <c r="K137" s="3980">
        <f t="shared" ca="1" si="62"/>
        <v>0.97419948350300456</v>
      </c>
      <c r="L137" s="3980">
        <f t="shared" ca="1" si="62"/>
        <v>0.97380686120006255</v>
      </c>
      <c r="M137" s="3980">
        <f t="shared" ca="1" si="62"/>
        <v>0.97446057603989711</v>
      </c>
      <c r="N137" s="3286"/>
      <c r="O137" s="3286"/>
      <c r="P137" s="3286"/>
      <c r="Q137" s="3274"/>
    </row>
    <row r="138" spans="2:17">
      <c r="B138" s="3271"/>
      <c r="C138" s="3283"/>
      <c r="D138" s="3286"/>
      <c r="E138" s="3978"/>
      <c r="F138" s="3978"/>
      <c r="G138" s="3978"/>
      <c r="H138" s="3978"/>
      <c r="I138" s="3978"/>
      <c r="J138" s="3978"/>
      <c r="K138" s="3978"/>
      <c r="L138" s="3978"/>
      <c r="M138" s="3978"/>
      <c r="N138" s="3286"/>
      <c r="O138" s="3286"/>
      <c r="P138" s="3286"/>
      <c r="Q138" s="3274"/>
    </row>
    <row r="140" spans="2:17" ht="15">
      <c r="B140" s="3263" t="s">
        <v>3265</v>
      </c>
      <c r="C140" s="3264"/>
      <c r="D140" s="3264"/>
      <c r="E140" s="3264"/>
      <c r="F140" s="3264"/>
      <c r="G140" s="3265"/>
      <c r="H140" s="3265"/>
      <c r="I140" s="3265"/>
      <c r="J140" s="3265"/>
      <c r="K140" s="3265"/>
      <c r="L140" s="3265"/>
      <c r="M140" s="3265"/>
      <c r="N140" s="3265"/>
      <c r="O140" s="3265"/>
      <c r="P140" s="3265"/>
      <c r="Q140" s="3266"/>
    </row>
    <row r="141" spans="2:17" ht="15">
      <c r="B141" s="3267"/>
      <c r="C141" s="3268"/>
      <c r="D141" s="3268"/>
      <c r="E141" s="3268"/>
      <c r="F141" s="3268"/>
      <c r="G141" s="3269"/>
      <c r="H141" s="3269"/>
      <c r="I141" s="3269"/>
      <c r="J141" s="3269"/>
      <c r="K141" s="3269"/>
      <c r="L141" s="3269"/>
      <c r="M141" s="3269" t="s">
        <v>5</v>
      </c>
      <c r="N141" s="3269"/>
      <c r="O141" s="3269"/>
      <c r="P141" s="3269"/>
      <c r="Q141" s="3270"/>
    </row>
    <row r="142" spans="2:17" ht="15">
      <c r="B142" s="3866"/>
      <c r="C142" s="3272" t="s">
        <v>3266</v>
      </c>
      <c r="D142" s="3272"/>
      <c r="E142" s="3272"/>
      <c r="F142" s="3272"/>
      <c r="G142" s="3867"/>
      <c r="H142" s="3867"/>
      <c r="I142" s="3867"/>
      <c r="J142" s="3867"/>
      <c r="K142" s="3867"/>
      <c r="L142" s="3867"/>
      <c r="M142" s="3867"/>
      <c r="N142" s="3867"/>
      <c r="O142" s="3867"/>
      <c r="P142" s="3867"/>
      <c r="Q142" s="3869"/>
    </row>
    <row r="143" spans="2:17" ht="15">
      <c r="B143" s="3866"/>
      <c r="C143" s="3272"/>
      <c r="D143" s="3272"/>
      <c r="E143" s="3272"/>
      <c r="F143" s="3272"/>
      <c r="G143" s="3867"/>
      <c r="H143" s="3867"/>
      <c r="I143" s="3867"/>
      <c r="J143" s="3867"/>
      <c r="K143" s="3867"/>
      <c r="L143" s="3867"/>
      <c r="M143" s="3868" t="str">
        <f>Preferences.PowerUnits</f>
        <v>GW</v>
      </c>
      <c r="N143" s="3867"/>
      <c r="O143" s="3867"/>
      <c r="P143" s="3867"/>
      <c r="Q143" s="3869"/>
    </row>
    <row r="144" spans="2:17">
      <c r="B144" s="3271"/>
      <c r="C144" s="3279"/>
      <c r="D144" s="3280" t="s">
        <v>3267</v>
      </c>
      <c r="E144" s="3281">
        <v>2013</v>
      </c>
      <c r="F144" s="3281">
        <v>2015</v>
      </c>
      <c r="G144" s="3281">
        <v>2020</v>
      </c>
      <c r="H144" s="3281">
        <v>2025</v>
      </c>
      <c r="I144" s="3281">
        <v>2030</v>
      </c>
      <c r="J144" s="3281">
        <v>2035</v>
      </c>
      <c r="K144" s="3281">
        <v>2040</v>
      </c>
      <c r="L144" s="3281">
        <v>2045</v>
      </c>
      <c r="M144" s="3282">
        <v>2050</v>
      </c>
      <c r="N144" s="3286"/>
      <c r="O144" s="3286"/>
      <c r="P144" s="3286"/>
      <c r="Q144" s="3274"/>
    </row>
    <row r="145" spans="2:17">
      <c r="B145" s="3271"/>
      <c r="C145" s="3283" t="s">
        <v>2337</v>
      </c>
      <c r="D145" s="3286" t="s">
        <v>3268</v>
      </c>
      <c r="E145" s="3978">
        <f ca="1">IFERROR(INDEX(INDIRECT($C145&amp;".info["&amp;E$144&amp;"]"), MATCH("B.02", INDIRECT($C145&amp;".info[Vector]"), 0)), 0)</f>
        <v>3.7307314609372622</v>
      </c>
      <c r="F145" s="3978">
        <f t="shared" ref="F145:M146" ca="1" si="63">IFERROR(INDEX(INDIRECT($C145&amp;".info["&amp;F$144&amp;"]"), MATCH("B.02", INDIRECT($C145&amp;".info[Vector]"), 0)), 0)</f>
        <v>3.8052509775073333</v>
      </c>
      <c r="G145" s="3978">
        <f t="shared" ca="1" si="63"/>
        <v>4.2113950606716246</v>
      </c>
      <c r="H145" s="3978">
        <f t="shared" ca="1" si="63"/>
        <v>5.7050506480965373</v>
      </c>
      <c r="I145" s="3978">
        <f t="shared" ca="1" si="63"/>
        <v>7.7123564525192059</v>
      </c>
      <c r="J145" s="3978">
        <f t="shared" ca="1" si="63"/>
        <v>10.264814485695553</v>
      </c>
      <c r="K145" s="3978">
        <f t="shared" ca="1" si="63"/>
        <v>10.984017995921848</v>
      </c>
      <c r="L145" s="3978">
        <f t="shared" ca="1" si="63"/>
        <v>11.728918935759285</v>
      </c>
      <c r="M145" s="3978">
        <f t="shared" ca="1" si="63"/>
        <v>12.50175302733326</v>
      </c>
      <c r="N145" s="3286"/>
      <c r="O145" s="3286"/>
      <c r="P145" s="3286"/>
      <c r="Q145" s="3274"/>
    </row>
    <row r="146" spans="2:17">
      <c r="B146" s="3271"/>
      <c r="C146" s="3978" t="s">
        <v>560</v>
      </c>
      <c r="D146" s="3286" t="s">
        <v>3269</v>
      </c>
      <c r="E146" s="3978">
        <f ca="1">IFERROR(INDEX(INDIRECT($C146&amp;".info["&amp;E$144&amp;"]"), MATCH("B.02", INDIRECT($C146&amp;".info[Vector]"), 0)), 0)</f>
        <v>0.28284987271456291</v>
      </c>
      <c r="F146" s="3978">
        <f t="shared" ca="1" si="63"/>
        <v>0.49101641110532723</v>
      </c>
      <c r="G146" s="3978">
        <f t="shared" ca="1" si="63"/>
        <v>1.19226702680187</v>
      </c>
      <c r="H146" s="3978">
        <f t="shared" ca="1" si="63"/>
        <v>0</v>
      </c>
      <c r="I146" s="3978">
        <f t="shared" ca="1" si="63"/>
        <v>0</v>
      </c>
      <c r="J146" s="3978">
        <f t="shared" ca="1" si="63"/>
        <v>0</v>
      </c>
      <c r="K146" s="3978">
        <f t="shared" ca="1" si="63"/>
        <v>0</v>
      </c>
      <c r="L146" s="3978">
        <f t="shared" ca="1" si="63"/>
        <v>0</v>
      </c>
      <c r="M146" s="3978">
        <f t="shared" ca="1" si="63"/>
        <v>0</v>
      </c>
      <c r="N146" s="3286"/>
      <c r="O146" s="3286"/>
      <c r="P146" s="3286"/>
      <c r="Q146" s="3274"/>
    </row>
    <row r="147" spans="2:17">
      <c r="B147" s="3271"/>
      <c r="C147" s="3283"/>
      <c r="D147" s="3272"/>
      <c r="E147" s="3272"/>
      <c r="F147" s="3272"/>
      <c r="G147" s="3867"/>
      <c r="H147" s="3867"/>
      <c r="I147" s="3867"/>
      <c r="J147" s="3867"/>
      <c r="K147" s="3867"/>
      <c r="L147" s="3867"/>
      <c r="M147" s="3868"/>
      <c r="N147" s="3286"/>
      <c r="O147" s="3286"/>
      <c r="P147" s="3286"/>
      <c r="Q147" s="327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sheetPr>
  <dimension ref="B1:AZ135"/>
  <sheetViews>
    <sheetView showGridLines="0" zoomScale="80" zoomScaleNormal="80" workbookViewId="0">
      <selection activeCell="Q16" sqref="Q16"/>
    </sheetView>
  </sheetViews>
  <sheetFormatPr defaultColWidth="9.1796875" defaultRowHeight="14.5"/>
  <cols>
    <col min="1" max="1" width="2.1796875" style="1068" customWidth="1"/>
    <col min="2" max="2" width="3.453125" style="1068" customWidth="1"/>
    <col min="3" max="3" width="22.1796875" style="1068" bestFit="1" customWidth="1"/>
    <col min="4" max="4" width="29.453125" style="1068" bestFit="1" customWidth="1"/>
    <col min="5" max="5" width="9.26953125" style="1068" bestFit="1" customWidth="1"/>
    <col min="6" max="14" width="9.1796875" style="1068"/>
    <col min="15" max="15" width="1.7265625" customWidth="1"/>
    <col min="16" max="16" width="1.81640625" style="1068" customWidth="1"/>
    <col min="17" max="17" width="9.1796875" style="1068"/>
    <col min="18" max="18" width="30.1796875" style="1068" bestFit="1" customWidth="1"/>
    <col min="19" max="27" width="6.1796875" style="81" customWidth="1"/>
    <col min="28" max="28" width="3.1796875" style="81" customWidth="1"/>
    <col min="29" max="29" width="2.81640625" style="81" customWidth="1"/>
    <col min="30" max="38" width="6.1796875" style="81" customWidth="1"/>
    <col min="39" max="39" width="3.453125" style="81" customWidth="1"/>
    <col min="40" max="40" width="3.1796875" style="81" customWidth="1"/>
    <col min="41" max="49" width="6.1796875" style="81" customWidth="1"/>
    <col min="50" max="16384" width="9.1796875" style="1068"/>
  </cols>
  <sheetData>
    <row r="1" spans="2:52">
      <c r="M1" s="356"/>
      <c r="N1" s="1068" t="s">
        <v>5</v>
      </c>
    </row>
    <row r="2" spans="2:52" ht="15">
      <c r="B2" s="3263" t="s">
        <v>3090</v>
      </c>
      <c r="C2" s="3264"/>
      <c r="D2" s="3264"/>
      <c r="E2" s="3265"/>
      <c r="F2" s="3265"/>
      <c r="G2" s="3265"/>
      <c r="H2" s="3265"/>
      <c r="I2" s="3265"/>
      <c r="J2" s="3265"/>
      <c r="K2" s="3265"/>
      <c r="L2" s="3265"/>
      <c r="M2" s="3265"/>
      <c r="N2" s="3266"/>
      <c r="Q2" s="3263" t="s">
        <v>3091</v>
      </c>
      <c r="R2" s="3264"/>
      <c r="S2" s="3862"/>
      <c r="T2" s="3862"/>
      <c r="U2" s="3862"/>
      <c r="V2" s="3863"/>
      <c r="W2" s="3863"/>
      <c r="X2" s="3863"/>
      <c r="Y2" s="3863"/>
      <c r="Z2" s="3863"/>
      <c r="AA2" s="3863"/>
      <c r="AB2" s="3863"/>
      <c r="AC2" s="3863"/>
      <c r="AD2" s="3863"/>
      <c r="AE2" s="3863"/>
      <c r="AF2" s="3863"/>
      <c r="AG2" s="3863"/>
      <c r="AH2" s="3863"/>
      <c r="AI2" s="3863"/>
      <c r="AJ2" s="3863"/>
      <c r="AK2" s="3863"/>
      <c r="AL2" s="3863"/>
      <c r="AM2" s="3863"/>
      <c r="AN2" s="3863"/>
      <c r="AO2" s="3863"/>
      <c r="AP2" s="3863"/>
      <c r="AQ2" s="3863"/>
      <c r="AR2" s="3863"/>
      <c r="AS2" s="3863"/>
      <c r="AT2" s="3863"/>
      <c r="AU2" s="3863"/>
      <c r="AV2" s="3863"/>
      <c r="AW2" s="3863"/>
      <c r="AX2" s="3266"/>
    </row>
    <row r="3" spans="2:52" ht="15">
      <c r="B3" s="3267"/>
      <c r="C3" s="3268"/>
      <c r="D3" s="3268"/>
      <c r="E3" s="3269"/>
      <c r="F3" s="3269"/>
      <c r="G3" s="3269"/>
      <c r="H3" s="3269"/>
      <c r="I3" s="3269"/>
      <c r="J3" s="3269"/>
      <c r="K3" s="3269"/>
      <c r="L3" s="3269"/>
      <c r="M3" s="3269"/>
      <c r="N3" s="3270"/>
      <c r="Q3" s="3267"/>
      <c r="R3" s="3268"/>
      <c r="S3" s="3864"/>
      <c r="T3" s="3864"/>
      <c r="U3" s="3864"/>
      <c r="V3" s="3865"/>
      <c r="W3" s="3865"/>
      <c r="X3" s="3865"/>
      <c r="Y3" s="3865"/>
      <c r="Z3" s="3865"/>
      <c r="AA3" s="3865"/>
      <c r="AB3" s="3865"/>
      <c r="AC3" s="3865"/>
      <c r="AD3" s="3865"/>
      <c r="AE3" s="3865"/>
      <c r="AF3" s="3865"/>
      <c r="AG3" s="3865"/>
      <c r="AH3" s="3865"/>
      <c r="AI3" s="3865"/>
      <c r="AJ3" s="3865"/>
      <c r="AK3" s="3865"/>
      <c r="AL3" s="3865"/>
      <c r="AM3" s="3865"/>
      <c r="AN3" s="3865"/>
      <c r="AO3" s="3865"/>
      <c r="AP3" s="3865"/>
      <c r="AQ3" s="3865"/>
      <c r="AR3" s="3865"/>
      <c r="AS3" s="3865"/>
      <c r="AT3" s="3865"/>
      <c r="AU3" s="3865"/>
      <c r="AV3" s="3865"/>
      <c r="AW3" s="3865"/>
      <c r="AX3" s="3270"/>
    </row>
    <row r="4" spans="2:52" ht="15">
      <c r="B4" s="3866"/>
      <c r="C4" s="3272"/>
      <c r="D4" s="3272"/>
      <c r="E4" s="3867"/>
      <c r="F4" s="3867"/>
      <c r="G4" s="3867"/>
      <c r="H4" s="3867"/>
      <c r="I4" s="3867"/>
      <c r="J4" s="3867"/>
      <c r="K4" s="3867"/>
      <c r="L4" s="3867"/>
      <c r="M4" s="3868" t="str">
        <f>Preferences.EnergyUnits</f>
        <v>TWh</v>
      </c>
      <c r="N4" s="3869"/>
      <c r="Q4" s="3866"/>
      <c r="R4" s="3281"/>
      <c r="S4" s="3287" t="s">
        <v>3092</v>
      </c>
      <c r="T4" s="3870"/>
      <c r="U4" s="3870"/>
      <c r="V4" s="3871"/>
      <c r="W4" s="3871"/>
      <c r="X4" s="3871"/>
      <c r="Y4" s="3871"/>
      <c r="Z4" s="3871"/>
      <c r="AA4" s="3871"/>
      <c r="AB4" s="3871"/>
      <c r="AC4" s="3871"/>
      <c r="AD4" s="3287" t="s">
        <v>3093</v>
      </c>
      <c r="AE4" s="3870"/>
      <c r="AF4" s="3870"/>
      <c r="AG4" s="3871"/>
      <c r="AH4" s="3871"/>
      <c r="AI4" s="3871"/>
      <c r="AJ4" s="3871"/>
      <c r="AK4" s="3871"/>
      <c r="AL4" s="3871"/>
      <c r="AM4" s="3871"/>
      <c r="AN4" s="3871"/>
      <c r="AO4" s="3870" t="s">
        <v>3094</v>
      </c>
      <c r="AP4" s="3870"/>
      <c r="AQ4" s="3870"/>
      <c r="AR4" s="3871"/>
      <c r="AS4" s="3871"/>
      <c r="AT4" s="3871"/>
      <c r="AU4" s="3871"/>
      <c r="AV4" s="3871"/>
      <c r="AW4" s="3871"/>
      <c r="AX4" s="3869"/>
    </row>
    <row r="5" spans="2:52" s="3853" customFormat="1" ht="15">
      <c r="B5" s="3271"/>
      <c r="C5" s="3279" t="s">
        <v>2579</v>
      </c>
      <c r="D5" s="3280" t="s">
        <v>2580</v>
      </c>
      <c r="E5" s="3281" t="s">
        <v>588</v>
      </c>
      <c r="F5" s="3281" t="s">
        <v>132</v>
      </c>
      <c r="G5" s="3281" t="s">
        <v>133</v>
      </c>
      <c r="H5" s="3281" t="s">
        <v>134</v>
      </c>
      <c r="I5" s="3281" t="s">
        <v>135</v>
      </c>
      <c r="J5" s="3281" t="s">
        <v>136</v>
      </c>
      <c r="K5" s="3281" t="s">
        <v>137</v>
      </c>
      <c r="L5" s="3281" t="s">
        <v>138</v>
      </c>
      <c r="M5" s="3282" t="s">
        <v>139</v>
      </c>
      <c r="N5" s="3274"/>
      <c r="O5"/>
      <c r="Q5" s="3866"/>
      <c r="R5" s="3281" t="s">
        <v>3095</v>
      </c>
      <c r="S5" s="3281">
        <v>2013</v>
      </c>
      <c r="T5" s="3281">
        <v>2015</v>
      </c>
      <c r="U5" s="3281">
        <v>2020</v>
      </c>
      <c r="V5" s="3281">
        <v>2025</v>
      </c>
      <c r="W5" s="3281">
        <v>2030</v>
      </c>
      <c r="X5" s="3281">
        <v>2035</v>
      </c>
      <c r="Y5" s="3281">
        <v>2040</v>
      </c>
      <c r="Z5" s="3281">
        <v>2045</v>
      </c>
      <c r="AA5" s="3282">
        <v>2050</v>
      </c>
      <c r="AB5" s="3282"/>
      <c r="AC5" s="3871"/>
      <c r="AD5" s="3281">
        <v>2013</v>
      </c>
      <c r="AE5" s="3281">
        <v>2015</v>
      </c>
      <c r="AF5" s="3281">
        <v>2020</v>
      </c>
      <c r="AG5" s="3281">
        <v>2025</v>
      </c>
      <c r="AH5" s="3281">
        <v>2030</v>
      </c>
      <c r="AI5" s="3281">
        <v>2035</v>
      </c>
      <c r="AJ5" s="3281">
        <v>2040</v>
      </c>
      <c r="AK5" s="3281">
        <v>2045</v>
      </c>
      <c r="AL5" s="3282">
        <v>2050</v>
      </c>
      <c r="AM5" s="3282"/>
      <c r="AN5" s="3871"/>
      <c r="AO5" s="3281">
        <v>2013</v>
      </c>
      <c r="AP5" s="3281">
        <v>2015</v>
      </c>
      <c r="AQ5" s="3281">
        <v>2020</v>
      </c>
      <c r="AR5" s="3281">
        <v>2025</v>
      </c>
      <c r="AS5" s="3281">
        <v>2030</v>
      </c>
      <c r="AT5" s="3281">
        <v>2035</v>
      </c>
      <c r="AU5" s="3281">
        <v>2040</v>
      </c>
      <c r="AV5" s="3281">
        <v>2045</v>
      </c>
      <c r="AW5" s="3282">
        <v>2050</v>
      </c>
      <c r="AX5" s="3869"/>
      <c r="AZ5" s="3912"/>
    </row>
    <row r="6" spans="2:52" s="3853" customFormat="1" ht="15">
      <c r="B6" s="3271"/>
      <c r="C6" s="3283" t="s">
        <v>2693</v>
      </c>
      <c r="D6" s="3286" t="s">
        <v>3132</v>
      </c>
      <c r="E6" s="3286">
        <f ca="1">-INDEX(INDIRECT("XV.b.Outputs["&amp;E$5&amp;"]"), MATCH("Q.01", INDIRECT("XV.b.Outputs[Vector]"), 0))</f>
        <v>8.4</v>
      </c>
      <c r="F6" s="3286">
        <f t="shared" ref="F6:M6" ca="1" si="0">-INDEX(INDIRECT("XV.b.Outputs["&amp;F$5&amp;"]"), MATCH("Q.01", INDIRECT("XV.b.Outputs[Vector]"), 0))</f>
        <v>7</v>
      </c>
      <c r="G6" s="3286">
        <f t="shared" ca="1" si="0"/>
        <v>2</v>
      </c>
      <c r="H6" s="3286">
        <f t="shared" ca="1" si="0"/>
        <v>2</v>
      </c>
      <c r="I6" s="3286">
        <f t="shared" ca="1" si="0"/>
        <v>0</v>
      </c>
      <c r="J6" s="3286">
        <f t="shared" ca="1" si="0"/>
        <v>0</v>
      </c>
      <c r="K6" s="3286">
        <f t="shared" ca="1" si="0"/>
        <v>0</v>
      </c>
      <c r="L6" s="3286">
        <f t="shared" ca="1" si="0"/>
        <v>0</v>
      </c>
      <c r="M6" s="3286">
        <f t="shared" ca="1" si="0"/>
        <v>0</v>
      </c>
      <c r="N6" s="3274"/>
      <c r="O6"/>
      <c r="Q6" s="3866"/>
      <c r="R6" s="3870" t="s">
        <v>2585</v>
      </c>
      <c r="S6" s="3872">
        <f t="shared" ref="S6:AA34" ca="1" si="1">SUMIF($C$6:$C$95,$R6,E$6:E$95)</f>
        <v>1.0344384058333334</v>
      </c>
      <c r="T6" s="3872">
        <f ca="1">SUMIF($C$6:$C$95,$R6,F$6:F$95)</f>
        <v>1.5378777522383891</v>
      </c>
      <c r="U6" s="3872">
        <f t="shared" ca="1" si="1"/>
        <v>1.7466123309372987</v>
      </c>
      <c r="V6" s="3872">
        <f t="shared" ca="1" si="1"/>
        <v>2.3007036202001871</v>
      </c>
      <c r="W6" s="3872">
        <f t="shared" ca="1" si="1"/>
        <v>2.3662570832467176</v>
      </c>
      <c r="X6" s="3872">
        <f t="shared" ca="1" si="1"/>
        <v>2.581516190290118</v>
      </c>
      <c r="Y6" s="3872">
        <f t="shared" ca="1" si="1"/>
        <v>2.8096105738423911</v>
      </c>
      <c r="Z6" s="3872">
        <f t="shared" ca="1" si="1"/>
        <v>3.0515430459313988</v>
      </c>
      <c r="AA6" s="3872">
        <f t="shared" ca="1" si="1"/>
        <v>3.1417072078883246</v>
      </c>
      <c r="AB6" s="3872"/>
      <c r="AC6" s="3873"/>
      <c r="AD6" s="3872">
        <f>SUMIF($D$6:$D$95,$R6,E$6:E$95)</f>
        <v>0</v>
      </c>
      <c r="AE6" s="3872">
        <f t="shared" ref="AE6:AL6" si="2">SUMIF($D$6:$D$95,$R6,F$6:F$95)</f>
        <v>0</v>
      </c>
      <c r="AF6" s="3872">
        <f t="shared" si="2"/>
        <v>0</v>
      </c>
      <c r="AG6" s="3872">
        <f t="shared" si="2"/>
        <v>0</v>
      </c>
      <c r="AH6" s="3872">
        <f t="shared" si="2"/>
        <v>0</v>
      </c>
      <c r="AI6" s="3872">
        <f t="shared" si="2"/>
        <v>0</v>
      </c>
      <c r="AJ6" s="3872">
        <f t="shared" si="2"/>
        <v>0</v>
      </c>
      <c r="AK6" s="3872">
        <f t="shared" si="2"/>
        <v>0</v>
      </c>
      <c r="AL6" s="3872">
        <f t="shared" si="2"/>
        <v>0</v>
      </c>
      <c r="AM6" s="3872"/>
      <c r="AN6" s="3873"/>
      <c r="AO6" s="3874"/>
      <c r="AP6" s="3874"/>
      <c r="AQ6" s="3874"/>
      <c r="AR6" s="3874"/>
      <c r="AS6" s="3874"/>
      <c r="AT6" s="3874"/>
      <c r="AU6" s="3874"/>
      <c r="AV6" s="3874"/>
      <c r="AW6" s="3874"/>
      <c r="AX6" s="3869"/>
    </row>
    <row r="7" spans="2:52" s="3853" customFormat="1" ht="15">
      <c r="B7" s="3271"/>
      <c r="C7" s="3283" t="s">
        <v>2586</v>
      </c>
      <c r="D7" s="3286" t="s">
        <v>3132</v>
      </c>
      <c r="E7" s="3286">
        <f ca="1">MAX(-INDEX(INDIRECT("XVI.b.Inputs["&amp;E$5&amp;"]"), MATCH("Y.04", INDIRECT("XVI.b.Inputs[Vector]"), 0)),0)</f>
        <v>14.911266915263244</v>
      </c>
      <c r="F7" s="3286">
        <f t="shared" ref="F7:M7" ca="1" si="3">MAX(-INDEX(INDIRECT("XVI.b.Inputs["&amp;F$5&amp;"]"), MATCH("Y.04", INDIRECT("XVI.b.Inputs[Vector]"), 0)),0)</f>
        <v>16.267581324784786</v>
      </c>
      <c r="G7" s="3286">
        <f t="shared" ca="1" si="3"/>
        <v>18.650649187310073</v>
      </c>
      <c r="H7" s="3286">
        <f t="shared" ca="1" si="3"/>
        <v>18.40843063217299</v>
      </c>
      <c r="I7" s="3286">
        <f t="shared" ca="1" si="3"/>
        <v>13.883093074912559</v>
      </c>
      <c r="J7" s="3286">
        <f t="shared" ca="1" si="3"/>
        <v>1.0246834611179927</v>
      </c>
      <c r="K7" s="3286">
        <f t="shared" ca="1" si="3"/>
        <v>1.7111936919719914</v>
      </c>
      <c r="L7" s="3286">
        <f t="shared" ca="1" si="3"/>
        <v>2.4238277679140663</v>
      </c>
      <c r="M7" s="3286">
        <f t="shared" ca="1" si="3"/>
        <v>2.6655686309587772</v>
      </c>
      <c r="N7" s="3274"/>
      <c r="O7"/>
      <c r="Q7" s="3866"/>
      <c r="R7" s="3870" t="s">
        <v>392</v>
      </c>
      <c r="S7" s="3872">
        <f t="shared" si="1"/>
        <v>0</v>
      </c>
      <c r="T7" s="3872">
        <f t="shared" si="1"/>
        <v>0</v>
      </c>
      <c r="U7" s="3872">
        <f t="shared" si="1"/>
        <v>0</v>
      </c>
      <c r="V7" s="3872">
        <f t="shared" si="1"/>
        <v>0</v>
      </c>
      <c r="W7" s="3872">
        <f t="shared" si="1"/>
        <v>0</v>
      </c>
      <c r="X7" s="3872">
        <f t="shared" si="1"/>
        <v>0</v>
      </c>
      <c r="Y7" s="3872">
        <f t="shared" si="1"/>
        <v>0</v>
      </c>
      <c r="Z7" s="3872">
        <f t="shared" si="1"/>
        <v>0</v>
      </c>
      <c r="AA7" s="3872">
        <f t="shared" si="1"/>
        <v>0</v>
      </c>
      <c r="AB7" s="3872"/>
      <c r="AC7" s="3873"/>
      <c r="AD7" s="3872">
        <f t="shared" ref="AD7:AD56" ca="1" si="4">SUMIF($D$6:$D$95,$R7,E$6:E$95)</f>
        <v>2.6100000000000003</v>
      </c>
      <c r="AE7" s="3872">
        <f t="shared" ref="AE7:AE56" ca="1" si="5">SUMIF($D$6:$D$95,$R7,F$6:F$95)</f>
        <v>2.6423610000000002</v>
      </c>
      <c r="AF7" s="3872">
        <f t="shared" ref="AF7:AF56" ca="1" si="6">SUMIF($D$6:$D$95,$R7,G$6:G$95)</f>
        <v>2.7261379168922861</v>
      </c>
      <c r="AG7" s="3872">
        <f t="shared" ref="AG7:AG56" ca="1" si="7">SUMIF($D$6:$D$95,$R7,H$6:H$95)</f>
        <v>2.8141882985124713</v>
      </c>
      <c r="AH7" s="3872">
        <f t="shared" ref="AH7:AH56" ca="1" si="8">SUMIF($D$6:$D$95,$R7,I$6:I$95)</f>
        <v>2.9067301345104264</v>
      </c>
      <c r="AI7" s="3872">
        <f t="shared" ref="AI7:AI56" ca="1" si="9">SUMIF($D$6:$D$95,$R7,J$6:J$95)</f>
        <v>3.003992534198983</v>
      </c>
      <c r="AJ7" s="3872">
        <f t="shared" ref="AJ7:AJ56" ca="1" si="10">SUMIF($D$6:$D$95,$R7,K$6:K$95)</f>
        <v>3.1062162937684992</v>
      </c>
      <c r="AK7" s="3872">
        <f t="shared" ref="AK7:AK56" ca="1" si="11">SUMIF($D$6:$D$95,$R7,L$6:L$95)</f>
        <v>3.213654492435067</v>
      </c>
      <c r="AL7" s="3872">
        <f t="shared" ref="AL7:AL56" ca="1" si="12">SUMIF($D$6:$D$95,$R7,M$6:M$95)</f>
        <v>3.3265731189982697</v>
      </c>
      <c r="AM7" s="3872"/>
      <c r="AN7" s="3873"/>
      <c r="AO7" s="3874"/>
      <c r="AP7" s="3874"/>
      <c r="AQ7" s="3874"/>
      <c r="AR7" s="3874"/>
      <c r="AS7" s="3874"/>
      <c r="AT7" s="3874"/>
      <c r="AU7" s="3874"/>
      <c r="AV7" s="3874"/>
      <c r="AW7" s="3874"/>
      <c r="AX7" s="3874"/>
    </row>
    <row r="8" spans="2:52" s="3853" customFormat="1" ht="15">
      <c r="B8" s="3271"/>
      <c r="C8" s="3283" t="s">
        <v>379</v>
      </c>
      <c r="D8" s="3286" t="s">
        <v>144</v>
      </c>
      <c r="E8" s="3286">
        <f ca="1">-INDEX(INDIRECT("XV.b.Outputs["&amp;E$5&amp;"]"), MATCH("Q.02", INDIRECT("XV.b.Outputs[Vector]"), 0))</f>
        <v>0</v>
      </c>
      <c r="F8" s="3286">
        <f t="shared" ref="F8:M8" ca="1" si="13">-INDEX(INDIRECT("XV.b.Outputs["&amp;F$5&amp;"]"), MATCH("Q.02", INDIRECT("XV.b.Outputs[Vector]"), 0))</f>
        <v>0</v>
      </c>
      <c r="G8" s="3286">
        <f t="shared" ca="1" si="13"/>
        <v>0</v>
      </c>
      <c r="H8" s="3286">
        <f t="shared" ca="1" si="13"/>
        <v>0</v>
      </c>
      <c r="I8" s="3286">
        <f t="shared" ca="1" si="13"/>
        <v>0</v>
      </c>
      <c r="J8" s="3286">
        <f t="shared" ca="1" si="13"/>
        <v>0</v>
      </c>
      <c r="K8" s="3286">
        <f t="shared" ca="1" si="13"/>
        <v>0</v>
      </c>
      <c r="L8" s="3286">
        <f t="shared" ca="1" si="13"/>
        <v>0</v>
      </c>
      <c r="M8" s="3286">
        <f t="shared" ca="1" si="13"/>
        <v>0</v>
      </c>
      <c r="N8" s="3274"/>
      <c r="O8"/>
      <c r="Q8" s="3866"/>
      <c r="R8" s="3870" t="s">
        <v>2587</v>
      </c>
      <c r="S8" s="3872">
        <f t="shared" ca="1" si="1"/>
        <v>1.5962362187508927</v>
      </c>
      <c r="T8" s="3872">
        <f t="shared" ca="1" si="1"/>
        <v>2.1271218266987506</v>
      </c>
      <c r="U8" s="3872">
        <f t="shared" ca="1" si="1"/>
        <v>2.6738012725216338</v>
      </c>
      <c r="V8" s="3872">
        <f t="shared" ca="1" si="1"/>
        <v>3.2486053138373236</v>
      </c>
      <c r="W8" s="3872">
        <f t="shared" ca="1" si="1"/>
        <v>3.3332557595287322</v>
      </c>
      <c r="X8" s="3872">
        <f t="shared" ca="1" si="1"/>
        <v>3.5801852815224047</v>
      </c>
      <c r="Y8" s="3872">
        <f t="shared" ca="1" si="1"/>
        <v>3.8445747074473129</v>
      </c>
      <c r="Z8" s="3872">
        <f t="shared" ca="1" si="1"/>
        <v>4.1274983534243956</v>
      </c>
      <c r="AA8" s="3872">
        <f t="shared" ca="1" si="1"/>
        <v>4.2641940046465097</v>
      </c>
      <c r="AB8" s="3872"/>
      <c r="AC8" s="3873"/>
      <c r="AD8" s="3872">
        <f t="shared" ca="1" si="4"/>
        <v>1.5962362187508925</v>
      </c>
      <c r="AE8" s="3872">
        <f t="shared" ca="1" si="5"/>
        <v>2.1271218266987511</v>
      </c>
      <c r="AF8" s="3872">
        <f t="shared" ca="1" si="6"/>
        <v>2.6738012725216334</v>
      </c>
      <c r="AG8" s="3872">
        <f t="shared" ca="1" si="7"/>
        <v>3.2486053138373236</v>
      </c>
      <c r="AH8" s="3872">
        <f t="shared" ca="1" si="8"/>
        <v>3.3332557595287322</v>
      </c>
      <c r="AI8" s="3872">
        <f t="shared" ca="1" si="9"/>
        <v>3.5801852815224051</v>
      </c>
      <c r="AJ8" s="3872">
        <f t="shared" ca="1" si="10"/>
        <v>3.8445747074473129</v>
      </c>
      <c r="AK8" s="3872">
        <f t="shared" ca="1" si="11"/>
        <v>4.1274983534243956</v>
      </c>
      <c r="AL8" s="3872">
        <f t="shared" ca="1" si="12"/>
        <v>4.2641940046465088</v>
      </c>
      <c r="AM8" s="3872"/>
      <c r="AN8" s="3873"/>
      <c r="AO8" s="3874">
        <f t="shared" ref="AO8:AW8" ca="1" si="14">S8-AD8</f>
        <v>0</v>
      </c>
      <c r="AP8" s="3874">
        <f t="shared" ca="1" si="14"/>
        <v>0</v>
      </c>
      <c r="AQ8" s="3874">
        <f t="shared" ca="1" si="14"/>
        <v>0</v>
      </c>
      <c r="AR8" s="3874">
        <f t="shared" ca="1" si="14"/>
        <v>0</v>
      </c>
      <c r="AS8" s="3874">
        <f t="shared" ca="1" si="14"/>
        <v>0</v>
      </c>
      <c r="AT8" s="3874">
        <f t="shared" ca="1" si="14"/>
        <v>0</v>
      </c>
      <c r="AU8" s="3874">
        <f t="shared" ca="1" si="14"/>
        <v>0</v>
      </c>
      <c r="AV8" s="3874">
        <f t="shared" ca="1" si="14"/>
        <v>0</v>
      </c>
      <c r="AW8" s="3874">
        <f t="shared" ca="1" si="14"/>
        <v>0</v>
      </c>
      <c r="AX8" s="3874"/>
    </row>
    <row r="9" spans="2:52" s="3853" customFormat="1" ht="15">
      <c r="B9" s="3271"/>
      <c r="C9" s="3283" t="s">
        <v>2588</v>
      </c>
      <c r="D9" s="3286" t="s">
        <v>144</v>
      </c>
      <c r="E9" s="3286">
        <f ca="1">MAX(-INDEX(INDIRECT("XVI.b.Inputs["&amp;E$5&amp;"]"), MATCH("Y.05", INDIRECT("XVI.b.Inputs[Vector]"), 0)),0)</f>
        <v>76.526836320775942</v>
      </c>
      <c r="F9" s="3286">
        <f t="shared" ref="F9:M9" ca="1" si="15">MAX(-INDEX(INDIRECT("XVI.b.Inputs["&amp;F$5&amp;"]"), MATCH("Y.05", INDIRECT("XVI.b.Inputs[Vector]"), 0)),0)</f>
        <v>74.08927995898263</v>
      </c>
      <c r="G9" s="3286">
        <f t="shared" ca="1" si="15"/>
        <v>75.114909897863313</v>
      </c>
      <c r="H9" s="3286">
        <f t="shared" ca="1" si="15"/>
        <v>75.036510281436605</v>
      </c>
      <c r="I9" s="3286">
        <f t="shared" ca="1" si="15"/>
        <v>75.220892589846784</v>
      </c>
      <c r="J9" s="3286">
        <f t="shared" ca="1" si="15"/>
        <v>75.174956561456597</v>
      </c>
      <c r="K9" s="3286">
        <f t="shared" ca="1" si="15"/>
        <v>75.040093616616304</v>
      </c>
      <c r="L9" s="3286">
        <f t="shared" ca="1" si="15"/>
        <v>75.04125554596699</v>
      </c>
      <c r="M9" s="3286">
        <f t="shared" ca="1" si="15"/>
        <v>74.505208807877793</v>
      </c>
      <c r="N9" s="3274"/>
      <c r="O9"/>
      <c r="Q9" s="3866"/>
      <c r="R9" s="3870" t="s">
        <v>2589</v>
      </c>
      <c r="S9" s="3872">
        <f t="shared" ca="1" si="1"/>
        <v>0.91876999999999998</v>
      </c>
      <c r="T9" s="3872">
        <f t="shared" ca="1" si="1"/>
        <v>1.0467</v>
      </c>
      <c r="U9" s="3872">
        <f t="shared" ca="1" si="1"/>
        <v>1.0467</v>
      </c>
      <c r="V9" s="3872">
        <f t="shared" ca="1" si="1"/>
        <v>1.0467</v>
      </c>
      <c r="W9" s="3872">
        <f t="shared" ca="1" si="1"/>
        <v>0.6</v>
      </c>
      <c r="X9" s="3872">
        <f t="shared" ca="1" si="1"/>
        <v>0.44999999999999996</v>
      </c>
      <c r="Y9" s="3872">
        <f t="shared" ca="1" si="1"/>
        <v>0.29999999999999993</v>
      </c>
      <c r="Z9" s="3872">
        <f t="shared" ca="1" si="1"/>
        <v>0.14999999999999991</v>
      </c>
      <c r="AA9" s="3872">
        <f t="shared" ca="1" si="1"/>
        <v>0</v>
      </c>
      <c r="AB9" s="3872"/>
      <c r="AC9" s="3873"/>
      <c r="AD9" s="3872">
        <f t="shared" si="4"/>
        <v>0</v>
      </c>
      <c r="AE9" s="3872">
        <f t="shared" si="5"/>
        <v>0</v>
      </c>
      <c r="AF9" s="3872">
        <f t="shared" si="6"/>
        <v>0</v>
      </c>
      <c r="AG9" s="3872">
        <f t="shared" si="7"/>
        <v>0</v>
      </c>
      <c r="AH9" s="3872">
        <f t="shared" si="8"/>
        <v>0</v>
      </c>
      <c r="AI9" s="3872">
        <f t="shared" si="9"/>
        <v>0</v>
      </c>
      <c r="AJ9" s="3872">
        <f t="shared" si="10"/>
        <v>0</v>
      </c>
      <c r="AK9" s="3872">
        <f t="shared" si="11"/>
        <v>0</v>
      </c>
      <c r="AL9" s="3872">
        <f t="shared" si="12"/>
        <v>0</v>
      </c>
      <c r="AM9" s="3872"/>
      <c r="AN9" s="3873"/>
      <c r="AO9" s="3874"/>
      <c r="AP9" s="3874"/>
      <c r="AQ9" s="3874"/>
      <c r="AR9" s="3874"/>
      <c r="AS9" s="3874"/>
      <c r="AT9" s="3874"/>
      <c r="AU9" s="3874"/>
      <c r="AV9" s="3874"/>
      <c r="AW9" s="3874"/>
      <c r="AX9" s="3874"/>
    </row>
    <row r="10" spans="2:52" s="3853" customFormat="1" ht="15">
      <c r="B10" s="3271"/>
      <c r="C10" s="3283" t="s">
        <v>380</v>
      </c>
      <c r="D10" s="3286" t="s">
        <v>828</v>
      </c>
      <c r="E10" s="3286">
        <f ca="1">-INDEX(INDIRECT("XV.b.Outputs["&amp;E$5&amp;"]"), MATCH("Q.03", INDIRECT("XV.b.Outputs[Vector]"), 0))</f>
        <v>0</v>
      </c>
      <c r="F10" s="3286">
        <f t="shared" ref="F10:M10" ca="1" si="16">-INDEX(INDIRECT("XV.b.Outputs["&amp;F$5&amp;"]"), MATCH("Q.03", INDIRECT("XV.b.Outputs[Vector]"), 0))</f>
        <v>1.7555282514130199</v>
      </c>
      <c r="G10" s="3286">
        <f t="shared" ca="1" si="16"/>
        <v>35</v>
      </c>
      <c r="H10" s="3286">
        <f t="shared" ca="1" si="16"/>
        <v>10</v>
      </c>
      <c r="I10" s="3286">
        <f t="shared" ca="1" si="16"/>
        <v>0</v>
      </c>
      <c r="J10" s="3286">
        <f t="shared" ca="1" si="16"/>
        <v>0</v>
      </c>
      <c r="K10" s="3286">
        <f t="shared" ca="1" si="16"/>
        <v>0</v>
      </c>
      <c r="L10" s="3286">
        <f t="shared" ca="1" si="16"/>
        <v>0</v>
      </c>
      <c r="M10" s="3286">
        <f t="shared" ca="1" si="16"/>
        <v>0</v>
      </c>
      <c r="N10" s="3274"/>
      <c r="O10"/>
      <c r="Q10" s="3866"/>
      <c r="R10" s="3870" t="s">
        <v>2591</v>
      </c>
      <c r="S10" s="3872">
        <f t="shared" ca="1" si="1"/>
        <v>0.17666666666666667</v>
      </c>
      <c r="T10" s="3872">
        <f t="shared" ca="1" si="1"/>
        <v>0.25</v>
      </c>
      <c r="U10" s="3872">
        <f t="shared" ca="1" si="1"/>
        <v>0.25</v>
      </c>
      <c r="V10" s="3872">
        <f t="shared" ca="1" si="1"/>
        <v>0.2</v>
      </c>
      <c r="W10" s="3872">
        <f t="shared" ca="1" si="1"/>
        <v>1</v>
      </c>
      <c r="X10" s="3872">
        <f t="shared" ca="1" si="1"/>
        <v>1</v>
      </c>
      <c r="Y10" s="3872">
        <f t="shared" ca="1" si="1"/>
        <v>0.5</v>
      </c>
      <c r="Z10" s="3872">
        <f t="shared" ca="1" si="1"/>
        <v>0</v>
      </c>
      <c r="AA10" s="3872">
        <f t="shared" ca="1" si="1"/>
        <v>0</v>
      </c>
      <c r="AB10" s="3872"/>
      <c r="AC10" s="3873"/>
      <c r="AD10" s="3872">
        <f t="shared" si="4"/>
        <v>0</v>
      </c>
      <c r="AE10" s="3872">
        <f t="shared" si="5"/>
        <v>0</v>
      </c>
      <c r="AF10" s="3872">
        <f t="shared" si="6"/>
        <v>0</v>
      </c>
      <c r="AG10" s="3872">
        <f t="shared" si="7"/>
        <v>0</v>
      </c>
      <c r="AH10" s="3872">
        <f t="shared" si="8"/>
        <v>0</v>
      </c>
      <c r="AI10" s="3872">
        <f t="shared" si="9"/>
        <v>0</v>
      </c>
      <c r="AJ10" s="3872">
        <f t="shared" si="10"/>
        <v>0</v>
      </c>
      <c r="AK10" s="3872">
        <f t="shared" si="11"/>
        <v>0</v>
      </c>
      <c r="AL10" s="3872">
        <f t="shared" si="12"/>
        <v>0</v>
      </c>
      <c r="AM10" s="3872"/>
      <c r="AN10" s="3873"/>
      <c r="AO10" s="3874"/>
      <c r="AP10" s="3874"/>
      <c r="AQ10" s="3874"/>
      <c r="AR10" s="3874"/>
      <c r="AS10" s="3874"/>
      <c r="AT10" s="3874"/>
      <c r="AU10" s="3874"/>
      <c r="AV10" s="3874"/>
      <c r="AW10" s="3874"/>
      <c r="AX10" s="3874"/>
    </row>
    <row r="11" spans="2:52" s="3853" customFormat="1" ht="15">
      <c r="B11" s="3271"/>
      <c r="C11" s="3283" t="s">
        <v>2592</v>
      </c>
      <c r="D11" s="3286" t="s">
        <v>828</v>
      </c>
      <c r="E11" s="3286">
        <f ca="1">MAX(-INDEX(INDIRECT("XVI.b.Inputs["&amp;E$5&amp;"]"), MATCH("Y.06", INDIRECT("XVI.b.Inputs[Vector]"), 0)),0)</f>
        <v>47.473619810652579</v>
      </c>
      <c r="F11" s="3286">
        <f t="shared" ref="F11:M11" ca="1" si="17">MAX(-INDEX(INDIRECT("XVI.b.Inputs["&amp;F$5&amp;"]"), MATCH("Y.06", INDIRECT("XVI.b.Inputs[Vector]"), 0)),0)</f>
        <v>47.697968206868779</v>
      </c>
      <c r="G11" s="3286">
        <f t="shared" ca="1" si="17"/>
        <v>22.74172392909157</v>
      </c>
      <c r="H11" s="3286">
        <f t="shared" ca="1" si="17"/>
        <v>59.295640467804589</v>
      </c>
      <c r="I11" s="3286">
        <f t="shared" ca="1" si="17"/>
        <v>85.907348315610292</v>
      </c>
      <c r="J11" s="3286">
        <f t="shared" ca="1" si="17"/>
        <v>106.91717023293266</v>
      </c>
      <c r="K11" s="3286">
        <f t="shared" ca="1" si="17"/>
        <v>116.07842350144173</v>
      </c>
      <c r="L11" s="3286">
        <f t="shared" ca="1" si="17"/>
        <v>125.61125120472862</v>
      </c>
      <c r="M11" s="3286">
        <f t="shared" ca="1" si="17"/>
        <v>135.74178666175516</v>
      </c>
      <c r="N11" s="3274"/>
      <c r="O11"/>
      <c r="Q11" s="3866"/>
      <c r="R11" s="3870" t="s">
        <v>2593</v>
      </c>
      <c r="S11" s="3872">
        <f t="shared" ca="1" si="1"/>
        <v>0</v>
      </c>
      <c r="T11" s="3872">
        <f t="shared" ca="1" si="1"/>
        <v>0</v>
      </c>
      <c r="U11" s="3872">
        <f t="shared" ca="1" si="1"/>
        <v>0</v>
      </c>
      <c r="V11" s="3872">
        <f t="shared" ca="1" si="1"/>
        <v>0</v>
      </c>
      <c r="W11" s="3872">
        <f t="shared" ca="1" si="1"/>
        <v>0</v>
      </c>
      <c r="X11" s="3872">
        <f t="shared" ca="1" si="1"/>
        <v>0</v>
      </c>
      <c r="Y11" s="3872">
        <f t="shared" ca="1" si="1"/>
        <v>0</v>
      </c>
      <c r="Z11" s="3872">
        <f t="shared" ca="1" si="1"/>
        <v>0</v>
      </c>
      <c r="AA11" s="3872">
        <f t="shared" ca="1" si="1"/>
        <v>0</v>
      </c>
      <c r="AB11" s="3872"/>
      <c r="AC11" s="3873"/>
      <c r="AD11" s="3872">
        <f t="shared" ca="1" si="4"/>
        <v>0</v>
      </c>
      <c r="AE11" s="3872">
        <f t="shared" ca="1" si="5"/>
        <v>0</v>
      </c>
      <c r="AF11" s="3872">
        <f t="shared" ca="1" si="6"/>
        <v>0</v>
      </c>
      <c r="AG11" s="3872">
        <f t="shared" ca="1" si="7"/>
        <v>0</v>
      </c>
      <c r="AH11" s="3872">
        <f t="shared" ca="1" si="8"/>
        <v>0</v>
      </c>
      <c r="AI11" s="3872">
        <f t="shared" ca="1" si="9"/>
        <v>0</v>
      </c>
      <c r="AJ11" s="3872">
        <f t="shared" ca="1" si="10"/>
        <v>0</v>
      </c>
      <c r="AK11" s="3872">
        <f t="shared" ca="1" si="11"/>
        <v>0</v>
      </c>
      <c r="AL11" s="3872">
        <f t="shared" ca="1" si="12"/>
        <v>0</v>
      </c>
      <c r="AM11" s="3872"/>
      <c r="AN11" s="3873" t="s">
        <v>5</v>
      </c>
      <c r="AO11" s="3874">
        <f t="shared" ref="AO11:AW12" ca="1" si="18">S11-AD11</f>
        <v>0</v>
      </c>
      <c r="AP11" s="3874">
        <f t="shared" ca="1" si="18"/>
        <v>0</v>
      </c>
      <c r="AQ11" s="3874">
        <f t="shared" ca="1" si="18"/>
        <v>0</v>
      </c>
      <c r="AR11" s="3874">
        <f t="shared" ca="1" si="18"/>
        <v>0</v>
      </c>
      <c r="AS11" s="3874">
        <f t="shared" ca="1" si="18"/>
        <v>0</v>
      </c>
      <c r="AT11" s="3874">
        <f t="shared" ca="1" si="18"/>
        <v>0</v>
      </c>
      <c r="AU11" s="3874">
        <f t="shared" ca="1" si="18"/>
        <v>0</v>
      </c>
      <c r="AV11" s="3874">
        <f t="shared" ca="1" si="18"/>
        <v>0</v>
      </c>
      <c r="AW11" s="3874">
        <f t="shared" ca="1" si="18"/>
        <v>0</v>
      </c>
      <c r="AX11" s="3874"/>
    </row>
    <row r="12" spans="2:52" s="3853" customFormat="1" ht="15">
      <c r="B12" s="3271"/>
      <c r="C12" s="3283" t="s">
        <v>3096</v>
      </c>
      <c r="D12" s="3286" t="s">
        <v>2587</v>
      </c>
      <c r="E12" s="3286">
        <f ca="1">-INDEX(INDIRECT("VI.a.Outputs["&amp;E$5&amp;"]"), MATCH("A.01", INDIRECT("VI.a.Outputs[Vector]"), 0))</f>
        <v>0.31308333333333338</v>
      </c>
      <c r="F12" s="3286">
        <f t="shared" ref="F12:M12" ca="1" si="19">-INDEX(INDIRECT("VI.a.Outputs["&amp;F$5&amp;"]"), MATCH("A.01", INDIRECT("VI.a.Outputs[Vector]"), 0))</f>
        <v>0.31819825788025435</v>
      </c>
      <c r="G12" s="3286">
        <f t="shared" ca="1" si="19"/>
        <v>0.33156731444804843</v>
      </c>
      <c r="H12" s="3286">
        <f t="shared" ca="1" si="19"/>
        <v>0.34581642466848794</v>
      </c>
      <c r="I12" s="3286">
        <f t="shared" ca="1" si="19"/>
        <v>0.36101075337977562</v>
      </c>
      <c r="J12" s="3286">
        <f t="shared" ca="1" si="19"/>
        <v>0.37722039553007852</v>
      </c>
      <c r="K12" s="3286">
        <f t="shared" ca="1" si="19"/>
        <v>0.39452075052198765</v>
      </c>
      <c r="L12" s="3286">
        <f t="shared" ca="1" si="19"/>
        <v>0.41299292499810381</v>
      </c>
      <c r="M12" s="3286">
        <f t="shared" ca="1" si="19"/>
        <v>0.43272416622880361</v>
      </c>
      <c r="N12" s="3274"/>
      <c r="O12"/>
      <c r="Q12" s="3866"/>
      <c r="R12" s="3287" t="s">
        <v>3132</v>
      </c>
      <c r="S12" s="3872">
        <f t="shared" ca="1" si="1"/>
        <v>23.311266915263246</v>
      </c>
      <c r="T12" s="3872">
        <f t="shared" ca="1" si="1"/>
        <v>23.267581324784786</v>
      </c>
      <c r="U12" s="3872">
        <f t="shared" ca="1" si="1"/>
        <v>20.650649187310073</v>
      </c>
      <c r="V12" s="3872">
        <f t="shared" ca="1" si="1"/>
        <v>20.40843063217299</v>
      </c>
      <c r="W12" s="3872">
        <f t="shared" ca="1" si="1"/>
        <v>13.883093074912559</v>
      </c>
      <c r="X12" s="3872">
        <f t="shared" ca="1" si="1"/>
        <v>1.0246834611179927</v>
      </c>
      <c r="Y12" s="3872">
        <f t="shared" ca="1" si="1"/>
        <v>1.7111936919719914</v>
      </c>
      <c r="Z12" s="3872">
        <f t="shared" ca="1" si="1"/>
        <v>2.4238277679140663</v>
      </c>
      <c r="AA12" s="3872">
        <f t="shared" ca="1" si="1"/>
        <v>2.6655686309587772</v>
      </c>
      <c r="AB12" s="3872"/>
      <c r="AC12" s="3873"/>
      <c r="AD12" s="3872">
        <f t="shared" ca="1" si="4"/>
        <v>23.311266915263246</v>
      </c>
      <c r="AE12" s="3872">
        <f t="shared" ca="1" si="5"/>
        <v>23.267581324784786</v>
      </c>
      <c r="AF12" s="3872">
        <f t="shared" ca="1" si="6"/>
        <v>20.650649187310073</v>
      </c>
      <c r="AG12" s="3872">
        <f t="shared" ca="1" si="7"/>
        <v>20.40843063217299</v>
      </c>
      <c r="AH12" s="3872">
        <f t="shared" ca="1" si="8"/>
        <v>13.883093074912559</v>
      </c>
      <c r="AI12" s="3872">
        <f t="shared" ca="1" si="9"/>
        <v>1.0246834611179927</v>
      </c>
      <c r="AJ12" s="3872">
        <f t="shared" ca="1" si="10"/>
        <v>1.7111936919719914</v>
      </c>
      <c r="AK12" s="3872">
        <f t="shared" ca="1" si="11"/>
        <v>2.4238277679140663</v>
      </c>
      <c r="AL12" s="3872">
        <f t="shared" ca="1" si="12"/>
        <v>2.6655686309587772</v>
      </c>
      <c r="AM12" s="3872"/>
      <c r="AN12" s="3873"/>
      <c r="AO12" s="3874">
        <f t="shared" ca="1" si="18"/>
        <v>0</v>
      </c>
      <c r="AP12" s="3874">
        <f t="shared" ca="1" si="18"/>
        <v>0</v>
      </c>
      <c r="AQ12" s="3874">
        <f t="shared" ca="1" si="18"/>
        <v>0</v>
      </c>
      <c r="AR12" s="3874">
        <f t="shared" ca="1" si="18"/>
        <v>0</v>
      </c>
      <c r="AS12" s="3874">
        <f t="shared" ca="1" si="18"/>
        <v>0</v>
      </c>
      <c r="AT12" s="3874">
        <f t="shared" ca="1" si="18"/>
        <v>0</v>
      </c>
      <c r="AU12" s="3874">
        <f t="shared" ca="1" si="18"/>
        <v>0</v>
      </c>
      <c r="AV12" s="3874">
        <f t="shared" ca="1" si="18"/>
        <v>0</v>
      </c>
      <c r="AW12" s="3874">
        <f t="shared" ca="1" si="18"/>
        <v>0</v>
      </c>
      <c r="AX12" s="3874"/>
    </row>
    <row r="13" spans="2:52" s="3853" customFormat="1" ht="15">
      <c r="B13" s="3271"/>
      <c r="C13" s="3283" t="s">
        <v>498</v>
      </c>
      <c r="D13" s="3286" t="s">
        <v>2587</v>
      </c>
      <c r="E13" s="3286">
        <f ca="1">INDEX(INDIRECT("VI.c.Outputs["&amp;E$5&amp;"]"), MATCH("V.10", INDIRECT("VI.c.Outputs[Vector]"), 0))</f>
        <v>0</v>
      </c>
      <c r="F13" s="3286">
        <f t="shared" ref="F13:M13" ca="1" si="20">INDEX(INDIRECT("VI.c.Outputs["&amp;F$5&amp;"]"), MATCH("V.10", INDIRECT("VI.c.Outputs[Vector]"), 0))</f>
        <v>0</v>
      </c>
      <c r="G13" s="3286">
        <f t="shared" ca="1" si="20"/>
        <v>0</v>
      </c>
      <c r="H13" s="3286">
        <f t="shared" ca="1" si="20"/>
        <v>0</v>
      </c>
      <c r="I13" s="3286">
        <f t="shared" ca="1" si="20"/>
        <v>0</v>
      </c>
      <c r="J13" s="3286">
        <f t="shared" ca="1" si="20"/>
        <v>0</v>
      </c>
      <c r="K13" s="3286">
        <f t="shared" ca="1" si="20"/>
        <v>0</v>
      </c>
      <c r="L13" s="3286">
        <f t="shared" ca="1" si="20"/>
        <v>0</v>
      </c>
      <c r="M13" s="3286">
        <f t="shared" ca="1" si="20"/>
        <v>0</v>
      </c>
      <c r="N13" s="3274"/>
      <c r="O13"/>
      <c r="Q13" s="3866"/>
      <c r="R13" s="3870" t="s">
        <v>2586</v>
      </c>
      <c r="S13" s="3872">
        <f t="shared" ca="1" si="1"/>
        <v>14.911266915263244</v>
      </c>
      <c r="T13" s="3872">
        <f t="shared" ca="1" si="1"/>
        <v>16.267581324784786</v>
      </c>
      <c r="U13" s="3872">
        <f t="shared" ca="1" si="1"/>
        <v>18.650649187310073</v>
      </c>
      <c r="V13" s="3872">
        <f t="shared" ca="1" si="1"/>
        <v>18.40843063217299</v>
      </c>
      <c r="W13" s="3872">
        <f t="shared" ca="1" si="1"/>
        <v>13.883093074912559</v>
      </c>
      <c r="X13" s="3872">
        <f t="shared" ca="1" si="1"/>
        <v>1.0246834611179927</v>
      </c>
      <c r="Y13" s="3872">
        <f t="shared" ca="1" si="1"/>
        <v>1.7111936919719914</v>
      </c>
      <c r="Z13" s="3872">
        <f t="shared" ca="1" si="1"/>
        <v>2.4238277679140663</v>
      </c>
      <c r="AA13" s="3872">
        <f t="shared" ca="1" si="1"/>
        <v>2.6655686309587772</v>
      </c>
      <c r="AB13" s="3872"/>
      <c r="AC13" s="3873"/>
      <c r="AD13" s="3872">
        <f t="shared" si="4"/>
        <v>0</v>
      </c>
      <c r="AE13" s="3872">
        <f t="shared" si="5"/>
        <v>0</v>
      </c>
      <c r="AF13" s="3872">
        <f t="shared" si="6"/>
        <v>0</v>
      </c>
      <c r="AG13" s="3872">
        <f t="shared" si="7"/>
        <v>0</v>
      </c>
      <c r="AH13" s="3872">
        <f t="shared" si="8"/>
        <v>0</v>
      </c>
      <c r="AI13" s="3872">
        <f t="shared" si="9"/>
        <v>0</v>
      </c>
      <c r="AJ13" s="3872">
        <f t="shared" si="10"/>
        <v>0</v>
      </c>
      <c r="AK13" s="3872">
        <f t="shared" si="11"/>
        <v>0</v>
      </c>
      <c r="AL13" s="3872">
        <f t="shared" si="12"/>
        <v>0</v>
      </c>
      <c r="AM13" s="3872"/>
      <c r="AN13" s="3873"/>
      <c r="AO13" s="3874"/>
      <c r="AP13" s="3874"/>
      <c r="AQ13" s="3874"/>
      <c r="AR13" s="3874"/>
      <c r="AS13" s="3874"/>
      <c r="AT13" s="3874"/>
      <c r="AU13" s="3874"/>
      <c r="AV13" s="3874"/>
      <c r="AW13" s="3874"/>
      <c r="AX13" s="3874"/>
    </row>
    <row r="14" spans="2:52" s="3853" customFormat="1" ht="15">
      <c r="B14" s="3271"/>
      <c r="C14" s="3283" t="s">
        <v>2585</v>
      </c>
      <c r="D14" s="3286" t="s">
        <v>2587</v>
      </c>
      <c r="E14" s="3286">
        <f ca="1">-INDEX(INDIRECT("VI.a.Outputs["&amp;E$5&amp;"]"), MATCH("W.01", INDIRECT("VI.a.Outputs[Vector]"), 0))</f>
        <v>1.0344384058333334</v>
      </c>
      <c r="F14" s="3286">
        <f t="shared" ref="F14:M14" ca="1" si="21">-INDEX(INDIRECT("VI.a.Outputs["&amp;F$5&amp;"]"), MATCH("W.01", INDIRECT("VI.a.Outputs[Vector]"), 0))</f>
        <v>1.5378777522383891</v>
      </c>
      <c r="G14" s="3286">
        <f t="shared" ca="1" si="21"/>
        <v>1.7466123309372987</v>
      </c>
      <c r="H14" s="3286">
        <f t="shared" ca="1" si="21"/>
        <v>2.3007036202001871</v>
      </c>
      <c r="I14" s="3286">
        <f t="shared" ca="1" si="21"/>
        <v>2.3662570832467176</v>
      </c>
      <c r="J14" s="3286">
        <f t="shared" ca="1" si="21"/>
        <v>2.581516190290118</v>
      </c>
      <c r="K14" s="3286">
        <f t="shared" ca="1" si="21"/>
        <v>2.8096105738423911</v>
      </c>
      <c r="L14" s="3286">
        <f t="shared" ca="1" si="21"/>
        <v>3.0515430459313988</v>
      </c>
      <c r="M14" s="3286">
        <f t="shared" ca="1" si="21"/>
        <v>3.1417072078883246</v>
      </c>
      <c r="N14" s="3274"/>
      <c r="O14"/>
      <c r="Q14" s="3866"/>
      <c r="R14" s="3287" t="s">
        <v>2693</v>
      </c>
      <c r="S14" s="3872">
        <f t="shared" ca="1" si="1"/>
        <v>8.4</v>
      </c>
      <c r="T14" s="3872">
        <f t="shared" ca="1" si="1"/>
        <v>7</v>
      </c>
      <c r="U14" s="3872">
        <f t="shared" ca="1" si="1"/>
        <v>2</v>
      </c>
      <c r="V14" s="3872">
        <f t="shared" ca="1" si="1"/>
        <v>2</v>
      </c>
      <c r="W14" s="3872">
        <f t="shared" ca="1" si="1"/>
        <v>0</v>
      </c>
      <c r="X14" s="3872">
        <f t="shared" ca="1" si="1"/>
        <v>0</v>
      </c>
      <c r="Y14" s="3872">
        <f t="shared" ca="1" si="1"/>
        <v>0</v>
      </c>
      <c r="Z14" s="3872">
        <f t="shared" ca="1" si="1"/>
        <v>0</v>
      </c>
      <c r="AA14" s="3872">
        <f t="shared" ca="1" si="1"/>
        <v>0</v>
      </c>
      <c r="AB14" s="3872"/>
      <c r="AC14" s="3873"/>
      <c r="AD14" s="3872">
        <f t="shared" si="4"/>
        <v>0</v>
      </c>
      <c r="AE14" s="3872">
        <f t="shared" si="5"/>
        <v>0</v>
      </c>
      <c r="AF14" s="3872">
        <f t="shared" si="6"/>
        <v>0</v>
      </c>
      <c r="AG14" s="3872">
        <f t="shared" si="7"/>
        <v>0</v>
      </c>
      <c r="AH14" s="3872">
        <f t="shared" si="8"/>
        <v>0</v>
      </c>
      <c r="AI14" s="3872">
        <f t="shared" si="9"/>
        <v>0</v>
      </c>
      <c r="AJ14" s="3872">
        <f t="shared" si="10"/>
        <v>0</v>
      </c>
      <c r="AK14" s="3872">
        <f t="shared" si="11"/>
        <v>0</v>
      </c>
      <c r="AL14" s="3872">
        <f t="shared" si="12"/>
        <v>0</v>
      </c>
      <c r="AM14" s="3872"/>
      <c r="AN14" s="3873"/>
      <c r="AO14" s="3874"/>
      <c r="AP14" s="3874"/>
      <c r="AQ14" s="3874"/>
      <c r="AR14" s="3874"/>
      <c r="AS14" s="3874"/>
      <c r="AT14" s="3874"/>
      <c r="AU14" s="3874"/>
      <c r="AV14" s="3874"/>
      <c r="AW14" s="3874"/>
      <c r="AX14" s="3874"/>
    </row>
    <row r="15" spans="2:52" s="3853" customFormat="1" ht="15">
      <c r="B15" s="3271"/>
      <c r="C15" s="3283" t="s">
        <v>2595</v>
      </c>
      <c r="D15" s="3286" t="s">
        <v>2587</v>
      </c>
      <c r="E15" s="3286">
        <f ca="1">-(INDEX(INDIRECT("VI.b.Outputs["&amp;E$5&amp;"]"), MATCH("W.01", INDIRECT("VI.b.Outputs[Vector]"), 0))+INDEX(INDIRECT("VI.b.Outputs["&amp;E$5&amp;"]"), MATCH("C.01", INDIRECT("VI.b.Outputs[Vector]"), 0)))</f>
        <v>0.24871447958422585</v>
      </c>
      <c r="F15" s="3286">
        <f t="shared" ref="F15:M15" ca="1" si="22">-(INDEX(INDIRECT("VI.b.Outputs["&amp;F$5&amp;"]"), MATCH("W.01", INDIRECT("VI.b.Outputs[Vector]"), 0))+INDEX(INDIRECT("VI.b.Outputs["&amp;F$5&amp;"]"), MATCH("C.01", INDIRECT("VI.b.Outputs[Vector]"), 0)))</f>
        <v>0.2710458165801074</v>
      </c>
      <c r="G15" s="3286">
        <f t="shared" ca="1" si="22"/>
        <v>0.59562162713628608</v>
      </c>
      <c r="H15" s="3286">
        <f t="shared" ca="1" si="22"/>
        <v>0.60208526896864867</v>
      </c>
      <c r="I15" s="3286">
        <f t="shared" ca="1" si="22"/>
        <v>0.60598792290223891</v>
      </c>
      <c r="J15" s="3286">
        <f t="shared" ca="1" si="22"/>
        <v>0.62144869570220862</v>
      </c>
      <c r="K15" s="3286">
        <f t="shared" ca="1" si="22"/>
        <v>0.64044338308293414</v>
      </c>
      <c r="L15" s="3286">
        <f t="shared" ca="1" si="22"/>
        <v>0.66296238249489303</v>
      </c>
      <c r="M15" s="3286">
        <f t="shared" ca="1" si="22"/>
        <v>0.68976263052938069</v>
      </c>
      <c r="N15" s="3274"/>
      <c r="O15"/>
      <c r="Q15" s="3866"/>
      <c r="R15" s="3870" t="s">
        <v>536</v>
      </c>
      <c r="S15" s="3872">
        <f t="shared" ca="1" si="1"/>
        <v>2.6537999724419409E-2</v>
      </c>
      <c r="T15" s="3872">
        <f t="shared" ca="1" si="1"/>
        <v>2.6537999724419409E-2</v>
      </c>
      <c r="U15" s="3872">
        <f t="shared" ca="1" si="1"/>
        <v>2.6537999724419409E-2</v>
      </c>
      <c r="V15" s="3872">
        <f t="shared" ca="1" si="1"/>
        <v>2.6537999724419409E-2</v>
      </c>
      <c r="W15" s="3872">
        <f t="shared" ca="1" si="1"/>
        <v>2.6537999724419409E-2</v>
      </c>
      <c r="X15" s="3872">
        <f t="shared" ca="1" si="1"/>
        <v>2.6537999724419409E-2</v>
      </c>
      <c r="Y15" s="3872">
        <f t="shared" ca="1" si="1"/>
        <v>2.6537999724419409E-2</v>
      </c>
      <c r="Z15" s="3872">
        <f t="shared" ca="1" si="1"/>
        <v>2.6537999724419409E-2</v>
      </c>
      <c r="AA15" s="3872">
        <f t="shared" ca="1" si="1"/>
        <v>2.6537999724419409E-2</v>
      </c>
      <c r="AB15" s="3872"/>
      <c r="AC15" s="3873"/>
      <c r="AD15" s="3872">
        <f t="shared" ca="1" si="4"/>
        <v>2.6537999724419409E-2</v>
      </c>
      <c r="AE15" s="3872">
        <f t="shared" ca="1" si="5"/>
        <v>2.6537999724419409E-2</v>
      </c>
      <c r="AF15" s="3872">
        <f t="shared" ca="1" si="6"/>
        <v>2.6537999724419409E-2</v>
      </c>
      <c r="AG15" s="3872">
        <f t="shared" ca="1" si="7"/>
        <v>2.6537999724419409E-2</v>
      </c>
      <c r="AH15" s="3872">
        <f t="shared" ca="1" si="8"/>
        <v>2.6537999724419409E-2</v>
      </c>
      <c r="AI15" s="3872">
        <f t="shared" ca="1" si="9"/>
        <v>2.6537999724419409E-2</v>
      </c>
      <c r="AJ15" s="3872">
        <f t="shared" ca="1" si="10"/>
        <v>2.6537999724419409E-2</v>
      </c>
      <c r="AK15" s="3872">
        <f t="shared" ca="1" si="11"/>
        <v>2.6537999724419409E-2</v>
      </c>
      <c r="AL15" s="3872">
        <f t="shared" ca="1" si="12"/>
        <v>2.6537999724419409E-2</v>
      </c>
      <c r="AM15" s="3872"/>
      <c r="AN15" s="3873"/>
      <c r="AO15" s="3874">
        <f t="shared" ref="AO15:AW15" ca="1" si="23">S15-AD15</f>
        <v>0</v>
      </c>
      <c r="AP15" s="3874">
        <f t="shared" ca="1" si="23"/>
        <v>0</v>
      </c>
      <c r="AQ15" s="3874">
        <f t="shared" ca="1" si="23"/>
        <v>0</v>
      </c>
      <c r="AR15" s="3874">
        <f t="shared" ca="1" si="23"/>
        <v>0</v>
      </c>
      <c r="AS15" s="3874">
        <f t="shared" ca="1" si="23"/>
        <v>0</v>
      </c>
      <c r="AT15" s="3874">
        <f t="shared" ca="1" si="23"/>
        <v>0</v>
      </c>
      <c r="AU15" s="3874">
        <f t="shared" ca="1" si="23"/>
        <v>0</v>
      </c>
      <c r="AV15" s="3874">
        <f t="shared" ca="1" si="23"/>
        <v>0</v>
      </c>
      <c r="AW15" s="3874">
        <f t="shared" ca="1" si="23"/>
        <v>0</v>
      </c>
      <c r="AX15" s="3874"/>
    </row>
    <row r="16" spans="2:52" s="3853" customFormat="1" ht="15">
      <c r="B16" s="3271"/>
      <c r="C16" s="3283" t="s">
        <v>2595</v>
      </c>
      <c r="D16" s="3286" t="s">
        <v>16</v>
      </c>
      <c r="E16" s="3286">
        <f ca="1">INDEX(INDIRECT("VI.b.Outputs["&amp;E$5&amp;"]"), MATCH("C.01", INDIRECT("VI.b.Outputs[Vector]"), 0))</f>
        <v>6.3749380800000005E-2</v>
      </c>
      <c r="F16" s="3286">
        <f t="shared" ref="F16:M16" ca="1" si="24">INDEX(INDIRECT("VI.b.Outputs["&amp;F$5&amp;"]"), MATCH("C.01", INDIRECT("VI.b.Outputs[Vector]"), 0))</f>
        <v>6.568800000000001E-2</v>
      </c>
      <c r="G16" s="3286">
        <f t="shared" ca="1" si="24"/>
        <v>0.25170110893975794</v>
      </c>
      <c r="H16" s="3286">
        <f t="shared" ca="1" si="24"/>
        <v>0.24821311475409841</v>
      </c>
      <c r="I16" s="3286">
        <f t="shared" ca="1" si="24"/>
        <v>0.24531818181818182</v>
      </c>
      <c r="J16" s="3286">
        <f t="shared" ca="1" si="24"/>
        <v>0.2451416184971098</v>
      </c>
      <c r="K16" s="3286">
        <f t="shared" ca="1" si="24"/>
        <v>0.24498066298342538</v>
      </c>
      <c r="L16" s="3286">
        <f t="shared" ca="1" si="24"/>
        <v>0.24440897097625325</v>
      </c>
      <c r="M16" s="3286">
        <f t="shared" ca="1" si="24"/>
        <v>0.24387437185929645</v>
      </c>
      <c r="N16" s="3274"/>
      <c r="O16"/>
      <c r="Q16" s="3866"/>
      <c r="R16" s="3870" t="s">
        <v>362</v>
      </c>
      <c r="S16" s="3872">
        <f t="shared" si="1"/>
        <v>0</v>
      </c>
      <c r="T16" s="3872">
        <f t="shared" si="1"/>
        <v>0</v>
      </c>
      <c r="U16" s="3872">
        <f t="shared" si="1"/>
        <v>0</v>
      </c>
      <c r="V16" s="3872">
        <f t="shared" si="1"/>
        <v>0</v>
      </c>
      <c r="W16" s="3872">
        <f t="shared" si="1"/>
        <v>0</v>
      </c>
      <c r="X16" s="3872">
        <f t="shared" si="1"/>
        <v>0</v>
      </c>
      <c r="Y16" s="3872">
        <f t="shared" si="1"/>
        <v>0</v>
      </c>
      <c r="Z16" s="3872">
        <f t="shared" si="1"/>
        <v>0</v>
      </c>
      <c r="AA16" s="3872">
        <f t="shared" si="1"/>
        <v>0</v>
      </c>
      <c r="AB16" s="3872"/>
      <c r="AC16" s="3873"/>
      <c r="AD16" s="3872">
        <f t="shared" ca="1" si="4"/>
        <v>2.7179785187540276E-2</v>
      </c>
      <c r="AE16" s="3872">
        <f t="shared" ca="1" si="5"/>
        <v>2.8688317425508068E-2</v>
      </c>
      <c r="AF16" s="3872">
        <f t="shared" ca="1" si="6"/>
        <v>2.8626918373697949E-2</v>
      </c>
      <c r="AG16" s="3872">
        <f t="shared" ca="1" si="7"/>
        <v>2.8375533440997854E-2</v>
      </c>
      <c r="AH16" s="3872">
        <f t="shared" ca="1" si="8"/>
        <v>2.8092836249242522E-2</v>
      </c>
      <c r="AI16" s="3872">
        <f t="shared" ca="1" si="9"/>
        <v>2.7773770259370195E-2</v>
      </c>
      <c r="AJ16" s="3872">
        <f t="shared" ca="1" si="10"/>
        <v>2.7351212236636904E-2</v>
      </c>
      <c r="AK16" s="3872">
        <f t="shared" ca="1" si="11"/>
        <v>2.6897963862265332E-2</v>
      </c>
      <c r="AL16" s="3872">
        <f t="shared" ca="1" si="12"/>
        <v>2.5579695995584108E-2</v>
      </c>
      <c r="AM16" s="3872"/>
      <c r="AN16" s="3873"/>
      <c r="AO16" s="3874"/>
      <c r="AP16" s="3874"/>
      <c r="AQ16" s="3874"/>
      <c r="AR16" s="3874"/>
      <c r="AS16" s="3874"/>
      <c r="AT16" s="3874"/>
      <c r="AU16" s="3874"/>
      <c r="AV16" s="3874"/>
      <c r="AW16" s="3874"/>
      <c r="AX16" s="3874"/>
    </row>
    <row r="17" spans="2:50" s="3853" customFormat="1" ht="15">
      <c r="B17" s="3271"/>
      <c r="C17" s="3283" t="s">
        <v>2591</v>
      </c>
      <c r="D17" s="3286" t="s">
        <v>16</v>
      </c>
      <c r="E17" s="3286">
        <f ca="1">MAX(INDEX(INDIRECT("V.b.Outputs["&amp;E$5&amp;"]"), MATCH("V.03", INDIRECT("V.b.Outputs[Vector]"), 0)),0)</f>
        <v>0.17666666666666667</v>
      </c>
      <c r="F17" s="3286">
        <f t="shared" ref="F17:M17" ca="1" si="25">MAX(INDEX(INDIRECT("V.b.Outputs["&amp;F$5&amp;"]"), MATCH("V.03", INDIRECT("V.b.Outputs[Vector]"), 0)),0)</f>
        <v>0.25</v>
      </c>
      <c r="G17" s="3286">
        <f t="shared" ca="1" si="25"/>
        <v>0.25</v>
      </c>
      <c r="H17" s="3286">
        <f t="shared" ca="1" si="25"/>
        <v>0.2</v>
      </c>
      <c r="I17" s="3286">
        <f t="shared" ca="1" si="25"/>
        <v>1</v>
      </c>
      <c r="J17" s="3286">
        <f t="shared" ca="1" si="25"/>
        <v>1</v>
      </c>
      <c r="K17" s="3286">
        <f t="shared" ca="1" si="25"/>
        <v>0.5</v>
      </c>
      <c r="L17" s="3286">
        <f t="shared" ca="1" si="25"/>
        <v>0</v>
      </c>
      <c r="M17" s="3286">
        <f t="shared" ca="1" si="25"/>
        <v>0</v>
      </c>
      <c r="N17" s="3274"/>
      <c r="O17"/>
      <c r="Q17" s="3866"/>
      <c r="R17" s="3870" t="s">
        <v>2596</v>
      </c>
      <c r="S17" s="3872">
        <f t="shared" ca="1" si="1"/>
        <v>27.528679060156037</v>
      </c>
      <c r="T17" s="3872">
        <f t="shared" ca="1" si="1"/>
        <v>28.355249061803267</v>
      </c>
      <c r="U17" s="3872">
        <f t="shared" ca="1" si="1"/>
        <v>30.069337727921216</v>
      </c>
      <c r="V17" s="3872">
        <f t="shared" ca="1" si="1"/>
        <v>32.062508019667938</v>
      </c>
      <c r="W17" s="3872">
        <f t="shared" ca="1" si="1"/>
        <v>34.121060792295573</v>
      </c>
      <c r="X17" s="3872">
        <f t="shared" ca="1" si="1"/>
        <v>36.373669429825128</v>
      </c>
      <c r="Y17" s="3872">
        <f t="shared" ca="1" si="1"/>
        <v>38.795552218082605</v>
      </c>
      <c r="Z17" s="3872">
        <f t="shared" ca="1" si="1"/>
        <v>41.327833763528588</v>
      </c>
      <c r="AA17" s="3872">
        <f t="shared" ca="1" si="1"/>
        <v>43.871145222223575</v>
      </c>
      <c r="AB17" s="3872"/>
      <c r="AC17" s="3873"/>
      <c r="AD17" s="3872">
        <f t="shared" ca="1" si="4"/>
        <v>27.52867906015603</v>
      </c>
      <c r="AE17" s="3872">
        <f t="shared" ca="1" si="5"/>
        <v>28.35524906180326</v>
      </c>
      <c r="AF17" s="3872">
        <f t="shared" ca="1" si="6"/>
        <v>30.069337727921212</v>
      </c>
      <c r="AG17" s="3872">
        <f t="shared" ca="1" si="7"/>
        <v>32.062508019667931</v>
      </c>
      <c r="AH17" s="3872">
        <f t="shared" ca="1" si="8"/>
        <v>34.121060792295566</v>
      </c>
      <c r="AI17" s="3872">
        <f t="shared" ca="1" si="9"/>
        <v>36.373669429825114</v>
      </c>
      <c r="AJ17" s="3872">
        <f t="shared" ca="1" si="10"/>
        <v>38.795552218082591</v>
      </c>
      <c r="AK17" s="3872">
        <f t="shared" ca="1" si="11"/>
        <v>41.327833763528581</v>
      </c>
      <c r="AL17" s="3872">
        <f t="shared" ca="1" si="12"/>
        <v>43.871145222223568</v>
      </c>
      <c r="AM17" s="3872"/>
      <c r="AN17" s="3873"/>
      <c r="AO17" s="3874">
        <f t="shared" ref="AO17:AW17" ca="1" si="26">S17-AD17</f>
        <v>0</v>
      </c>
      <c r="AP17" s="3874">
        <f t="shared" ca="1" si="26"/>
        <v>0</v>
      </c>
      <c r="AQ17" s="3874">
        <f t="shared" ca="1" si="26"/>
        <v>0</v>
      </c>
      <c r="AR17" s="3874">
        <f t="shared" ca="1" si="26"/>
        <v>0</v>
      </c>
      <c r="AS17" s="3874">
        <f t="shared" ca="1" si="26"/>
        <v>0</v>
      </c>
      <c r="AT17" s="3874">
        <f t="shared" ca="1" si="26"/>
        <v>0</v>
      </c>
      <c r="AU17" s="3874">
        <f t="shared" ca="1" si="26"/>
        <v>0</v>
      </c>
      <c r="AV17" s="3874">
        <f t="shared" ca="1" si="26"/>
        <v>0</v>
      </c>
      <c r="AW17" s="3874">
        <f t="shared" ca="1" si="26"/>
        <v>0</v>
      </c>
      <c r="AX17" s="3874"/>
    </row>
    <row r="18" spans="2:50" s="3853" customFormat="1" ht="15">
      <c r="B18" s="3271"/>
      <c r="C18" s="3283" t="s">
        <v>2589</v>
      </c>
      <c r="D18" s="3286" t="s">
        <v>1668</v>
      </c>
      <c r="E18" s="3286">
        <f ca="1">MAX(INDEX(INDIRECT("V.b.Outputs["&amp;E$5&amp;"]"), MATCH("V.04", INDIRECT("V.b.Outputs[Vector]"), 0)),0)</f>
        <v>0.91876999999999998</v>
      </c>
      <c r="F18" s="3286">
        <f t="shared" ref="F18:M18" ca="1" si="27">MAX(INDEX(INDIRECT("V.b.Outputs["&amp;F$5&amp;"]"), MATCH("V.04", INDIRECT("V.b.Outputs[Vector]"), 0)),0)-MAX(INDEX(INDIRECT("BioExports["&amp;F$5&amp;"]"), MATCH("V.04", INDIRECT("BioExports[Vector]"), 0)),0)</f>
        <v>1.0467</v>
      </c>
      <c r="G18" s="3286">
        <f t="shared" ca="1" si="27"/>
        <v>1.0467</v>
      </c>
      <c r="H18" s="3286">
        <f t="shared" ca="1" si="27"/>
        <v>1.0467</v>
      </c>
      <c r="I18" s="3286">
        <f t="shared" ca="1" si="27"/>
        <v>0.6</v>
      </c>
      <c r="J18" s="3286">
        <f t="shared" ca="1" si="27"/>
        <v>0.44999999999999996</v>
      </c>
      <c r="K18" s="3286">
        <f t="shared" ca="1" si="27"/>
        <v>0.29999999999999993</v>
      </c>
      <c r="L18" s="3286">
        <f t="shared" ca="1" si="27"/>
        <v>0.14999999999999991</v>
      </c>
      <c r="M18" s="3286">
        <f t="shared" ca="1" si="27"/>
        <v>0</v>
      </c>
      <c r="N18" s="3274"/>
      <c r="O18"/>
      <c r="Q18" s="3866"/>
      <c r="R18" s="3870" t="s">
        <v>555</v>
      </c>
      <c r="S18" s="3872">
        <f t="shared" ca="1" si="1"/>
        <v>2.5</v>
      </c>
      <c r="T18" s="3872">
        <f t="shared" ca="1" si="1"/>
        <v>2.5</v>
      </c>
      <c r="U18" s="3872">
        <f t="shared" ca="1" si="1"/>
        <v>2.5</v>
      </c>
      <c r="V18" s="3872">
        <f t="shared" ca="1" si="1"/>
        <v>1.5</v>
      </c>
      <c r="W18" s="3872">
        <f t="shared" ca="1" si="1"/>
        <v>1</v>
      </c>
      <c r="X18" s="3872">
        <f t="shared" ca="1" si="1"/>
        <v>0</v>
      </c>
      <c r="Y18" s="3872">
        <f t="shared" ca="1" si="1"/>
        <v>0</v>
      </c>
      <c r="Z18" s="3872">
        <f t="shared" ca="1" si="1"/>
        <v>0</v>
      </c>
      <c r="AA18" s="3872">
        <f t="shared" ca="1" si="1"/>
        <v>0</v>
      </c>
      <c r="AB18" s="3872"/>
      <c r="AC18" s="3873"/>
      <c r="AD18" s="3872">
        <f t="shared" si="4"/>
        <v>0</v>
      </c>
      <c r="AE18" s="3872">
        <f t="shared" si="5"/>
        <v>0</v>
      </c>
      <c r="AF18" s="3872">
        <f t="shared" si="6"/>
        <v>0</v>
      </c>
      <c r="AG18" s="3872">
        <f t="shared" si="7"/>
        <v>0</v>
      </c>
      <c r="AH18" s="3872">
        <f t="shared" si="8"/>
        <v>0</v>
      </c>
      <c r="AI18" s="3872">
        <f t="shared" si="9"/>
        <v>0</v>
      </c>
      <c r="AJ18" s="3872">
        <f t="shared" si="10"/>
        <v>0</v>
      </c>
      <c r="AK18" s="3872">
        <f t="shared" si="11"/>
        <v>0</v>
      </c>
      <c r="AL18" s="3872">
        <f t="shared" si="12"/>
        <v>0</v>
      </c>
      <c r="AM18" s="3872"/>
      <c r="AN18" s="3873"/>
      <c r="AO18" s="3874"/>
      <c r="AP18" s="3874"/>
      <c r="AQ18" s="3874"/>
      <c r="AR18" s="3874"/>
      <c r="AS18" s="3874"/>
      <c r="AT18" s="3874"/>
      <c r="AU18" s="3874"/>
      <c r="AV18" s="3874"/>
      <c r="AW18" s="3874"/>
      <c r="AX18" s="3874"/>
    </row>
    <row r="19" spans="2:50" s="3853" customFormat="1" ht="15">
      <c r="B19" s="3271"/>
      <c r="C19" s="3283" t="s">
        <v>3132</v>
      </c>
      <c r="D19" s="3286" t="s">
        <v>16</v>
      </c>
      <c r="E19" s="3286">
        <f ca="1">E6+E7</f>
        <v>23.311266915263246</v>
      </c>
      <c r="F19" s="3286">
        <f t="shared" ref="F19:M19" ca="1" si="28">F6+F7</f>
        <v>23.267581324784786</v>
      </c>
      <c r="G19" s="3286">
        <f t="shared" ca="1" si="28"/>
        <v>20.650649187310073</v>
      </c>
      <c r="H19" s="3286">
        <f t="shared" ca="1" si="28"/>
        <v>20.40843063217299</v>
      </c>
      <c r="I19" s="3286">
        <f t="shared" ca="1" si="28"/>
        <v>13.883093074912559</v>
      </c>
      <c r="J19" s="3286">
        <f t="shared" ca="1" si="28"/>
        <v>1.0246834611179927</v>
      </c>
      <c r="K19" s="3286">
        <f t="shared" ca="1" si="28"/>
        <v>1.7111936919719914</v>
      </c>
      <c r="L19" s="3286">
        <f t="shared" ca="1" si="28"/>
        <v>2.4238277679140663</v>
      </c>
      <c r="M19" s="3286">
        <f t="shared" ca="1" si="28"/>
        <v>2.6655686309587772</v>
      </c>
      <c r="N19" s="3274"/>
      <c r="O19"/>
      <c r="Q19" s="3866"/>
      <c r="R19" s="3870" t="s">
        <v>15</v>
      </c>
      <c r="S19" s="3881">
        <f t="shared" ca="1" si="1"/>
        <v>47.644423024441799</v>
      </c>
      <c r="T19" s="3881">
        <f t="shared" ca="1" si="1"/>
        <v>49.652756187892052</v>
      </c>
      <c r="U19" s="3881">
        <f t="shared" ca="1" si="1"/>
        <v>58.021375342342218</v>
      </c>
      <c r="V19" s="3872">
        <f t="shared" ca="1" si="1"/>
        <v>69.72636442192298</v>
      </c>
      <c r="W19" s="3872">
        <f t="shared" ca="1" si="1"/>
        <v>86.351713202080902</v>
      </c>
      <c r="X19" s="3872">
        <f t="shared" ca="1" si="1"/>
        <v>107.50095260916643</v>
      </c>
      <c r="Y19" s="3872">
        <f t="shared" ca="1" si="1"/>
        <v>116.81334567289764</v>
      </c>
      <c r="Z19" s="3872">
        <f t="shared" ca="1" si="1"/>
        <v>126.50987445494681</v>
      </c>
      <c r="AA19" s="3872">
        <f t="shared" ca="1" si="1"/>
        <v>136.67591736853782</v>
      </c>
      <c r="AB19" s="3872"/>
      <c r="AC19" s="3873"/>
      <c r="AD19" s="3881">
        <f t="shared" ca="1" si="4"/>
        <v>47.644423024441807</v>
      </c>
      <c r="AE19" s="3881">
        <f t="shared" ca="1" si="5"/>
        <v>49.652756187892045</v>
      </c>
      <c r="AF19" s="3881">
        <f t="shared" ca="1" si="6"/>
        <v>58.021375342342203</v>
      </c>
      <c r="AG19" s="3872">
        <f t="shared" ca="1" si="7"/>
        <v>69.72636442192298</v>
      </c>
      <c r="AH19" s="3872">
        <f t="shared" ca="1" si="8"/>
        <v>86.351713202080902</v>
      </c>
      <c r="AI19" s="3872">
        <f t="shared" ca="1" si="9"/>
        <v>107.50095260916643</v>
      </c>
      <c r="AJ19" s="3872">
        <f t="shared" ca="1" si="10"/>
        <v>116.81334567289764</v>
      </c>
      <c r="AK19" s="3872">
        <f t="shared" ca="1" si="11"/>
        <v>126.50987445494683</v>
      </c>
      <c r="AL19" s="3872">
        <f ca="1">SUMIF($D$6:$D$95,$R19,M$6:M$95)</f>
        <v>136.67591736853782</v>
      </c>
      <c r="AM19" s="3872"/>
      <c r="AN19" s="3873"/>
      <c r="AO19" s="3879">
        <f t="shared" ref="AO19:AW19" ca="1" si="29">S19-AD19</f>
        <v>0</v>
      </c>
      <c r="AP19" s="3879">
        <f ca="1">T19-AE19</f>
        <v>0</v>
      </c>
      <c r="AQ19" s="3879">
        <f t="shared" ca="1" si="29"/>
        <v>0</v>
      </c>
      <c r="AR19" s="3879">
        <f t="shared" ca="1" si="29"/>
        <v>0</v>
      </c>
      <c r="AS19" s="4233">
        <f t="shared" ca="1" si="29"/>
        <v>0</v>
      </c>
      <c r="AT19" s="4233">
        <f t="shared" ca="1" si="29"/>
        <v>0</v>
      </c>
      <c r="AU19" s="4233">
        <f t="shared" ca="1" si="29"/>
        <v>0</v>
      </c>
      <c r="AV19" s="4233">
        <f t="shared" ca="1" si="29"/>
        <v>0</v>
      </c>
      <c r="AW19" s="4233">
        <f t="shared" ca="1" si="29"/>
        <v>0</v>
      </c>
      <c r="AX19" s="3874"/>
    </row>
    <row r="20" spans="2:50" s="3853" customFormat="1" ht="15">
      <c r="B20" s="3271"/>
      <c r="C20" s="3283" t="s">
        <v>144</v>
      </c>
      <c r="D20" s="3286" t="s">
        <v>1668</v>
      </c>
      <c r="E20" s="3286">
        <f ca="1">E8+E9</f>
        <v>76.526836320775942</v>
      </c>
      <c r="F20" s="3286">
        <f t="shared" ref="F20:M20" ca="1" si="30">F8+F9</f>
        <v>74.08927995898263</v>
      </c>
      <c r="G20" s="3286">
        <f t="shared" ca="1" si="30"/>
        <v>75.114909897863313</v>
      </c>
      <c r="H20" s="3286">
        <f t="shared" ca="1" si="30"/>
        <v>75.036510281436605</v>
      </c>
      <c r="I20" s="3286">
        <f t="shared" ca="1" si="30"/>
        <v>75.220892589846784</v>
      </c>
      <c r="J20" s="3286">
        <f t="shared" ca="1" si="30"/>
        <v>75.174956561456597</v>
      </c>
      <c r="K20" s="3286">
        <f t="shared" ca="1" si="30"/>
        <v>75.040093616616304</v>
      </c>
      <c r="L20" s="3286">
        <f t="shared" ca="1" si="30"/>
        <v>75.04125554596699</v>
      </c>
      <c r="M20" s="3286">
        <f t="shared" ca="1" si="30"/>
        <v>74.505208807877793</v>
      </c>
      <c r="N20" s="3274"/>
      <c r="O20"/>
      <c r="Q20" s="3866"/>
      <c r="R20" s="3870" t="s">
        <v>2592</v>
      </c>
      <c r="S20" s="3872">
        <f t="shared" ca="1" si="1"/>
        <v>47.473619810652579</v>
      </c>
      <c r="T20" s="3872">
        <f t="shared" ca="1" si="1"/>
        <v>47.697968206868779</v>
      </c>
      <c r="U20" s="3872">
        <f t="shared" ca="1" si="1"/>
        <v>22.74172392909157</v>
      </c>
      <c r="V20" s="3872">
        <f t="shared" ca="1" si="1"/>
        <v>59.295640467804589</v>
      </c>
      <c r="W20" s="3872">
        <f t="shared" ca="1" si="1"/>
        <v>85.907348315610292</v>
      </c>
      <c r="X20" s="3872">
        <f t="shared" ca="1" si="1"/>
        <v>106.91717023293266</v>
      </c>
      <c r="Y20" s="3872">
        <f t="shared" ca="1" si="1"/>
        <v>116.07842350144173</v>
      </c>
      <c r="Z20" s="3872">
        <f t="shared" ca="1" si="1"/>
        <v>125.61125120472862</v>
      </c>
      <c r="AA20" s="3872">
        <f t="shared" ca="1" si="1"/>
        <v>135.74178666175516</v>
      </c>
      <c r="AB20" s="3872"/>
      <c r="AC20" s="3873"/>
      <c r="AD20" s="3872">
        <f t="shared" si="4"/>
        <v>0</v>
      </c>
      <c r="AE20" s="3872">
        <f t="shared" si="5"/>
        <v>0</v>
      </c>
      <c r="AF20" s="3872">
        <f t="shared" si="6"/>
        <v>0</v>
      </c>
      <c r="AG20" s="3872">
        <f t="shared" si="7"/>
        <v>0</v>
      </c>
      <c r="AH20" s="3872">
        <f t="shared" si="8"/>
        <v>0</v>
      </c>
      <c r="AI20" s="3872">
        <f t="shared" si="9"/>
        <v>0</v>
      </c>
      <c r="AJ20" s="3872">
        <f t="shared" si="10"/>
        <v>0</v>
      </c>
      <c r="AK20" s="3872">
        <f t="shared" si="11"/>
        <v>0</v>
      </c>
      <c r="AL20" s="3872">
        <f t="shared" si="12"/>
        <v>0</v>
      </c>
      <c r="AM20" s="3872"/>
      <c r="AN20" s="3873"/>
      <c r="AO20" s="3874"/>
      <c r="AP20" s="3874"/>
      <c r="AQ20" s="3874"/>
      <c r="AR20" s="3874"/>
      <c r="AS20" s="3874"/>
      <c r="AT20" s="3874"/>
      <c r="AU20" s="3874"/>
      <c r="AV20" s="3874"/>
      <c r="AW20" s="3874"/>
      <c r="AX20" s="3874"/>
    </row>
    <row r="21" spans="2:50" s="3853" customFormat="1" ht="15">
      <c r="B21" s="3271"/>
      <c r="C21" s="3286" t="s">
        <v>828</v>
      </c>
      <c r="D21" s="3286" t="s">
        <v>15</v>
      </c>
      <c r="E21" s="3286">
        <f ca="1">E10+E11</f>
        <v>47.473619810652579</v>
      </c>
      <c r="F21" s="3286">
        <f t="shared" ref="F21:M21" ca="1" si="31">F10+F11</f>
        <v>49.453496458281798</v>
      </c>
      <c r="G21" s="3286">
        <f t="shared" ca="1" si="31"/>
        <v>57.74172392909157</v>
      </c>
      <c r="H21" s="3286">
        <f t="shared" ca="1" si="31"/>
        <v>69.295640467804589</v>
      </c>
      <c r="I21" s="3286">
        <f t="shared" ca="1" si="31"/>
        <v>85.907348315610292</v>
      </c>
      <c r="J21" s="3286">
        <f t="shared" ca="1" si="31"/>
        <v>106.91717023293266</v>
      </c>
      <c r="K21" s="3286">
        <f t="shared" ca="1" si="31"/>
        <v>116.07842350144173</v>
      </c>
      <c r="L21" s="3286">
        <f t="shared" ca="1" si="31"/>
        <v>125.61125120472862</v>
      </c>
      <c r="M21" s="3286">
        <f t="shared" ca="1" si="31"/>
        <v>135.74178666175516</v>
      </c>
      <c r="N21" s="3274"/>
      <c r="O21"/>
      <c r="Q21" s="3866"/>
      <c r="R21" s="3870" t="s">
        <v>380</v>
      </c>
      <c r="S21" s="3872">
        <f t="shared" ca="1" si="1"/>
        <v>0</v>
      </c>
      <c r="T21" s="3872">
        <f t="shared" ca="1" si="1"/>
        <v>1.7555282514130199</v>
      </c>
      <c r="U21" s="3872">
        <f t="shared" ca="1" si="1"/>
        <v>35</v>
      </c>
      <c r="V21" s="3872">
        <f t="shared" ca="1" si="1"/>
        <v>10</v>
      </c>
      <c r="W21" s="3872">
        <f t="shared" ca="1" si="1"/>
        <v>0</v>
      </c>
      <c r="X21" s="3872">
        <f t="shared" ca="1" si="1"/>
        <v>0</v>
      </c>
      <c r="Y21" s="3872">
        <f t="shared" ca="1" si="1"/>
        <v>0</v>
      </c>
      <c r="Z21" s="3872">
        <f t="shared" ca="1" si="1"/>
        <v>0</v>
      </c>
      <c r="AA21" s="3872">
        <f t="shared" ca="1" si="1"/>
        <v>0</v>
      </c>
      <c r="AB21" s="3872"/>
      <c r="AC21" s="3873"/>
      <c r="AD21" s="3872">
        <f t="shared" si="4"/>
        <v>0</v>
      </c>
      <c r="AE21" s="3872">
        <f t="shared" si="5"/>
        <v>0</v>
      </c>
      <c r="AF21" s="3872">
        <f t="shared" si="6"/>
        <v>0</v>
      </c>
      <c r="AG21" s="3872">
        <f t="shared" si="7"/>
        <v>0</v>
      </c>
      <c r="AH21" s="3872">
        <f t="shared" si="8"/>
        <v>0</v>
      </c>
      <c r="AI21" s="3872">
        <f t="shared" si="9"/>
        <v>0</v>
      </c>
      <c r="AJ21" s="3872">
        <f t="shared" si="10"/>
        <v>0</v>
      </c>
      <c r="AK21" s="3872">
        <f t="shared" si="11"/>
        <v>0</v>
      </c>
      <c r="AL21" s="3872">
        <f t="shared" si="12"/>
        <v>0</v>
      </c>
      <c r="AM21" s="3872"/>
      <c r="AN21" s="3873"/>
      <c r="AO21" s="3874"/>
      <c r="AP21" s="3874"/>
      <c r="AQ21" s="3874"/>
      <c r="AR21" s="3874"/>
      <c r="AS21" s="3874"/>
      <c r="AT21" s="3874"/>
      <c r="AU21" s="3874"/>
      <c r="AV21" s="3874"/>
      <c r="AW21" s="3874"/>
      <c r="AX21" s="3874"/>
    </row>
    <row r="22" spans="2:50" s="3853" customFormat="1" ht="15">
      <c r="B22" s="3271"/>
      <c r="C22" s="3283" t="s">
        <v>78</v>
      </c>
      <c r="D22" s="3286" t="s">
        <v>526</v>
      </c>
      <c r="E22" s="3286">
        <f ca="1">-INDEX(INDIRECT("IV.a.Outputs["&amp;E$5&amp;"]"), MATCH("R.01", INDIRECT("IV.a.Outputs[Vector]"), 0))</f>
        <v>0</v>
      </c>
      <c r="F22" s="3286">
        <f t="shared" ref="F22:M22" ca="1" si="32">-INDEX(INDIRECT("IV.a.Outputs["&amp;F$5&amp;"]"), MATCH("R.01", INDIRECT("IV.a.Outputs[Vector]"), 0))</f>
        <v>0</v>
      </c>
      <c r="G22" s="3286">
        <f t="shared" ca="1" si="32"/>
        <v>0</v>
      </c>
      <c r="H22" s="3286">
        <f t="shared" ca="1" si="32"/>
        <v>0</v>
      </c>
      <c r="I22" s="3286">
        <f t="shared" ca="1" si="32"/>
        <v>0</v>
      </c>
      <c r="J22" s="3286">
        <f t="shared" ca="1" si="32"/>
        <v>0</v>
      </c>
      <c r="K22" s="3286">
        <f t="shared" ca="1" si="32"/>
        <v>0</v>
      </c>
      <c r="L22" s="3286">
        <f t="shared" ca="1" si="32"/>
        <v>0</v>
      </c>
      <c r="M22" s="3286">
        <f t="shared" ca="1" si="32"/>
        <v>0</v>
      </c>
      <c r="N22" s="3274"/>
      <c r="O22"/>
      <c r="Q22" s="3866"/>
      <c r="R22" s="3870" t="s">
        <v>486</v>
      </c>
      <c r="S22" s="3872">
        <f t="shared" si="1"/>
        <v>0</v>
      </c>
      <c r="T22" s="3872">
        <f t="shared" si="1"/>
        <v>0</v>
      </c>
      <c r="U22" s="3872">
        <f t="shared" si="1"/>
        <v>0</v>
      </c>
      <c r="V22" s="3872">
        <f t="shared" si="1"/>
        <v>0</v>
      </c>
      <c r="W22" s="3872">
        <f t="shared" si="1"/>
        <v>0</v>
      </c>
      <c r="X22" s="3872">
        <f t="shared" si="1"/>
        <v>0</v>
      </c>
      <c r="Y22" s="3872">
        <f t="shared" si="1"/>
        <v>0</v>
      </c>
      <c r="Z22" s="3872">
        <f t="shared" si="1"/>
        <v>0</v>
      </c>
      <c r="AA22" s="3872">
        <f t="shared" si="1"/>
        <v>0</v>
      </c>
      <c r="AB22" s="3872"/>
      <c r="AC22" s="3873"/>
      <c r="AD22" s="3872">
        <f t="shared" ca="1" si="4"/>
        <v>0</v>
      </c>
      <c r="AE22" s="3872">
        <f t="shared" ca="1" si="5"/>
        <v>0</v>
      </c>
      <c r="AF22" s="3872">
        <f t="shared" ca="1" si="6"/>
        <v>0</v>
      </c>
      <c r="AG22" s="3872">
        <f t="shared" ca="1" si="7"/>
        <v>0</v>
      </c>
      <c r="AH22" s="3872">
        <f t="shared" ca="1" si="8"/>
        <v>0</v>
      </c>
      <c r="AI22" s="3872">
        <f t="shared" ca="1" si="9"/>
        <v>0</v>
      </c>
      <c r="AJ22" s="3872">
        <f t="shared" ca="1" si="10"/>
        <v>0</v>
      </c>
      <c r="AK22" s="3872">
        <f t="shared" ca="1" si="11"/>
        <v>0</v>
      </c>
      <c r="AL22" s="3872">
        <f t="shared" ca="1" si="12"/>
        <v>0</v>
      </c>
      <c r="AM22" s="3872"/>
      <c r="AN22" s="3873"/>
      <c r="AO22" s="3874"/>
      <c r="AP22" s="3874"/>
      <c r="AQ22" s="3874"/>
      <c r="AR22" s="3874"/>
      <c r="AS22" s="3874"/>
      <c r="AT22" s="3874"/>
      <c r="AU22" s="3874"/>
      <c r="AV22" s="3874"/>
      <c r="AW22" s="3874"/>
      <c r="AX22" s="3874"/>
    </row>
    <row r="23" spans="2:50" s="3853" customFormat="1" ht="15">
      <c r="B23" s="3271"/>
      <c r="C23" s="3283" t="s">
        <v>526</v>
      </c>
      <c r="D23" s="3286" t="s">
        <v>2596</v>
      </c>
      <c r="E23" s="3286">
        <f ca="1">INDEX(INDIRECT("IV.a.Outputs["&amp;E$5&amp;"]"), MATCH("V.02", INDIRECT("IV.a.Outputs[Vector]"), 0))</f>
        <v>0</v>
      </c>
      <c r="F23" s="3286">
        <f t="shared" ref="F23:M23" ca="1" si="33">INDEX(INDIRECT("IV.a.Outputs["&amp;F$5&amp;"]"), MATCH("V.02", INDIRECT("IV.a.Outputs[Vector]"), 0))</f>
        <v>0</v>
      </c>
      <c r="G23" s="3286">
        <f t="shared" ca="1" si="33"/>
        <v>0</v>
      </c>
      <c r="H23" s="3286">
        <f t="shared" ca="1" si="33"/>
        <v>0</v>
      </c>
      <c r="I23" s="3286">
        <f t="shared" ca="1" si="33"/>
        <v>0</v>
      </c>
      <c r="J23" s="3286">
        <f t="shared" ca="1" si="33"/>
        <v>0</v>
      </c>
      <c r="K23" s="3286">
        <f t="shared" ca="1" si="33"/>
        <v>0</v>
      </c>
      <c r="L23" s="3286">
        <f t="shared" ca="1" si="33"/>
        <v>0</v>
      </c>
      <c r="M23" s="3286">
        <f t="shared" ca="1" si="33"/>
        <v>0</v>
      </c>
      <c r="N23" s="3274"/>
      <c r="O23"/>
      <c r="Q23" s="3866"/>
      <c r="R23" s="3870" t="s">
        <v>54</v>
      </c>
      <c r="S23" s="3872">
        <f t="shared" si="1"/>
        <v>0</v>
      </c>
      <c r="T23" s="3872">
        <f t="shared" si="1"/>
        <v>0</v>
      </c>
      <c r="U23" s="3872">
        <f t="shared" si="1"/>
        <v>0</v>
      </c>
      <c r="V23" s="3872">
        <f t="shared" si="1"/>
        <v>0</v>
      </c>
      <c r="W23" s="3872">
        <f t="shared" si="1"/>
        <v>0</v>
      </c>
      <c r="X23" s="3872">
        <f t="shared" si="1"/>
        <v>0</v>
      </c>
      <c r="Y23" s="3872">
        <f t="shared" si="1"/>
        <v>0</v>
      </c>
      <c r="Z23" s="3872">
        <f t="shared" si="1"/>
        <v>0</v>
      </c>
      <c r="AA23" s="3872">
        <f t="shared" si="1"/>
        <v>0</v>
      </c>
      <c r="AB23" s="3872"/>
      <c r="AC23" s="3873"/>
      <c r="AD23" s="3872">
        <f t="shared" si="4"/>
        <v>0</v>
      </c>
      <c r="AE23" s="3872">
        <f t="shared" si="5"/>
        <v>0</v>
      </c>
      <c r="AF23" s="3872">
        <f t="shared" si="6"/>
        <v>0</v>
      </c>
      <c r="AG23" s="3872">
        <f t="shared" si="7"/>
        <v>0</v>
      </c>
      <c r="AH23" s="3872">
        <f t="shared" si="8"/>
        <v>0</v>
      </c>
      <c r="AI23" s="3872">
        <f t="shared" si="9"/>
        <v>0</v>
      </c>
      <c r="AJ23" s="3872">
        <f t="shared" si="10"/>
        <v>0</v>
      </c>
      <c r="AK23" s="3872">
        <f t="shared" si="11"/>
        <v>0</v>
      </c>
      <c r="AL23" s="3872">
        <f t="shared" si="12"/>
        <v>0</v>
      </c>
      <c r="AM23" s="3872"/>
      <c r="AN23" s="3873"/>
      <c r="AO23" s="3874"/>
      <c r="AP23" s="3874"/>
      <c r="AQ23" s="3874"/>
      <c r="AR23" s="3874"/>
      <c r="AS23" s="3874"/>
      <c r="AT23" s="3874"/>
      <c r="AU23" s="3874"/>
      <c r="AV23" s="3874"/>
      <c r="AW23" s="3874"/>
      <c r="AX23" s="3874"/>
    </row>
    <row r="24" spans="2:50" s="3853" customFormat="1" ht="15">
      <c r="B24" s="3271"/>
      <c r="C24" s="3283" t="s">
        <v>78</v>
      </c>
      <c r="D24" s="3286" t="s">
        <v>2597</v>
      </c>
      <c r="E24" s="3286">
        <f ca="1">-INDEX(INDIRECT("IV.b.Outputs["&amp;E$5&amp;"]"), MATCH("R.01", INDIRECT("IV.b.Outputs[Vector]"), 0))</f>
        <v>4.1054887428987621E-2</v>
      </c>
      <c r="F24" s="3286">
        <f t="shared" ref="F24:M24" ca="1" si="34">-INDEX(INDIRECT("IV.b.Outputs["&amp;F$5&amp;"]"), MATCH("R.01", INDIRECT("IV.b.Outputs[Vector]"), 0))</f>
        <v>5.2915063522883464E-2</v>
      </c>
      <c r="G24" s="3286">
        <f t="shared" ca="1" si="34"/>
        <v>5.5796848364472185E-2</v>
      </c>
      <c r="H24" s="3286">
        <f t="shared" ca="1" si="34"/>
        <v>5.8662240154226032E-2</v>
      </c>
      <c r="I24" s="3286">
        <f t="shared" ca="1" si="34"/>
        <v>7.0129937567812564E-2</v>
      </c>
      <c r="J24" s="3286">
        <f t="shared" ca="1" si="34"/>
        <v>7.3391639360886121E-2</v>
      </c>
      <c r="K24" s="3286">
        <f t="shared" ca="1" si="34"/>
        <v>7.68227714428798E-2</v>
      </c>
      <c r="L24" s="3286">
        <f t="shared" ca="1" si="34"/>
        <v>8.0232994859916751E-2</v>
      </c>
      <c r="M24" s="3286">
        <f t="shared" ca="1" si="34"/>
        <v>8.3820866458489254E-2</v>
      </c>
      <c r="N24" s="3274"/>
      <c r="O24"/>
      <c r="Q24" s="3866"/>
      <c r="R24" s="3870" t="s">
        <v>376</v>
      </c>
      <c r="S24" s="3872">
        <f t="shared" ca="1" si="1"/>
        <v>0</v>
      </c>
      <c r="T24" s="3872">
        <f t="shared" ca="1" si="1"/>
        <v>0</v>
      </c>
      <c r="U24" s="3872">
        <f t="shared" ca="1" si="1"/>
        <v>0</v>
      </c>
      <c r="V24" s="3872">
        <f t="shared" ca="1" si="1"/>
        <v>0</v>
      </c>
      <c r="W24" s="3872">
        <f t="shared" ca="1" si="1"/>
        <v>0</v>
      </c>
      <c r="X24" s="3872">
        <f t="shared" ca="1" si="1"/>
        <v>0</v>
      </c>
      <c r="Y24" s="3872">
        <f t="shared" ca="1" si="1"/>
        <v>0</v>
      </c>
      <c r="Z24" s="3872">
        <f t="shared" ca="1" si="1"/>
        <v>0</v>
      </c>
      <c r="AA24" s="3872">
        <f t="shared" ca="1" si="1"/>
        <v>0</v>
      </c>
      <c r="AB24" s="3872"/>
      <c r="AC24" s="3873"/>
      <c r="AD24" s="3872">
        <f t="shared" ca="1" si="4"/>
        <v>0</v>
      </c>
      <c r="AE24" s="3872">
        <f t="shared" ca="1" si="5"/>
        <v>0</v>
      </c>
      <c r="AF24" s="3872">
        <f t="shared" ca="1" si="6"/>
        <v>0</v>
      </c>
      <c r="AG24" s="3872">
        <f t="shared" ca="1" si="7"/>
        <v>0</v>
      </c>
      <c r="AH24" s="3872">
        <f t="shared" ca="1" si="8"/>
        <v>0</v>
      </c>
      <c r="AI24" s="3872">
        <f t="shared" ca="1" si="9"/>
        <v>0</v>
      </c>
      <c r="AJ24" s="3872">
        <f t="shared" ca="1" si="10"/>
        <v>0</v>
      </c>
      <c r="AK24" s="3872">
        <f t="shared" ca="1" si="11"/>
        <v>0</v>
      </c>
      <c r="AL24" s="3872">
        <f t="shared" ca="1" si="12"/>
        <v>0</v>
      </c>
      <c r="AM24" s="3872"/>
      <c r="AN24" s="3873"/>
      <c r="AO24" s="3874">
        <f t="shared" ref="AO24:AW25" ca="1" si="35">S24-AD24</f>
        <v>0</v>
      </c>
      <c r="AP24" s="3874">
        <f t="shared" ca="1" si="35"/>
        <v>0</v>
      </c>
      <c r="AQ24" s="3874">
        <f t="shared" ca="1" si="35"/>
        <v>0</v>
      </c>
      <c r="AR24" s="3874">
        <f t="shared" ca="1" si="35"/>
        <v>0</v>
      </c>
      <c r="AS24" s="3874">
        <f t="shared" ca="1" si="35"/>
        <v>0</v>
      </c>
      <c r="AT24" s="3874">
        <f t="shared" ca="1" si="35"/>
        <v>0</v>
      </c>
      <c r="AU24" s="3874">
        <f t="shared" ca="1" si="35"/>
        <v>0</v>
      </c>
      <c r="AV24" s="3874">
        <f t="shared" ca="1" si="35"/>
        <v>0</v>
      </c>
      <c r="AW24" s="3874">
        <f t="shared" ca="1" si="35"/>
        <v>0</v>
      </c>
      <c r="AX24" s="3874"/>
    </row>
    <row r="25" spans="2:50" s="3853" customFormat="1" ht="15">
      <c r="B25" s="3271"/>
      <c r="C25" s="3283" t="s">
        <v>2587</v>
      </c>
      <c r="D25" s="3286" t="s">
        <v>16</v>
      </c>
      <c r="E25" s="3286">
        <f ca="1">INDEX(INDIRECT("V.a.Outputs["&amp;E$5&amp;"]"), MATCH("V.03", INDIRECT("V.a.Outputs[Vector]"), 0))</f>
        <v>0.99519481815300015</v>
      </c>
      <c r="F25" s="3286">
        <f t="shared" ref="F25:M25" ca="1" si="36">INDEX(INDIRECT("V.a.Outputs["&amp;F$5&amp;"]"), MATCH("V.03", INDIRECT("V.a.Outputs[Vector]"), 0))</f>
        <v>1.435815964378379</v>
      </c>
      <c r="G25" s="3286">
        <f t="shared" ca="1" si="36"/>
        <v>1.8210288047733452</v>
      </c>
      <c r="H25" s="3286">
        <f t="shared" ca="1" si="36"/>
        <v>2.30169899080897</v>
      </c>
      <c r="I25" s="3286">
        <f t="shared" ca="1" si="36"/>
        <v>2.3500640448612282</v>
      </c>
      <c r="J25" s="3286">
        <f t="shared" ca="1" si="36"/>
        <v>2.4111393239589378</v>
      </c>
      <c r="K25" s="3286">
        <f t="shared" ca="1" si="36"/>
        <v>2.4747473841575749</v>
      </c>
      <c r="L25" s="3286">
        <f t="shared" ca="1" si="36"/>
        <v>2.5408940930767048</v>
      </c>
      <c r="M25" s="3286">
        <f t="shared" ca="1" si="36"/>
        <v>2.6102867681557558</v>
      </c>
      <c r="N25" s="3274"/>
      <c r="O25"/>
      <c r="Q25" s="3866"/>
      <c r="R25" s="3870" t="s">
        <v>2598</v>
      </c>
      <c r="S25" s="3872">
        <f t="shared" ca="1" si="1"/>
        <v>0</v>
      </c>
      <c r="T25" s="3872">
        <f t="shared" ca="1" si="1"/>
        <v>0</v>
      </c>
      <c r="U25" s="3872">
        <f t="shared" ca="1" si="1"/>
        <v>0</v>
      </c>
      <c r="V25" s="3872">
        <f t="shared" ca="1" si="1"/>
        <v>0</v>
      </c>
      <c r="W25" s="3872">
        <f t="shared" ca="1" si="1"/>
        <v>0</v>
      </c>
      <c r="X25" s="3872">
        <f t="shared" ca="1" si="1"/>
        <v>0</v>
      </c>
      <c r="Y25" s="3872">
        <f t="shared" ca="1" si="1"/>
        <v>0</v>
      </c>
      <c r="Z25" s="3872">
        <f t="shared" ca="1" si="1"/>
        <v>0</v>
      </c>
      <c r="AA25" s="3872">
        <f t="shared" ca="1" si="1"/>
        <v>0</v>
      </c>
      <c r="AB25" s="3872"/>
      <c r="AC25" s="3873"/>
      <c r="AD25" s="3872">
        <f t="shared" ca="1" si="4"/>
        <v>0</v>
      </c>
      <c r="AE25" s="3872">
        <f t="shared" ca="1" si="5"/>
        <v>0</v>
      </c>
      <c r="AF25" s="3872">
        <f t="shared" ca="1" si="6"/>
        <v>0</v>
      </c>
      <c r="AG25" s="3872">
        <f t="shared" ca="1" si="7"/>
        <v>0</v>
      </c>
      <c r="AH25" s="3872">
        <f t="shared" ca="1" si="8"/>
        <v>0</v>
      </c>
      <c r="AI25" s="3872">
        <f t="shared" ca="1" si="9"/>
        <v>0</v>
      </c>
      <c r="AJ25" s="3872">
        <f t="shared" ca="1" si="10"/>
        <v>0</v>
      </c>
      <c r="AK25" s="3872">
        <f t="shared" ca="1" si="11"/>
        <v>0</v>
      </c>
      <c r="AL25" s="3872">
        <f t="shared" ca="1" si="12"/>
        <v>0</v>
      </c>
      <c r="AM25" s="3872"/>
      <c r="AN25" s="3873"/>
      <c r="AO25" s="3874">
        <f t="shared" ca="1" si="35"/>
        <v>0</v>
      </c>
      <c r="AP25" s="3874">
        <f t="shared" ca="1" si="35"/>
        <v>0</v>
      </c>
      <c r="AQ25" s="3874">
        <f t="shared" ca="1" si="35"/>
        <v>0</v>
      </c>
      <c r="AR25" s="3874">
        <f t="shared" ca="1" si="35"/>
        <v>0</v>
      </c>
      <c r="AS25" s="3874">
        <f t="shared" ca="1" si="35"/>
        <v>0</v>
      </c>
      <c r="AT25" s="3874">
        <f t="shared" ca="1" si="35"/>
        <v>0</v>
      </c>
      <c r="AU25" s="3874">
        <f t="shared" ca="1" si="35"/>
        <v>0</v>
      </c>
      <c r="AV25" s="3874">
        <f t="shared" ca="1" si="35"/>
        <v>0</v>
      </c>
      <c r="AW25" s="3874">
        <f t="shared" ca="1" si="35"/>
        <v>0</v>
      </c>
      <c r="AX25" s="3874"/>
    </row>
    <row r="26" spans="2:50" s="3853" customFormat="1" ht="15">
      <c r="B26" s="3271"/>
      <c r="C26" s="3283" t="s">
        <v>2587</v>
      </c>
      <c r="D26" s="3286" t="s">
        <v>1668</v>
      </c>
      <c r="E26" s="3286">
        <f ca="1">INDEX(INDIRECT("V.a.Outputs["&amp;E$5&amp;"]"), MATCH("V.04", INDIRECT("V.a.Outputs[Vector]"), 0))</f>
        <v>0.10723083333333333</v>
      </c>
      <c r="F26" s="3286">
        <f t="shared" ref="F26:M26" ca="1" si="37">INDEX(INDIRECT("V.a.Outputs["&amp;F$5&amp;"]"), MATCH("V.04", INDIRECT("V.a.Outputs[Vector]"), 0))</f>
        <v>0.10886739853662886</v>
      </c>
      <c r="G26" s="3286">
        <f t="shared" ca="1" si="37"/>
        <v>0.11314027102603014</v>
      </c>
      <c r="H26" s="3286">
        <f t="shared" ca="1" si="37"/>
        <v>0.13269333413613754</v>
      </c>
      <c r="I26" s="3286">
        <f t="shared" ca="1" si="37"/>
        <v>0.13778890093038501</v>
      </c>
      <c r="J26" s="3286">
        <f t="shared" ca="1" si="37"/>
        <v>0.14320900218883223</v>
      </c>
      <c r="K26" s="3286">
        <f t="shared" ca="1" si="37"/>
        <v>0.14897751054695804</v>
      </c>
      <c r="L26" s="3286">
        <f t="shared" ca="1" si="37"/>
        <v>0.15512010271129639</v>
      </c>
      <c r="M26" s="3286">
        <f t="shared" ca="1" si="37"/>
        <v>0.16166439641729724</v>
      </c>
      <c r="N26" s="3274"/>
      <c r="O26"/>
      <c r="Q26" s="3866"/>
      <c r="R26" s="3870" t="s">
        <v>2599</v>
      </c>
      <c r="S26" s="3872">
        <f t="shared" si="1"/>
        <v>0</v>
      </c>
      <c r="T26" s="3872">
        <f t="shared" si="1"/>
        <v>0</v>
      </c>
      <c r="U26" s="3872">
        <f t="shared" si="1"/>
        <v>0</v>
      </c>
      <c r="V26" s="3872">
        <f t="shared" si="1"/>
        <v>0</v>
      </c>
      <c r="W26" s="3872">
        <f t="shared" si="1"/>
        <v>0</v>
      </c>
      <c r="X26" s="3872">
        <f t="shared" si="1"/>
        <v>0</v>
      </c>
      <c r="Y26" s="3872">
        <f t="shared" si="1"/>
        <v>0</v>
      </c>
      <c r="Z26" s="3872">
        <f t="shared" si="1"/>
        <v>0</v>
      </c>
      <c r="AA26" s="3872">
        <f t="shared" si="1"/>
        <v>0</v>
      </c>
      <c r="AB26" s="3872"/>
      <c r="AC26" s="3873"/>
      <c r="AD26" s="3872">
        <f t="shared" ca="1" si="4"/>
        <v>11.492112506073081</v>
      </c>
      <c r="AE26" s="3872">
        <f t="shared" ca="1" si="5"/>
        <v>11.989636471180805</v>
      </c>
      <c r="AF26" s="3872">
        <f t="shared" ca="1" si="6"/>
        <v>13.110328953925579</v>
      </c>
      <c r="AG26" s="3872">
        <f t="shared" ca="1" si="7"/>
        <v>13.908392154492471</v>
      </c>
      <c r="AH26" s="3872">
        <f t="shared" ca="1" si="8"/>
        <v>14.703841111603866</v>
      </c>
      <c r="AI26" s="3872">
        <f t="shared" ca="1" si="9"/>
        <v>15.49667582525977</v>
      </c>
      <c r="AJ26" s="3872">
        <f t="shared" ca="1" si="10"/>
        <v>16.286896295460174</v>
      </c>
      <c r="AK26" s="3872">
        <f t="shared" ca="1" si="11"/>
        <v>17.074502522205087</v>
      </c>
      <c r="AL26" s="3872">
        <f t="shared" ca="1" si="12"/>
        <v>17.859494505494503</v>
      </c>
      <c r="AM26" s="3872"/>
      <c r="AN26" s="3873"/>
      <c r="AO26" s="3874"/>
      <c r="AP26" s="3874"/>
      <c r="AQ26" s="3874"/>
      <c r="AR26" s="3874"/>
      <c r="AS26" s="3874"/>
      <c r="AT26" s="3874"/>
      <c r="AU26" s="3874"/>
      <c r="AV26" s="3874"/>
      <c r="AW26" s="3874"/>
      <c r="AX26" s="3874"/>
    </row>
    <row r="27" spans="2:50" s="3853" customFormat="1" ht="15">
      <c r="B27" s="3271"/>
      <c r="C27" s="3283" t="s">
        <v>2587</v>
      </c>
      <c r="D27" s="3286" t="s">
        <v>15</v>
      </c>
      <c r="E27" s="3286">
        <f ca="1">INDEX(INDIRECT("V.a.Outputs["&amp;E$5&amp;"]"), MATCH("V.05", INDIRECT("V.a.Outputs[Vector]"), 0))</f>
        <v>0.17080321378922586</v>
      </c>
      <c r="F27" s="3286">
        <f t="shared" ref="F27:M27" ca="1" si="38">INDEX(INDIRECT("V.a.Outputs["&amp;F$5&amp;"]"), MATCH("V.05", INDIRECT("V.a.Outputs[Vector]"), 0))</f>
        <v>0.19925972961025004</v>
      </c>
      <c r="G27" s="3286">
        <f t="shared" ca="1" si="38"/>
        <v>0.27965141325063358</v>
      </c>
      <c r="H27" s="3286">
        <f t="shared" ca="1" si="38"/>
        <v>0.43072395411839237</v>
      </c>
      <c r="I27" s="3286">
        <f t="shared" ca="1" si="38"/>
        <v>0.44436488647061306</v>
      </c>
      <c r="J27" s="3286">
        <f t="shared" ca="1" si="38"/>
        <v>0.58378237623376583</v>
      </c>
      <c r="K27" s="3286">
        <f t="shared" ca="1" si="38"/>
        <v>0.73492217145589944</v>
      </c>
      <c r="L27" s="3286">
        <f t="shared" ca="1" si="38"/>
        <v>0.89862325021820177</v>
      </c>
      <c r="M27" s="3286">
        <f t="shared" ca="1" si="38"/>
        <v>0.93413070678266041</v>
      </c>
      <c r="N27" s="3274"/>
      <c r="O27"/>
      <c r="Q27" s="3866"/>
      <c r="R27" s="3870" t="s">
        <v>2600</v>
      </c>
      <c r="S27" s="3872">
        <f t="shared" si="1"/>
        <v>0</v>
      </c>
      <c r="T27" s="3872">
        <f t="shared" si="1"/>
        <v>0</v>
      </c>
      <c r="U27" s="3872">
        <f t="shared" si="1"/>
        <v>0</v>
      </c>
      <c r="V27" s="3872">
        <f t="shared" si="1"/>
        <v>0</v>
      </c>
      <c r="W27" s="3872">
        <f t="shared" si="1"/>
        <v>0</v>
      </c>
      <c r="X27" s="3872">
        <f t="shared" si="1"/>
        <v>0</v>
      </c>
      <c r="Y27" s="3872">
        <f t="shared" si="1"/>
        <v>0</v>
      </c>
      <c r="Z27" s="3872">
        <f t="shared" si="1"/>
        <v>0</v>
      </c>
      <c r="AA27" s="3872">
        <f t="shared" si="1"/>
        <v>0</v>
      </c>
      <c r="AB27" s="3872"/>
      <c r="AC27" s="3873"/>
      <c r="AD27" s="3872">
        <f t="shared" ca="1" si="4"/>
        <v>26.088824704314053</v>
      </c>
      <c r="AE27" s="3872">
        <f t="shared" ca="1" si="5"/>
        <v>26.063484411267986</v>
      </c>
      <c r="AF27" s="3872">
        <f t="shared" ca="1" si="6"/>
        <v>25.596117752626</v>
      </c>
      <c r="AG27" s="3872">
        <f t="shared" ca="1" si="7"/>
        <v>26.437455027627145</v>
      </c>
      <c r="AH27" s="3872">
        <f t="shared" ca="1" si="8"/>
        <v>27.164987392331192</v>
      </c>
      <c r="AI27" s="3872">
        <f t="shared" ca="1" si="9"/>
        <v>27.922532738725259</v>
      </c>
      <c r="AJ27" s="3872">
        <f t="shared" ca="1" si="10"/>
        <v>28.704710927201262</v>
      </c>
      <c r="AK27" s="3872">
        <f t="shared" ca="1" si="11"/>
        <v>29.439064524193135</v>
      </c>
      <c r="AL27" s="3872">
        <f t="shared" ca="1" si="12"/>
        <v>30.198388473432065</v>
      </c>
      <c r="AM27" s="3872"/>
      <c r="AN27" s="3873"/>
      <c r="AO27" s="3874"/>
      <c r="AP27" s="3874"/>
      <c r="AQ27" s="3874"/>
      <c r="AR27" s="3874"/>
      <c r="AS27" s="3874"/>
      <c r="AT27" s="3874"/>
      <c r="AU27" s="3874"/>
      <c r="AV27" s="3874"/>
      <c r="AW27" s="3874"/>
      <c r="AX27" s="3874"/>
    </row>
    <row r="28" spans="2:50" s="3853" customFormat="1" ht="15">
      <c r="B28" s="3271"/>
      <c r="C28" s="3283" t="s">
        <v>2587</v>
      </c>
      <c r="D28" s="3286" t="s">
        <v>1741</v>
      </c>
      <c r="E28" s="3286">
        <f ca="1">INDEX(INDIRECT("V.a.Outputs["&amp;E$5&amp;"]"), MATCH("X.01", INDIRECT("V.a.Outputs[Vector]"), 0))</f>
        <v>0.32300735347533327</v>
      </c>
      <c r="F28" s="3286">
        <f t="shared" ref="F28:M28" ca="1" si="39">INDEX(INDIRECT("V.a.Outputs["&amp;F$5&amp;"]"), MATCH("X.01", INDIRECT("V.a.Outputs[Vector]"), 0))</f>
        <v>0.38317873417349269</v>
      </c>
      <c r="G28" s="3286">
        <f t="shared" ca="1" si="39"/>
        <v>0.45998078347162519</v>
      </c>
      <c r="H28" s="3286">
        <f t="shared" ca="1" si="39"/>
        <v>0.38348903477382379</v>
      </c>
      <c r="I28" s="3286">
        <f t="shared" ca="1" si="39"/>
        <v>0.40103792726650589</v>
      </c>
      <c r="J28" s="3286">
        <f t="shared" ca="1" si="39"/>
        <v>0.44205457914086876</v>
      </c>
      <c r="K28" s="3286">
        <f t="shared" ca="1" si="39"/>
        <v>0.48592764128688071</v>
      </c>
      <c r="L28" s="3286">
        <f t="shared" ca="1" si="39"/>
        <v>0.53286090741819248</v>
      </c>
      <c r="M28" s="3286">
        <f t="shared" ca="1" si="39"/>
        <v>0.55811213329079612</v>
      </c>
      <c r="N28" s="3274"/>
      <c r="O28"/>
      <c r="Q28" s="3866"/>
      <c r="R28" s="3870" t="s">
        <v>391</v>
      </c>
      <c r="S28" s="3872">
        <f t="shared" ca="1" si="1"/>
        <v>0.74791511999999993</v>
      </c>
      <c r="T28" s="3872">
        <f t="shared" ca="1" si="1"/>
        <v>0.74791511999999993</v>
      </c>
      <c r="U28" s="3872">
        <f t="shared" ca="1" si="1"/>
        <v>0.74791511999999993</v>
      </c>
      <c r="V28" s="3872">
        <f t="shared" ca="1" si="1"/>
        <v>0.78946596000000002</v>
      </c>
      <c r="W28" s="3872">
        <f t="shared" ca="1" si="1"/>
        <v>0.50632416000000002</v>
      </c>
      <c r="X28" s="3872">
        <f t="shared" ca="1" si="1"/>
        <v>0.33310800000000007</v>
      </c>
      <c r="Y28" s="3872">
        <f t="shared" ca="1" si="1"/>
        <v>0.23317560000000004</v>
      </c>
      <c r="Z28" s="3872">
        <f t="shared" ca="1" si="1"/>
        <v>0.16655400000000004</v>
      </c>
      <c r="AA28" s="3872">
        <f t="shared" ca="1" si="1"/>
        <v>0</v>
      </c>
      <c r="AB28" s="3872"/>
      <c r="AC28" s="3873"/>
      <c r="AD28" s="3872">
        <f t="shared" si="4"/>
        <v>0</v>
      </c>
      <c r="AE28" s="3872">
        <f t="shared" si="5"/>
        <v>0</v>
      </c>
      <c r="AF28" s="3872">
        <f t="shared" si="6"/>
        <v>0</v>
      </c>
      <c r="AG28" s="3872">
        <f t="shared" si="7"/>
        <v>0</v>
      </c>
      <c r="AH28" s="3872">
        <f t="shared" si="8"/>
        <v>0</v>
      </c>
      <c r="AI28" s="3872">
        <f t="shared" si="9"/>
        <v>0</v>
      </c>
      <c r="AJ28" s="3872">
        <f t="shared" si="10"/>
        <v>0</v>
      </c>
      <c r="AK28" s="3872">
        <f t="shared" si="11"/>
        <v>0</v>
      </c>
      <c r="AL28" s="3872">
        <f t="shared" si="12"/>
        <v>0</v>
      </c>
      <c r="AM28" s="3872"/>
      <c r="AN28" s="3873"/>
      <c r="AO28" s="3874"/>
      <c r="AP28" s="3874"/>
      <c r="AQ28" s="3874"/>
      <c r="AR28" s="3874"/>
      <c r="AS28" s="3874"/>
      <c r="AT28" s="3874"/>
      <c r="AU28" s="3874"/>
      <c r="AV28" s="3874"/>
      <c r="AW28" s="3874"/>
      <c r="AX28" s="3874"/>
    </row>
    <row r="29" spans="2:50" s="3853" customFormat="1" ht="15">
      <c r="B29" s="3271"/>
      <c r="C29" s="3283" t="s">
        <v>16</v>
      </c>
      <c r="D29" s="3286" t="s">
        <v>2601</v>
      </c>
      <c r="E29" s="3286">
        <f ca="1">MAX(INDEX(INDIRECT("'"&amp;E$5&amp;"'!Year.NetBalance"), MATCH("Y.04", INDIRECT("'"&amp;E$5&amp;"'!Year.Vectors"), 0)),0)+MAX(INDEX(INDIRECT("BioExports["&amp;E$5&amp;"]"), MATCH("V.03", INDIRECT("BioExports[Vector]"), 0)),0)</f>
        <v>0</v>
      </c>
      <c r="F29" s="3286">
        <f t="shared" ref="F29:M29" ca="1" si="40">MAX(INDEX(INDIRECT("'"&amp;F$5&amp;"'!Year.NetBalance"), MATCH("Y.04", INDIRECT("'"&amp;F$5&amp;"'!Year.Vectors"), 0)),0)+MAX(INDEX(INDIRECT("BioExports["&amp;F$5&amp;"]"), MATCH("V.03", INDIRECT("BioExports[Vector]"), 0)),0)</f>
        <v>0</v>
      </c>
      <c r="G29" s="3286">
        <f t="shared" ca="1" si="40"/>
        <v>0</v>
      </c>
      <c r="H29" s="3286">
        <f t="shared" ca="1" si="40"/>
        <v>0</v>
      </c>
      <c r="I29" s="3286">
        <f t="shared" ca="1" si="40"/>
        <v>0</v>
      </c>
      <c r="J29" s="3286">
        <f t="shared" ca="1" si="40"/>
        <v>0</v>
      </c>
      <c r="K29" s="3286">
        <f t="shared" ca="1" si="40"/>
        <v>0</v>
      </c>
      <c r="L29" s="3286">
        <f t="shared" ca="1" si="40"/>
        <v>0</v>
      </c>
      <c r="M29" s="3286">
        <f t="shared" ca="1" si="40"/>
        <v>0</v>
      </c>
      <c r="N29" s="3274" t="s">
        <v>3192</v>
      </c>
      <c r="O29"/>
      <c r="Q29" s="3866"/>
      <c r="R29" s="3870" t="s">
        <v>359</v>
      </c>
      <c r="S29" s="3872">
        <f>SUMIF($C$6:$C$95,$R29,E$6:E$95)</f>
        <v>0</v>
      </c>
      <c r="T29" s="3872">
        <f t="shared" si="1"/>
        <v>0</v>
      </c>
      <c r="U29" s="3872">
        <f t="shared" si="1"/>
        <v>0</v>
      </c>
      <c r="V29" s="3872">
        <f t="shared" si="1"/>
        <v>0</v>
      </c>
      <c r="W29" s="3872">
        <f t="shared" si="1"/>
        <v>0</v>
      </c>
      <c r="X29" s="3872">
        <f t="shared" si="1"/>
        <v>0</v>
      </c>
      <c r="Y29" s="3872">
        <f t="shared" si="1"/>
        <v>0</v>
      </c>
      <c r="Z29" s="3872">
        <f t="shared" si="1"/>
        <v>0</v>
      </c>
      <c r="AA29" s="3872">
        <f t="shared" si="1"/>
        <v>0</v>
      </c>
      <c r="AB29" s="3872"/>
      <c r="AC29" s="3873"/>
      <c r="AD29" s="3872">
        <f t="shared" ca="1" si="4"/>
        <v>28.252757096164629</v>
      </c>
      <c r="AE29" s="3872">
        <f t="shared" ca="1" si="5"/>
        <v>29.116469137612675</v>
      </c>
      <c r="AF29" s="3872">
        <f t="shared" ca="1" si="6"/>
        <v>33.31094230307805</v>
      </c>
      <c r="AG29" s="3872">
        <f t="shared" ca="1" si="7"/>
        <v>33.88911080764349</v>
      </c>
      <c r="AH29" s="3872">
        <f t="shared" ca="1" si="8"/>
        <v>35.672188702118326</v>
      </c>
      <c r="AI29" s="3872">
        <f t="shared" ca="1" si="9"/>
        <v>38.387868747127762</v>
      </c>
      <c r="AJ29" s="3872">
        <f t="shared" ca="1" si="10"/>
        <v>41.380436348352958</v>
      </c>
      <c r="AK29" s="3872">
        <f t="shared" ca="1" si="11"/>
        <v>44.678844633910259</v>
      </c>
      <c r="AL29" s="3872">
        <f t="shared" ca="1" si="12"/>
        <v>48.315116362578486</v>
      </c>
      <c r="AM29" s="3872"/>
      <c r="AN29" s="3873"/>
      <c r="AO29" s="3874"/>
      <c r="AP29" s="3874"/>
      <c r="AQ29" s="3874"/>
      <c r="AR29" s="3874"/>
      <c r="AS29" s="3874"/>
      <c r="AT29" s="3874"/>
      <c r="AU29" s="3874"/>
      <c r="AV29" s="3874"/>
      <c r="AW29" s="3874"/>
      <c r="AX29" s="3874"/>
    </row>
    <row r="30" spans="2:50" s="3853" customFormat="1" ht="15">
      <c r="B30" s="3271"/>
      <c r="C30" s="3283" t="s">
        <v>1668</v>
      </c>
      <c r="D30" s="3286" t="s">
        <v>2601</v>
      </c>
      <c r="E30" s="3286">
        <f ca="1">MAX(INDEX(INDIRECT("'"&amp;E$5&amp;"'!Year.NetBalance"), MATCH("Y.03", INDIRECT("'"&amp;E$5&amp;"'!Year.Vectors"), 0))+INDEX(INDIRECT("'"&amp;E$5&amp;"'!Year.NetBalance"), MATCH("Y.05", INDIRECT("'"&amp;E$5&amp;"'!Year.Vectors"), 0)),0)+MAX(INDEX(INDIRECT("BioExports["&amp;E$5&amp;"]"), MATCH("V.04", INDIRECT("BioExports[Vector]"), 0)),0)</f>
        <v>0</v>
      </c>
      <c r="F30" s="3286">
        <f t="shared" ref="F30:M30" ca="1" si="41">MAX(INDEX(INDIRECT("'"&amp;F$5&amp;"'!Year.NetBalance"), MATCH("Y.03", INDIRECT("'"&amp;F$5&amp;"'!Year.Vectors"), 0))+INDEX(INDIRECT("'"&amp;F$5&amp;"'!Year.NetBalance"), MATCH("Y.05", INDIRECT("'"&amp;F$5&amp;"'!Year.Vectors"), 0)),0)+MAX(INDEX(INDIRECT("BioExports["&amp;F$5&amp;"]"), MATCH("V.04", INDIRECT("BioExports[Vector]"), 0)),0)</f>
        <v>0</v>
      </c>
      <c r="G30" s="3286">
        <f t="shared" ca="1" si="41"/>
        <v>0</v>
      </c>
      <c r="H30" s="3286">
        <f t="shared" ca="1" si="41"/>
        <v>0</v>
      </c>
      <c r="I30" s="3286">
        <f t="shared" ca="1" si="41"/>
        <v>0</v>
      </c>
      <c r="J30" s="3286">
        <f t="shared" ca="1" si="41"/>
        <v>0</v>
      </c>
      <c r="K30" s="3286">
        <f t="shared" ca="1" si="41"/>
        <v>0</v>
      </c>
      <c r="L30" s="3286">
        <f t="shared" ca="1" si="41"/>
        <v>0</v>
      </c>
      <c r="M30" s="3286">
        <f t="shared" ca="1" si="41"/>
        <v>0</v>
      </c>
      <c r="N30" s="3274" t="s">
        <v>3192</v>
      </c>
      <c r="O30"/>
      <c r="Q30" s="3866"/>
      <c r="R30" s="3870" t="s">
        <v>364</v>
      </c>
      <c r="S30" s="3872">
        <f t="shared" si="1"/>
        <v>0</v>
      </c>
      <c r="T30" s="3872">
        <f t="shared" si="1"/>
        <v>0</v>
      </c>
      <c r="U30" s="3872">
        <f t="shared" si="1"/>
        <v>0</v>
      </c>
      <c r="V30" s="3872">
        <f t="shared" si="1"/>
        <v>0</v>
      </c>
      <c r="W30" s="3872">
        <f t="shared" si="1"/>
        <v>0</v>
      </c>
      <c r="X30" s="3872">
        <f t="shared" si="1"/>
        <v>0</v>
      </c>
      <c r="Y30" s="3872">
        <f t="shared" si="1"/>
        <v>0</v>
      </c>
      <c r="Z30" s="3872">
        <f t="shared" si="1"/>
        <v>0</v>
      </c>
      <c r="AA30" s="3872">
        <f t="shared" si="1"/>
        <v>0</v>
      </c>
      <c r="AB30" s="3872"/>
      <c r="AC30" s="3873"/>
      <c r="AD30" s="3872">
        <f t="shared" ca="1" si="4"/>
        <v>7.02</v>
      </c>
      <c r="AE30" s="3872">
        <f t="shared" ca="1" si="5"/>
        <v>6.8942086199999997</v>
      </c>
      <c r="AF30" s="3872">
        <f t="shared" ca="1" si="6"/>
        <v>7.4554183878892841</v>
      </c>
      <c r="AG30" s="3872">
        <f t="shared" ca="1" si="7"/>
        <v>8.0623123555082739</v>
      </c>
      <c r="AH30" s="3872">
        <f t="shared" ca="1" si="8"/>
        <v>8.7186093571046239</v>
      </c>
      <c r="AI30" s="3872">
        <f t="shared" ca="1" si="9"/>
        <v>9.4283309514618914</v>
      </c>
      <c r="AJ30" s="3872">
        <f t="shared" ca="1" si="10"/>
        <v>10.195826064607054</v>
      </c>
      <c r="AK30" s="3872">
        <f t="shared" ca="1" si="11"/>
        <v>11.025797638510145</v>
      </c>
      <c r="AL30" s="3872">
        <f t="shared" ca="1" si="12"/>
        <v>11.923331449069897</v>
      </c>
      <c r="AM30" s="3872"/>
      <c r="AN30" s="3873"/>
      <c r="AO30" s="3874"/>
      <c r="AP30" s="3874"/>
      <c r="AQ30" s="3874"/>
      <c r="AR30" s="3874"/>
      <c r="AS30" s="3874"/>
      <c r="AT30" s="3874"/>
      <c r="AU30" s="3874"/>
      <c r="AV30" s="3874"/>
      <c r="AW30" s="3874"/>
      <c r="AX30" s="3874"/>
    </row>
    <row r="31" spans="2:50" s="3853" customFormat="1" ht="15">
      <c r="B31" s="3271"/>
      <c r="C31" s="3283" t="s">
        <v>15</v>
      </c>
      <c r="D31" s="3286" t="s">
        <v>2601</v>
      </c>
      <c r="E31" s="3286">
        <f ca="1">MAX(INDEX(INDIRECT("'"&amp;E$5&amp;"'!Year.NetBalance"), MATCH("Y.06", INDIRECT("'"&amp;E$5&amp;"'!Year.Vectors"), 0)),0)+MAX(INDEX(INDIRECT("BioExports["&amp;E$5&amp;"]"), MATCH("V.04", INDIRECT("BioExports[Vector]"), 0)),0)+MAX(INDEX(INDIRECT("BioExports["&amp;E$5&amp;"]"), MATCH("V.05", INDIRECT("BioExports[Vector]"), 0)),0)</f>
        <v>0</v>
      </c>
      <c r="F31" s="3286">
        <f t="shared" ref="F31:M31" ca="1" si="42">MAX(INDEX(INDIRECT("'"&amp;F$5&amp;"'!Year.NetBalance"), MATCH("Y.06", INDIRECT("'"&amp;F$5&amp;"'!Year.Vectors"), 0)),0)+MAX(INDEX(INDIRECT("BioExports["&amp;F$5&amp;"]"), MATCH("V.04", INDIRECT("BioExports[Vector]"), 0)),0)+MAX(INDEX(INDIRECT("BioExports["&amp;F$5&amp;"]"), MATCH("V.05", INDIRECT("BioExports[Vector]"), 0)),0)</f>
        <v>0</v>
      </c>
      <c r="G31" s="3286">
        <f t="shared" ca="1" si="42"/>
        <v>0</v>
      </c>
      <c r="H31" s="3286">
        <f t="shared" ca="1" si="42"/>
        <v>0</v>
      </c>
      <c r="I31" s="3286">
        <f t="shared" ca="1" si="42"/>
        <v>0</v>
      </c>
      <c r="J31" s="3286">
        <f t="shared" ca="1" si="42"/>
        <v>0</v>
      </c>
      <c r="K31" s="3286">
        <f t="shared" ca="1" si="42"/>
        <v>0</v>
      </c>
      <c r="L31" s="3286">
        <f t="shared" ca="1" si="42"/>
        <v>0</v>
      </c>
      <c r="M31" s="3286">
        <f t="shared" ca="1" si="42"/>
        <v>0</v>
      </c>
      <c r="N31" s="3274" t="s">
        <v>3192</v>
      </c>
      <c r="O31"/>
      <c r="Q31" s="3866"/>
      <c r="R31" s="3870" t="s">
        <v>365</v>
      </c>
      <c r="S31" s="3872">
        <f t="shared" si="1"/>
        <v>0</v>
      </c>
      <c r="T31" s="3872">
        <f t="shared" si="1"/>
        <v>0</v>
      </c>
      <c r="U31" s="3872">
        <f t="shared" si="1"/>
        <v>0</v>
      </c>
      <c r="V31" s="3872">
        <f t="shared" si="1"/>
        <v>0</v>
      </c>
      <c r="W31" s="3872">
        <f t="shared" si="1"/>
        <v>0</v>
      </c>
      <c r="X31" s="3872">
        <f t="shared" si="1"/>
        <v>0</v>
      </c>
      <c r="Y31" s="3872">
        <f t="shared" si="1"/>
        <v>0</v>
      </c>
      <c r="Z31" s="3872">
        <f t="shared" si="1"/>
        <v>0</v>
      </c>
      <c r="AA31" s="3872">
        <f t="shared" si="1"/>
        <v>0</v>
      </c>
      <c r="AB31" s="3872"/>
      <c r="AC31" s="3873"/>
      <c r="AD31" s="3872">
        <f t="shared" si="4"/>
        <v>0</v>
      </c>
      <c r="AE31" s="3872">
        <f t="shared" si="5"/>
        <v>0</v>
      </c>
      <c r="AF31" s="3872">
        <f t="shared" si="6"/>
        <v>0</v>
      </c>
      <c r="AG31" s="3872">
        <f t="shared" si="7"/>
        <v>0</v>
      </c>
      <c r="AH31" s="3872">
        <f t="shared" si="8"/>
        <v>0</v>
      </c>
      <c r="AI31" s="3872">
        <f t="shared" si="9"/>
        <v>0</v>
      </c>
      <c r="AJ31" s="3872">
        <f t="shared" si="10"/>
        <v>0</v>
      </c>
      <c r="AK31" s="3872">
        <f t="shared" si="11"/>
        <v>0</v>
      </c>
      <c r="AL31" s="3872">
        <f t="shared" si="12"/>
        <v>0</v>
      </c>
      <c r="AM31" s="3872"/>
      <c r="AN31" s="3873"/>
      <c r="AO31" s="3874"/>
      <c r="AP31" s="3874"/>
      <c r="AQ31" s="3874"/>
      <c r="AR31" s="3874"/>
      <c r="AS31" s="3874"/>
      <c r="AT31" s="3874"/>
      <c r="AU31" s="3874"/>
      <c r="AV31" s="3874"/>
      <c r="AW31" s="3874"/>
      <c r="AX31" s="3874"/>
    </row>
    <row r="32" spans="2:50" s="3853" customFormat="1" ht="15">
      <c r="B32" s="3271"/>
      <c r="C32" s="3283" t="s">
        <v>16</v>
      </c>
      <c r="D32" s="3286" t="s">
        <v>2603</v>
      </c>
      <c r="E32" s="3286">
        <f ca="1">-INDEX(INDIRECT("I.a.Outputs["&amp;E$5&amp;"]"), MATCH("V.03", INDIRECT("I.a.Outputs[Vector]"), 0))-INDEX(INDIRECT("I.b.Outputs["&amp;E$5&amp;"]"), MATCH("V.03", INDIRECT("I.b.Outputs[Vector]"), 0))</f>
        <v>20.691997156645641</v>
      </c>
      <c r="F32" s="3286">
        <f t="shared" ref="F32:M32" ca="1" si="43">-INDEX(INDIRECT("I.a.Outputs["&amp;F$5&amp;"]"), MATCH("V.03", INDIRECT("I.a.Outputs[Vector]"), 0))-INDEX(INDIRECT("I.b.Outputs["&amp;F$5&amp;"]"), MATCH("V.03", INDIRECT("I.b.Outputs[Vector]"), 0))</f>
        <v>21.10530957034457</v>
      </c>
      <c r="G32" s="3286">
        <f t="shared" ca="1" si="43"/>
        <v>18.904104411428573</v>
      </c>
      <c r="H32" s="3286">
        <f t="shared" ca="1" si="43"/>
        <v>18.904104411428573</v>
      </c>
      <c r="I32" s="3286">
        <f t="shared" ca="1" si="43"/>
        <v>13.022368868571434</v>
      </c>
      <c r="J32" s="3286">
        <f t="shared" ca="1" si="43"/>
        <v>0</v>
      </c>
      <c r="K32" s="3286">
        <f t="shared" ca="1" si="43"/>
        <v>0</v>
      </c>
      <c r="L32" s="3286">
        <f t="shared" ca="1" si="43"/>
        <v>0</v>
      </c>
      <c r="M32" s="3286">
        <f t="shared" ca="1" si="43"/>
        <v>0</v>
      </c>
      <c r="N32" s="3274"/>
      <c r="O32"/>
      <c r="Q32" s="3866"/>
      <c r="R32" s="3870" t="s">
        <v>2602</v>
      </c>
      <c r="S32" s="3872">
        <f t="shared" si="1"/>
        <v>0</v>
      </c>
      <c r="T32" s="3872">
        <f t="shared" si="1"/>
        <v>0</v>
      </c>
      <c r="U32" s="3872">
        <f t="shared" si="1"/>
        <v>0</v>
      </c>
      <c r="V32" s="3872">
        <f t="shared" si="1"/>
        <v>0</v>
      </c>
      <c r="W32" s="3872">
        <f t="shared" si="1"/>
        <v>0</v>
      </c>
      <c r="X32" s="3872">
        <f t="shared" si="1"/>
        <v>0</v>
      </c>
      <c r="Y32" s="3872">
        <f t="shared" si="1"/>
        <v>0</v>
      </c>
      <c r="Z32" s="3872">
        <f t="shared" si="1"/>
        <v>0</v>
      </c>
      <c r="AA32" s="3872">
        <f t="shared" si="1"/>
        <v>0</v>
      </c>
      <c r="AB32" s="3872"/>
      <c r="AC32" s="3873"/>
      <c r="AD32" s="3872">
        <f t="shared" ca="1" si="4"/>
        <v>4.54</v>
      </c>
      <c r="AE32" s="3872">
        <f t="shared" ca="1" si="5"/>
        <v>4.5931982647189695</v>
      </c>
      <c r="AF32" s="3872">
        <f t="shared" ca="1" si="6"/>
        <v>4.7261939265164195</v>
      </c>
      <c r="AG32" s="3872">
        <f t="shared" ca="1" si="7"/>
        <v>4.8591895883138498</v>
      </c>
      <c r="AH32" s="3872">
        <f t="shared" ca="1" si="8"/>
        <v>4.99218525011129</v>
      </c>
      <c r="AI32" s="3872">
        <f t="shared" ca="1" si="9"/>
        <v>5.1251809119087195</v>
      </c>
      <c r="AJ32" s="3872">
        <f t="shared" ca="1" si="10"/>
        <v>5.2581765737061597</v>
      </c>
      <c r="AK32" s="3872">
        <f t="shared" ca="1" si="11"/>
        <v>5.3911722355035998</v>
      </c>
      <c r="AL32" s="3872">
        <f t="shared" ca="1" si="12"/>
        <v>5.5241678973010302</v>
      </c>
      <c r="AM32" s="3872"/>
      <c r="AN32" s="3873"/>
      <c r="AO32" s="3874"/>
      <c r="AP32" s="3874"/>
      <c r="AQ32" s="3874"/>
      <c r="AR32" s="3874"/>
      <c r="AS32" s="3874"/>
      <c r="AT32" s="3874"/>
      <c r="AU32" s="3874"/>
      <c r="AV32" s="3874"/>
      <c r="AW32" s="3874"/>
      <c r="AX32" s="3874"/>
    </row>
    <row r="33" spans="2:51" s="3853" customFormat="1" ht="15">
      <c r="B33" s="3271"/>
      <c r="C33" s="3283" t="s">
        <v>1668</v>
      </c>
      <c r="D33" s="3286" t="s">
        <v>2603</v>
      </c>
      <c r="E33" s="3286">
        <f ca="1">-INDEX(INDIRECT("I.a.Outputs["&amp;E$5&amp;"]"), MATCH("V.04", INDIRECT("I.a.Outputs[Vector]"), 0))</f>
        <v>2.6999280000000003</v>
      </c>
      <c r="F33" s="3286">
        <f t="shared" ref="F33:M33" ca="1" si="44">-INDEX(INDIRECT("I.a.Outputs["&amp;F$5&amp;"]"), MATCH("V.04", INDIRECT("I.a.Outputs[Vector]"), 0))</f>
        <v>0</v>
      </c>
      <c r="G33" s="3286">
        <f t="shared" ca="1" si="44"/>
        <v>0</v>
      </c>
      <c r="H33" s="3286">
        <f t="shared" ca="1" si="44"/>
        <v>0</v>
      </c>
      <c r="I33" s="3286">
        <f t="shared" ca="1" si="44"/>
        <v>0</v>
      </c>
      <c r="J33" s="3286">
        <f t="shared" ca="1" si="44"/>
        <v>0</v>
      </c>
      <c r="K33" s="3286">
        <f t="shared" ca="1" si="44"/>
        <v>0</v>
      </c>
      <c r="L33" s="3286">
        <f t="shared" ca="1" si="44"/>
        <v>0</v>
      </c>
      <c r="M33" s="3286">
        <f t="shared" ca="1" si="44"/>
        <v>0</v>
      </c>
      <c r="N33" s="3274"/>
      <c r="O33"/>
      <c r="Q33" s="3866"/>
      <c r="R33" s="3870" t="s">
        <v>2604</v>
      </c>
      <c r="S33" s="3872">
        <f t="shared" si="1"/>
        <v>0</v>
      </c>
      <c r="T33" s="3872">
        <f t="shared" si="1"/>
        <v>0</v>
      </c>
      <c r="U33" s="3872">
        <f t="shared" si="1"/>
        <v>0</v>
      </c>
      <c r="V33" s="3872">
        <f t="shared" si="1"/>
        <v>0</v>
      </c>
      <c r="W33" s="3872">
        <f t="shared" si="1"/>
        <v>0</v>
      </c>
      <c r="X33" s="3872">
        <f t="shared" si="1"/>
        <v>0</v>
      </c>
      <c r="Y33" s="3872">
        <f t="shared" si="1"/>
        <v>0</v>
      </c>
      <c r="Z33" s="3872">
        <f t="shared" si="1"/>
        <v>0</v>
      </c>
      <c r="AA33" s="3872">
        <f t="shared" si="1"/>
        <v>0</v>
      </c>
      <c r="AB33" s="3872"/>
      <c r="AC33" s="3873"/>
      <c r="AD33" s="3872">
        <f t="shared" ca="1" si="4"/>
        <v>5.4569722741160644</v>
      </c>
      <c r="AE33" s="3872">
        <f t="shared" ca="1" si="5"/>
        <v>5.5782516564305231</v>
      </c>
      <c r="AF33" s="3872">
        <f t="shared" ca="1" si="6"/>
        <v>5.7457387057638698</v>
      </c>
      <c r="AG33" s="3872">
        <f t="shared" ca="1" si="7"/>
        <v>5.9044625499755492</v>
      </c>
      <c r="AH33" s="3872">
        <f t="shared" ca="1" si="8"/>
        <v>6.0385700489524661</v>
      </c>
      <c r="AI33" s="3872">
        <f t="shared" ca="1" si="9"/>
        <v>6.1787995776534208</v>
      </c>
      <c r="AJ33" s="3872">
        <f t="shared" ca="1" si="10"/>
        <v>6.3247602173869781</v>
      </c>
      <c r="AK33" s="3872">
        <f t="shared" ca="1" si="11"/>
        <v>6.4606035592712381</v>
      </c>
      <c r="AL33" s="3872">
        <f t="shared" ca="1" si="12"/>
        <v>6.6315465346312923</v>
      </c>
      <c r="AM33" s="3872"/>
      <c r="AN33" s="3873"/>
      <c r="AO33" s="3874"/>
      <c r="AP33" s="3874"/>
      <c r="AQ33" s="3874"/>
      <c r="AR33" s="3874"/>
      <c r="AS33" s="3874"/>
      <c r="AT33" s="3874"/>
      <c r="AU33" s="3874"/>
      <c r="AV33" s="3874"/>
      <c r="AW33" s="3874"/>
      <c r="AX33" s="3874"/>
    </row>
    <row r="34" spans="2:51" s="3853" customFormat="1" ht="15">
      <c r="B34" s="3271"/>
      <c r="C34" s="3283" t="s">
        <v>15</v>
      </c>
      <c r="D34" s="3286" t="s">
        <v>2603</v>
      </c>
      <c r="E34" s="3286">
        <f ca="1">-INDEX(INDIRECT("I.a.Outputs["&amp;E$5&amp;"]"), MATCH("V.05", INDIRECT("I.a.Outputs[Vector]"), 0))-INDEX(INDIRECT("I.b.Outputs["&amp;E$5&amp;"]"), MATCH("V.05", INDIRECT("I.b.Outputs[Vector]"), 0))</f>
        <v>24.254439331469616</v>
      </c>
      <c r="F34" s="3286">
        <f t="shared" ref="F34:M34" ca="1" si="45">-INDEX(INDIRECT("I.a.Outputs["&amp;F$5&amp;"]"), MATCH("V.05", INDIRECT("I.a.Outputs[Vector]"), 0))-INDEX(INDIRECT("I.b.Outputs["&amp;F$5&amp;"]"), MATCH("V.05", INDIRECT("I.b.Outputs[Vector]"), 0))</f>
        <v>24.744703032876998</v>
      </c>
      <c r="G34" s="3286">
        <f t="shared" ca="1" si="45"/>
        <v>27.385767915552304</v>
      </c>
      <c r="H34" s="3286">
        <f t="shared" ca="1" si="45"/>
        <v>37.098678880609839</v>
      </c>
      <c r="I34" s="3286">
        <f t="shared" ca="1" si="45"/>
        <v>50.151743269846563</v>
      </c>
      <c r="J34" s="3286">
        <f t="shared" ca="1" si="45"/>
        <v>66.74981167799227</v>
      </c>
      <c r="K34" s="3286">
        <f t="shared" ca="1" si="45"/>
        <v>71.426632572578853</v>
      </c>
      <c r="L34" s="3286">
        <f t="shared" ca="1" si="45"/>
        <v>76.270558151769606</v>
      </c>
      <c r="M34" s="3286">
        <f t="shared" ca="1" si="45"/>
        <v>81.296126820622135</v>
      </c>
      <c r="N34" s="3274"/>
      <c r="O34"/>
      <c r="Q34" s="3866"/>
      <c r="R34" s="3870" t="s">
        <v>1668</v>
      </c>
      <c r="S34" s="3872">
        <f t="shared" ca="1" si="1"/>
        <v>77.55283715410927</v>
      </c>
      <c r="T34" s="3872">
        <f t="shared" ca="1" si="1"/>
        <v>75.244847357519276</v>
      </c>
      <c r="U34" s="3872">
        <f t="shared" ca="1" si="1"/>
        <v>76.274750168889341</v>
      </c>
      <c r="V34" s="3872">
        <f t="shared" ref="V34:AA56" ca="1" si="46">SUMIF($C$6:$C$95,$R34,H$6:H$95)</f>
        <v>76.215903615572714</v>
      </c>
      <c r="W34" s="3872">
        <f t="shared" ca="1" si="46"/>
        <v>75.958681490777167</v>
      </c>
      <c r="X34" s="3872">
        <f t="shared" ca="1" si="46"/>
        <v>75.768165563645425</v>
      </c>
      <c r="Y34" s="3872">
        <f t="shared" ca="1" si="46"/>
        <v>75.489071127163243</v>
      </c>
      <c r="Z34" s="3872">
        <f t="shared" ca="1" si="46"/>
        <v>75.34637564867829</v>
      </c>
      <c r="AA34" s="3872">
        <f t="shared" ca="1" si="46"/>
        <v>74.666873204295086</v>
      </c>
      <c r="AB34" s="3872"/>
      <c r="AC34" s="3873"/>
      <c r="AD34" s="3872">
        <f t="shared" ca="1" si="4"/>
        <v>77.55283715410927</v>
      </c>
      <c r="AE34" s="3872">
        <f t="shared" ca="1" si="5"/>
        <v>75.244847357519262</v>
      </c>
      <c r="AF34" s="3872">
        <f t="shared" ca="1" si="6"/>
        <v>76.274750168889341</v>
      </c>
      <c r="AG34" s="3872">
        <f t="shared" ca="1" si="7"/>
        <v>76.215903615572742</v>
      </c>
      <c r="AH34" s="3872">
        <f t="shared" ca="1" si="8"/>
        <v>75.958681490777167</v>
      </c>
      <c r="AI34" s="3872">
        <f t="shared" ca="1" si="9"/>
        <v>75.768165563645425</v>
      </c>
      <c r="AJ34" s="3872">
        <f t="shared" ca="1" si="10"/>
        <v>75.489071127163257</v>
      </c>
      <c r="AK34" s="3872">
        <f t="shared" ca="1" si="11"/>
        <v>75.34637564867829</v>
      </c>
      <c r="AL34" s="3872">
        <f t="shared" ca="1" si="12"/>
        <v>74.666873204295086</v>
      </c>
      <c r="AM34" s="3872"/>
      <c r="AN34" s="3873"/>
      <c r="AO34" s="3874">
        <f t="shared" ref="AO34:AW34" ca="1" si="47">S34-AD34</f>
        <v>0</v>
      </c>
      <c r="AP34" s="3874">
        <f t="shared" ca="1" si="47"/>
        <v>0</v>
      </c>
      <c r="AQ34" s="3874">
        <f t="shared" ca="1" si="47"/>
        <v>0</v>
      </c>
      <c r="AR34" s="3874">
        <f t="shared" ca="1" si="47"/>
        <v>0</v>
      </c>
      <c r="AS34" s="3874">
        <f t="shared" ca="1" si="47"/>
        <v>0</v>
      </c>
      <c r="AT34" s="3874">
        <f t="shared" ca="1" si="47"/>
        <v>0</v>
      </c>
      <c r="AU34" s="3874">
        <f t="shared" ca="1" si="47"/>
        <v>0</v>
      </c>
      <c r="AV34" s="3874">
        <f t="shared" ca="1" si="47"/>
        <v>0</v>
      </c>
      <c r="AW34" s="3874">
        <f t="shared" ca="1" si="47"/>
        <v>0</v>
      </c>
      <c r="AX34" s="3874"/>
      <c r="AY34" s="377"/>
    </row>
    <row r="35" spans="2:51" s="3853" customFormat="1" ht="15">
      <c r="B35" s="3271"/>
      <c r="C35" s="3283" t="s">
        <v>725</v>
      </c>
      <c r="D35" s="3286" t="s">
        <v>2603</v>
      </c>
      <c r="E35" s="3286">
        <f ca="1">-INDEX(INDIRECT("II.a.Outputs["&amp;E$5&amp;"]"), MATCH("N.01", INDIRECT("II.a.Outputs[Vector]"), 0))</f>
        <v>0</v>
      </c>
      <c r="F35" s="3286">
        <f t="shared" ref="F35:M35" ca="1" si="48">-INDEX(INDIRECT("II.a.Outputs["&amp;F$5&amp;"]"), MATCH("N.01", INDIRECT("II.a.Outputs[Vector]"), 0))</f>
        <v>0</v>
      </c>
      <c r="G35" s="3286">
        <f t="shared" ca="1" si="48"/>
        <v>0</v>
      </c>
      <c r="H35" s="3286">
        <f t="shared" ca="1" si="48"/>
        <v>0</v>
      </c>
      <c r="I35" s="3286">
        <f t="shared" ca="1" si="48"/>
        <v>0</v>
      </c>
      <c r="J35" s="3286">
        <f t="shared" ca="1" si="48"/>
        <v>0</v>
      </c>
      <c r="K35" s="3286">
        <f t="shared" ca="1" si="48"/>
        <v>0</v>
      </c>
      <c r="L35" s="3286">
        <f t="shared" ca="1" si="48"/>
        <v>0</v>
      </c>
      <c r="M35" s="3286">
        <f t="shared" ca="1" si="48"/>
        <v>0</v>
      </c>
      <c r="N35" s="3274"/>
      <c r="O35"/>
      <c r="Q35" s="3866"/>
      <c r="R35" s="3870" t="s">
        <v>1741</v>
      </c>
      <c r="S35" s="3872">
        <f t="shared" ref="S35:U56" si="49">SUMIF($C$6:$C$95,$R35,E$6:E$95)</f>
        <v>0</v>
      </c>
      <c r="T35" s="3872">
        <f t="shared" si="49"/>
        <v>0</v>
      </c>
      <c r="U35" s="3872">
        <f t="shared" si="49"/>
        <v>0</v>
      </c>
      <c r="V35" s="3872">
        <f t="shared" si="46"/>
        <v>0</v>
      </c>
      <c r="W35" s="3872">
        <f t="shared" si="46"/>
        <v>0</v>
      </c>
      <c r="X35" s="3872">
        <f t="shared" si="46"/>
        <v>0</v>
      </c>
      <c r="Y35" s="3872">
        <f t="shared" si="46"/>
        <v>0</v>
      </c>
      <c r="Z35" s="3872">
        <f t="shared" si="46"/>
        <v>0</v>
      </c>
      <c r="AA35" s="3872">
        <f t="shared" si="46"/>
        <v>0</v>
      </c>
      <c r="AB35" s="3872"/>
      <c r="AC35" s="3873"/>
      <c r="AD35" s="3872">
        <f t="shared" ca="1" si="4"/>
        <v>32.390364279138453</v>
      </c>
      <c r="AE35" s="3872">
        <f t="shared" ca="1" si="5"/>
        <v>31.142406849269157</v>
      </c>
      <c r="AF35" s="3872">
        <f t="shared" ca="1" si="6"/>
        <v>30.505501928203703</v>
      </c>
      <c r="AG35" s="3872">
        <f t="shared" ca="1" si="7"/>
        <v>34.96674080595713</v>
      </c>
      <c r="AH35" s="3872">
        <f t="shared" ca="1" si="8"/>
        <v>37.61854440980202</v>
      </c>
      <c r="AI35" s="3872">
        <f t="shared" ca="1" si="9"/>
        <v>37.30241908415465</v>
      </c>
      <c r="AJ35" s="3872">
        <f t="shared" ca="1" si="10"/>
        <v>39.93937290651624</v>
      </c>
      <c r="AK35" s="3872">
        <f t="shared" ca="1" si="11"/>
        <v>42.675676625276253</v>
      </c>
      <c r="AL35" s="3872">
        <f t="shared" ca="1" si="12"/>
        <v>45.484206782467446</v>
      </c>
      <c r="AM35" s="3872"/>
      <c r="AN35" s="3873"/>
      <c r="AO35" s="3874"/>
      <c r="AP35" s="3874"/>
      <c r="AQ35" s="3874"/>
      <c r="AR35" s="3874"/>
      <c r="AS35" s="3874"/>
      <c r="AT35" s="3874"/>
      <c r="AU35" s="3874"/>
      <c r="AV35" s="3874"/>
      <c r="AW35" s="3874"/>
      <c r="AX35" s="3874"/>
    </row>
    <row r="36" spans="2:51" s="3853" customFormat="1" ht="15">
      <c r="B36" s="3271"/>
      <c r="C36" s="3283" t="s">
        <v>2603</v>
      </c>
      <c r="D36" s="3286" t="s">
        <v>536</v>
      </c>
      <c r="E36" s="3286">
        <f ca="1">INDEX(INDIRECT("XVII.a.Outputs["&amp;E$5&amp;"]"), MATCH("V.07", INDIRECT("XVII.a.Outputs[Vector]"), 0))</f>
        <v>2.6537999724419409E-2</v>
      </c>
      <c r="F36" s="3286">
        <f t="shared" ref="F36:M36" ca="1" si="50">INDEX(INDIRECT("XVII.a.Outputs["&amp;F$5&amp;"]"), MATCH("V.07", INDIRECT("XVII.a.Outputs[Vector]"), 0))</f>
        <v>2.6537999724419409E-2</v>
      </c>
      <c r="G36" s="3286">
        <f t="shared" ca="1" si="50"/>
        <v>2.6537999724419409E-2</v>
      </c>
      <c r="H36" s="3286">
        <f t="shared" ca="1" si="50"/>
        <v>2.6537999724419409E-2</v>
      </c>
      <c r="I36" s="3286">
        <f t="shared" ca="1" si="50"/>
        <v>2.6537999724419409E-2</v>
      </c>
      <c r="J36" s="3286">
        <f t="shared" ca="1" si="50"/>
        <v>2.6537999724419409E-2</v>
      </c>
      <c r="K36" s="3286">
        <f t="shared" ca="1" si="50"/>
        <v>2.6537999724419409E-2</v>
      </c>
      <c r="L36" s="3286">
        <f t="shared" ca="1" si="50"/>
        <v>2.6537999724419409E-2</v>
      </c>
      <c r="M36" s="3286">
        <f t="shared" ca="1" si="50"/>
        <v>2.6537999724419409E-2</v>
      </c>
      <c r="N36" s="3274"/>
      <c r="O36"/>
      <c r="Q36" s="3866"/>
      <c r="R36" s="3870" t="s">
        <v>498</v>
      </c>
      <c r="S36" s="3872">
        <f t="shared" ca="1" si="49"/>
        <v>0</v>
      </c>
      <c r="T36" s="3872">
        <f t="shared" ca="1" si="49"/>
        <v>0</v>
      </c>
      <c r="U36" s="3872">
        <f t="shared" ca="1" si="49"/>
        <v>0</v>
      </c>
      <c r="V36" s="3872">
        <f t="shared" ca="1" si="46"/>
        <v>0</v>
      </c>
      <c r="W36" s="3872">
        <f t="shared" ca="1" si="46"/>
        <v>0</v>
      </c>
      <c r="X36" s="3872">
        <f t="shared" ca="1" si="46"/>
        <v>0</v>
      </c>
      <c r="Y36" s="3872">
        <f t="shared" ca="1" si="46"/>
        <v>0</v>
      </c>
      <c r="Z36" s="3872">
        <f t="shared" ca="1" si="46"/>
        <v>0</v>
      </c>
      <c r="AA36" s="3872">
        <f t="shared" ca="1" si="46"/>
        <v>0</v>
      </c>
      <c r="AB36" s="3872"/>
      <c r="AC36" s="3873"/>
      <c r="AD36" s="3872">
        <f t="shared" si="4"/>
        <v>0</v>
      </c>
      <c r="AE36" s="3872">
        <f t="shared" si="5"/>
        <v>0</v>
      </c>
      <c r="AF36" s="3872">
        <f t="shared" si="6"/>
        <v>0</v>
      </c>
      <c r="AG36" s="3872">
        <f t="shared" si="7"/>
        <v>0</v>
      </c>
      <c r="AH36" s="3872">
        <f t="shared" si="8"/>
        <v>0</v>
      </c>
      <c r="AI36" s="3872">
        <f t="shared" si="9"/>
        <v>0</v>
      </c>
      <c r="AJ36" s="3872">
        <f t="shared" si="10"/>
        <v>0</v>
      </c>
      <c r="AK36" s="3872">
        <f t="shared" si="11"/>
        <v>0</v>
      </c>
      <c r="AL36" s="3872">
        <f t="shared" si="12"/>
        <v>0</v>
      </c>
      <c r="AM36" s="3872"/>
      <c r="AN36" s="3873"/>
      <c r="AO36" s="3874"/>
      <c r="AP36" s="3874"/>
      <c r="AQ36" s="3874"/>
      <c r="AR36" s="3874"/>
      <c r="AS36" s="3874"/>
      <c r="AT36" s="3874"/>
      <c r="AU36" s="3874"/>
      <c r="AV36" s="3874"/>
      <c r="AW36" s="3874"/>
      <c r="AX36" s="3874"/>
      <c r="AY36" s="3929" t="s">
        <v>5</v>
      </c>
    </row>
    <row r="37" spans="2:51" s="3853" customFormat="1" ht="15">
      <c r="B37" s="3271"/>
      <c r="C37" s="3283" t="s">
        <v>2603</v>
      </c>
      <c r="D37" s="3286" t="s">
        <v>2596</v>
      </c>
      <c r="E37" s="3286">
        <f ca="1">INDEX(INDIRECT("I.a.Outputs["&amp;E$5&amp;"]"), MATCH("V.02", INDIRECT("I.a.Outputs[Vector]"), 0))+INDEX(INDIRECT("I.b.Outputs["&amp;E$5&amp;"]"), MATCH("V.02", INDIRECT("I.b.Outputs[Vector]"), 0))+INDEX(INDIRECT("II.a.Outputs["&amp;E$5&amp;"]"), MATCH("V.02", INDIRECT("II.a.Outputs[Vector]"), 0))+INDEX(INDIRECT("XVII.a.Outputs["&amp;E$5&amp;"]"), MATCH("V.02", INDIRECT("XVII.a.Outputs[Vector]"), 0))</f>
        <v>19.779422940156032</v>
      </c>
      <c r="F37" s="3286">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19.486118429474494</v>
      </c>
      <c r="G37" s="3286">
        <f t="shared" ca="1" si="51"/>
        <v>21.186769297921213</v>
      </c>
      <c r="H37" s="3286">
        <f t="shared" ca="1" si="51"/>
        <v>26.424123249667929</v>
      </c>
      <c r="I37" s="3286">
        <f t="shared" ca="1" si="51"/>
        <v>31.463892322295571</v>
      </c>
      <c r="J37" s="3286">
        <f t="shared" ca="1" si="51"/>
        <v>35.988754369825116</v>
      </c>
      <c r="K37" s="3286">
        <f t="shared" ca="1" si="51"/>
        <v>38.510569558082594</v>
      </c>
      <c r="L37" s="3286">
        <f t="shared" ca="1" si="51"/>
        <v>41.122490213528586</v>
      </c>
      <c r="M37" s="3286">
        <f t="shared" ca="1" si="51"/>
        <v>43.832355672223571</v>
      </c>
      <c r="N37" s="3274"/>
      <c r="O37"/>
      <c r="Q37" s="3866"/>
      <c r="R37" s="3870" t="s">
        <v>363</v>
      </c>
      <c r="S37" s="3872">
        <f t="shared" si="49"/>
        <v>0</v>
      </c>
      <c r="T37" s="3872">
        <f t="shared" si="49"/>
        <v>0</v>
      </c>
      <c r="U37" s="3872">
        <f t="shared" si="49"/>
        <v>0</v>
      </c>
      <c r="V37" s="3872">
        <f t="shared" si="46"/>
        <v>0</v>
      </c>
      <c r="W37" s="3872">
        <f t="shared" si="46"/>
        <v>0</v>
      </c>
      <c r="X37" s="3872">
        <f t="shared" si="46"/>
        <v>0</v>
      </c>
      <c r="Y37" s="3872">
        <f t="shared" si="46"/>
        <v>0</v>
      </c>
      <c r="Z37" s="3872">
        <f t="shared" si="46"/>
        <v>0</v>
      </c>
      <c r="AA37" s="3872">
        <f t="shared" si="46"/>
        <v>0</v>
      </c>
      <c r="AB37" s="3872"/>
      <c r="AC37" s="3873"/>
      <c r="AD37" s="3872">
        <f t="shared" ca="1" si="4"/>
        <v>0.66</v>
      </c>
      <c r="AE37" s="3872">
        <f t="shared" ca="1" si="5"/>
        <v>0.66</v>
      </c>
      <c r="AF37" s="3872">
        <f t="shared" ca="1" si="6"/>
        <v>0.66</v>
      </c>
      <c r="AG37" s="3872">
        <f t="shared" ca="1" si="7"/>
        <v>0.66</v>
      </c>
      <c r="AH37" s="3872">
        <f t="shared" ca="1" si="8"/>
        <v>0.66</v>
      </c>
      <c r="AI37" s="3872">
        <f t="shared" ca="1" si="9"/>
        <v>0.66</v>
      </c>
      <c r="AJ37" s="3872">
        <f t="shared" ca="1" si="10"/>
        <v>0.66</v>
      </c>
      <c r="AK37" s="3872">
        <f t="shared" ca="1" si="11"/>
        <v>0.66</v>
      </c>
      <c r="AL37" s="3872">
        <f t="shared" ca="1" si="12"/>
        <v>0.66</v>
      </c>
      <c r="AM37" s="3872"/>
      <c r="AN37" s="3873"/>
      <c r="AO37" s="3874"/>
      <c r="AP37" s="3874"/>
      <c r="AQ37" s="3874"/>
      <c r="AR37" s="3874"/>
      <c r="AS37" s="3874"/>
      <c r="AT37" s="3874"/>
      <c r="AU37" s="3874"/>
      <c r="AV37" s="3874"/>
      <c r="AW37" s="3874"/>
      <c r="AX37" s="3874"/>
    </row>
    <row r="38" spans="2:51" s="3853" customFormat="1" ht="15">
      <c r="B38" s="3271"/>
      <c r="C38" s="3283" t="s">
        <v>2603</v>
      </c>
      <c r="D38" s="3286" t="s">
        <v>1741</v>
      </c>
      <c r="E38" s="3286">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27.8404035482348</v>
      </c>
      <c r="F38" s="3286">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26.337356174022656</v>
      </c>
      <c r="G38" s="3286">
        <f t="shared" ca="1" si="52"/>
        <v>25.076565029335242</v>
      </c>
      <c r="H38" s="3286">
        <f t="shared" ca="1" si="52"/>
        <v>29.552122042646069</v>
      </c>
      <c r="I38" s="3286">
        <f t="shared" ca="1" si="52"/>
        <v>31.683681816398003</v>
      </c>
      <c r="J38" s="3286">
        <f t="shared" ca="1" si="52"/>
        <v>30.734519308442732</v>
      </c>
      <c r="K38" s="3286">
        <f t="shared" ca="1" si="52"/>
        <v>32.889525014771841</v>
      </c>
      <c r="L38" s="3286">
        <f t="shared" ca="1" si="52"/>
        <v>35.121529938516602</v>
      </c>
      <c r="M38" s="3286">
        <f t="shared" ca="1" si="52"/>
        <v>37.437233148674146</v>
      </c>
      <c r="N38" s="3274"/>
      <c r="O38"/>
      <c r="Q38" s="3866"/>
      <c r="R38" s="3287" t="s">
        <v>828</v>
      </c>
      <c r="S38" s="3872">
        <f t="shared" ca="1" si="49"/>
        <v>47.473619810652579</v>
      </c>
      <c r="T38" s="3872">
        <f t="shared" ca="1" si="49"/>
        <v>49.453496458281798</v>
      </c>
      <c r="U38" s="3872">
        <f t="shared" ca="1" si="49"/>
        <v>57.74172392909157</v>
      </c>
      <c r="V38" s="3872">
        <f t="shared" ca="1" si="46"/>
        <v>69.295640467804589</v>
      </c>
      <c r="W38" s="3872">
        <f t="shared" ca="1" si="46"/>
        <v>85.907348315610292</v>
      </c>
      <c r="X38" s="3872">
        <f t="shared" ca="1" si="46"/>
        <v>106.91717023293266</v>
      </c>
      <c r="Y38" s="3872">
        <f t="shared" ca="1" si="46"/>
        <v>116.07842350144173</v>
      </c>
      <c r="Z38" s="3872">
        <f t="shared" ca="1" si="46"/>
        <v>125.61125120472862</v>
      </c>
      <c r="AA38" s="3872">
        <f t="shared" ca="1" si="46"/>
        <v>135.74178666175516</v>
      </c>
      <c r="AB38" s="3872"/>
      <c r="AC38" s="3873"/>
      <c r="AD38" s="3872">
        <f t="shared" ca="1" si="4"/>
        <v>47.473619810652579</v>
      </c>
      <c r="AE38" s="3872">
        <f t="shared" ca="1" si="5"/>
        <v>49.453496458281798</v>
      </c>
      <c r="AF38" s="3872">
        <f t="shared" ca="1" si="6"/>
        <v>57.74172392909157</v>
      </c>
      <c r="AG38" s="3872">
        <f t="shared" ca="1" si="7"/>
        <v>69.295640467804589</v>
      </c>
      <c r="AH38" s="3872">
        <f t="shared" ca="1" si="8"/>
        <v>85.907348315610292</v>
      </c>
      <c r="AI38" s="3872">
        <f t="shared" ca="1" si="9"/>
        <v>106.91717023293266</v>
      </c>
      <c r="AJ38" s="3872">
        <f t="shared" ca="1" si="10"/>
        <v>116.07842350144173</v>
      </c>
      <c r="AK38" s="3872">
        <f t="shared" ca="1" si="11"/>
        <v>125.61125120472862</v>
      </c>
      <c r="AL38" s="3872">
        <f t="shared" ca="1" si="12"/>
        <v>135.74178666175516</v>
      </c>
      <c r="AM38" s="3872"/>
      <c r="AN38" s="3873"/>
      <c r="AO38" s="3874">
        <f t="shared" ref="AO38:AW38" ca="1" si="53">S38-AD38</f>
        <v>0</v>
      </c>
      <c r="AP38" s="3874">
        <f t="shared" ca="1" si="53"/>
        <v>0</v>
      </c>
      <c r="AQ38" s="3874">
        <f t="shared" ca="1" si="53"/>
        <v>0</v>
      </c>
      <c r="AR38" s="3874">
        <f t="shared" ca="1" si="53"/>
        <v>0</v>
      </c>
      <c r="AS38" s="3874">
        <f t="shared" ca="1" si="53"/>
        <v>0</v>
      </c>
      <c r="AT38" s="3874">
        <f t="shared" ca="1" si="53"/>
        <v>0</v>
      </c>
      <c r="AU38" s="3874">
        <f t="shared" ca="1" si="53"/>
        <v>0</v>
      </c>
      <c r="AV38" s="3874">
        <f t="shared" ca="1" si="53"/>
        <v>0</v>
      </c>
      <c r="AW38" s="3874">
        <f t="shared" ca="1" si="53"/>
        <v>0</v>
      </c>
      <c r="AX38" s="3874"/>
    </row>
    <row r="39" spans="2:51" s="3853" customFormat="1" ht="15">
      <c r="B39" s="3271"/>
      <c r="C39" s="3283" t="s">
        <v>16</v>
      </c>
      <c r="D39" s="3286" t="s">
        <v>2593</v>
      </c>
      <c r="E39" s="3286">
        <f ca="1">-INDEX(INDIRECT("IX.a.CHP.Outputs["&amp;E$5&amp;"]"), MATCH("V.03", INDIRECT("IX.a.CHP.Outputs[Vector]"), 0))-INDEX(INDIRECT("IX.c.CHP.Outputs["&amp;E$5&amp;"]"), MATCH("V.03", INDIRECT("IX.c.CHP.Outputs[Vector]"), 0))</f>
        <v>0</v>
      </c>
      <c r="F39" s="3286">
        <f t="shared" ref="F39:M39" ca="1" si="54">-INDEX(INDIRECT("IX.a.CHP.Outputs["&amp;F$5&amp;"]"), MATCH("V.03", INDIRECT("IX.a.CHP.Outputs[Vector]"), 0))-INDEX(INDIRECT("IX.c.CHP.Outputs["&amp;F$5&amp;"]"), MATCH("V.03", INDIRECT("IX.c.CHP.Outputs[Vector]"), 0))</f>
        <v>0</v>
      </c>
      <c r="G39" s="3286">
        <f t="shared" ca="1" si="54"/>
        <v>0</v>
      </c>
      <c r="H39" s="3286">
        <f t="shared" ca="1" si="54"/>
        <v>0</v>
      </c>
      <c r="I39" s="3286">
        <f t="shared" ca="1" si="54"/>
        <v>0</v>
      </c>
      <c r="J39" s="3286">
        <f t="shared" ca="1" si="54"/>
        <v>0</v>
      </c>
      <c r="K39" s="3286">
        <f t="shared" ca="1" si="54"/>
        <v>0</v>
      </c>
      <c r="L39" s="3286">
        <f t="shared" ca="1" si="54"/>
        <v>0</v>
      </c>
      <c r="M39" s="3286">
        <f t="shared" ca="1" si="54"/>
        <v>0</v>
      </c>
      <c r="N39" s="3274"/>
      <c r="O39"/>
      <c r="Q39" s="3866"/>
      <c r="R39" s="3870" t="s">
        <v>725</v>
      </c>
      <c r="S39" s="3872">
        <f t="shared" ca="1" si="49"/>
        <v>0</v>
      </c>
      <c r="T39" s="3872">
        <f t="shared" ca="1" si="49"/>
        <v>0</v>
      </c>
      <c r="U39" s="3872">
        <f t="shared" ca="1" si="49"/>
        <v>0</v>
      </c>
      <c r="V39" s="3872">
        <f t="shared" ca="1" si="46"/>
        <v>0</v>
      </c>
      <c r="W39" s="3872">
        <f t="shared" ca="1" si="46"/>
        <v>0</v>
      </c>
      <c r="X39" s="3872">
        <f t="shared" ca="1" si="46"/>
        <v>0</v>
      </c>
      <c r="Y39" s="3872">
        <f t="shared" ca="1" si="46"/>
        <v>0</v>
      </c>
      <c r="Z39" s="3872">
        <f t="shared" ca="1" si="46"/>
        <v>0</v>
      </c>
      <c r="AA39" s="3872">
        <f t="shared" ca="1" si="46"/>
        <v>0</v>
      </c>
      <c r="AB39" s="3872"/>
      <c r="AC39" s="3873"/>
      <c r="AD39" s="3872">
        <f t="shared" si="4"/>
        <v>0</v>
      </c>
      <c r="AE39" s="3872">
        <f t="shared" si="5"/>
        <v>0</v>
      </c>
      <c r="AF39" s="3872">
        <f t="shared" si="6"/>
        <v>0</v>
      </c>
      <c r="AG39" s="3872">
        <f t="shared" si="7"/>
        <v>0</v>
      </c>
      <c r="AH39" s="3872">
        <f t="shared" si="8"/>
        <v>0</v>
      </c>
      <c r="AI39" s="3872">
        <f t="shared" si="9"/>
        <v>0</v>
      </c>
      <c r="AJ39" s="3872">
        <f t="shared" si="10"/>
        <v>0</v>
      </c>
      <c r="AK39" s="3872">
        <f t="shared" si="11"/>
        <v>0</v>
      </c>
      <c r="AL39" s="3872">
        <f t="shared" si="12"/>
        <v>0</v>
      </c>
      <c r="AM39" s="3872"/>
      <c r="AN39" s="3873"/>
      <c r="AO39" s="3874"/>
      <c r="AP39" s="3874"/>
      <c r="AQ39" s="3874"/>
      <c r="AR39" s="3874"/>
      <c r="AS39" s="3874"/>
      <c r="AT39" s="3874"/>
      <c r="AU39" s="3874"/>
      <c r="AV39" s="3874"/>
      <c r="AW39" s="3874"/>
      <c r="AX39" s="3874"/>
    </row>
    <row r="40" spans="2:51" s="3853" customFormat="1" ht="15">
      <c r="B40" s="3271"/>
      <c r="C40" s="3283" t="s">
        <v>1668</v>
      </c>
      <c r="D40" s="3286" t="s">
        <v>2593</v>
      </c>
      <c r="E40" s="3286">
        <f ca="1">-INDEX(INDIRECT("IX.a.CHP.Outputs["&amp;E$5&amp;"]"), MATCH("V.04", INDIRECT("IX.a.CHP.Outputs[Vector]"), 0))-INDEX(INDIRECT("IX.c.CHP.Outputs["&amp;E$5&amp;"]"), MATCH("V.04", INDIRECT("IX.c.CHP.Outputs[Vector]"), 0))</f>
        <v>0</v>
      </c>
      <c r="F40" s="3286">
        <f t="shared" ref="F40:M40" ca="1" si="55">-INDEX(INDIRECT("IX.a.CHP.Outputs["&amp;F$5&amp;"]"), MATCH("V.04", INDIRECT("IX.a.CHP.Outputs[Vector]"), 0))-INDEX(INDIRECT("IX.c.CHP.Outputs["&amp;F$5&amp;"]"), MATCH("V.04", INDIRECT("IX.c.CHP.Outputs[Vector]"), 0))</f>
        <v>0</v>
      </c>
      <c r="G40" s="3286">
        <f t="shared" ca="1" si="55"/>
        <v>0</v>
      </c>
      <c r="H40" s="3286">
        <f t="shared" ca="1" si="55"/>
        <v>0</v>
      </c>
      <c r="I40" s="3286">
        <f t="shared" ca="1" si="55"/>
        <v>0</v>
      </c>
      <c r="J40" s="3286">
        <f t="shared" ca="1" si="55"/>
        <v>0</v>
      </c>
      <c r="K40" s="3286">
        <f t="shared" ca="1" si="55"/>
        <v>0</v>
      </c>
      <c r="L40" s="3286">
        <f t="shared" ca="1" si="55"/>
        <v>0</v>
      </c>
      <c r="M40" s="3286">
        <f t="shared" ca="1" si="55"/>
        <v>0</v>
      </c>
      <c r="N40" s="3274"/>
      <c r="O40"/>
      <c r="Q40" s="3866"/>
      <c r="R40" s="3870" t="s">
        <v>144</v>
      </c>
      <c r="S40" s="3872">
        <f t="shared" ca="1" si="49"/>
        <v>76.526836320775942</v>
      </c>
      <c r="T40" s="3872">
        <f t="shared" ca="1" si="49"/>
        <v>74.08927995898263</v>
      </c>
      <c r="U40" s="3872">
        <f t="shared" ca="1" si="49"/>
        <v>75.114909897863313</v>
      </c>
      <c r="V40" s="3872">
        <f t="shared" ca="1" si="46"/>
        <v>75.036510281436605</v>
      </c>
      <c r="W40" s="3872">
        <f t="shared" ca="1" si="46"/>
        <v>75.220892589846784</v>
      </c>
      <c r="X40" s="3872">
        <f t="shared" ca="1" si="46"/>
        <v>75.174956561456597</v>
      </c>
      <c r="Y40" s="3872">
        <f t="shared" ca="1" si="46"/>
        <v>75.040093616616304</v>
      </c>
      <c r="Z40" s="3872">
        <f t="shared" ca="1" si="46"/>
        <v>75.04125554596699</v>
      </c>
      <c r="AA40" s="3872">
        <f t="shared" ca="1" si="46"/>
        <v>74.505208807877793</v>
      </c>
      <c r="AB40" s="3872"/>
      <c r="AC40" s="3873"/>
      <c r="AD40" s="3872">
        <f t="shared" ca="1" si="4"/>
        <v>76.526836320775942</v>
      </c>
      <c r="AE40" s="3872">
        <f t="shared" ca="1" si="5"/>
        <v>74.08927995898263</v>
      </c>
      <c r="AF40" s="3872">
        <f t="shared" ca="1" si="6"/>
        <v>75.114909897863313</v>
      </c>
      <c r="AG40" s="3872">
        <f t="shared" ca="1" si="7"/>
        <v>75.036510281436605</v>
      </c>
      <c r="AH40" s="3872">
        <f t="shared" ca="1" si="8"/>
        <v>75.220892589846784</v>
      </c>
      <c r="AI40" s="3872">
        <f t="shared" ca="1" si="9"/>
        <v>75.174956561456597</v>
      </c>
      <c r="AJ40" s="3872">
        <f t="shared" ca="1" si="10"/>
        <v>75.040093616616304</v>
      </c>
      <c r="AK40" s="3872">
        <f t="shared" ca="1" si="11"/>
        <v>75.04125554596699</v>
      </c>
      <c r="AL40" s="3872">
        <f t="shared" ca="1" si="12"/>
        <v>74.505208807877793</v>
      </c>
      <c r="AM40" s="3872"/>
      <c r="AN40" s="3873"/>
      <c r="AO40" s="3874">
        <f t="shared" ref="AO40:AW40" ca="1" si="56">S40-AD40</f>
        <v>0</v>
      </c>
      <c r="AP40" s="3874">
        <f t="shared" ca="1" si="56"/>
        <v>0</v>
      </c>
      <c r="AQ40" s="3874">
        <f t="shared" ca="1" si="56"/>
        <v>0</v>
      </c>
      <c r="AR40" s="3874">
        <f t="shared" ca="1" si="56"/>
        <v>0</v>
      </c>
      <c r="AS40" s="3874">
        <f t="shared" ca="1" si="56"/>
        <v>0</v>
      </c>
      <c r="AT40" s="3874">
        <f t="shared" ca="1" si="56"/>
        <v>0</v>
      </c>
      <c r="AU40" s="3874">
        <f t="shared" ca="1" si="56"/>
        <v>0</v>
      </c>
      <c r="AV40" s="3874">
        <f t="shared" ca="1" si="56"/>
        <v>0</v>
      </c>
      <c r="AW40" s="3874">
        <f t="shared" ca="1" si="56"/>
        <v>0</v>
      </c>
      <c r="AX40" s="3874"/>
    </row>
    <row r="41" spans="2:51" s="3853" customFormat="1" ht="15">
      <c r="B41" s="3271"/>
      <c r="C41" s="3283" t="s">
        <v>15</v>
      </c>
      <c r="D41" s="3286" t="s">
        <v>2593</v>
      </c>
      <c r="E41" s="3286">
        <f ca="1">-INDEX(INDIRECT("IX.a.CHP.Outputs["&amp;E$5&amp;"]"), MATCH("V.05", INDIRECT("IX.a.CHP.Outputs[Vector]"), 0))-INDEX(INDIRECT("IX.c.CHP.Outputs["&amp;E$5&amp;"]"), MATCH("V.05", INDIRECT("IX.c.CHP.Outputs[Vector]"), 0))</f>
        <v>0</v>
      </c>
      <c r="F41" s="3286">
        <f t="shared" ref="F41:M41" ca="1" si="57">-INDEX(INDIRECT("IX.a.CHP.Outputs["&amp;F$5&amp;"]"), MATCH("V.05", INDIRECT("IX.a.CHP.Outputs[Vector]"), 0))-INDEX(INDIRECT("IX.c.CHP.Outputs["&amp;F$5&amp;"]"), MATCH("V.05", INDIRECT("IX.c.CHP.Outputs[Vector]"), 0))</f>
        <v>0</v>
      </c>
      <c r="G41" s="3286">
        <f t="shared" ca="1" si="57"/>
        <v>0</v>
      </c>
      <c r="H41" s="3286">
        <f t="shared" ca="1" si="57"/>
        <v>0</v>
      </c>
      <c r="I41" s="3286">
        <f t="shared" ca="1" si="57"/>
        <v>0</v>
      </c>
      <c r="J41" s="3286">
        <f t="shared" ca="1" si="57"/>
        <v>0</v>
      </c>
      <c r="K41" s="3286">
        <f t="shared" ca="1" si="57"/>
        <v>0</v>
      </c>
      <c r="L41" s="3286">
        <f t="shared" ca="1" si="57"/>
        <v>0</v>
      </c>
      <c r="M41" s="3286">
        <f t="shared" ca="1" si="57"/>
        <v>0</v>
      </c>
      <c r="N41" s="3274"/>
      <c r="O41"/>
      <c r="Q41" s="3866"/>
      <c r="R41" s="3870" t="s">
        <v>2588</v>
      </c>
      <c r="S41" s="3872">
        <f t="shared" ca="1" si="49"/>
        <v>76.526836320775942</v>
      </c>
      <c r="T41" s="3872">
        <f t="shared" ca="1" si="49"/>
        <v>74.08927995898263</v>
      </c>
      <c r="U41" s="3872">
        <f t="shared" ca="1" si="49"/>
        <v>75.114909897863313</v>
      </c>
      <c r="V41" s="3872">
        <f t="shared" ca="1" si="46"/>
        <v>75.036510281436605</v>
      </c>
      <c r="W41" s="3872">
        <f t="shared" ca="1" si="46"/>
        <v>75.220892589846784</v>
      </c>
      <c r="X41" s="3872">
        <f t="shared" ca="1" si="46"/>
        <v>75.174956561456597</v>
      </c>
      <c r="Y41" s="3872">
        <f t="shared" ca="1" si="46"/>
        <v>75.040093616616304</v>
      </c>
      <c r="Z41" s="3872">
        <f t="shared" ca="1" si="46"/>
        <v>75.04125554596699</v>
      </c>
      <c r="AA41" s="3872">
        <f t="shared" ca="1" si="46"/>
        <v>74.505208807877793</v>
      </c>
      <c r="AB41" s="3872"/>
      <c r="AC41" s="3873"/>
      <c r="AD41" s="3872">
        <f t="shared" si="4"/>
        <v>0</v>
      </c>
      <c r="AE41" s="3872">
        <f t="shared" si="5"/>
        <v>0</v>
      </c>
      <c r="AF41" s="3872">
        <f t="shared" si="6"/>
        <v>0</v>
      </c>
      <c r="AG41" s="3872">
        <f t="shared" si="7"/>
        <v>0</v>
      </c>
      <c r="AH41" s="3872">
        <f t="shared" si="8"/>
        <v>0</v>
      </c>
      <c r="AI41" s="3872">
        <f t="shared" si="9"/>
        <v>0</v>
      </c>
      <c r="AJ41" s="3872">
        <f t="shared" si="10"/>
        <v>0</v>
      </c>
      <c r="AK41" s="3872">
        <f t="shared" si="11"/>
        <v>0</v>
      </c>
      <c r="AL41" s="3872">
        <f t="shared" si="12"/>
        <v>0</v>
      </c>
      <c r="AM41" s="3872"/>
      <c r="AN41" s="3873"/>
      <c r="AO41" s="3874"/>
      <c r="AP41" s="3874"/>
      <c r="AQ41" s="3874"/>
      <c r="AR41" s="3874"/>
      <c r="AS41" s="3874"/>
      <c r="AT41" s="3874"/>
      <c r="AU41" s="3874"/>
      <c r="AV41" s="3874"/>
      <c r="AW41" s="3874"/>
      <c r="AX41" s="3874"/>
    </row>
    <row r="42" spans="2:51" s="3853" customFormat="1" ht="15">
      <c r="B42" s="3271"/>
      <c r="C42" s="3283" t="s">
        <v>2593</v>
      </c>
      <c r="D42" s="3286" t="s">
        <v>2596</v>
      </c>
      <c r="E42" s="3286">
        <f ca="1">INDEX(INDIRECT("IX.a.CHP.Outputs["&amp;E$5&amp;"]"), MATCH("V.02", INDIRECT("IX.a.CHP.Outputs[Vector]"), 0))+INDEX(INDIRECT("IX.c.CHP.Outputs["&amp;E$5&amp;"]"), MATCH("V.02", INDIRECT("IX.c.CHP.Outputs[Vector]"), 0))</f>
        <v>0</v>
      </c>
      <c r="F42" s="3286">
        <f t="shared" ref="F42:M42" ca="1" si="58">INDEX(INDIRECT("IX.a.CHP.Outputs["&amp;F$5&amp;"]"), MATCH("V.02", INDIRECT("IX.a.CHP.Outputs[Vector]"), 0))+INDEX(INDIRECT("IX.c.CHP.Outputs["&amp;F$5&amp;"]"), MATCH("V.02", INDIRECT("IX.c.CHP.Outputs[Vector]"), 0))</f>
        <v>0</v>
      </c>
      <c r="G42" s="3286">
        <f t="shared" ca="1" si="58"/>
        <v>0</v>
      </c>
      <c r="H42" s="3286">
        <f t="shared" ca="1" si="58"/>
        <v>0</v>
      </c>
      <c r="I42" s="3286">
        <f t="shared" ca="1" si="58"/>
        <v>0</v>
      </c>
      <c r="J42" s="3286">
        <f t="shared" ca="1" si="58"/>
        <v>0</v>
      </c>
      <c r="K42" s="3286">
        <f t="shared" ca="1" si="58"/>
        <v>0</v>
      </c>
      <c r="L42" s="3286">
        <f t="shared" ca="1" si="58"/>
        <v>0</v>
      </c>
      <c r="M42" s="3286">
        <f t="shared" ca="1" si="58"/>
        <v>0</v>
      </c>
      <c r="N42" s="3274"/>
      <c r="O42"/>
      <c r="Q42" s="3866"/>
      <c r="R42" s="3870" t="s">
        <v>379</v>
      </c>
      <c r="S42" s="3872">
        <f t="shared" ca="1" si="49"/>
        <v>0</v>
      </c>
      <c r="T42" s="3872">
        <f t="shared" ca="1" si="49"/>
        <v>0</v>
      </c>
      <c r="U42" s="3872">
        <f t="shared" ca="1" si="49"/>
        <v>0</v>
      </c>
      <c r="V42" s="3872">
        <f t="shared" ca="1" si="46"/>
        <v>0</v>
      </c>
      <c r="W42" s="3872">
        <f t="shared" ca="1" si="46"/>
        <v>0</v>
      </c>
      <c r="X42" s="3872">
        <f t="shared" ca="1" si="46"/>
        <v>0</v>
      </c>
      <c r="Y42" s="3872">
        <f t="shared" ca="1" si="46"/>
        <v>0</v>
      </c>
      <c r="Z42" s="3872">
        <f t="shared" ca="1" si="46"/>
        <v>0</v>
      </c>
      <c r="AA42" s="3872">
        <f t="shared" ca="1" si="46"/>
        <v>0</v>
      </c>
      <c r="AB42" s="3872"/>
      <c r="AC42" s="3873"/>
      <c r="AD42" s="3872">
        <f t="shared" si="4"/>
        <v>0</v>
      </c>
      <c r="AE42" s="3872">
        <f t="shared" si="5"/>
        <v>0</v>
      </c>
      <c r="AF42" s="3872">
        <f t="shared" si="6"/>
        <v>0</v>
      </c>
      <c r="AG42" s="3872">
        <f t="shared" si="7"/>
        <v>0</v>
      </c>
      <c r="AH42" s="3872">
        <f t="shared" si="8"/>
        <v>0</v>
      </c>
      <c r="AI42" s="3872">
        <f t="shared" si="9"/>
        <v>0</v>
      </c>
      <c r="AJ42" s="3872">
        <f t="shared" si="10"/>
        <v>0</v>
      </c>
      <c r="AK42" s="3872">
        <f t="shared" si="11"/>
        <v>0</v>
      </c>
      <c r="AL42" s="3872">
        <f t="shared" si="12"/>
        <v>0</v>
      </c>
      <c r="AM42" s="3872"/>
      <c r="AN42" s="3873"/>
      <c r="AO42" s="3874"/>
      <c r="AP42" s="3874"/>
      <c r="AQ42" s="3874"/>
      <c r="AR42" s="3874"/>
      <c r="AS42" s="3874"/>
      <c r="AT42" s="3874"/>
      <c r="AU42" s="3874"/>
      <c r="AV42" s="3874"/>
      <c r="AW42" s="3874"/>
      <c r="AX42" s="3874"/>
    </row>
    <row r="43" spans="2:51" s="3853" customFormat="1" ht="15">
      <c r="B43" s="3271"/>
      <c r="C43" s="3283" t="s">
        <v>2593</v>
      </c>
      <c r="D43" s="3286" t="s">
        <v>1741</v>
      </c>
      <c r="E43" s="3286">
        <f ca="1">INDEX(INDIRECT("IX.a.CHP.Outputs["&amp;E$5&amp;"]"), MATCH("X.01", INDIRECT("IX.a.CHP.Outputs[Vector]"), 0))+INDEX(INDIRECT("IX.c.CHP.Outputs["&amp;E$5&amp;"]"), MATCH("X.01", INDIRECT("IX.c.CHP.Outputs[Vector]"), 0))</f>
        <v>0</v>
      </c>
      <c r="F43" s="3286">
        <f t="shared" ref="F43:M43" ca="1" si="59">INDEX(INDIRECT("IX.a.CHP.Outputs["&amp;F$5&amp;"]"), MATCH("X.01", INDIRECT("IX.a.CHP.Outputs[Vector]"), 0))+INDEX(INDIRECT("IX.c.CHP.Outputs["&amp;F$5&amp;"]"), MATCH("X.01", INDIRECT("IX.c.CHP.Outputs[Vector]"), 0))</f>
        <v>0</v>
      </c>
      <c r="G43" s="3286">
        <f t="shared" ca="1" si="59"/>
        <v>0</v>
      </c>
      <c r="H43" s="3286">
        <f t="shared" ca="1" si="59"/>
        <v>0</v>
      </c>
      <c r="I43" s="3286">
        <f t="shared" ca="1" si="59"/>
        <v>0</v>
      </c>
      <c r="J43" s="3286">
        <f t="shared" ca="1" si="59"/>
        <v>0</v>
      </c>
      <c r="K43" s="3286">
        <f t="shared" ca="1" si="59"/>
        <v>0</v>
      </c>
      <c r="L43" s="3286">
        <f t="shared" ca="1" si="59"/>
        <v>0</v>
      </c>
      <c r="M43" s="3286">
        <f t="shared" ca="1" si="59"/>
        <v>0</v>
      </c>
      <c r="N43" s="3274"/>
      <c r="O43"/>
      <c r="Q43" s="3866"/>
      <c r="R43" s="3870" t="s">
        <v>2595</v>
      </c>
      <c r="S43" s="3872">
        <f t="shared" ca="1" si="49"/>
        <v>0.31246386038422586</v>
      </c>
      <c r="T43" s="3872">
        <f t="shared" ca="1" si="49"/>
        <v>0.33673381658010743</v>
      </c>
      <c r="U43" s="3872">
        <f t="shared" ca="1" si="49"/>
        <v>0.84732273607604403</v>
      </c>
      <c r="V43" s="3872">
        <f t="shared" ca="1" si="46"/>
        <v>0.85029838372274713</v>
      </c>
      <c r="W43" s="3872">
        <f t="shared" ca="1" si="46"/>
        <v>0.85130610472042068</v>
      </c>
      <c r="X43" s="3872">
        <f t="shared" ca="1" si="46"/>
        <v>0.86659031419931842</v>
      </c>
      <c r="Y43" s="3872">
        <f t="shared" ca="1" si="46"/>
        <v>0.88542404606635949</v>
      </c>
      <c r="Z43" s="3872">
        <f t="shared" ca="1" si="46"/>
        <v>0.90737135347114628</v>
      </c>
      <c r="AA43" s="3872">
        <f t="shared" ca="1" si="46"/>
        <v>0.93363700238867708</v>
      </c>
      <c r="AB43" s="3872"/>
      <c r="AC43" s="3873"/>
      <c r="AD43" s="3872">
        <f t="shared" si="4"/>
        <v>0</v>
      </c>
      <c r="AE43" s="3872">
        <f t="shared" si="5"/>
        <v>0</v>
      </c>
      <c r="AF43" s="3872">
        <f t="shared" si="6"/>
        <v>0</v>
      </c>
      <c r="AG43" s="3872">
        <f t="shared" si="7"/>
        <v>0</v>
      </c>
      <c r="AH43" s="3872">
        <f t="shared" si="8"/>
        <v>0</v>
      </c>
      <c r="AI43" s="3872">
        <f t="shared" si="9"/>
        <v>0</v>
      </c>
      <c r="AJ43" s="3872">
        <f t="shared" si="10"/>
        <v>0</v>
      </c>
      <c r="AK43" s="3872">
        <f t="shared" si="11"/>
        <v>0</v>
      </c>
      <c r="AL43" s="3872">
        <f t="shared" si="12"/>
        <v>0</v>
      </c>
      <c r="AM43" s="3872"/>
      <c r="AN43" s="3873"/>
      <c r="AO43" s="3874"/>
      <c r="AP43" s="3874"/>
      <c r="AQ43" s="3874"/>
      <c r="AR43" s="3874"/>
      <c r="AS43" s="3874"/>
      <c r="AT43" s="3874"/>
      <c r="AU43" s="3874"/>
      <c r="AV43" s="3874"/>
      <c r="AW43" s="3874"/>
      <c r="AX43" s="3874"/>
    </row>
    <row r="44" spans="2:51" s="3853" customFormat="1" ht="15">
      <c r="B44" s="3271"/>
      <c r="C44" s="3283" t="s">
        <v>555</v>
      </c>
      <c r="D44" s="3286" t="s">
        <v>2596</v>
      </c>
      <c r="E44" s="3286">
        <f ca="1">-INDEX(INDIRECT("VII.a.Outputs["&amp;E$5&amp;"]"), MATCH("Y.02", INDIRECT("VII.a.Outputs[Vector]"), 0))</f>
        <v>2.5</v>
      </c>
      <c r="F44" s="3286">
        <f t="shared" ref="F44:M44" ca="1" si="60">-INDEX(INDIRECT("VII.a.Outputs["&amp;F$5&amp;"]"), MATCH("Y.02", INDIRECT("VII.a.Outputs[Vector]"), 0))</f>
        <v>2.5</v>
      </c>
      <c r="G44" s="3286">
        <f t="shared" ca="1" si="60"/>
        <v>2.5</v>
      </c>
      <c r="H44" s="3286">
        <f t="shared" ca="1" si="60"/>
        <v>1.5</v>
      </c>
      <c r="I44" s="3286">
        <f t="shared" ca="1" si="60"/>
        <v>1</v>
      </c>
      <c r="J44" s="3286">
        <f t="shared" ca="1" si="60"/>
        <v>0</v>
      </c>
      <c r="K44" s="3286">
        <f t="shared" ca="1" si="60"/>
        <v>0</v>
      </c>
      <c r="L44" s="3286">
        <f t="shared" ca="1" si="60"/>
        <v>0</v>
      </c>
      <c r="M44" s="3286">
        <f t="shared" ca="1" si="60"/>
        <v>0</v>
      </c>
      <c r="N44" s="3274"/>
      <c r="O44"/>
      <c r="Q44" s="3866"/>
      <c r="R44" s="3870" t="s">
        <v>2601</v>
      </c>
      <c r="S44" s="3872">
        <f t="shared" si="49"/>
        <v>0</v>
      </c>
      <c r="T44" s="3872">
        <f t="shared" si="49"/>
        <v>0</v>
      </c>
      <c r="U44" s="3872">
        <f t="shared" si="49"/>
        <v>0</v>
      </c>
      <c r="V44" s="3872">
        <f t="shared" si="46"/>
        <v>0</v>
      </c>
      <c r="W44" s="3872">
        <f t="shared" si="46"/>
        <v>0</v>
      </c>
      <c r="X44" s="3872">
        <f t="shared" si="46"/>
        <v>0</v>
      </c>
      <c r="Y44" s="3872">
        <f t="shared" si="46"/>
        <v>0</v>
      </c>
      <c r="Z44" s="3872">
        <f t="shared" si="46"/>
        <v>0</v>
      </c>
      <c r="AA44" s="3872">
        <f t="shared" si="46"/>
        <v>0</v>
      </c>
      <c r="AB44" s="3872"/>
      <c r="AC44" s="3873"/>
      <c r="AD44" s="3872">
        <f t="shared" ca="1" si="4"/>
        <v>0</v>
      </c>
      <c r="AE44" s="3872">
        <f t="shared" ca="1" si="5"/>
        <v>3.5527136788005009E-15</v>
      </c>
      <c r="AF44" s="3872">
        <f t="shared" ca="1" si="6"/>
        <v>0</v>
      </c>
      <c r="AG44" s="3872">
        <f t="shared" ca="1" si="7"/>
        <v>3.5527136788005009E-15</v>
      </c>
      <c r="AH44" s="3872">
        <f t="shared" ca="1" si="8"/>
        <v>0</v>
      </c>
      <c r="AI44" s="3872">
        <f t="shared" ca="1" si="9"/>
        <v>0</v>
      </c>
      <c r="AJ44" s="3872">
        <f t="shared" ca="1" si="10"/>
        <v>0</v>
      </c>
      <c r="AK44" s="3872">
        <f t="shared" ca="1" si="11"/>
        <v>0</v>
      </c>
      <c r="AL44" s="3872">
        <f t="shared" ca="1" si="12"/>
        <v>0</v>
      </c>
      <c r="AM44" s="3872"/>
      <c r="AN44" s="3873"/>
      <c r="AO44" s="3874"/>
      <c r="AP44" s="3874"/>
      <c r="AQ44" s="3874"/>
      <c r="AR44" s="3874"/>
      <c r="AS44" s="3874"/>
      <c r="AT44" s="3874"/>
      <c r="AU44" s="3874"/>
      <c r="AV44" s="3874"/>
      <c r="AW44" s="3874"/>
      <c r="AX44" s="3874"/>
    </row>
    <row r="45" spans="2:51" s="3853" customFormat="1" ht="15">
      <c r="B45" s="3271"/>
      <c r="C45" s="3283" t="s">
        <v>388</v>
      </c>
      <c r="D45" s="3286" t="s">
        <v>2596</v>
      </c>
      <c r="E45" s="3286">
        <f ca="1">INDEX(INDIRECT("III.a.1.Outputs["&amp;E$5&amp;"]"), MATCH("V.02", INDIRECT("III.a.1.Outputs[Vector]"), 0))+INDEX(INDIRECT("III.a.2.Outputs["&amp;E$5&amp;"]"), MATCH("V.02", INDIRECT("III.a.2.Outputs[Vector]"), 0))+INDEX(INDIRECT("IV.c.Outputs["&amp;E$5&amp;"]"), MATCH("V.02", INDIRECT("IV.c.Outputs[Vector]"), 0))</f>
        <v>4.5013410000000009</v>
      </c>
      <c r="F45" s="3286">
        <f t="shared" ref="F45:M45" ca="1" si="61">INDEX(INDIRECT("III.a.1.Outputs["&amp;F$5&amp;"]"), MATCH("V.02", INDIRECT("III.a.1.Outputs[Vector]"), 0))+INDEX(INDIRECT("III.a.2.Outputs["&amp;F$5&amp;"]"), MATCH("V.02", INDIRECT("III.a.2.Outputs[Vector]"), 0))+INDEX(INDIRECT("IV.c.Outputs["&amp;F$5&amp;"]"), MATCH("V.02", INDIRECT("IV.c.Outputs[Vector]"), 0))</f>
        <v>5.6172527999999993</v>
      </c>
      <c r="G45" s="3286">
        <f t="shared" ca="1" si="61"/>
        <v>5.6216357999999991</v>
      </c>
      <c r="H45" s="3286">
        <f t="shared" ca="1" si="61"/>
        <v>3.3359012999999997</v>
      </c>
      <c r="I45" s="3286">
        <f t="shared" ca="1" si="61"/>
        <v>1.1378267999999998</v>
      </c>
      <c r="J45" s="3286">
        <f t="shared" ca="1" si="61"/>
        <v>3.8789549999999742E-2</v>
      </c>
      <c r="K45" s="3286">
        <f t="shared" ca="1" si="61"/>
        <v>3.8789549999999742E-2</v>
      </c>
      <c r="L45" s="3286">
        <f t="shared" ca="1" si="61"/>
        <v>3.8789549999999742E-2</v>
      </c>
      <c r="M45" s="3286">
        <f t="shared" ca="1" si="61"/>
        <v>3.8789549999999742E-2</v>
      </c>
      <c r="N45" s="3274"/>
      <c r="O45"/>
      <c r="Q45" s="3866"/>
      <c r="R45" s="3870" t="s">
        <v>2605</v>
      </c>
      <c r="S45" s="3872">
        <f t="shared" ca="1" si="49"/>
        <v>0.11119904983501781</v>
      </c>
      <c r="T45" s="3872">
        <f t="shared" ca="1" si="49"/>
        <v>0.1434054871385817</v>
      </c>
      <c r="U45" s="3872">
        <f t="shared" ca="1" si="49"/>
        <v>0.23314146875358133</v>
      </c>
      <c r="V45" s="3872">
        <f t="shared" ca="1" si="46"/>
        <v>0.3313595195314073</v>
      </c>
      <c r="W45" s="3872">
        <f t="shared" ca="1" si="46"/>
        <v>0.43792102798625754</v>
      </c>
      <c r="X45" s="3872">
        <f t="shared" ca="1" si="46"/>
        <v>0.55304324430206342</v>
      </c>
      <c r="Y45" s="3872">
        <f t="shared" ca="1" si="46"/>
        <v>0.67669216126185838</v>
      </c>
      <c r="Z45" s="3872">
        <f t="shared" ca="1" si="46"/>
        <v>0.80883168050723919</v>
      </c>
      <c r="AA45" s="3872">
        <f t="shared" ca="1" si="46"/>
        <v>0.9494999999999999</v>
      </c>
      <c r="AB45" s="3872"/>
      <c r="AC45" s="3873"/>
      <c r="AD45" s="3872">
        <f t="shared" si="4"/>
        <v>0</v>
      </c>
      <c r="AE45" s="3872">
        <f t="shared" si="5"/>
        <v>0</v>
      </c>
      <c r="AF45" s="3872">
        <f t="shared" si="6"/>
        <v>0</v>
      </c>
      <c r="AG45" s="3872">
        <f t="shared" si="7"/>
        <v>0</v>
      </c>
      <c r="AH45" s="3872">
        <f t="shared" si="8"/>
        <v>0</v>
      </c>
      <c r="AI45" s="3872">
        <f t="shared" si="9"/>
        <v>0</v>
      </c>
      <c r="AJ45" s="3872">
        <f t="shared" si="10"/>
        <v>0</v>
      </c>
      <c r="AK45" s="3872">
        <f t="shared" si="11"/>
        <v>0</v>
      </c>
      <c r="AL45" s="3872">
        <f t="shared" si="12"/>
        <v>0</v>
      </c>
      <c r="AM45" s="3872"/>
      <c r="AN45" s="3873"/>
      <c r="AO45" s="3874"/>
      <c r="AP45" s="3874"/>
      <c r="AQ45" s="3874"/>
      <c r="AR45" s="3874"/>
      <c r="AS45" s="3874"/>
      <c r="AT45" s="3874"/>
      <c r="AU45" s="3874"/>
      <c r="AV45" s="3874"/>
      <c r="AW45" s="3874"/>
      <c r="AX45" s="3874"/>
    </row>
    <row r="46" spans="2:51" s="3853" customFormat="1" ht="15">
      <c r="B46" s="3271"/>
      <c r="C46" s="3283" t="s">
        <v>389</v>
      </c>
      <c r="D46" s="3286" t="s">
        <v>2596</v>
      </c>
      <c r="E46" s="3286">
        <f ca="1">INDEX(INDIRECT("III.c.TidalRange.Outputs["&amp;E$5&amp;"]"), MATCH("V.02", INDIRECT("III.c.TidalRange.Outputs[Vector]"), 0))+INDEX(INDIRECT("III.c.TidalStream.Outputs["&amp;E$5&amp;"]"), MATCH("V.02", INDIRECT("III.c.TidalStream.Outputs[Vector]"), 0))</f>
        <v>0</v>
      </c>
      <c r="F46" s="3286">
        <f t="shared" ref="F46:M46" ca="1" si="62">INDEX(INDIRECT("III.c.TidalRange.Outputs["&amp;F$5&amp;"]"), MATCH("V.02", INDIRECT("III.c.TidalRange.Outputs[Vector]"), 0))+INDEX(INDIRECT("III.c.TidalStream.Outputs["&amp;F$5&amp;"]"), MATCH("V.02", INDIRECT("III.c.TidalStream.Outputs[Vector]"), 0))</f>
        <v>0</v>
      </c>
      <c r="G46" s="3286">
        <f t="shared" ca="1" si="62"/>
        <v>0</v>
      </c>
      <c r="H46" s="3286">
        <f t="shared" ca="1" si="62"/>
        <v>0</v>
      </c>
      <c r="I46" s="3286">
        <f t="shared" ca="1" si="62"/>
        <v>0</v>
      </c>
      <c r="J46" s="3286">
        <f t="shared" ca="1" si="62"/>
        <v>0</v>
      </c>
      <c r="K46" s="3286">
        <f t="shared" ca="1" si="62"/>
        <v>0</v>
      </c>
      <c r="L46" s="3286">
        <f t="shared" ca="1" si="62"/>
        <v>0</v>
      </c>
      <c r="M46" s="3286">
        <f t="shared" ca="1" si="62"/>
        <v>0</v>
      </c>
      <c r="N46" s="3274"/>
      <c r="O46"/>
      <c r="Q46" s="3866"/>
      <c r="R46" s="3870" t="s">
        <v>361</v>
      </c>
      <c r="S46" s="3872">
        <f t="shared" si="49"/>
        <v>0</v>
      </c>
      <c r="T46" s="3872">
        <f t="shared" si="49"/>
        <v>0</v>
      </c>
      <c r="U46" s="3872">
        <f t="shared" si="49"/>
        <v>0</v>
      </c>
      <c r="V46" s="3872">
        <f t="shared" si="46"/>
        <v>0</v>
      </c>
      <c r="W46" s="3872">
        <f t="shared" si="46"/>
        <v>0</v>
      </c>
      <c r="X46" s="3872">
        <f t="shared" si="46"/>
        <v>0</v>
      </c>
      <c r="Y46" s="3872">
        <f t="shared" si="46"/>
        <v>0</v>
      </c>
      <c r="Z46" s="3872">
        <f t="shared" si="46"/>
        <v>0</v>
      </c>
      <c r="AA46" s="3872">
        <f t="shared" si="46"/>
        <v>0</v>
      </c>
      <c r="AB46" s="3872"/>
      <c r="AC46" s="3873"/>
      <c r="AD46" s="3872">
        <f t="shared" ca="1" si="4"/>
        <v>0.49153024479009</v>
      </c>
      <c r="AE46" s="3872">
        <f t="shared" ca="1" si="5"/>
        <v>0.60466126198529713</v>
      </c>
      <c r="AF46" s="3872">
        <f t="shared" ca="1" si="6"/>
        <v>0.59792767940406577</v>
      </c>
      <c r="AG46" s="3872">
        <f t="shared" ca="1" si="7"/>
        <v>0.57994494620088843</v>
      </c>
      <c r="AH46" s="3872">
        <f t="shared" ca="1" si="8"/>
        <v>0.56031657970381665</v>
      </c>
      <c r="AI46" s="3872">
        <f t="shared" ca="1" si="9"/>
        <v>0.53893545054834324</v>
      </c>
      <c r="AJ46" s="3872">
        <f t="shared" ca="1" si="10"/>
        <v>0.5146138572299841</v>
      </c>
      <c r="AK46" s="3872">
        <f t="shared" ca="1" si="11"/>
        <v>0.48874347912078209</v>
      </c>
      <c r="AL46" s="3872">
        <f t="shared" ca="1" si="12"/>
        <v>0.42446014374891816</v>
      </c>
      <c r="AM46" s="3872"/>
      <c r="AN46" s="3873"/>
      <c r="AO46" s="3874"/>
      <c r="AP46" s="3874"/>
      <c r="AQ46" s="3874"/>
      <c r="AR46" s="3874"/>
      <c r="AS46" s="3874"/>
      <c r="AT46" s="3874"/>
      <c r="AU46" s="3874"/>
      <c r="AV46" s="3874"/>
      <c r="AW46" s="3874"/>
      <c r="AX46" s="3874"/>
    </row>
    <row r="47" spans="2:51" s="3853" customFormat="1" ht="15">
      <c r="B47" s="3271"/>
      <c r="C47" s="3283" t="s">
        <v>390</v>
      </c>
      <c r="D47" s="3286" t="s">
        <v>2596</v>
      </c>
      <c r="E47" s="3286">
        <f ca="1">INDEX(INDIRECT("III.c.Wave.Outputs["&amp;E$5&amp;"]"), MATCH("V.02", INDIRECT("III.c.Wave.Outputs[Vector]"), 0))</f>
        <v>0</v>
      </c>
      <c r="F47" s="3286">
        <f t="shared" ref="F47:M47" ca="1" si="63">INDEX(INDIRECT("III.c.Wave.Outputs["&amp;F$5&amp;"]"), MATCH("V.02", INDIRECT("III.c.Wave.Outputs[Vector]"), 0))</f>
        <v>3.9627123287671231E-3</v>
      </c>
      <c r="G47" s="3286">
        <f t="shared" ca="1" si="63"/>
        <v>1.3017510000000001E-2</v>
      </c>
      <c r="H47" s="3286">
        <f t="shared" ca="1" si="63"/>
        <v>1.3017510000000001E-2</v>
      </c>
      <c r="I47" s="3286">
        <f t="shared" ca="1" si="63"/>
        <v>1.3017510000000001E-2</v>
      </c>
      <c r="J47" s="3286">
        <f t="shared" ca="1" si="63"/>
        <v>1.3017510000000001E-2</v>
      </c>
      <c r="K47" s="3286">
        <f t="shared" ca="1" si="63"/>
        <v>1.3017510000000001E-2</v>
      </c>
      <c r="L47" s="3286">
        <f t="shared" ca="1" si="63"/>
        <v>0</v>
      </c>
      <c r="M47" s="3286">
        <f t="shared" ca="1" si="63"/>
        <v>0</v>
      </c>
      <c r="N47" s="3274"/>
      <c r="O47"/>
      <c r="Q47" s="3866"/>
      <c r="R47" s="3870" t="s">
        <v>360</v>
      </c>
      <c r="S47" s="3872">
        <f t="shared" si="49"/>
        <v>0</v>
      </c>
      <c r="T47" s="3872">
        <f t="shared" si="49"/>
        <v>0</v>
      </c>
      <c r="U47" s="3872">
        <f t="shared" si="49"/>
        <v>0</v>
      </c>
      <c r="V47" s="3872">
        <f t="shared" si="46"/>
        <v>0</v>
      </c>
      <c r="W47" s="3872">
        <f t="shared" si="46"/>
        <v>0</v>
      </c>
      <c r="X47" s="3872">
        <f t="shared" si="46"/>
        <v>0</v>
      </c>
      <c r="Y47" s="3872">
        <f t="shared" si="46"/>
        <v>0</v>
      </c>
      <c r="Z47" s="3872">
        <f t="shared" si="46"/>
        <v>0</v>
      </c>
      <c r="AA47" s="3872">
        <f t="shared" si="46"/>
        <v>0</v>
      </c>
      <c r="AB47" s="3872"/>
      <c r="AC47" s="3873"/>
      <c r="AD47" s="3872">
        <f t="shared" ca="1" si="4"/>
        <v>38.938914480389414</v>
      </c>
      <c r="AE47" s="3872">
        <f t="shared" ca="1" si="5"/>
        <v>40.051952761847296</v>
      </c>
      <c r="AF47" s="3872">
        <f t="shared" ca="1" si="6"/>
        <v>42.438057670171453</v>
      </c>
      <c r="AG47" s="3872">
        <f t="shared" ca="1" si="7"/>
        <v>43.402334272018976</v>
      </c>
      <c r="AH47" s="3872">
        <f t="shared" ca="1" si="8"/>
        <v>44.291061534783317</v>
      </c>
      <c r="AI47" s="3872">
        <f t="shared" ca="1" si="9"/>
        <v>45.330977507891568</v>
      </c>
      <c r="AJ47" s="3872">
        <f t="shared" ca="1" si="10"/>
        <v>46.359403076699564</v>
      </c>
      <c r="AK47" s="3872">
        <f t="shared" ca="1" si="11"/>
        <v>47.557692394089628</v>
      </c>
      <c r="AL47" s="3872">
        <f t="shared" ca="1" si="12"/>
        <v>48.119877929838552</v>
      </c>
      <c r="AM47" s="3872"/>
      <c r="AN47" s="3873"/>
      <c r="AO47" s="3874"/>
      <c r="AP47" s="3874"/>
      <c r="AQ47" s="3874"/>
      <c r="AR47" s="3874"/>
      <c r="AS47" s="3874"/>
      <c r="AT47" s="3874"/>
      <c r="AU47" s="3874"/>
      <c r="AV47" s="3874"/>
      <c r="AW47" s="3874"/>
      <c r="AX47" s="3874"/>
    </row>
    <row r="48" spans="2:51" s="3853" customFormat="1" ht="15">
      <c r="B48" s="3271"/>
      <c r="C48" s="3283" t="s">
        <v>54</v>
      </c>
      <c r="D48" s="3286" t="s">
        <v>2596</v>
      </c>
      <c r="E48" s="3286"/>
      <c r="F48" s="3286"/>
      <c r="G48" s="3286"/>
      <c r="H48" s="3286"/>
      <c r="I48" s="3286"/>
      <c r="J48" s="3286"/>
      <c r="K48" s="3286"/>
      <c r="L48" s="3286"/>
      <c r="M48" s="3286"/>
      <c r="N48" s="3274"/>
      <c r="O48"/>
      <c r="Q48" s="3866"/>
      <c r="R48" s="3870" t="s">
        <v>78</v>
      </c>
      <c r="S48" s="3872">
        <f t="shared" ca="1" si="49"/>
        <v>4.1054887428987621E-2</v>
      </c>
      <c r="T48" s="3872">
        <f t="shared" ca="1" si="49"/>
        <v>5.2915063522883464E-2</v>
      </c>
      <c r="U48" s="3872">
        <f t="shared" ca="1" si="49"/>
        <v>5.5796848364472185E-2</v>
      </c>
      <c r="V48" s="3872">
        <f t="shared" ca="1" si="46"/>
        <v>5.8662240154226032E-2</v>
      </c>
      <c r="W48" s="3872">
        <f t="shared" ca="1" si="46"/>
        <v>7.0129937567812564E-2</v>
      </c>
      <c r="X48" s="3872">
        <f t="shared" ca="1" si="46"/>
        <v>7.3391639360886121E-2</v>
      </c>
      <c r="Y48" s="3872">
        <f t="shared" ca="1" si="46"/>
        <v>7.68227714428798E-2</v>
      </c>
      <c r="Z48" s="3872">
        <f t="shared" ca="1" si="46"/>
        <v>8.0232994859916751E-2</v>
      </c>
      <c r="AA48" s="3872">
        <f t="shared" ca="1" si="46"/>
        <v>8.3820866458489254E-2</v>
      </c>
      <c r="AB48" s="3872"/>
      <c r="AC48" s="3873"/>
      <c r="AD48" s="3872">
        <f t="shared" si="4"/>
        <v>0</v>
      </c>
      <c r="AE48" s="3872">
        <f t="shared" si="5"/>
        <v>0</v>
      </c>
      <c r="AF48" s="3872">
        <f t="shared" si="6"/>
        <v>0</v>
      </c>
      <c r="AG48" s="3872">
        <f t="shared" si="7"/>
        <v>0</v>
      </c>
      <c r="AH48" s="3872">
        <f t="shared" si="8"/>
        <v>0</v>
      </c>
      <c r="AI48" s="3872">
        <f t="shared" si="9"/>
        <v>0</v>
      </c>
      <c r="AJ48" s="3872">
        <f t="shared" si="10"/>
        <v>0</v>
      </c>
      <c r="AK48" s="3872">
        <f t="shared" si="11"/>
        <v>0</v>
      </c>
      <c r="AL48" s="3872">
        <f t="shared" si="12"/>
        <v>0</v>
      </c>
      <c r="AM48" s="3872"/>
      <c r="AN48" s="3873"/>
      <c r="AO48" s="3874"/>
      <c r="AP48" s="3874"/>
      <c r="AQ48" s="3874"/>
      <c r="AR48" s="3874"/>
      <c r="AS48" s="3874"/>
      <c r="AT48" s="3874"/>
      <c r="AU48" s="3874"/>
      <c r="AV48" s="3874"/>
      <c r="AW48" s="3874"/>
      <c r="AX48" s="3874"/>
    </row>
    <row r="49" spans="2:51" s="3853" customFormat="1" ht="15">
      <c r="B49" s="3271"/>
      <c r="C49" s="3283" t="s">
        <v>391</v>
      </c>
      <c r="D49" s="3286" t="s">
        <v>2596</v>
      </c>
      <c r="E49" s="3286">
        <f ca="1">INDEX(INDIRECT("III.b.Outputs["&amp;E$5&amp;"]"), MATCH("V.02", INDIRECT("III.b.Outputs[Vector]"), 0))</f>
        <v>0.74791511999999993</v>
      </c>
      <c r="F49" s="3286">
        <f t="shared" ref="F49:M49" ca="1" si="64">INDEX(INDIRECT("III.b.Outputs["&amp;F$5&amp;"]"), MATCH("V.02", INDIRECT("III.b.Outputs[Vector]"), 0))</f>
        <v>0.74791511999999993</v>
      </c>
      <c r="G49" s="3286">
        <f t="shared" ca="1" si="64"/>
        <v>0.74791511999999993</v>
      </c>
      <c r="H49" s="3286">
        <f t="shared" ca="1" si="64"/>
        <v>0.78946596000000002</v>
      </c>
      <c r="I49" s="3286">
        <f t="shared" ca="1" si="64"/>
        <v>0.50632416000000002</v>
      </c>
      <c r="J49" s="3286">
        <f t="shared" ca="1" si="64"/>
        <v>0.33310800000000007</v>
      </c>
      <c r="K49" s="3286">
        <f t="shared" ca="1" si="64"/>
        <v>0.23317560000000004</v>
      </c>
      <c r="L49" s="3286">
        <f t="shared" ca="1" si="64"/>
        <v>0.16655400000000004</v>
      </c>
      <c r="M49" s="3286">
        <f t="shared" ca="1" si="64"/>
        <v>0</v>
      </c>
      <c r="N49" s="3274"/>
      <c r="O49"/>
      <c r="Q49" s="3866"/>
      <c r="R49" s="3870" t="s">
        <v>526</v>
      </c>
      <c r="S49" s="3872">
        <f t="shared" ca="1" si="49"/>
        <v>0</v>
      </c>
      <c r="T49" s="3872">
        <f t="shared" ca="1" si="49"/>
        <v>0</v>
      </c>
      <c r="U49" s="3872">
        <f t="shared" ca="1" si="49"/>
        <v>0</v>
      </c>
      <c r="V49" s="3872">
        <f t="shared" ca="1" si="46"/>
        <v>0</v>
      </c>
      <c r="W49" s="3872">
        <f t="shared" ca="1" si="46"/>
        <v>0</v>
      </c>
      <c r="X49" s="3872">
        <f t="shared" ca="1" si="46"/>
        <v>0</v>
      </c>
      <c r="Y49" s="3872">
        <f t="shared" ca="1" si="46"/>
        <v>0</v>
      </c>
      <c r="Z49" s="3872">
        <f t="shared" ca="1" si="46"/>
        <v>0</v>
      </c>
      <c r="AA49" s="3872">
        <f t="shared" ca="1" si="46"/>
        <v>0</v>
      </c>
      <c r="AB49" s="3872"/>
      <c r="AC49" s="3873"/>
      <c r="AD49" s="3872">
        <f t="shared" ca="1" si="4"/>
        <v>0</v>
      </c>
      <c r="AE49" s="3872">
        <f t="shared" ca="1" si="5"/>
        <v>0</v>
      </c>
      <c r="AF49" s="3872">
        <f t="shared" ca="1" si="6"/>
        <v>0</v>
      </c>
      <c r="AG49" s="3872">
        <f t="shared" ca="1" si="7"/>
        <v>0</v>
      </c>
      <c r="AH49" s="3872">
        <f t="shared" ca="1" si="8"/>
        <v>0</v>
      </c>
      <c r="AI49" s="3872">
        <f t="shared" ca="1" si="9"/>
        <v>0</v>
      </c>
      <c r="AJ49" s="3872">
        <f t="shared" ca="1" si="10"/>
        <v>0</v>
      </c>
      <c r="AK49" s="3872">
        <f t="shared" ca="1" si="11"/>
        <v>0</v>
      </c>
      <c r="AL49" s="3872">
        <f t="shared" ca="1" si="12"/>
        <v>0</v>
      </c>
      <c r="AM49" s="3872"/>
      <c r="AN49" s="3873"/>
      <c r="AO49" s="3874">
        <f t="shared" ref="AO49:AW52" ca="1" si="65">S49-AD49</f>
        <v>0</v>
      </c>
      <c r="AP49" s="3874">
        <f t="shared" ca="1" si="65"/>
        <v>0</v>
      </c>
      <c r="AQ49" s="3874">
        <f t="shared" ca="1" si="65"/>
        <v>0</v>
      </c>
      <c r="AR49" s="3874">
        <f t="shared" ca="1" si="65"/>
        <v>0</v>
      </c>
      <c r="AS49" s="3874">
        <f t="shared" ca="1" si="65"/>
        <v>0</v>
      </c>
      <c r="AT49" s="3874">
        <f t="shared" ca="1" si="65"/>
        <v>0</v>
      </c>
      <c r="AU49" s="3874">
        <f t="shared" ca="1" si="65"/>
        <v>0</v>
      </c>
      <c r="AV49" s="3874">
        <f t="shared" ca="1" si="65"/>
        <v>0</v>
      </c>
      <c r="AW49" s="3874">
        <f t="shared" ca="1" si="65"/>
        <v>0</v>
      </c>
      <c r="AX49" s="3874"/>
    </row>
    <row r="50" spans="2:51" s="3853" customFormat="1" ht="15">
      <c r="B50" s="3271"/>
      <c r="C50" s="3283" t="s">
        <v>2596</v>
      </c>
      <c r="D50" s="3286" t="s">
        <v>2598</v>
      </c>
      <c r="E50" s="3286">
        <f ca="1">-INDEX(INDIRECT("VIII.a.Outputs["&amp;E$5&amp;"]"), MATCH("V.01", INDIRECT("VIII.a.Outputs[Vector]"), 0))</f>
        <v>0</v>
      </c>
      <c r="F50" s="3286">
        <f t="shared" ref="F50:M50" ca="1" si="66">-INDEX(INDIRECT("VIII.a.Outputs["&amp;F$5&amp;"]"), MATCH("V.01", INDIRECT("VIII.a.Outputs[Vector]"), 0))</f>
        <v>0</v>
      </c>
      <c r="G50" s="3286">
        <f t="shared" ca="1" si="66"/>
        <v>0</v>
      </c>
      <c r="H50" s="3286">
        <f t="shared" ca="1" si="66"/>
        <v>0</v>
      </c>
      <c r="I50" s="3286">
        <f t="shared" ca="1" si="66"/>
        <v>0</v>
      </c>
      <c r="J50" s="3286">
        <f t="shared" ca="1" si="66"/>
        <v>0</v>
      </c>
      <c r="K50" s="3286">
        <f t="shared" ca="1" si="66"/>
        <v>0</v>
      </c>
      <c r="L50" s="3286">
        <f t="shared" ca="1" si="66"/>
        <v>0</v>
      </c>
      <c r="M50" s="3286">
        <f t="shared" ca="1" si="66"/>
        <v>0</v>
      </c>
      <c r="N50" s="3274"/>
      <c r="O50"/>
      <c r="Q50" s="3866"/>
      <c r="R50" s="3870" t="s">
        <v>2597</v>
      </c>
      <c r="S50" s="3872">
        <f t="shared" ca="1" si="49"/>
        <v>4.1054887428987621E-2</v>
      </c>
      <c r="T50" s="3872">
        <f t="shared" ca="1" si="49"/>
        <v>5.2915063522883464E-2</v>
      </c>
      <c r="U50" s="3872">
        <f t="shared" ca="1" si="49"/>
        <v>5.5796848364472185E-2</v>
      </c>
      <c r="V50" s="3872">
        <f t="shared" ca="1" si="46"/>
        <v>5.8662240154226032E-2</v>
      </c>
      <c r="W50" s="3872">
        <f t="shared" ca="1" si="46"/>
        <v>7.0129937567812564E-2</v>
      </c>
      <c r="X50" s="3872">
        <f t="shared" ca="1" si="46"/>
        <v>7.3391639360886121E-2</v>
      </c>
      <c r="Y50" s="3872">
        <f t="shared" ca="1" si="46"/>
        <v>7.68227714428798E-2</v>
      </c>
      <c r="Z50" s="3872">
        <f t="shared" ca="1" si="46"/>
        <v>8.0232994859916751E-2</v>
      </c>
      <c r="AA50" s="3872">
        <f t="shared" ca="1" si="46"/>
        <v>8.3820866458489254E-2</v>
      </c>
      <c r="AB50" s="3872"/>
      <c r="AC50" s="3873"/>
      <c r="AD50" s="3872">
        <f t="shared" ca="1" si="4"/>
        <v>4.1054887428987621E-2</v>
      </c>
      <c r="AE50" s="3872">
        <f t="shared" ca="1" si="5"/>
        <v>5.2915063522883464E-2</v>
      </c>
      <c r="AF50" s="3872">
        <f t="shared" ca="1" si="6"/>
        <v>5.5796848364472185E-2</v>
      </c>
      <c r="AG50" s="3872">
        <f t="shared" ca="1" si="7"/>
        <v>5.8662240154226032E-2</v>
      </c>
      <c r="AH50" s="3872">
        <f t="shared" ca="1" si="8"/>
        <v>7.0129937567812564E-2</v>
      </c>
      <c r="AI50" s="3872">
        <f t="shared" ca="1" si="9"/>
        <v>7.3391639360886121E-2</v>
      </c>
      <c r="AJ50" s="3872">
        <f t="shared" ca="1" si="10"/>
        <v>7.68227714428798E-2</v>
      </c>
      <c r="AK50" s="3872">
        <f t="shared" ca="1" si="11"/>
        <v>8.0232994859916751E-2</v>
      </c>
      <c r="AL50" s="3872">
        <f t="shared" ca="1" si="12"/>
        <v>8.3820866458489254E-2</v>
      </c>
      <c r="AM50" s="3872"/>
      <c r="AN50" s="3873"/>
      <c r="AO50" s="3874">
        <f t="shared" ca="1" si="65"/>
        <v>0</v>
      </c>
      <c r="AP50" s="3874">
        <f t="shared" ca="1" si="65"/>
        <v>0</v>
      </c>
      <c r="AQ50" s="3874">
        <f t="shared" ca="1" si="65"/>
        <v>0</v>
      </c>
      <c r="AR50" s="3874">
        <f t="shared" ca="1" si="65"/>
        <v>0</v>
      </c>
      <c r="AS50" s="3874">
        <f t="shared" ca="1" si="65"/>
        <v>0</v>
      </c>
      <c r="AT50" s="3874">
        <f t="shared" ca="1" si="65"/>
        <v>0</v>
      </c>
      <c r="AU50" s="3874">
        <f t="shared" ca="1" si="65"/>
        <v>0</v>
      </c>
      <c r="AV50" s="3874">
        <f t="shared" ca="1" si="65"/>
        <v>0</v>
      </c>
      <c r="AW50" s="3874">
        <f t="shared" ca="1" si="65"/>
        <v>0</v>
      </c>
      <c r="AX50" s="3874"/>
    </row>
    <row r="51" spans="2:51" s="3853" customFormat="1" ht="15">
      <c r="B51" s="3271"/>
      <c r="C51" s="3283" t="s">
        <v>2596</v>
      </c>
      <c r="D51" s="3286" t="s">
        <v>2601</v>
      </c>
      <c r="E51" s="3286">
        <f ca="1">MAX(INDEX(INDIRECT("'"&amp;E$5&amp;"'!Year.NetBalance"), MATCH("Y.02", INDIRECT("'"&amp;E$5&amp;"'!Year.Vectors"), 0))+E44,0)</f>
        <v>0</v>
      </c>
      <c r="F51" s="3286">
        <f t="shared" ref="F51:M51" ca="1" si="67">MAX(INDEX(INDIRECT("'"&amp;F$5&amp;"'!Year.NetBalance"), MATCH("Y.02", INDIRECT("'"&amp;F$5&amp;"'!Year.Vectors"), 0))+F44,0)</f>
        <v>3.5527136788005009E-15</v>
      </c>
      <c r="G51" s="3286">
        <f t="shared" ca="1" si="67"/>
        <v>0</v>
      </c>
      <c r="H51" s="3286">
        <f t="shared" ca="1" si="67"/>
        <v>3.5527136788005009E-15</v>
      </c>
      <c r="I51" s="3286">
        <f t="shared" ca="1" si="67"/>
        <v>0</v>
      </c>
      <c r="J51" s="3286">
        <f t="shared" ca="1" si="67"/>
        <v>0</v>
      </c>
      <c r="K51" s="3286">
        <f t="shared" ca="1" si="67"/>
        <v>0</v>
      </c>
      <c r="L51" s="3286">
        <f t="shared" ca="1" si="67"/>
        <v>0</v>
      </c>
      <c r="M51" s="3286">
        <f t="shared" ca="1" si="67"/>
        <v>0</v>
      </c>
      <c r="N51" s="3274"/>
      <c r="O51"/>
      <c r="P51" s="1731"/>
      <c r="Q51" s="3866"/>
      <c r="R51" s="3870" t="s">
        <v>16</v>
      </c>
      <c r="S51" s="3872">
        <f t="shared" ca="1" si="49"/>
        <v>24.546877780882912</v>
      </c>
      <c r="T51" s="3872">
        <f t="shared" ca="1" si="49"/>
        <v>25.019085289163165</v>
      </c>
      <c r="U51" s="3872">
        <f t="shared" ca="1" si="49"/>
        <v>22.973379101023177</v>
      </c>
      <c r="V51" s="3872">
        <f t="shared" ca="1" si="46"/>
        <v>23.158342737736056</v>
      </c>
      <c r="W51" s="3872">
        <f t="shared" ca="1" si="46"/>
        <v>17.478475301591967</v>
      </c>
      <c r="X51" s="3872">
        <f t="shared" ca="1" si="46"/>
        <v>4.6809644035740403</v>
      </c>
      <c r="Y51" s="3872">
        <f t="shared" ca="1" si="46"/>
        <v>4.9309217391129918</v>
      </c>
      <c r="Z51" s="3872">
        <f t="shared" ca="1" si="46"/>
        <v>5.2091308319670242</v>
      </c>
      <c r="AA51" s="3872">
        <f t="shared" ca="1" si="46"/>
        <v>5.5197297709738296</v>
      </c>
      <c r="AB51" s="3872"/>
      <c r="AC51" s="3873"/>
      <c r="AD51" s="3872">
        <f t="shared" ca="1" si="4"/>
        <v>24.546877780882912</v>
      </c>
      <c r="AE51" s="3872">
        <f t="shared" ca="1" si="5"/>
        <v>25.019085289163165</v>
      </c>
      <c r="AF51" s="3872">
        <f t="shared" ca="1" si="6"/>
        <v>22.973379101023177</v>
      </c>
      <c r="AG51" s="3872">
        <f t="shared" ca="1" si="7"/>
        <v>23.158342737736056</v>
      </c>
      <c r="AH51" s="3872">
        <f t="shared" ca="1" si="8"/>
        <v>17.478475301591967</v>
      </c>
      <c r="AI51" s="3872">
        <f t="shared" ca="1" si="9"/>
        <v>4.6809644035740403</v>
      </c>
      <c r="AJ51" s="3872">
        <f t="shared" ca="1" si="10"/>
        <v>4.9309217391129918</v>
      </c>
      <c r="AK51" s="3872">
        <f t="shared" ca="1" si="11"/>
        <v>5.2091308319670242</v>
      </c>
      <c r="AL51" s="3872">
        <f t="shared" ca="1" si="12"/>
        <v>5.5197297709738296</v>
      </c>
      <c r="AM51" s="3872"/>
      <c r="AN51" s="3873"/>
      <c r="AO51" s="3874">
        <f t="shared" ca="1" si="65"/>
        <v>0</v>
      </c>
      <c r="AP51" s="3874">
        <f t="shared" ca="1" si="65"/>
        <v>0</v>
      </c>
      <c r="AQ51" s="3874">
        <f t="shared" ca="1" si="65"/>
        <v>0</v>
      </c>
      <c r="AR51" s="3874">
        <f t="shared" ca="1" si="65"/>
        <v>0</v>
      </c>
      <c r="AS51" s="3874">
        <f t="shared" ca="1" si="65"/>
        <v>0</v>
      </c>
      <c r="AT51" s="3874">
        <f t="shared" ca="1" si="65"/>
        <v>0</v>
      </c>
      <c r="AU51" s="3874">
        <f t="shared" ca="1" si="65"/>
        <v>0</v>
      </c>
      <c r="AV51" s="3874">
        <f t="shared" ca="1" si="65"/>
        <v>0</v>
      </c>
      <c r="AW51" s="3874">
        <f t="shared" ca="1" si="65"/>
        <v>0</v>
      </c>
      <c r="AX51" s="3874"/>
      <c r="AY51" s="377"/>
    </row>
    <row r="52" spans="2:51" s="3853" customFormat="1" ht="15">
      <c r="B52" s="3271"/>
      <c r="C52" s="3283" t="s">
        <v>2596</v>
      </c>
      <c r="D52" s="3286" t="s">
        <v>1741</v>
      </c>
      <c r="E52" s="3286">
        <f ca="1">INDEX(INDIRECT("VII.b.Outputs["&amp;E$5&amp;"]"), MATCH("X.02", INDIRECT("VII.b.Outputs[Vector]"), 0))</f>
        <v>3.440517827279185</v>
      </c>
      <c r="F52" s="3286">
        <f t="shared" ref="F52:M52" ca="1" si="68">INDEX(INDIRECT("VII.b.Outputs["&amp;F$5&amp;"]"), MATCH("X.02", INDIRECT("VII.b.Outputs[Vector]"), 0))</f>
        <v>3.5437271686042378</v>
      </c>
      <c r="G52" s="3286">
        <f t="shared" ca="1" si="68"/>
        <v>3.7579500379608333</v>
      </c>
      <c r="H52" s="3286">
        <f t="shared" ca="1" si="68"/>
        <v>4.007056224086921</v>
      </c>
      <c r="I52" s="3286">
        <f t="shared" ca="1" si="68"/>
        <v>4.2642579422615032</v>
      </c>
      <c r="J52" s="3286">
        <f t="shared" ca="1" si="68"/>
        <v>4.5457884936212993</v>
      </c>
      <c r="K52" s="3286">
        <f t="shared" ca="1" si="68"/>
        <v>4.8484755681702092</v>
      </c>
      <c r="L52" s="3286">
        <f t="shared" ca="1" si="68"/>
        <v>5.164961869911977</v>
      </c>
      <c r="M52" s="3286">
        <f t="shared" ca="1" si="68"/>
        <v>5.482825244417449</v>
      </c>
      <c r="N52" s="3274"/>
      <c r="O52"/>
      <c r="Q52" s="3866"/>
      <c r="R52" s="3870" t="s">
        <v>2603</v>
      </c>
      <c r="S52" s="3872">
        <f t="shared" ca="1" si="49"/>
        <v>47.646364488115253</v>
      </c>
      <c r="T52" s="3872">
        <f t="shared" ca="1" si="49"/>
        <v>45.850012603221572</v>
      </c>
      <c r="U52" s="3872">
        <f t="shared" ca="1" si="49"/>
        <v>46.28987232698087</v>
      </c>
      <c r="V52" s="3872">
        <f t="shared" ca="1" si="46"/>
        <v>56.002783292038416</v>
      </c>
      <c r="W52" s="3872">
        <f t="shared" ca="1" si="46"/>
        <v>63.174112138417996</v>
      </c>
      <c r="X52" s="3872">
        <f t="shared" ca="1" si="46"/>
        <v>66.74981167799227</v>
      </c>
      <c r="Y52" s="3872">
        <f t="shared" ca="1" si="46"/>
        <v>71.426632572578853</v>
      </c>
      <c r="Z52" s="3872">
        <f t="shared" ca="1" si="46"/>
        <v>76.270558151769606</v>
      </c>
      <c r="AA52" s="3872">
        <f t="shared" ca="1" si="46"/>
        <v>81.296126820622135</v>
      </c>
      <c r="AB52" s="3872"/>
      <c r="AC52" s="3873"/>
      <c r="AD52" s="3872">
        <f t="shared" ca="1" si="4"/>
        <v>47.646364488115253</v>
      </c>
      <c r="AE52" s="3872">
        <f t="shared" ca="1" si="5"/>
        <v>45.850012603221572</v>
      </c>
      <c r="AF52" s="3872">
        <f t="shared" ca="1" si="6"/>
        <v>46.289872326980877</v>
      </c>
      <c r="AG52" s="3872">
        <f t="shared" ca="1" si="7"/>
        <v>56.002783292038416</v>
      </c>
      <c r="AH52" s="3872">
        <f t="shared" ca="1" si="8"/>
        <v>63.174112138417996</v>
      </c>
      <c r="AI52" s="3872">
        <f t="shared" ca="1" si="9"/>
        <v>66.74981167799227</v>
      </c>
      <c r="AJ52" s="3872">
        <f t="shared" ca="1" si="10"/>
        <v>71.426632572578853</v>
      </c>
      <c r="AK52" s="3872">
        <f t="shared" ca="1" si="11"/>
        <v>76.270558151769606</v>
      </c>
      <c r="AL52" s="3872">
        <f t="shared" ca="1" si="12"/>
        <v>81.296126820622135</v>
      </c>
      <c r="AM52" s="3872"/>
      <c r="AN52" s="3873"/>
      <c r="AO52" s="3874">
        <f t="shared" ca="1" si="65"/>
        <v>0</v>
      </c>
      <c r="AP52" s="3874">
        <f t="shared" ca="1" si="65"/>
        <v>0</v>
      </c>
      <c r="AQ52" s="3874">
        <f t="shared" ca="1" si="65"/>
        <v>0</v>
      </c>
      <c r="AR52" s="3874">
        <f t="shared" ca="1" si="65"/>
        <v>0</v>
      </c>
      <c r="AS52" s="3874">
        <f t="shared" ca="1" si="65"/>
        <v>0</v>
      </c>
      <c r="AT52" s="3874">
        <f t="shared" ca="1" si="65"/>
        <v>0</v>
      </c>
      <c r="AU52" s="3874">
        <f t="shared" ca="1" si="65"/>
        <v>0</v>
      </c>
      <c r="AV52" s="3874">
        <f t="shared" ca="1" si="65"/>
        <v>0</v>
      </c>
      <c r="AW52" s="3874">
        <f t="shared" ca="1" si="65"/>
        <v>0</v>
      </c>
      <c r="AX52" s="3874"/>
    </row>
    <row r="53" spans="2:51" s="3853" customFormat="1" ht="15">
      <c r="B53" s="3271"/>
      <c r="C53" s="3283" t="s">
        <v>15</v>
      </c>
      <c r="D53" s="3286" t="s">
        <v>2598</v>
      </c>
      <c r="E53" s="3286">
        <f ca="1">-INDEX(INDIRECT("VIII.a.Outputs["&amp;E$5&amp;"]"), MATCH("V.05", INDIRECT("VIII.a.Outputs[Vector]"), 0))</f>
        <v>0</v>
      </c>
      <c r="F53" s="3286">
        <f t="shared" ref="F53:M53" ca="1" si="69">-INDEX(INDIRECT("VIII.a.Outputs["&amp;F$5&amp;"]"), MATCH("V.05", INDIRECT("VIII.a.Outputs[Vector]"), 0))</f>
        <v>0</v>
      </c>
      <c r="G53" s="3286">
        <f t="shared" ca="1" si="69"/>
        <v>0</v>
      </c>
      <c r="H53" s="3286">
        <f t="shared" ca="1" si="69"/>
        <v>0</v>
      </c>
      <c r="I53" s="3286">
        <f t="shared" ca="1" si="69"/>
        <v>0</v>
      </c>
      <c r="J53" s="3286">
        <f t="shared" ca="1" si="69"/>
        <v>0</v>
      </c>
      <c r="K53" s="3286">
        <f t="shared" ca="1" si="69"/>
        <v>0</v>
      </c>
      <c r="L53" s="3286">
        <f t="shared" ca="1" si="69"/>
        <v>0</v>
      </c>
      <c r="M53" s="3286">
        <f t="shared" ca="1" si="69"/>
        <v>0</v>
      </c>
      <c r="N53" s="3274"/>
      <c r="O53"/>
      <c r="Q53" s="3866"/>
      <c r="R53" s="3870" t="s">
        <v>389</v>
      </c>
      <c r="S53" s="3872">
        <f t="shared" ca="1" si="49"/>
        <v>0</v>
      </c>
      <c r="T53" s="3872">
        <f t="shared" ca="1" si="49"/>
        <v>0</v>
      </c>
      <c r="U53" s="3872">
        <f t="shared" ca="1" si="49"/>
        <v>0</v>
      </c>
      <c r="V53" s="3872">
        <f t="shared" ca="1" si="46"/>
        <v>0</v>
      </c>
      <c r="W53" s="3872">
        <f t="shared" ca="1" si="46"/>
        <v>0</v>
      </c>
      <c r="X53" s="3872">
        <f t="shared" ca="1" si="46"/>
        <v>0</v>
      </c>
      <c r="Y53" s="3872">
        <f t="shared" ca="1" si="46"/>
        <v>0</v>
      </c>
      <c r="Z53" s="3872">
        <f t="shared" ca="1" si="46"/>
        <v>0</v>
      </c>
      <c r="AA53" s="3872">
        <f t="shared" ca="1" si="46"/>
        <v>0</v>
      </c>
      <c r="AB53" s="3872"/>
      <c r="AC53" s="3873"/>
      <c r="AD53" s="3872">
        <f t="shared" si="4"/>
        <v>0</v>
      </c>
      <c r="AE53" s="3872">
        <f t="shared" si="5"/>
        <v>0</v>
      </c>
      <c r="AF53" s="3872">
        <f t="shared" si="6"/>
        <v>0</v>
      </c>
      <c r="AG53" s="3872">
        <f t="shared" si="7"/>
        <v>0</v>
      </c>
      <c r="AH53" s="3872">
        <f t="shared" si="8"/>
        <v>0</v>
      </c>
      <c r="AI53" s="3872">
        <f t="shared" si="9"/>
        <v>0</v>
      </c>
      <c r="AJ53" s="3872">
        <f t="shared" si="10"/>
        <v>0</v>
      </c>
      <c r="AK53" s="3872">
        <f t="shared" si="11"/>
        <v>0</v>
      </c>
      <c r="AL53" s="3872">
        <f t="shared" si="12"/>
        <v>0</v>
      </c>
      <c r="AM53" s="3872"/>
      <c r="AN53" s="3873"/>
      <c r="AO53" s="3874"/>
      <c r="AP53" s="3874"/>
      <c r="AQ53" s="3874"/>
      <c r="AR53" s="3874"/>
      <c r="AS53" s="3874"/>
      <c r="AT53" s="3874"/>
      <c r="AU53" s="3874"/>
      <c r="AV53" s="3874"/>
      <c r="AW53" s="3874"/>
      <c r="AX53" s="3874"/>
    </row>
    <row r="54" spans="2:51" s="3853" customFormat="1" ht="15">
      <c r="B54" s="3271"/>
      <c r="C54" s="3283" t="s">
        <v>2598</v>
      </c>
      <c r="D54" s="3286" t="s">
        <v>376</v>
      </c>
      <c r="E54" s="3286">
        <f ca="1">INDEX(INDIRECT("VIII.a.Outputs["&amp;E$5&amp;"]"), MATCH("V.12", INDIRECT("VIII.a.Outputs[Vector]"), 0))</f>
        <v>0</v>
      </c>
      <c r="F54" s="3286">
        <f t="shared" ref="F54:M54" ca="1" si="70">INDEX(INDIRECT("VIII.a.Outputs["&amp;F$5&amp;"]"), MATCH("V.12", INDIRECT("VIII.a.Outputs[Vector]"), 0))</f>
        <v>0</v>
      </c>
      <c r="G54" s="3286">
        <f t="shared" ca="1" si="70"/>
        <v>0</v>
      </c>
      <c r="H54" s="3286">
        <f t="shared" ca="1" si="70"/>
        <v>0</v>
      </c>
      <c r="I54" s="3286">
        <f t="shared" ca="1" si="70"/>
        <v>0</v>
      </c>
      <c r="J54" s="3286">
        <f t="shared" ca="1" si="70"/>
        <v>0</v>
      </c>
      <c r="K54" s="3286">
        <f t="shared" ca="1" si="70"/>
        <v>0</v>
      </c>
      <c r="L54" s="3286">
        <f t="shared" ca="1" si="70"/>
        <v>0</v>
      </c>
      <c r="M54" s="3286">
        <f t="shared" ca="1" si="70"/>
        <v>0</v>
      </c>
      <c r="N54" s="3274"/>
      <c r="O54"/>
      <c r="Q54" s="3866"/>
      <c r="R54" s="3287" t="s">
        <v>3096</v>
      </c>
      <c r="S54" s="3872">
        <f t="shared" ca="1" si="49"/>
        <v>0.31308333333333338</v>
      </c>
      <c r="T54" s="3872">
        <f t="shared" ca="1" si="49"/>
        <v>0.31819825788025435</v>
      </c>
      <c r="U54" s="3872">
        <f t="shared" ca="1" si="49"/>
        <v>0.33156731444804843</v>
      </c>
      <c r="V54" s="3872">
        <f t="shared" ca="1" si="46"/>
        <v>0.34581642466848794</v>
      </c>
      <c r="W54" s="3872">
        <f t="shared" ca="1" si="46"/>
        <v>0.36101075337977562</v>
      </c>
      <c r="X54" s="3872">
        <f t="shared" ca="1" si="46"/>
        <v>0.37722039553007852</v>
      </c>
      <c r="Y54" s="3872">
        <f t="shared" ca="1" si="46"/>
        <v>0.39452075052198765</v>
      </c>
      <c r="Z54" s="3872">
        <f t="shared" ca="1" si="46"/>
        <v>0.41299292499810381</v>
      </c>
      <c r="AA54" s="3872">
        <f t="shared" ca="1" si="46"/>
        <v>0.43272416622880361</v>
      </c>
      <c r="AB54" s="3872"/>
      <c r="AC54" s="3873"/>
      <c r="AD54" s="3872">
        <f t="shared" si="4"/>
        <v>0</v>
      </c>
      <c r="AE54" s="3872">
        <f t="shared" si="5"/>
        <v>0</v>
      </c>
      <c r="AF54" s="3872">
        <f t="shared" si="6"/>
        <v>0</v>
      </c>
      <c r="AG54" s="3872">
        <f t="shared" si="7"/>
        <v>0</v>
      </c>
      <c r="AH54" s="3872">
        <f t="shared" si="8"/>
        <v>0</v>
      </c>
      <c r="AI54" s="3872">
        <f t="shared" si="9"/>
        <v>0</v>
      </c>
      <c r="AJ54" s="3872">
        <f t="shared" si="10"/>
        <v>0</v>
      </c>
      <c r="AK54" s="3872">
        <f t="shared" si="11"/>
        <v>0</v>
      </c>
      <c r="AL54" s="3872">
        <f t="shared" si="12"/>
        <v>0</v>
      </c>
      <c r="AM54" s="3872"/>
      <c r="AN54" s="3873"/>
      <c r="AO54" s="3874"/>
      <c r="AP54" s="3874"/>
      <c r="AQ54" s="3874"/>
      <c r="AR54" s="3874"/>
      <c r="AS54" s="3874"/>
      <c r="AT54" s="3874"/>
      <c r="AU54" s="3874"/>
      <c r="AV54" s="3874"/>
      <c r="AW54" s="3874"/>
      <c r="AX54" s="3874"/>
    </row>
    <row r="55" spans="2:51" s="3853" customFormat="1" ht="15">
      <c r="B55" s="3271"/>
      <c r="C55" s="3283" t="s">
        <v>2598</v>
      </c>
      <c r="D55" s="3286" t="s">
        <v>1741</v>
      </c>
      <c r="E55" s="3286">
        <f ca="1">INDEX(INDIRECT("VIII.a.Outputs["&amp;E$5&amp;"]"), MATCH("X.01", INDIRECT("VIII.a.Outputs[Vector]"), 0))</f>
        <v>0</v>
      </c>
      <c r="F55" s="3286">
        <f t="shared" ref="F55:M55" ca="1" si="71">INDEX(INDIRECT("VIII.a.Outputs["&amp;F$5&amp;"]"), MATCH("X.01", INDIRECT("VIII.a.Outputs[Vector]"), 0))</f>
        <v>0</v>
      </c>
      <c r="G55" s="3286">
        <f t="shared" ca="1" si="71"/>
        <v>0</v>
      </c>
      <c r="H55" s="3286">
        <f t="shared" ca="1" si="71"/>
        <v>0</v>
      </c>
      <c r="I55" s="3286">
        <f t="shared" ca="1" si="71"/>
        <v>0</v>
      </c>
      <c r="J55" s="3286">
        <f t="shared" ca="1" si="71"/>
        <v>0</v>
      </c>
      <c r="K55" s="3286">
        <f t="shared" ca="1" si="71"/>
        <v>0</v>
      </c>
      <c r="L55" s="3286">
        <f t="shared" ca="1" si="71"/>
        <v>0</v>
      </c>
      <c r="M55" s="3286">
        <f t="shared" ca="1" si="71"/>
        <v>0</v>
      </c>
      <c r="N55" s="3274"/>
      <c r="O55"/>
      <c r="Q55" s="3866"/>
      <c r="R55" s="3870" t="s">
        <v>390</v>
      </c>
      <c r="S55" s="3872">
        <f t="shared" ca="1" si="49"/>
        <v>0</v>
      </c>
      <c r="T55" s="3872">
        <f t="shared" ca="1" si="49"/>
        <v>3.9627123287671231E-3</v>
      </c>
      <c r="U55" s="3872">
        <f t="shared" ca="1" si="49"/>
        <v>1.3017510000000001E-2</v>
      </c>
      <c r="V55" s="3872">
        <f t="shared" ca="1" si="46"/>
        <v>1.3017510000000001E-2</v>
      </c>
      <c r="W55" s="3872">
        <f t="shared" ca="1" si="46"/>
        <v>1.3017510000000001E-2</v>
      </c>
      <c r="X55" s="3872">
        <f t="shared" ca="1" si="46"/>
        <v>1.3017510000000001E-2</v>
      </c>
      <c r="Y55" s="3872">
        <f t="shared" ca="1" si="46"/>
        <v>1.3017510000000001E-2</v>
      </c>
      <c r="Z55" s="3872">
        <f t="shared" ca="1" si="46"/>
        <v>0</v>
      </c>
      <c r="AA55" s="3872">
        <f t="shared" ca="1" si="46"/>
        <v>0</v>
      </c>
      <c r="AB55" s="3872"/>
      <c r="AC55" s="3873"/>
      <c r="AD55" s="3872">
        <f t="shared" si="4"/>
        <v>0</v>
      </c>
      <c r="AE55" s="3872">
        <f t="shared" si="5"/>
        <v>0</v>
      </c>
      <c r="AF55" s="3872">
        <f t="shared" si="6"/>
        <v>0</v>
      </c>
      <c r="AG55" s="3872">
        <f t="shared" si="7"/>
        <v>0</v>
      </c>
      <c r="AH55" s="3872">
        <f t="shared" si="8"/>
        <v>0</v>
      </c>
      <c r="AI55" s="3872">
        <f t="shared" si="9"/>
        <v>0</v>
      </c>
      <c r="AJ55" s="3872">
        <f t="shared" si="10"/>
        <v>0</v>
      </c>
      <c r="AK55" s="3872">
        <f t="shared" si="11"/>
        <v>0</v>
      </c>
      <c r="AL55" s="3872">
        <f t="shared" si="12"/>
        <v>0</v>
      </c>
      <c r="AM55" s="3872"/>
      <c r="AN55" s="3873"/>
      <c r="AO55" s="3874"/>
      <c r="AP55" s="3874"/>
      <c r="AQ55" s="3874"/>
      <c r="AR55" s="3874"/>
      <c r="AS55" s="3874"/>
      <c r="AT55" s="3874"/>
      <c r="AU55" s="3874"/>
      <c r="AV55" s="3874"/>
      <c r="AW55" s="3874"/>
      <c r="AX55" s="3874"/>
    </row>
    <row r="56" spans="2:51" s="3853" customFormat="1" ht="15">
      <c r="B56" s="3271"/>
      <c r="C56" s="3283" t="s">
        <v>2597</v>
      </c>
      <c r="D56" s="3286" t="s">
        <v>2600</v>
      </c>
      <c r="E56" s="3286">
        <f ca="1">INDEX(INDIRECT("IV.b.Outputs["&amp;E$5&amp;"]"), MATCH("V.11", INDIRECT("IV.b.Outputs[Vector]"), 0))</f>
        <v>4.1054887428987621E-2</v>
      </c>
      <c r="F56" s="3286">
        <f t="shared" ref="F56:M56" ca="1" si="72">INDEX(INDIRECT("IV.b.Outputs["&amp;F$5&amp;"]"), MATCH("V.11", INDIRECT("IV.b.Outputs[Vector]"), 0))</f>
        <v>5.2915063522883464E-2</v>
      </c>
      <c r="G56" s="3286">
        <f t="shared" ca="1" si="72"/>
        <v>5.5796848364472185E-2</v>
      </c>
      <c r="H56" s="3286">
        <f t="shared" ca="1" si="72"/>
        <v>5.8662240154226032E-2</v>
      </c>
      <c r="I56" s="3286">
        <f t="shared" ca="1" si="72"/>
        <v>7.0129937567812564E-2</v>
      </c>
      <c r="J56" s="3286">
        <f t="shared" ca="1" si="72"/>
        <v>7.3391639360886121E-2</v>
      </c>
      <c r="K56" s="3286">
        <f t="shared" ca="1" si="72"/>
        <v>7.68227714428798E-2</v>
      </c>
      <c r="L56" s="3286">
        <f t="shared" ca="1" si="72"/>
        <v>8.0232994859916751E-2</v>
      </c>
      <c r="M56" s="3286">
        <f t="shared" ca="1" si="72"/>
        <v>8.3820866458489254E-2</v>
      </c>
      <c r="N56" s="3274"/>
      <c r="O56"/>
      <c r="Q56" s="3866"/>
      <c r="R56" s="3870" t="s">
        <v>388</v>
      </c>
      <c r="S56" s="3872">
        <f t="shared" ca="1" si="49"/>
        <v>4.5013410000000009</v>
      </c>
      <c r="T56" s="3872">
        <f t="shared" ca="1" si="49"/>
        <v>5.6172527999999993</v>
      </c>
      <c r="U56" s="3872">
        <f t="shared" ca="1" si="49"/>
        <v>5.6216357999999991</v>
      </c>
      <c r="V56" s="3872">
        <f t="shared" ca="1" si="46"/>
        <v>3.3359012999999997</v>
      </c>
      <c r="W56" s="3872">
        <f t="shared" ca="1" si="46"/>
        <v>1.1378267999999998</v>
      </c>
      <c r="X56" s="3872">
        <f t="shared" ca="1" si="46"/>
        <v>3.8789549999999742E-2</v>
      </c>
      <c r="Y56" s="3872">
        <f t="shared" ca="1" si="46"/>
        <v>3.8789549999999742E-2</v>
      </c>
      <c r="Z56" s="3872">
        <f t="shared" ca="1" si="46"/>
        <v>3.8789549999999742E-2</v>
      </c>
      <c r="AA56" s="3872">
        <f t="shared" ca="1" si="46"/>
        <v>3.8789549999999742E-2</v>
      </c>
      <c r="AB56" s="3872"/>
      <c r="AC56" s="3873"/>
      <c r="AD56" s="3872">
        <f t="shared" si="4"/>
        <v>0</v>
      </c>
      <c r="AE56" s="3872">
        <f t="shared" si="5"/>
        <v>0</v>
      </c>
      <c r="AF56" s="3872">
        <f t="shared" si="6"/>
        <v>0</v>
      </c>
      <c r="AG56" s="3872">
        <f t="shared" si="7"/>
        <v>0</v>
      </c>
      <c r="AH56" s="3872">
        <f t="shared" si="8"/>
        <v>0</v>
      </c>
      <c r="AI56" s="3872">
        <f t="shared" si="9"/>
        <v>0</v>
      </c>
      <c r="AJ56" s="3872">
        <f t="shared" si="10"/>
        <v>0</v>
      </c>
      <c r="AK56" s="3872">
        <f t="shared" si="11"/>
        <v>0</v>
      </c>
      <c r="AL56" s="3872">
        <f t="shared" si="12"/>
        <v>0</v>
      </c>
      <c r="AM56" s="3872"/>
      <c r="AN56" s="3873"/>
      <c r="AO56" s="3874"/>
      <c r="AP56" s="3874"/>
      <c r="AQ56" s="3874"/>
      <c r="AR56" s="3874"/>
      <c r="AS56" s="3874"/>
      <c r="AT56" s="3874"/>
      <c r="AU56" s="3874"/>
      <c r="AV56" s="3874"/>
      <c r="AW56" s="3874"/>
      <c r="AX56" s="3874"/>
    </row>
    <row r="57" spans="2:51" s="3853" customFormat="1" ht="15">
      <c r="B57" s="3271"/>
      <c r="C57" s="3283" t="s">
        <v>376</v>
      </c>
      <c r="D57" s="3286" t="s">
        <v>360</v>
      </c>
      <c r="E57" s="3286">
        <f ca="1">-INDEX(INDIRECT("XII.a.Road.Outputs["&amp;E$5&amp;"]"), MATCH("V.12", INDIRECT("XII.a.Road.Outputs[Vector]"), 0))</f>
        <v>0</v>
      </c>
      <c r="F57" s="3286">
        <f t="shared" ref="F57:M57" ca="1" si="73">-INDEX(INDIRECT("XII.a.Road.Outputs["&amp;F$5&amp;"]"), MATCH("V.12", INDIRECT("XII.a.Road.Outputs[Vector]"), 0))</f>
        <v>0</v>
      </c>
      <c r="G57" s="3286">
        <f t="shared" ca="1" si="73"/>
        <v>0</v>
      </c>
      <c r="H57" s="3286">
        <f t="shared" ca="1" si="73"/>
        <v>0</v>
      </c>
      <c r="I57" s="3286">
        <f t="shared" ca="1" si="73"/>
        <v>0</v>
      </c>
      <c r="J57" s="3286">
        <f t="shared" ca="1" si="73"/>
        <v>0</v>
      </c>
      <c r="K57" s="3286">
        <f t="shared" ca="1" si="73"/>
        <v>0</v>
      </c>
      <c r="L57" s="3286">
        <f t="shared" ca="1" si="73"/>
        <v>0</v>
      </c>
      <c r="M57" s="3286">
        <f t="shared" ca="1" si="73"/>
        <v>0</v>
      </c>
      <c r="N57" s="3274"/>
      <c r="O57"/>
      <c r="Q57" s="3866"/>
      <c r="R57" s="3272"/>
      <c r="S57" s="3870"/>
      <c r="T57" s="3870"/>
      <c r="U57" s="3870"/>
      <c r="V57" s="3871"/>
      <c r="W57" s="3871"/>
      <c r="X57" s="3871"/>
      <c r="Y57" s="3871"/>
      <c r="Z57" s="3871"/>
      <c r="AA57" s="3871"/>
      <c r="AB57" s="3871"/>
      <c r="AC57" s="3871"/>
      <c r="AD57" s="3871"/>
      <c r="AE57" s="3871"/>
      <c r="AF57" s="3871"/>
      <c r="AG57" s="3871"/>
      <c r="AH57" s="3871"/>
      <c r="AI57" s="3871"/>
      <c r="AJ57" s="3871"/>
      <c r="AK57" s="3871"/>
      <c r="AL57" s="3871"/>
      <c r="AM57" s="3871"/>
      <c r="AN57" s="3871"/>
      <c r="AO57" s="3871"/>
      <c r="AP57" s="3871"/>
      <c r="AQ57" s="3871"/>
      <c r="AR57" s="3871"/>
      <c r="AS57" s="3871"/>
      <c r="AT57" s="3871"/>
      <c r="AU57" s="3871"/>
      <c r="AV57" s="3871"/>
      <c r="AW57" s="3871"/>
      <c r="AX57" s="3867"/>
    </row>
    <row r="58" spans="2:51" s="3853" customFormat="1">
      <c r="B58" s="3271"/>
      <c r="C58" s="3283" t="s">
        <v>2605</v>
      </c>
      <c r="D58" s="3286" t="s">
        <v>2600</v>
      </c>
      <c r="E58" s="3286">
        <f ca="1">-INDEX(INDIRECT("IX.a.Outputs["&amp;E$5&amp;"]"), MATCH("R.07", INDIRECT("IX.a.Outputs[Vector]"), 0))</f>
        <v>4.9849049835017811E-2</v>
      </c>
      <c r="F58" s="3286">
        <f t="shared" ref="F58:M58" ca="1" si="74">-INDEX(INDIRECT("IX.a.Outputs["&amp;F$5&amp;"]"), MATCH("R.07", INDIRECT("IX.a.Outputs[Vector]"), 0))</f>
        <v>4.7031613264707811E-2</v>
      </c>
      <c r="G58" s="3286">
        <f t="shared" ca="1" si="74"/>
        <v>3.9468326861689378E-2</v>
      </c>
      <c r="H58" s="3286">
        <f t="shared" ca="1" si="74"/>
        <v>3.3945668180055968E-2</v>
      </c>
      <c r="I58" s="3286">
        <f t="shared" ca="1" si="74"/>
        <v>2.7874293752023344E-2</v>
      </c>
      <c r="J58" s="3286">
        <f t="shared" ca="1" si="74"/>
        <v>2.147145376152286E-2</v>
      </c>
      <c r="K58" s="3286">
        <f t="shared" ca="1" si="74"/>
        <v>1.4703140991588266E-2</v>
      </c>
      <c r="L58" s="3286">
        <f t="shared" ca="1" si="74"/>
        <v>7.5332570838156426E-3</v>
      </c>
      <c r="M58" s="3286">
        <f t="shared" ca="1" si="74"/>
        <v>0</v>
      </c>
      <c r="N58" s="3274"/>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53" customFormat="1">
      <c r="B59" s="3271"/>
      <c r="C59" s="3283" t="s">
        <v>2605</v>
      </c>
      <c r="D59" s="3286" t="s">
        <v>2599</v>
      </c>
      <c r="E59" s="3286">
        <f ca="1">-INDEX(INDIRECT("IX.c.Outputs["&amp;E$5&amp;"]"), MATCH("R.07", INDIRECT("IX.c.Outputs[Vector]"), 0))</f>
        <v>6.1350000000000002E-2</v>
      </c>
      <c r="F59" s="3286">
        <f t="shared" ref="F59:M59" ca="1" si="75">-INDEX(INDIRECT("IX.c.Outputs["&amp;F$5&amp;"]"), MATCH("R.07", INDIRECT("IX.c.Outputs[Vector]"), 0))</f>
        <v>9.6373873873873889E-2</v>
      </c>
      <c r="G59" s="3286">
        <f t="shared" ca="1" si="75"/>
        <v>0.19367314189189194</v>
      </c>
      <c r="H59" s="3286">
        <f t="shared" ca="1" si="75"/>
        <v>0.29741385135135134</v>
      </c>
      <c r="I59" s="3286">
        <f t="shared" ca="1" si="75"/>
        <v>0.41004673423423421</v>
      </c>
      <c r="J59" s="3286">
        <f t="shared" ca="1" si="75"/>
        <v>0.5315717905405406</v>
      </c>
      <c r="K59" s="3286">
        <f t="shared" ca="1" si="75"/>
        <v>0.66198902027027007</v>
      </c>
      <c r="L59" s="3286">
        <f t="shared" ca="1" si="75"/>
        <v>0.8012984234234235</v>
      </c>
      <c r="M59" s="3286">
        <f t="shared" ca="1" si="75"/>
        <v>0.9494999999999999</v>
      </c>
      <c r="N59" s="3274"/>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53" customFormat="1">
      <c r="B60" s="3271"/>
      <c r="C60" s="3283" t="s">
        <v>2593</v>
      </c>
      <c r="D60" s="3286" t="s">
        <v>2600</v>
      </c>
      <c r="E60" s="3286">
        <f ca="1">INDEX(INDIRECT("IX.a.CHP.Outputs["&amp;E$5&amp;"]"), MATCH("H.01", INDIRECT("IX.a.CHP.Outputs[Vector]"), 0))</f>
        <v>0</v>
      </c>
      <c r="F60" s="3286">
        <f t="shared" ref="F60:M60" ca="1" si="76">INDEX(INDIRECT("IX.a.CHP.Outputs["&amp;F$5&amp;"]"), MATCH("H.01", INDIRECT("IX.a.CHP.Outputs[Vector]"), 0))</f>
        <v>0</v>
      </c>
      <c r="G60" s="3286">
        <f t="shared" ca="1" si="76"/>
        <v>0</v>
      </c>
      <c r="H60" s="3286">
        <f t="shared" ca="1" si="76"/>
        <v>0</v>
      </c>
      <c r="I60" s="3286">
        <f t="shared" ca="1" si="76"/>
        <v>0</v>
      </c>
      <c r="J60" s="3286">
        <f t="shared" ca="1" si="76"/>
        <v>0</v>
      </c>
      <c r="K60" s="3286">
        <f t="shared" ca="1" si="76"/>
        <v>0</v>
      </c>
      <c r="L60" s="3286">
        <f t="shared" ca="1" si="76"/>
        <v>0</v>
      </c>
      <c r="M60" s="3286">
        <f t="shared" ca="1" si="76"/>
        <v>0</v>
      </c>
      <c r="N60" s="3274"/>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53" customFormat="1">
      <c r="B61" s="3271"/>
      <c r="C61" s="3283" t="s">
        <v>2593</v>
      </c>
      <c r="D61" s="3286" t="s">
        <v>2599</v>
      </c>
      <c r="E61" s="3286">
        <f ca="1">INDEX(INDIRECT("IX.c.CHP.Outputs["&amp;E$5&amp;"]"), MATCH("H.01", INDIRECT("IX.c.CHP.Outputs[Vector]"), 0))</f>
        <v>0</v>
      </c>
      <c r="F61" s="3286">
        <f t="shared" ref="F61:M61" ca="1" si="77">INDEX(INDIRECT("IX.c.CHP.Outputs["&amp;F$5&amp;"]"), MATCH("H.01", INDIRECT("IX.c.CHP.Outputs[Vector]"), 0))</f>
        <v>0</v>
      </c>
      <c r="G61" s="3286">
        <f t="shared" ca="1" si="77"/>
        <v>0</v>
      </c>
      <c r="H61" s="3286">
        <f t="shared" ca="1" si="77"/>
        <v>0</v>
      </c>
      <c r="I61" s="3286">
        <f t="shared" ca="1" si="77"/>
        <v>0</v>
      </c>
      <c r="J61" s="3286">
        <f t="shared" ca="1" si="77"/>
        <v>0</v>
      </c>
      <c r="K61" s="3286">
        <f t="shared" ca="1" si="77"/>
        <v>0</v>
      </c>
      <c r="L61" s="3286">
        <f t="shared" ca="1" si="77"/>
        <v>0</v>
      </c>
      <c r="M61" s="3286">
        <f t="shared" ca="1" si="77"/>
        <v>0</v>
      </c>
      <c r="N61" s="3274"/>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53" customFormat="1">
      <c r="B62" s="3271"/>
      <c r="C62" s="3283" t="s">
        <v>536</v>
      </c>
      <c r="D62" s="3286" t="s">
        <v>2600</v>
      </c>
      <c r="E62" s="3286">
        <f ca="1">-INDEX(INDIRECT("IX.a.Outputs["&amp;E$5&amp;"]"), MATCH("V.07", INDIRECT("IX.a.Outputs[Vector]"), 0))</f>
        <v>0</v>
      </c>
      <c r="F62" s="3286">
        <f t="shared" ref="F62:M62" ca="1" si="78">-INDEX(INDIRECT("IX.a.Outputs["&amp;F$5&amp;"]"), MATCH("V.07", INDIRECT("IX.a.Outputs[Vector]"), 0))</f>
        <v>0</v>
      </c>
      <c r="G62" s="3286">
        <f t="shared" ca="1" si="78"/>
        <v>0</v>
      </c>
      <c r="H62" s="3286">
        <f t="shared" ca="1" si="78"/>
        <v>0</v>
      </c>
      <c r="I62" s="3286">
        <f t="shared" ca="1" si="78"/>
        <v>0</v>
      </c>
      <c r="J62" s="3286">
        <f t="shared" ca="1" si="78"/>
        <v>0</v>
      </c>
      <c r="K62" s="3286">
        <f t="shared" ca="1" si="78"/>
        <v>0</v>
      </c>
      <c r="L62" s="3286">
        <f t="shared" ca="1" si="78"/>
        <v>0</v>
      </c>
      <c r="M62" s="3286">
        <f t="shared" ca="1" si="78"/>
        <v>0</v>
      </c>
      <c r="N62" s="3274"/>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53" customFormat="1">
      <c r="B63" s="3271"/>
      <c r="C63" s="3283" t="s">
        <v>536</v>
      </c>
      <c r="D63" s="3286" t="s">
        <v>2599</v>
      </c>
      <c r="E63" s="3286">
        <f ca="1">-INDEX(INDIRECT("IX.c.Outputs["&amp;E$5&amp;"]"), MATCH("V.07", INDIRECT("IX.c.Outputs[Vector]"), 0))</f>
        <v>0</v>
      </c>
      <c r="F63" s="3286">
        <f t="shared" ref="F63:M63" ca="1" si="79">-INDEX(INDIRECT("IX.c.Outputs["&amp;F$5&amp;"]"), MATCH("V.07", INDIRECT("IX.c.Outputs[Vector]"), 0))</f>
        <v>0</v>
      </c>
      <c r="G63" s="3286">
        <f t="shared" ca="1" si="79"/>
        <v>0</v>
      </c>
      <c r="H63" s="3286">
        <f t="shared" ca="1" si="79"/>
        <v>0</v>
      </c>
      <c r="I63" s="3286">
        <f t="shared" ca="1" si="79"/>
        <v>0</v>
      </c>
      <c r="J63" s="3286">
        <f t="shared" ca="1" si="79"/>
        <v>0</v>
      </c>
      <c r="K63" s="3286">
        <f t="shared" ca="1" si="79"/>
        <v>0</v>
      </c>
      <c r="L63" s="3286">
        <f t="shared" ca="1" si="79"/>
        <v>0</v>
      </c>
      <c r="M63" s="3286">
        <f t="shared" ca="1" si="79"/>
        <v>0</v>
      </c>
      <c r="N63" s="3274"/>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53" customFormat="1">
      <c r="B64" s="3271"/>
      <c r="C64" s="3283" t="s">
        <v>536</v>
      </c>
      <c r="D64" s="3286" t="s">
        <v>359</v>
      </c>
      <c r="E64" s="3286">
        <f ca="1">-INDEX(INDIRECT("XI.a.Outputs["&amp;E$5&amp;"]"), MATCH("V.07", INDIRECT("XI.a.Outputs[Vector]"), 0))-INDEX(INDIRECT("XV.a.Outputs["&amp;E$5&amp;"]"), MATCH("V.07", INDIRECT("XV.a.Outputs[Vector]"), 0))</f>
        <v>2.6537999724419409E-2</v>
      </c>
      <c r="F64" s="3286">
        <f t="shared" ref="F64:M64" ca="1" si="80">-INDEX(INDIRECT("XI.a.Outputs["&amp;F$5&amp;"]"), MATCH("V.07", INDIRECT("XI.a.Outputs[Vector]"), 0))-INDEX(INDIRECT("XV.a.Outputs["&amp;F$5&amp;"]"), MATCH("V.07", INDIRECT("XV.a.Outputs[Vector]"), 0))</f>
        <v>2.6537999724419409E-2</v>
      </c>
      <c r="G64" s="3286">
        <f t="shared" ca="1" si="80"/>
        <v>2.6537999724419409E-2</v>
      </c>
      <c r="H64" s="3286">
        <f t="shared" ca="1" si="80"/>
        <v>2.6537999724419409E-2</v>
      </c>
      <c r="I64" s="3286">
        <f t="shared" ca="1" si="80"/>
        <v>2.6537999724419409E-2</v>
      </c>
      <c r="J64" s="3286">
        <f t="shared" ca="1" si="80"/>
        <v>2.6537999724419409E-2</v>
      </c>
      <c r="K64" s="3286">
        <f t="shared" ca="1" si="80"/>
        <v>2.6537999724419409E-2</v>
      </c>
      <c r="L64" s="3286">
        <f t="shared" ca="1" si="80"/>
        <v>2.6537999724419409E-2</v>
      </c>
      <c r="M64" s="4234">
        <f t="shared" ca="1" si="80"/>
        <v>2.6537999724419409E-2</v>
      </c>
      <c r="N64" s="3274"/>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53" customFormat="1">
      <c r="B65" s="3271"/>
      <c r="C65" s="3283" t="s">
        <v>2596</v>
      </c>
      <c r="D65" s="3286" t="s">
        <v>2600</v>
      </c>
      <c r="E65" s="3286">
        <f ca="1">-INDEX(INDIRECT("IX.a.NoCHP.Outputs["&amp;E$5&amp;"]"), MATCH("V.01", INDIRECT("IX.a.NoCHP.Outputs[Vector]"), 0))</f>
        <v>0.88256437808531207</v>
      </c>
      <c r="F65" s="3286">
        <f t="shared" ref="F65:M65" ca="1" si="81">-INDEX(INDIRECT("IX.a.NoCHP.Outputs["&amp;F$5&amp;"]"), MATCH("V.01", INDIRECT("IX.a.NoCHP.Outputs[Vector]"), 0))</f>
        <v>0.962793920118858</v>
      </c>
      <c r="G65" s="3286">
        <f t="shared" ca="1" si="81"/>
        <v>1.1454171196981839</v>
      </c>
      <c r="H65" s="3286">
        <f t="shared" ca="1" si="81"/>
        <v>1.3895260738128647</v>
      </c>
      <c r="I65" s="3286">
        <f t="shared" ca="1" si="81"/>
        <v>1.639370956886139</v>
      </c>
      <c r="J65" s="3286">
        <f t="shared" ca="1" si="81"/>
        <v>1.9030564366680982</v>
      </c>
      <c r="K65" s="3286">
        <f t="shared" ca="1" si="81"/>
        <v>2.1804320076135117</v>
      </c>
      <c r="L65" s="3286">
        <f t="shared" ca="1" si="81"/>
        <v>2.4660030407149582</v>
      </c>
      <c r="M65" s="3286">
        <f t="shared" ca="1" si="81"/>
        <v>2.76531347349606</v>
      </c>
      <c r="N65" s="3274"/>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53" customFormat="1">
      <c r="B66" s="3271"/>
      <c r="C66" s="3283" t="s">
        <v>16</v>
      </c>
      <c r="D66" s="3286" t="s">
        <v>2600</v>
      </c>
      <c r="E66" s="3286">
        <f ca="1">-INDEX(INDIRECT("IX.a.NoCHP.Outputs["&amp;E$5&amp;"]"), MATCH("V.03", INDIRECT("IX.a.NoCHP.Outputs[Vector]"), 0))</f>
        <v>0.41220752781623782</v>
      </c>
      <c r="F66" s="3286">
        <f t="shared" ref="F66:M66" ca="1" si="82">-INDEX(INDIRECT("IX.a.NoCHP.Outputs["&amp;F$5&amp;"]"), MATCH("V.03", INDIRECT("IX.a.NoCHP.Outputs[Vector]"), 0))</f>
        <v>0.38937857957942934</v>
      </c>
      <c r="G66" s="3286">
        <f t="shared" ca="1" si="82"/>
        <v>0.32773892123175546</v>
      </c>
      <c r="H66" s="3286">
        <f t="shared" ca="1" si="82"/>
        <v>0.28209903725583046</v>
      </c>
      <c r="I66" s="3286">
        <f t="shared" ca="1" si="82"/>
        <v>0.23181941749696361</v>
      </c>
      <c r="J66" s="3286">
        <f t="shared" ca="1" si="82"/>
        <v>0.17871552254345516</v>
      </c>
      <c r="K66" s="3286">
        <f t="shared" ca="1" si="82"/>
        <v>0.12248271111511547</v>
      </c>
      <c r="L66" s="3286">
        <f t="shared" ca="1" si="82"/>
        <v>6.2808803458401619E-2</v>
      </c>
      <c r="M66" s="3286">
        <f t="shared" ca="1" si="82"/>
        <v>0</v>
      </c>
      <c r="N66" s="3274"/>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53" customFormat="1">
      <c r="B67" s="3271"/>
      <c r="C67" s="3283" t="s">
        <v>1668</v>
      </c>
      <c r="D67" s="3286" t="s">
        <v>2600</v>
      </c>
      <c r="E67" s="3286">
        <f ca="1">-INDEX(INDIRECT("IX.a.NoCHP.Outputs["&amp;E$5&amp;"]"), MATCH("V.04", INDIRECT("IX.a.NoCHP.Outputs[Vector]"), 0))</f>
        <v>15.256778003771721</v>
      </c>
      <c r="F67" s="3286">
        <f t="shared" ref="F67:M67" ca="1" si="83">-INDEX(INDIRECT("IX.a.NoCHP.Outputs["&amp;F$5&amp;"]"), MATCH("V.04", INDIRECT("IX.a.NoCHP.Outputs[Vector]"), 0))</f>
        <v>14.411824499031621</v>
      </c>
      <c r="G67" s="3286">
        <f t="shared" ca="1" si="83"/>
        <v>12.130394587693283</v>
      </c>
      <c r="H67" s="3286">
        <f t="shared" ca="1" si="83"/>
        <v>10.441154263462709</v>
      </c>
      <c r="I67" s="3286">
        <f t="shared" ca="1" si="83"/>
        <v>8.5801863164700922</v>
      </c>
      <c r="J67" s="3286">
        <f t="shared" ca="1" si="83"/>
        <v>6.6146852477887945</v>
      </c>
      <c r="K67" s="3286">
        <f t="shared" ca="1" si="83"/>
        <v>4.5333755612936892</v>
      </c>
      <c r="L67" s="3286">
        <f t="shared" ca="1" si="83"/>
        <v>2.324702744086121</v>
      </c>
      <c r="M67" s="3286">
        <f t="shared" ca="1" si="83"/>
        <v>0</v>
      </c>
      <c r="N67" s="3274"/>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53" customFormat="1">
      <c r="B68" s="3271"/>
      <c r="C68" s="3283" t="s">
        <v>15</v>
      </c>
      <c r="D68" s="3286" t="s">
        <v>2600</v>
      </c>
      <c r="E68" s="3286">
        <f ca="1">-INDEX(INDIRECT("IX.a.NoCHP.Outputs["&amp;E$5&amp;"]"), MATCH("V.05", INDIRECT("IX.a.NoCHP.Outputs[Vector]"), 0))</f>
        <v>9.4463708573767775</v>
      </c>
      <c r="F68" s="3286">
        <f t="shared" ref="F68:M68" ca="1" si="84">-INDEX(INDIRECT("IX.a.NoCHP.Outputs["&amp;F$5&amp;"]"), MATCH("V.05", INDIRECT("IX.a.NoCHP.Outputs[Vector]"), 0))</f>
        <v>10.199540735750485</v>
      </c>
      <c r="G68" s="3286">
        <f t="shared" ca="1" si="84"/>
        <v>11.897301948776613</v>
      </c>
      <c r="H68" s="3286">
        <f t="shared" ca="1" si="84"/>
        <v>14.23206774476146</v>
      </c>
      <c r="I68" s="3286">
        <f t="shared" ca="1" si="84"/>
        <v>16.615606470158163</v>
      </c>
      <c r="J68" s="3286">
        <f t="shared" ca="1" si="84"/>
        <v>19.131212438602503</v>
      </c>
      <c r="K68" s="3286">
        <f t="shared" ca="1" si="84"/>
        <v>21.776894734744477</v>
      </c>
      <c r="L68" s="3286">
        <f t="shared" ca="1" si="84"/>
        <v>24.497783683989923</v>
      </c>
      <c r="M68" s="3286">
        <f t="shared" ca="1" si="84"/>
        <v>27.349254133477515</v>
      </c>
      <c r="N68" s="3274"/>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53" customFormat="1">
      <c r="B69" s="3271"/>
      <c r="C69" s="3283" t="s">
        <v>2596</v>
      </c>
      <c r="D69" s="3286" t="s">
        <v>2599</v>
      </c>
      <c r="E69" s="3286">
        <f ca="1">-INDEX(INDIRECT("IX.c.NoCHP.Outputs["&amp;E$5&amp;"]"), MATCH("V.01", INDIRECT("IX.c.NoCHP.Outputs[Vector]"), 0))</f>
        <v>3.90225</v>
      </c>
      <c r="F69" s="3286">
        <f t="shared" ref="F69:M69" ca="1" si="85">-INDEX(INDIRECT("IX.c.NoCHP.Outputs["&amp;F$5&amp;"]"), MATCH("V.01", INDIRECT("IX.c.NoCHP.Outputs[Vector]"), 0))</f>
        <v>4.0955180180180175</v>
      </c>
      <c r="G69" s="3286">
        <f t="shared" ca="1" si="85"/>
        <v>4.3753471283783796</v>
      </c>
      <c r="H69" s="3286">
        <f t="shared" ca="1" si="85"/>
        <v>4.5082162162162165</v>
      </c>
      <c r="I69" s="3286">
        <f t="shared" ca="1" si="85"/>
        <v>4.6165478603603614</v>
      </c>
      <c r="J69" s="3286">
        <f t="shared" ca="1" si="85"/>
        <v>4.7003420608108115</v>
      </c>
      <c r="K69" s="3286">
        <f t="shared" ca="1" si="85"/>
        <v>4.7595988175675679</v>
      </c>
      <c r="L69" s="3286">
        <f t="shared" ca="1" si="85"/>
        <v>4.7943181306306304</v>
      </c>
      <c r="M69" s="3286">
        <f t="shared" ca="1" si="85"/>
        <v>4.8045</v>
      </c>
      <c r="N69" s="3274"/>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53" customFormat="1">
      <c r="B70" s="3271"/>
      <c r="C70" s="3283" t="s">
        <v>16</v>
      </c>
      <c r="D70" s="3286" t="s">
        <v>2599</v>
      </c>
      <c r="E70" s="3286">
        <f ca="1">-INDEX(INDIRECT("IX.c.NoCHP.Outputs["&amp;E$5&amp;"]"), MATCH("V.03", INDIRECT("IX.c.NoCHP.Outputs[Vector]"), 0))</f>
        <v>0.32965517241379305</v>
      </c>
      <c r="F70" s="3286">
        <f t="shared" ref="F70:M70" ca="1" si="86">-INDEX(INDIRECT("IX.c.NoCHP.Outputs["&amp;F$5&amp;"]"), MATCH("V.03", INDIRECT("IX.c.NoCHP.Outputs[Vector]"), 0))</f>
        <v>0.32096924510717612</v>
      </c>
      <c r="G70" s="3286">
        <f t="shared" ca="1" si="86"/>
        <v>0.29671481826654245</v>
      </c>
      <c r="H70" s="3286">
        <f t="shared" ca="1" si="86"/>
        <v>0.25952353215284246</v>
      </c>
      <c r="I70" s="3286">
        <f t="shared" ca="1" si="86"/>
        <v>0.21742777260018636</v>
      </c>
      <c r="J70" s="3286">
        <f t="shared" ca="1" si="86"/>
        <v>0.17042753960857404</v>
      </c>
      <c r="K70" s="3286">
        <f t="shared" ca="1" si="86"/>
        <v>0.11852283317800553</v>
      </c>
      <c r="L70" s="3286">
        <f t="shared" ca="1" si="86"/>
        <v>6.1713653308480845E-2</v>
      </c>
      <c r="M70" s="3286">
        <f t="shared" ca="1" si="86"/>
        <v>0</v>
      </c>
      <c r="N70" s="3274"/>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53" customFormat="1">
      <c r="B71" s="3271"/>
      <c r="C71" s="3283" t="s">
        <v>1668</v>
      </c>
      <c r="D71" s="3286" t="s">
        <v>2599</v>
      </c>
      <c r="E71" s="3286">
        <f ca="1">-INDEX(INDIRECT("IX.c.NoCHP.Outputs["&amp;E$5&amp;"]"), MATCH("V.04", INDIRECT("IX.c.NoCHP.Outputs[Vector]"), 0))</f>
        <v>2.2668041237113408</v>
      </c>
      <c r="F71" s="3286">
        <f t="shared" ref="F71:M71" ca="1" si="87">-INDEX(INDIRECT("IX.c.NoCHP.Outputs["&amp;F$5&amp;"]"), MATCH("V.04", INDIRECT("IX.c.NoCHP.Outputs[Vector]"), 0))</f>
        <v>2.2070771802730569</v>
      </c>
      <c r="G71" s="3286">
        <f t="shared" ca="1" si="87"/>
        <v>2.040296740039008</v>
      </c>
      <c r="H71" s="3286">
        <f t="shared" ca="1" si="87"/>
        <v>1.7845587210922258</v>
      </c>
      <c r="I71" s="3286">
        <f t="shared" ca="1" si="87"/>
        <v>1.4950961270548895</v>
      </c>
      <c r="J71" s="3286">
        <f t="shared" ca="1" si="87"/>
        <v>1.1719089579269988</v>
      </c>
      <c r="K71" s="3286">
        <f t="shared" ca="1" si="87"/>
        <v>0.81499721370855327</v>
      </c>
      <c r="L71" s="3286">
        <f t="shared" ca="1" si="87"/>
        <v>0.42436089439955366</v>
      </c>
      <c r="M71" s="3286">
        <f t="shared" ca="1" si="87"/>
        <v>0</v>
      </c>
      <c r="N71" s="3274"/>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53" customFormat="1">
      <c r="B72" s="3271"/>
      <c r="C72" s="3283" t="s">
        <v>15</v>
      </c>
      <c r="D72" s="3286" t="s">
        <v>2599</v>
      </c>
      <c r="E72" s="3286">
        <f ca="1">-INDEX(INDIRECT("IX.c.NoCHP.Outputs["&amp;E$5&amp;"]"), MATCH("V.05", INDIRECT("IX.c.NoCHP.Outputs[Vector]"), 0))</f>
        <v>4.9320532099479477</v>
      </c>
      <c r="F72" s="3286">
        <f t="shared" ref="F72:M72" ca="1" si="88">-INDEX(INDIRECT("IX.c.NoCHP.Outputs["&amp;F$5&amp;"]"), MATCH("V.05", INDIRECT("IX.c.NoCHP.Outputs[Vector]"), 0))</f>
        <v>5.2696981539086805</v>
      </c>
      <c r="G72" s="3286">
        <f t="shared" ca="1" si="88"/>
        <v>6.2042971253497576</v>
      </c>
      <c r="H72" s="3286">
        <f t="shared" ca="1" si="88"/>
        <v>7.0586798336798342</v>
      </c>
      <c r="I72" s="3286">
        <f t="shared" ca="1" si="88"/>
        <v>7.9647226173541954</v>
      </c>
      <c r="J72" s="3286">
        <f t="shared" ca="1" si="88"/>
        <v>8.9224254763728439</v>
      </c>
      <c r="K72" s="3286">
        <f t="shared" ca="1" si="88"/>
        <v>9.931788410735777</v>
      </c>
      <c r="L72" s="3286">
        <f t="shared" ca="1" si="88"/>
        <v>10.992811420442997</v>
      </c>
      <c r="M72" s="3286">
        <f t="shared" ca="1" si="88"/>
        <v>12.105494505494505</v>
      </c>
      <c r="N72" s="3274"/>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53" customFormat="1">
      <c r="B73" s="3271"/>
      <c r="C73" s="3283" t="s">
        <v>2596</v>
      </c>
      <c r="D73" s="3286" t="s">
        <v>2604</v>
      </c>
      <c r="E73" s="3286">
        <f ca="1">-INDEX(INDIRECT("X.a.Outputs["&amp;E$5&amp;"]"), MATCH("V.01", INDIRECT("X.a.Outputs[Vector]"), 0))-INDEX(INDIRECT("IV.b.Outputs["&amp;E$5&amp;"]"), MATCH("V.01", INDIRECT("IV.b.Outputs[Vector]"), 0))</f>
        <v>5.0523950587356659</v>
      </c>
      <c r="F73" s="3286">
        <f t="shared" ref="F73:M73" ca="1" si="89">-INDEX(INDIRECT("X.a.Outputs["&amp;F$5&amp;"]"), MATCH("V.01", INDIRECT("X.a.Outputs[Vector]"), 0))-INDEX(INDIRECT("IV.b.Outputs["&amp;F$5&amp;"]"), MATCH("V.01", INDIRECT("IV.b.Outputs[Vector]"), 0))</f>
        <v>5.1644709809299076</v>
      </c>
      <c r="G73" s="3286">
        <f t="shared" ca="1" si="89"/>
        <v>5.3205934272672897</v>
      </c>
      <c r="H73" s="3286">
        <f t="shared" ca="1" si="89"/>
        <v>5.4679114396614938</v>
      </c>
      <c r="I73" s="3286">
        <f t="shared" ca="1" si="89"/>
        <v>5.5922954195219905</v>
      </c>
      <c r="J73" s="3286">
        <f t="shared" ca="1" si="89"/>
        <v>5.7221068357872609</v>
      </c>
      <c r="K73" s="3286">
        <f t="shared" ca="1" si="89"/>
        <v>5.8570147973019999</v>
      </c>
      <c r="L73" s="3286">
        <f t="shared" ca="1" si="89"/>
        <v>5.9823300393107246</v>
      </c>
      <c r="M73" s="3286">
        <f t="shared" ca="1" si="89"/>
        <v>6.1400667414710473</v>
      </c>
      <c r="N73" s="3274"/>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53" customFormat="1">
      <c r="B74" s="3271"/>
      <c r="C74" s="3283" t="s">
        <v>15</v>
      </c>
      <c r="D74" s="3286" t="s">
        <v>2604</v>
      </c>
      <c r="E74" s="3286">
        <f ca="1">-INDEX(INDIRECT("X.a.Outputs["&amp;E$5&amp;"]"), MATCH("V.05", INDIRECT("X.a.Outputs[Vector]"), 0))</f>
        <v>0.40457721538039892</v>
      </c>
      <c r="F74" s="3286">
        <f t="shared" ref="F74:M74" ca="1" si="90">-INDEX(INDIRECT("X.a.Outputs["&amp;F$5&amp;"]"), MATCH("V.05", INDIRECT("X.a.Outputs[Vector]"), 0))</f>
        <v>0.4137806755006152</v>
      </c>
      <c r="G74" s="3286">
        <f t="shared" ca="1" si="90"/>
        <v>0.42514527849657968</v>
      </c>
      <c r="H74" s="3286">
        <f t="shared" ca="1" si="90"/>
        <v>0.43655111031405541</v>
      </c>
      <c r="I74" s="3286">
        <f t="shared" ca="1" si="90"/>
        <v>0.44627462943047569</v>
      </c>
      <c r="J74" s="3286">
        <f t="shared" ca="1" si="90"/>
        <v>0.45669274186615982</v>
      </c>
      <c r="K74" s="3286">
        <f t="shared" ca="1" si="90"/>
        <v>0.46774542008497805</v>
      </c>
      <c r="L74" s="3286">
        <f t="shared" ca="1" si="90"/>
        <v>0.47827351996051393</v>
      </c>
      <c r="M74" s="3286">
        <f t="shared" ca="1" si="90"/>
        <v>0.49147979316024482</v>
      </c>
      <c r="N74" s="3274"/>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53" customFormat="1">
      <c r="B75" s="3271"/>
      <c r="C75" s="3283" t="s">
        <v>2596</v>
      </c>
      <c r="D75" s="3286" t="s">
        <v>2602</v>
      </c>
      <c r="E75" s="3286">
        <f ca="1">-INDEX(INDIRECT("X.b.Outputs["&amp;E$5&amp;"]"), MATCH("V.01", INDIRECT("X.b.Outputs[Vector]"), 0))</f>
        <v>4.048</v>
      </c>
      <c r="F75" s="3286">
        <f t="shared" ref="F75:M75" ca="1" si="91">-INDEX(INDIRECT("X.b.Outputs["&amp;F$5&amp;"]"), MATCH("V.01", INDIRECT("X.b.Outputs[Vector]"), 0))</f>
        <v>4.1010179951924579</v>
      </c>
      <c r="G75" s="3286">
        <f t="shared" ca="1" si="91"/>
        <v>4.2335629831736199</v>
      </c>
      <c r="H75" s="3286">
        <f t="shared" ca="1" si="91"/>
        <v>4.3661079711547659</v>
      </c>
      <c r="I75" s="3286">
        <f t="shared" ca="1" si="91"/>
        <v>4.4986529591359217</v>
      </c>
      <c r="J75" s="3286">
        <f t="shared" ca="1" si="91"/>
        <v>4.6311979471170677</v>
      </c>
      <c r="K75" s="3286">
        <f t="shared" ca="1" si="91"/>
        <v>4.7637429350982234</v>
      </c>
      <c r="L75" s="3286">
        <f t="shared" ca="1" si="91"/>
        <v>4.8962879230793801</v>
      </c>
      <c r="M75" s="3286">
        <f t="shared" ca="1" si="91"/>
        <v>5.0288329110605261</v>
      </c>
      <c r="N75" s="3274"/>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53" customFormat="1">
      <c r="B76" s="3271"/>
      <c r="C76" s="3283" t="s">
        <v>15</v>
      </c>
      <c r="D76" s="3286" t="s">
        <v>2602</v>
      </c>
      <c r="E76" s="3286">
        <f ca="1">-INDEX(INDIRECT("X.b.Outputs["&amp;E$5&amp;"]"), MATCH("V.05", INDIRECT("X.b.Outputs[Vector]"), 0))</f>
        <v>0.49199999999999999</v>
      </c>
      <c r="F76" s="3286">
        <f t="shared" ref="F76:M76" ca="1" si="92">-INDEX(INDIRECT("X.b.Outputs["&amp;F$5&amp;"]"), MATCH("V.05", INDIRECT("X.b.Outputs[Vector]"), 0))</f>
        <v>0.492180269526512</v>
      </c>
      <c r="G76" s="3286">
        <f t="shared" ca="1" si="92"/>
        <v>0.4926309433428</v>
      </c>
      <c r="H76" s="3286">
        <f t="shared" ca="1" si="92"/>
        <v>0.49308161715908405</v>
      </c>
      <c r="I76" s="3286">
        <f t="shared" ca="1" si="92"/>
        <v>0.49353229097536799</v>
      </c>
      <c r="J76" s="3286">
        <f t="shared" ca="1" si="92"/>
        <v>0.49398296479165205</v>
      </c>
      <c r="K76" s="3286">
        <f t="shared" ca="1" si="92"/>
        <v>0.49443363860793604</v>
      </c>
      <c r="L76" s="3286">
        <f t="shared" ca="1" si="92"/>
        <v>0.49488431242421999</v>
      </c>
      <c r="M76" s="3286">
        <f t="shared" ca="1" si="92"/>
        <v>0.49533498624050404</v>
      </c>
      <c r="N76" s="3274"/>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53" customFormat="1">
      <c r="B77" s="3271"/>
      <c r="C77" s="3283" t="s">
        <v>2596</v>
      </c>
      <c r="D77" s="3286" t="s">
        <v>359</v>
      </c>
      <c r="E77" s="3286">
        <f ca="1">-INDEX(INDIRECT("XI.a.Outputs["&amp;E$5&amp;"]"), MATCH("V.01", INDIRECT("XI.a.Outputs[Vector]"), 0))-INDEX(INDIRECT("XV.a.Outputs["&amp;E$5&amp;"]"), MATCH("V.01", INDIRECT("XV.a.Outputs[Vector]"), 0))-INDEX(INDIRECT("XV.b.Outputs["&amp;E$5&amp;"]"), MATCH("V.01", INDIRECT("XV.b.Outputs[Vector]"), 0))</f>
        <v>9.5823684987261633</v>
      </c>
      <c r="F77" s="3286">
        <f t="shared" ref="F77:M77" ca="1" si="93">-INDEX(INDIRECT("XI.a.Outputs["&amp;F$5&amp;"]"), MATCH("V.01", INDIRECT("XI.a.Outputs[Vector]"), 0))-INDEX(INDIRECT("XV.a.Outputs["&amp;F$5&amp;"]"), MATCH("V.01", INDIRECT("XV.a.Outputs[Vector]"), 0))-INDEX(INDIRECT("XV.b.Outputs["&amp;F$5&amp;"]"), MATCH("V.01", INDIRECT("XV.b.Outputs[Vector]"), 0))</f>
        <v>9.8438827473021036</v>
      </c>
      <c r="G77" s="3286">
        <f t="shared" ca="1" si="93"/>
        <v>10.549900997716337</v>
      </c>
      <c r="H77" s="3286">
        <f t="shared" ca="1" si="93"/>
        <v>11.335485409174369</v>
      </c>
      <c r="I77" s="3286">
        <f t="shared" ca="1" si="93"/>
        <v>12.195030666482216</v>
      </c>
      <c r="J77" s="3286">
        <f t="shared" ca="1" si="93"/>
        <v>13.165737385148535</v>
      </c>
      <c r="K77" s="3286">
        <f t="shared" ca="1" si="93"/>
        <v>14.235416223755003</v>
      </c>
      <c r="L77" s="3286">
        <f t="shared" ca="1" si="93"/>
        <v>15.41441633813851</v>
      </c>
      <c r="M77" s="3286">
        <f t="shared" ca="1" si="93"/>
        <v>16.714184108793678</v>
      </c>
      <c r="N77" s="3274"/>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53" customFormat="1">
      <c r="B78" s="3271"/>
      <c r="C78" s="3283" t="s">
        <v>16</v>
      </c>
      <c r="D78" s="3286" t="s">
        <v>359</v>
      </c>
      <c r="E78" s="3286">
        <f ca="1">-INDEX(INDIRECT("XI.a.Outputs["&amp;E$5&amp;"]"), MATCH("V.03", INDIRECT("XI.a.Outputs[Vector]"), 0))-INDEX(INDIRECT("XV.b.Outputs["&amp;E$5&amp;"]"), MATCH("V.03", INDIRECT("XV.b.Outputs[Vector]"), 0))</f>
        <v>3.1130179240072393</v>
      </c>
      <c r="F78" s="3286">
        <f t="shared" ref="F78:M78" ca="1" si="94">-INDEX(INDIRECT("XI.a.Outputs["&amp;F$5&amp;"]"), MATCH("V.03", INDIRECT("XI.a.Outputs[Vector]"), 0))-INDEX(INDIRECT("XV.b.Outputs["&amp;F$5&amp;"]"), MATCH("V.03", INDIRECT("XV.b.Outputs[Vector]"), 0))</f>
        <v>3.2034278941319903</v>
      </c>
      <c r="G78" s="3286">
        <f t="shared" ca="1" si="94"/>
        <v>3.4448209500963056</v>
      </c>
      <c r="H78" s="3286">
        <f t="shared" ca="1" si="94"/>
        <v>3.712615756898809</v>
      </c>
      <c r="I78" s="3286">
        <f t="shared" ca="1" si="94"/>
        <v>4.0068592429233831</v>
      </c>
      <c r="J78" s="3286">
        <f t="shared" ca="1" si="94"/>
        <v>4.3318213414220113</v>
      </c>
      <c r="K78" s="3286">
        <f t="shared" ca="1" si="94"/>
        <v>4.6899161948198707</v>
      </c>
      <c r="L78" s="3286">
        <f t="shared" ca="1" si="94"/>
        <v>5.0846083752001414</v>
      </c>
      <c r="M78" s="3286">
        <f t="shared" ca="1" si="94"/>
        <v>5.5197297709738296</v>
      </c>
      <c r="N78" s="3274"/>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53" customFormat="1">
      <c r="B79" s="3271"/>
      <c r="C79" s="3283" t="s">
        <v>1668</v>
      </c>
      <c r="D79" s="3286" t="s">
        <v>359</v>
      </c>
      <c r="E79" s="3286">
        <f ca="1">-INDEX(INDIRECT("XI.a.Outputs["&amp;E$5&amp;"]"), MATCH("V.04", INDIRECT("XI.a.Outputs[Vector]"), 0))-INDEX(INDIRECT("XV.a.Outputs["&amp;E$5&amp;"]"), MATCH("V.04", INDIRECT("XV.a.Outputs[Vector]"), 0))</f>
        <v>8.2022858135888708</v>
      </c>
      <c r="F79" s="3286">
        <f t="shared" ref="F79:M79" ca="1" si="95">-INDEX(INDIRECT("XI.a.Outputs["&amp;F$5&amp;"]"), MATCH("V.04", INDIRECT("XI.a.Outputs[Vector]"), 0))-INDEX(INDIRECT("XV.a.Outputs["&amp;F$5&amp;"]"), MATCH("V.04", INDIRECT("XV.a.Outputs[Vector]"), 0))</f>
        <v>8.3879119485941747</v>
      </c>
      <c r="G79" s="3286">
        <f t="shared" ca="1" si="95"/>
        <v>8.8844563021528344</v>
      </c>
      <c r="H79" s="3286">
        <f t="shared" ca="1" si="95"/>
        <v>9.4312399108974958</v>
      </c>
      <c r="I79" s="3286">
        <f t="shared" ca="1" si="95"/>
        <v>10.03349359254819</v>
      </c>
      <c r="J79" s="3286">
        <f t="shared" ca="1" si="95"/>
        <v>10.69700141424153</v>
      </c>
      <c r="K79" s="3286">
        <f t="shared" ca="1" si="95"/>
        <v>11.42815971619536</v>
      </c>
      <c r="L79" s="3286">
        <f t="shared" ca="1" si="95"/>
        <v>12.234042463917133</v>
      </c>
      <c r="M79" s="3286">
        <f t="shared" ca="1" si="95"/>
        <v>13.122473609628683</v>
      </c>
      <c r="N79" s="3274"/>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53" customFormat="1">
      <c r="B80" s="3271"/>
      <c r="C80" s="3283" t="s">
        <v>15</v>
      </c>
      <c r="D80" s="3286" t="s">
        <v>359</v>
      </c>
      <c r="E80" s="3286">
        <f ca="1">-INDEX(INDIRECT("XI.a.Outputs["&amp;E$5&amp;"]"), MATCH("V.05", INDIRECT("XI.a.Outputs[Vector]"), 0))-INDEX(INDIRECT("XV.a.Outputs["&amp;E$5&amp;"]"), MATCH("V.05", INDIRECT("XV.a.Outputs[Vector]"), 0))-INDEX(INDIRECT("XV.b.Outputs["&amp;E$5&amp;"]"), MATCH("V.05", INDIRECT("XV.b.Outputs[Vector]"), 0))</f>
        <v>7.3285468601179335</v>
      </c>
      <c r="F80" s="3286">
        <f t="shared" ref="F80:M80" ca="1" si="96">-INDEX(INDIRECT("XI.a.Outputs["&amp;F$5&amp;"]"), MATCH("V.05", INDIRECT("XI.a.Outputs[Vector]"), 0))-INDEX(INDIRECT("XV.a.Outputs["&amp;F$5&amp;"]"), MATCH("V.05", INDIRECT("XV.a.Outputs[Vector]"), 0))-INDEX(INDIRECT("XV.b.Outputs["&amp;F$5&amp;"]"), MATCH("V.05", INDIRECT("XV.b.Outputs[Vector]"), 0))</f>
        <v>7.6547085478599897</v>
      </c>
      <c r="G80" s="3286">
        <f t="shared" ca="1" si="96"/>
        <v>10.405226053388153</v>
      </c>
      <c r="H80" s="3286">
        <f t="shared" ca="1" si="96"/>
        <v>9.3832317309483937</v>
      </c>
      <c r="I80" s="3286">
        <f t="shared" ca="1" si="96"/>
        <v>9.4102672004401171</v>
      </c>
      <c r="J80" s="3286">
        <f t="shared" ca="1" si="96"/>
        <v>10.166770606591264</v>
      </c>
      <c r="K80" s="3286">
        <f t="shared" ca="1" si="96"/>
        <v>11.000406213858307</v>
      </c>
      <c r="L80" s="3286">
        <f t="shared" ca="1" si="96"/>
        <v>11.919239456930061</v>
      </c>
      <c r="M80" s="3286">
        <f t="shared" ca="1" si="96"/>
        <v>12.932190873457877</v>
      </c>
      <c r="N80" s="3274"/>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53" customFormat="1">
      <c r="B81" s="3271"/>
      <c r="C81" s="3283" t="s">
        <v>2596</v>
      </c>
      <c r="D81" s="3286" t="s">
        <v>392</v>
      </c>
      <c r="E81" s="3286">
        <f ca="1">-INDEX(INDIRECT("VI.a.Outputs["&amp;E$5&amp;"]"), MATCH("V.01", INDIRECT("VI.a.Outputs[Vector]"), 0))</f>
        <v>0.54810000000000003</v>
      </c>
      <c r="F81" s="3286">
        <f t="shared" ref="F81:M81" ca="1" si="97">-INDEX(INDIRECT("VI.a.Outputs["&amp;F$5&amp;"]"), MATCH("V.01", INDIRECT("VI.a.Outputs[Vector]"), 0))</f>
        <v>0.55489580999999999</v>
      </c>
      <c r="G81" s="3286">
        <f t="shared" ca="1" si="97"/>
        <v>0.57248896254738002</v>
      </c>
      <c r="H81" s="3286">
        <f t="shared" ca="1" si="97"/>
        <v>0.59097954268761899</v>
      </c>
      <c r="I81" s="3286">
        <f t="shared" ca="1" si="97"/>
        <v>0.61041332824718952</v>
      </c>
      <c r="J81" s="3286">
        <f t="shared" ca="1" si="97"/>
        <v>0.63083843218178637</v>
      </c>
      <c r="K81" s="3286">
        <f t="shared" ca="1" si="97"/>
        <v>0.65230542169138483</v>
      </c>
      <c r="L81" s="3286">
        <f t="shared" ca="1" si="97"/>
        <v>0.67486744341136407</v>
      </c>
      <c r="M81" s="3286">
        <f t="shared" ca="1" si="97"/>
        <v>0.69858035498963655</v>
      </c>
      <c r="N81" s="3274"/>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53" customFormat="1">
      <c r="B82" s="3271"/>
      <c r="C82" s="3283" t="s">
        <v>16</v>
      </c>
      <c r="D82" s="3286" t="s">
        <v>392</v>
      </c>
      <c r="E82" s="3286">
        <f ca="1">-INDEX(INDIRECT("VI.a.Outputs["&amp;E$5&amp;"]"), MATCH("V.03", INDIRECT("VI.a.Outputs[Vector]"), 0))</f>
        <v>0</v>
      </c>
      <c r="F82" s="3286">
        <f t="shared" ref="F82:M82" ca="1" si="98">-INDEX(INDIRECT("VI.a.Outputs["&amp;F$5&amp;"]"), MATCH("V.03", INDIRECT("VI.a.Outputs[Vector]"), 0))</f>
        <v>0</v>
      </c>
      <c r="G82" s="3286">
        <f t="shared" ca="1" si="98"/>
        <v>0</v>
      </c>
      <c r="H82" s="3286">
        <f t="shared" ca="1" si="98"/>
        <v>0</v>
      </c>
      <c r="I82" s="3286">
        <f t="shared" ca="1" si="98"/>
        <v>0</v>
      </c>
      <c r="J82" s="3286">
        <f t="shared" ca="1" si="98"/>
        <v>0</v>
      </c>
      <c r="K82" s="3286">
        <f t="shared" ca="1" si="98"/>
        <v>0</v>
      </c>
      <c r="L82" s="3286">
        <f t="shared" ca="1" si="98"/>
        <v>0</v>
      </c>
      <c r="M82" s="3286">
        <f t="shared" ca="1" si="98"/>
        <v>0</v>
      </c>
      <c r="N82" s="3274"/>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53" customFormat="1">
      <c r="B83" s="3271"/>
      <c r="C83" s="3283" t="s">
        <v>1668</v>
      </c>
      <c r="D83" s="3286" t="s">
        <v>392</v>
      </c>
      <c r="E83" s="3286">
        <f ca="1">-INDEX(INDIRECT("VI.a.Outputs["&amp;E$5&amp;"]"), MATCH("V.04", INDIRECT("VI.a.Outputs[Vector]"), 0))</f>
        <v>2.0619000000000005</v>
      </c>
      <c r="F83" s="3286">
        <f t="shared" ref="F83:M83" ca="1" si="99">-INDEX(INDIRECT("VI.a.Outputs["&amp;F$5&amp;"]"), MATCH("V.04", INDIRECT("VI.a.Outputs[Vector]"), 0))</f>
        <v>2.0874651900000001</v>
      </c>
      <c r="G83" s="3286">
        <f t="shared" ca="1" si="99"/>
        <v>2.1536489543449062</v>
      </c>
      <c r="H83" s="3286">
        <f t="shared" ca="1" si="99"/>
        <v>2.2232087558248526</v>
      </c>
      <c r="I83" s="3286">
        <f t="shared" ca="1" si="99"/>
        <v>2.2963168062632371</v>
      </c>
      <c r="J83" s="3286">
        <f t="shared" ca="1" si="99"/>
        <v>2.3731541020171969</v>
      </c>
      <c r="K83" s="3286">
        <f t="shared" ca="1" si="99"/>
        <v>2.4539108720771146</v>
      </c>
      <c r="L83" s="3286">
        <f t="shared" ca="1" si="99"/>
        <v>2.538787049023703</v>
      </c>
      <c r="M83" s="3286">
        <f t="shared" ca="1" si="99"/>
        <v>2.6279927640086331</v>
      </c>
      <c r="N83" s="3274"/>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53" customFormat="1">
      <c r="B84" s="3271"/>
      <c r="C84" s="3283" t="s">
        <v>15</v>
      </c>
      <c r="D84" s="3286" t="s">
        <v>392</v>
      </c>
      <c r="E84" s="3286">
        <f ca="1">-INDEX(INDIRECT("VI.a.Outputs["&amp;E$5&amp;"]"), MATCH("V.05", INDIRECT("VI.a.Outputs[Vector]"), 0))</f>
        <v>0</v>
      </c>
      <c r="F84" s="3286">
        <f t="shared" ref="F84:M84" ca="1" si="100">-INDEX(INDIRECT("VI.a.Outputs["&amp;F$5&amp;"]"), MATCH("V.05", INDIRECT("VI.a.Outputs[Vector]"), 0))</f>
        <v>0</v>
      </c>
      <c r="G84" s="3286">
        <f t="shared" ca="1" si="100"/>
        <v>0</v>
      </c>
      <c r="H84" s="3286">
        <f t="shared" ca="1" si="100"/>
        <v>0</v>
      </c>
      <c r="I84" s="3286">
        <f t="shared" ca="1" si="100"/>
        <v>0</v>
      </c>
      <c r="J84" s="3286">
        <f t="shared" ca="1" si="100"/>
        <v>0</v>
      </c>
      <c r="K84" s="3286">
        <f t="shared" ca="1" si="100"/>
        <v>0</v>
      </c>
      <c r="L84" s="3286">
        <f t="shared" ca="1" si="100"/>
        <v>0</v>
      </c>
      <c r="M84" s="3286">
        <f t="shared" ca="1" si="100"/>
        <v>0</v>
      </c>
      <c r="N84" s="3274"/>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53" customFormat="1">
      <c r="B85" s="3271"/>
      <c r="C85" s="3283" t="s">
        <v>2596</v>
      </c>
      <c r="D85" s="3286" t="s">
        <v>360</v>
      </c>
      <c r="E85" s="3286">
        <f ca="1">-INDEX(INDIRECT("XII.a.Road.Outputs["&amp;E$5&amp;"]"), MATCH("V.01", INDIRECT("XII.a.Road.Outputs[Vector]"), 0))-INDEX(INDIRECT("XII.b.Road.Outputs["&amp;E$5&amp;"]"), MATCH("V.01", INDIRECT("XII.b.Road.Outputs[Vector]"), 0))</f>
        <v>0</v>
      </c>
      <c r="F85" s="3286">
        <f t="shared" ref="F85:M85" ca="1" si="101">-INDEX(INDIRECT("XII.a.Road.Outputs["&amp;F$5&amp;"]"), MATCH("V.01", INDIRECT("XII.a.Road.Outputs[Vector]"), 0))-INDEX(INDIRECT("XII.b.Road.Outputs["&amp;F$5&amp;"]"), MATCH("V.01", INDIRECT("XII.b.Road.Outputs[Vector]"), 0))</f>
        <v>1.991236982972043E-2</v>
      </c>
      <c r="G85" s="3286">
        <f t="shared" ca="1" si="101"/>
        <v>4.499799910922149E-2</v>
      </c>
      <c r="H85" s="3286">
        <f t="shared" ca="1" si="101"/>
        <v>0.32896208849656616</v>
      </c>
      <c r="I85" s="3286">
        <f t="shared" ca="1" si="101"/>
        <v>0.63714753492001019</v>
      </c>
      <c r="J85" s="3286">
        <f t="shared" ca="1" si="101"/>
        <v>1.0082894067572465</v>
      </c>
      <c r="K85" s="3286">
        <f t="shared" ca="1" si="101"/>
        <v>1.4335023715186106</v>
      </c>
      <c r="L85" s="3286">
        <f t="shared" ca="1" si="101"/>
        <v>1.8709362905086837</v>
      </c>
      <c r="M85" s="3286">
        <f t="shared" ca="1" si="101"/>
        <v>2.199075986048471</v>
      </c>
      <c r="N85" s="3274"/>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53" customFormat="1">
      <c r="B86" s="3271"/>
      <c r="C86" s="3283" t="s">
        <v>1668</v>
      </c>
      <c r="D86" s="3286" t="s">
        <v>360</v>
      </c>
      <c r="E86" s="3286">
        <f ca="1">-INDEX(INDIRECT("XII.a.Road.Outputs["&amp;E$5&amp;"]"), MATCH("V.04", INDIRECT("XII.a.Road.Outputs[Vector]"), 0))-INDEX(INDIRECT("XII.b.Road.Outputs["&amp;E$5&amp;"]"), MATCH("V.04", INDIRECT("XII.b.Road.Outputs[Vector]"), 0))</f>
        <v>38.938914480389414</v>
      </c>
      <c r="F86" s="3286">
        <f t="shared" ref="F86:M86" ca="1" si="102">-INDEX(INDIRECT("XII.a.Road.Outputs["&amp;F$5&amp;"]"), MATCH("V.04", INDIRECT("XII.a.Road.Outputs[Vector]"), 0))-INDEX(INDIRECT("XII.b.Road.Outputs["&amp;F$5&amp;"]"), MATCH("V.04", INDIRECT("XII.b.Road.Outputs[Vector]"), 0))</f>
        <v>40.032040392017578</v>
      </c>
      <c r="G86" s="3286">
        <f t="shared" ca="1" si="102"/>
        <v>42.393059671062232</v>
      </c>
      <c r="H86" s="3286">
        <f t="shared" ca="1" si="102"/>
        <v>43.073372183522409</v>
      </c>
      <c r="I86" s="3286">
        <f t="shared" ca="1" si="102"/>
        <v>43.653913999863306</v>
      </c>
      <c r="J86" s="3286">
        <f t="shared" ca="1" si="102"/>
        <v>44.322688101134318</v>
      </c>
      <c r="K86" s="3286">
        <f t="shared" ca="1" si="102"/>
        <v>44.92590070518095</v>
      </c>
      <c r="L86" s="3286">
        <f t="shared" ca="1" si="102"/>
        <v>45.686756103580947</v>
      </c>
      <c r="M86" s="3286">
        <f t="shared" ca="1" si="102"/>
        <v>45.920801943790082</v>
      </c>
      <c r="N86" s="3274"/>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53" customFormat="1">
      <c r="B87" s="3271"/>
      <c r="C87" s="3283" t="s">
        <v>2596</v>
      </c>
      <c r="D87" s="3286" t="s">
        <v>361</v>
      </c>
      <c r="E87" s="3286">
        <f ca="1">-INDEX(INDIRECT("XII.a.Rail.Outputs["&amp;E$5&amp;"]"), MATCH("V.01", INDIRECT("XII.a.Rail.Outputs[Vector]"), 0))-INDEX(INDIRECT("XII.b.Rail.Outputs["&amp;E$5&amp;"]"), MATCH("V.01", INDIRECT("XII.b.Rail.Outputs[Vector]"), 0))</f>
        <v>7.2483297329708235E-2</v>
      </c>
      <c r="F87" s="3286">
        <f t="shared" ref="F87:M87" ca="1" si="103">-INDEX(INDIRECT("XII.a.Rail.Outputs["&amp;F$5&amp;"]"), MATCH("V.01", INDIRECT("XII.a.Rail.Outputs[Vector]"), 0))-INDEX(INDIRECT("XII.b.Rail.Outputs["&amp;F$5&amp;"]"), MATCH("V.01", INDIRECT("XII.b.Rail.Outputs[Vector]"), 0))</f>
        <v>6.9030051807957862E-2</v>
      </c>
      <c r="G87" s="3286">
        <f t="shared" ca="1" si="103"/>
        <v>6.9079072069970396E-2</v>
      </c>
      <c r="H87" s="3286">
        <f t="shared" ca="1" si="103"/>
        <v>6.8263054377111665E-2</v>
      </c>
      <c r="I87" s="3286">
        <f t="shared" ca="1" si="103"/>
        <v>6.7344124480242087E-2</v>
      </c>
      <c r="J87" s="3286">
        <f t="shared" ca="1" si="103"/>
        <v>6.631243173301421E-2</v>
      </c>
      <c r="K87" s="3286">
        <f t="shared" ca="1" si="103"/>
        <v>6.5064075366086604E-2</v>
      </c>
      <c r="L87" s="3286">
        <f t="shared" ca="1" si="103"/>
        <v>6.371268782235974E-2</v>
      </c>
      <c r="M87" s="3286">
        <f t="shared" ca="1" si="103"/>
        <v>3.7766401946705087E-2</v>
      </c>
      <c r="N87" s="3274"/>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53" customFormat="1">
      <c r="B88" s="3271"/>
      <c r="C88" s="3283" t="s">
        <v>1668</v>
      </c>
      <c r="D88" s="3286" t="s">
        <v>361</v>
      </c>
      <c r="E88" s="3286">
        <f ca="1">-INDEX(INDIRECT("XII.a.Rail.Outputs["&amp;E$5&amp;"]"), MATCH("V.04", INDIRECT("XII.a.Rail.Outputs[Vector]"), 0))-INDEX(INDIRECT("XII.b.Rail.Outputs["&amp;E$5&amp;"]"), MATCH("V.04", INDIRECT("XII.b.Rail.Outputs[Vector]"), 0))</f>
        <v>0.41904694746038174</v>
      </c>
      <c r="F88" s="3286">
        <f t="shared" ref="F88:M88" ca="1" si="104">-INDEX(INDIRECT("XII.a.Rail.Outputs["&amp;F$5&amp;"]"), MATCH("V.04", INDIRECT("XII.a.Rail.Outputs[Vector]"), 0))-INDEX(INDIRECT("XII.b.Rail.Outputs["&amp;F$5&amp;"]"), MATCH("V.04", INDIRECT("XII.b.Rail.Outputs[Vector]"), 0))</f>
        <v>0.53563121017733928</v>
      </c>
      <c r="G88" s="3286">
        <f t="shared" ca="1" si="104"/>
        <v>0.52884860733409533</v>
      </c>
      <c r="H88" s="3286">
        <f t="shared" ca="1" si="104"/>
        <v>0.51168189182377677</v>
      </c>
      <c r="I88" s="3286">
        <f t="shared" ca="1" si="104"/>
        <v>0.49297245522357458</v>
      </c>
      <c r="J88" s="3286">
        <f t="shared" ca="1" si="104"/>
        <v>0.47262301881532909</v>
      </c>
      <c r="K88" s="3286">
        <f t="shared" ca="1" si="104"/>
        <v>0.44954978186389749</v>
      </c>
      <c r="L88" s="3286">
        <f t="shared" ca="1" si="104"/>
        <v>0.42503079129842236</v>
      </c>
      <c r="M88" s="3286">
        <f t="shared" ca="1" si="104"/>
        <v>0.38669374180221305</v>
      </c>
      <c r="N88" s="3274"/>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53" customFormat="1">
      <c r="B89" s="3271"/>
      <c r="C89" s="3283" t="s">
        <v>1668</v>
      </c>
      <c r="D89" s="3286" t="s">
        <v>362</v>
      </c>
      <c r="E89" s="3286">
        <f ca="1">-INDEX(INDIRECT("XII.a.Aviation.Outputs["&amp;E$5&amp;"]"), MATCH("V.04", INDIRECT("XII.a.Aviation.Outputs[Vector]"), 0))</f>
        <v>2.7179785187540276E-2</v>
      </c>
      <c r="F89" s="3286">
        <f t="shared" ref="F89:M89" ca="1" si="105">-INDEX(INDIRECT("XII.a.Aviation.Outputs["&amp;F$5&amp;"]"), MATCH("V.04", INDIRECT("XII.a.Aviation.Outputs[Vector]"), 0))</f>
        <v>2.8688317425508068E-2</v>
      </c>
      <c r="G89" s="3286">
        <f t="shared" ca="1" si="105"/>
        <v>2.8626918373697949E-2</v>
      </c>
      <c r="H89" s="3286">
        <f t="shared" ca="1" si="105"/>
        <v>2.8375533440997854E-2</v>
      </c>
      <c r="I89" s="3286">
        <f t="shared" ca="1" si="105"/>
        <v>2.8092836249242522E-2</v>
      </c>
      <c r="J89" s="3286">
        <f t="shared" ca="1" si="105"/>
        <v>2.7773770259370195E-2</v>
      </c>
      <c r="K89" s="3286">
        <f t="shared" ca="1" si="105"/>
        <v>2.7351212236636904E-2</v>
      </c>
      <c r="L89" s="3286">
        <f t="shared" ca="1" si="105"/>
        <v>2.6897963862265332E-2</v>
      </c>
      <c r="M89" s="3286">
        <f t="shared" ca="1" si="105"/>
        <v>2.5579695995584108E-2</v>
      </c>
      <c r="N89" s="3274"/>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53" customFormat="1">
      <c r="B90" s="3271"/>
      <c r="C90" s="3283" t="s">
        <v>1668</v>
      </c>
      <c r="D90" s="3286" t="s">
        <v>363</v>
      </c>
      <c r="E90" s="3286">
        <f ca="1">-INDEX(INDIRECT("XII.b.nationalnavigation.Outputs["&amp;E$5&amp;"]"), MATCH("V.04", INDIRECT("XII.b.nationalnavigation.Outputs[Vector]"), 0))</f>
        <v>0.66</v>
      </c>
      <c r="F90" s="3286">
        <f t="shared" ref="F90:M90" ca="1" si="106">-INDEX(INDIRECT("XII.b.nationalnavigation.Outputs["&amp;F$5&amp;"]"), MATCH("V.04", INDIRECT("XII.b.nationalnavigation.Outputs[Vector]"), 0))</f>
        <v>0.66</v>
      </c>
      <c r="G90" s="3286">
        <f t="shared" ca="1" si="106"/>
        <v>0.66</v>
      </c>
      <c r="H90" s="3286">
        <f t="shared" ca="1" si="106"/>
        <v>0.66</v>
      </c>
      <c r="I90" s="3286">
        <f t="shared" ca="1" si="106"/>
        <v>0.66</v>
      </c>
      <c r="J90" s="3286">
        <f t="shared" ca="1" si="106"/>
        <v>0.66</v>
      </c>
      <c r="K90" s="3286">
        <f t="shared" ca="1" si="106"/>
        <v>0.66</v>
      </c>
      <c r="L90" s="3286">
        <f t="shared" ca="1" si="106"/>
        <v>0.66</v>
      </c>
      <c r="M90" s="3286">
        <f t="shared" ca="1" si="106"/>
        <v>0.66</v>
      </c>
      <c r="N90" s="3274"/>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53" customFormat="1">
      <c r="B91" s="3271"/>
      <c r="C91" s="3283" t="s">
        <v>1668</v>
      </c>
      <c r="D91" s="3286" t="s">
        <v>364</v>
      </c>
      <c r="E91" s="3286">
        <f ca="1">-INDEX(INDIRECT("XII.c.Outputs["&amp;E$5&amp;"]"), MATCH("V.04", INDIRECT("XII.c.Outputs[Vector]"), 0))</f>
        <v>7.02</v>
      </c>
      <c r="F91" s="3286">
        <f t="shared" ref="F91:M91" ca="1" si="107">-INDEX(INDIRECT("XII.c.Outputs["&amp;F$5&amp;"]"), MATCH("V.04", INDIRECT("XII.c.Outputs[Vector]"), 0))</f>
        <v>6.8942086199999997</v>
      </c>
      <c r="G91" s="3286">
        <f t="shared" ca="1" si="107"/>
        <v>7.4554183878892841</v>
      </c>
      <c r="H91" s="3286">
        <f t="shared" ca="1" si="107"/>
        <v>8.0623123555082739</v>
      </c>
      <c r="I91" s="3286">
        <f t="shared" ca="1" si="107"/>
        <v>8.7186093571046239</v>
      </c>
      <c r="J91" s="3286">
        <f t="shared" ca="1" si="107"/>
        <v>9.4283309514618914</v>
      </c>
      <c r="K91" s="3286">
        <f t="shared" ca="1" si="107"/>
        <v>10.195826064607054</v>
      </c>
      <c r="L91" s="3286">
        <f t="shared" ca="1" si="107"/>
        <v>11.025797638510145</v>
      </c>
      <c r="M91" s="3286">
        <f t="shared" ca="1" si="107"/>
        <v>11.923331449069897</v>
      </c>
      <c r="N91" s="3274"/>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53" customFormat="1">
      <c r="B92" s="3271"/>
      <c r="C92" s="3283" t="s">
        <v>2596</v>
      </c>
      <c r="D92" s="3286" t="s">
        <v>486</v>
      </c>
      <c r="E92" s="3286">
        <f ca="1">-INDEX(INDIRECT("XIV.a.Outputs["&amp;E$5&amp;"]"), MATCH("V.01", INDIRECT("XIV.a.Outputs[Vector]"), 0))</f>
        <v>0</v>
      </c>
      <c r="F92" s="3286">
        <f t="shared" ref="F92:M92" ca="1" si="108">-INDEX(INDIRECT("XIV.a.Outputs["&amp;F$5&amp;"]"), MATCH("V.01", INDIRECT("XIV.a.Outputs[Vector]"), 0))</f>
        <v>0</v>
      </c>
      <c r="G92" s="3286">
        <f t="shared" ca="1" si="108"/>
        <v>0</v>
      </c>
      <c r="H92" s="3286">
        <f t="shared" ca="1" si="108"/>
        <v>0</v>
      </c>
      <c r="I92" s="3286">
        <f t="shared" ca="1" si="108"/>
        <v>0</v>
      </c>
      <c r="J92" s="3286">
        <f t="shared" ca="1" si="108"/>
        <v>0</v>
      </c>
      <c r="K92" s="3286">
        <f t="shared" ca="1" si="108"/>
        <v>0</v>
      </c>
      <c r="L92" s="3286">
        <f t="shared" ca="1" si="108"/>
        <v>0</v>
      </c>
      <c r="M92" s="3286">
        <f t="shared" ca="1" si="108"/>
        <v>0</v>
      </c>
      <c r="N92" s="3274"/>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53" customFormat="1">
      <c r="B93" s="3882" t="s">
        <v>64</v>
      </c>
      <c r="C93" s="4100" t="s">
        <v>15</v>
      </c>
      <c r="D93" s="4101" t="s">
        <v>1741</v>
      </c>
      <c r="E93" s="4101">
        <f ca="1">INDEX(INDIRECT("VII.c.Outputs["&amp;E$5&amp;"]"), MATCH("X.01", INDIRECT("VII.c.Outputs[Vector]"), 0))+INDEX(INDIRECT("XVI.a.Outputs["&amp;E$5&amp;"]"), MATCH("X.02", INDIRECT("XVI.a.Outputs[Vector]"), 0))+INDEX(INDIRECT("VII.c.Outputs["&amp;E$5&amp;"]"), MATCH("X.02", INDIRECT("VII.c.Outputs[Vector]"), 0))</f>
        <v>0.78643555014913602</v>
      </c>
      <c r="F93" s="4101">
        <f t="shared" ref="F93:M93" ca="1" si="109">INDEX(INDIRECT("VII.c.Outputs["&amp;F$5&amp;"]"), MATCH("X.01", INDIRECT("VII.c.Outputs[Vector]"), 0))+INDEX(INDIRECT("XVI.a.Outputs["&amp;F$5&amp;"]"), MATCH("X.02", INDIRECT("XVI.a.Outputs[Vector]"), 0))+INDEX(INDIRECT("VII.c.Outputs["&amp;F$5&amp;"]"), MATCH("X.02", INDIRECT("VII.c.Outputs[Vector]"), 0))</f>
        <v>0.87814477246876754</v>
      </c>
      <c r="G93" s="4101">
        <f t="shared" ca="1" si="109"/>
        <v>1.211006077436003</v>
      </c>
      <c r="H93" s="4101">
        <f t="shared" ca="1" si="109"/>
        <v>1.024073504450314</v>
      </c>
      <c r="I93" s="4101">
        <f t="shared" ca="1" si="109"/>
        <v>1.2695667238760142</v>
      </c>
      <c r="J93" s="4101">
        <f t="shared" ca="1" si="109"/>
        <v>1.5800567029497437</v>
      </c>
      <c r="K93" s="4101">
        <f t="shared" ca="1" si="109"/>
        <v>1.7154446822873162</v>
      </c>
      <c r="L93" s="4101">
        <f t="shared" ca="1" si="109"/>
        <v>1.8563239094294868</v>
      </c>
      <c r="M93" s="4101">
        <f t="shared" ca="1" si="109"/>
        <v>2.0060362560850513</v>
      </c>
      <c r="N93" s="3274"/>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53" customFormat="1">
      <c r="B94" s="3882"/>
      <c r="C94" s="4100"/>
      <c r="D94" s="4101"/>
      <c r="E94" s="4101"/>
      <c r="F94" s="4101"/>
      <c r="G94" s="4101"/>
      <c r="H94" s="4101"/>
      <c r="I94" s="4101"/>
      <c r="J94" s="4101"/>
      <c r="K94" s="4101"/>
      <c r="L94" s="4101"/>
      <c r="M94" s="4101"/>
      <c r="N94" s="3274"/>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53" customFormat="1">
      <c r="B95" s="3271"/>
      <c r="C95" s="3283"/>
      <c r="D95" s="3286"/>
      <c r="E95" s="3286"/>
      <c r="F95" s="3286"/>
      <c r="G95" s="3286"/>
      <c r="H95" s="3286"/>
      <c r="I95" s="3286"/>
      <c r="J95" s="3286"/>
      <c r="K95" s="3286"/>
      <c r="L95" s="3286"/>
      <c r="M95" s="3286"/>
      <c r="N95" s="3274"/>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883" t="s">
        <v>64</v>
      </c>
      <c r="C96" s="3884" t="s">
        <v>3134</v>
      </c>
    </row>
    <row r="97" spans="2:16" ht="15">
      <c r="B97" s="3263" t="s">
        <v>3299</v>
      </c>
      <c r="C97" s="3264"/>
      <c r="D97" s="3264"/>
      <c r="E97" s="3265"/>
      <c r="F97" s="3265"/>
      <c r="G97" s="3265"/>
      <c r="H97" s="3265"/>
      <c r="I97" s="3265"/>
      <c r="J97" s="3265"/>
      <c r="K97" s="3265"/>
      <c r="L97" s="3265"/>
      <c r="M97" s="3265"/>
      <c r="N97" s="3266"/>
    </row>
    <row r="98" spans="2:16" ht="15">
      <c r="B98" s="3267"/>
      <c r="C98" s="3268"/>
      <c r="D98" s="3268"/>
      <c r="E98" s="3269"/>
      <c r="F98" s="3269"/>
      <c r="G98" s="3269"/>
      <c r="H98" s="3269"/>
      <c r="I98" s="3269"/>
      <c r="J98" s="3269"/>
      <c r="K98" s="3269"/>
      <c r="L98" s="3269"/>
      <c r="M98" s="3269"/>
      <c r="N98" s="3270"/>
    </row>
    <row r="99" spans="2:16" ht="15">
      <c r="B99" s="3866"/>
      <c r="C99" s="3272"/>
      <c r="D99" s="3272"/>
      <c r="E99" s="3867"/>
      <c r="F99" s="3867"/>
      <c r="G99" s="3867"/>
      <c r="H99" s="3867"/>
      <c r="I99" s="3867"/>
      <c r="J99" s="3867"/>
      <c r="K99" s="3867"/>
      <c r="L99" s="3867"/>
      <c r="M99" s="3868" t="str">
        <f>Preferences.EnergyUnits</f>
        <v>TWh</v>
      </c>
      <c r="N99" s="3869"/>
    </row>
    <row r="100" spans="2:16" ht="15">
      <c r="B100" s="3866"/>
      <c r="C100" s="3279" t="s">
        <v>2579</v>
      </c>
      <c r="D100" s="3280" t="s">
        <v>2580</v>
      </c>
      <c r="E100" s="3281">
        <v>2013</v>
      </c>
      <c r="F100" s="3281">
        <v>2015</v>
      </c>
      <c r="G100" s="3281">
        <v>2020</v>
      </c>
      <c r="H100" s="3281">
        <v>2025</v>
      </c>
      <c r="I100" s="3281">
        <v>2030</v>
      </c>
      <c r="J100" s="3281">
        <v>2035</v>
      </c>
      <c r="K100" s="3281">
        <v>2040</v>
      </c>
      <c r="L100" s="3281">
        <v>2045</v>
      </c>
      <c r="M100" s="3282">
        <v>2050</v>
      </c>
      <c r="N100" s="3869"/>
    </row>
    <row r="101" spans="2:16" ht="15">
      <c r="B101" s="3866"/>
      <c r="C101" s="3870" t="s">
        <v>3300</v>
      </c>
      <c r="D101" s="3870" t="s">
        <v>16</v>
      </c>
      <c r="E101" s="3871">
        <f ca="1">E17+E25</f>
        <v>1.1718614848196669</v>
      </c>
      <c r="F101" s="3871">
        <f t="shared" ref="F101:M102" ca="1" si="110">F17+F25</f>
        <v>1.685815964378379</v>
      </c>
      <c r="G101" s="3871">
        <f t="shared" ca="1" si="110"/>
        <v>2.0710288047733449</v>
      </c>
      <c r="H101" s="3871">
        <f t="shared" ca="1" si="110"/>
        <v>2.5016989908089702</v>
      </c>
      <c r="I101" s="3871">
        <f t="shared" ca="1" si="110"/>
        <v>3.3500640448612282</v>
      </c>
      <c r="J101" s="3871">
        <f t="shared" ca="1" si="110"/>
        <v>3.4111393239589378</v>
      </c>
      <c r="K101" s="3871">
        <f t="shared" ca="1" si="110"/>
        <v>2.9747473841575749</v>
      </c>
      <c r="L101" s="3871">
        <f t="shared" ca="1" si="110"/>
        <v>2.5408940930767048</v>
      </c>
      <c r="M101" s="3871">
        <f t="shared" ca="1" si="110"/>
        <v>2.6102867681557558</v>
      </c>
      <c r="N101" s="3869"/>
    </row>
    <row r="102" spans="2:16" ht="15">
      <c r="B102" s="3866"/>
      <c r="C102" s="3870" t="s">
        <v>3300</v>
      </c>
      <c r="D102" s="3870" t="s">
        <v>1668</v>
      </c>
      <c r="E102" s="3871">
        <f ca="1">E18+E26</f>
        <v>1.0260008333333333</v>
      </c>
      <c r="F102" s="3871">
        <f t="shared" ca="1" si="110"/>
        <v>1.1555673985366288</v>
      </c>
      <c r="G102" s="3871">
        <f t="shared" ca="1" si="110"/>
        <v>1.15984027102603</v>
      </c>
      <c r="H102" s="3871">
        <f t="shared" ca="1" si="110"/>
        <v>1.1793933341361376</v>
      </c>
      <c r="I102" s="3871">
        <f t="shared" ca="1" si="110"/>
        <v>0.73778890093038496</v>
      </c>
      <c r="J102" s="3871">
        <f t="shared" ca="1" si="110"/>
        <v>0.59320900218883221</v>
      </c>
      <c r="K102" s="3871">
        <f t="shared" ca="1" si="110"/>
        <v>0.448977510546958</v>
      </c>
      <c r="L102" s="3871">
        <f t="shared" ca="1" si="110"/>
        <v>0.3051201027112963</v>
      </c>
      <c r="M102" s="3871">
        <f t="shared" ca="1" si="110"/>
        <v>0.16166439641729724</v>
      </c>
      <c r="N102" s="3869"/>
    </row>
    <row r="103" spans="2:16" ht="15">
      <c r="B103" s="3866"/>
      <c r="C103" s="3870" t="s">
        <v>3300</v>
      </c>
      <c r="D103" s="3870" t="s">
        <v>15</v>
      </c>
      <c r="E103" s="3871">
        <f ca="1">E27</f>
        <v>0.17080321378922586</v>
      </c>
      <c r="F103" s="3871">
        <f t="shared" ref="F103:M103" ca="1" si="111">F27</f>
        <v>0.19925972961025004</v>
      </c>
      <c r="G103" s="3871">
        <f t="shared" ca="1" si="111"/>
        <v>0.27965141325063358</v>
      </c>
      <c r="H103" s="3871">
        <f t="shared" ca="1" si="111"/>
        <v>0.43072395411839237</v>
      </c>
      <c r="I103" s="3871">
        <f t="shared" ca="1" si="111"/>
        <v>0.44436488647061306</v>
      </c>
      <c r="J103" s="3871">
        <f t="shared" ca="1" si="111"/>
        <v>0.58378237623376583</v>
      </c>
      <c r="K103" s="3871">
        <f t="shared" ca="1" si="111"/>
        <v>0.73492217145589944</v>
      </c>
      <c r="L103" s="3871">
        <f t="shared" ca="1" si="111"/>
        <v>0.89862325021820177</v>
      </c>
      <c r="M103" s="3871">
        <f t="shared" ca="1" si="111"/>
        <v>0.93413070678266041</v>
      </c>
      <c r="N103" s="3869"/>
    </row>
    <row r="104" spans="2:16" ht="15">
      <c r="B104" s="3866"/>
      <c r="C104" s="3870"/>
      <c r="D104" s="3870"/>
      <c r="E104" s="3871"/>
      <c r="F104" s="3871"/>
      <c r="G104" s="3871"/>
      <c r="H104" s="3871"/>
      <c r="I104" s="3871"/>
      <c r="J104" s="3871"/>
      <c r="K104" s="3871"/>
      <c r="L104" s="3871"/>
      <c r="M104" s="3871"/>
      <c r="N104" s="3869"/>
    </row>
    <row r="105" spans="2:16" ht="15">
      <c r="B105" s="3866"/>
      <c r="C105" s="3870"/>
      <c r="D105" s="3870"/>
      <c r="E105" s="3871"/>
      <c r="F105" s="3871"/>
      <c r="G105" s="3871"/>
      <c r="H105" s="3871"/>
      <c r="I105" s="3871"/>
      <c r="J105" s="3871"/>
      <c r="K105" s="3871"/>
      <c r="L105" s="3871"/>
      <c r="M105" s="3868" t="str">
        <f>Preferences.EnergyUnits</f>
        <v>TWh</v>
      </c>
      <c r="N105" s="3869"/>
      <c r="P105"/>
    </row>
    <row r="106" spans="2:16" ht="15">
      <c r="B106" s="3866"/>
      <c r="C106" s="3281"/>
      <c r="D106" s="3281" t="s">
        <v>3301</v>
      </c>
      <c r="E106" s="3281">
        <v>2013</v>
      </c>
      <c r="F106" s="3281">
        <v>2015</v>
      </c>
      <c r="G106" s="3281">
        <v>2020</v>
      </c>
      <c r="H106" s="3281">
        <v>2025</v>
      </c>
      <c r="I106" s="3281">
        <v>2030</v>
      </c>
      <c r="J106" s="3281">
        <v>2035</v>
      </c>
      <c r="K106" s="3281">
        <v>2040</v>
      </c>
      <c r="L106" s="3281">
        <v>2045</v>
      </c>
      <c r="M106" s="3282">
        <v>2050</v>
      </c>
      <c r="N106" s="3869"/>
    </row>
    <row r="107" spans="2:16" ht="15">
      <c r="B107" s="3866"/>
      <c r="C107" s="3870" t="s">
        <v>97</v>
      </c>
      <c r="D107" s="3870" t="s">
        <v>16</v>
      </c>
      <c r="E107" s="3871">
        <f ca="1">S51</f>
        <v>24.546877780882912</v>
      </c>
      <c r="F107" s="3871">
        <f t="shared" ref="F107:M107" ca="1" si="112">T51</f>
        <v>25.019085289163165</v>
      </c>
      <c r="G107" s="3871">
        <f t="shared" ca="1" si="112"/>
        <v>22.973379101023177</v>
      </c>
      <c r="H107" s="3871">
        <f t="shared" ca="1" si="112"/>
        <v>23.158342737736056</v>
      </c>
      <c r="I107" s="3871">
        <f t="shared" ca="1" si="112"/>
        <v>17.478475301591967</v>
      </c>
      <c r="J107" s="3871">
        <f t="shared" ca="1" si="112"/>
        <v>4.6809644035740403</v>
      </c>
      <c r="K107" s="3871">
        <f t="shared" ca="1" si="112"/>
        <v>4.9309217391129918</v>
      </c>
      <c r="L107" s="3871">
        <f t="shared" ca="1" si="112"/>
        <v>5.2091308319670242</v>
      </c>
      <c r="M107" s="3871">
        <f t="shared" ca="1" si="112"/>
        <v>5.5197297709738296</v>
      </c>
      <c r="N107" s="3869"/>
    </row>
    <row r="108" spans="2:16" ht="15">
      <c r="B108" s="3866"/>
      <c r="C108" s="3870" t="s">
        <v>98</v>
      </c>
      <c r="D108" s="3870" t="s">
        <v>1668</v>
      </c>
      <c r="E108" s="3871">
        <f ca="1">S34</f>
        <v>77.55283715410927</v>
      </c>
      <c r="F108" s="3871">
        <f t="shared" ref="F108:M108" ca="1" si="113">T34</f>
        <v>75.244847357519276</v>
      </c>
      <c r="G108" s="3871">
        <f t="shared" ca="1" si="113"/>
        <v>76.274750168889341</v>
      </c>
      <c r="H108" s="3871">
        <f t="shared" ca="1" si="113"/>
        <v>76.215903615572714</v>
      </c>
      <c r="I108" s="3871">
        <f t="shared" ca="1" si="113"/>
        <v>75.958681490777167</v>
      </c>
      <c r="J108" s="3871">
        <f t="shared" ca="1" si="113"/>
        <v>75.768165563645425</v>
      </c>
      <c r="K108" s="3871">
        <f t="shared" ca="1" si="113"/>
        <v>75.489071127163243</v>
      </c>
      <c r="L108" s="3871">
        <f t="shared" ca="1" si="113"/>
        <v>75.34637564867829</v>
      </c>
      <c r="M108" s="3871">
        <f t="shared" ca="1" si="113"/>
        <v>74.666873204295086</v>
      </c>
      <c r="N108" s="3869"/>
    </row>
    <row r="109" spans="2:16" ht="15">
      <c r="B109" s="3866"/>
      <c r="C109" s="3870" t="s">
        <v>99</v>
      </c>
      <c r="D109" s="3870" t="s">
        <v>15</v>
      </c>
      <c r="E109" s="3871">
        <f ca="1">S19</f>
        <v>47.644423024441799</v>
      </c>
      <c r="F109" s="3871">
        <f t="shared" ref="F109:M109" ca="1" si="114">T19</f>
        <v>49.652756187892052</v>
      </c>
      <c r="G109" s="3871">
        <f t="shared" ca="1" si="114"/>
        <v>58.021375342342218</v>
      </c>
      <c r="H109" s="3871">
        <f t="shared" ca="1" si="114"/>
        <v>69.72636442192298</v>
      </c>
      <c r="I109" s="3871">
        <f t="shared" ca="1" si="114"/>
        <v>86.351713202080902</v>
      </c>
      <c r="J109" s="3871">
        <f t="shared" ca="1" si="114"/>
        <v>107.50095260916643</v>
      </c>
      <c r="K109" s="3871">
        <f t="shared" ca="1" si="114"/>
        <v>116.81334567289764</v>
      </c>
      <c r="L109" s="3871">
        <f t="shared" ca="1" si="114"/>
        <v>126.50987445494681</v>
      </c>
      <c r="M109" s="3871">
        <f t="shared" ca="1" si="114"/>
        <v>136.67591736853782</v>
      </c>
      <c r="N109" s="3869"/>
    </row>
    <row r="110" spans="2:16" ht="15">
      <c r="B110" s="3866"/>
      <c r="C110" s="3870"/>
      <c r="D110" s="3870"/>
      <c r="E110" s="3871"/>
      <c r="F110" s="3871"/>
      <c r="G110" s="3871"/>
      <c r="H110" s="3871"/>
      <c r="I110" s="3871"/>
      <c r="J110" s="3871"/>
      <c r="K110" s="3871"/>
      <c r="L110" s="3871"/>
      <c r="M110" s="3871"/>
      <c r="N110" s="3869"/>
    </row>
    <row r="111" spans="2:16" ht="15">
      <c r="B111" s="3866"/>
      <c r="C111" s="3870"/>
      <c r="D111" s="3870"/>
      <c r="E111" s="3871"/>
      <c r="F111" s="3871"/>
      <c r="G111" s="3871"/>
      <c r="H111" s="3871"/>
      <c r="I111" s="3871"/>
      <c r="J111" s="3871"/>
      <c r="K111" s="3871"/>
      <c r="L111" s="3871"/>
      <c r="M111" s="3868" t="str">
        <f>Preferences.EnergyUnits</f>
        <v>TWh</v>
      </c>
      <c r="N111" s="3869"/>
    </row>
    <row r="112" spans="2:16" ht="15">
      <c r="B112" s="3866"/>
      <c r="C112" s="3870"/>
      <c r="D112" s="3281" t="s">
        <v>3302</v>
      </c>
      <c r="E112" s="3281">
        <v>2013</v>
      </c>
      <c r="F112" s="3281">
        <v>2015</v>
      </c>
      <c r="G112" s="3281">
        <v>2020</v>
      </c>
      <c r="H112" s="3281">
        <v>2025</v>
      </c>
      <c r="I112" s="3281">
        <v>2030</v>
      </c>
      <c r="J112" s="3281">
        <v>2035</v>
      </c>
      <c r="K112" s="3281">
        <v>2040</v>
      </c>
      <c r="L112" s="3281">
        <v>2045</v>
      </c>
      <c r="M112" s="3282">
        <v>2050</v>
      </c>
      <c r="N112" s="3869"/>
    </row>
    <row r="113" spans="2:14" ht="15">
      <c r="B113" s="3866"/>
      <c r="C113" s="3870" t="s">
        <v>2601</v>
      </c>
      <c r="D113" s="3870" t="s">
        <v>16</v>
      </c>
      <c r="E113" s="3871">
        <f ca="1">SUMIFS(INDIRECT("FlowsTable["&amp;E$112&amp;"]"),FlowsTable[From],$D113,FlowsTable[To],$C113)</f>
        <v>0</v>
      </c>
      <c r="F113" s="3871">
        <f ca="1">SUMIFS(INDIRECT("FlowsTable["&amp;F$112&amp;"]"),FlowsTable[From],$D113,FlowsTable[To],$C113)</f>
        <v>0</v>
      </c>
      <c r="G113" s="3871">
        <f ca="1">SUMIFS(INDIRECT("FlowsTable["&amp;G$112&amp;"]"),FlowsTable[From],$D113,FlowsTable[To],$C113)</f>
        <v>0</v>
      </c>
      <c r="H113" s="3871">
        <f ca="1">SUMIFS(INDIRECT("FlowsTable["&amp;H$112&amp;"]"),FlowsTable[From],$D113,FlowsTable[To],$C113)</f>
        <v>0</v>
      </c>
      <c r="I113" s="3871">
        <f ca="1">SUMIFS(INDIRECT("FlowsTable["&amp;I$112&amp;"]"),FlowsTable[From],$D113,FlowsTable[To],$C113)</f>
        <v>0</v>
      </c>
      <c r="J113" s="3871">
        <f ca="1">SUMIFS(INDIRECT("FlowsTable["&amp;J$112&amp;"]"),FlowsTable[From],$D113,FlowsTable[To],$C113)</f>
        <v>0</v>
      </c>
      <c r="K113" s="3871">
        <f ca="1">SUMIFS(INDIRECT("FlowsTable["&amp;K$112&amp;"]"),FlowsTable[From],$D113,FlowsTable[To],$C113)</f>
        <v>0</v>
      </c>
      <c r="L113" s="3871">
        <f ca="1">SUMIFS(INDIRECT("FlowsTable["&amp;L$112&amp;"]"),FlowsTable[From],$D113,FlowsTable[To],$C113)</f>
        <v>0</v>
      </c>
      <c r="M113" s="3871">
        <f ca="1">SUMIFS(INDIRECT("FlowsTable["&amp;M$112&amp;"]"),FlowsTable[From],$D113,FlowsTable[To],$C113)</f>
        <v>0</v>
      </c>
      <c r="N113" s="3869"/>
    </row>
    <row r="114" spans="2:14" ht="15">
      <c r="B114" s="3866"/>
      <c r="C114" s="3870" t="s">
        <v>2601</v>
      </c>
      <c r="D114" s="3870" t="s">
        <v>1668</v>
      </c>
      <c r="E114" s="3871">
        <f ca="1">SUMIFS(INDIRECT("FlowsTable["&amp;E$112&amp;"]"),FlowsTable[From],$D114,FlowsTable[To],$C114)</f>
        <v>0</v>
      </c>
      <c r="F114" s="3871">
        <f ca="1">SUMIFS(INDIRECT("FlowsTable["&amp;F$112&amp;"]"),FlowsTable[From],$D114,FlowsTable[To],$C114)</f>
        <v>0</v>
      </c>
      <c r="G114" s="3871">
        <f ca="1">SUMIFS(INDIRECT("FlowsTable["&amp;G$112&amp;"]"),FlowsTable[From],$D114,FlowsTable[To],$C114)</f>
        <v>0</v>
      </c>
      <c r="H114" s="3871">
        <f ca="1">SUMIFS(INDIRECT("FlowsTable["&amp;H$112&amp;"]"),FlowsTable[From],$D114,FlowsTable[To],$C114)</f>
        <v>0</v>
      </c>
      <c r="I114" s="3871">
        <f ca="1">SUMIFS(INDIRECT("FlowsTable["&amp;I$112&amp;"]"),FlowsTable[From],$D114,FlowsTable[To],$C114)</f>
        <v>0</v>
      </c>
      <c r="J114" s="3871">
        <f ca="1">SUMIFS(INDIRECT("FlowsTable["&amp;J$112&amp;"]"),FlowsTable[From],$D114,FlowsTable[To],$C114)</f>
        <v>0</v>
      </c>
      <c r="K114" s="3871">
        <f ca="1">SUMIFS(INDIRECT("FlowsTable["&amp;K$112&amp;"]"),FlowsTable[From],$D114,FlowsTable[To],$C114)</f>
        <v>0</v>
      </c>
      <c r="L114" s="3871">
        <f ca="1">SUMIFS(INDIRECT("FlowsTable["&amp;L$112&amp;"]"),FlowsTable[From],$D114,FlowsTable[To],$C114)</f>
        <v>0</v>
      </c>
      <c r="M114" s="3871">
        <f ca="1">SUMIFS(INDIRECT("FlowsTable["&amp;M$112&amp;"]"),FlowsTable[From],$D114,FlowsTable[To],$C114)</f>
        <v>0</v>
      </c>
      <c r="N114" s="3869"/>
    </row>
    <row r="115" spans="2:14" ht="15">
      <c r="B115" s="3866"/>
      <c r="C115" s="3870" t="s">
        <v>2601</v>
      </c>
      <c r="D115" s="3870" t="s">
        <v>15</v>
      </c>
      <c r="E115" s="3871">
        <f ca="1">SUMIFS(INDIRECT("FlowsTable["&amp;E$112&amp;"]"),FlowsTable[From],$D115,FlowsTable[To],$C115)</f>
        <v>0</v>
      </c>
      <c r="F115" s="3871">
        <f ca="1">SUMIFS(INDIRECT("FlowsTable["&amp;F$112&amp;"]"),FlowsTable[From],$D115,FlowsTable[To],$C115)</f>
        <v>0</v>
      </c>
      <c r="G115" s="3871">
        <f ca="1">SUMIFS(INDIRECT("FlowsTable["&amp;G$112&amp;"]"),FlowsTable[From],$D115,FlowsTable[To],$C115)</f>
        <v>0</v>
      </c>
      <c r="H115" s="3871">
        <f ca="1">SUMIFS(INDIRECT("FlowsTable["&amp;H$112&amp;"]"),FlowsTable[From],$D115,FlowsTable[To],$C115)</f>
        <v>0</v>
      </c>
      <c r="I115" s="3871">
        <f ca="1">SUMIFS(INDIRECT("FlowsTable["&amp;I$112&amp;"]"),FlowsTable[From],$D115,FlowsTable[To],$C115)</f>
        <v>0</v>
      </c>
      <c r="J115" s="3871">
        <f ca="1">SUMIFS(INDIRECT("FlowsTable["&amp;J$112&amp;"]"),FlowsTable[From],$D115,FlowsTable[To],$C115)</f>
        <v>0</v>
      </c>
      <c r="K115" s="3871">
        <f ca="1">SUMIFS(INDIRECT("FlowsTable["&amp;K$112&amp;"]"),FlowsTable[From],$D115,FlowsTable[To],$C115)</f>
        <v>0</v>
      </c>
      <c r="L115" s="3871">
        <f ca="1">SUMIFS(INDIRECT("FlowsTable["&amp;L$112&amp;"]"),FlowsTable[From],$D115,FlowsTable[To],$C115)</f>
        <v>0</v>
      </c>
      <c r="M115" s="3871">
        <f ca="1">SUMIFS(INDIRECT("FlowsTable["&amp;M$112&amp;"]"),FlowsTable[From],$D115,FlowsTable[To],$C115)</f>
        <v>0</v>
      </c>
      <c r="N115" s="3869"/>
    </row>
    <row r="116" spans="2:14" ht="15">
      <c r="B116" s="3866"/>
      <c r="C116" s="3870"/>
      <c r="D116" s="3870"/>
      <c r="E116" s="3871"/>
      <c r="F116" s="3871"/>
      <c r="G116" s="3871"/>
      <c r="H116" s="3871"/>
      <c r="I116" s="3871"/>
      <c r="J116" s="3871"/>
      <c r="K116" s="3871"/>
      <c r="L116" s="3871"/>
      <c r="M116" s="3871"/>
      <c r="N116" s="3869"/>
    </row>
    <row r="117" spans="2:14" ht="15">
      <c r="B117" s="3866"/>
      <c r="C117" s="3870"/>
      <c r="D117" s="3870"/>
      <c r="E117" s="3871"/>
      <c r="F117" s="3871"/>
      <c r="G117" s="3871"/>
      <c r="H117" s="3871"/>
      <c r="I117" s="3871"/>
      <c r="J117" s="3871"/>
      <c r="K117" s="3871"/>
      <c r="L117" s="3871"/>
      <c r="M117" s="3868" t="str">
        <f>Preferences.EnergyUnits</f>
        <v>TWh</v>
      </c>
      <c r="N117" s="3869"/>
    </row>
    <row r="118" spans="2:14" ht="15">
      <c r="B118" s="3866"/>
      <c r="C118" s="3281"/>
      <c r="D118" s="3281" t="s">
        <v>3303</v>
      </c>
      <c r="E118" s="3281">
        <v>2013</v>
      </c>
      <c r="F118" s="3281">
        <v>2015</v>
      </c>
      <c r="G118" s="3281">
        <v>2020</v>
      </c>
      <c r="H118" s="3281">
        <v>2025</v>
      </c>
      <c r="I118" s="3281">
        <v>2030</v>
      </c>
      <c r="J118" s="3281">
        <v>2035</v>
      </c>
      <c r="K118" s="3281">
        <v>2040</v>
      </c>
      <c r="L118" s="3281">
        <v>2045</v>
      </c>
      <c r="M118" s="3282">
        <v>2050</v>
      </c>
      <c r="N118" s="3869"/>
    </row>
    <row r="119" spans="2:14" ht="15">
      <c r="B119" s="3866"/>
      <c r="C119" s="3870" t="s">
        <v>97</v>
      </c>
      <c r="D119" s="3870" t="s">
        <v>16</v>
      </c>
      <c r="E119" s="4032">
        <f ca="1">E107-E113</f>
        <v>24.546877780882912</v>
      </c>
      <c r="F119" s="4032">
        <f t="shared" ref="F119:M119" ca="1" si="115">F107-F113</f>
        <v>25.019085289163165</v>
      </c>
      <c r="G119" s="4032">
        <f t="shared" ca="1" si="115"/>
        <v>22.973379101023177</v>
      </c>
      <c r="H119" s="4032">
        <f t="shared" ca="1" si="115"/>
        <v>23.158342737736056</v>
      </c>
      <c r="I119" s="4032">
        <f t="shared" ca="1" si="115"/>
        <v>17.478475301591967</v>
      </c>
      <c r="J119" s="4032">
        <f t="shared" ca="1" si="115"/>
        <v>4.6809644035740403</v>
      </c>
      <c r="K119" s="4032">
        <f t="shared" ca="1" si="115"/>
        <v>4.9309217391129918</v>
      </c>
      <c r="L119" s="4032">
        <f t="shared" ca="1" si="115"/>
        <v>5.2091308319670242</v>
      </c>
      <c r="M119" s="4032">
        <f t="shared" ca="1" si="115"/>
        <v>5.5197297709738296</v>
      </c>
      <c r="N119" s="3869"/>
    </row>
    <row r="120" spans="2:14" ht="15">
      <c r="B120" s="3866"/>
      <c r="C120" s="3870" t="s">
        <v>98</v>
      </c>
      <c r="D120" s="3870" t="s">
        <v>1668</v>
      </c>
      <c r="E120" s="4032">
        <f t="shared" ref="E120:M121" ca="1" si="116">E108-E114</f>
        <v>77.55283715410927</v>
      </c>
      <c r="F120" s="4032">
        <f t="shared" ca="1" si="116"/>
        <v>75.244847357519276</v>
      </c>
      <c r="G120" s="4032">
        <f t="shared" ca="1" si="116"/>
        <v>76.274750168889341</v>
      </c>
      <c r="H120" s="4032">
        <f t="shared" ca="1" si="116"/>
        <v>76.215903615572714</v>
      </c>
      <c r="I120" s="4032">
        <f t="shared" ca="1" si="116"/>
        <v>75.958681490777167</v>
      </c>
      <c r="J120" s="4032">
        <f t="shared" ca="1" si="116"/>
        <v>75.768165563645425</v>
      </c>
      <c r="K120" s="4032">
        <f t="shared" ca="1" si="116"/>
        <v>75.489071127163243</v>
      </c>
      <c r="L120" s="4032">
        <f t="shared" ca="1" si="116"/>
        <v>75.34637564867829</v>
      </c>
      <c r="M120" s="4032">
        <f t="shared" ca="1" si="116"/>
        <v>74.666873204295086</v>
      </c>
      <c r="N120" s="3869"/>
    </row>
    <row r="121" spans="2:14" ht="15">
      <c r="B121" s="3866"/>
      <c r="C121" s="3870" t="s">
        <v>99</v>
      </c>
      <c r="D121" s="3870" t="s">
        <v>15</v>
      </c>
      <c r="E121" s="4032">
        <f t="shared" ca="1" si="116"/>
        <v>47.644423024441799</v>
      </c>
      <c r="F121" s="4032">
        <f t="shared" ca="1" si="116"/>
        <v>49.652756187892052</v>
      </c>
      <c r="G121" s="4032">
        <f t="shared" ca="1" si="116"/>
        <v>58.021375342342218</v>
      </c>
      <c r="H121" s="4032">
        <f t="shared" ca="1" si="116"/>
        <v>69.72636442192298</v>
      </c>
      <c r="I121" s="4032">
        <f t="shared" ca="1" si="116"/>
        <v>86.351713202080902</v>
      </c>
      <c r="J121" s="4032">
        <f t="shared" ca="1" si="116"/>
        <v>107.50095260916643</v>
      </c>
      <c r="K121" s="4032">
        <f t="shared" ca="1" si="116"/>
        <v>116.81334567289764</v>
      </c>
      <c r="L121" s="4032">
        <f t="shared" ca="1" si="116"/>
        <v>126.50987445494681</v>
      </c>
      <c r="M121" s="4032">
        <f t="shared" ca="1" si="116"/>
        <v>136.67591736853782</v>
      </c>
      <c r="N121" s="3869"/>
    </row>
    <row r="122" spans="2:14" ht="15">
      <c r="B122" s="3866"/>
      <c r="C122" s="3870"/>
      <c r="D122" s="3870"/>
      <c r="E122" s="3871"/>
      <c r="F122" s="3871"/>
      <c r="G122" s="3871"/>
      <c r="H122" s="3871"/>
      <c r="I122" s="3871"/>
      <c r="J122" s="3871"/>
      <c r="K122" s="3871"/>
      <c r="L122" s="3871"/>
      <c r="M122" s="3871"/>
      <c r="N122" s="3869"/>
    </row>
    <row r="123" spans="2:14" ht="15">
      <c r="B123" s="3866"/>
      <c r="C123" s="3870"/>
      <c r="D123" s="3870"/>
      <c r="E123" s="3871"/>
      <c r="F123" s="3871"/>
      <c r="G123" s="3871"/>
      <c r="H123" s="3871"/>
      <c r="I123" s="3871"/>
      <c r="J123" s="3871"/>
      <c r="K123" s="3871"/>
      <c r="L123" s="3871"/>
      <c r="M123" s="3868" t="s">
        <v>42</v>
      </c>
      <c r="N123" s="3869"/>
    </row>
    <row r="124" spans="2:14" ht="15">
      <c r="B124" s="3866"/>
      <c r="C124" s="3281" t="s">
        <v>28</v>
      </c>
      <c r="D124" s="3281" t="s">
        <v>3304</v>
      </c>
      <c r="E124" s="3281">
        <v>2013</v>
      </c>
      <c r="F124" s="3281">
        <v>2015</v>
      </c>
      <c r="G124" s="3281">
        <v>2020</v>
      </c>
      <c r="H124" s="3281">
        <v>2025</v>
      </c>
      <c r="I124" s="3281">
        <v>2030</v>
      </c>
      <c r="J124" s="3281">
        <v>2035</v>
      </c>
      <c r="K124" s="3281">
        <v>2040</v>
      </c>
      <c r="L124" s="3281">
        <v>2045</v>
      </c>
      <c r="M124" s="3282">
        <v>2050</v>
      </c>
      <c r="N124" s="3869"/>
    </row>
    <row r="125" spans="2:14" ht="15">
      <c r="B125" s="3866"/>
      <c r="C125" s="3870" t="s">
        <v>97</v>
      </c>
      <c r="D125" s="3870" t="s">
        <v>16</v>
      </c>
      <c r="E125" s="4033">
        <f ca="1">MIN(E101/E119,1)</f>
        <v>4.7739736812162384E-2</v>
      </c>
      <c r="F125" s="4033">
        <f t="shared" ref="F125:M125" ca="1" si="117">MIN(F101/F119,1)</f>
        <v>6.7381198988460941E-2</v>
      </c>
      <c r="G125" s="4033">
        <f t="shared" ca="1" si="117"/>
        <v>9.0149071917814058E-2</v>
      </c>
      <c r="H125" s="4033">
        <f t="shared" ca="1" si="117"/>
        <v>0.10802582115396805</v>
      </c>
      <c r="I125" s="4033">
        <f t="shared" ca="1" si="117"/>
        <v>0.19166797944647376</v>
      </c>
      <c r="J125" s="4033">
        <f t="shared" ca="1" si="117"/>
        <v>0.7287257560331889</v>
      </c>
      <c r="K125" s="4033">
        <f t="shared" ca="1" si="117"/>
        <v>0.60328424208425846</v>
      </c>
      <c r="L125" s="4033">
        <f t="shared" ca="1" si="117"/>
        <v>0.48777697758787825</v>
      </c>
      <c r="M125" s="4033">
        <f t="shared" ca="1" si="117"/>
        <v>0.47290118836655126</v>
      </c>
      <c r="N125" s="3869"/>
    </row>
    <row r="126" spans="2:14" ht="15">
      <c r="B126" s="3866"/>
      <c r="C126" s="3870" t="s">
        <v>98</v>
      </c>
      <c r="D126" s="3870" t="s">
        <v>1668</v>
      </c>
      <c r="E126" s="4033">
        <f t="shared" ref="E126:M127" ca="1" si="118">MIN(E102/E120,1)</f>
        <v>1.3229700820545271E-2</v>
      </c>
      <c r="F126" s="4033">
        <f t="shared" ca="1" si="118"/>
        <v>1.5357428968472113E-2</v>
      </c>
      <c r="G126" s="4033">
        <f t="shared" ca="1" si="118"/>
        <v>1.5206084168848596E-2</v>
      </c>
      <c r="H126" s="4033">
        <f t="shared" ca="1" si="118"/>
        <v>1.5474373171312235E-2</v>
      </c>
      <c r="I126" s="4033">
        <f t="shared" ca="1" si="118"/>
        <v>9.713029326607869E-3</v>
      </c>
      <c r="J126" s="4033">
        <f t="shared" ca="1" si="118"/>
        <v>7.8292644117209792E-3</v>
      </c>
      <c r="K126" s="4033">
        <f t="shared" ca="1" si="118"/>
        <v>5.9475829261515763E-3</v>
      </c>
      <c r="L126" s="4033">
        <f t="shared" ca="1" si="118"/>
        <v>4.0495657566064847E-3</v>
      </c>
      <c r="M126" s="4033">
        <f t="shared" ca="1" si="118"/>
        <v>2.1651421772406264E-3</v>
      </c>
      <c r="N126" s="3869"/>
    </row>
    <row r="127" spans="2:14" ht="15">
      <c r="B127" s="3866"/>
      <c r="C127" s="3870" t="s">
        <v>99</v>
      </c>
      <c r="D127" s="3870" t="s">
        <v>15</v>
      </c>
      <c r="E127" s="4033">
        <f t="shared" ca="1" si="118"/>
        <v>3.5849571250260088E-3</v>
      </c>
      <c r="F127" s="4033">
        <f t="shared" ca="1" si="118"/>
        <v>4.0130648308067144E-3</v>
      </c>
      <c r="G127" s="4033">
        <f t="shared" ca="1" si="118"/>
        <v>4.8197997996533631E-3</v>
      </c>
      <c r="H127" s="4033">
        <f t="shared" ca="1" si="118"/>
        <v>6.1773470865629492E-3</v>
      </c>
      <c r="I127" s="4033">
        <f t="shared" ca="1" si="118"/>
        <v>5.1459880758903667E-3</v>
      </c>
      <c r="J127" s="4033">
        <f t="shared" ca="1" si="118"/>
        <v>5.4304856102641427E-3</v>
      </c>
      <c r="K127" s="4033">
        <f t="shared" ca="1" si="118"/>
        <v>6.2914230152592218E-3</v>
      </c>
      <c r="L127" s="4033">
        <f t="shared" ca="1" si="118"/>
        <v>7.1031866412785269E-3</v>
      </c>
      <c r="M127" s="4033">
        <f t="shared" ca="1" si="118"/>
        <v>6.83464010900938E-3</v>
      </c>
      <c r="N127" s="3869"/>
    </row>
    <row r="128" spans="2:14" ht="15">
      <c r="B128" s="3866"/>
      <c r="C128" s="3870"/>
      <c r="D128" s="3272"/>
      <c r="E128" s="4033"/>
      <c r="F128" s="4033"/>
      <c r="G128" s="4033"/>
      <c r="H128" s="4033"/>
      <c r="I128" s="4033"/>
      <c r="J128" s="4033"/>
      <c r="K128" s="4033"/>
      <c r="L128" s="4033"/>
      <c r="M128" s="4033"/>
      <c r="N128" s="3869"/>
    </row>
    <row r="129" spans="2:15" ht="15">
      <c r="B129" s="3866"/>
      <c r="C129" s="3870"/>
      <c r="D129" s="3870"/>
      <c r="E129" s="4033"/>
      <c r="F129" s="4033"/>
      <c r="G129" s="4033"/>
      <c r="H129" s="4033"/>
      <c r="I129" s="4033"/>
      <c r="J129" s="4033"/>
      <c r="K129" s="4033"/>
      <c r="L129" s="4033"/>
      <c r="M129" s="4034" t="str">
        <f>"Mt CO2e per " &amp; Preferences.EnergyUnits</f>
        <v>Mt CO2e per TWh</v>
      </c>
      <c r="N129" s="3869"/>
    </row>
    <row r="130" spans="2:15" ht="15">
      <c r="B130" s="3866"/>
      <c r="C130" s="3281" t="s">
        <v>28</v>
      </c>
      <c r="D130" s="3281" t="s">
        <v>3305</v>
      </c>
      <c r="E130" s="3281" t="s">
        <v>588</v>
      </c>
      <c r="F130" s="3281" t="s">
        <v>132</v>
      </c>
      <c r="G130" s="3281" t="s">
        <v>133</v>
      </c>
      <c r="H130" s="3281" t="s">
        <v>134</v>
      </c>
      <c r="I130" s="3281" t="s">
        <v>135</v>
      </c>
      <c r="J130" s="3281" t="s">
        <v>136</v>
      </c>
      <c r="K130" s="3281" t="s">
        <v>137</v>
      </c>
      <c r="L130" s="3281" t="s">
        <v>138</v>
      </c>
      <c r="M130" s="4036" t="s">
        <v>139</v>
      </c>
      <c r="N130" s="3869"/>
    </row>
    <row r="131" spans="2:15" ht="15">
      <c r="B131" s="3866"/>
      <c r="C131" s="3870" t="s">
        <v>97</v>
      </c>
      <c r="D131" s="3870" t="s">
        <v>16</v>
      </c>
      <c r="E131" s="4035">
        <f ca="1">INDEX(EF[CO2e], MATCH($C131, EF[Vector], 0))*(E125)</f>
        <v>1.6147169677903903E-2</v>
      </c>
      <c r="F131" s="4035">
        <f ca="1">INDEX(EF[CO2e], MATCH($C131, EF[Vector], 0))*(F125)</f>
        <v>2.2790566639447792E-2</v>
      </c>
      <c r="G131" s="4035">
        <f ca="1">INDEX(EF[CO2e], MATCH($C131, EF[Vector], 0))*(G125)</f>
        <v>3.0491419889681022E-2</v>
      </c>
      <c r="H131" s="4035">
        <f ca="1">INDEX(EF[CO2e], MATCH($C131, EF[Vector], 0))*(H125)</f>
        <v>3.6537932134632856E-2</v>
      </c>
      <c r="I131" s="4035">
        <f ca="1">INDEX(EF[CO2e], MATCH($C131, EF[Vector], 0))*(I125)</f>
        <v>6.4828497025872595E-2</v>
      </c>
      <c r="J131" s="4035">
        <f ca="1">INDEX(EF[CO2e], MATCH($C131, EF[Vector], 0))*(J125)</f>
        <v>0.24647933183261556</v>
      </c>
      <c r="K131" s="4035">
        <f ca="1">INDEX(EF[CO2e], MATCH($C131, EF[Vector], 0))*(K125)</f>
        <v>0.20405083210384251</v>
      </c>
      <c r="L131" s="4035">
        <f ca="1">INDEX(EF[CO2e], MATCH($C131, EF[Vector], 0))*(L125)</f>
        <v>0.16498242654911369</v>
      </c>
      <c r="M131" s="4035">
        <f ca="1">INDEX(EF[CO2e], MATCH($C131, EF[Vector], 0))*(M125)</f>
        <v>0.15995093897316404</v>
      </c>
      <c r="N131" s="3869"/>
      <c r="O131" s="3973" t="s">
        <v>5</v>
      </c>
    </row>
    <row r="132" spans="2:15" ht="15">
      <c r="B132" s="3866"/>
      <c r="C132" s="3870" t="s">
        <v>98</v>
      </c>
      <c r="D132" s="3870" t="s">
        <v>1668</v>
      </c>
      <c r="E132" s="4035">
        <f ca="1">INDEX(EF[CO2e], MATCH($C132, EF[Vector], 0))*(E126)</f>
        <v>3.5029125563410227E-3</v>
      </c>
      <c r="F132" s="4035">
        <f ca="1">INDEX(EF[CO2e], MATCH($C132, EF[Vector], 0))*(F126)</f>
        <v>4.0662847555277591E-3</v>
      </c>
      <c r="G132" s="4035">
        <f ca="1">INDEX(EF[CO2e], MATCH($C132, EF[Vector], 0))*(G126)</f>
        <v>4.0262122243247232E-3</v>
      </c>
      <c r="H132" s="4035">
        <f ca="1">INDEX(EF[CO2e], MATCH($C132, EF[Vector], 0))*(H126)</f>
        <v>4.097248820556636E-3</v>
      </c>
      <c r="I132" s="4035">
        <f ca="1">INDEX(EF[CO2e], MATCH($C132, EF[Vector], 0))*(I126)</f>
        <v>2.5717809381936556E-3</v>
      </c>
      <c r="J132" s="4035">
        <f ca="1">INDEX(EF[CO2e], MATCH($C132, EF[Vector], 0))*(J126)</f>
        <v>2.0730044455835985E-3</v>
      </c>
      <c r="K132" s="4035">
        <f ca="1">INDEX(EF[CO2e], MATCH($C132, EF[Vector], 0))*(K126)</f>
        <v>1.5747795958878799E-3</v>
      </c>
      <c r="L132" s="4035">
        <f ca="1">INDEX(EF[CO2e], MATCH($C132, EF[Vector], 0))*(L126)</f>
        <v>1.0722294425975411E-3</v>
      </c>
      <c r="M132" s="4035">
        <f ca="1">INDEX(EF[CO2e], MATCH($C132, EF[Vector], 0))*(M126)</f>
        <v>5.7327855117793487E-4</v>
      </c>
      <c r="N132" s="3869"/>
    </row>
    <row r="133" spans="2:15" ht="15">
      <c r="B133" s="3866"/>
      <c r="C133" s="3870" t="s">
        <v>99</v>
      </c>
      <c r="D133" s="3870" t="s">
        <v>15</v>
      </c>
      <c r="E133" s="4035">
        <f ca="1">INDEX(EF[CO2e], MATCH($C133, EF[Vector], 0))*(E127)</f>
        <v>7.4579010258196069E-4</v>
      </c>
      <c r="F133" s="4035">
        <f ca="1">INDEX(EF[CO2e], MATCH($C133, EF[Vector], 0))*(F127)</f>
        <v>8.3485071856017939E-4</v>
      </c>
      <c r="G133" s="4035">
        <f ca="1">INDEX(EF[CO2e], MATCH($C133, EF[Vector], 0))*(G127)</f>
        <v>1.0026783756812479E-3</v>
      </c>
      <c r="H133" s="4035">
        <f ca="1">INDEX(EF[CO2e], MATCH($C133, EF[Vector], 0))*(H127)</f>
        <v>1.2850932819283673E-3</v>
      </c>
      <c r="I133" s="4035">
        <f ca="1">INDEX(EF[CO2e], MATCH($C133, EF[Vector], 0))*(I127)</f>
        <v>1.0705363665893157E-3</v>
      </c>
      <c r="J133" s="4035">
        <f ca="1">INDEX(EF[CO2e], MATCH($C133, EF[Vector], 0))*(J127)</f>
        <v>1.1297212990572024E-3</v>
      </c>
      <c r="K133" s="4035">
        <f ca="1">INDEX(EF[CO2e], MATCH($C133, EF[Vector], 0))*(K127)</f>
        <v>1.3088248624180247E-3</v>
      </c>
      <c r="L133" s="4035">
        <f ca="1">INDEX(EF[CO2e], MATCH($C133, EF[Vector], 0))*(L127)</f>
        <v>1.4776986471824241E-3</v>
      </c>
      <c r="M133" s="4035">
        <f ca="1">INDEX(EF[CO2e], MATCH($C133, EF[Vector], 0))*(M127)</f>
        <v>1.4218320527255703E-3</v>
      </c>
      <c r="N133" s="3869"/>
    </row>
    <row r="134" spans="2:15" ht="15">
      <c r="B134" s="3866"/>
      <c r="C134" s="3870"/>
      <c r="D134" s="3870"/>
      <c r="E134" s="4033"/>
      <c r="F134" s="4033"/>
      <c r="G134" s="4033"/>
      <c r="H134" s="4033"/>
      <c r="I134" s="4033"/>
      <c r="J134" s="4033"/>
      <c r="K134" s="4033"/>
      <c r="L134" s="4033"/>
      <c r="M134" s="4033"/>
      <c r="N134" s="3869"/>
    </row>
    <row r="135" spans="2:15" ht="15">
      <c r="B135" s="3866"/>
      <c r="C135" s="3272"/>
      <c r="D135" s="3272"/>
      <c r="E135" s="3867"/>
      <c r="F135" s="3867"/>
      <c r="G135" s="3867"/>
      <c r="H135" s="3867"/>
      <c r="I135" s="3867"/>
      <c r="J135" s="3867"/>
      <c r="K135" s="3867"/>
      <c r="L135" s="3867"/>
      <c r="M135" s="3868"/>
      <c r="N135" s="3869"/>
    </row>
  </sheetData>
  <conditionalFormatting sqref="AO7:AX56 AO6:AW56">
    <cfRule type="cellIs" dxfId="3007"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39997558519241921"/>
    <pageSetUpPr autoPageBreaks="0"/>
  </sheetPr>
  <dimension ref="A3:G11"/>
  <sheetViews>
    <sheetView showGridLines="0" workbookViewId="0">
      <selection activeCell="C7" sqref="C7"/>
    </sheetView>
  </sheetViews>
  <sheetFormatPr defaultColWidth="8.81640625" defaultRowHeight="13"/>
  <cols>
    <col min="1" max="1" width="3.7265625" style="2040" customWidth="1"/>
    <col min="2" max="2" width="24.26953125" style="2040" bestFit="1" customWidth="1"/>
    <col min="3" max="3" width="20.26953125" style="2040" customWidth="1"/>
    <col min="4" max="4" width="4.26953125" style="2040" customWidth="1"/>
    <col min="5" max="5" width="12.26953125" style="2040" bestFit="1" customWidth="1"/>
    <col min="6" max="6" width="10.1796875" style="2040" bestFit="1" customWidth="1"/>
    <col min="7" max="16384" width="8.81640625" style="2040"/>
  </cols>
  <sheetData>
    <row r="3" spans="1:7" s="2042" customFormat="1" ht="21">
      <c r="A3" s="2385"/>
      <c r="B3" s="2048" t="s">
        <v>1826</v>
      </c>
      <c r="C3" s="2386" t="s">
        <v>27</v>
      </c>
      <c r="E3" s="2042" t="s">
        <v>1827</v>
      </c>
      <c r="F3" s="2387">
        <f>1/Unit.J</f>
        <v>3599999999999999.5</v>
      </c>
      <c r="G3" s="2042" t="s">
        <v>77</v>
      </c>
    </row>
    <row r="5" spans="1:7" ht="21">
      <c r="A5" s="2388"/>
      <c r="B5" s="2048" t="s">
        <v>1828</v>
      </c>
      <c r="C5" s="2386" t="s">
        <v>277</v>
      </c>
      <c r="E5" s="2042" t="s">
        <v>1827</v>
      </c>
      <c r="F5" s="2387">
        <f>1/Unit.W</f>
        <v>999999999.99999988</v>
      </c>
      <c r="G5" s="2042" t="s">
        <v>1551</v>
      </c>
    </row>
    <row r="7" spans="1:7" ht="21">
      <c r="A7" s="2388"/>
      <c r="B7" s="2048" t="s">
        <v>1829</v>
      </c>
      <c r="C7" s="2386" t="s">
        <v>858</v>
      </c>
      <c r="E7" s="2042" t="s">
        <v>1827</v>
      </c>
      <c r="F7" s="2387">
        <f>1/Unit.m2</f>
        <v>1000000</v>
      </c>
      <c r="G7" s="2042" t="s">
        <v>1594</v>
      </c>
    </row>
    <row r="9" spans="1:7" ht="14.5">
      <c r="B9"/>
      <c r="C9" s="3941"/>
      <c r="D9"/>
      <c r="E9"/>
      <c r="F9" s="2387"/>
      <c r="G9" s="2042"/>
    </row>
    <row r="11" spans="1:7">
      <c r="C11" s="3941"/>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1640625" defaultRowHeight="13"/>
  <cols>
    <col min="1" max="1" width="3.7265625" style="2040" customWidth="1"/>
    <col min="2" max="2" width="16.1796875" style="2040" customWidth="1"/>
    <col min="3" max="3" width="28.453125" style="2040" bestFit="1" customWidth="1"/>
    <col min="4" max="4" width="23.7265625" style="2040" customWidth="1"/>
    <col min="5" max="5" width="14.81640625" style="2040" customWidth="1"/>
    <col min="6" max="6" width="13.81640625" style="2040" bestFit="1" customWidth="1"/>
    <col min="7" max="7" width="8.81640625" style="2040"/>
    <col min="8" max="8" width="10.453125" style="2040" bestFit="1" customWidth="1"/>
    <col min="9" max="9" width="15.1796875" style="2040" customWidth="1"/>
    <col min="10" max="10" width="13.26953125" style="2040" bestFit="1" customWidth="1"/>
    <col min="11" max="11" width="17" style="2040" customWidth="1"/>
    <col min="12" max="12" width="13.453125" style="2040" customWidth="1"/>
    <col min="13" max="13" width="53.7265625" style="2040" customWidth="1"/>
    <col min="14" max="15" width="10.453125" style="2040" bestFit="1" customWidth="1"/>
    <col min="16" max="16" width="12.7265625" style="2040" customWidth="1"/>
    <col min="17" max="22" width="8.81640625" style="2040" customWidth="1"/>
    <col min="23" max="24" width="8.81640625" style="2040"/>
    <col min="25" max="25" width="13.1796875" style="2040" customWidth="1"/>
    <col min="26" max="16384" width="8.81640625" style="2040"/>
  </cols>
  <sheetData>
    <row r="2" spans="1:42" ht="17.5">
      <c r="B2" s="2041" t="s">
        <v>1490</v>
      </c>
      <c r="C2" s="2041"/>
      <c r="H2" s="2041" t="s">
        <v>1491</v>
      </c>
    </row>
    <row r="3" spans="1:42" ht="4.5" customHeight="1"/>
    <row r="4" spans="1:42" s="2042" customFormat="1" ht="20.25" customHeight="1">
      <c r="B4" s="2043" t="s">
        <v>876</v>
      </c>
      <c r="C4" s="2043" t="s">
        <v>29</v>
      </c>
      <c r="D4" s="2043" t="s">
        <v>1492</v>
      </c>
      <c r="E4" s="2044" t="s">
        <v>77</v>
      </c>
      <c r="F4" s="2044" t="str">
        <f>Preferences.EnergyUnits</f>
        <v>TWh</v>
      </c>
      <c r="H4" s="2045">
        <v>1</v>
      </c>
      <c r="I4" s="2046" t="s">
        <v>1493</v>
      </c>
      <c r="J4" s="2042" t="s">
        <v>1494</v>
      </c>
      <c r="K4" s="2047">
        <f>H4*INDEX(Conversions.Energy.Joules, MATCH(I4, Conversions.Energy.Units, 0))/INDEX(Conversions.Energy.Joules, MATCH(L4, Conversions.Energy.Units, 0))</f>
        <v>3.1688810807659062E-2</v>
      </c>
      <c r="L4" s="2046" t="s">
        <v>1495</v>
      </c>
    </row>
    <row r="5" spans="1:42" s="2042" customFormat="1" ht="15.5">
      <c r="A5" s="2048"/>
      <c r="B5" s="2049" t="s">
        <v>1493</v>
      </c>
      <c r="C5" s="2049" t="s">
        <v>1496</v>
      </c>
      <c r="D5" s="2050" t="s">
        <v>1497</v>
      </c>
      <c r="E5" s="2051">
        <f>10^15</f>
        <v>1000000000000000</v>
      </c>
      <c r="F5" s="2051">
        <f t="shared" ref="F5:F23" si="0">$E5/INDEX(Conversions.Energy.Joules, MATCH(F$4, Conversions.Energy.Units, 0))</f>
        <v>0.27777777777777779</v>
      </c>
    </row>
    <row r="6" spans="1:42" s="2042" customFormat="1" ht="15.5">
      <c r="A6" s="2048"/>
      <c r="B6" s="2049" t="s">
        <v>1498</v>
      </c>
      <c r="C6" s="2049" t="s">
        <v>1499</v>
      </c>
      <c r="D6" s="2050" t="s">
        <v>1500</v>
      </c>
      <c r="E6" s="2051">
        <f>10^12</f>
        <v>1000000000000</v>
      </c>
      <c r="F6" s="2051">
        <f t="shared" si="0"/>
        <v>2.7777777777777778E-4</v>
      </c>
      <c r="H6" s="2052"/>
      <c r="I6" s="2052"/>
      <c r="J6" s="2052"/>
      <c r="K6" s="2053"/>
      <c r="L6" s="2052"/>
      <c r="M6" s="2052"/>
      <c r="N6" s="2052"/>
      <c r="O6" s="2052"/>
      <c r="P6" s="2052"/>
      <c r="Q6" s="2052"/>
      <c r="R6" s="2052"/>
      <c r="S6" s="2052"/>
      <c r="T6" s="2052"/>
      <c r="U6" s="2052"/>
      <c r="V6" s="2052"/>
      <c r="W6" s="2052"/>
      <c r="X6" s="2052"/>
      <c r="Y6" s="2052"/>
      <c r="Z6" s="2052"/>
      <c r="AA6" s="2052"/>
      <c r="AB6" s="2052"/>
      <c r="AC6" s="2052"/>
      <c r="AD6" s="2052"/>
      <c r="AE6" s="2052"/>
      <c r="AF6" s="2052"/>
      <c r="AG6" s="2052"/>
      <c r="AH6" s="2052"/>
      <c r="AI6" s="2052"/>
      <c r="AJ6" s="2052"/>
      <c r="AK6" s="2052"/>
      <c r="AL6" s="2052"/>
      <c r="AM6" s="2052"/>
      <c r="AN6" s="2052"/>
      <c r="AO6" s="2052"/>
      <c r="AP6" s="2052"/>
    </row>
    <row r="7" spans="1:42" s="2042" customFormat="1" ht="15.5">
      <c r="A7" s="2048"/>
      <c r="B7" s="2049" t="s">
        <v>1501</v>
      </c>
      <c r="C7" s="2049" t="s">
        <v>1502</v>
      </c>
      <c r="D7" s="2050" t="s">
        <v>1503</v>
      </c>
      <c r="E7" s="2051">
        <f>10^9</f>
        <v>1000000000</v>
      </c>
      <c r="F7" s="2051">
        <f t="shared" si="0"/>
        <v>2.7777777777777776E-7</v>
      </c>
      <c r="H7" s="2052"/>
      <c r="I7" s="2052"/>
      <c r="J7" s="2052"/>
      <c r="K7" s="2052"/>
      <c r="L7" s="2054"/>
      <c r="M7" s="2052"/>
      <c r="N7" s="2052"/>
      <c r="O7" s="2052"/>
      <c r="P7" s="2052"/>
      <c r="Q7" s="2052"/>
      <c r="R7" s="2052"/>
      <c r="S7" s="2052"/>
      <c r="T7" s="2052"/>
      <c r="U7" s="2052"/>
      <c r="V7" s="2052"/>
      <c r="W7" s="2052"/>
      <c r="X7" s="2052"/>
      <c r="Y7" s="2052"/>
      <c r="Z7" s="2052"/>
      <c r="AA7" s="2052"/>
      <c r="AB7" s="2052"/>
      <c r="AC7" s="2052"/>
      <c r="AD7" s="2052"/>
      <c r="AE7" s="2052"/>
      <c r="AF7" s="2052"/>
      <c r="AG7" s="2052"/>
      <c r="AH7" s="2052"/>
      <c r="AI7" s="2052"/>
      <c r="AJ7" s="2052"/>
      <c r="AK7" s="2052"/>
      <c r="AL7" s="2052"/>
      <c r="AM7" s="2052"/>
      <c r="AN7" s="2052"/>
      <c r="AO7" s="2052"/>
      <c r="AP7" s="2052"/>
    </row>
    <row r="8" spans="1:42" s="2042" customFormat="1" ht="15.5">
      <c r="A8" s="2048"/>
      <c r="B8" s="2049" t="s">
        <v>1504</v>
      </c>
      <c r="C8" s="2049" t="s">
        <v>77</v>
      </c>
      <c r="D8" s="2050" t="s">
        <v>1505</v>
      </c>
      <c r="E8" s="2051">
        <v>1</v>
      </c>
      <c r="F8" s="2051">
        <f t="shared" si="0"/>
        <v>2.777777777777778E-16</v>
      </c>
      <c r="H8" s="2052"/>
      <c r="I8" s="2055"/>
      <c r="J8" s="2052"/>
      <c r="K8" s="2052"/>
      <c r="L8" s="2056"/>
      <c r="M8" s="2052"/>
      <c r="N8" s="2052"/>
      <c r="O8" s="2052"/>
      <c r="P8" s="2052"/>
      <c r="Q8" s="2052"/>
      <c r="R8" s="2052"/>
      <c r="S8" s="2052"/>
      <c r="T8" s="2052"/>
      <c r="U8" s="2052"/>
      <c r="V8" s="2052"/>
      <c r="W8" s="2052"/>
      <c r="X8" s="2052"/>
      <c r="Y8" s="2052"/>
      <c r="Z8" s="2052"/>
      <c r="AA8" s="2052"/>
      <c r="AB8" s="2052"/>
      <c r="AC8" s="2052"/>
      <c r="AD8" s="2052"/>
      <c r="AE8" s="2052"/>
      <c r="AF8" s="2052"/>
      <c r="AG8" s="2052"/>
      <c r="AH8" s="2052"/>
      <c r="AI8" s="2052"/>
      <c r="AJ8" s="2052"/>
      <c r="AK8" s="2052"/>
      <c r="AL8" s="2052"/>
      <c r="AM8" s="2052"/>
      <c r="AN8" s="2052"/>
      <c r="AO8" s="2052"/>
      <c r="AP8" s="2052"/>
    </row>
    <row r="9" spans="1:42" s="2042" customFormat="1" ht="15.5">
      <c r="A9" s="2048"/>
      <c r="B9" s="2049" t="s">
        <v>1506</v>
      </c>
      <c r="C9" s="2049" t="s">
        <v>1507</v>
      </c>
      <c r="D9" s="2050" t="s">
        <v>1508</v>
      </c>
      <c r="E9" s="2051">
        <f>10^6</f>
        <v>1000000</v>
      </c>
      <c r="F9" s="2051">
        <f t="shared" si="0"/>
        <v>2.7777777777777777E-10</v>
      </c>
      <c r="H9" s="2052"/>
      <c r="I9" s="2052"/>
      <c r="J9" s="2052"/>
      <c r="K9" s="2052"/>
      <c r="L9" s="2057"/>
      <c r="M9" s="2057"/>
      <c r="N9" s="2057"/>
      <c r="O9" s="2057"/>
      <c r="P9" s="2057"/>
      <c r="Q9" s="2057"/>
      <c r="R9" s="2057"/>
      <c r="S9" s="2057"/>
      <c r="T9" s="2057"/>
      <c r="U9" s="2057"/>
      <c r="V9" s="2057"/>
      <c r="W9" s="2057"/>
      <c r="X9" s="2052"/>
      <c r="Y9" s="2052"/>
      <c r="Z9" s="2052"/>
      <c r="AA9" s="2052"/>
      <c r="AB9" s="2052"/>
      <c r="AC9" s="2052"/>
      <c r="AD9" s="2052"/>
      <c r="AE9" s="2052"/>
      <c r="AF9" s="2052"/>
      <c r="AG9" s="2052"/>
      <c r="AH9" s="2052"/>
      <c r="AI9" s="2052"/>
      <c r="AJ9" s="2052"/>
      <c r="AK9" s="2052"/>
      <c r="AL9" s="2052"/>
      <c r="AM9" s="2052"/>
      <c r="AN9" s="2052"/>
      <c r="AO9" s="2052"/>
      <c r="AP9" s="2052"/>
    </row>
    <row r="10" spans="1:42" s="2042" customFormat="1" ht="15.5">
      <c r="A10" s="2048"/>
      <c r="B10" s="2049" t="s">
        <v>1509</v>
      </c>
      <c r="C10" s="2049" t="s">
        <v>1510</v>
      </c>
      <c r="D10" s="2050" t="s">
        <v>1511</v>
      </c>
      <c r="E10" s="2051">
        <f>10^3*60*60</f>
        <v>3600000</v>
      </c>
      <c r="F10" s="2051">
        <f t="shared" si="0"/>
        <v>1.0000000000000001E-9</v>
      </c>
      <c r="H10" s="2052"/>
      <c r="I10" s="2052"/>
      <c r="J10" s="2052"/>
      <c r="K10" s="2058"/>
      <c r="L10" s="2057"/>
      <c r="M10" s="2059"/>
      <c r="N10" s="2059"/>
      <c r="O10" s="2059"/>
      <c r="P10" s="2059"/>
      <c r="Q10" s="2059"/>
      <c r="R10" s="2059"/>
      <c r="S10" s="2059"/>
      <c r="T10" s="2059"/>
      <c r="U10" s="2059"/>
      <c r="V10" s="2059"/>
      <c r="W10" s="2059"/>
      <c r="X10" s="2052"/>
      <c r="Y10" s="2052"/>
      <c r="Z10" s="2052"/>
      <c r="AA10" s="2052"/>
      <c r="AB10" s="2052"/>
      <c r="AC10" s="2052"/>
      <c r="AD10" s="2052"/>
      <c r="AE10" s="2052"/>
      <c r="AF10" s="2052"/>
      <c r="AG10" s="2052"/>
      <c r="AH10" s="2052"/>
      <c r="AI10" s="2052"/>
      <c r="AJ10" s="2052"/>
      <c r="AK10" s="2052"/>
      <c r="AL10" s="2052"/>
      <c r="AM10" s="2052"/>
      <c r="AN10" s="2052"/>
      <c r="AO10" s="2052"/>
      <c r="AP10" s="2052"/>
    </row>
    <row r="11" spans="1:42" s="2042" customFormat="1" ht="15.5">
      <c r="A11" s="2048"/>
      <c r="B11" s="2049" t="s">
        <v>2771</v>
      </c>
      <c r="C11" s="2049" t="s">
        <v>1512</v>
      </c>
      <c r="D11" s="2050" t="s">
        <v>1513</v>
      </c>
      <c r="E11" s="2099">
        <f>1000*60*60*365.25*4600000</f>
        <v>6048540000000000</v>
      </c>
      <c r="F11" s="2099">
        <f t="shared" si="0"/>
        <v>1.68015</v>
      </c>
      <c r="H11" s="2052"/>
      <c r="I11" s="2052"/>
      <c r="J11" s="2052"/>
      <c r="K11" s="2052"/>
      <c r="L11" s="2057"/>
      <c r="M11" s="2059"/>
      <c r="N11" s="2059"/>
      <c r="O11" s="2059"/>
      <c r="P11" s="2059"/>
      <c r="Q11" s="2059"/>
      <c r="R11" s="2059"/>
      <c r="S11" s="2059"/>
      <c r="T11" s="2059"/>
      <c r="U11" s="2059"/>
      <c r="V11" s="2059"/>
      <c r="W11" s="2059"/>
      <c r="X11" s="2052"/>
      <c r="Y11" s="2052"/>
      <c r="Z11" s="2052"/>
      <c r="AA11" s="2052"/>
      <c r="AB11" s="2052"/>
      <c r="AC11" s="2052"/>
      <c r="AD11" s="2052"/>
      <c r="AE11" s="2052"/>
      <c r="AF11" s="2052"/>
      <c r="AG11" s="2052"/>
      <c r="AH11" s="2052"/>
      <c r="AI11" s="2052"/>
      <c r="AJ11" s="2052"/>
      <c r="AK11" s="2052"/>
      <c r="AL11" s="2052"/>
      <c r="AM11" s="2052"/>
      <c r="AN11" s="2052"/>
      <c r="AO11" s="2052"/>
      <c r="AP11" s="2052"/>
    </row>
    <row r="12" spans="1:42" s="2042" customFormat="1" ht="15.5">
      <c r="A12" s="2048"/>
      <c r="B12" s="2049" t="s">
        <v>27</v>
      </c>
      <c r="C12" s="2049" t="s">
        <v>1514</v>
      </c>
      <c r="D12" s="2050" t="s">
        <v>1515</v>
      </c>
      <c r="E12" s="2051">
        <f>10^12*60*60</f>
        <v>3600000000000000</v>
      </c>
      <c r="F12" s="2051">
        <f t="shared" si="0"/>
        <v>1</v>
      </c>
      <c r="H12" s="2052"/>
      <c r="I12" s="2052"/>
      <c r="J12" s="2052"/>
      <c r="K12" s="2052"/>
      <c r="L12" s="2057"/>
      <c r="M12" s="2059"/>
      <c r="N12" s="2059"/>
      <c r="O12" s="2059"/>
      <c r="P12" s="2059"/>
      <c r="Q12" s="2059"/>
      <c r="R12" s="2059"/>
      <c r="S12" s="2059"/>
      <c r="T12" s="2059"/>
      <c r="U12" s="2059"/>
      <c r="V12" s="2059"/>
      <c r="W12" s="2059"/>
      <c r="X12" s="2052"/>
      <c r="Y12" s="2052"/>
      <c r="Z12" s="2052"/>
      <c r="AA12" s="2052"/>
      <c r="AB12" s="2052"/>
      <c r="AC12" s="2052"/>
      <c r="AD12" s="2052"/>
      <c r="AE12" s="2052"/>
      <c r="AF12" s="2052"/>
      <c r="AG12" s="2052"/>
      <c r="AH12" s="2052"/>
      <c r="AI12" s="2052"/>
      <c r="AJ12" s="2052"/>
      <c r="AK12" s="2052"/>
      <c r="AL12" s="2052"/>
      <c r="AM12" s="2052"/>
      <c r="AN12" s="2052"/>
      <c r="AO12" s="2052"/>
      <c r="AP12" s="2052"/>
    </row>
    <row r="13" spans="1:42" s="2042" customFormat="1" ht="15.5">
      <c r="A13" s="2048"/>
      <c r="B13" s="2049" t="s">
        <v>1516</v>
      </c>
      <c r="C13" s="2049" t="s">
        <v>1517</v>
      </c>
      <c r="D13" s="2050" t="s">
        <v>1518</v>
      </c>
      <c r="E13" s="2051">
        <f>10^9*60*60</f>
        <v>3600000000000</v>
      </c>
      <c r="F13" s="2051">
        <f t="shared" si="0"/>
        <v>1E-3</v>
      </c>
      <c r="H13" s="2052"/>
      <c r="I13" s="2052"/>
      <c r="J13" s="2052"/>
      <c r="K13" s="2052"/>
      <c r="L13" s="2052"/>
      <c r="M13" s="2059"/>
      <c r="N13" s="2055"/>
      <c r="O13" s="2052"/>
      <c r="P13" s="2059"/>
      <c r="Q13" s="2059"/>
      <c r="R13" s="2059"/>
      <c r="S13" s="2059"/>
      <c r="T13" s="2059"/>
      <c r="U13" s="2059"/>
      <c r="V13" s="2059"/>
      <c r="W13" s="2059"/>
      <c r="X13" s="2052"/>
      <c r="Y13" s="2052"/>
      <c r="Z13" s="2052"/>
      <c r="AA13" s="2052"/>
      <c r="AB13" s="2052"/>
      <c r="AC13" s="2052"/>
      <c r="AD13" s="2052"/>
      <c r="AE13" s="2052"/>
      <c r="AF13" s="2052"/>
      <c r="AG13" s="2052"/>
      <c r="AH13" s="2052"/>
      <c r="AI13" s="2052"/>
      <c r="AJ13" s="2052"/>
      <c r="AK13" s="2052"/>
      <c r="AL13" s="2052"/>
      <c r="AM13" s="2052"/>
      <c r="AN13" s="2052"/>
      <c r="AO13" s="2052"/>
      <c r="AP13" s="2052"/>
    </row>
    <row r="14" spans="1:42" s="2042" customFormat="1" ht="15.5">
      <c r="A14" s="2048"/>
      <c r="B14" s="2049" t="s">
        <v>1519</v>
      </c>
      <c r="C14" s="2049" t="s">
        <v>1520</v>
      </c>
      <c r="D14" s="2050" t="s">
        <v>1521</v>
      </c>
      <c r="E14" s="2051">
        <f>10^6*60*60</f>
        <v>3600000000</v>
      </c>
      <c r="F14" s="2051">
        <f t="shared" si="0"/>
        <v>9.9999999999999995E-7</v>
      </c>
      <c r="H14" s="2052"/>
      <c r="I14" s="2052"/>
      <c r="J14" s="2052"/>
      <c r="K14" s="2052"/>
      <c r="L14" s="2057"/>
      <c r="M14" s="2059"/>
      <c r="N14" s="2060"/>
      <c r="O14" s="2059"/>
      <c r="P14" s="2059"/>
      <c r="Q14" s="2059"/>
      <c r="R14" s="2059"/>
      <c r="S14" s="2059"/>
      <c r="T14" s="2059"/>
      <c r="U14" s="2059"/>
      <c r="V14" s="2059"/>
      <c r="W14" s="2059"/>
      <c r="X14" s="2052"/>
      <c r="Y14" s="2061"/>
      <c r="Z14" s="2052"/>
      <c r="AA14" s="2052"/>
      <c r="AB14" s="2052"/>
      <c r="AC14" s="2052"/>
      <c r="AD14" s="2052"/>
      <c r="AE14" s="2052"/>
      <c r="AF14" s="2052"/>
      <c r="AG14" s="2052"/>
      <c r="AH14" s="2052"/>
      <c r="AI14" s="2052"/>
      <c r="AJ14" s="2052"/>
      <c r="AK14" s="2052"/>
      <c r="AL14" s="2052"/>
      <c r="AM14" s="2052"/>
      <c r="AN14" s="2052"/>
      <c r="AO14" s="2052"/>
      <c r="AP14" s="2052"/>
    </row>
    <row r="15" spans="1:42" s="2042" customFormat="1" ht="15.5">
      <c r="A15" s="2048"/>
      <c r="B15" s="2049" t="s">
        <v>1522</v>
      </c>
      <c r="C15" s="2049" t="s">
        <v>1523</v>
      </c>
      <c r="D15" s="2050" t="s">
        <v>1524</v>
      </c>
      <c r="E15" s="2051">
        <f>5861520000000000/1000000</f>
        <v>5861520000</v>
      </c>
      <c r="F15" s="2051">
        <f t="shared" si="0"/>
        <v>1.6281999999999999E-6</v>
      </c>
      <c r="H15" s="2052"/>
      <c r="I15" s="2052"/>
      <c r="J15" s="2052"/>
      <c r="K15" s="2052"/>
      <c r="L15" s="2052"/>
      <c r="M15" s="2052"/>
      <c r="N15" s="2062"/>
      <c r="O15" s="2062"/>
      <c r="P15" s="2062"/>
      <c r="Q15" s="2062"/>
      <c r="R15" s="2062"/>
      <c r="S15" s="2062"/>
      <c r="T15" s="2062"/>
      <c r="U15" s="2062"/>
      <c r="V15" s="2059"/>
      <c r="W15" s="2059"/>
      <c r="X15" s="2052"/>
      <c r="Y15" s="2052"/>
      <c r="Z15" s="2052"/>
      <c r="AA15" s="2052"/>
      <c r="AB15" s="2052"/>
      <c r="AC15" s="2052"/>
      <c r="AD15" s="2052"/>
      <c r="AE15" s="2052"/>
      <c r="AF15" s="2052"/>
      <c r="AG15" s="2052"/>
      <c r="AH15" s="2052"/>
      <c r="AI15" s="2052"/>
      <c r="AJ15" s="2052"/>
      <c r="AK15" s="2052"/>
      <c r="AL15" s="2052"/>
      <c r="AM15" s="2052"/>
      <c r="AN15" s="2052"/>
      <c r="AO15" s="2052"/>
      <c r="AP15" s="2052"/>
    </row>
    <row r="16" spans="1:42" s="2042" customFormat="1" ht="15.5">
      <c r="A16" s="2048"/>
      <c r="B16" s="2049" t="s">
        <v>1525</v>
      </c>
      <c r="C16" s="2049" t="s">
        <v>1526</v>
      </c>
      <c r="D16" s="2050" t="s">
        <v>1527</v>
      </c>
      <c r="E16" s="2051">
        <v>5861520000000000</v>
      </c>
      <c r="F16" s="2051">
        <f>$E16/INDEX(Conversions.Energy.Joules, MATCH(F$4, Conversions.Energy.Units, 0))</f>
        <v>1.6282000000000001</v>
      </c>
      <c r="H16" s="2052"/>
      <c r="I16" s="2052"/>
      <c r="J16" s="2052"/>
      <c r="K16" s="2052"/>
      <c r="L16" s="2059"/>
      <c r="M16" s="2059"/>
      <c r="N16" s="2063"/>
      <c r="O16" s="2063"/>
      <c r="P16" s="2063"/>
      <c r="Q16" s="2063"/>
      <c r="R16" s="2063"/>
      <c r="S16" s="2063"/>
      <c r="T16" s="2063"/>
      <c r="U16" s="2063"/>
      <c r="V16" s="2059"/>
      <c r="W16" s="2059"/>
      <c r="X16" s="2052"/>
      <c r="Y16" s="2061"/>
      <c r="Z16" s="2052"/>
      <c r="AA16" s="2052"/>
      <c r="AB16" s="2052"/>
      <c r="AC16" s="2052"/>
      <c r="AD16" s="2052"/>
      <c r="AE16" s="2052"/>
      <c r="AF16" s="2052"/>
      <c r="AG16" s="2052"/>
      <c r="AH16" s="2052"/>
      <c r="AI16" s="2052"/>
      <c r="AJ16" s="2052"/>
      <c r="AK16" s="2052"/>
      <c r="AL16" s="2052"/>
      <c r="AM16" s="2052"/>
      <c r="AN16" s="2052"/>
      <c r="AO16" s="2052"/>
      <c r="AP16" s="2052"/>
    </row>
    <row r="17" spans="1:42" s="2042" customFormat="1" ht="15.5">
      <c r="A17" s="2048"/>
      <c r="B17" s="2049" t="s">
        <v>1528</v>
      </c>
      <c r="C17" s="2049" t="s">
        <v>1529</v>
      </c>
      <c r="D17" s="2050" t="s">
        <v>1530</v>
      </c>
      <c r="E17" s="2051">
        <f>41.868*10^9</f>
        <v>41868000000</v>
      </c>
      <c r="F17" s="2051">
        <f t="shared" si="0"/>
        <v>1.163E-5</v>
      </c>
      <c r="H17" s="2052"/>
      <c r="I17" s="2052"/>
      <c r="J17" s="2052"/>
      <c r="K17" s="2052"/>
      <c r="L17" s="2059"/>
      <c r="M17" s="2059"/>
      <c r="N17" s="2064"/>
      <c r="O17" s="2064"/>
      <c r="P17" s="2064"/>
      <c r="Q17" s="2064"/>
      <c r="R17" s="2064"/>
      <c r="S17" s="2064"/>
      <c r="T17" s="2064"/>
      <c r="U17" s="2064"/>
      <c r="V17" s="2059"/>
      <c r="W17" s="2059"/>
      <c r="X17" s="2052"/>
      <c r="Y17" s="2052"/>
      <c r="Z17" s="2052"/>
      <c r="AA17" s="2052"/>
      <c r="AB17" s="2052"/>
      <c r="AC17" s="2052"/>
      <c r="AD17" s="2052"/>
      <c r="AE17" s="2052"/>
      <c r="AF17" s="2052"/>
      <c r="AG17" s="2052"/>
      <c r="AH17" s="2052"/>
      <c r="AI17" s="2052"/>
      <c r="AJ17" s="2052"/>
      <c r="AK17" s="2052"/>
      <c r="AL17" s="2052"/>
      <c r="AM17" s="2052"/>
      <c r="AN17" s="2052"/>
      <c r="AO17" s="2052"/>
      <c r="AP17" s="2052"/>
    </row>
    <row r="18" spans="1:42" s="2042" customFormat="1" ht="15.5">
      <c r="A18" s="2048"/>
      <c r="B18" s="2049" t="s">
        <v>1376</v>
      </c>
      <c r="C18" s="2049" t="s">
        <v>1531</v>
      </c>
      <c r="D18" s="2050" t="s">
        <v>1532</v>
      </c>
      <c r="E18" s="2051">
        <f>E17*1000</f>
        <v>41868000000000</v>
      </c>
      <c r="F18" s="2051">
        <f t="shared" si="0"/>
        <v>1.163E-2</v>
      </c>
      <c r="H18" s="2052"/>
      <c r="I18" s="2052"/>
      <c r="J18" s="2052"/>
      <c r="K18" s="2052"/>
      <c r="L18" s="2065"/>
      <c r="M18" s="2059"/>
      <c r="N18" s="2064"/>
      <c r="O18" s="2064"/>
      <c r="P18" s="2064"/>
      <c r="Q18" s="2064"/>
      <c r="R18" s="2064"/>
      <c r="S18" s="2064"/>
      <c r="T18" s="2064"/>
      <c r="U18" s="2064"/>
      <c r="V18" s="2059"/>
      <c r="W18" s="2059"/>
      <c r="X18" s="2052"/>
      <c r="Y18" s="2052"/>
      <c r="Z18" s="2052"/>
      <c r="AA18" s="2052"/>
      <c r="AB18" s="2052"/>
      <c r="AC18" s="2052"/>
      <c r="AD18" s="2052"/>
      <c r="AE18" s="2052"/>
      <c r="AF18" s="2052"/>
      <c r="AG18" s="2052"/>
      <c r="AH18" s="2052"/>
      <c r="AI18" s="2052"/>
      <c r="AJ18" s="2052"/>
      <c r="AK18" s="2052"/>
      <c r="AL18" s="2052"/>
      <c r="AM18" s="2052"/>
      <c r="AN18" s="2052"/>
      <c r="AO18" s="2052"/>
      <c r="AP18" s="2052"/>
    </row>
    <row r="19" spans="1:42" s="2042" customFormat="1" ht="15.5">
      <c r="A19" s="2048"/>
      <c r="B19" s="2049" t="s">
        <v>1533</v>
      </c>
      <c r="C19" s="2049" t="s">
        <v>1534</v>
      </c>
      <c r="D19" s="2050" t="s">
        <v>1535</v>
      </c>
      <c r="E19" s="2051">
        <f>E17*1000000</f>
        <v>4.1868E+16</v>
      </c>
      <c r="F19" s="2051">
        <f t="shared" si="0"/>
        <v>11.63</v>
      </c>
      <c r="H19" s="2052"/>
      <c r="I19" s="2052"/>
      <c r="J19" s="2052"/>
      <c r="K19" s="2052"/>
      <c r="L19" s="2059"/>
      <c r="M19" s="2059"/>
      <c r="N19" s="2052"/>
      <c r="O19" s="2052"/>
      <c r="P19" s="2052"/>
      <c r="Q19" s="2052"/>
      <c r="R19" s="2052"/>
      <c r="S19" s="2052"/>
      <c r="T19" s="2052"/>
      <c r="U19" s="2052"/>
      <c r="V19" s="2059"/>
      <c r="W19" s="2059"/>
      <c r="X19" s="2052"/>
      <c r="Y19" s="2052"/>
      <c r="Z19" s="2052"/>
      <c r="AA19" s="2052"/>
      <c r="AB19" s="2052"/>
      <c r="AC19" s="2052"/>
      <c r="AD19" s="2052"/>
      <c r="AE19" s="2052"/>
      <c r="AF19" s="2052"/>
      <c r="AG19" s="2052"/>
      <c r="AH19" s="2052"/>
      <c r="AI19" s="2052"/>
      <c r="AJ19" s="2052"/>
      <c r="AK19" s="2052"/>
      <c r="AL19" s="2052"/>
      <c r="AM19" s="2052"/>
      <c r="AN19" s="2052"/>
      <c r="AO19" s="2052"/>
      <c r="AP19" s="2052"/>
    </row>
    <row r="20" spans="1:42" s="2042" customFormat="1" ht="15.5">
      <c r="A20" s="2048"/>
      <c r="B20" s="2049" t="s">
        <v>1536</v>
      </c>
      <c r="C20" s="2049" t="s">
        <v>1537</v>
      </c>
      <c r="D20" s="2050" t="s">
        <v>1538</v>
      </c>
      <c r="E20" s="2051">
        <f>41.868*10^9/396.83</f>
        <v>105506136.12882091</v>
      </c>
      <c r="F20" s="2051">
        <f t="shared" si="0"/>
        <v>2.9307260035783588E-8</v>
      </c>
      <c r="H20" s="2052"/>
      <c r="I20" s="2052"/>
      <c r="J20" s="2052"/>
      <c r="K20" s="2052"/>
      <c r="L20" s="2057"/>
      <c r="M20" s="2059"/>
      <c r="N20" s="2064"/>
      <c r="O20" s="2064"/>
      <c r="P20" s="2064"/>
      <c r="Q20" s="2064"/>
      <c r="R20" s="2064"/>
      <c r="S20" s="2064"/>
      <c r="T20" s="2064"/>
      <c r="U20" s="2064"/>
      <c r="V20" s="2059"/>
      <c r="W20" s="2052"/>
      <c r="X20" s="2052"/>
      <c r="Y20" s="2066"/>
      <c r="Z20" s="2052"/>
      <c r="AA20" s="2052"/>
      <c r="AB20" s="2052"/>
      <c r="AC20" s="2052"/>
      <c r="AD20" s="2052"/>
      <c r="AE20" s="2052"/>
      <c r="AF20" s="2052"/>
      <c r="AG20" s="2052"/>
      <c r="AH20" s="2052"/>
      <c r="AI20" s="2052"/>
      <c r="AJ20" s="2052"/>
      <c r="AK20" s="2052"/>
      <c r="AL20" s="2052"/>
      <c r="AM20" s="2052"/>
      <c r="AN20" s="2052"/>
      <c r="AO20" s="2052"/>
      <c r="AP20" s="2052"/>
    </row>
    <row r="21" spans="1:42" s="2042" customFormat="1" ht="15.5">
      <c r="A21" s="2048"/>
      <c r="B21" s="2049" t="s">
        <v>1539</v>
      </c>
      <c r="C21" s="2049" t="s">
        <v>1540</v>
      </c>
      <c r="D21" s="2050" t="s">
        <v>1541</v>
      </c>
      <c r="E21" s="2051">
        <f>E20/100000</f>
        <v>1055.0613612882091</v>
      </c>
      <c r="F21" s="2051">
        <f t="shared" si="0"/>
        <v>2.9307260035783586E-13</v>
      </c>
      <c r="H21" s="2052"/>
      <c r="I21" s="2052"/>
      <c r="J21" s="2052"/>
      <c r="K21" s="2052"/>
      <c r="L21" s="2057"/>
      <c r="M21" s="2059"/>
      <c r="N21" s="4327"/>
      <c r="O21" s="4327"/>
      <c r="P21" s="4327"/>
      <c r="Q21" s="4327"/>
      <c r="R21" s="2067"/>
      <c r="S21" s="2068"/>
      <c r="T21" s="2068"/>
      <c r="U21" s="2068"/>
      <c r="V21" s="2059"/>
      <c r="W21" s="2059"/>
      <c r="X21" s="2052"/>
      <c r="Y21" s="2052"/>
      <c r="Z21" s="2052"/>
      <c r="AA21" s="2052"/>
      <c r="AB21" s="2052"/>
      <c r="AC21" s="2052"/>
      <c r="AD21" s="2052"/>
      <c r="AE21" s="2052"/>
      <c r="AF21" s="2052"/>
      <c r="AG21" s="2052"/>
      <c r="AH21" s="2052"/>
      <c r="AI21" s="2052"/>
      <c r="AJ21" s="2052"/>
      <c r="AK21" s="2052"/>
      <c r="AL21" s="2052"/>
      <c r="AM21" s="2052"/>
      <c r="AN21" s="2052"/>
      <c r="AO21" s="2052"/>
      <c r="AP21" s="2052"/>
    </row>
    <row r="22" spans="1:42" s="2042" customFormat="1" ht="15.5">
      <c r="A22" s="2048"/>
      <c r="B22" s="2049" t="s">
        <v>1542</v>
      </c>
      <c r="C22" s="2049" t="s">
        <v>1543</v>
      </c>
      <c r="D22" s="2050" t="s">
        <v>1544</v>
      </c>
      <c r="E22" s="2051">
        <v>4.1840000000000002</v>
      </c>
      <c r="F22" s="2051">
        <f t="shared" si="0"/>
        <v>1.1622222222222223E-15</v>
      </c>
      <c r="H22" s="2052"/>
      <c r="I22" s="2052"/>
      <c r="J22" s="2052"/>
      <c r="K22" s="2052"/>
      <c r="L22" s="2057"/>
      <c r="M22" s="2059"/>
      <c r="N22" s="4325"/>
      <c r="O22" s="4326"/>
      <c r="P22" s="4325"/>
      <c r="Q22" s="4326"/>
      <c r="R22" s="4325"/>
      <c r="S22" s="4326"/>
      <c r="T22" s="4325"/>
      <c r="U22" s="4326"/>
      <c r="V22" s="2059"/>
      <c r="W22" s="2059"/>
      <c r="X22" s="2052"/>
      <c r="Y22" s="2052"/>
      <c r="Z22" s="2052"/>
      <c r="AA22" s="2052"/>
      <c r="AB22" s="2052"/>
      <c r="AC22" s="2052"/>
      <c r="AD22" s="2052"/>
      <c r="AE22" s="2052"/>
      <c r="AF22" s="2052"/>
      <c r="AG22" s="2052"/>
      <c r="AH22" s="2052"/>
      <c r="AI22" s="2052"/>
      <c r="AJ22" s="2052"/>
      <c r="AK22" s="2052"/>
      <c r="AL22" s="2052"/>
      <c r="AM22" s="2052"/>
      <c r="AN22" s="2052"/>
      <c r="AO22" s="2052"/>
      <c r="AP22" s="2052"/>
    </row>
    <row r="23" spans="1:42" s="2042" customFormat="1" ht="15.5">
      <c r="A23" s="2048"/>
      <c r="B23" s="2049" t="s">
        <v>1495</v>
      </c>
      <c r="C23" s="2049" t="s">
        <v>1545</v>
      </c>
      <c r="D23" s="2050" t="s">
        <v>1546</v>
      </c>
      <c r="E23" s="2051">
        <f>10^9*60*60*8765.8</f>
        <v>3.1556879999999996E+16</v>
      </c>
      <c r="F23" s="2051">
        <f t="shared" si="0"/>
        <v>8.7657999999999987</v>
      </c>
      <c r="H23" s="2052"/>
      <c r="I23" s="2052"/>
      <c r="J23" s="2052"/>
      <c r="K23" s="2069"/>
      <c r="L23" s="2070"/>
      <c r="M23" s="2070"/>
      <c r="N23" s="2071"/>
      <c r="O23" s="2071"/>
      <c r="P23" s="2072"/>
      <c r="Q23" s="2072"/>
      <c r="R23" s="2071"/>
      <c r="S23" s="2071"/>
      <c r="T23" s="2071"/>
      <c r="U23" s="2071"/>
      <c r="V23" s="2059"/>
      <c r="W23" s="2059"/>
      <c r="X23" s="2052"/>
      <c r="Y23" s="2052"/>
      <c r="Z23" s="2052"/>
      <c r="AA23" s="2052"/>
      <c r="AB23" s="2052"/>
      <c r="AC23" s="2052"/>
      <c r="AD23" s="2052"/>
      <c r="AE23" s="2052"/>
      <c r="AF23" s="2052"/>
      <c r="AG23" s="2052"/>
      <c r="AH23" s="2052"/>
      <c r="AI23" s="2052"/>
      <c r="AJ23" s="2052"/>
      <c r="AK23" s="2052"/>
      <c r="AL23" s="2052"/>
      <c r="AM23" s="2052"/>
      <c r="AN23" s="2052"/>
      <c r="AO23" s="2052"/>
      <c r="AP23" s="2052"/>
    </row>
    <row r="24" spans="1:42" s="2042" customFormat="1" ht="15.5">
      <c r="A24" s="2048"/>
      <c r="B24" s="2073" t="s">
        <v>1547</v>
      </c>
      <c r="C24" s="2073" t="s">
        <v>1548</v>
      </c>
      <c r="D24" s="2074" t="s">
        <v>1549</v>
      </c>
      <c r="E24" s="2075">
        <f>F24*Unit.J</f>
        <v>2.5252525252525255E-17</v>
      </c>
      <c r="F24" s="2075">
        <f>1/11</f>
        <v>9.0909090909090912E-2</v>
      </c>
      <c r="H24" s="2052"/>
      <c r="I24" s="2052"/>
      <c r="J24" s="2052"/>
      <c r="K24" s="2069"/>
      <c r="L24" s="2070"/>
      <c r="M24" s="2070"/>
      <c r="N24" s="2071"/>
      <c r="O24" s="2071"/>
      <c r="P24" s="2072"/>
      <c r="Q24" s="2072"/>
      <c r="R24" s="2071"/>
      <c r="S24" s="2071"/>
      <c r="T24" s="2071"/>
      <c r="U24" s="2071"/>
      <c r="V24" s="2059"/>
      <c r="W24" s="2059"/>
      <c r="X24" s="2052"/>
      <c r="Y24" s="2052"/>
      <c r="Z24" s="2052"/>
      <c r="AA24" s="2052"/>
      <c r="AB24" s="2052"/>
      <c r="AC24" s="2052"/>
      <c r="AD24" s="2052"/>
      <c r="AE24" s="2052"/>
      <c r="AF24" s="2052"/>
      <c r="AG24" s="2052"/>
      <c r="AH24" s="2052"/>
      <c r="AI24" s="2052"/>
      <c r="AJ24" s="2052"/>
      <c r="AK24" s="2052"/>
      <c r="AL24" s="2052"/>
      <c r="AM24" s="2052"/>
      <c r="AN24" s="2052"/>
      <c r="AO24" s="2052"/>
      <c r="AP24" s="2052"/>
    </row>
    <row r="25" spans="1:42">
      <c r="H25" s="2062"/>
      <c r="I25" s="2062"/>
      <c r="J25" s="2062"/>
      <c r="K25" s="2062"/>
      <c r="L25" s="2057"/>
      <c r="M25" s="2059"/>
      <c r="N25" s="2059"/>
      <c r="O25" s="2059"/>
      <c r="P25" s="2059"/>
      <c r="Q25" s="2059"/>
      <c r="R25" s="2059"/>
      <c r="S25" s="2059"/>
      <c r="T25" s="2059"/>
      <c r="U25" s="2059"/>
      <c r="V25" s="2059"/>
      <c r="W25" s="2059"/>
      <c r="X25" s="2062"/>
      <c r="Y25" s="2076"/>
      <c r="Z25" s="2062"/>
      <c r="AA25" s="2062"/>
      <c r="AB25" s="2062"/>
      <c r="AC25" s="2062"/>
      <c r="AD25" s="2062"/>
      <c r="AE25" s="2062"/>
      <c r="AF25" s="2062"/>
      <c r="AG25" s="2062"/>
      <c r="AH25" s="2062"/>
      <c r="AI25" s="2062"/>
      <c r="AJ25" s="2062"/>
      <c r="AK25" s="2062"/>
      <c r="AL25" s="2062"/>
      <c r="AM25" s="2062"/>
      <c r="AN25" s="2062"/>
      <c r="AO25" s="2062"/>
      <c r="AP25" s="2062"/>
    </row>
    <row r="26" spans="1:42">
      <c r="E26" s="2077"/>
      <c r="F26" s="2077"/>
      <c r="H26" s="2062"/>
      <c r="I26" s="2062"/>
      <c r="J26" s="2062"/>
      <c r="K26" s="2062"/>
      <c r="L26" s="2057"/>
      <c r="M26" s="2059"/>
      <c r="N26" s="2059"/>
      <c r="O26" s="2062"/>
      <c r="P26" s="2078"/>
      <c r="Q26" s="2078"/>
      <c r="R26" s="2079"/>
      <c r="S26" s="2079"/>
      <c r="T26" s="2079"/>
      <c r="U26" s="2079"/>
      <c r="V26" s="2079"/>
      <c r="W26" s="2079"/>
      <c r="X26" s="2079"/>
      <c r="Y26" s="2079"/>
      <c r="Z26" s="2079"/>
      <c r="AA26" s="2062"/>
      <c r="AB26" s="2062"/>
      <c r="AC26" s="2062"/>
      <c r="AD26" s="2062"/>
      <c r="AE26" s="2062"/>
      <c r="AF26" s="2062"/>
      <c r="AG26" s="2062"/>
      <c r="AH26" s="2062"/>
      <c r="AI26" s="2062"/>
      <c r="AJ26" s="2062"/>
      <c r="AK26" s="2062"/>
      <c r="AL26" s="2062"/>
      <c r="AM26" s="2062"/>
      <c r="AN26" s="2062"/>
      <c r="AO26" s="2062"/>
      <c r="AP26" s="2062"/>
    </row>
    <row r="27" spans="1:42" ht="17.5">
      <c r="B27" s="2041" t="s">
        <v>1550</v>
      </c>
      <c r="C27" s="2041"/>
      <c r="H27" s="2062"/>
      <c r="I27" s="2062"/>
      <c r="J27" s="2062"/>
      <c r="K27" s="2062"/>
      <c r="L27" s="2062"/>
      <c r="M27" s="2062"/>
      <c r="N27" s="2062"/>
      <c r="O27" s="2062"/>
      <c r="P27" s="2062"/>
      <c r="Q27" s="2062"/>
      <c r="R27" s="2078"/>
      <c r="S27" s="2062"/>
      <c r="T27" s="2062"/>
      <c r="U27" s="2062"/>
      <c r="V27" s="2062"/>
      <c r="W27" s="2062"/>
      <c r="X27" s="2062"/>
      <c r="Y27" s="2062"/>
      <c r="Z27" s="2062"/>
      <c r="AA27" s="2062"/>
      <c r="AB27" s="2062"/>
      <c r="AC27" s="2062"/>
      <c r="AD27" s="2062"/>
      <c r="AE27" s="2062"/>
      <c r="AF27" s="2062"/>
      <c r="AG27" s="2062"/>
      <c r="AH27" s="2062"/>
      <c r="AI27" s="2062"/>
      <c r="AJ27" s="2062"/>
      <c r="AK27" s="2062"/>
      <c r="AL27" s="2062"/>
      <c r="AM27" s="2062"/>
      <c r="AN27" s="2062"/>
      <c r="AO27" s="2062"/>
      <c r="AP27" s="2062"/>
    </row>
    <row r="28" spans="1:42" ht="18" customHeight="1">
      <c r="H28" s="2062"/>
      <c r="I28" s="2062"/>
      <c r="J28" s="2062"/>
      <c r="K28" s="2062"/>
      <c r="L28" s="2062"/>
      <c r="M28" s="2062"/>
      <c r="N28" s="2062"/>
      <c r="O28" s="2062"/>
      <c r="P28" s="2062"/>
      <c r="Q28" s="2062"/>
      <c r="R28" s="2062"/>
      <c r="S28" s="2062"/>
      <c r="T28" s="2062"/>
      <c r="U28" s="2062"/>
      <c r="V28" s="2062"/>
      <c r="W28" s="2062"/>
      <c r="X28" s="2062"/>
      <c r="Y28" s="2062"/>
      <c r="Z28" s="2062"/>
      <c r="AA28" s="2062"/>
      <c r="AB28" s="2062"/>
      <c r="AC28" s="2062"/>
      <c r="AD28" s="2062"/>
      <c r="AE28" s="2062"/>
      <c r="AF28" s="2062"/>
      <c r="AG28" s="2062"/>
      <c r="AH28" s="2062"/>
      <c r="AI28" s="2062"/>
      <c r="AJ28" s="2062"/>
      <c r="AK28" s="2062"/>
      <c r="AL28" s="2062"/>
      <c r="AM28" s="2062"/>
      <c r="AN28" s="2062"/>
      <c r="AO28" s="2062"/>
      <c r="AP28" s="2062"/>
    </row>
    <row r="29" spans="1:42" ht="15.5">
      <c r="A29" s="2080"/>
      <c r="B29" s="2043" t="s">
        <v>876</v>
      </c>
      <c r="C29" s="2043" t="s">
        <v>29</v>
      </c>
      <c r="D29" s="2043" t="s">
        <v>1492</v>
      </c>
      <c r="E29" s="2044" t="s">
        <v>1551</v>
      </c>
      <c r="F29" s="2044" t="str">
        <f>Preferences.PowerUnits</f>
        <v>GW</v>
      </c>
      <c r="H29" s="2062"/>
      <c r="I29" s="2081"/>
      <c r="J29" s="2062"/>
      <c r="K29" s="2062"/>
      <c r="L29" s="2062"/>
      <c r="M29" s="2062"/>
      <c r="N29" s="2062"/>
      <c r="O29" s="2062"/>
      <c r="P29" s="2062"/>
      <c r="Q29" s="2062"/>
      <c r="R29" s="2068"/>
      <c r="S29" s="2078"/>
      <c r="T29" s="2062"/>
      <c r="U29" s="2062"/>
      <c r="V29" s="2062"/>
      <c r="W29" s="2062"/>
      <c r="X29" s="2062"/>
      <c r="Y29" s="2062"/>
      <c r="Z29" s="2062"/>
      <c r="AA29" s="2062"/>
      <c r="AB29" s="2062"/>
      <c r="AC29" s="2062"/>
      <c r="AD29" s="2062"/>
      <c r="AE29" s="2062"/>
      <c r="AF29" s="2062"/>
      <c r="AG29" s="2062"/>
      <c r="AH29" s="2062"/>
      <c r="AI29" s="2062"/>
      <c r="AJ29" s="2062"/>
      <c r="AK29" s="2062"/>
      <c r="AL29" s="2062"/>
      <c r="AM29" s="2062"/>
      <c r="AN29" s="2062"/>
      <c r="AO29" s="2062"/>
      <c r="AP29" s="2062"/>
    </row>
    <row r="30" spans="1:42" ht="15.5">
      <c r="A30" s="2080"/>
      <c r="B30" s="2049" t="s">
        <v>277</v>
      </c>
      <c r="C30" s="2049" t="s">
        <v>1552</v>
      </c>
      <c r="D30" s="2050" t="s">
        <v>1553</v>
      </c>
      <c r="E30" s="2051">
        <v>1000000000</v>
      </c>
      <c r="F30" s="2051">
        <f t="shared" ref="F30:F35" si="1">$E30/INDEX(Conversions.Power.Watts, MATCH(F$29, Conversions.Power.Units, 0))</f>
        <v>1</v>
      </c>
      <c r="H30" s="2062"/>
      <c r="I30" s="2062"/>
      <c r="J30" s="2062"/>
      <c r="K30" s="2062"/>
      <c r="L30" s="2062"/>
      <c r="M30" s="2062"/>
      <c r="N30" s="2062"/>
      <c r="O30" s="2062"/>
      <c r="P30" s="2062"/>
      <c r="Q30" s="2062"/>
      <c r="R30" s="2062"/>
      <c r="S30" s="2068"/>
      <c r="T30" s="2062"/>
      <c r="U30" s="2062"/>
      <c r="V30" s="2062"/>
      <c r="W30" s="2062"/>
      <c r="X30" s="2062"/>
      <c r="Y30" s="2062"/>
      <c r="Z30" s="2062"/>
      <c r="AA30" s="2062"/>
      <c r="AB30" s="2062"/>
      <c r="AC30" s="2062"/>
      <c r="AD30" s="2062"/>
      <c r="AE30" s="2062"/>
      <c r="AF30" s="2062"/>
      <c r="AG30" s="2062"/>
      <c r="AH30" s="2062"/>
      <c r="AI30" s="2062"/>
      <c r="AJ30" s="2062"/>
      <c r="AK30" s="2062"/>
      <c r="AL30" s="2062"/>
      <c r="AM30" s="2062"/>
      <c r="AN30" s="2062"/>
      <c r="AO30" s="2062"/>
      <c r="AP30" s="2062"/>
    </row>
    <row r="31" spans="1:42" ht="15.5">
      <c r="A31" s="2080"/>
      <c r="B31" s="2049" t="s">
        <v>1554</v>
      </c>
      <c r="C31" s="2049" t="s">
        <v>1555</v>
      </c>
      <c r="D31" s="2050" t="s">
        <v>1556</v>
      </c>
      <c r="E31" s="2051">
        <v>1000000</v>
      </c>
      <c r="F31" s="2051">
        <f t="shared" si="1"/>
        <v>1E-3</v>
      </c>
      <c r="H31" s="2062"/>
      <c r="I31" s="2062"/>
      <c r="J31" s="2062"/>
      <c r="K31" s="2062"/>
      <c r="L31" s="2062"/>
      <c r="M31" s="2062"/>
      <c r="N31" s="2062"/>
      <c r="O31" s="2062"/>
      <c r="P31" s="2062"/>
      <c r="Q31" s="2062"/>
      <c r="R31" s="2062"/>
      <c r="S31" s="2062"/>
      <c r="T31" s="2062"/>
      <c r="U31" s="2062"/>
      <c r="V31" s="2062"/>
      <c r="W31" s="2062"/>
      <c r="X31" s="2062"/>
      <c r="Y31" s="2062"/>
      <c r="Z31" s="2062"/>
      <c r="AA31" s="2062"/>
      <c r="AB31" s="2062"/>
      <c r="AC31" s="2062"/>
      <c r="AD31" s="2062"/>
      <c r="AE31" s="2062"/>
      <c r="AF31" s="2062"/>
      <c r="AG31" s="2062"/>
      <c r="AH31" s="2062"/>
      <c r="AI31" s="2062"/>
      <c r="AJ31" s="2062"/>
      <c r="AK31" s="2062"/>
      <c r="AL31" s="2062"/>
      <c r="AM31" s="2062"/>
      <c r="AN31" s="2062"/>
      <c r="AO31" s="2062"/>
      <c r="AP31" s="2062"/>
    </row>
    <row r="32" spans="1:42" ht="15.5">
      <c r="A32" s="2080"/>
      <c r="B32" s="2040" t="s">
        <v>1557</v>
      </c>
      <c r="C32" s="2040" t="s">
        <v>1558</v>
      </c>
      <c r="D32" s="2050" t="s">
        <v>1559</v>
      </c>
      <c r="E32" s="2051">
        <v>1000</v>
      </c>
      <c r="F32" s="2051">
        <f t="shared" si="1"/>
        <v>9.9999999999999995E-7</v>
      </c>
      <c r="H32" s="2062"/>
      <c r="I32" s="2062"/>
      <c r="J32" s="2062"/>
      <c r="K32" s="2062"/>
      <c r="L32" s="2062"/>
      <c r="M32" s="2062"/>
      <c r="N32" s="2062"/>
      <c r="O32" s="2062"/>
      <c r="P32" s="2062"/>
      <c r="Q32" s="2062"/>
      <c r="R32" s="2062"/>
      <c r="S32" s="2062"/>
      <c r="T32" s="2062"/>
      <c r="U32" s="2062"/>
      <c r="V32" s="2062"/>
      <c r="W32" s="2062"/>
      <c r="X32" s="2062"/>
      <c r="Y32" s="2062"/>
      <c r="Z32" s="2062"/>
      <c r="AA32" s="2062"/>
      <c r="AB32" s="2062"/>
      <c r="AC32" s="2062"/>
      <c r="AD32" s="2062"/>
      <c r="AE32" s="2062"/>
      <c r="AF32" s="2062"/>
      <c r="AG32" s="2062"/>
      <c r="AH32" s="2062"/>
      <c r="AI32" s="2062"/>
      <c r="AJ32" s="2062"/>
      <c r="AK32" s="2062"/>
      <c r="AL32" s="2062"/>
      <c r="AM32" s="2062"/>
      <c r="AN32" s="2062"/>
      <c r="AO32" s="2062"/>
      <c r="AP32" s="2062"/>
    </row>
    <row r="33" spans="1:42" ht="15.5">
      <c r="A33" s="2080"/>
      <c r="B33" s="2040" t="s">
        <v>1560</v>
      </c>
      <c r="C33" s="2040" t="s">
        <v>1551</v>
      </c>
      <c r="D33" s="2050" t="s">
        <v>1561</v>
      </c>
      <c r="E33" s="2051">
        <v>1</v>
      </c>
      <c r="F33" s="2051">
        <f t="shared" si="1"/>
        <v>1.0000000000000001E-9</v>
      </c>
      <c r="H33" s="2062"/>
      <c r="I33" s="2062"/>
      <c r="J33" s="2062"/>
      <c r="K33" s="2062"/>
      <c r="L33" s="2062"/>
      <c r="M33" s="2062"/>
      <c r="N33" s="2062"/>
      <c r="O33" s="2062"/>
      <c r="P33" s="2062"/>
      <c r="Q33" s="2062"/>
      <c r="R33" s="2062"/>
      <c r="S33" s="2062"/>
      <c r="T33" s="2062"/>
      <c r="U33" s="2062"/>
      <c r="V33" s="2062"/>
      <c r="W33" s="2062"/>
      <c r="X33" s="2062"/>
      <c r="Y33" s="2062"/>
      <c r="Z33" s="2062"/>
      <c r="AA33" s="2062"/>
      <c r="AB33" s="2062"/>
      <c r="AC33" s="2062"/>
      <c r="AD33" s="2062"/>
      <c r="AE33" s="2062"/>
      <c r="AF33" s="2062"/>
      <c r="AG33" s="2062"/>
      <c r="AH33" s="2062"/>
      <c r="AI33" s="2062"/>
      <c r="AJ33" s="2062"/>
      <c r="AK33" s="2062"/>
      <c r="AL33" s="2062"/>
      <c r="AM33" s="2062"/>
      <c r="AN33" s="2062"/>
      <c r="AO33" s="2062"/>
      <c r="AP33" s="2062"/>
    </row>
    <row r="34" spans="1:42" ht="15.5">
      <c r="A34" s="2080"/>
      <c r="B34" s="2040" t="s">
        <v>1562</v>
      </c>
      <c r="C34" s="2040" t="s">
        <v>1563</v>
      </c>
      <c r="D34" s="2050" t="s">
        <v>1564</v>
      </c>
      <c r="E34" s="2051">
        <f>29000000*1000000/(24*60*60)</f>
        <v>335648148.14814812</v>
      </c>
      <c r="F34" s="2051">
        <f t="shared" si="1"/>
        <v>0.33564814814814814</v>
      </c>
      <c r="H34" s="2062"/>
      <c r="I34" s="2062"/>
      <c r="J34" s="2062"/>
      <c r="K34" s="2062"/>
      <c r="L34" s="2062"/>
      <c r="M34" s="2062"/>
      <c r="N34" s="2062"/>
      <c r="O34" s="2062"/>
      <c r="P34" s="2062"/>
      <c r="Q34" s="2062"/>
      <c r="R34" s="2062"/>
      <c r="S34" s="2062"/>
      <c r="T34" s="2062"/>
      <c r="U34" s="2062"/>
      <c r="V34" s="2062"/>
      <c r="W34" s="2062"/>
      <c r="X34" s="2062"/>
      <c r="Y34" s="2062"/>
      <c r="Z34" s="2062"/>
      <c r="AA34" s="2062"/>
      <c r="AB34" s="2062"/>
      <c r="AC34" s="2062"/>
      <c r="AD34" s="2062"/>
      <c r="AE34" s="2062"/>
      <c r="AF34" s="2062"/>
      <c r="AG34" s="2062"/>
      <c r="AH34" s="2062"/>
      <c r="AI34" s="2062"/>
      <c r="AJ34" s="2062"/>
      <c r="AK34" s="2062"/>
      <c r="AL34" s="2062"/>
      <c r="AM34" s="2062"/>
      <c r="AN34" s="2062"/>
      <c r="AO34" s="2062"/>
      <c r="AP34" s="2062"/>
    </row>
    <row r="35" spans="1:42">
      <c r="B35" s="2082" t="s">
        <v>1565</v>
      </c>
      <c r="C35" s="2082" t="s">
        <v>1566</v>
      </c>
      <c r="D35" s="2083" t="s">
        <v>1567</v>
      </c>
      <c r="E35" s="2084">
        <f>$E$19/Unit.year</f>
        <v>1326716860.597764</v>
      </c>
      <c r="F35" s="2084">
        <f t="shared" si="1"/>
        <v>1.3267168605977639</v>
      </c>
      <c r="H35" s="2062"/>
      <c r="I35" s="2062"/>
      <c r="J35" s="2062"/>
      <c r="K35" s="2062"/>
      <c r="L35" s="2057"/>
      <c r="M35" s="2059"/>
      <c r="N35" s="2059"/>
      <c r="O35" s="2059"/>
      <c r="P35" s="2059"/>
      <c r="Q35" s="2059"/>
      <c r="R35" s="2059"/>
      <c r="S35" s="2059"/>
      <c r="T35" s="2059"/>
      <c r="U35" s="2059"/>
      <c r="V35" s="2059"/>
      <c r="W35" s="2059"/>
      <c r="X35" s="2062"/>
      <c r="Y35" s="2062"/>
      <c r="Z35" s="2062"/>
      <c r="AA35" s="2062"/>
      <c r="AB35" s="2062"/>
      <c r="AC35" s="2062"/>
      <c r="AD35" s="2062"/>
      <c r="AE35" s="2062"/>
      <c r="AF35" s="2062"/>
      <c r="AG35" s="2062"/>
      <c r="AH35" s="2062"/>
      <c r="AI35" s="2062"/>
      <c r="AJ35" s="2062"/>
      <c r="AK35" s="2062"/>
      <c r="AL35" s="2062"/>
      <c r="AM35" s="2062"/>
      <c r="AN35" s="2062"/>
      <c r="AO35" s="2062"/>
      <c r="AP35" s="2062"/>
    </row>
    <row r="36" spans="1:42">
      <c r="H36" s="2062"/>
      <c r="I36" s="2062"/>
      <c r="J36" s="2062"/>
      <c r="K36" s="2062"/>
      <c r="L36" s="2057"/>
      <c r="M36" s="2059"/>
      <c r="N36" s="2059"/>
      <c r="O36" s="2059"/>
      <c r="P36" s="2059"/>
      <c r="Q36" s="2059"/>
      <c r="R36" s="2059"/>
      <c r="S36" s="2059"/>
      <c r="T36" s="2059"/>
      <c r="U36" s="2059"/>
      <c r="V36" s="2059"/>
      <c r="W36" s="2059"/>
      <c r="X36" s="2062"/>
      <c r="Y36" s="2062"/>
      <c r="Z36" s="2062"/>
      <c r="AA36" s="2062"/>
      <c r="AB36" s="2062"/>
      <c r="AC36" s="2062"/>
      <c r="AD36" s="2062"/>
      <c r="AE36" s="2062"/>
      <c r="AF36" s="2062"/>
      <c r="AG36" s="2062"/>
      <c r="AH36" s="2062"/>
      <c r="AI36" s="2062"/>
      <c r="AJ36" s="2062"/>
      <c r="AK36" s="2062"/>
      <c r="AL36" s="2062"/>
      <c r="AM36" s="2062"/>
      <c r="AN36" s="2062"/>
      <c r="AO36" s="2062"/>
      <c r="AP36" s="2062"/>
    </row>
    <row r="37" spans="1:42" ht="15" customHeight="1">
      <c r="B37" s="2041" t="s">
        <v>1568</v>
      </c>
      <c r="C37" s="2041"/>
      <c r="H37" s="2062"/>
      <c r="I37" s="2062"/>
      <c r="J37" s="2062"/>
      <c r="K37" s="2062"/>
      <c r="L37" s="2057"/>
      <c r="M37" s="2059"/>
      <c r="N37" s="2059"/>
      <c r="O37" s="2059"/>
      <c r="P37" s="2059"/>
      <c r="Q37" s="2059"/>
      <c r="R37" s="2059"/>
      <c r="S37" s="2059"/>
      <c r="T37" s="2059"/>
      <c r="U37" s="2059"/>
      <c r="V37" s="2059"/>
      <c r="W37" s="2059"/>
      <c r="X37" s="2062"/>
      <c r="Y37" s="2062"/>
      <c r="Z37" s="2062"/>
      <c r="AA37" s="2062"/>
      <c r="AB37" s="2062"/>
      <c r="AC37" s="2062"/>
      <c r="AD37" s="2062"/>
      <c r="AE37" s="2062"/>
      <c r="AF37" s="2062"/>
      <c r="AG37" s="2062"/>
      <c r="AH37" s="2062"/>
      <c r="AI37" s="2062"/>
      <c r="AJ37" s="2062"/>
      <c r="AK37" s="2062"/>
      <c r="AL37" s="2062"/>
      <c r="AM37" s="2062"/>
      <c r="AN37" s="2062"/>
      <c r="AO37" s="2062"/>
      <c r="AP37" s="2062"/>
    </row>
    <row r="38" spans="1:42" ht="15.5">
      <c r="A38" s="2080"/>
      <c r="H38" s="2062"/>
      <c r="I38" s="2062"/>
      <c r="J38" s="2062"/>
      <c r="K38" s="2062"/>
      <c r="L38" s="2062"/>
      <c r="M38" s="2059"/>
      <c r="N38" s="2059"/>
      <c r="O38" s="2062"/>
      <c r="P38" s="2053"/>
      <c r="Q38" s="2059"/>
      <c r="R38" s="2059"/>
      <c r="S38" s="2085"/>
      <c r="T38" s="2059"/>
      <c r="U38" s="2059"/>
      <c r="V38" s="2062"/>
      <c r="W38" s="2059"/>
      <c r="X38" s="2062"/>
      <c r="Y38" s="2062"/>
      <c r="Z38" s="2062"/>
      <c r="AA38" s="2062"/>
      <c r="AB38" s="2062"/>
      <c r="AC38" s="2062"/>
      <c r="AD38" s="2062"/>
      <c r="AE38" s="2062"/>
      <c r="AF38" s="2062"/>
      <c r="AG38" s="2062"/>
      <c r="AH38" s="2062"/>
      <c r="AI38" s="2062"/>
      <c r="AJ38" s="2062"/>
      <c r="AK38" s="2062"/>
      <c r="AL38" s="2062"/>
      <c r="AM38" s="2062"/>
      <c r="AN38" s="2062"/>
      <c r="AO38" s="2062"/>
      <c r="AP38" s="2062"/>
    </row>
    <row r="39" spans="1:42" ht="15.5">
      <c r="A39" s="2080"/>
      <c r="B39" s="2043" t="s">
        <v>876</v>
      </c>
      <c r="C39" s="2043" t="s">
        <v>29</v>
      </c>
      <c r="D39" s="2043" t="s">
        <v>1492</v>
      </c>
      <c r="E39" s="2044"/>
      <c r="F39" s="2044" t="s">
        <v>1569</v>
      </c>
      <c r="H39" s="2062"/>
      <c r="I39" s="2062"/>
      <c r="J39" s="2062"/>
      <c r="K39" s="2062"/>
      <c r="L39" s="2052"/>
      <c r="M39" s="2059"/>
      <c r="N39" s="2059"/>
      <c r="O39" s="2086"/>
      <c r="P39" s="2059"/>
      <c r="Q39" s="2059"/>
      <c r="R39" s="2059"/>
      <c r="S39" s="2059"/>
      <c r="T39" s="2059"/>
      <c r="U39" s="2059"/>
      <c r="V39" s="2059"/>
      <c r="W39" s="2059"/>
      <c r="X39" s="2062"/>
      <c r="Y39" s="2062"/>
      <c r="Z39" s="2062"/>
      <c r="AA39" s="2062"/>
      <c r="AB39" s="2062"/>
      <c r="AC39" s="2062"/>
      <c r="AD39" s="2062"/>
      <c r="AE39" s="2062"/>
      <c r="AF39" s="2062"/>
      <c r="AG39" s="2062"/>
      <c r="AH39" s="2062"/>
      <c r="AI39" s="2062"/>
      <c r="AJ39" s="2062"/>
      <c r="AK39" s="2062"/>
      <c r="AL39" s="2062"/>
      <c r="AM39" s="2062"/>
      <c r="AN39" s="2062"/>
      <c r="AO39" s="2062"/>
      <c r="AP39" s="2062"/>
    </row>
    <row r="40" spans="1:42">
      <c r="B40" s="2049" t="s">
        <v>1570</v>
      </c>
      <c r="C40" s="2049" t="s">
        <v>1442</v>
      </c>
      <c r="D40" s="2050" t="s">
        <v>1571</v>
      </c>
      <c r="E40" s="2051"/>
      <c r="F40" s="2051">
        <f>365.25*Unit.day</f>
        <v>31557600</v>
      </c>
      <c r="H40" s="2062"/>
      <c r="I40" s="2062"/>
      <c r="J40" s="2062"/>
      <c r="K40" s="2062"/>
      <c r="L40" s="2087"/>
      <c r="M40" s="2059"/>
      <c r="N40" s="2059"/>
      <c r="O40" s="2059"/>
      <c r="P40" s="2059"/>
      <c r="Q40" s="2059"/>
      <c r="R40" s="2059"/>
      <c r="S40" s="2059"/>
      <c r="T40" s="2059"/>
      <c r="U40" s="2059"/>
      <c r="V40" s="2059"/>
      <c r="W40" s="2059"/>
      <c r="X40" s="2062"/>
      <c r="Y40" s="2062"/>
      <c r="Z40" s="2062"/>
      <c r="AA40" s="2062"/>
      <c r="AB40" s="2062"/>
      <c r="AC40" s="2062"/>
      <c r="AD40" s="2062"/>
      <c r="AE40" s="2062"/>
      <c r="AF40" s="2062"/>
      <c r="AG40" s="2062"/>
      <c r="AH40" s="2062"/>
      <c r="AI40" s="2062"/>
      <c r="AJ40" s="2062"/>
      <c r="AK40" s="2062"/>
      <c r="AL40" s="2062"/>
      <c r="AM40" s="2062"/>
      <c r="AN40" s="2062"/>
      <c r="AO40" s="2062"/>
      <c r="AP40" s="2062"/>
    </row>
    <row r="41" spans="1:42" ht="14.5">
      <c r="B41" s="2049" t="s">
        <v>1572</v>
      </c>
      <c r="C41" s="2049" t="s">
        <v>1573</v>
      </c>
      <c r="D41" s="2050" t="s">
        <v>1574</v>
      </c>
      <c r="E41" s="2088"/>
      <c r="F41" s="2089">
        <f>Unit.hour*24</f>
        <v>86400</v>
      </c>
      <c r="H41" s="2062"/>
      <c r="I41" s="2062"/>
      <c r="J41" s="2062"/>
      <c r="K41" s="2062"/>
      <c r="L41" s="2057"/>
      <c r="M41" s="2059"/>
      <c r="N41" s="2059"/>
      <c r="O41" s="2059"/>
      <c r="P41" s="2059"/>
      <c r="Q41" s="2059"/>
      <c r="R41" s="2059"/>
      <c r="S41" s="2059"/>
      <c r="T41" s="2059"/>
      <c r="U41" s="2059"/>
      <c r="V41" s="2059"/>
      <c r="W41" s="2059"/>
      <c r="X41" s="2062"/>
      <c r="Y41" s="2062"/>
      <c r="Z41" s="2062"/>
      <c r="AA41" s="2062"/>
      <c r="AB41" s="2062"/>
      <c r="AC41" s="2062"/>
      <c r="AD41" s="2062"/>
      <c r="AE41" s="2062"/>
      <c r="AF41" s="2062"/>
      <c r="AG41" s="2062"/>
      <c r="AH41" s="2062"/>
      <c r="AI41" s="2062"/>
      <c r="AJ41" s="2062"/>
      <c r="AK41" s="2062"/>
      <c r="AL41" s="2062"/>
      <c r="AM41" s="2062"/>
      <c r="AN41" s="2062"/>
      <c r="AO41" s="2062"/>
      <c r="AP41" s="2062"/>
    </row>
    <row r="42" spans="1:42" ht="14.5">
      <c r="B42" s="2040" t="s">
        <v>1575</v>
      </c>
      <c r="C42" s="2040" t="s">
        <v>1576</v>
      </c>
      <c r="D42" s="2090" t="s">
        <v>1577</v>
      </c>
      <c r="F42" s="2091">
        <f>Unit.minute*60</f>
        <v>3600</v>
      </c>
      <c r="H42" s="2062"/>
      <c r="I42" s="2062"/>
      <c r="J42" s="2062"/>
      <c r="K42" s="2062"/>
      <c r="L42" s="2057"/>
      <c r="M42" s="2059"/>
      <c r="N42" s="2059"/>
      <c r="O42" s="2059"/>
      <c r="P42" s="2059"/>
      <c r="Q42" s="2059"/>
      <c r="R42" s="2059"/>
      <c r="S42" s="2059"/>
      <c r="T42" s="2059"/>
      <c r="U42" s="2059"/>
      <c r="V42" s="2059"/>
      <c r="W42" s="2059"/>
      <c r="X42" s="2062"/>
      <c r="Y42" s="2062"/>
      <c r="Z42" s="2062"/>
      <c r="AA42" s="2062"/>
      <c r="AB42" s="2062"/>
      <c r="AC42" s="2062"/>
      <c r="AD42" s="2062"/>
      <c r="AE42" s="2062"/>
      <c r="AF42" s="2062"/>
      <c r="AG42" s="2062"/>
      <c r="AH42" s="2062"/>
      <c r="AI42" s="2062"/>
      <c r="AJ42" s="2062"/>
      <c r="AK42" s="2062"/>
      <c r="AL42" s="2062"/>
      <c r="AM42" s="2062"/>
      <c r="AN42" s="2062"/>
      <c r="AO42" s="2062"/>
      <c r="AP42" s="2062"/>
    </row>
    <row r="43" spans="1:42" ht="15.5">
      <c r="A43" s="2080"/>
      <c r="B43" s="2092" t="s">
        <v>1578</v>
      </c>
      <c r="C43" s="2092" t="s">
        <v>1579</v>
      </c>
      <c r="D43" s="2093" t="s">
        <v>1580</v>
      </c>
      <c r="E43" s="2092"/>
      <c r="F43" s="2094">
        <v>60</v>
      </c>
      <c r="H43" s="2062"/>
      <c r="I43" s="2095"/>
      <c r="J43" s="2062"/>
      <c r="K43" s="2096"/>
      <c r="L43" s="2096"/>
      <c r="M43" s="2097"/>
      <c r="N43" s="2097"/>
      <c r="O43" s="2097"/>
      <c r="P43" s="2098"/>
      <c r="Q43" s="2059"/>
      <c r="R43" s="2059"/>
      <c r="S43" s="2059"/>
      <c r="T43" s="2059"/>
      <c r="U43" s="2059"/>
      <c r="V43" s="2059"/>
      <c r="W43" s="2059"/>
      <c r="X43" s="2062"/>
      <c r="Y43" s="2062"/>
      <c r="Z43" s="2062"/>
      <c r="AA43" s="2062"/>
      <c r="AB43" s="2062"/>
      <c r="AC43" s="2062"/>
      <c r="AD43" s="2062"/>
      <c r="AE43" s="2062"/>
      <c r="AF43" s="2062"/>
      <c r="AG43" s="2062"/>
      <c r="AH43" s="2062"/>
      <c r="AI43" s="2062"/>
      <c r="AJ43" s="2062"/>
      <c r="AK43" s="2062"/>
      <c r="AL43" s="2062"/>
      <c r="AM43" s="2062"/>
      <c r="AN43" s="2062"/>
      <c r="AO43" s="2062"/>
      <c r="AP43" s="2062"/>
    </row>
    <row r="44" spans="1:42">
      <c r="H44" s="2062"/>
      <c r="I44" s="2062"/>
      <c r="J44" s="2062"/>
      <c r="K44" s="2062"/>
      <c r="L44" s="2057"/>
      <c r="M44" s="2059"/>
      <c r="N44" s="2059"/>
      <c r="O44" s="2059"/>
      <c r="P44" s="2059"/>
      <c r="Q44" s="2059"/>
      <c r="R44" s="2059"/>
      <c r="S44" s="2059"/>
      <c r="T44" s="2059"/>
      <c r="U44" s="2059"/>
      <c r="V44" s="2059"/>
      <c r="W44" s="2059"/>
      <c r="X44" s="2062"/>
      <c r="Y44" s="2062"/>
      <c r="Z44" s="2062"/>
      <c r="AA44" s="2062"/>
      <c r="AB44" s="2062"/>
      <c r="AC44" s="2062"/>
      <c r="AD44" s="2062"/>
      <c r="AE44" s="2062"/>
      <c r="AF44" s="2062"/>
      <c r="AG44" s="2062"/>
      <c r="AH44" s="2062"/>
      <c r="AI44" s="2062"/>
      <c r="AJ44" s="2062"/>
      <c r="AK44" s="2062"/>
      <c r="AL44" s="2062"/>
      <c r="AM44" s="2062"/>
      <c r="AN44" s="2062"/>
      <c r="AO44" s="2062"/>
      <c r="AP44" s="2062"/>
    </row>
    <row r="45" spans="1:42" ht="17.5">
      <c r="B45" s="2041" t="s">
        <v>1581</v>
      </c>
      <c r="C45" s="2041"/>
      <c r="H45" s="2062"/>
      <c r="I45" s="2062"/>
      <c r="J45" s="2062"/>
      <c r="K45" s="2062"/>
      <c r="L45" s="2057"/>
      <c r="M45" s="2059"/>
      <c r="N45" s="2059"/>
      <c r="O45" s="2059"/>
      <c r="P45" s="2059"/>
      <c r="Q45" s="2059"/>
      <c r="R45" s="2059"/>
      <c r="S45" s="2059"/>
      <c r="T45" s="2059"/>
      <c r="U45" s="2059"/>
      <c r="V45" s="2059"/>
      <c r="W45" s="2059"/>
      <c r="X45" s="2062"/>
      <c r="Y45" s="2062"/>
      <c r="Z45" s="2062"/>
      <c r="AA45" s="2062"/>
      <c r="AB45" s="2062"/>
      <c r="AC45" s="2062"/>
      <c r="AD45" s="2062"/>
      <c r="AE45" s="2062"/>
      <c r="AF45" s="2062"/>
      <c r="AG45" s="2062"/>
      <c r="AH45" s="2062"/>
      <c r="AI45" s="2062"/>
      <c r="AJ45" s="2062"/>
      <c r="AK45" s="2062"/>
      <c r="AL45" s="2062"/>
      <c r="AM45" s="2062"/>
      <c r="AN45" s="2062"/>
      <c r="AO45" s="2062"/>
      <c r="AP45" s="2062"/>
    </row>
    <row r="46" spans="1:42" ht="15.5">
      <c r="A46" s="2080"/>
      <c r="H46" s="2062"/>
      <c r="I46" s="2062"/>
      <c r="J46" s="2062"/>
      <c r="K46" s="2062"/>
      <c r="L46" s="2057"/>
      <c r="M46" s="2059"/>
      <c r="N46" s="2059"/>
      <c r="O46" s="2059"/>
      <c r="P46" s="2059"/>
      <c r="Q46" s="2059"/>
      <c r="R46" s="2059"/>
      <c r="S46" s="2059"/>
      <c r="T46" s="2059"/>
      <c r="U46" s="2059"/>
      <c r="V46" s="2059"/>
      <c r="W46" s="2059"/>
      <c r="X46" s="2062"/>
      <c r="Y46" s="2062"/>
      <c r="Z46" s="2062"/>
      <c r="AA46" s="2062"/>
      <c r="AB46" s="2062"/>
      <c r="AC46" s="2062"/>
      <c r="AD46" s="2062"/>
      <c r="AE46" s="2062"/>
      <c r="AF46" s="2062"/>
      <c r="AG46" s="2062"/>
      <c r="AH46" s="2062"/>
      <c r="AI46" s="2062"/>
      <c r="AJ46" s="2062"/>
      <c r="AK46" s="2062"/>
      <c r="AL46" s="2062"/>
      <c r="AM46" s="2062"/>
      <c r="AN46" s="2062"/>
      <c r="AO46" s="2062"/>
      <c r="AP46" s="2062"/>
    </row>
    <row r="47" spans="1:42" ht="15.5">
      <c r="A47" s="2080"/>
      <c r="B47" s="2043" t="s">
        <v>876</v>
      </c>
      <c r="C47" s="2043" t="s">
        <v>29</v>
      </c>
      <c r="D47" s="2043" t="s">
        <v>1492</v>
      </c>
      <c r="E47" s="2044" t="s">
        <v>1582</v>
      </c>
      <c r="F47" s="2044" t="str">
        <f>Preferences.AreaUnits</f>
        <v>km^2</v>
      </c>
      <c r="H47" s="2062"/>
      <c r="I47" s="2062"/>
      <c r="J47" s="2062"/>
      <c r="K47" s="2062"/>
      <c r="L47" s="2057"/>
      <c r="M47" s="2059"/>
      <c r="N47" s="2059"/>
      <c r="O47" s="2059"/>
      <c r="P47" s="2059"/>
      <c r="Q47" s="2059"/>
      <c r="R47" s="2059"/>
      <c r="S47" s="2059"/>
      <c r="T47" s="2059"/>
      <c r="U47" s="2059"/>
      <c r="V47" s="2059"/>
      <c r="W47" s="2059"/>
      <c r="X47" s="2062"/>
      <c r="Y47" s="2062"/>
      <c r="Z47" s="2062"/>
      <c r="AA47" s="2062"/>
      <c r="AB47" s="2062"/>
      <c r="AC47" s="2062"/>
      <c r="AD47" s="2062"/>
      <c r="AE47" s="2062"/>
      <c r="AF47" s="2062"/>
      <c r="AG47" s="2062"/>
      <c r="AH47" s="2062"/>
      <c r="AI47" s="2062"/>
      <c r="AJ47" s="2062"/>
      <c r="AK47" s="2062"/>
      <c r="AL47" s="2062"/>
      <c r="AM47" s="2062"/>
      <c r="AN47" s="2062"/>
      <c r="AO47" s="2062"/>
      <c r="AP47" s="2062"/>
    </row>
    <row r="48" spans="1:42" ht="15.5">
      <c r="A48" s="2080"/>
      <c r="B48" s="2049" t="s">
        <v>1583</v>
      </c>
      <c r="C48" s="2049" t="s">
        <v>1584</v>
      </c>
      <c r="D48" s="2050" t="s">
        <v>1585</v>
      </c>
      <c r="E48" s="2051">
        <f>100^2</f>
        <v>10000</v>
      </c>
      <c r="F48" s="2051">
        <f t="shared" ref="F48:F53" si="2">$E48/INDEX(Conversions.Area.m2, MATCH(F$47, Conversions.Area.Units, 0))</f>
        <v>0.01</v>
      </c>
      <c r="H48" s="2062"/>
      <c r="I48" s="2062"/>
      <c r="J48" s="2062"/>
      <c r="K48" s="2062"/>
      <c r="L48" s="2057"/>
      <c r="M48" s="2059"/>
      <c r="N48" s="2059"/>
      <c r="O48" s="2059"/>
      <c r="P48" s="2059"/>
      <c r="Q48" s="2059"/>
      <c r="R48" s="2059"/>
      <c r="S48" s="2059"/>
      <c r="T48" s="2059"/>
      <c r="U48" s="2059"/>
      <c r="V48" s="2059"/>
      <c r="W48" s="2059"/>
      <c r="X48" s="2062"/>
      <c r="Y48" s="2062"/>
      <c r="Z48" s="2062"/>
      <c r="AA48" s="2062"/>
      <c r="AB48" s="2062"/>
      <c r="AC48" s="2062"/>
      <c r="AD48" s="2062"/>
      <c r="AE48" s="2062"/>
      <c r="AF48" s="2062"/>
      <c r="AG48" s="2062"/>
      <c r="AH48" s="2062"/>
      <c r="AI48" s="2062"/>
      <c r="AJ48" s="2062"/>
      <c r="AK48" s="2062"/>
      <c r="AL48" s="2062"/>
      <c r="AM48" s="2062"/>
      <c r="AN48" s="2062"/>
      <c r="AO48" s="2062"/>
      <c r="AP48" s="2062"/>
    </row>
    <row r="49" spans="1:42" ht="15.5">
      <c r="A49" s="2080"/>
      <c r="B49" s="2049" t="s">
        <v>1586</v>
      </c>
      <c r="C49" s="2049" t="s">
        <v>1587</v>
      </c>
      <c r="D49" s="2050" t="s">
        <v>1588</v>
      </c>
      <c r="E49" s="2051">
        <f>E48*1000000</f>
        <v>10000000000</v>
      </c>
      <c r="F49" s="2051">
        <f t="shared" si="2"/>
        <v>10000</v>
      </c>
      <c r="H49" s="2099"/>
      <c r="I49" s="2062"/>
      <c r="J49" s="2062"/>
      <c r="K49" s="2062"/>
      <c r="L49" s="2057"/>
      <c r="M49" s="2059"/>
      <c r="N49" s="2059"/>
      <c r="O49" s="2059"/>
      <c r="P49" s="2059"/>
      <c r="Q49" s="2059"/>
      <c r="R49" s="2059"/>
      <c r="S49" s="2059"/>
      <c r="T49" s="2059"/>
      <c r="U49" s="2059"/>
      <c r="V49" s="2059"/>
      <c r="W49" s="2059"/>
      <c r="X49" s="2062"/>
      <c r="Y49" s="2062"/>
      <c r="Z49" s="2062"/>
      <c r="AA49" s="2062"/>
      <c r="AB49" s="2062"/>
      <c r="AC49" s="2062"/>
      <c r="AD49" s="2062"/>
      <c r="AE49" s="2062"/>
      <c r="AF49" s="2062"/>
      <c r="AG49" s="2062"/>
      <c r="AH49" s="2062"/>
      <c r="AI49" s="2062"/>
      <c r="AJ49" s="2062"/>
      <c r="AK49" s="2062"/>
      <c r="AL49" s="2062"/>
      <c r="AM49" s="2062"/>
      <c r="AN49" s="2062"/>
      <c r="AO49" s="2062"/>
      <c r="AP49" s="2062"/>
    </row>
    <row r="50" spans="1:42" ht="15.5">
      <c r="A50" s="2080"/>
      <c r="B50" s="2049" t="s">
        <v>1589</v>
      </c>
      <c r="C50" s="2049" t="s">
        <v>1590</v>
      </c>
      <c r="D50" s="2050" t="s">
        <v>1591</v>
      </c>
      <c r="E50" s="2051">
        <v>4046.8564224000002</v>
      </c>
      <c r="F50" s="2051">
        <f t="shared" si="2"/>
        <v>4.0468564224000001E-3</v>
      </c>
      <c r="H50" s="2062"/>
      <c r="I50" s="2062"/>
      <c r="J50" s="2062"/>
      <c r="K50" s="2062"/>
      <c r="L50" s="2057"/>
      <c r="M50" s="2059"/>
      <c r="N50" s="2059"/>
      <c r="O50" s="2059"/>
      <c r="P50" s="2059"/>
      <c r="Q50" s="2059"/>
      <c r="R50" s="2059"/>
      <c r="S50" s="2059"/>
      <c r="T50" s="2059"/>
      <c r="U50" s="2059"/>
      <c r="V50" s="2059"/>
      <c r="W50" s="2059"/>
      <c r="X50" s="2062"/>
      <c r="Y50" s="2062"/>
      <c r="Z50" s="2062"/>
      <c r="AA50" s="2062"/>
      <c r="AB50" s="2062"/>
      <c r="AC50" s="2062"/>
      <c r="AD50" s="2062"/>
      <c r="AE50" s="2062"/>
      <c r="AF50" s="2062"/>
      <c r="AG50" s="2062"/>
      <c r="AH50" s="2062"/>
      <c r="AI50" s="2062"/>
      <c r="AJ50" s="2062"/>
      <c r="AK50" s="2062"/>
      <c r="AL50" s="2062"/>
      <c r="AM50" s="2062"/>
      <c r="AN50" s="2062"/>
      <c r="AO50" s="2062"/>
      <c r="AP50" s="2062"/>
    </row>
    <row r="51" spans="1:42" ht="15.5">
      <c r="A51" s="2080"/>
      <c r="B51" s="2040" t="s">
        <v>858</v>
      </c>
      <c r="C51" s="2040" t="s">
        <v>1592</v>
      </c>
      <c r="D51" s="2050" t="s">
        <v>1593</v>
      </c>
      <c r="E51" s="2051">
        <f>1000^2</f>
        <v>1000000</v>
      </c>
      <c r="F51" s="2051">
        <f t="shared" si="2"/>
        <v>1</v>
      </c>
      <c r="H51" s="2062"/>
      <c r="I51" s="2062"/>
      <c r="J51" s="2062"/>
      <c r="K51" s="2062"/>
      <c r="L51" s="2057"/>
      <c r="M51" s="2059"/>
      <c r="N51" s="2059"/>
      <c r="O51" s="2059"/>
      <c r="P51" s="2059"/>
      <c r="Q51" s="2059"/>
      <c r="R51" s="2059"/>
      <c r="S51" s="2059"/>
      <c r="T51" s="2059"/>
      <c r="U51" s="2059"/>
      <c r="V51" s="2059"/>
      <c r="W51" s="2059"/>
      <c r="X51" s="2062"/>
      <c r="Y51" s="2062"/>
      <c r="Z51" s="2062"/>
      <c r="AA51" s="2062"/>
      <c r="AB51" s="2062"/>
      <c r="AC51" s="2062"/>
      <c r="AD51" s="2062"/>
      <c r="AE51" s="2062"/>
      <c r="AF51" s="2062"/>
      <c r="AG51" s="2062"/>
      <c r="AH51" s="2062"/>
      <c r="AI51" s="2062"/>
      <c r="AJ51" s="2062"/>
      <c r="AK51" s="2062"/>
      <c r="AL51" s="2062"/>
      <c r="AM51" s="2062"/>
      <c r="AN51" s="2062"/>
      <c r="AO51" s="2062"/>
      <c r="AP51" s="2062"/>
    </row>
    <row r="52" spans="1:42" ht="15.5">
      <c r="A52" s="2080"/>
      <c r="B52" s="2040" t="s">
        <v>1582</v>
      </c>
      <c r="C52" s="2040" t="s">
        <v>1594</v>
      </c>
      <c r="D52" s="2050" t="s">
        <v>1595</v>
      </c>
      <c r="E52" s="2051">
        <v>1</v>
      </c>
      <c r="F52" s="2051">
        <f t="shared" si="2"/>
        <v>9.9999999999999995E-7</v>
      </c>
      <c r="H52" s="2062"/>
      <c r="I52" s="2062"/>
      <c r="J52" s="2062"/>
      <c r="K52" s="2062"/>
      <c r="L52" s="2057"/>
      <c r="M52" s="2059"/>
      <c r="N52" s="2059"/>
      <c r="O52" s="2059"/>
      <c r="P52" s="2059"/>
      <c r="Q52" s="2059"/>
      <c r="R52" s="2059"/>
      <c r="S52" s="2059"/>
      <c r="T52" s="2059"/>
      <c r="U52" s="2059"/>
      <c r="V52" s="2059"/>
      <c r="W52" s="2059"/>
      <c r="X52" s="2062"/>
      <c r="Y52" s="2062"/>
      <c r="Z52" s="2062"/>
      <c r="AA52" s="2062"/>
      <c r="AB52" s="2062"/>
      <c r="AC52" s="2062"/>
      <c r="AD52" s="2062"/>
      <c r="AE52" s="2062"/>
      <c r="AF52" s="2062"/>
      <c r="AG52" s="2062"/>
      <c r="AH52" s="2062"/>
      <c r="AI52" s="2062"/>
      <c r="AJ52" s="2062"/>
      <c r="AK52" s="2062"/>
      <c r="AL52" s="2062"/>
      <c r="AM52" s="2062"/>
      <c r="AN52" s="2062"/>
      <c r="AO52" s="2062"/>
      <c r="AP52" s="2062"/>
    </row>
    <row r="53" spans="1:42" ht="15.5">
      <c r="A53" s="2080"/>
      <c r="B53" s="2082" t="s">
        <v>3351</v>
      </c>
      <c r="C53" s="2082" t="s">
        <v>3349</v>
      </c>
      <c r="D53" s="2083" t="s">
        <v>3350</v>
      </c>
      <c r="E53" s="2084">
        <f>7500*E51</f>
        <v>7500000000</v>
      </c>
      <c r="F53" s="2084">
        <f t="shared" si="2"/>
        <v>7500</v>
      </c>
      <c r="H53" s="2062"/>
      <c r="I53" s="2062"/>
      <c r="J53" s="2062"/>
      <c r="K53" s="2062"/>
      <c r="L53" s="2057"/>
      <c r="M53" s="2059"/>
      <c r="N53" s="2059"/>
      <c r="O53" s="2059"/>
      <c r="P53" s="2059"/>
      <c r="Q53" s="2059"/>
      <c r="R53" s="2059"/>
      <c r="S53" s="2059"/>
      <c r="T53" s="2059"/>
      <c r="U53" s="2059"/>
      <c r="V53" s="2059"/>
      <c r="W53" s="2059"/>
      <c r="X53" s="2062"/>
      <c r="Y53" s="2062"/>
      <c r="Z53" s="2062"/>
      <c r="AA53" s="2062"/>
      <c r="AB53" s="2062"/>
      <c r="AC53" s="2062"/>
      <c r="AD53" s="2062"/>
      <c r="AE53" s="2062"/>
      <c r="AF53" s="2062"/>
      <c r="AG53" s="2062"/>
      <c r="AH53" s="2062"/>
      <c r="AI53" s="2062"/>
      <c r="AJ53" s="2062"/>
      <c r="AK53" s="2062"/>
      <c r="AL53" s="2062"/>
      <c r="AM53" s="2062"/>
      <c r="AN53" s="2062"/>
      <c r="AO53" s="2062"/>
      <c r="AP53" s="2062"/>
    </row>
    <row r="54" spans="1:42">
      <c r="B54" s="2088"/>
      <c r="C54" s="2088"/>
      <c r="D54" s="2090"/>
      <c r="E54" s="2100"/>
      <c r="F54" s="2100"/>
      <c r="H54" s="2062"/>
      <c r="I54" s="2062"/>
      <c r="J54" s="2062"/>
      <c r="K54" s="2062"/>
      <c r="L54" s="2057"/>
      <c r="M54" s="2059"/>
      <c r="N54" s="2059"/>
      <c r="O54" s="2059"/>
      <c r="P54" s="2059"/>
      <c r="Q54" s="2059"/>
      <c r="R54" s="2059"/>
      <c r="S54" s="2059"/>
      <c r="T54" s="2059"/>
      <c r="U54" s="2059"/>
      <c r="V54" s="2059"/>
      <c r="W54" s="2059"/>
      <c r="X54" s="2062"/>
      <c r="Y54" s="2062"/>
      <c r="Z54" s="2062"/>
      <c r="AA54" s="2062"/>
      <c r="AB54" s="2062"/>
      <c r="AC54" s="2062"/>
      <c r="AD54" s="2062"/>
      <c r="AE54" s="2062"/>
      <c r="AF54" s="2062"/>
      <c r="AG54" s="2062"/>
      <c r="AH54" s="2062"/>
      <c r="AI54" s="2062"/>
      <c r="AJ54" s="2062"/>
      <c r="AK54" s="2062"/>
      <c r="AL54" s="2062"/>
      <c r="AM54" s="2062"/>
      <c r="AN54" s="2062"/>
      <c r="AO54" s="2062"/>
      <c r="AP54" s="2062"/>
    </row>
    <row r="55" spans="1:42" ht="17.5">
      <c r="B55" s="2041" t="s">
        <v>1596</v>
      </c>
      <c r="H55" s="2062"/>
      <c r="I55" s="2062"/>
      <c r="J55" s="2062"/>
      <c r="K55" s="2062"/>
      <c r="L55" s="2057"/>
      <c r="M55" s="2059"/>
      <c r="N55" s="2059"/>
      <c r="O55" s="2059"/>
      <c r="P55" s="2059"/>
      <c r="Q55" s="2059"/>
      <c r="R55" s="2059"/>
      <c r="S55" s="2059"/>
      <c r="T55" s="2059"/>
      <c r="U55" s="2059"/>
      <c r="V55" s="2059"/>
      <c r="W55" s="2059"/>
      <c r="X55" s="2062"/>
      <c r="Y55" s="2062"/>
      <c r="Z55" s="2062"/>
      <c r="AA55" s="2062"/>
      <c r="AB55" s="2062"/>
      <c r="AC55" s="2062"/>
      <c r="AD55" s="2062"/>
      <c r="AE55" s="2062"/>
      <c r="AF55" s="2062"/>
      <c r="AG55" s="2062"/>
      <c r="AH55" s="2062"/>
      <c r="AI55" s="2062"/>
      <c r="AJ55" s="2062"/>
      <c r="AK55" s="2062"/>
      <c r="AL55" s="2062"/>
      <c r="AM55" s="2062"/>
      <c r="AN55" s="2062"/>
      <c r="AO55" s="2062"/>
      <c r="AP55" s="2062"/>
    </row>
    <row r="56" spans="1:42" ht="4.5" customHeight="1">
      <c r="A56" s="2080"/>
      <c r="B56" s="2041"/>
      <c r="H56" s="2062"/>
      <c r="I56" s="2062"/>
      <c r="J56" s="2062"/>
      <c r="K56" s="2062"/>
      <c r="L56" s="2057"/>
      <c r="M56" s="2059"/>
      <c r="N56" s="2059"/>
      <c r="O56" s="2059"/>
      <c r="P56" s="2059"/>
      <c r="Q56" s="2059"/>
      <c r="R56" s="2059"/>
      <c r="S56" s="2059"/>
      <c r="T56" s="2059"/>
      <c r="U56" s="2059"/>
      <c r="V56" s="2059"/>
      <c r="W56" s="2059"/>
      <c r="X56" s="2062"/>
      <c r="Y56" s="2062"/>
      <c r="Z56" s="2062"/>
      <c r="AA56" s="2062"/>
      <c r="AB56" s="2062"/>
      <c r="AC56" s="2062"/>
      <c r="AD56" s="2062"/>
      <c r="AE56" s="2062"/>
      <c r="AF56" s="2062"/>
      <c r="AG56" s="2062"/>
      <c r="AH56" s="2062"/>
      <c r="AI56" s="2062"/>
      <c r="AJ56" s="2062"/>
      <c r="AK56" s="2062"/>
      <c r="AL56" s="2062"/>
      <c r="AM56" s="2062"/>
      <c r="AN56" s="2062"/>
      <c r="AO56" s="2062"/>
      <c r="AP56" s="2062"/>
    </row>
    <row r="57" spans="1:42" ht="15.5">
      <c r="A57" s="2080"/>
      <c r="B57" s="2043" t="s">
        <v>1597</v>
      </c>
      <c r="C57" s="2043" t="s">
        <v>29</v>
      </c>
      <c r="D57" s="2043" t="s">
        <v>1492</v>
      </c>
      <c r="E57" s="2044" t="s">
        <v>1598</v>
      </c>
      <c r="F57" s="2043" t="s">
        <v>1599</v>
      </c>
      <c r="H57" s="2062"/>
      <c r="I57" s="2062"/>
      <c r="J57" s="2062"/>
      <c r="K57" s="2062"/>
      <c r="L57" s="2057"/>
      <c r="M57" s="2059"/>
      <c r="N57" s="2059"/>
      <c r="O57" s="2059"/>
      <c r="P57" s="2059"/>
      <c r="Q57" s="2059"/>
      <c r="R57" s="2059"/>
      <c r="S57" s="2059"/>
      <c r="T57" s="2059"/>
      <c r="U57" s="2059"/>
      <c r="V57" s="2059"/>
      <c r="W57" s="2059"/>
      <c r="X57" s="2062"/>
      <c r="Y57" s="2062"/>
      <c r="Z57" s="2062"/>
      <c r="AA57" s="2062"/>
      <c r="AB57" s="2062"/>
      <c r="AC57" s="2062"/>
      <c r="AD57" s="2062"/>
      <c r="AE57" s="2062"/>
      <c r="AF57" s="2062"/>
      <c r="AG57" s="2062"/>
      <c r="AH57" s="2062"/>
      <c r="AI57" s="2062"/>
      <c r="AJ57" s="2062"/>
      <c r="AK57" s="2062"/>
      <c r="AL57" s="2062"/>
      <c r="AM57" s="2062"/>
      <c r="AN57" s="2062"/>
      <c r="AO57" s="2062"/>
      <c r="AP57" s="2062"/>
    </row>
    <row r="58" spans="1:42" ht="15.5">
      <c r="A58" s="2080"/>
      <c r="B58" s="2049" t="str">
        <f>Preferences.EnergyUnits</f>
        <v>TWh</v>
      </c>
      <c r="C58" s="2049" t="s">
        <v>1600</v>
      </c>
      <c r="D58" s="2050" t="s">
        <v>1601</v>
      </c>
      <c r="E58" s="2101">
        <f>(1/Unit.J)*(1/Unit.year)*Unit.W</f>
        <v>0.1140771161305042</v>
      </c>
      <c r="F58" s="2102" t="str">
        <f>Preferences.PowerUnits</f>
        <v>GW</v>
      </c>
      <c r="H58" s="2062"/>
      <c r="I58" s="2062"/>
      <c r="J58" s="2062"/>
      <c r="K58" s="2062"/>
      <c r="L58" s="2057"/>
      <c r="M58" s="2059"/>
      <c r="N58" s="2059"/>
      <c r="O58" s="2059"/>
      <c r="P58" s="2059"/>
      <c r="Q58" s="2059"/>
      <c r="R58" s="2059"/>
      <c r="S58" s="2059"/>
      <c r="T58" s="2059"/>
      <c r="U58" s="2059"/>
      <c r="V58" s="2059"/>
      <c r="W58" s="2059"/>
      <c r="X58" s="2062"/>
      <c r="Y58" s="2062"/>
      <c r="Z58" s="2062"/>
      <c r="AA58" s="2062"/>
      <c r="AB58" s="2062"/>
      <c r="AC58" s="2062"/>
      <c r="AD58" s="2062"/>
      <c r="AE58" s="2062"/>
      <c r="AF58" s="2062"/>
      <c r="AG58" s="2062"/>
      <c r="AH58" s="2062"/>
      <c r="AI58" s="2062"/>
      <c r="AJ58" s="2062"/>
      <c r="AK58" s="2062"/>
      <c r="AL58" s="2062"/>
      <c r="AM58" s="2062"/>
      <c r="AN58" s="2062"/>
      <c r="AO58" s="2062"/>
      <c r="AP58" s="2062"/>
    </row>
    <row r="59" spans="1:42" ht="15.5">
      <c r="A59" s="2080"/>
      <c r="B59" s="2102" t="str">
        <f>Preferences.PowerUnits</f>
        <v>GW</v>
      </c>
      <c r="C59" s="2049" t="s">
        <v>1602</v>
      </c>
      <c r="D59" s="2050" t="s">
        <v>1603</v>
      </c>
      <c r="E59" s="2040">
        <f>(1/Unit.W)*Unit.year*Unit.J</f>
        <v>8.766</v>
      </c>
      <c r="F59" s="2103" t="str">
        <f>Preferences.EnergyUnits</f>
        <v>TWh</v>
      </c>
      <c r="H59" s="2062"/>
      <c r="I59" s="2062"/>
      <c r="J59" s="2062"/>
      <c r="K59" s="2062"/>
      <c r="L59" s="2057"/>
      <c r="M59" s="2059"/>
      <c r="N59" s="2059"/>
      <c r="O59" s="2059"/>
      <c r="P59" s="2059"/>
      <c r="Q59" s="2059"/>
      <c r="R59" s="2059"/>
      <c r="S59" s="2059"/>
      <c r="T59" s="2059"/>
      <c r="U59" s="2059"/>
      <c r="V59" s="2059"/>
      <c r="W59" s="2059"/>
      <c r="X59" s="2062"/>
      <c r="Y59" s="2062"/>
      <c r="Z59" s="2062"/>
      <c r="AA59" s="2062"/>
      <c r="AB59" s="2062"/>
      <c r="AC59" s="2062"/>
      <c r="AD59" s="2062"/>
      <c r="AE59" s="2062"/>
      <c r="AF59" s="2062"/>
      <c r="AG59" s="2062"/>
      <c r="AH59" s="2062"/>
      <c r="AI59" s="2062"/>
      <c r="AJ59" s="2062"/>
      <c r="AK59" s="2062"/>
      <c r="AL59" s="2062"/>
      <c r="AM59" s="2062"/>
      <c r="AN59" s="2062"/>
      <c r="AO59" s="2062"/>
      <c r="AP59" s="2062"/>
    </row>
    <row r="60" spans="1:42" ht="14.5">
      <c r="B60" s="2104" t="str">
        <f>Preferences.PowerUnits</f>
        <v>GW</v>
      </c>
      <c r="C60" s="2092" t="s">
        <v>1604</v>
      </c>
      <c r="D60" s="2074" t="s">
        <v>1605</v>
      </c>
      <c r="E60" s="2092">
        <f>Unit.J/Unit.W</f>
        <v>2.7777777777777776E-7</v>
      </c>
      <c r="F60" s="2105" t="str">
        <f>Preferences.EnergyUnits&amp;"/s"</f>
        <v>TWh/s</v>
      </c>
      <c r="L60" s="2057"/>
      <c r="M60" s="2059"/>
      <c r="N60" s="2059"/>
      <c r="O60" s="2059"/>
      <c r="P60" s="2059"/>
      <c r="Q60" s="2059"/>
      <c r="R60" s="2059"/>
      <c r="S60" s="2059"/>
      <c r="T60" s="2059"/>
      <c r="U60" s="2059"/>
      <c r="V60" s="2059"/>
      <c r="W60" s="2059"/>
      <c r="X60" s="2062"/>
    </row>
    <row r="61" spans="1:42">
      <c r="L61" s="2057"/>
      <c r="M61" s="2059"/>
      <c r="N61" s="2059"/>
      <c r="O61" s="2059"/>
      <c r="P61" s="2059"/>
      <c r="Q61" s="2059"/>
      <c r="R61" s="2059"/>
      <c r="S61" s="2059"/>
      <c r="T61" s="2059"/>
      <c r="U61" s="2059"/>
      <c r="V61" s="2059"/>
      <c r="W61" s="2059"/>
      <c r="X61" s="2062"/>
    </row>
    <row r="62" spans="1:42" ht="17.5">
      <c r="B62" s="2041" t="s">
        <v>1606</v>
      </c>
      <c r="C62" s="2041"/>
      <c r="L62" s="2057"/>
      <c r="M62" s="2059"/>
      <c r="N62" s="2059"/>
      <c r="O62" s="2059"/>
      <c r="P62" s="2059"/>
      <c r="Q62" s="2059"/>
      <c r="R62" s="2059"/>
      <c r="S62" s="2059"/>
      <c r="T62" s="2059"/>
      <c r="U62" s="2059"/>
      <c r="V62" s="2059"/>
      <c r="W62" s="2059"/>
      <c r="X62" s="2062"/>
    </row>
    <row r="63" spans="1:42" ht="4.5" customHeight="1">
      <c r="L63" s="2057"/>
      <c r="M63" s="2059"/>
      <c r="N63" s="2059"/>
      <c r="O63" s="2059"/>
      <c r="P63" s="2059"/>
      <c r="Q63" s="2059"/>
      <c r="R63" s="2059"/>
      <c r="S63" s="2059"/>
      <c r="T63" s="2059"/>
      <c r="U63" s="2059"/>
      <c r="V63" s="2059"/>
      <c r="W63" s="2059"/>
      <c r="X63" s="2062"/>
    </row>
    <row r="64" spans="1:42">
      <c r="B64" s="2043" t="s">
        <v>1597</v>
      </c>
      <c r="C64" s="2043" t="s">
        <v>29</v>
      </c>
      <c r="D64" s="2043" t="s">
        <v>1492</v>
      </c>
      <c r="E64" s="2044" t="s">
        <v>1598</v>
      </c>
      <c r="F64" s="2043" t="s">
        <v>1599</v>
      </c>
      <c r="L64" s="2057"/>
      <c r="M64" s="2059"/>
      <c r="N64" s="2059"/>
      <c r="O64" s="2059"/>
      <c r="P64" s="2059"/>
      <c r="Q64" s="2059"/>
      <c r="R64" s="2059"/>
      <c r="S64" s="2059"/>
      <c r="T64" s="2059"/>
      <c r="U64" s="2059"/>
      <c r="V64" s="2059"/>
      <c r="W64" s="2059"/>
      <c r="X64" s="2062"/>
    </row>
    <row r="65" spans="2:24">
      <c r="B65" s="2040" t="s">
        <v>2772</v>
      </c>
      <c r="C65" s="2040" t="s">
        <v>2773</v>
      </c>
      <c r="D65" s="2040" t="s">
        <v>2774</v>
      </c>
      <c r="E65" s="2040">
        <v>4.5460900000000004</v>
      </c>
      <c r="F65" s="2040" t="s">
        <v>1607</v>
      </c>
      <c r="L65" s="2057"/>
      <c r="M65" s="2059"/>
      <c r="N65" s="2059"/>
      <c r="O65" s="2059"/>
      <c r="P65" s="2059"/>
      <c r="Q65" s="2059"/>
      <c r="R65" s="2059"/>
      <c r="S65" s="2059"/>
      <c r="T65" s="2059"/>
      <c r="U65" s="2059"/>
      <c r="V65" s="2059"/>
      <c r="W65" s="2059"/>
      <c r="X65" s="2062"/>
    </row>
    <row r="66" spans="2:24">
      <c r="B66" s="2092" t="s">
        <v>1608</v>
      </c>
      <c r="C66" s="2092" t="s">
        <v>1609</v>
      </c>
      <c r="D66" s="2092" t="s">
        <v>1610</v>
      </c>
      <c r="E66" s="2092">
        <v>3.7854109999999999</v>
      </c>
      <c r="F66" s="2092" t="s">
        <v>1607</v>
      </c>
      <c r="L66" s="2057"/>
      <c r="M66" s="2059"/>
      <c r="N66" s="2059"/>
      <c r="O66" s="2059"/>
      <c r="P66" s="2059"/>
      <c r="Q66" s="2059"/>
      <c r="R66" s="2059"/>
      <c r="S66" s="2059"/>
      <c r="T66" s="2059"/>
      <c r="U66" s="2059"/>
      <c r="V66" s="2059"/>
      <c r="W66" s="2059"/>
      <c r="X66" s="2062"/>
    </row>
    <row r="67" spans="2:24">
      <c r="L67" s="2057"/>
      <c r="M67" s="2059"/>
      <c r="N67" s="2059"/>
      <c r="O67" s="2059"/>
      <c r="P67" s="2059"/>
      <c r="Q67" s="2059"/>
      <c r="R67" s="2059"/>
      <c r="S67" s="2059"/>
      <c r="T67" s="2059"/>
      <c r="U67" s="2059"/>
      <c r="V67" s="2059"/>
      <c r="W67" s="2059"/>
      <c r="X67" s="2062"/>
    </row>
    <row r="68" spans="2:24" ht="17.5">
      <c r="B68" s="2041" t="s">
        <v>2713</v>
      </c>
      <c r="C68" s="2041"/>
      <c r="L68" s="2057"/>
      <c r="M68" s="2059"/>
      <c r="N68" s="2059"/>
      <c r="O68" s="2059"/>
      <c r="P68" s="2059"/>
      <c r="Q68" s="2059"/>
      <c r="R68" s="2059"/>
      <c r="S68" s="2059"/>
      <c r="T68" s="2059"/>
      <c r="U68" s="2059"/>
      <c r="V68" s="2059"/>
      <c r="W68" s="2059"/>
      <c r="X68" s="2062"/>
    </row>
    <row r="69" spans="2:24">
      <c r="L69" s="2057"/>
      <c r="M69" s="2059"/>
      <c r="N69" s="2059"/>
      <c r="O69" s="2059"/>
      <c r="P69" s="2059"/>
      <c r="Q69" s="2059"/>
      <c r="R69" s="2059"/>
      <c r="S69" s="2059"/>
      <c r="T69" s="2059"/>
      <c r="U69" s="2059"/>
      <c r="V69" s="2059"/>
      <c r="W69" s="2059"/>
      <c r="X69" s="2062"/>
    </row>
    <row r="70" spans="2:24">
      <c r="B70" s="2106" t="s">
        <v>876</v>
      </c>
      <c r="C70" s="2107" t="s">
        <v>29</v>
      </c>
      <c r="D70" s="2107" t="s">
        <v>1492</v>
      </c>
      <c r="E70" s="2108"/>
      <c r="F70" s="2109" t="s">
        <v>2733</v>
      </c>
      <c r="L70" s="2057"/>
      <c r="M70" s="2059"/>
      <c r="N70" s="2059"/>
      <c r="O70" s="2059"/>
      <c r="P70" s="2059"/>
      <c r="Q70" s="2059"/>
      <c r="R70" s="2059"/>
      <c r="S70" s="2059"/>
      <c r="T70" s="2059"/>
      <c r="U70" s="2059"/>
      <c r="V70" s="2059"/>
      <c r="W70" s="2059"/>
      <c r="X70" s="2062"/>
    </row>
    <row r="71" spans="2:24" ht="14.5">
      <c r="B71" s="2110" t="s">
        <v>2734</v>
      </c>
      <c r="C71" s="2049" t="s">
        <v>2845</v>
      </c>
      <c r="D71" s="2050"/>
      <c r="E71" s="2089"/>
      <c r="F71" s="2111"/>
      <c r="L71" s="2057"/>
      <c r="M71" s="2059"/>
      <c r="N71" s="2059"/>
      <c r="O71" s="2059"/>
      <c r="P71" s="2059"/>
      <c r="Q71" s="2059"/>
      <c r="R71" s="2059"/>
      <c r="S71" s="2059"/>
      <c r="T71" s="2059"/>
      <c r="U71" s="2059"/>
      <c r="V71" s="2059"/>
      <c r="W71" s="2059"/>
      <c r="X71" s="2062"/>
    </row>
    <row r="72" spans="2:24" ht="14.5">
      <c r="B72" s="2110" t="s">
        <v>2735</v>
      </c>
      <c r="C72" s="2049" t="s">
        <v>2846</v>
      </c>
      <c r="D72" s="2050"/>
      <c r="E72" s="2089"/>
      <c r="F72" s="2111"/>
      <c r="L72" s="2057"/>
      <c r="M72" s="2059"/>
      <c r="N72" s="2059"/>
      <c r="O72" s="2059"/>
      <c r="P72" s="2059"/>
      <c r="Q72" s="2059"/>
      <c r="R72" s="2059"/>
      <c r="S72" s="2059"/>
      <c r="T72" s="2059"/>
      <c r="U72" s="2059"/>
      <c r="V72" s="2059"/>
      <c r="W72" s="2059"/>
      <c r="X72" s="2062"/>
    </row>
    <row r="73" spans="2:24" ht="14.5">
      <c r="B73" s="2110" t="s">
        <v>2736</v>
      </c>
      <c r="C73" s="2049" t="s">
        <v>2847</v>
      </c>
      <c r="D73" s="2050"/>
      <c r="E73" s="2089"/>
      <c r="F73" s="2111"/>
      <c r="L73" s="2057"/>
      <c r="M73" s="2059"/>
      <c r="N73" s="2059"/>
      <c r="O73" s="2059"/>
      <c r="P73" s="2059"/>
      <c r="Q73" s="2059"/>
      <c r="R73" s="2059"/>
      <c r="S73" s="2059"/>
      <c r="T73" s="2059"/>
      <c r="U73" s="2059"/>
      <c r="V73" s="2059"/>
      <c r="W73" s="2059"/>
      <c r="X73" s="2062"/>
    </row>
    <row r="74" spans="2:24" ht="14.5">
      <c r="B74" s="2110" t="s">
        <v>2737</v>
      </c>
      <c r="C74" s="2049" t="s">
        <v>2848</v>
      </c>
      <c r="D74" s="2050"/>
      <c r="E74" s="2089"/>
      <c r="F74" s="2111"/>
      <c r="L74" s="2057"/>
      <c r="M74" s="2059"/>
      <c r="N74" s="2059"/>
      <c r="O74" s="2059"/>
      <c r="P74" s="2059"/>
      <c r="Q74" s="2059"/>
      <c r="R74" s="2059"/>
      <c r="S74" s="2059"/>
      <c r="T74" s="2059"/>
      <c r="U74" s="2059"/>
      <c r="V74" s="2059"/>
      <c r="W74" s="2059"/>
      <c r="X74" s="2062"/>
    </row>
    <row r="75" spans="2:24" ht="14.5">
      <c r="B75" s="2110" t="s">
        <v>1611</v>
      </c>
      <c r="C75" s="2049" t="s">
        <v>1612</v>
      </c>
      <c r="D75" s="2050"/>
      <c r="E75" s="2089"/>
      <c r="F75" s="2111"/>
      <c r="L75" s="2057"/>
      <c r="M75" s="2059"/>
      <c r="N75" s="2059"/>
      <c r="O75" s="2059"/>
      <c r="P75" s="2059"/>
      <c r="Q75" s="2059"/>
      <c r="R75" s="2059"/>
      <c r="S75" s="2059"/>
      <c r="T75" s="2059"/>
      <c r="U75" s="2059"/>
      <c r="V75" s="2059"/>
      <c r="W75" s="2059"/>
      <c r="X75" s="2062"/>
    </row>
    <row r="76" spans="2:24" ht="14.5">
      <c r="B76" s="2110" t="s">
        <v>1613</v>
      </c>
      <c r="C76" s="2049" t="s">
        <v>1614</v>
      </c>
      <c r="D76" s="2050"/>
      <c r="E76" s="2089"/>
      <c r="F76" s="2111"/>
      <c r="L76" s="2057"/>
      <c r="M76" s="2059"/>
      <c r="N76" s="2059"/>
      <c r="O76" s="2059"/>
      <c r="P76" s="2059"/>
      <c r="Q76" s="2059"/>
      <c r="R76" s="2059"/>
      <c r="S76" s="2059"/>
      <c r="T76" s="2059"/>
      <c r="U76" s="2059"/>
      <c r="V76" s="2059"/>
      <c r="W76" s="2059"/>
      <c r="X76" s="2062"/>
    </row>
    <row r="77" spans="2:24" ht="14.5">
      <c r="B77" s="2110" t="s">
        <v>1615</v>
      </c>
      <c r="C77" s="2049" t="s">
        <v>1616</v>
      </c>
      <c r="D77" s="2050"/>
      <c r="E77" s="2089"/>
      <c r="F77" s="2111"/>
      <c r="L77" s="2057"/>
      <c r="M77" s="2059"/>
      <c r="N77" s="2059"/>
      <c r="O77" s="2059"/>
      <c r="P77" s="2059"/>
      <c r="Q77" s="2059"/>
      <c r="R77" s="2059"/>
      <c r="S77" s="2059"/>
      <c r="T77" s="2059"/>
      <c r="U77" s="2059"/>
      <c r="V77" s="2059"/>
      <c r="W77" s="2059"/>
      <c r="X77" s="2062"/>
    </row>
    <row r="78" spans="2:24" ht="14.5">
      <c r="B78" s="2112" t="s">
        <v>2733</v>
      </c>
      <c r="C78" s="2073" t="s">
        <v>2849</v>
      </c>
      <c r="D78" s="2074"/>
      <c r="E78" s="2094"/>
      <c r="F78" s="2113"/>
      <c r="L78" s="2057"/>
      <c r="M78" s="2059"/>
      <c r="N78" s="2059"/>
      <c r="O78" s="2059"/>
      <c r="P78" s="2059"/>
      <c r="Q78" s="2059"/>
      <c r="R78" s="2059"/>
      <c r="S78" s="2059"/>
      <c r="T78" s="2059"/>
      <c r="U78" s="2059"/>
      <c r="V78" s="2059"/>
      <c r="W78" s="2059"/>
      <c r="X78" s="2062"/>
    </row>
    <row r="79" spans="2:24">
      <c r="L79" s="2057"/>
      <c r="M79" s="2059"/>
      <c r="N79" s="2059"/>
      <c r="O79" s="2059"/>
      <c r="P79" s="2059"/>
      <c r="Q79" s="2059"/>
      <c r="R79" s="2059"/>
      <c r="S79" s="2059"/>
      <c r="T79" s="2059"/>
      <c r="U79" s="2059"/>
      <c r="V79" s="2059"/>
      <c r="W79" s="2059"/>
      <c r="X79" s="2062"/>
    </row>
    <row r="80" spans="2:24" ht="17.5">
      <c r="B80" s="2041" t="s">
        <v>2714</v>
      </c>
      <c r="L80" s="2057"/>
      <c r="M80" s="2059"/>
      <c r="N80" s="2059"/>
      <c r="O80" s="2059"/>
      <c r="P80" s="2059"/>
      <c r="Q80" s="2059"/>
      <c r="R80" s="2059"/>
      <c r="S80" s="2059"/>
      <c r="T80" s="2059"/>
      <c r="U80" s="2059"/>
      <c r="V80" s="2059"/>
      <c r="W80" s="2059"/>
      <c r="X80" s="2062"/>
    </row>
    <row r="81" spans="2:24">
      <c r="L81" s="2057"/>
      <c r="M81" s="2059"/>
      <c r="N81" s="2059"/>
      <c r="O81" s="2059"/>
      <c r="P81" s="2059"/>
      <c r="Q81" s="2059"/>
      <c r="R81" s="2059"/>
      <c r="S81" s="2059"/>
      <c r="T81" s="2059"/>
      <c r="U81" s="2059"/>
      <c r="V81" s="2059"/>
      <c r="W81" s="2059"/>
      <c r="X81" s="2062"/>
    </row>
    <row r="82" spans="2:24">
      <c r="B82" s="2114" t="s">
        <v>1617</v>
      </c>
      <c r="C82" s="2115"/>
      <c r="D82" s="2116"/>
      <c r="L82" s="2057"/>
      <c r="M82" s="2059"/>
      <c r="N82" s="2059"/>
      <c r="O82" s="2059"/>
      <c r="P82" s="2059"/>
      <c r="Q82" s="2059"/>
      <c r="R82" s="2059"/>
      <c r="S82" s="2059"/>
      <c r="T82" s="2059"/>
      <c r="U82" s="2059"/>
      <c r="V82" s="2059"/>
      <c r="W82" s="2059"/>
      <c r="X82" s="2062"/>
    </row>
    <row r="83" spans="2:24">
      <c r="B83" s="2117"/>
      <c r="C83" s="2088"/>
      <c r="D83" s="2118"/>
      <c r="L83" s="2057"/>
      <c r="M83" s="2059"/>
      <c r="N83" s="2059"/>
      <c r="O83" s="2059"/>
      <c r="P83" s="2059"/>
      <c r="Q83" s="2059"/>
      <c r="R83" s="2059"/>
      <c r="S83" s="2059"/>
      <c r="T83" s="2059"/>
      <c r="U83" s="2059"/>
      <c r="V83" s="2059"/>
      <c r="W83" s="2059"/>
      <c r="X83" s="2062"/>
    </row>
    <row r="84" spans="2:24">
      <c r="B84" s="2117" t="s">
        <v>1618</v>
      </c>
      <c r="C84" s="2088"/>
      <c r="D84" s="2118"/>
      <c r="L84" s="2057"/>
      <c r="M84" s="2059"/>
      <c r="N84" s="2059"/>
      <c r="O84" s="2059"/>
      <c r="P84" s="2059"/>
      <c r="Q84" s="2059"/>
      <c r="R84" s="2059"/>
      <c r="S84" s="2059"/>
      <c r="T84" s="2059"/>
      <c r="U84" s="2059"/>
      <c r="V84" s="2059"/>
      <c r="W84" s="2059"/>
      <c r="X84" s="2062"/>
    </row>
    <row r="85" spans="2:24">
      <c r="B85" s="2117" t="s">
        <v>1619</v>
      </c>
      <c r="C85" s="2088"/>
      <c r="D85" s="2118"/>
      <c r="L85" s="2057"/>
      <c r="M85" s="2059"/>
      <c r="N85" s="2059"/>
      <c r="O85" s="2059"/>
      <c r="P85" s="2059"/>
      <c r="Q85" s="2059"/>
      <c r="R85" s="2059"/>
      <c r="S85" s="2059"/>
      <c r="T85" s="2059"/>
      <c r="U85" s="2059"/>
      <c r="V85" s="2059"/>
      <c r="W85" s="2059"/>
      <c r="X85" s="2062"/>
    </row>
    <row r="86" spans="2:24">
      <c r="B86" s="2117" t="s">
        <v>1620</v>
      </c>
      <c r="C86" s="2088"/>
      <c r="D86" s="2118"/>
      <c r="L86" s="2057"/>
      <c r="M86" s="2059"/>
      <c r="N86" s="2059"/>
      <c r="O86" s="2059"/>
      <c r="P86" s="2059"/>
      <c r="Q86" s="2059"/>
      <c r="R86" s="2059"/>
      <c r="S86" s="2059"/>
      <c r="T86" s="2059"/>
      <c r="U86" s="2059"/>
      <c r="V86" s="2059"/>
      <c r="W86" s="2059"/>
      <c r="X86" s="2062"/>
    </row>
    <row r="87" spans="2:24">
      <c r="B87" s="2117" t="s">
        <v>1621</v>
      </c>
      <c r="C87" s="2088"/>
      <c r="D87" s="2118"/>
      <c r="L87" s="2057"/>
      <c r="M87" s="2059"/>
      <c r="N87" s="2059"/>
      <c r="O87" s="2059"/>
      <c r="P87" s="2059"/>
      <c r="Q87" s="2059"/>
      <c r="R87" s="2059"/>
      <c r="S87" s="2059"/>
      <c r="T87" s="2059"/>
      <c r="U87" s="2059"/>
      <c r="V87" s="2059"/>
      <c r="W87" s="2059"/>
      <c r="X87" s="2062"/>
    </row>
    <row r="88" spans="2:24">
      <c r="B88" s="2117" t="s">
        <v>1622</v>
      </c>
      <c r="C88" s="2088"/>
      <c r="D88" s="2118"/>
      <c r="L88" s="2057"/>
      <c r="M88" s="2059"/>
      <c r="N88" s="2059"/>
      <c r="O88" s="2059"/>
      <c r="P88" s="2059"/>
      <c r="Q88" s="2059"/>
      <c r="R88" s="2059"/>
      <c r="S88" s="2059"/>
      <c r="T88" s="2059"/>
      <c r="U88" s="2059"/>
      <c r="V88" s="2059"/>
      <c r="W88" s="2059"/>
      <c r="X88" s="2062"/>
    </row>
    <row r="89" spans="2:24">
      <c r="B89" s="2117" t="s">
        <v>1623</v>
      </c>
      <c r="C89" s="2088"/>
      <c r="D89" s="2118"/>
      <c r="L89" s="2057"/>
      <c r="M89" s="2059"/>
      <c r="N89" s="2059"/>
      <c r="O89" s="2059"/>
      <c r="P89" s="2059"/>
      <c r="Q89" s="2059"/>
      <c r="R89" s="2059"/>
      <c r="S89" s="2059"/>
      <c r="T89" s="2059"/>
      <c r="U89" s="2059"/>
      <c r="V89" s="2059"/>
      <c r="W89" s="2059"/>
      <c r="X89" s="2062"/>
    </row>
    <row r="90" spans="2:24">
      <c r="B90" s="2117" t="s">
        <v>1624</v>
      </c>
      <c r="C90" s="2088"/>
      <c r="D90" s="2118"/>
      <c r="L90" s="2057"/>
      <c r="M90" s="2059"/>
      <c r="N90" s="2059"/>
      <c r="O90" s="2059"/>
      <c r="P90" s="2059"/>
      <c r="Q90" s="2059"/>
      <c r="R90" s="2059"/>
      <c r="S90" s="2059"/>
      <c r="T90" s="2059"/>
      <c r="U90" s="2059"/>
      <c r="V90" s="2059"/>
      <c r="W90" s="2059"/>
      <c r="X90" s="2062"/>
    </row>
    <row r="91" spans="2:24">
      <c r="B91" s="2117" t="s">
        <v>1625</v>
      </c>
      <c r="C91" s="2088"/>
      <c r="D91" s="2118"/>
      <c r="L91" s="2057"/>
      <c r="M91" s="2059"/>
      <c r="N91" s="2059"/>
      <c r="O91" s="2059"/>
      <c r="P91" s="2059"/>
      <c r="Q91" s="2059"/>
      <c r="R91" s="2059"/>
      <c r="S91" s="2059"/>
      <c r="T91" s="2059"/>
      <c r="U91" s="2059"/>
      <c r="V91" s="2059"/>
      <c r="W91" s="2059"/>
      <c r="X91" s="2062"/>
    </row>
    <row r="92" spans="2:24">
      <c r="B92" s="2117" t="s">
        <v>1626</v>
      </c>
      <c r="C92" s="2088"/>
      <c r="D92" s="2118"/>
      <c r="L92" s="2057"/>
      <c r="M92" s="2059"/>
      <c r="N92" s="2059"/>
      <c r="O92" s="2059"/>
      <c r="P92" s="2059"/>
      <c r="Q92" s="2059"/>
      <c r="R92" s="2059"/>
      <c r="S92" s="2059"/>
      <c r="T92" s="2059"/>
      <c r="U92" s="2059"/>
      <c r="V92" s="2059"/>
      <c r="W92" s="2059"/>
      <c r="X92" s="2062"/>
    </row>
    <row r="93" spans="2:24">
      <c r="B93" s="2117" t="s">
        <v>1627</v>
      </c>
      <c r="C93" s="2088"/>
      <c r="D93" s="2118"/>
      <c r="L93" s="2057"/>
      <c r="M93" s="2059"/>
      <c r="N93" s="2059"/>
      <c r="O93" s="2059"/>
      <c r="P93" s="2059"/>
      <c r="Q93" s="2059"/>
      <c r="R93" s="2059"/>
      <c r="S93" s="2059"/>
      <c r="T93" s="2059"/>
      <c r="U93" s="2059"/>
      <c r="V93" s="2059"/>
      <c r="W93" s="2059"/>
      <c r="X93" s="2062"/>
    </row>
    <row r="94" spans="2:24">
      <c r="B94" s="2117" t="s">
        <v>1628</v>
      </c>
      <c r="C94" s="2088"/>
      <c r="D94" s="2118"/>
      <c r="L94" s="2057"/>
      <c r="M94" s="2059"/>
      <c r="N94" s="2059"/>
      <c r="O94" s="2059"/>
      <c r="P94" s="2059"/>
      <c r="Q94" s="2059"/>
      <c r="R94" s="2059"/>
      <c r="S94" s="2059"/>
      <c r="T94" s="2059"/>
      <c r="U94" s="2059"/>
      <c r="V94" s="2059"/>
      <c r="W94" s="2059"/>
      <c r="X94" s="2062"/>
    </row>
    <row r="95" spans="2:24">
      <c r="B95" s="2117" t="s">
        <v>1629</v>
      </c>
      <c r="C95" s="2088"/>
      <c r="D95" s="2118"/>
      <c r="L95" s="2062"/>
      <c r="M95" s="2062"/>
      <c r="N95" s="2062"/>
      <c r="O95" s="2062"/>
      <c r="P95" s="2062"/>
      <c r="Q95" s="2062"/>
      <c r="R95" s="2062"/>
      <c r="S95" s="2062"/>
      <c r="T95" s="2062"/>
      <c r="U95" s="2062"/>
      <c r="V95" s="2062"/>
      <c r="W95" s="2062"/>
      <c r="X95" s="2062"/>
    </row>
    <row r="96" spans="2:24">
      <c r="B96" s="2117" t="s">
        <v>1630</v>
      </c>
      <c r="C96" s="2088"/>
      <c r="D96" s="2118"/>
      <c r="L96" s="2062"/>
      <c r="M96" s="2062"/>
      <c r="N96" s="2062"/>
      <c r="O96" s="2062"/>
      <c r="P96" s="2062"/>
      <c r="Q96" s="2062"/>
      <c r="R96" s="2062"/>
      <c r="S96" s="2062"/>
      <c r="T96" s="2062"/>
      <c r="U96" s="2062"/>
      <c r="V96" s="2062"/>
      <c r="W96" s="2062"/>
      <c r="X96" s="2062"/>
    </row>
    <row r="97" spans="2:4">
      <c r="B97" s="2117" t="s">
        <v>1631</v>
      </c>
      <c r="C97" s="2088"/>
      <c r="D97" s="2118"/>
    </row>
    <row r="98" spans="2:4">
      <c r="B98" s="2117" t="s">
        <v>1632</v>
      </c>
      <c r="C98" s="2088"/>
      <c r="D98" s="2118"/>
    </row>
    <row r="99" spans="2:4">
      <c r="B99" s="2117" t="s">
        <v>1633</v>
      </c>
      <c r="C99" s="2088"/>
      <c r="D99" s="2118"/>
    </row>
    <row r="100" spans="2:4">
      <c r="B100" s="2117" t="s">
        <v>1634</v>
      </c>
      <c r="C100" s="2088"/>
      <c r="D100" s="2118"/>
    </row>
    <row r="101" spans="2:4">
      <c r="B101" s="2117" t="s">
        <v>747</v>
      </c>
      <c r="C101" s="2088"/>
      <c r="D101" s="2118"/>
    </row>
    <row r="102" spans="2:4">
      <c r="B102" s="2117" t="s">
        <v>1635</v>
      </c>
      <c r="C102" s="2088"/>
      <c r="D102" s="2118"/>
    </row>
    <row r="103" spans="2:4">
      <c r="B103" s="2117" t="s">
        <v>1636</v>
      </c>
      <c r="C103" s="2088"/>
      <c r="D103" s="2118"/>
    </row>
    <row r="104" spans="2:4">
      <c r="B104" s="2117" t="s">
        <v>1006</v>
      </c>
      <c r="C104" s="2088"/>
      <c r="D104" s="2118"/>
    </row>
    <row r="105" spans="2:4">
      <c r="B105" s="2119">
        <v>2011</v>
      </c>
      <c r="C105" s="2120"/>
      <c r="D105" s="2121"/>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7" tint="0.39997558519241921"/>
  </sheetPr>
  <dimension ref="A1:S87"/>
  <sheetViews>
    <sheetView zoomScale="80" zoomScaleNormal="80" workbookViewId="0">
      <selection activeCell="I17" sqref="I17"/>
    </sheetView>
  </sheetViews>
  <sheetFormatPr defaultColWidth="8.81640625" defaultRowHeight="14.5"/>
  <cols>
    <col min="1" max="1" width="4.453125" customWidth="1"/>
    <col min="2" max="2" width="27.26953125" customWidth="1"/>
    <col min="3" max="3" width="27.453125" customWidth="1"/>
    <col min="4" max="4" width="13.81640625" customWidth="1"/>
    <col min="5" max="5" width="18.81640625" bestFit="1" customWidth="1"/>
    <col min="6" max="6" width="14.54296875" customWidth="1"/>
    <col min="7" max="7" width="11.453125" customWidth="1"/>
    <col min="8" max="8" width="10.26953125" customWidth="1"/>
    <col min="9" max="9" width="9.453125" bestFit="1" customWidth="1"/>
    <col min="14" max="15" width="13.1796875" customWidth="1"/>
  </cols>
  <sheetData>
    <row r="1" spans="1:19">
      <c r="B1" t="s">
        <v>1440</v>
      </c>
    </row>
    <row r="3" spans="1:19" ht="17.5">
      <c r="B3" s="2013" t="s">
        <v>1441</v>
      </c>
    </row>
    <row r="5" spans="1:19" ht="22.5" customHeight="1">
      <c r="B5" s="848" t="s">
        <v>1442</v>
      </c>
      <c r="C5" s="848" t="s">
        <v>1175</v>
      </c>
      <c r="D5" s="848" t="s">
        <v>181</v>
      </c>
      <c r="E5" s="6" t="s">
        <v>3399</v>
      </c>
      <c r="H5" s="354" t="s">
        <v>1443</v>
      </c>
      <c r="I5" s="3545"/>
    </row>
    <row r="6" spans="1:19" ht="15.5">
      <c r="A6" s="434"/>
      <c r="B6" s="6">
        <v>2013</v>
      </c>
      <c r="C6" s="415">
        <v>4593100</v>
      </c>
      <c r="D6" s="415">
        <f>Global.Assumptions[[#This Row],[Population]]/Global.Assumptions[[#This Row],[Pax per household]]</f>
        <v>1672651.1289147851</v>
      </c>
      <c r="E6" s="1179">
        <v>2.746</v>
      </c>
      <c r="H6" s="373" t="s">
        <v>3397</v>
      </c>
      <c r="I6" s="4126" t="s">
        <v>3413</v>
      </c>
      <c r="L6" s="985"/>
      <c r="M6" s="985"/>
      <c r="N6" s="985"/>
      <c r="O6" s="985"/>
      <c r="P6" s="985"/>
      <c r="Q6" s="985"/>
      <c r="R6" s="985"/>
      <c r="S6" s="985"/>
    </row>
    <row r="7" spans="1:19" ht="15.5">
      <c r="A7" s="434"/>
      <c r="B7" s="6">
        <v>2015</v>
      </c>
      <c r="C7" s="415">
        <v>4661392.6513631651</v>
      </c>
      <c r="D7" s="415">
        <f>Global.Assumptions[[#This Row],[Population]]/Global.Assumptions[[#This Row],[Pax per household]]</f>
        <v>1724685.0990151383</v>
      </c>
      <c r="E7" s="1690">
        <v>2.70275</v>
      </c>
      <c r="H7" s="373" t="s">
        <v>1444</v>
      </c>
      <c r="I7" s="4107" t="s">
        <v>3398</v>
      </c>
      <c r="O7" s="1179"/>
    </row>
    <row r="8" spans="1:19" ht="15.5">
      <c r="A8" s="434"/>
      <c r="B8" s="6">
        <v>2020</v>
      </c>
      <c r="C8" s="415">
        <v>4836599.7922269069</v>
      </c>
      <c r="D8" s="415">
        <f>Global.Assumptions[[#This Row],[Population]]/Global.Assumptions[[#This Row],[Pax per household]]</f>
        <v>1818612.4430257217</v>
      </c>
      <c r="E8" s="1690">
        <v>2.6595</v>
      </c>
      <c r="H8" s="373" t="s">
        <v>1445</v>
      </c>
      <c r="I8" s="3900" t="s">
        <v>3177</v>
      </c>
      <c r="O8" s="1179"/>
    </row>
    <row r="9" spans="1:19" ht="15.5">
      <c r="A9" s="434"/>
      <c r="B9" s="6">
        <v>2025</v>
      </c>
      <c r="C9" s="415">
        <v>5002284.3389555048</v>
      </c>
      <c r="D9" s="415">
        <f>Global.Assumptions[[#This Row],[Population]]/Global.Assumptions[[#This Row],[Pax per household]]</f>
        <v>1912005.4807283345</v>
      </c>
      <c r="E9" s="1690">
        <v>2.61625</v>
      </c>
      <c r="J9" s="373"/>
      <c r="O9" s="1179"/>
    </row>
    <row r="10" spans="1:19" ht="15.5">
      <c r="A10" s="434"/>
      <c r="B10" s="6">
        <v>2030</v>
      </c>
      <c r="C10" s="415">
        <v>5146142.1789294351</v>
      </c>
      <c r="D10" s="415">
        <f>Global.Assumptions[[#This Row],[Population]]/Global.Assumptions[[#This Row],[Pax per household]]</f>
        <v>2000055.258037091</v>
      </c>
      <c r="E10" s="1690">
        <v>2.573</v>
      </c>
      <c r="G10" s="373"/>
      <c r="H10" s="373" t="s">
        <v>3414</v>
      </c>
      <c r="I10" s="4132">
        <v>2.5000000000000001E-2</v>
      </c>
      <c r="J10" s="373"/>
      <c r="O10" s="1179"/>
    </row>
    <row r="11" spans="1:19" ht="15.5">
      <c r="A11" s="434"/>
      <c r="B11" s="6">
        <v>2035</v>
      </c>
      <c r="C11" s="415">
        <v>5294960.6340748798</v>
      </c>
      <c r="D11" s="415">
        <f>Global.Assumptions[[#This Row],[Population]]/Global.Assumptions[[#This Row],[Pax per household]]</f>
        <v>2093076.6415949722</v>
      </c>
      <c r="E11" s="1690">
        <v>2.5297499999999995</v>
      </c>
      <c r="G11" s="373"/>
      <c r="H11" s="373" t="s">
        <v>3415</v>
      </c>
      <c r="I11" s="4132">
        <v>6.0000000000000001E-3</v>
      </c>
      <c r="N11" s="1179"/>
    </row>
    <row r="12" spans="1:19" ht="15.5">
      <c r="A12" s="434"/>
      <c r="B12" s="6">
        <v>2040</v>
      </c>
      <c r="C12" s="415">
        <v>5447747.5813575322</v>
      </c>
      <c r="D12" s="415">
        <f>Global.Assumptions[[#This Row],[Population]]/Global.Assumptions[[#This Row],[Pax per household]]</f>
        <v>2190930.0548391449</v>
      </c>
      <c r="E12" s="1690">
        <v>2.4864999999999995</v>
      </c>
      <c r="G12" s="373"/>
      <c r="H12" s="373" t="s">
        <v>3416</v>
      </c>
      <c r="I12" s="1605">
        <v>0.01</v>
      </c>
      <c r="J12" s="2014"/>
      <c r="N12" s="1179"/>
    </row>
    <row r="13" spans="1:19" ht="15.5">
      <c r="A13" s="434"/>
      <c r="B13" s="6">
        <v>2045</v>
      </c>
      <c r="C13" s="415">
        <v>5590613.2982971575</v>
      </c>
      <c r="D13" s="415">
        <f>Global.Assumptions[[#This Row],[Population]]/Global.Assumptions[[#This Row],[Pax per household]]</f>
        <v>2288187.1680332171</v>
      </c>
      <c r="E13" s="1690">
        <v>2.4432499999999999</v>
      </c>
      <c r="I13" s="373"/>
      <c r="N13" s="1179"/>
    </row>
    <row r="14" spans="1:19">
      <c r="B14" s="6">
        <v>2050</v>
      </c>
      <c r="C14" s="415">
        <v>5737225.6302867383</v>
      </c>
      <c r="D14" s="415">
        <f>Global.Assumptions[[#This Row],[Population]]/Global.Assumptions[[#This Row],[Pax per household]]</f>
        <v>2390510.6792861409</v>
      </c>
      <c r="E14" s="1690">
        <v>2.4</v>
      </c>
      <c r="F14" s="4097"/>
      <c r="H14" s="373" t="s">
        <v>1454</v>
      </c>
      <c r="I14" s="4126" t="s">
        <v>3689</v>
      </c>
    </row>
    <row r="15" spans="1:19">
      <c r="B15" s="1027"/>
      <c r="C15" s="2015">
        <f>SUBTOTAL(101,Global.Assumptions[Population])</f>
        <v>5145562.9006101461</v>
      </c>
      <c r="D15" s="2015"/>
      <c r="I15" s="4126"/>
    </row>
    <row r="16" spans="1:19" s="2473" customFormat="1">
      <c r="B16" s="1027"/>
      <c r="C16" s="2015"/>
      <c r="D16" s="2015"/>
      <c r="E16" s="1027"/>
      <c r="F16" s="4131" t="s">
        <v>5</v>
      </c>
      <c r="G16" s="2016"/>
      <c r="N16"/>
    </row>
    <row r="17" spans="2:13" ht="17.5">
      <c r="B17" s="2013" t="s">
        <v>69</v>
      </c>
    </row>
    <row r="18" spans="2:13">
      <c r="I18" t="s">
        <v>5</v>
      </c>
    </row>
    <row r="19" spans="2:13">
      <c r="B19" s="2017" t="s">
        <v>1446</v>
      </c>
      <c r="C19" s="2017" t="s">
        <v>1447</v>
      </c>
      <c r="D19" s="2017" t="s">
        <v>1448</v>
      </c>
    </row>
    <row r="20" spans="2:13" ht="15">
      <c r="B20" s="415" t="s">
        <v>2775</v>
      </c>
      <c r="C20" s="720" t="s">
        <v>1449</v>
      </c>
      <c r="D20">
        <v>100</v>
      </c>
      <c r="F20" s="391">
        <f>120000/D14</f>
        <v>5.0198478944187205E-2</v>
      </c>
      <c r="M20" s="389"/>
    </row>
    <row r="21" spans="2:13" ht="15">
      <c r="B21" s="428" t="s">
        <v>2776</v>
      </c>
      <c r="C21" s="2018" t="s">
        <v>1449</v>
      </c>
      <c r="D21" s="1230">
        <v>110</v>
      </c>
      <c r="E21" s="4099"/>
    </row>
    <row r="23" spans="2:13">
      <c r="H23" t="s">
        <v>5</v>
      </c>
    </row>
    <row r="24" spans="2:13" ht="17.5">
      <c r="B24" s="2013" t="s">
        <v>2712</v>
      </c>
    </row>
    <row r="26" spans="2:13">
      <c r="B26" s="2019" t="s">
        <v>1442</v>
      </c>
      <c r="C26" s="2020">
        <v>2010</v>
      </c>
      <c r="D26" s="2020">
        <v>2015</v>
      </c>
      <c r="E26" s="2020">
        <v>2020</v>
      </c>
      <c r="F26" s="2020">
        <v>2025</v>
      </c>
      <c r="G26" s="2020">
        <v>2030</v>
      </c>
      <c r="H26" s="2020">
        <v>2035</v>
      </c>
      <c r="I26" s="2020">
        <v>2040</v>
      </c>
      <c r="J26" s="2020">
        <v>2045</v>
      </c>
      <c r="K26" s="2020">
        <v>2050</v>
      </c>
      <c r="L26" s="764"/>
    </row>
    <row r="27" spans="2:13">
      <c r="B27" s="2021" t="s">
        <v>1450</v>
      </c>
      <c r="C27" s="2022">
        <v>3.5000000000000003E-2</v>
      </c>
      <c r="D27" s="2023"/>
      <c r="E27" s="2023"/>
      <c r="F27" s="2023"/>
      <c r="G27" s="2023"/>
      <c r="H27" s="2023"/>
      <c r="I27" s="2023"/>
      <c r="J27" s="2024"/>
      <c r="K27" s="2024"/>
      <c r="L27" s="764"/>
    </row>
    <row r="28" spans="2:13">
      <c r="B28" s="2025" t="s">
        <v>1451</v>
      </c>
      <c r="C28" s="2026">
        <v>1</v>
      </c>
      <c r="D28" s="2026"/>
      <c r="E28" s="2026"/>
      <c r="F28" s="2026"/>
      <c r="G28" s="2026"/>
      <c r="H28" s="2026"/>
      <c r="I28" s="2026"/>
      <c r="J28" s="2026"/>
      <c r="K28" s="2026"/>
      <c r="L28" s="764"/>
    </row>
    <row r="31" spans="2:13" ht="17.5">
      <c r="B31" s="2013" t="s">
        <v>2881</v>
      </c>
      <c r="C31" s="409"/>
      <c r="D31" s="736"/>
      <c r="E31" s="736"/>
      <c r="F31" s="736"/>
      <c r="G31" s="736"/>
      <c r="H31" s="736"/>
      <c r="I31" s="736"/>
    </row>
    <row r="32" spans="2:13">
      <c r="C32" s="409"/>
      <c r="D32" s="4328" t="s">
        <v>20</v>
      </c>
      <c r="E32" s="4328"/>
      <c r="F32" s="4328" t="s">
        <v>1452</v>
      </c>
      <c r="G32" s="4328"/>
      <c r="H32" s="4328" t="s">
        <v>22</v>
      </c>
      <c r="I32" s="4328"/>
    </row>
    <row r="33" spans="2:11">
      <c r="B33" s="2027" t="s">
        <v>406</v>
      </c>
      <c r="C33" s="2028"/>
      <c r="D33" s="2029" t="s">
        <v>1453</v>
      </c>
      <c r="E33" s="2030" t="s">
        <v>950</v>
      </c>
      <c r="F33" s="2029" t="s">
        <v>1453</v>
      </c>
      <c r="G33" s="2030" t="s">
        <v>950</v>
      </c>
      <c r="H33" s="2029" t="s">
        <v>1453</v>
      </c>
      <c r="I33" s="2030" t="s">
        <v>950</v>
      </c>
    </row>
    <row r="34" spans="2:11">
      <c r="B34" s="764"/>
      <c r="C34" s="389"/>
      <c r="D34" s="2019"/>
      <c r="E34" s="2031"/>
      <c r="F34" s="2019"/>
      <c r="G34" s="2031"/>
      <c r="H34" s="2019"/>
      <c r="I34" s="2031"/>
      <c r="K34" t="s">
        <v>1454</v>
      </c>
    </row>
    <row r="35" spans="2:11">
      <c r="B35" s="764"/>
      <c r="C35" s="1691" t="s">
        <v>1455</v>
      </c>
      <c r="D35" s="2032">
        <v>0</v>
      </c>
      <c r="E35" s="2033">
        <v>5</v>
      </c>
      <c r="F35" s="2032">
        <v>7.0000000000000007E-2</v>
      </c>
      <c r="G35" s="2033">
        <v>15</v>
      </c>
      <c r="H35" s="2032">
        <v>0.1</v>
      </c>
      <c r="I35" s="2033">
        <v>15</v>
      </c>
      <c r="K35" t="s">
        <v>1456</v>
      </c>
    </row>
    <row r="36" spans="2:11">
      <c r="B36" s="764"/>
      <c r="C36" s="389"/>
      <c r="D36" s="2032"/>
      <c r="E36" s="2033"/>
      <c r="F36" s="2032"/>
      <c r="G36" s="2033"/>
      <c r="H36" s="2032"/>
      <c r="I36" s="2033"/>
    </row>
    <row r="37" spans="2:11">
      <c r="B37" s="2021" t="s">
        <v>547</v>
      </c>
      <c r="C37" s="444" t="s">
        <v>1457</v>
      </c>
      <c r="D37" s="2034">
        <v>0</v>
      </c>
      <c r="E37" s="2035">
        <v>20</v>
      </c>
      <c r="F37" s="2034">
        <v>7.0000000000000007E-2</v>
      </c>
      <c r="G37" s="2035">
        <v>20</v>
      </c>
      <c r="H37" s="2034">
        <v>0.1</v>
      </c>
      <c r="I37" s="2035">
        <v>20</v>
      </c>
    </row>
    <row r="38" spans="2:11">
      <c r="B38" s="2021" t="s">
        <v>544</v>
      </c>
      <c r="C38" s="444" t="s">
        <v>1458</v>
      </c>
      <c r="D38" s="2034">
        <v>0</v>
      </c>
      <c r="E38" s="2035">
        <v>30</v>
      </c>
      <c r="F38" s="2034">
        <v>7.0000000000000007E-2</v>
      </c>
      <c r="G38" s="2035">
        <v>30</v>
      </c>
      <c r="H38" s="2034">
        <v>0.1</v>
      </c>
      <c r="I38" s="2035">
        <v>30</v>
      </c>
    </row>
    <row r="39" spans="2:11">
      <c r="B39" s="2021" t="s">
        <v>539</v>
      </c>
      <c r="C39" s="444" t="s">
        <v>540</v>
      </c>
      <c r="D39" s="2034">
        <v>0</v>
      </c>
      <c r="E39" s="2035">
        <v>30</v>
      </c>
      <c r="F39" s="2034">
        <v>7.0000000000000007E-2</v>
      </c>
      <c r="G39" s="2035">
        <v>30</v>
      </c>
      <c r="H39" s="2034">
        <v>0.1</v>
      </c>
      <c r="I39" s="2035">
        <v>30</v>
      </c>
    </row>
    <row r="40" spans="2:11">
      <c r="B40" s="2021" t="s">
        <v>511</v>
      </c>
      <c r="C40" s="444" t="s">
        <v>512</v>
      </c>
      <c r="D40" s="2034">
        <v>0</v>
      </c>
      <c r="E40" s="2035">
        <v>20</v>
      </c>
      <c r="F40" s="2034">
        <v>7.0000000000000007E-2</v>
      </c>
      <c r="G40" s="2035">
        <v>20</v>
      </c>
      <c r="H40" s="2034">
        <v>0.1</v>
      </c>
      <c r="I40" s="2035">
        <v>20</v>
      </c>
    </row>
    <row r="41" spans="2:11">
      <c r="B41" s="2021" t="s">
        <v>513</v>
      </c>
      <c r="C41" s="444" t="s">
        <v>514</v>
      </c>
      <c r="D41" s="2034">
        <v>0</v>
      </c>
      <c r="E41" s="2035">
        <v>20</v>
      </c>
      <c r="F41" s="2034">
        <v>7.0000000000000007E-2</v>
      </c>
      <c r="G41" s="2035">
        <v>20</v>
      </c>
      <c r="H41" s="2034">
        <v>0.1</v>
      </c>
      <c r="I41" s="2035">
        <v>20</v>
      </c>
    </row>
    <row r="42" spans="2:11">
      <c r="B42" s="2021" t="s">
        <v>515</v>
      </c>
      <c r="C42" s="444" t="s">
        <v>1459</v>
      </c>
      <c r="D42" s="2034">
        <v>0</v>
      </c>
      <c r="E42" s="2035">
        <v>30</v>
      </c>
      <c r="F42" s="2034">
        <v>7.0000000000000007E-2</v>
      </c>
      <c r="G42" s="2035">
        <v>30</v>
      </c>
      <c r="H42" s="2034">
        <v>0.1</v>
      </c>
      <c r="I42" s="2035">
        <v>30</v>
      </c>
    </row>
    <row r="43" spans="2:11">
      <c r="B43" s="2021" t="s">
        <v>517</v>
      </c>
      <c r="C43" s="444" t="s">
        <v>1460</v>
      </c>
      <c r="D43" s="2034">
        <v>0</v>
      </c>
      <c r="E43" s="2035">
        <v>30</v>
      </c>
      <c r="F43" s="2034">
        <v>7.0000000000000007E-2</v>
      </c>
      <c r="G43" s="2035">
        <v>30</v>
      </c>
      <c r="H43" s="2034">
        <v>0.1</v>
      </c>
      <c r="I43" s="2035">
        <v>30</v>
      </c>
    </row>
    <row r="44" spans="2:11">
      <c r="B44" s="2021" t="s">
        <v>519</v>
      </c>
      <c r="C44" s="444" t="s">
        <v>54</v>
      </c>
      <c r="D44" s="2034">
        <v>0</v>
      </c>
      <c r="E44" s="2035">
        <v>25</v>
      </c>
      <c r="F44" s="2034">
        <v>7.0000000000000007E-2</v>
      </c>
      <c r="G44" s="2035">
        <v>25</v>
      </c>
      <c r="H44" s="2034">
        <v>0.1</v>
      </c>
      <c r="I44" s="2035">
        <v>25</v>
      </c>
    </row>
    <row r="45" spans="2:11">
      <c r="B45" s="2021" t="s">
        <v>525</v>
      </c>
      <c r="C45" s="444" t="s">
        <v>1461</v>
      </c>
      <c r="D45" s="2034">
        <v>0</v>
      </c>
      <c r="E45" s="2035">
        <v>25</v>
      </c>
      <c r="F45" s="2034">
        <v>7.0000000000000007E-2</v>
      </c>
      <c r="G45" s="2035">
        <v>25</v>
      </c>
      <c r="H45" s="2034">
        <v>0.1</v>
      </c>
      <c r="I45" s="2035">
        <v>25</v>
      </c>
    </row>
    <row r="46" spans="2:11">
      <c r="B46" s="2021" t="s">
        <v>25</v>
      </c>
      <c r="C46" s="444" t="s">
        <v>1462</v>
      </c>
      <c r="D46" s="2034">
        <v>0</v>
      </c>
      <c r="E46" s="2035">
        <v>20</v>
      </c>
      <c r="F46" s="2034">
        <v>7.0000000000000007E-2</v>
      </c>
      <c r="G46" s="2035">
        <v>20</v>
      </c>
      <c r="H46" s="2034">
        <v>0.1</v>
      </c>
      <c r="I46" s="2035">
        <v>20</v>
      </c>
    </row>
    <row r="47" spans="2:11">
      <c r="B47" s="2021" t="s">
        <v>527</v>
      </c>
      <c r="C47" s="444" t="s">
        <v>1463</v>
      </c>
      <c r="D47" s="2034">
        <v>0</v>
      </c>
      <c r="E47" s="2035">
        <v>25</v>
      </c>
      <c r="F47" s="2034">
        <v>7.0000000000000007E-2</v>
      </c>
      <c r="G47" s="2035">
        <v>25</v>
      </c>
      <c r="H47" s="2034">
        <v>0.1</v>
      </c>
      <c r="I47" s="2035">
        <v>25</v>
      </c>
    </row>
    <row r="48" spans="2:11">
      <c r="B48" s="2021" t="s">
        <v>566</v>
      </c>
      <c r="C48" s="444" t="s">
        <v>1464</v>
      </c>
      <c r="D48" s="2034">
        <v>0</v>
      </c>
      <c r="E48" s="2035">
        <v>30</v>
      </c>
      <c r="F48" s="2034">
        <v>7.0000000000000007E-2</v>
      </c>
      <c r="G48" s="2035">
        <v>30</v>
      </c>
      <c r="H48" s="2034">
        <v>0.1</v>
      </c>
      <c r="I48" s="2035">
        <v>30</v>
      </c>
    </row>
    <row r="49" spans="2:9">
      <c r="B49" s="2021"/>
      <c r="C49" s="444"/>
      <c r="D49" s="2034"/>
      <c r="E49" s="2035"/>
      <c r="F49" s="2034"/>
      <c r="G49" s="2035"/>
      <c r="H49" s="2034"/>
      <c r="I49" s="2035"/>
    </row>
    <row r="50" spans="2:9">
      <c r="B50" s="2021"/>
      <c r="C50" s="444"/>
      <c r="D50" s="2034"/>
      <c r="E50" s="2035"/>
      <c r="F50" s="2034"/>
      <c r="G50" s="2035"/>
      <c r="H50" s="2034"/>
      <c r="I50" s="2035"/>
    </row>
    <row r="51" spans="2:9">
      <c r="B51" s="2021"/>
      <c r="C51" s="444"/>
      <c r="D51" s="2034"/>
      <c r="E51" s="2035"/>
      <c r="F51" s="2034"/>
      <c r="G51" s="2035"/>
      <c r="H51" s="2034"/>
      <c r="I51" s="2035"/>
    </row>
    <row r="52" spans="2:9">
      <c r="B52" s="2021" t="s">
        <v>1465</v>
      </c>
      <c r="C52" s="444" t="s">
        <v>1466</v>
      </c>
      <c r="D52" s="2034">
        <v>0</v>
      </c>
      <c r="E52" s="2035">
        <v>15</v>
      </c>
      <c r="F52" s="2034">
        <v>7.0000000000000007E-2</v>
      </c>
      <c r="G52" s="2035">
        <v>15</v>
      </c>
      <c r="H52" s="2034">
        <v>0.1</v>
      </c>
      <c r="I52" s="2035">
        <v>15</v>
      </c>
    </row>
    <row r="53" spans="2:9">
      <c r="B53" s="2021" t="s">
        <v>1467</v>
      </c>
      <c r="C53" s="444" t="s">
        <v>1468</v>
      </c>
      <c r="D53" s="2034">
        <v>0</v>
      </c>
      <c r="E53" s="2035">
        <v>15</v>
      </c>
      <c r="F53" s="2034">
        <v>7.0000000000000007E-2</v>
      </c>
      <c r="G53" s="2035">
        <v>15</v>
      </c>
      <c r="H53" s="2034">
        <v>0.1</v>
      </c>
      <c r="I53" s="2035">
        <v>15</v>
      </c>
    </row>
    <row r="54" spans="2:9">
      <c r="B54" s="2021"/>
      <c r="C54" s="444"/>
      <c r="D54" s="2034"/>
      <c r="E54" s="2035"/>
      <c r="F54" s="2034"/>
      <c r="G54" s="2035"/>
      <c r="H54" s="2034"/>
      <c r="I54" s="2035"/>
    </row>
    <row r="55" spans="2:9">
      <c r="B55" s="2021"/>
      <c r="C55" s="444"/>
      <c r="D55" s="2034"/>
      <c r="E55" s="2035"/>
      <c r="F55" s="2034"/>
      <c r="G55" s="2035"/>
      <c r="H55" s="2034"/>
      <c r="I55" s="2035"/>
    </row>
    <row r="56" spans="2:9">
      <c r="B56" s="2021"/>
      <c r="C56" s="444"/>
      <c r="D56" s="2034"/>
      <c r="E56" s="2035"/>
      <c r="F56" s="2034"/>
      <c r="G56" s="2035"/>
      <c r="H56" s="2034"/>
      <c r="I56" s="2035"/>
    </row>
    <row r="57" spans="2:9">
      <c r="B57" s="2021" t="s">
        <v>558</v>
      </c>
      <c r="C57" s="444" t="s">
        <v>559</v>
      </c>
      <c r="D57" s="2034">
        <v>0</v>
      </c>
      <c r="E57" s="2035">
        <v>20</v>
      </c>
      <c r="F57" s="2034">
        <v>7.0000000000000007E-2</v>
      </c>
      <c r="G57" s="2035">
        <v>20</v>
      </c>
      <c r="H57" s="2034">
        <v>0.1</v>
      </c>
      <c r="I57" s="2035">
        <v>20</v>
      </c>
    </row>
    <row r="58" spans="2:9">
      <c r="B58" s="2021" t="s">
        <v>560</v>
      </c>
      <c r="C58" s="444" t="s">
        <v>1469</v>
      </c>
      <c r="D58" s="2034">
        <v>0</v>
      </c>
      <c r="E58" s="2035">
        <v>15</v>
      </c>
      <c r="F58" s="2034">
        <v>7.0000000000000007E-2</v>
      </c>
      <c r="G58" s="2035">
        <v>15</v>
      </c>
      <c r="H58" s="2034">
        <v>0.1</v>
      </c>
      <c r="I58" s="2035">
        <v>15</v>
      </c>
    </row>
    <row r="59" spans="2:9">
      <c r="B59" s="2021" t="s">
        <v>493</v>
      </c>
      <c r="C59" s="444" t="s">
        <v>496</v>
      </c>
      <c r="D59" s="2034">
        <v>0</v>
      </c>
      <c r="E59" s="2035">
        <v>25</v>
      </c>
      <c r="F59" s="2034">
        <v>7.0000000000000007E-2</v>
      </c>
      <c r="G59" s="2035">
        <v>25</v>
      </c>
      <c r="H59" s="2034">
        <v>0.1</v>
      </c>
      <c r="I59" s="2035">
        <v>25</v>
      </c>
    </row>
    <row r="60" spans="2:9">
      <c r="B60" s="2021" t="s">
        <v>1470</v>
      </c>
      <c r="C60" s="444" t="s">
        <v>1471</v>
      </c>
      <c r="D60" s="2034">
        <v>0</v>
      </c>
      <c r="E60" s="2035">
        <v>15</v>
      </c>
      <c r="F60" s="2034">
        <v>7.0000000000000007E-2</v>
      </c>
      <c r="G60" s="2035">
        <v>15</v>
      </c>
      <c r="H60" s="2034">
        <v>0.1</v>
      </c>
      <c r="I60" s="2035">
        <v>15</v>
      </c>
    </row>
    <row r="61" spans="2:9">
      <c r="B61" s="2021" t="s">
        <v>1472</v>
      </c>
      <c r="C61" s="444" t="s">
        <v>1473</v>
      </c>
      <c r="D61" s="2034">
        <v>0</v>
      </c>
      <c r="E61" s="2035">
        <v>30</v>
      </c>
      <c r="F61" s="2034">
        <v>7.0000000000000007E-2</v>
      </c>
      <c r="G61" s="2035">
        <v>30</v>
      </c>
      <c r="H61" s="2034">
        <v>0.1</v>
      </c>
      <c r="I61" s="2035">
        <v>30</v>
      </c>
    </row>
    <row r="62" spans="2:9">
      <c r="B62" s="2021" t="s">
        <v>456</v>
      </c>
      <c r="C62" s="444" t="s">
        <v>457</v>
      </c>
      <c r="D62" s="2034">
        <v>0</v>
      </c>
      <c r="E62" s="2035">
        <v>15</v>
      </c>
      <c r="F62" s="2034">
        <v>7.0000000000000007E-2</v>
      </c>
      <c r="G62" s="2035">
        <v>15</v>
      </c>
      <c r="H62" s="2034">
        <v>0.1</v>
      </c>
      <c r="I62" s="2035">
        <v>15</v>
      </c>
    </row>
    <row r="63" spans="2:9">
      <c r="B63" s="2021" t="s">
        <v>461</v>
      </c>
      <c r="C63" s="444" t="s">
        <v>462</v>
      </c>
      <c r="D63" s="2034">
        <v>0</v>
      </c>
      <c r="E63" s="2035">
        <v>15</v>
      </c>
      <c r="F63" s="2034">
        <v>7.0000000000000007E-2</v>
      </c>
      <c r="G63" s="2035">
        <v>15</v>
      </c>
      <c r="H63" s="2034">
        <v>0.1</v>
      </c>
      <c r="I63" s="2035">
        <v>15</v>
      </c>
    </row>
    <row r="64" spans="2:9">
      <c r="B64" s="2021"/>
      <c r="C64" s="444"/>
      <c r="D64" s="2034"/>
      <c r="E64" s="2035"/>
      <c r="F64" s="2034"/>
      <c r="G64" s="2035"/>
      <c r="H64" s="2034"/>
      <c r="I64" s="2035"/>
    </row>
    <row r="65" spans="2:9">
      <c r="B65" s="2021"/>
      <c r="C65" s="444"/>
      <c r="D65" s="2034"/>
      <c r="E65" s="2035"/>
      <c r="F65" s="2034"/>
      <c r="G65" s="2035"/>
      <c r="H65" s="2034"/>
      <c r="I65" s="2035"/>
    </row>
    <row r="66" spans="2:9">
      <c r="B66" s="2021" t="s">
        <v>1474</v>
      </c>
      <c r="C66" s="444" t="s">
        <v>1475</v>
      </c>
      <c r="D66" s="2034">
        <v>0</v>
      </c>
      <c r="E66" s="2035">
        <v>15</v>
      </c>
      <c r="F66" s="2034">
        <v>7.0000000000000007E-2</v>
      </c>
      <c r="G66" s="2035">
        <v>15</v>
      </c>
      <c r="H66" s="2034">
        <v>0.1</v>
      </c>
      <c r="I66" s="2035">
        <v>15</v>
      </c>
    </row>
    <row r="67" spans="2:9">
      <c r="B67" s="2021" t="s">
        <v>1476</v>
      </c>
      <c r="C67" s="444" t="s">
        <v>1477</v>
      </c>
      <c r="D67" s="2034">
        <v>0</v>
      </c>
      <c r="E67" s="2035">
        <v>15</v>
      </c>
      <c r="F67" s="2034">
        <v>7.0000000000000007E-2</v>
      </c>
      <c r="G67" s="2035">
        <v>15</v>
      </c>
      <c r="H67" s="2034">
        <v>0.1</v>
      </c>
      <c r="I67" s="2035">
        <v>15</v>
      </c>
    </row>
    <row r="68" spans="2:9">
      <c r="B68" s="2021" t="s">
        <v>1478</v>
      </c>
      <c r="C68" s="444" t="s">
        <v>1479</v>
      </c>
      <c r="D68" s="2034">
        <v>0</v>
      </c>
      <c r="E68" s="2035">
        <v>15</v>
      </c>
      <c r="F68" s="2034">
        <v>7.0000000000000007E-2</v>
      </c>
      <c r="G68" s="2035">
        <v>15</v>
      </c>
      <c r="H68" s="2034">
        <v>0.1</v>
      </c>
      <c r="I68" s="2035">
        <v>15</v>
      </c>
    </row>
    <row r="69" spans="2:9">
      <c r="B69" s="2021" t="s">
        <v>1480</v>
      </c>
      <c r="C69" s="444" t="s">
        <v>1481</v>
      </c>
      <c r="D69" s="2034">
        <v>0</v>
      </c>
      <c r="E69" s="2035">
        <v>15</v>
      </c>
      <c r="F69" s="2034">
        <v>7.0000000000000007E-2</v>
      </c>
      <c r="G69" s="2035">
        <v>15</v>
      </c>
      <c r="H69" s="2034">
        <v>0.1</v>
      </c>
      <c r="I69" s="2035">
        <v>15</v>
      </c>
    </row>
    <row r="70" spans="2:9">
      <c r="B70" s="2021" t="s">
        <v>1482</v>
      </c>
      <c r="C70" s="444" t="s">
        <v>1483</v>
      </c>
      <c r="D70" s="2034">
        <v>0</v>
      </c>
      <c r="E70" s="2035">
        <v>5</v>
      </c>
      <c r="F70" s="2034">
        <v>7.0000000000000007E-2</v>
      </c>
      <c r="G70" s="2035">
        <v>5</v>
      </c>
      <c r="H70" s="2034">
        <v>0.1</v>
      </c>
      <c r="I70" s="2035">
        <v>5</v>
      </c>
    </row>
    <row r="71" spans="2:9">
      <c r="B71" s="2021" t="s">
        <v>1484</v>
      </c>
      <c r="C71" s="444" t="s">
        <v>1221</v>
      </c>
      <c r="D71" s="2034">
        <v>0</v>
      </c>
      <c r="E71" s="2035">
        <v>30</v>
      </c>
      <c r="F71" s="2034">
        <v>7.0000000000000007E-2</v>
      </c>
      <c r="G71" s="2035">
        <v>30</v>
      </c>
      <c r="H71" s="2034">
        <v>0.1</v>
      </c>
      <c r="I71" s="2035">
        <v>30</v>
      </c>
    </row>
    <row r="72" spans="2:9">
      <c r="B72" s="2021" t="s">
        <v>1485</v>
      </c>
      <c r="C72" s="444" t="s">
        <v>362</v>
      </c>
      <c r="D72" s="2034">
        <v>0</v>
      </c>
      <c r="E72" s="2035">
        <v>30</v>
      </c>
      <c r="F72" s="2034">
        <v>7.0000000000000007E-2</v>
      </c>
      <c r="G72" s="2035">
        <v>30</v>
      </c>
      <c r="H72" s="2034">
        <v>0.1</v>
      </c>
      <c r="I72" s="2035">
        <v>30</v>
      </c>
    </row>
    <row r="73" spans="2:9">
      <c r="B73" s="2021" t="s">
        <v>471</v>
      </c>
      <c r="C73" s="444" t="s">
        <v>472</v>
      </c>
      <c r="D73" s="2034">
        <v>0</v>
      </c>
      <c r="E73" s="2035">
        <v>10</v>
      </c>
      <c r="F73" s="2034">
        <v>7.0000000000000007E-2</v>
      </c>
      <c r="G73" s="2035">
        <v>10</v>
      </c>
      <c r="H73" s="2034">
        <v>0.1</v>
      </c>
      <c r="I73" s="2035">
        <v>10</v>
      </c>
    </row>
    <row r="74" spans="2:9">
      <c r="B74" s="2021" t="s">
        <v>473</v>
      </c>
      <c r="C74" s="444" t="s">
        <v>364</v>
      </c>
      <c r="D74" s="2034">
        <v>0</v>
      </c>
      <c r="E74" s="2035">
        <v>15</v>
      </c>
      <c r="F74" s="2034">
        <v>7.0000000000000007E-2</v>
      </c>
      <c r="G74" s="2035">
        <v>15</v>
      </c>
      <c r="H74" s="2034">
        <v>0.1</v>
      </c>
      <c r="I74" s="2035">
        <v>15</v>
      </c>
    </row>
    <row r="75" spans="2:9">
      <c r="B75" s="2021" t="s">
        <v>477</v>
      </c>
      <c r="C75" s="444" t="s">
        <v>1486</v>
      </c>
      <c r="D75" s="2034">
        <v>0</v>
      </c>
      <c r="E75" s="2035">
        <v>15</v>
      </c>
      <c r="F75" s="2034">
        <v>7.0000000000000007E-2</v>
      </c>
      <c r="G75" s="2035">
        <v>15</v>
      </c>
      <c r="H75" s="2034">
        <v>0.1</v>
      </c>
      <c r="I75" s="2035">
        <v>15</v>
      </c>
    </row>
    <row r="76" spans="2:9">
      <c r="B76" s="2021"/>
      <c r="C76" s="444"/>
      <c r="D76" s="2034"/>
      <c r="E76" s="2035"/>
      <c r="F76" s="2034"/>
      <c r="G76" s="2035"/>
      <c r="H76" s="2034"/>
      <c r="I76" s="2035"/>
    </row>
    <row r="77" spans="2:9">
      <c r="B77" s="2021" t="s">
        <v>505</v>
      </c>
      <c r="C77" s="444" t="s">
        <v>506</v>
      </c>
      <c r="D77" s="2034">
        <v>0</v>
      </c>
      <c r="E77" s="2035">
        <v>15</v>
      </c>
      <c r="F77" s="2034">
        <v>7.0000000000000007E-2</v>
      </c>
      <c r="G77" s="2035">
        <v>15</v>
      </c>
      <c r="H77" s="2034">
        <v>0.1</v>
      </c>
      <c r="I77" s="2035">
        <v>15</v>
      </c>
    </row>
    <row r="78" spans="2:9">
      <c r="B78" s="2021"/>
      <c r="C78" s="444"/>
      <c r="D78" s="2034"/>
      <c r="E78" s="2035"/>
      <c r="F78" s="2034"/>
      <c r="G78" s="2035"/>
      <c r="H78" s="2034"/>
      <c r="I78" s="2035"/>
    </row>
    <row r="79" spans="2:9">
      <c r="B79" s="2021"/>
      <c r="C79" s="444"/>
      <c r="D79" s="2034"/>
      <c r="E79" s="2035"/>
      <c r="F79" s="2034"/>
      <c r="G79" s="2035"/>
      <c r="H79" s="2034"/>
      <c r="I79" s="2035"/>
    </row>
    <row r="80" spans="2:9">
      <c r="B80" s="2021"/>
      <c r="C80" s="444"/>
      <c r="D80" s="2034"/>
      <c r="E80" s="2035"/>
      <c r="F80" s="2034"/>
      <c r="G80" s="2035"/>
      <c r="H80" s="2034"/>
      <c r="I80" s="2035"/>
    </row>
    <row r="81" spans="2:9">
      <c r="B81" s="2021" t="s">
        <v>574</v>
      </c>
      <c r="C81" s="444" t="s">
        <v>575</v>
      </c>
      <c r="D81" s="2034">
        <v>0</v>
      </c>
      <c r="E81" s="2035">
        <v>15</v>
      </c>
      <c r="F81" s="2034">
        <v>7.0000000000000007E-2</v>
      </c>
      <c r="G81" s="2035">
        <v>15</v>
      </c>
      <c r="H81" s="2034">
        <v>0.1</v>
      </c>
      <c r="I81" s="2035">
        <v>15</v>
      </c>
    </row>
    <row r="82" spans="2:9">
      <c r="B82" s="2021"/>
      <c r="C82" s="444"/>
      <c r="D82" s="2034"/>
      <c r="E82" s="2035"/>
      <c r="F82" s="2034"/>
      <c r="G82" s="2035"/>
      <c r="H82" s="2034"/>
      <c r="I82" s="2035"/>
    </row>
    <row r="83" spans="2:9">
      <c r="B83" s="2021"/>
      <c r="C83" s="444"/>
      <c r="D83" s="2034"/>
      <c r="E83" s="2035"/>
      <c r="F83" s="2034"/>
      <c r="G83" s="2035"/>
      <c r="H83" s="2034"/>
      <c r="I83" s="2035"/>
    </row>
    <row r="84" spans="2:9">
      <c r="B84" s="2021"/>
      <c r="C84" s="444"/>
      <c r="D84" s="2034"/>
      <c r="E84" s="2035"/>
      <c r="F84" s="2034"/>
      <c r="G84" s="2035"/>
      <c r="H84" s="2034"/>
      <c r="I84" s="2035"/>
    </row>
    <row r="85" spans="2:9">
      <c r="B85" s="2021" t="s">
        <v>533</v>
      </c>
      <c r="C85" s="444" t="s">
        <v>534</v>
      </c>
      <c r="D85" s="2034">
        <v>0</v>
      </c>
      <c r="E85" s="2035">
        <v>15</v>
      </c>
      <c r="F85" s="2034">
        <v>7.0000000000000007E-2</v>
      </c>
      <c r="G85" s="2035">
        <v>15</v>
      </c>
      <c r="H85" s="2034">
        <v>0.1</v>
      </c>
      <c r="I85" s="2035">
        <v>15</v>
      </c>
    </row>
    <row r="86" spans="2:9">
      <c r="B86" s="2036" t="s">
        <v>1487</v>
      </c>
      <c r="C86" s="2037" t="s">
        <v>1488</v>
      </c>
      <c r="D86" s="2038">
        <v>0</v>
      </c>
      <c r="E86" s="2039">
        <v>15</v>
      </c>
      <c r="F86" s="2038">
        <v>7.0000000000000007E-2</v>
      </c>
      <c r="G86" s="2039">
        <v>15</v>
      </c>
      <c r="H86" s="2038">
        <v>0.1</v>
      </c>
      <c r="I86" s="2039">
        <v>15</v>
      </c>
    </row>
    <row r="87" spans="2:9">
      <c r="B87" s="405" t="s">
        <v>1489</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7" tint="0.39997558519241921"/>
    <pageSetUpPr autoPageBreaks="0"/>
  </sheetPr>
  <dimension ref="A1:K92"/>
  <sheetViews>
    <sheetView showGridLines="0" topLeftCell="C1" workbookViewId="0">
      <selection activeCell="K9" sqref="K9"/>
    </sheetView>
  </sheetViews>
  <sheetFormatPr defaultColWidth="8.81640625" defaultRowHeight="13"/>
  <cols>
    <col min="1" max="1" width="2.81640625" style="2040" customWidth="1"/>
    <col min="2" max="2" width="35" style="2040" customWidth="1"/>
    <col min="3" max="3" width="26.26953125" style="2040" customWidth="1"/>
    <col min="4" max="4" width="8.81640625" style="2040"/>
    <col min="5" max="5" width="18.7265625" style="2040" bestFit="1" customWidth="1"/>
    <col min="6" max="8" width="14.1796875" style="2040" customWidth="1"/>
    <col min="9" max="9" width="11.453125" style="2040" bestFit="1" customWidth="1"/>
    <col min="10" max="10" width="24.1796875" style="2040" customWidth="1"/>
    <col min="11" max="11" width="12.26953125" style="2040" bestFit="1" customWidth="1"/>
    <col min="12" max="16384" width="8.81640625" style="2040"/>
  </cols>
  <sheetData>
    <row r="1" spans="1:11">
      <c r="B1" s="2040" t="s">
        <v>1637</v>
      </c>
    </row>
    <row r="2" spans="1:11" ht="14.5">
      <c r="E2"/>
      <c r="F2"/>
    </row>
    <row r="4" spans="1:11" ht="18" customHeight="1">
      <c r="B4" s="2041" t="s">
        <v>1638</v>
      </c>
      <c r="E4" s="2041" t="s">
        <v>1639</v>
      </c>
      <c r="H4" s="2122" t="str">
        <f>"per " &amp; Preferences.EnergyUnits</f>
        <v>per TWh</v>
      </c>
      <c r="J4" s="2041" t="s">
        <v>1640</v>
      </c>
      <c r="K4" s="2041"/>
    </row>
    <row r="5" spans="1:11" ht="6.75" customHeight="1">
      <c r="B5" s="2123"/>
      <c r="E5" s="2123"/>
      <c r="J5" s="2123"/>
      <c r="K5" s="2123"/>
    </row>
    <row r="6" spans="1:11" ht="6.75" customHeight="1">
      <c r="B6" s="2123"/>
      <c r="E6" s="2123"/>
      <c r="J6" s="2123"/>
      <c r="K6" s="2123"/>
    </row>
    <row r="7" spans="1:11" ht="18.75" customHeight="1">
      <c r="B7" s="2043" t="s">
        <v>1641</v>
      </c>
      <c r="C7" s="2124" t="str">
        <f>Preferences.EnergyUnits &amp; " / kg"</f>
        <v>TWh / kg</v>
      </c>
      <c r="E7" s="2043" t="s">
        <v>1642</v>
      </c>
      <c r="F7" s="2044" t="s">
        <v>1643</v>
      </c>
      <c r="G7" s="2044" t="s">
        <v>1644</v>
      </c>
      <c r="H7" s="2044" t="s">
        <v>1645</v>
      </c>
      <c r="J7" s="2043" t="s">
        <v>15</v>
      </c>
      <c r="K7" s="2043" t="s">
        <v>1646</v>
      </c>
    </row>
    <row r="8" spans="1:11" ht="15.5">
      <c r="A8" s="2080"/>
      <c r="B8" s="2049" t="s">
        <v>2891</v>
      </c>
      <c r="C8" s="2125">
        <f>(0.589*Unit.toe)/1000</f>
        <v>6.8500700000000001E-9</v>
      </c>
      <c r="D8"/>
      <c r="E8" s="2049" t="s">
        <v>146</v>
      </c>
      <c r="F8" s="3727">
        <f>(93.784/(10^6))/Unit.TJ</f>
        <v>0.33762240000000004</v>
      </c>
      <c r="G8" s="2077">
        <f>((0.7/10^9)/Unit.TJ)*GWP.CH4</f>
        <v>5.2920000000000002E-5</v>
      </c>
      <c r="H8" s="3732">
        <f>((0.5/10^9)/Unit.TJ)*GWP.N2O</f>
        <v>5.5800000000000001E-4</v>
      </c>
      <c r="J8" s="2049" t="s">
        <v>1647</v>
      </c>
      <c r="K8" s="2049">
        <v>1</v>
      </c>
    </row>
    <row r="9" spans="1:11" ht="15.5">
      <c r="A9" s="2080"/>
      <c r="B9" s="2049" t="s">
        <v>2892</v>
      </c>
      <c r="C9" s="2125">
        <f>(0.665*Unit.toe)/1000</f>
        <v>7.7339500000000006E-9</v>
      </c>
      <c r="D9"/>
      <c r="E9" s="2040" t="s">
        <v>1412</v>
      </c>
      <c r="F9" s="3728">
        <f>(116.089/10^6)/Unit.TJ</f>
        <v>0.41792039999999997</v>
      </c>
      <c r="G9" s="2077">
        <f>((3/10^9)/Unit.TJ)*GWP.CH4</f>
        <v>2.2680000000000001E-4</v>
      </c>
      <c r="H9" s="3733">
        <f>((7/10^9)/Unit.TJ)*GWP.N2O</f>
        <v>7.8119999999999995E-3</v>
      </c>
      <c r="J9" s="2049" t="s">
        <v>1648</v>
      </c>
      <c r="K9" s="2049">
        <v>21</v>
      </c>
    </row>
    <row r="10" spans="1:11" ht="15.5">
      <c r="A10" s="2080"/>
      <c r="B10" s="2049" t="s">
        <v>2893</v>
      </c>
      <c r="C10" s="2125">
        <f>(0.4733*Unit.toe)/1000</f>
        <v>5.5044790000000005E-9</v>
      </c>
      <c r="D10"/>
      <c r="E10" s="2049" t="s">
        <v>1246</v>
      </c>
      <c r="F10" s="3727">
        <f>(73.3/(10^6))/Unit.TJ</f>
        <v>0.26387999999999995</v>
      </c>
      <c r="G10" s="2077">
        <f>((3/10^9)/Unit.TJ)*GWP.CH4</f>
        <v>2.2680000000000001E-4</v>
      </c>
      <c r="H10" s="3733">
        <f>((0.6/10^9)/Unit.TJ)*GWP.N2O</f>
        <v>6.6960000000000001E-4</v>
      </c>
      <c r="J10" s="2049" t="s">
        <v>1649</v>
      </c>
      <c r="K10" s="2049">
        <v>310</v>
      </c>
    </row>
    <row r="11" spans="1:11" ht="15.5">
      <c r="A11" s="2080"/>
      <c r="B11" s="2073" t="s">
        <v>2894</v>
      </c>
      <c r="C11" s="2126">
        <f>(0.1798*Unit.toe)/1000</f>
        <v>2.0910739999999999E-9</v>
      </c>
      <c r="D11"/>
      <c r="E11" s="2073" t="s">
        <v>141</v>
      </c>
      <c r="F11" s="3729">
        <f>(56.867/(10^6))/Unit.TJ</f>
        <v>0.20472119999999999</v>
      </c>
      <c r="G11" s="3730">
        <f>((1/10^9)/Unit.TJ)*GWP.CH4</f>
        <v>7.5600000000000008E-5</v>
      </c>
      <c r="H11" s="3730">
        <f>((2.9/10^9)/Unit.TJ)*GWP.N2O</f>
        <v>3.2364E-3</v>
      </c>
      <c r="J11" s="2049" t="s">
        <v>1650</v>
      </c>
      <c r="K11" s="2127" t="s">
        <v>1651</v>
      </c>
    </row>
    <row r="12" spans="1:11" ht="15.5">
      <c r="A12" s="2080"/>
      <c r="B12" s="2049"/>
      <c r="C12" s="2050" t="s">
        <v>5</v>
      </c>
      <c r="E12" s="389"/>
      <c r="F12" s="389"/>
      <c r="G12" s="389"/>
      <c r="H12" s="389"/>
      <c r="J12" s="2049" t="s">
        <v>1652</v>
      </c>
      <c r="K12" s="2127" t="s">
        <v>1653</v>
      </c>
    </row>
    <row r="13" spans="1:11" ht="15.5">
      <c r="A13" s="2080"/>
      <c r="B13" s="2128" t="s">
        <v>1654</v>
      </c>
      <c r="C13" s="2129" t="str">
        <f>Preferences.EnergyUnits &amp; " / kg"</f>
        <v>TWh / kg</v>
      </c>
      <c r="E13"/>
      <c r="F13"/>
      <c r="G13"/>
      <c r="H13"/>
      <c r="J13" s="2073" t="s">
        <v>1655</v>
      </c>
      <c r="K13" s="2130">
        <v>23900</v>
      </c>
    </row>
    <row r="14" spans="1:11" ht="15.5">
      <c r="A14" s="2080"/>
      <c r="B14" s="2131" t="s">
        <v>2895</v>
      </c>
      <c r="C14" s="2125">
        <f>(1.0226*Unit.toe)/1000</f>
        <v>1.1892837999999999E-8</v>
      </c>
      <c r="E14" s="2133" t="s">
        <v>1658</v>
      </c>
      <c r="H14"/>
      <c r="J14" s="2049"/>
      <c r="K14" s="2132"/>
    </row>
    <row r="15" spans="1:11" ht="15.5">
      <c r="A15" s="2080"/>
      <c r="B15" s="2049" t="s">
        <v>2898</v>
      </c>
      <c r="C15" s="2125">
        <f>(0.9849*Unit.toe)/1000</f>
        <v>1.1454387E-8</v>
      </c>
      <c r="E15" s="3725" t="s">
        <v>2904</v>
      </c>
      <c r="F15" s="3724"/>
      <c r="G15" s="3724"/>
      <c r="H15"/>
    </row>
    <row r="16" spans="1:11" ht="15.5">
      <c r="A16" s="2080"/>
      <c r="B16" s="2049" t="s">
        <v>2896</v>
      </c>
      <c r="C16" s="2125">
        <f>(1.065*Unit.toe)/1000</f>
        <v>1.238595E-8</v>
      </c>
      <c r="E16" s="3725" t="s">
        <v>2905</v>
      </c>
      <c r="F16" s="3724"/>
      <c r="G16" s="3724"/>
      <c r="H16"/>
      <c r="J16" s="2133" t="s">
        <v>1659</v>
      </c>
    </row>
    <row r="17" spans="1:10" ht="15.5">
      <c r="A17" s="2080"/>
      <c r="B17" s="2049" t="s">
        <v>1656</v>
      </c>
      <c r="C17" s="2125">
        <f>(1.0344*Unit.toe)/1000</f>
        <v>1.2030072000000001E-8</v>
      </c>
      <c r="E17"/>
      <c r="F17"/>
      <c r="G17"/>
      <c r="H17"/>
      <c r="J17" s="2123" t="s">
        <v>2906</v>
      </c>
    </row>
    <row r="18" spans="1:10" ht="15.5">
      <c r="A18" s="2080"/>
      <c r="B18" s="2073" t="s">
        <v>2897</v>
      </c>
      <c r="C18" s="2126">
        <f>(1.065*Unit.toe)/1000</f>
        <v>1.238595E-8</v>
      </c>
      <c r="E18"/>
      <c r="F18"/>
      <c r="G18"/>
      <c r="H18"/>
    </row>
    <row r="19" spans="1:10" ht="15" customHeight="1">
      <c r="B19" s="2049"/>
      <c r="C19" s="2050"/>
    </row>
    <row r="20" spans="1:10" ht="15.5">
      <c r="A20" s="2080"/>
      <c r="B20" s="2128" t="s">
        <v>1657</v>
      </c>
      <c r="C20" s="2129" t="str">
        <f>Preferences.EnergyUnits &amp; " / cubic metre"</f>
        <v>TWh / cubic metre</v>
      </c>
      <c r="E20" s="2133"/>
      <c r="J20" s="2133"/>
    </row>
    <row r="21" spans="1:10" ht="15.5">
      <c r="A21" s="2080"/>
      <c r="B21" s="2134" t="s">
        <v>2899</v>
      </c>
      <c r="C21" s="2125">
        <f>34.784*Unit.MJ</f>
        <v>9.6622222222222208E-9</v>
      </c>
      <c r="E21" s="3725"/>
      <c r="F21" s="3724"/>
      <c r="G21" s="3724"/>
      <c r="H21" s="3724"/>
      <c r="I21" s="3724"/>
      <c r="J21" s="2123"/>
    </row>
    <row r="22" spans="1:10" ht="15.5">
      <c r="A22" s="2080"/>
      <c r="B22" s="2049" t="s">
        <v>2900</v>
      </c>
      <c r="C22" s="2125">
        <f>35.793*Unit.MJ</f>
        <v>9.9424999999999995E-9</v>
      </c>
      <c r="E22" s="3725"/>
      <c r="F22" s="3724"/>
      <c r="G22" s="3724"/>
      <c r="J22" s="2123"/>
    </row>
    <row r="23" spans="1:10" ht="15.5">
      <c r="A23" s="2080"/>
      <c r="B23" s="2049" t="s">
        <v>1660</v>
      </c>
      <c r="C23" s="2125">
        <f>16.2*Unit.MJ</f>
        <v>4.4999999999999998E-9</v>
      </c>
      <c r="E23" s="2123"/>
    </row>
    <row r="24" spans="1:10" ht="15.5">
      <c r="A24" s="2080"/>
      <c r="B24" s="2049" t="s">
        <v>369</v>
      </c>
      <c r="C24" s="2125">
        <f>3*Unit.MJ</f>
        <v>8.3333333333333335E-10</v>
      </c>
      <c r="E24" s="2123"/>
    </row>
    <row r="25" spans="1:10" ht="15.5">
      <c r="A25" s="2080"/>
      <c r="B25" s="2049" t="s">
        <v>1661</v>
      </c>
      <c r="C25" s="2125">
        <f>23*Unit.MJ</f>
        <v>6.3888888888888885E-9</v>
      </c>
    </row>
    <row r="26" spans="1:10" ht="15.5">
      <c r="A26" s="2080"/>
      <c r="B26" s="2073" t="s">
        <v>1662</v>
      </c>
      <c r="C26" s="2126">
        <f>23*Unit.MJ</f>
        <v>6.3888888888888885E-9</v>
      </c>
      <c r="E26" s="3859"/>
      <c r="F26" s="3724"/>
      <c r="G26" s="3724"/>
      <c r="H26" s="3724"/>
      <c r="I26" s="3724"/>
    </row>
    <row r="27" spans="1:10">
      <c r="C27" s="2040" t="s">
        <v>5</v>
      </c>
      <c r="E27" s="3860"/>
      <c r="F27" s="3724"/>
      <c r="G27" s="3724"/>
      <c r="H27" s="3724"/>
      <c r="I27" s="3724"/>
    </row>
    <row r="28" spans="1:10">
      <c r="B28" s="2133" t="s">
        <v>1659</v>
      </c>
      <c r="E28" s="3860"/>
      <c r="F28" s="3724"/>
      <c r="G28" s="3724"/>
      <c r="H28" s="3724"/>
      <c r="I28" s="3724"/>
    </row>
    <row r="29" spans="1:10">
      <c r="B29" s="2123" t="s">
        <v>2902</v>
      </c>
      <c r="E29" s="3860"/>
      <c r="F29" s="3724"/>
      <c r="G29" s="3724"/>
      <c r="H29" s="3724"/>
      <c r="I29" s="3724"/>
    </row>
    <row r="30" spans="1:10">
      <c r="E30" s="3724"/>
      <c r="F30" s="3724"/>
      <c r="G30" s="3724"/>
      <c r="H30" s="3724"/>
      <c r="I30" s="3724"/>
    </row>
    <row r="32" spans="1:10" ht="17.5">
      <c r="B32" s="2041" t="s">
        <v>1663</v>
      </c>
      <c r="E32" s="2040" t="s">
        <v>1664</v>
      </c>
    </row>
    <row r="33" spans="1:9" ht="4.5" customHeight="1">
      <c r="B33" s="2123"/>
    </row>
    <row r="34" spans="1:9" ht="15.5">
      <c r="A34" s="2080"/>
      <c r="B34" s="2043" t="s">
        <v>1665</v>
      </c>
      <c r="C34" s="2124" t="s">
        <v>1666</v>
      </c>
      <c r="E34" s="2040" t="s">
        <v>1667</v>
      </c>
      <c r="F34" s="2040" t="s">
        <v>258</v>
      </c>
      <c r="G34" s="2040" t="s">
        <v>260</v>
      </c>
      <c r="H34" s="2040" t="s">
        <v>262</v>
      </c>
      <c r="I34" s="2040" t="s">
        <v>264</v>
      </c>
    </row>
    <row r="35" spans="1:9" ht="15.5">
      <c r="A35" s="2080"/>
      <c r="B35" s="2049" t="s">
        <v>2896</v>
      </c>
      <c r="C35" s="2125">
        <v>0.77500000000000002</v>
      </c>
      <c r="E35" s="2040" t="s">
        <v>16</v>
      </c>
      <c r="F35" s="2135">
        <v>4.1883435413393535</v>
      </c>
      <c r="G35" s="2135">
        <v>0.76884878586155336</v>
      </c>
      <c r="H35" s="2135">
        <v>1.1643824604548389E-2</v>
      </c>
      <c r="I35" s="2135">
        <v>15.32101270801348</v>
      </c>
    </row>
    <row r="36" spans="1:9" ht="15.5">
      <c r="A36" s="2080"/>
      <c r="B36" s="2049" t="s">
        <v>2901</v>
      </c>
      <c r="C36" s="2125">
        <v>0.84499999999999997</v>
      </c>
      <c r="E36" s="2040" t="s">
        <v>1668</v>
      </c>
      <c r="F36" s="2135">
        <v>4.6844827796160651</v>
      </c>
      <c r="G36" s="2135">
        <v>0.23047708742545636</v>
      </c>
      <c r="H36" s="2135">
        <v>1.3065148833871658E-2</v>
      </c>
      <c r="I36" s="2135">
        <v>8.5906552123944682</v>
      </c>
    </row>
    <row r="37" spans="1:9" ht="15.5">
      <c r="A37" s="2080"/>
      <c r="B37" s="2049" t="s">
        <v>1669</v>
      </c>
      <c r="C37" s="2125">
        <v>0.755</v>
      </c>
      <c r="E37" s="2040" t="s">
        <v>15</v>
      </c>
      <c r="F37" s="2135">
        <v>10.039877780604778</v>
      </c>
      <c r="G37" s="2135">
        <v>0.57381656809661186</v>
      </c>
      <c r="H37" s="2135">
        <v>0</v>
      </c>
      <c r="I37" s="2135">
        <v>1.6277314142584762</v>
      </c>
    </row>
    <row r="38" spans="1:9" ht="15.5">
      <c r="A38" s="2080"/>
      <c r="B38" s="2073" t="s">
        <v>2900</v>
      </c>
      <c r="C38" s="2126">
        <v>0.77390000000000003</v>
      </c>
      <c r="E38" s="2088"/>
      <c r="F38" s="3858" t="s">
        <v>5</v>
      </c>
      <c r="G38" s="3858"/>
      <c r="H38" s="3858"/>
      <c r="I38" s="3858"/>
    </row>
    <row r="39" spans="1:9">
      <c r="B39" s="2052" t="s">
        <v>1659</v>
      </c>
    </row>
    <row r="40" spans="1:9">
      <c r="B40" s="2123" t="s">
        <v>2902</v>
      </c>
      <c r="D40" s="2040" t="s">
        <v>5</v>
      </c>
      <c r="E40" s="3861" t="s">
        <v>3076</v>
      </c>
    </row>
    <row r="42" spans="1:9" ht="17.5">
      <c r="B42" s="2041" t="s">
        <v>1670</v>
      </c>
    </row>
    <row r="43" spans="1:9">
      <c r="B43" s="2040" t="s">
        <v>1671</v>
      </c>
      <c r="H43" s="2122" t="str">
        <f>"Mt CO2e per " &amp; Preferences.EnergyUnits</f>
        <v>Mt CO2e per TWh</v>
      </c>
    </row>
    <row r="44" spans="1:9" ht="6" customHeight="1"/>
    <row r="45" spans="1:9" ht="18.5">
      <c r="A45" s="2136"/>
      <c r="B45" s="2042" t="s">
        <v>28</v>
      </c>
      <c r="C45" s="2042" t="s">
        <v>71</v>
      </c>
      <c r="D45" s="2042" t="s">
        <v>250</v>
      </c>
      <c r="E45" s="2042" t="s">
        <v>252</v>
      </c>
      <c r="F45" s="2042" t="s">
        <v>253</v>
      </c>
      <c r="G45" s="2042" t="s">
        <v>1672</v>
      </c>
      <c r="H45" s="2042" t="s">
        <v>1673</v>
      </c>
    </row>
    <row r="46" spans="1:9" ht="15.5">
      <c r="A46" s="2080"/>
      <c r="B46" s="2042" t="s">
        <v>103</v>
      </c>
      <c r="C46" s="6" t="str">
        <f>INDEX(Vectors[Description], MATCH(EF[Vector], Vectors[Code], 0))</f>
        <v>Conversion losses</v>
      </c>
      <c r="D46" s="2137">
        <v>0</v>
      </c>
      <c r="E46" s="2137">
        <v>0</v>
      </c>
      <c r="F46" s="2137">
        <v>0</v>
      </c>
      <c r="G46" s="2137">
        <f>SUM(EF[[#This Row],[CO2]:[N2O]])</f>
        <v>0</v>
      </c>
      <c r="H46" s="2042"/>
    </row>
    <row r="47" spans="1:9" ht="15.5">
      <c r="A47" s="2080"/>
      <c r="B47" s="2042" t="s">
        <v>445</v>
      </c>
      <c r="C47" s="6" t="str">
        <f>INDEX(Vectors[Description], MATCH(EF[Vector], Vectors[Code], 0))</f>
        <v>Distribution losses and own use</v>
      </c>
      <c r="D47" s="2137">
        <v>0</v>
      </c>
      <c r="E47" s="2137">
        <v>0</v>
      </c>
      <c r="F47" s="2137">
        <v>0</v>
      </c>
      <c r="G47" s="2137">
        <f>SUM(EF[[#This Row],[CO2]:[N2O]])</f>
        <v>0</v>
      </c>
      <c r="H47" s="2042"/>
    </row>
    <row r="48" spans="1:9" ht="15.5">
      <c r="A48" s="2080"/>
      <c r="B48" s="2042" t="s">
        <v>446</v>
      </c>
      <c r="C48" s="6" t="str">
        <f>INDEX(Vectors[Description], MATCH(EF[Vector], Vectors[Code], 0))</f>
        <v>Unallocated</v>
      </c>
      <c r="D48" s="2137">
        <v>0</v>
      </c>
      <c r="E48" s="2137">
        <v>0</v>
      </c>
      <c r="F48" s="2137">
        <v>0</v>
      </c>
      <c r="G48" s="2137">
        <f>SUM(EF[[#This Row],[CO2]:[N2O]])</f>
        <v>0</v>
      </c>
      <c r="H48" s="2042"/>
    </row>
    <row r="49" spans="1:8" ht="15.5">
      <c r="A49" s="2080"/>
      <c r="B49" s="2042" t="s">
        <v>409</v>
      </c>
      <c r="C49" s="6" t="str">
        <f>INDEX(Vectors[Description], MATCH(EF[Vector], Vectors[Code], 0))</f>
        <v>Road transport</v>
      </c>
      <c r="D49" s="2137">
        <v>0</v>
      </c>
      <c r="E49" s="2137">
        <v>0</v>
      </c>
      <c r="F49" s="2137">
        <v>0</v>
      </c>
      <c r="G49" s="2137">
        <f>SUM(EF[[#This Row],[CO2]:[N2O]])</f>
        <v>0</v>
      </c>
      <c r="H49" s="2042"/>
    </row>
    <row r="50" spans="1:8" ht="15.5">
      <c r="A50" s="2080"/>
      <c r="B50" s="2042" t="s">
        <v>410</v>
      </c>
      <c r="C50" s="6" t="str">
        <f>INDEX(Vectors[Description], MATCH(EF[Vector], Vectors[Code], 0))</f>
        <v>Rail transport</v>
      </c>
      <c r="D50" s="2137">
        <v>0</v>
      </c>
      <c r="E50" s="2137">
        <v>0</v>
      </c>
      <c r="F50" s="2137">
        <v>0</v>
      </c>
      <c r="G50" s="2137">
        <f>SUM(EF[[#This Row],[CO2]:[N2O]])</f>
        <v>0</v>
      </c>
      <c r="H50" s="2042"/>
    </row>
    <row r="51" spans="1:8" ht="15.5">
      <c r="A51" s="2080"/>
      <c r="B51" s="2042" t="s">
        <v>411</v>
      </c>
      <c r="C51" s="6" t="str">
        <f>INDEX(Vectors[Description], MATCH(EF[Vector], Vectors[Code], 0))</f>
        <v>Domestic aviation</v>
      </c>
      <c r="D51" s="2137">
        <v>0</v>
      </c>
      <c r="E51" s="2137">
        <v>0</v>
      </c>
      <c r="F51" s="2137">
        <v>0</v>
      </c>
      <c r="G51" s="2137">
        <f>SUM(EF[[#This Row],[CO2]:[N2O]])</f>
        <v>0</v>
      </c>
      <c r="H51" s="2042"/>
    </row>
    <row r="52" spans="1:8" ht="15.5">
      <c r="A52" s="2080"/>
      <c r="B52" s="2042" t="s">
        <v>412</v>
      </c>
      <c r="C52" s="6" t="str">
        <f>INDEX(Vectors[Description], MATCH(EF[Vector], Vectors[Code], 0))</f>
        <v>National navigation</v>
      </c>
      <c r="D52" s="2137">
        <v>0</v>
      </c>
      <c r="E52" s="2137">
        <v>0</v>
      </c>
      <c r="F52" s="2137">
        <v>0</v>
      </c>
      <c r="G52" s="2137">
        <f>SUM(EF[[#This Row],[CO2]:[N2O]])</f>
        <v>0</v>
      </c>
      <c r="H52" s="2042"/>
    </row>
    <row r="53" spans="1:8" ht="15.5">
      <c r="A53" s="2080"/>
      <c r="B53" s="2042" t="s">
        <v>413</v>
      </c>
      <c r="C53" s="6" t="str">
        <f>INDEX(Vectors[Description], MATCH(EF[Vector], Vectors[Code], 0))</f>
        <v>International aviation</v>
      </c>
      <c r="D53" s="2137">
        <v>0</v>
      </c>
      <c r="E53" s="2137">
        <v>0</v>
      </c>
      <c r="F53" s="2137">
        <v>0</v>
      </c>
      <c r="G53" s="2137">
        <f>SUM(EF[[#This Row],[CO2]:[N2O]])</f>
        <v>0</v>
      </c>
      <c r="H53" s="2042"/>
    </row>
    <row r="54" spans="1:8" ht="15.5">
      <c r="A54" s="2080"/>
      <c r="B54" s="2042" t="s">
        <v>414</v>
      </c>
      <c r="C54" s="6" t="str">
        <f>INDEX(Vectors[Description], MATCH(EF[Vector], Vectors[Code], 0))</f>
        <v>International shipping</v>
      </c>
      <c r="D54" s="2137">
        <v>0</v>
      </c>
      <c r="E54" s="2137">
        <v>0</v>
      </c>
      <c r="F54" s="2137">
        <v>0</v>
      </c>
      <c r="G54" s="2137">
        <f>SUM(EF[[#This Row],[CO2]:[N2O]])</f>
        <v>0</v>
      </c>
      <c r="H54" s="2042"/>
    </row>
    <row r="55" spans="1:8" ht="15.5">
      <c r="A55" s="2080"/>
      <c r="B55" s="2042" t="s">
        <v>408</v>
      </c>
      <c r="C55" s="6" t="str">
        <f>INDEX(Vectors[Description], MATCH(EF[Vector], Vectors[Code], 0))</f>
        <v>Industry</v>
      </c>
      <c r="D55" s="2137">
        <v>0</v>
      </c>
      <c r="E55" s="2137">
        <v>0</v>
      </c>
      <c r="F55" s="2137">
        <v>0</v>
      </c>
      <c r="G55" s="2137">
        <f>SUM(EF[[#This Row],[CO2]:[N2O]])</f>
        <v>0</v>
      </c>
      <c r="H55" s="2042"/>
    </row>
    <row r="56" spans="1:8" ht="15.5">
      <c r="A56" s="2080"/>
      <c r="B56" s="2042" t="s">
        <v>102</v>
      </c>
      <c r="C56" s="6" t="str">
        <f>INDEX(Vectors[Description], MATCH(EF[Vector], Vectors[Code], 0))</f>
        <v>Heating and cooling</v>
      </c>
      <c r="D56" s="2137">
        <v>0</v>
      </c>
      <c r="E56" s="2137">
        <v>0</v>
      </c>
      <c r="F56" s="2137">
        <v>0</v>
      </c>
      <c r="G56" s="2137">
        <f>SUM(EF[[#This Row],[CO2]:[N2O]])</f>
        <v>0</v>
      </c>
      <c r="H56" s="2042"/>
    </row>
    <row r="57" spans="1:8" ht="15.5">
      <c r="A57" s="2080"/>
      <c r="B57" s="2042" t="s">
        <v>407</v>
      </c>
      <c r="C57" s="6" t="str">
        <f>INDEX(Vectors[Description], MATCH(EF[Vector], Vectors[Code], 0))</f>
        <v>Lighting &amp; appliances</v>
      </c>
      <c r="D57" s="2137">
        <v>0</v>
      </c>
      <c r="E57" s="2137">
        <v>0</v>
      </c>
      <c r="F57" s="2137">
        <v>0</v>
      </c>
      <c r="G57" s="2137">
        <f>SUM(EF[[#This Row],[CO2]:[N2O]])</f>
        <v>0</v>
      </c>
      <c r="H57" s="2042"/>
    </row>
    <row r="58" spans="1:8" ht="15.5">
      <c r="A58" s="2080"/>
      <c r="B58" s="2042" t="s">
        <v>415</v>
      </c>
      <c r="C58" s="6" t="str">
        <f>INDEX(Vectors[Description], MATCH(EF[Vector], Vectors[Code], 0))</f>
        <v>Food consumption (unused)</v>
      </c>
      <c r="D58" s="2137">
        <v>0</v>
      </c>
      <c r="E58" s="2137">
        <v>0</v>
      </c>
      <c r="F58" s="2137">
        <v>0</v>
      </c>
      <c r="G58" s="2137">
        <f>SUM(EF[[#This Row],[CO2]:[N2O]])</f>
        <v>0</v>
      </c>
      <c r="H58" s="2042"/>
    </row>
    <row r="59" spans="1:8" ht="15.5">
      <c r="A59" s="2080"/>
      <c r="B59" s="2042" t="s">
        <v>436</v>
      </c>
      <c r="C59" s="6" t="str">
        <f>INDEX(Vectors[Description], MATCH(EF[Vector], Vectors[Code], 0))</f>
        <v>Nuclear fission</v>
      </c>
      <c r="D59" s="2137">
        <v>0</v>
      </c>
      <c r="E59" s="2137">
        <v>0</v>
      </c>
      <c r="F59" s="2137">
        <v>0</v>
      </c>
      <c r="G59" s="2137">
        <f>SUM(EF[[#This Row],[CO2]:[N2O]])</f>
        <v>0</v>
      </c>
      <c r="H59" s="2042"/>
    </row>
    <row r="60" spans="1:8" ht="15.5">
      <c r="A60" s="2080"/>
      <c r="B60" s="2042" t="s">
        <v>437</v>
      </c>
      <c r="C60" s="6" t="str">
        <f>INDEX(Vectors[Description], MATCH(EF[Vector], Vectors[Code], 0))</f>
        <v>Solar</v>
      </c>
      <c r="D60" s="2137">
        <v>0</v>
      </c>
      <c r="E60" s="2137">
        <v>0</v>
      </c>
      <c r="F60" s="2137">
        <v>0</v>
      </c>
      <c r="G60" s="2137">
        <f>SUM(EF[[#This Row],[CO2]:[N2O]])</f>
        <v>0</v>
      </c>
      <c r="H60" s="2042"/>
    </row>
    <row r="61" spans="1:8" ht="15.5">
      <c r="A61" s="2080"/>
      <c r="B61" s="2042" t="s">
        <v>438</v>
      </c>
      <c r="C61" s="6" t="str">
        <f>INDEX(Vectors[Description], MATCH(EF[Vector], Vectors[Code], 0))</f>
        <v>Wind</v>
      </c>
      <c r="D61" s="2137">
        <v>0</v>
      </c>
      <c r="E61" s="2137">
        <v>0</v>
      </c>
      <c r="F61" s="2137">
        <v>0</v>
      </c>
      <c r="G61" s="2137">
        <f>SUM(EF[[#This Row],[CO2]:[N2O]])</f>
        <v>0</v>
      </c>
      <c r="H61" s="2042"/>
    </row>
    <row r="62" spans="1:8" ht="15.5">
      <c r="A62" s="2080"/>
      <c r="B62" s="2042" t="s">
        <v>439</v>
      </c>
      <c r="C62" s="6" t="str">
        <f>INDEX(Vectors[Description], MATCH(EF[Vector], Vectors[Code], 0))</f>
        <v>Tidal</v>
      </c>
      <c r="D62" s="2137">
        <v>0</v>
      </c>
      <c r="E62" s="2137">
        <v>0</v>
      </c>
      <c r="F62" s="2137">
        <v>0</v>
      </c>
      <c r="G62" s="2137">
        <f>SUM(EF[[#This Row],[CO2]:[N2O]])</f>
        <v>0</v>
      </c>
      <c r="H62" s="2042"/>
    </row>
    <row r="63" spans="1:8" ht="15.5">
      <c r="A63" s="2080"/>
      <c r="B63" s="2042" t="s">
        <v>440</v>
      </c>
      <c r="C63" s="6" t="str">
        <f>INDEX(Vectors[Description], MATCH(EF[Vector], Vectors[Code], 0))</f>
        <v>Wave</v>
      </c>
      <c r="D63" s="2137">
        <v>0</v>
      </c>
      <c r="E63" s="2137">
        <v>0</v>
      </c>
      <c r="F63" s="2137">
        <v>0</v>
      </c>
      <c r="G63" s="2137">
        <f>SUM(EF[[#This Row],[CO2]:[N2O]])</f>
        <v>0</v>
      </c>
      <c r="H63" s="2042"/>
    </row>
    <row r="64" spans="1:8" ht="15.5">
      <c r="A64" s="2080"/>
      <c r="B64" s="2042" t="s">
        <v>441</v>
      </c>
      <c r="C64" s="6" t="str">
        <f>INDEX(Vectors[Description], MATCH(EF[Vector], Vectors[Code], 0))</f>
        <v>Geothermal</v>
      </c>
      <c r="D64" s="2137">
        <v>0</v>
      </c>
      <c r="E64" s="2137">
        <v>0</v>
      </c>
      <c r="F64" s="2137">
        <v>0</v>
      </c>
      <c r="G64" s="2137">
        <f>SUM(EF[[#This Row],[CO2]:[N2O]])</f>
        <v>0</v>
      </c>
      <c r="H64" s="2042"/>
    </row>
    <row r="65" spans="1:8" ht="15.5">
      <c r="A65" s="2080"/>
      <c r="B65" s="2042" t="s">
        <v>442</v>
      </c>
      <c r="C65" s="6" t="str">
        <f>INDEX(Vectors[Description], MATCH(EF[Vector], Vectors[Code], 0))</f>
        <v>Hydro</v>
      </c>
      <c r="D65" s="2137">
        <v>0</v>
      </c>
      <c r="E65" s="2137">
        <v>0</v>
      </c>
      <c r="F65" s="2137">
        <v>0</v>
      </c>
      <c r="G65" s="2137">
        <f>SUM(EF[[#This Row],[CO2]:[N2O]])</f>
        <v>0</v>
      </c>
      <c r="H65" s="2042"/>
    </row>
    <row r="66" spans="1:8" ht="15.5">
      <c r="A66" s="2080"/>
      <c r="B66" s="2042" t="s">
        <v>101</v>
      </c>
      <c r="C66" s="6" t="str">
        <f>INDEX(Vectors[Description], MATCH(EF[Vector], Vectors[Code], 0))</f>
        <v>Environmental heat</v>
      </c>
      <c r="D66" s="2137">
        <v>0</v>
      </c>
      <c r="E66" s="2137">
        <v>0</v>
      </c>
      <c r="F66" s="2137">
        <v>0</v>
      </c>
      <c r="G66" s="2137">
        <f>SUM(EF[[#This Row],[CO2]:[N2O]])</f>
        <v>0</v>
      </c>
      <c r="H66" s="2042"/>
    </row>
    <row r="67" spans="1:8" ht="15.5">
      <c r="A67" s="2080"/>
      <c r="B67" s="2042" t="s">
        <v>443</v>
      </c>
      <c r="C67" s="6" t="str">
        <f>INDEX(Vectors[Description], MATCH(EF[Vector], Vectors[Code], 0))</f>
        <v>Agriculture</v>
      </c>
      <c r="D67" s="2137">
        <v>0</v>
      </c>
      <c r="E67" s="2137">
        <v>0</v>
      </c>
      <c r="F67" s="2137">
        <v>0</v>
      </c>
      <c r="G67" s="2137">
        <f>SUM(EF[[#This Row],[CO2]:[N2O]])</f>
        <v>0</v>
      </c>
      <c r="H67" s="2042"/>
    </row>
    <row r="68" spans="1:8" ht="15.5">
      <c r="A68" s="2080"/>
      <c r="B68" s="2042" t="s">
        <v>444</v>
      </c>
      <c r="C68" s="6" t="str">
        <f>INDEX(Vectors[Description], MATCH(EF[Vector], Vectors[Code], 0))</f>
        <v>Waste (all forms of biomass)</v>
      </c>
      <c r="D68" s="2137">
        <v>0</v>
      </c>
      <c r="E68" s="2137">
        <v>0</v>
      </c>
      <c r="F68" s="2137">
        <v>0</v>
      </c>
      <c r="G68" s="2137">
        <f>SUM(EF[[#This Row],[CO2]:[N2O]])</f>
        <v>0</v>
      </c>
      <c r="H68" s="2042"/>
    </row>
    <row r="69" spans="1:8" ht="15.5">
      <c r="A69" s="2080"/>
      <c r="B69" s="2042" t="s">
        <v>430</v>
      </c>
      <c r="C69" s="6" t="str">
        <f>INDEX(Vectors[Description], MATCH(EF[Vector], Vectors[Code], 0))</f>
        <v>Biomass imports (exports in parenthesis)</v>
      </c>
      <c r="D69" s="2137">
        <v>0</v>
      </c>
      <c r="E69" s="2137">
        <v>0</v>
      </c>
      <c r="F69" s="2137">
        <v>0</v>
      </c>
      <c r="G69" s="2137">
        <f>SUM(EF[[#This Row],[CO2]:[N2O]])</f>
        <v>0</v>
      </c>
      <c r="H69" s="2042"/>
    </row>
    <row r="70" spans="1:8" ht="15.5">
      <c r="A70" s="2080"/>
      <c r="B70" s="2042" t="s">
        <v>431</v>
      </c>
      <c r="C70" s="6" t="str">
        <f>INDEX(Vectors[Description], MATCH(EF[Vector], Vectors[Code], 0))</f>
        <v>Electricity imports (exports in paranthesis)</v>
      </c>
      <c r="D70" s="2137">
        <v>0</v>
      </c>
      <c r="E70" s="2137">
        <v>0</v>
      </c>
      <c r="F70" s="2137">
        <v>0</v>
      </c>
      <c r="G70" s="2137">
        <f>SUM(EF[[#This Row],[CO2]:[N2O]])</f>
        <v>0</v>
      </c>
      <c r="H70" s="2042"/>
    </row>
    <row r="71" spans="1:8" ht="15.5">
      <c r="A71" s="2080"/>
      <c r="B71" s="2042" t="s">
        <v>432</v>
      </c>
      <c r="C71" s="6" t="str">
        <f>INDEX(Vectors[Description], MATCH(EF[Vector], Vectors[Code], 0))</f>
        <v>Petroleum products oversupply</v>
      </c>
      <c r="D71" s="2137">
        <v>0</v>
      </c>
      <c r="E71" s="2137">
        <v>0</v>
      </c>
      <c r="F71" s="2137">
        <v>0</v>
      </c>
      <c r="G71" s="2137">
        <f>SUM(EF[[#This Row],[CO2]:[N2O]])</f>
        <v>0</v>
      </c>
      <c r="H71" s="2042"/>
    </row>
    <row r="72" spans="1:8" ht="15.5">
      <c r="A72" s="2080"/>
      <c r="B72" s="2042" t="s">
        <v>433</v>
      </c>
      <c r="C72" s="6" t="str">
        <f>INDEX(Vectors[Description], MATCH(EF[Vector], Vectors[Code], 0))</f>
        <v>Coal imports (exports in paranthesis)</v>
      </c>
      <c r="D72" s="2137">
        <v>0</v>
      </c>
      <c r="E72" s="2137">
        <v>0</v>
      </c>
      <c r="F72" s="2137">
        <v>0</v>
      </c>
      <c r="G72" s="2137">
        <f>SUM(EF[[#This Row],[CO2]:[N2O]])</f>
        <v>0</v>
      </c>
      <c r="H72" s="2042"/>
    </row>
    <row r="73" spans="1:8" ht="15.5">
      <c r="A73" s="2080"/>
      <c r="B73" s="2042" t="s">
        <v>434</v>
      </c>
      <c r="C73" s="6" t="str">
        <f>INDEX(Vectors[Description], MATCH(EF[Vector], Vectors[Code], 0))</f>
        <v>Oil and petroleum products imports (exports in parenthesis)</v>
      </c>
      <c r="D73" s="2137">
        <v>0</v>
      </c>
      <c r="E73" s="2137">
        <v>0</v>
      </c>
      <c r="F73" s="2137">
        <v>0</v>
      </c>
      <c r="G73" s="2137">
        <f>SUM(EF[[#This Row],[CO2]:[N2O]])</f>
        <v>0</v>
      </c>
      <c r="H73" s="2042"/>
    </row>
    <row r="74" spans="1:8" ht="15.5">
      <c r="A74" s="2080"/>
      <c r="B74" s="2042" t="s">
        <v>435</v>
      </c>
      <c r="C74" s="6" t="str">
        <f>INDEX(Vectors[Description], MATCH(EF[Vector], Vectors[Code], 0))</f>
        <v>Gas imports (exports in parenthesis)</v>
      </c>
      <c r="D74" s="2137">
        <v>0</v>
      </c>
      <c r="E74" s="2137">
        <v>0</v>
      </c>
      <c r="F74" s="2137">
        <v>0</v>
      </c>
      <c r="G74" s="2137">
        <f>SUM(EF[[#This Row],[CO2]:[N2O]])</f>
        <v>0</v>
      </c>
      <c r="H74" s="2042"/>
    </row>
    <row r="75" spans="1:8" ht="15.5">
      <c r="A75" s="2080"/>
      <c r="B75" s="2042" t="s">
        <v>427</v>
      </c>
      <c r="C75" s="6" t="str">
        <f>INDEX(Vectors[Description], MATCH(EF[Vector], Vectors[Code], 0))</f>
        <v>Peat reserves</v>
      </c>
      <c r="D75" s="2125">
        <f>EF.Peat.CO2</f>
        <v>0.41792039999999997</v>
      </c>
      <c r="E75" s="2125">
        <f>EF.Peat.CH4</f>
        <v>2.2680000000000001E-4</v>
      </c>
      <c r="F75" s="2125">
        <f>EF.Peat.N2O</f>
        <v>7.8119999999999995E-3</v>
      </c>
      <c r="G75" s="2125">
        <f>SUM(EF[[#This Row],[CO2]:[N2O]])</f>
        <v>0.42595919999999998</v>
      </c>
      <c r="H75" s="2042" t="s">
        <v>2903</v>
      </c>
    </row>
    <row r="76" spans="1:8" ht="15.5">
      <c r="A76" s="2080"/>
      <c r="B76" s="2042" t="s">
        <v>428</v>
      </c>
      <c r="C76" s="6" t="str">
        <f>INDEX(Vectors[Description], MATCH(EF[Vector], Vectors[Code], 0))</f>
        <v>Oil reserves</v>
      </c>
      <c r="D76" s="2125">
        <f>EF.Diesel.CO2</f>
        <v>0.26387999999999995</v>
      </c>
      <c r="E76" s="2125">
        <f>EF.Diesel.CH4</f>
        <v>2.2680000000000001E-4</v>
      </c>
      <c r="F76" s="2125">
        <f>EF.Diesel.N2O</f>
        <v>6.6960000000000001E-4</v>
      </c>
      <c r="G76" s="2125">
        <f>SUM(EF[[#This Row],[CO2]:[N2O]])</f>
        <v>0.26477639999999997</v>
      </c>
      <c r="H76" s="2042" t="s">
        <v>1675</v>
      </c>
    </row>
    <row r="77" spans="1:8" ht="15.5">
      <c r="A77" s="2080"/>
      <c r="B77" s="2042" t="s">
        <v>429</v>
      </c>
      <c r="C77" s="6" t="str">
        <f>INDEX(Vectors[Description], MATCH(EF[Vector], Vectors[Code], 0))</f>
        <v>Gas reserves</v>
      </c>
      <c r="D77" s="2125">
        <f>EF.NaturalGas.CO2</f>
        <v>0.20472119999999999</v>
      </c>
      <c r="E77" s="2125">
        <f>EF.NaturalGas.CH4</f>
        <v>7.5600000000000008E-5</v>
      </c>
      <c r="F77" s="2125">
        <f>EF.NaturalGas.N2O</f>
        <v>3.2364E-3</v>
      </c>
      <c r="G77" s="2125">
        <f>SUM(EF[[#This Row],[CO2]:[N2O]])</f>
        <v>0.2080332</v>
      </c>
      <c r="H77" s="2042" t="s">
        <v>1676</v>
      </c>
    </row>
    <row r="78" spans="1:8" ht="15.5">
      <c r="A78" s="2080"/>
      <c r="B78" s="2042" t="s">
        <v>416</v>
      </c>
      <c r="C78" s="6" t="str">
        <f>INDEX(Vectors[Description], MATCH(EF[Vector], Vectors[Code], 0))</f>
        <v>Coal, peat and solid fuels</v>
      </c>
      <c r="D78" s="2125">
        <f>EF.IndustrialCoal.CO2</f>
        <v>0.33762240000000004</v>
      </c>
      <c r="E78" s="2125">
        <f>EF.IndustrialCoal.CH4</f>
        <v>5.2920000000000002E-5</v>
      </c>
      <c r="F78" s="2125">
        <f>EF.IndustrialCoal.N2O</f>
        <v>5.5800000000000001E-4</v>
      </c>
      <c r="G78" s="2125">
        <f>SUM(EF[[#This Row],[CO2]:[N2O]])</f>
        <v>0.33823332000000006</v>
      </c>
      <c r="H78" s="2042" t="s">
        <v>1674</v>
      </c>
    </row>
    <row r="79" spans="1:8" ht="15.5">
      <c r="A79" s="2080"/>
      <c r="B79" s="2042" t="s">
        <v>417</v>
      </c>
      <c r="C79" s="6" t="str">
        <f>INDEX(Vectors[Description], MATCH(EF[Vector], Vectors[Code], 0))</f>
        <v>Oil and petroleum products</v>
      </c>
      <c r="D79" s="2125">
        <f>EF.Diesel.CO2</f>
        <v>0.26387999999999995</v>
      </c>
      <c r="E79" s="2125">
        <f>EF.Diesel.CH4</f>
        <v>2.2680000000000001E-4</v>
      </c>
      <c r="F79" s="2125">
        <f>EF.Diesel.N2O</f>
        <v>6.6960000000000001E-4</v>
      </c>
      <c r="G79" s="2125">
        <f>SUM(EF[[#This Row],[CO2]:[N2O]])</f>
        <v>0.26477639999999997</v>
      </c>
      <c r="H79" s="2042" t="s">
        <v>1675</v>
      </c>
    </row>
    <row r="80" spans="1:8" ht="15.5">
      <c r="A80" s="2080"/>
      <c r="B80" s="2042" t="s">
        <v>418</v>
      </c>
      <c r="C80" s="6" t="str">
        <f>INDEX(Vectors[Description], MATCH(EF[Vector], Vectors[Code], 0))</f>
        <v>Natural gas</v>
      </c>
      <c r="D80" s="2125">
        <f>EF.NaturalGas.CO2</f>
        <v>0.20472119999999999</v>
      </c>
      <c r="E80" s="2125">
        <f>EF.NaturalGas.CH4</f>
        <v>7.5600000000000008E-5</v>
      </c>
      <c r="F80" s="2125">
        <f>EF.NaturalGas.N2O</f>
        <v>3.2364E-3</v>
      </c>
      <c r="G80" s="2125">
        <f>SUM(EF[[#This Row],[CO2]:[N2O]])</f>
        <v>0.2080332</v>
      </c>
      <c r="H80" s="2042" t="s">
        <v>1676</v>
      </c>
    </row>
    <row r="81" spans="1:11" ht="15.5">
      <c r="A81" s="2080"/>
      <c r="B81" s="2042" t="s">
        <v>95</v>
      </c>
      <c r="C81" s="6" t="str">
        <f>INDEX(Vectors[Description], MATCH(EF[Vector], Vectors[Code], 0))</f>
        <v>Electricity (delivered to end user)</v>
      </c>
      <c r="D81" s="2137">
        <v>0</v>
      </c>
      <c r="E81" s="2137">
        <v>0</v>
      </c>
      <c r="F81" s="2137">
        <v>0</v>
      </c>
      <c r="G81" s="2137">
        <f>SUM(EF[[#This Row],[CO2]:[N2O]])</f>
        <v>0</v>
      </c>
      <c r="H81" s="2042"/>
      <c r="K81" s="2077"/>
    </row>
    <row r="82" spans="1:11" ht="15.5">
      <c r="A82" s="2080"/>
      <c r="B82" s="2042" t="s">
        <v>96</v>
      </c>
      <c r="C82" s="6" t="str">
        <f>INDEX(Vectors[Description], MATCH(EF[Vector], Vectors[Code], 0))</f>
        <v>Electricity (supplied to grid)</v>
      </c>
      <c r="D82" s="2137">
        <v>0</v>
      </c>
      <c r="E82" s="2137">
        <v>0</v>
      </c>
      <c r="F82" s="2137">
        <v>0</v>
      </c>
      <c r="G82" s="2137">
        <f>SUM(EF[[#This Row],[CO2]:[N2O]])</f>
        <v>0</v>
      </c>
      <c r="H82" s="2042"/>
      <c r="K82" s="2077"/>
    </row>
    <row r="83" spans="1:11" ht="15.5">
      <c r="A83" s="2080"/>
      <c r="B83" s="2042" t="s">
        <v>97</v>
      </c>
      <c r="C83" s="6" t="str">
        <f>INDEX(Vectors[Description], MATCH(EF[Vector], Vectors[Code], 0))</f>
        <v>Solid hydrocarbons</v>
      </c>
      <c r="D83" s="2125">
        <f>EF.IndustrialCoal.CO2</f>
        <v>0.33762240000000004</v>
      </c>
      <c r="E83" s="2125">
        <f>EF.IndustrialCoal.CH4</f>
        <v>5.2920000000000002E-5</v>
      </c>
      <c r="F83" s="2125">
        <f>EF.IndustrialCoal.N2O</f>
        <v>5.5800000000000001E-4</v>
      </c>
      <c r="G83" s="2125">
        <f>SUM(EF[[#This Row],[CO2]:[N2O]])</f>
        <v>0.33823332000000006</v>
      </c>
      <c r="H83" s="2042" t="s">
        <v>1674</v>
      </c>
    </row>
    <row r="84" spans="1:11" ht="15.5">
      <c r="A84" s="2080"/>
      <c r="B84" s="2042" t="s">
        <v>98</v>
      </c>
      <c r="C84" s="6" t="str">
        <f>INDEX(Vectors[Description], MATCH(EF[Vector], Vectors[Code], 0))</f>
        <v>Liquid hydrocarbons</v>
      </c>
      <c r="D84" s="2125">
        <f>EF.Diesel.CO2</f>
        <v>0.26387999999999995</v>
      </c>
      <c r="E84" s="2125">
        <f>EF.Diesel.CH4</f>
        <v>2.2680000000000001E-4</v>
      </c>
      <c r="F84" s="2125">
        <f>EF.Diesel.N2O</f>
        <v>6.6960000000000001E-4</v>
      </c>
      <c r="G84" s="2125">
        <f>SUM(EF[[#This Row],[CO2]:[N2O]])</f>
        <v>0.26477639999999997</v>
      </c>
      <c r="H84" s="2042" t="s">
        <v>1675</v>
      </c>
    </row>
    <row r="85" spans="1:11" ht="15.5">
      <c r="A85" s="2080"/>
      <c r="B85" s="2042" t="s">
        <v>99</v>
      </c>
      <c r="C85" s="6" t="str">
        <f>INDEX(Vectors[Description], MATCH(EF[Vector], Vectors[Code], 0))</f>
        <v>Gaseous hydrocarbons</v>
      </c>
      <c r="D85" s="2125">
        <f>EF.NaturalGas.CO2</f>
        <v>0.20472119999999999</v>
      </c>
      <c r="E85" s="2125">
        <f>EF.NaturalGas.CH4</f>
        <v>7.5600000000000008E-5</v>
      </c>
      <c r="F85" s="2125">
        <f>EF.NaturalGas.N2O</f>
        <v>3.2364E-3</v>
      </c>
      <c r="G85" s="2125">
        <f>SUM(EF[[#This Row],[CO2]:[N2O]])</f>
        <v>0.2080332</v>
      </c>
      <c r="H85" s="2042" t="s">
        <v>1676</v>
      </c>
    </row>
    <row r="86" spans="1:11" ht="15.5">
      <c r="A86" s="2080"/>
      <c r="B86" s="2042" t="s">
        <v>419</v>
      </c>
      <c r="C86" s="6" t="str">
        <f>INDEX(Vectors[Description], MATCH(EF[Vector], Vectors[Code], 0))</f>
        <v>Blast furnace gas</v>
      </c>
      <c r="D86" s="2137">
        <v>0</v>
      </c>
      <c r="E86" s="2137">
        <v>0</v>
      </c>
      <c r="F86" s="2137">
        <v>0</v>
      </c>
      <c r="G86" s="2137">
        <v>0</v>
      </c>
      <c r="H86" s="2042"/>
    </row>
    <row r="87" spans="1:11" ht="15.5">
      <c r="A87" s="2080"/>
      <c r="B87" s="2042" t="s">
        <v>100</v>
      </c>
      <c r="C87" s="6" t="str">
        <f>INDEX(Vectors[Description], MATCH(EF[Vector], Vectors[Code], 0))</f>
        <v>Heat transport</v>
      </c>
      <c r="D87" s="2137">
        <v>0</v>
      </c>
      <c r="E87" s="2137">
        <v>0</v>
      </c>
      <c r="F87" s="2137">
        <v>0</v>
      </c>
      <c r="G87" s="2137">
        <f>SUM(EF[[#This Row],[CO2]:[N2O]])</f>
        <v>0</v>
      </c>
      <c r="H87" s="2042"/>
    </row>
    <row r="88" spans="1:11" ht="15.5">
      <c r="A88" s="2080"/>
      <c r="B88" s="2042" t="s">
        <v>420</v>
      </c>
      <c r="C88" s="6" t="str">
        <f>INDEX(Vectors[Description], MATCH(EF[Vector], Vectors[Code], 0))</f>
        <v>Edible biomass</v>
      </c>
      <c r="D88" s="2137">
        <v>0</v>
      </c>
      <c r="E88" s="2137">
        <v>0</v>
      </c>
      <c r="F88" s="2137">
        <v>0</v>
      </c>
      <c r="G88" s="2137">
        <f>SUM(EF[[#This Row],[CO2]:[N2O]])</f>
        <v>0</v>
      </c>
      <c r="H88" s="2042"/>
    </row>
    <row r="89" spans="1:11" ht="15.5">
      <c r="A89" s="2080"/>
      <c r="B89" s="2042" t="s">
        <v>423</v>
      </c>
      <c r="C89" s="6" t="str">
        <f>INDEX(Vectors[Description], MATCH(EF[Vector], Vectors[Code], 0))</f>
        <v>Dry biomass and waste</v>
      </c>
      <c r="D89" s="2137">
        <v>0</v>
      </c>
      <c r="E89" s="2137">
        <v>0</v>
      </c>
      <c r="F89" s="2137">
        <v>0</v>
      </c>
      <c r="G89" s="2137">
        <f>SUM(EF[[#This Row],[CO2]:[N2O]])</f>
        <v>0</v>
      </c>
      <c r="H89" s="2042"/>
    </row>
    <row r="90" spans="1:11" ht="15.5">
      <c r="A90" s="2080"/>
      <c r="B90" s="2042" t="s">
        <v>424</v>
      </c>
      <c r="C90" s="6" t="str">
        <f>INDEX(Vectors[Description], MATCH(EF[Vector], Vectors[Code], 0))</f>
        <v>Wet biomass and waste</v>
      </c>
      <c r="D90" s="2137">
        <v>0</v>
      </c>
      <c r="E90" s="2137">
        <v>0</v>
      </c>
      <c r="F90" s="2137">
        <v>0</v>
      </c>
      <c r="G90" s="2137">
        <f>SUM(EF[[#This Row],[CO2]:[N2O]])</f>
        <v>0</v>
      </c>
      <c r="H90" s="2042"/>
    </row>
    <row r="91" spans="1:11" ht="15.5">
      <c r="A91" s="2080"/>
      <c r="B91" s="2049" t="s">
        <v>31</v>
      </c>
      <c r="C91" s="6" t="str">
        <f>INDEX(Vectors[Description], MATCH(EF[Vector], Vectors[Code], 0))</f>
        <v>Domestic solar thermal</v>
      </c>
      <c r="D91" s="2138">
        <v>0</v>
      </c>
      <c r="E91" s="2138">
        <v>0</v>
      </c>
      <c r="F91" s="2138">
        <v>0</v>
      </c>
      <c r="G91" s="2138">
        <f>SUM(EF[[#This Row],[CO2]:[N2O]])</f>
        <v>0</v>
      </c>
      <c r="H91" s="2049"/>
    </row>
    <row r="92" spans="1:11" ht="14.5">
      <c r="B92" s="2042"/>
      <c r="C92" s="2342"/>
      <c r="D92" s="2350"/>
      <c r="E92" s="2350"/>
      <c r="F92" s="2350"/>
      <c r="G92" s="2351">
        <f>SUM(EF[[#This Row],[CO2]:[N2O]])</f>
        <v>0</v>
      </c>
      <c r="H92" s="2042"/>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1640625" defaultRowHeight="15.5"/>
  <cols>
    <col min="1" max="1" width="1" style="2040" customWidth="1"/>
    <col min="2" max="2" width="8.453125" style="2040" customWidth="1"/>
    <col min="3" max="3" width="41.7265625" style="2040" customWidth="1"/>
    <col min="4" max="4" width="5.7265625" style="2040" customWidth="1"/>
    <col min="5" max="5" width="1" style="2040" customWidth="1"/>
    <col min="6" max="6" width="8.453125" style="2040" customWidth="1"/>
    <col min="7" max="7" width="32" style="2040" bestFit="1" customWidth="1"/>
    <col min="8" max="8" width="10.453125" style="2040" bestFit="1" customWidth="1"/>
    <col min="9" max="9" width="32" style="2040" customWidth="1"/>
    <col min="10" max="10" width="43.453125" style="2040" customWidth="1"/>
    <col min="11" max="11" width="5.7265625" style="2040" customWidth="1"/>
    <col min="12" max="12" width="1" style="2080" customWidth="1"/>
    <col min="13" max="13" width="16.1796875" style="2080" bestFit="1" customWidth="1"/>
    <col min="14" max="14" width="21" style="2352" bestFit="1" customWidth="1"/>
    <col min="15" max="15" width="9.453125" style="2133" bestFit="1" customWidth="1"/>
    <col min="16" max="16" width="29.453125" style="2080" bestFit="1" customWidth="1"/>
    <col min="17" max="17" width="38.1796875" style="2353" customWidth="1"/>
    <col min="18" max="18" width="8.81640625" style="2040"/>
    <col min="19" max="19" width="1" style="2040" customWidth="1"/>
    <col min="20" max="20" width="14.453125" style="2040" customWidth="1"/>
    <col min="21" max="21" width="35.7265625" style="2040" bestFit="1" customWidth="1"/>
    <col min="22" max="22" width="61" style="2040" bestFit="1" customWidth="1"/>
    <col min="23" max="23" width="8.81640625" style="2040"/>
    <col min="24" max="24" width="9" style="2040" customWidth="1"/>
    <col min="25" max="25" width="26.81640625" style="2040" bestFit="1" customWidth="1"/>
    <col min="26" max="26" width="13.453125" style="2040" customWidth="1"/>
    <col min="27" max="16384" width="8.81640625" style="2040"/>
  </cols>
  <sheetData>
    <row r="1" spans="1:26">
      <c r="B1" s="2040" t="s">
        <v>1728</v>
      </c>
      <c r="S1" s="2080"/>
    </row>
    <row r="2" spans="1:26">
      <c r="B2" s="2040" t="s">
        <v>1729</v>
      </c>
      <c r="S2" s="2080"/>
    </row>
    <row r="3" spans="1:26">
      <c r="A3" s="2080"/>
      <c r="E3" s="2080"/>
      <c r="S3" s="2080"/>
    </row>
    <row r="4" spans="1:26" ht="18.5">
      <c r="A4" s="2080"/>
      <c r="B4" s="2354" t="s">
        <v>1730</v>
      </c>
      <c r="E4" s="2080"/>
      <c r="F4" s="2354" t="s">
        <v>1731</v>
      </c>
      <c r="G4" s="2354"/>
      <c r="H4" s="2354"/>
      <c r="I4" s="2354"/>
      <c r="L4" s="2048"/>
      <c r="M4" s="2354" t="s">
        <v>1732</v>
      </c>
      <c r="N4" s="2355"/>
      <c r="O4" s="2356"/>
      <c r="P4" s="2356"/>
      <c r="Q4" s="2357"/>
      <c r="S4" s="2358"/>
      <c r="T4" s="2359" t="s">
        <v>1733</v>
      </c>
      <c r="X4" s="2359" t="s">
        <v>2855</v>
      </c>
    </row>
    <row r="5" spans="1:26">
      <c r="A5" s="2080"/>
      <c r="E5" s="2080"/>
      <c r="L5" s="2048"/>
      <c r="M5" s="2360"/>
      <c r="N5" s="2355"/>
      <c r="O5" s="2356"/>
      <c r="P5" s="2356"/>
      <c r="Q5" s="2357"/>
      <c r="S5" s="2048"/>
    </row>
    <row r="6" spans="1:26" ht="19" thickBot="1">
      <c r="A6" s="2136"/>
      <c r="B6" s="2361" t="s">
        <v>43</v>
      </c>
      <c r="C6" s="2361" t="s">
        <v>1734</v>
      </c>
      <c r="E6" s="2136"/>
      <c r="F6" s="2362" t="s">
        <v>43</v>
      </c>
      <c r="G6" s="2362" t="s">
        <v>130</v>
      </c>
      <c r="H6" s="2362" t="s">
        <v>1735</v>
      </c>
      <c r="I6" s="2362" t="s">
        <v>1734</v>
      </c>
      <c r="J6" s="2362" t="s">
        <v>1673</v>
      </c>
      <c r="L6" s="2358"/>
      <c r="M6" s="2363" t="s">
        <v>1736</v>
      </c>
      <c r="N6" s="2363" t="s">
        <v>1737</v>
      </c>
      <c r="O6" s="2363" t="s">
        <v>43</v>
      </c>
      <c r="P6" s="2363" t="s">
        <v>71</v>
      </c>
      <c r="Q6" s="2364" t="s">
        <v>34</v>
      </c>
      <c r="S6" s="2048"/>
      <c r="T6" s="2042" t="s">
        <v>1738</v>
      </c>
      <c r="U6" s="2042" t="s">
        <v>1739</v>
      </c>
      <c r="V6" s="2042" t="s">
        <v>34</v>
      </c>
      <c r="X6" s="2365" t="s">
        <v>43</v>
      </c>
      <c r="Y6" s="2365" t="s">
        <v>71</v>
      </c>
      <c r="Z6" s="2366" t="s">
        <v>34</v>
      </c>
    </row>
    <row r="7" spans="1:26" s="2368" customFormat="1" ht="16" thickTop="1">
      <c r="A7" s="2367"/>
      <c r="B7" s="2368" t="s">
        <v>549</v>
      </c>
      <c r="C7" s="2368" t="s">
        <v>550</v>
      </c>
      <c r="E7" s="2369"/>
      <c r="F7" s="2368" t="s">
        <v>547</v>
      </c>
      <c r="G7" s="2042" t="s">
        <v>2695</v>
      </c>
      <c r="H7" s="2370" t="str">
        <f>LEFT(Modules[Code], FIND(".", Modules[Code])-1)</f>
        <v>I</v>
      </c>
      <c r="I7" s="2370" t="str">
        <f>INDEX(Workstreams[Workstream], MATCH(Modules[WS Code], Workstreams[Code], 0))</f>
        <v>Hydrocarbon fuel power generation</v>
      </c>
      <c r="J7" s="2042" t="s">
        <v>3078</v>
      </c>
      <c r="L7" s="2369"/>
      <c r="M7" s="2356" t="s">
        <v>1740</v>
      </c>
      <c r="N7" s="2356" t="s">
        <v>1741</v>
      </c>
      <c r="O7" s="2133" t="s">
        <v>103</v>
      </c>
      <c r="P7" s="2356" t="s">
        <v>93</v>
      </c>
      <c r="Q7" s="2357"/>
      <c r="S7" s="2048"/>
      <c r="T7" s="2371" t="s">
        <v>304</v>
      </c>
      <c r="U7" s="2042" t="s">
        <v>305</v>
      </c>
      <c r="V7" s="2042" t="s">
        <v>1742</v>
      </c>
      <c r="W7" s="2040"/>
      <c r="X7" s="2372"/>
      <c r="Y7" s="2372"/>
      <c r="Z7" s="2373"/>
    </row>
    <row r="8" spans="1:26" s="2368" customFormat="1">
      <c r="A8" s="2367"/>
      <c r="B8" s="2368" t="s">
        <v>541</v>
      </c>
      <c r="C8" s="2368" t="s">
        <v>542</v>
      </c>
      <c r="E8" s="2369"/>
      <c r="F8" s="2368" t="s">
        <v>544</v>
      </c>
      <c r="G8" s="2042" t="s">
        <v>545</v>
      </c>
      <c r="H8" s="2370" t="str">
        <f>LEFT(Modules[Code], FIND(".", Modules[Code])-1)</f>
        <v>I</v>
      </c>
      <c r="I8" s="2374" t="str">
        <f>INDEX(Workstreams[Workstream], MATCH(Modules[WS Code], Workstreams[Code], 0))</f>
        <v>Hydrocarbon fuel power generation</v>
      </c>
      <c r="J8" s="2042"/>
      <c r="L8" s="2369"/>
      <c r="M8" s="2356" t="s">
        <v>1740</v>
      </c>
      <c r="N8" s="2356" t="s">
        <v>1741</v>
      </c>
      <c r="O8" s="2133" t="s">
        <v>445</v>
      </c>
      <c r="P8" s="2356" t="s">
        <v>395</v>
      </c>
      <c r="Q8" s="2357"/>
      <c r="S8" s="2048"/>
      <c r="T8" s="2371" t="s">
        <v>447</v>
      </c>
      <c r="U8" s="2042" t="s">
        <v>398</v>
      </c>
      <c r="V8" s="2042"/>
      <c r="W8" s="2040"/>
      <c r="X8" s="2372"/>
      <c r="Y8" s="2372"/>
      <c r="Z8" s="2373"/>
    </row>
    <row r="9" spans="1:26" s="2368" customFormat="1">
      <c r="A9" s="2367"/>
      <c r="B9" s="2368" t="s">
        <v>523</v>
      </c>
      <c r="C9" s="2368" t="s">
        <v>524</v>
      </c>
      <c r="E9" s="2369"/>
      <c r="F9" s="2103" t="s">
        <v>539</v>
      </c>
      <c r="G9" s="2049" t="s">
        <v>540</v>
      </c>
      <c r="H9" s="2374" t="str">
        <f>LEFT(Modules[Code], FIND(".", Modules[Code])-1)</f>
        <v>II</v>
      </c>
      <c r="I9" s="2374" t="str">
        <f>INDEX(Workstreams[Workstream], MATCH(Modules[WS Code], Workstreams[Code], 0))</f>
        <v>Nuclear power generation</v>
      </c>
      <c r="J9" s="2049"/>
      <c r="L9" s="2369"/>
      <c r="M9" s="2356" t="s">
        <v>1740</v>
      </c>
      <c r="N9" s="2133" t="s">
        <v>397</v>
      </c>
      <c r="O9" s="2133" t="s">
        <v>446</v>
      </c>
      <c r="P9" s="2356" t="s">
        <v>397</v>
      </c>
      <c r="Q9" s="2357"/>
      <c r="S9" s="2048"/>
      <c r="T9" s="2042">
        <v>2</v>
      </c>
      <c r="U9" s="2042" t="s">
        <v>399</v>
      </c>
      <c r="V9" s="2042"/>
      <c r="W9" s="2040"/>
      <c r="X9" s="2375" t="s">
        <v>321</v>
      </c>
      <c r="Y9" s="2376" t="s">
        <v>322</v>
      </c>
      <c r="Z9" s="2377"/>
    </row>
    <row r="10" spans="1:26" s="2368" customFormat="1">
      <c r="A10" s="2367"/>
      <c r="B10" s="2368" t="s">
        <v>529</v>
      </c>
      <c r="C10" s="2368" t="s">
        <v>530</v>
      </c>
      <c r="E10" s="2369"/>
      <c r="F10" s="2103" t="s">
        <v>511</v>
      </c>
      <c r="G10" s="2049" t="s">
        <v>512</v>
      </c>
      <c r="H10" s="2374" t="str">
        <f>LEFT(Modules[Code], FIND(".", Modules[Code])-1)</f>
        <v>III</v>
      </c>
      <c r="I10" s="2374" t="str">
        <f>INDEX(Workstreams[Workstream], MATCH(Modules[WS Code], Workstreams[Code], 0))</f>
        <v>National renewable power generation</v>
      </c>
      <c r="J10" s="2049"/>
      <c r="L10" s="2369"/>
      <c r="M10" s="2042" t="s">
        <v>644</v>
      </c>
      <c r="N10" s="2133" t="s">
        <v>1743</v>
      </c>
      <c r="O10" s="2133" t="s">
        <v>409</v>
      </c>
      <c r="P10" s="2042" t="s">
        <v>360</v>
      </c>
      <c r="Q10" s="2357"/>
      <c r="S10" s="2048"/>
      <c r="T10" s="2042">
        <v>3</v>
      </c>
      <c r="U10" s="2042" t="s">
        <v>400</v>
      </c>
      <c r="V10" s="2042" t="s">
        <v>3080</v>
      </c>
      <c r="W10" s="2040"/>
      <c r="X10" s="2375" t="s">
        <v>323</v>
      </c>
      <c r="Y10" s="2376" t="s">
        <v>324</v>
      </c>
      <c r="Z10" s="2377"/>
    </row>
    <row r="11" spans="1:26" s="2368" customFormat="1">
      <c r="A11" s="2367"/>
      <c r="B11" s="2368" t="s">
        <v>571</v>
      </c>
      <c r="C11" s="2368" t="s">
        <v>572</v>
      </c>
      <c r="E11" s="2369"/>
      <c r="F11" s="2103" t="s">
        <v>513</v>
      </c>
      <c r="G11" s="2049" t="s">
        <v>514</v>
      </c>
      <c r="H11" s="2374" t="str">
        <f>LEFT(Modules[Code], FIND(".", Modules[Code])-1)</f>
        <v>III</v>
      </c>
      <c r="I11" s="2374" t="str">
        <f>INDEX(Workstreams[Workstream], MATCH(Modules[WS Code], Workstreams[Code], 0))</f>
        <v>National renewable power generation</v>
      </c>
      <c r="J11" s="2049"/>
      <c r="L11" s="2369"/>
      <c r="M11" s="2042" t="s">
        <v>644</v>
      </c>
      <c r="N11" s="2133" t="s">
        <v>1743</v>
      </c>
      <c r="O11" s="2133" t="s">
        <v>410</v>
      </c>
      <c r="P11" s="2042" t="s">
        <v>361</v>
      </c>
      <c r="Q11" s="2357"/>
      <c r="S11" s="2048"/>
      <c r="T11" s="2042">
        <v>4</v>
      </c>
      <c r="U11" s="2042" t="s">
        <v>392</v>
      </c>
      <c r="V11" s="2042" t="s">
        <v>1744</v>
      </c>
      <c r="W11" s="2040"/>
      <c r="X11" s="2375" t="s">
        <v>325</v>
      </c>
      <c r="Y11" s="2376" t="s">
        <v>326</v>
      </c>
      <c r="Z11" s="2377"/>
    </row>
    <row r="12" spans="1:26" s="2368" customFormat="1">
      <c r="A12" s="2367"/>
      <c r="B12" s="2368" t="s">
        <v>503</v>
      </c>
      <c r="C12" s="2368" t="s">
        <v>504</v>
      </c>
      <c r="E12" s="2369"/>
      <c r="F12" s="2103" t="s">
        <v>515</v>
      </c>
      <c r="G12" s="2049" t="s">
        <v>516</v>
      </c>
      <c r="H12" s="2374" t="str">
        <f>LEFT(Modules[Code], FIND(".", Modules[Code])-1)</f>
        <v>III</v>
      </c>
      <c r="I12" s="2374" t="str">
        <f>INDEX(Workstreams[Workstream], MATCH(Modules[WS Code], Workstreams[Code], 0))</f>
        <v>National renewable power generation</v>
      </c>
      <c r="J12" s="2049" t="s">
        <v>1745</v>
      </c>
      <c r="L12" s="2369"/>
      <c r="M12" s="2042" t="s">
        <v>644</v>
      </c>
      <c r="N12" s="2133" t="s">
        <v>1743</v>
      </c>
      <c r="O12" s="2133" t="s">
        <v>411</v>
      </c>
      <c r="P12" s="2042" t="s">
        <v>362</v>
      </c>
      <c r="Q12" s="2357"/>
      <c r="S12" s="2048"/>
      <c r="T12" s="2042">
        <v>5</v>
      </c>
      <c r="U12" s="2042" t="s">
        <v>401</v>
      </c>
      <c r="V12" s="2042"/>
      <c r="W12" s="2040"/>
      <c r="X12" s="2375" t="s">
        <v>328</v>
      </c>
      <c r="Y12" s="2376" t="s">
        <v>329</v>
      </c>
      <c r="Z12" s="2377"/>
    </row>
    <row r="13" spans="1:26" s="2368" customFormat="1">
      <c r="A13" s="2367"/>
      <c r="B13" s="2368" t="s">
        <v>562</v>
      </c>
      <c r="C13" s="2368" t="s">
        <v>563</v>
      </c>
      <c r="E13" s="2369"/>
      <c r="F13" s="2103" t="s">
        <v>517</v>
      </c>
      <c r="G13" s="2049" t="s">
        <v>518</v>
      </c>
      <c r="H13" s="2374" t="str">
        <f>LEFT(Modules[Code], FIND(".", Modules[Code])-1)</f>
        <v>III</v>
      </c>
      <c r="I13" s="2374" t="str">
        <f>INDEX(Workstreams[Workstream], MATCH(Modules[WS Code], Workstreams[Code], 0))</f>
        <v>National renewable power generation</v>
      </c>
      <c r="J13" s="2049"/>
      <c r="L13" s="2369"/>
      <c r="M13" s="2042" t="s">
        <v>644</v>
      </c>
      <c r="N13" s="2133" t="s">
        <v>1743</v>
      </c>
      <c r="O13" s="2133" t="s">
        <v>412</v>
      </c>
      <c r="P13" s="2042" t="s">
        <v>363</v>
      </c>
      <c r="Q13" s="2357"/>
      <c r="S13" s="2080"/>
      <c r="T13" s="2042">
        <v>6</v>
      </c>
      <c r="U13" s="2042" t="s">
        <v>393</v>
      </c>
      <c r="V13" s="2042"/>
      <c r="W13" s="2040"/>
      <c r="X13" s="2375" t="s">
        <v>330</v>
      </c>
      <c r="Y13" s="2376" t="s">
        <v>331</v>
      </c>
      <c r="Z13" s="2377"/>
    </row>
    <row r="14" spans="1:26" s="2368" customFormat="1">
      <c r="A14" s="2367"/>
      <c r="B14" s="2368" t="s">
        <v>495</v>
      </c>
      <c r="C14" s="2368" t="s">
        <v>496</v>
      </c>
      <c r="E14" s="2369"/>
      <c r="F14" s="2103" t="s">
        <v>612</v>
      </c>
      <c r="G14" s="2049" t="s">
        <v>390</v>
      </c>
      <c r="H14" s="2374" t="str">
        <f>LEFT(Modules[Code], FIND(".", Modules[Code])-1)</f>
        <v>III</v>
      </c>
      <c r="I14" s="2374" t="str">
        <f>INDEX(Workstreams[Workstream], MATCH(Modules[WS Code], Workstreams[Code], 0))</f>
        <v>National renewable power generation</v>
      </c>
      <c r="J14" s="2049"/>
      <c r="L14" s="2369"/>
      <c r="M14" s="2042" t="s">
        <v>644</v>
      </c>
      <c r="N14" s="2040" t="s">
        <v>1743</v>
      </c>
      <c r="O14" s="2040" t="s">
        <v>413</v>
      </c>
      <c r="P14" s="2042" t="s">
        <v>364</v>
      </c>
      <c r="Q14" s="2357"/>
      <c r="S14" s="2080"/>
      <c r="T14" s="2042">
        <v>7</v>
      </c>
      <c r="U14" s="2042" t="s">
        <v>402</v>
      </c>
      <c r="V14" s="2042"/>
      <c r="W14" s="2040"/>
      <c r="X14" s="2375" t="s">
        <v>332</v>
      </c>
      <c r="Y14" s="2376" t="s">
        <v>333</v>
      </c>
      <c r="Z14" s="2377"/>
    </row>
    <row r="15" spans="1:26" s="2368" customFormat="1">
      <c r="A15" s="2367"/>
      <c r="B15" s="2368" t="s">
        <v>0</v>
      </c>
      <c r="C15" s="2368" t="s">
        <v>1</v>
      </c>
      <c r="E15" s="2369"/>
      <c r="F15" s="2103" t="s">
        <v>614</v>
      </c>
      <c r="G15" s="2049" t="s">
        <v>615</v>
      </c>
      <c r="H15" s="2374" t="str">
        <f>LEFT(Modules[Code], FIND(".", Modules[Code])-1)</f>
        <v>III</v>
      </c>
      <c r="I15" s="2374" t="str">
        <f>INDEX(Workstreams[Workstream], MATCH(Modules[WS Code], Workstreams[Code], 0))</f>
        <v>National renewable power generation</v>
      </c>
      <c r="J15" s="2049"/>
      <c r="L15" s="2369"/>
      <c r="M15" s="2042" t="s">
        <v>644</v>
      </c>
      <c r="N15" s="2040" t="s">
        <v>1743</v>
      </c>
      <c r="O15" s="2040" t="s">
        <v>414</v>
      </c>
      <c r="P15" s="2042" t="s">
        <v>365</v>
      </c>
      <c r="Q15" s="2357"/>
      <c r="S15" s="2080"/>
      <c r="T15" s="2127" t="s">
        <v>448</v>
      </c>
      <c r="U15" s="2049" t="s">
        <v>403</v>
      </c>
      <c r="V15" s="2049" t="s">
        <v>1746</v>
      </c>
      <c r="W15" s="2040"/>
      <c r="X15" s="2375" t="s">
        <v>752</v>
      </c>
      <c r="Y15" s="2376" t="s">
        <v>753</v>
      </c>
      <c r="Z15" s="2377"/>
    </row>
    <row r="16" spans="1:26" s="2368" customFormat="1">
      <c r="A16" s="2367"/>
      <c r="B16" s="2368" t="s">
        <v>465</v>
      </c>
      <c r="C16" s="2368" t="s">
        <v>82</v>
      </c>
      <c r="E16" s="2369"/>
      <c r="F16" s="2103" t="s">
        <v>616</v>
      </c>
      <c r="G16" s="2049" t="s">
        <v>617</v>
      </c>
      <c r="H16" s="2374" t="str">
        <f>LEFT(Modules[Code], FIND(".", Modules[Code])-1)</f>
        <v>III</v>
      </c>
      <c r="I16" s="2374" t="str">
        <f>INDEX(Workstreams[Workstream], MATCH(Modules[WS Code], Workstreams[Code], 0))</f>
        <v>National renewable power generation</v>
      </c>
      <c r="J16" s="2049"/>
      <c r="L16" s="2369"/>
      <c r="M16" s="2042" t="s">
        <v>644</v>
      </c>
      <c r="N16" s="2133" t="s">
        <v>359</v>
      </c>
      <c r="O16" s="2133" t="s">
        <v>408</v>
      </c>
      <c r="P16" s="2042" t="s">
        <v>359</v>
      </c>
      <c r="Q16" s="2361" t="s">
        <v>1747</v>
      </c>
      <c r="S16" s="2040"/>
      <c r="T16" s="2127" t="s">
        <v>449</v>
      </c>
      <c r="U16" s="2049" t="s">
        <v>404</v>
      </c>
      <c r="V16" s="2049" t="s">
        <v>1748</v>
      </c>
      <c r="W16" s="2040"/>
      <c r="X16" s="2375" t="s">
        <v>754</v>
      </c>
      <c r="Y16" s="2376" t="s">
        <v>755</v>
      </c>
      <c r="Z16" s="2377"/>
    </row>
    <row r="17" spans="1:26" s="2368" customFormat="1" ht="26">
      <c r="A17" s="2367"/>
      <c r="B17" s="2368" t="s">
        <v>468</v>
      </c>
      <c r="C17" s="2368" t="s">
        <v>359</v>
      </c>
      <c r="E17" s="2369"/>
      <c r="F17" s="2103" t="s">
        <v>519</v>
      </c>
      <c r="G17" s="2049" t="s">
        <v>520</v>
      </c>
      <c r="H17" s="2374" t="str">
        <f>LEFT(Modules[Code], FIND(".", Modules[Code])-1)</f>
        <v>III</v>
      </c>
      <c r="I17" s="2374" t="str">
        <f>INDEX(Workstreams[Workstream], MATCH(Modules[WS Code], Workstreams[Code], 0))</f>
        <v>National renewable power generation</v>
      </c>
      <c r="J17" s="2049"/>
      <c r="L17" s="2369"/>
      <c r="M17" s="2042" t="s">
        <v>644</v>
      </c>
      <c r="N17" s="2040" t="s">
        <v>92</v>
      </c>
      <c r="O17" s="2133" t="s">
        <v>102</v>
      </c>
      <c r="P17" s="2042" t="s">
        <v>92</v>
      </c>
      <c r="Q17" s="2361" t="s">
        <v>1749</v>
      </c>
      <c r="S17" s="2040"/>
      <c r="T17" s="2127" t="s">
        <v>450</v>
      </c>
      <c r="U17" s="2049" t="s">
        <v>405</v>
      </c>
      <c r="V17" s="2049" t="s">
        <v>1750</v>
      </c>
      <c r="W17" s="2040"/>
      <c r="X17" s="2375" t="s">
        <v>756</v>
      </c>
      <c r="Y17" s="2376" t="s">
        <v>757</v>
      </c>
      <c r="Z17" s="2377"/>
    </row>
    <row r="18" spans="1:26" s="2368" customFormat="1" ht="26">
      <c r="A18" s="2367"/>
      <c r="B18" s="2368" t="s">
        <v>481</v>
      </c>
      <c r="C18" s="2368" t="s">
        <v>482</v>
      </c>
      <c r="E18" s="2369"/>
      <c r="F18" s="2103" t="s">
        <v>525</v>
      </c>
      <c r="G18" s="2049" t="s">
        <v>526</v>
      </c>
      <c r="H18" s="2374" t="str">
        <f>LEFT(Modules[Code], FIND(".", Modules[Code])-1)</f>
        <v>IV</v>
      </c>
      <c r="I18" s="2374" t="str">
        <f>INDEX(Workstreams[Workstream], MATCH(Modules[WS Code], Workstreams[Code], 0))</f>
        <v>Distributed renewable power generation</v>
      </c>
      <c r="J18" s="2049"/>
      <c r="L18" s="2369"/>
      <c r="M18" s="2042" t="s">
        <v>644</v>
      </c>
      <c r="N18" s="2133" t="s">
        <v>82</v>
      </c>
      <c r="O18" s="2133" t="s">
        <v>407</v>
      </c>
      <c r="P18" s="2356" t="s">
        <v>358</v>
      </c>
      <c r="Q18" s="2361" t="s">
        <v>1751</v>
      </c>
      <c r="S18" s="2040"/>
      <c r="T18" s="2040"/>
      <c r="U18" s="2040"/>
      <c r="V18" s="2040"/>
      <c r="W18" s="2040"/>
    </row>
    <row r="19" spans="1:26" s="2368" customFormat="1">
      <c r="A19" s="2367"/>
      <c r="B19" s="2368" t="s">
        <v>484</v>
      </c>
      <c r="C19" s="2368" t="s">
        <v>3079</v>
      </c>
      <c r="E19" s="2369"/>
      <c r="F19" s="2103" t="s">
        <v>25</v>
      </c>
      <c r="G19" s="2049" t="s">
        <v>26</v>
      </c>
      <c r="H19" s="2374" t="str">
        <f>LEFT(Modules[Code], FIND(".", Modules[Code])-1)</f>
        <v>IV</v>
      </c>
      <c r="I19" s="2374" t="str">
        <f>INDEX(Workstreams[Workstream], MATCH(Modules[WS Code], Workstreams[Code], 0))</f>
        <v>Distributed renewable power generation</v>
      </c>
      <c r="J19" s="2049"/>
      <c r="L19" s="2369"/>
      <c r="M19" s="2042" t="s">
        <v>644</v>
      </c>
      <c r="N19" s="2133" t="s">
        <v>1752</v>
      </c>
      <c r="O19" s="2133" t="s">
        <v>415</v>
      </c>
      <c r="P19" s="2042" t="s">
        <v>2890</v>
      </c>
      <c r="Q19" s="2361" t="s">
        <v>1753</v>
      </c>
      <c r="S19" s="2040"/>
      <c r="T19" s="2040"/>
      <c r="U19" s="2040"/>
      <c r="V19" s="2040"/>
      <c r="W19" s="2040"/>
      <c r="X19" s="2378" t="s">
        <v>1754</v>
      </c>
    </row>
    <row r="20" spans="1:26" s="2368" customFormat="1" ht="26">
      <c r="A20" s="2367"/>
      <c r="B20" s="2368" t="s">
        <v>487</v>
      </c>
      <c r="C20" s="2368" t="s">
        <v>486</v>
      </c>
      <c r="E20" s="2369"/>
      <c r="F20" s="2103" t="s">
        <v>527</v>
      </c>
      <c r="G20" s="2049" t="s">
        <v>528</v>
      </c>
      <c r="H20" s="2374" t="str">
        <f>LEFT(Modules[Code], FIND(".", Modules[Code])-1)</f>
        <v>IV</v>
      </c>
      <c r="I20" s="2374" t="str">
        <f>INDEX(Workstreams[Workstream], MATCH(Modules[WS Code], Workstreams[Code], 0))</f>
        <v>Distributed renewable power generation</v>
      </c>
      <c r="J20" s="2049"/>
      <c r="L20" s="2369"/>
      <c r="M20" s="2042" t="s">
        <v>1755</v>
      </c>
      <c r="N20" s="2356" t="s">
        <v>725</v>
      </c>
      <c r="O20" s="2356" t="s">
        <v>436</v>
      </c>
      <c r="P20" s="2042" t="s">
        <v>387</v>
      </c>
      <c r="Q20" s="2361" t="s">
        <v>1756</v>
      </c>
      <c r="S20" s="2048"/>
      <c r="T20" s="2359" t="s">
        <v>1757</v>
      </c>
      <c r="U20" s="2040"/>
      <c r="V20" s="2040"/>
      <c r="W20" s="2040"/>
    </row>
    <row r="21" spans="1:26">
      <c r="A21" s="2080"/>
      <c r="B21" s="2103" t="s">
        <v>509</v>
      </c>
      <c r="C21" s="2103" t="s">
        <v>510</v>
      </c>
      <c r="E21" s="2369"/>
      <c r="F21" s="2103" t="s">
        <v>566</v>
      </c>
      <c r="G21" s="2049" t="s">
        <v>567</v>
      </c>
      <c r="H21" s="2374" t="str">
        <f>LEFT(Modules[Code], FIND(".", Modules[Code])-1)</f>
        <v>V</v>
      </c>
      <c r="I21" s="2374" t="str">
        <f>INDEX(Workstreams[Workstream], MATCH(Modules[WS Code], Workstreams[Code], 0))</f>
        <v>Bioenergy</v>
      </c>
      <c r="J21" s="2049"/>
      <c r="L21" s="2369"/>
      <c r="M21" s="2042" t="s">
        <v>1755</v>
      </c>
      <c r="N21" s="2042" t="s">
        <v>1758</v>
      </c>
      <c r="O21" s="2356" t="s">
        <v>437</v>
      </c>
      <c r="P21" s="2356" t="s">
        <v>78</v>
      </c>
      <c r="Q21" s="2357"/>
      <c r="S21" s="2048"/>
      <c r="X21" s="2368" t="s">
        <v>43</v>
      </c>
      <c r="Y21" s="2368" t="s">
        <v>71</v>
      </c>
      <c r="Z21" s="2368" t="s">
        <v>1673</v>
      </c>
    </row>
    <row r="22" spans="1:26">
      <c r="B22" s="2103" t="s">
        <v>579</v>
      </c>
      <c r="C22" s="2103" t="s">
        <v>580</v>
      </c>
      <c r="E22" s="2369"/>
      <c r="F22" s="2103" t="s">
        <v>569</v>
      </c>
      <c r="G22" s="2049" t="s">
        <v>570</v>
      </c>
      <c r="H22" s="2374" t="str">
        <f>LEFT(Modules[Code], FIND(".", Modules[Code])-1)</f>
        <v>V</v>
      </c>
      <c r="I22" s="2374" t="str">
        <f>INDEX(Workstreams[Workstream], MATCH(Modules[WS Code], Workstreams[Code], 0))</f>
        <v>Bioenergy</v>
      </c>
      <c r="J22" s="2049"/>
      <c r="L22" s="2369"/>
      <c r="M22" s="2042" t="s">
        <v>1755</v>
      </c>
      <c r="N22" s="2042" t="s">
        <v>1758</v>
      </c>
      <c r="O22" s="2356" t="s">
        <v>438</v>
      </c>
      <c r="P22" s="2356" t="s">
        <v>388</v>
      </c>
      <c r="Q22" s="2357"/>
      <c r="S22" s="2048"/>
      <c r="T22" s="2042" t="s">
        <v>1759</v>
      </c>
      <c r="U22" s="2042" t="s">
        <v>1760</v>
      </c>
      <c r="V22" s="2042" t="s">
        <v>34</v>
      </c>
      <c r="X22" s="2368" t="s">
        <v>257</v>
      </c>
      <c r="Y22" s="2368" t="s">
        <v>258</v>
      </c>
      <c r="Z22" s="2368"/>
    </row>
    <row r="23" spans="1:26">
      <c r="B23" s="2103" t="s">
        <v>535</v>
      </c>
      <c r="C23" s="2103" t="s">
        <v>536</v>
      </c>
      <c r="E23" s="2369"/>
      <c r="F23" s="2103" t="s">
        <v>501</v>
      </c>
      <c r="G23" s="2049" t="s">
        <v>502</v>
      </c>
      <c r="H23" s="2374" t="str">
        <f>LEFT(Modules[Code], FIND(".", Modules[Code])-1)</f>
        <v>VI</v>
      </c>
      <c r="I23" s="2374" t="str">
        <f>INDEX(Workstreams[Workstream], MATCH(Modules[WS Code], Workstreams[Code], 0))</f>
        <v>Agriculture and waste</v>
      </c>
      <c r="J23" s="2049"/>
      <c r="L23" s="2369"/>
      <c r="M23" s="2042" t="s">
        <v>1755</v>
      </c>
      <c r="N23" s="2042" t="s">
        <v>1758</v>
      </c>
      <c r="O23" s="2356" t="s">
        <v>439</v>
      </c>
      <c r="P23" s="2356" t="s">
        <v>389</v>
      </c>
      <c r="Q23" s="2357"/>
      <c r="S23" s="2048"/>
      <c r="T23" s="2042" t="s">
        <v>250</v>
      </c>
      <c r="U23" s="2042" t="s">
        <v>1062</v>
      </c>
      <c r="V23" s="2042"/>
      <c r="X23" s="2368" t="s">
        <v>259</v>
      </c>
      <c r="Y23" s="2368" t="s">
        <v>260</v>
      </c>
      <c r="Z23" s="2368"/>
    </row>
    <row r="24" spans="1:26">
      <c r="B24" s="2103" t="s">
        <v>1761</v>
      </c>
      <c r="C24" s="2374" t="s">
        <v>1488</v>
      </c>
      <c r="E24" s="2369"/>
      <c r="F24" s="2103" t="s">
        <v>499</v>
      </c>
      <c r="G24" s="2049" t="s">
        <v>500</v>
      </c>
      <c r="H24" s="2374" t="str">
        <f>LEFT(Modules[Code], FIND(".", Modules[Code])-1)</f>
        <v>VI</v>
      </c>
      <c r="I24" s="2374" t="str">
        <f>INDEX(Workstreams[Workstream], MATCH(Modules[WS Code], Workstreams[Code], 0))</f>
        <v>Agriculture and waste</v>
      </c>
      <c r="J24" s="2049"/>
      <c r="L24" s="2369"/>
      <c r="M24" s="2042" t="s">
        <v>1755</v>
      </c>
      <c r="N24" s="2042" t="s">
        <v>1758</v>
      </c>
      <c r="O24" s="2356" t="s">
        <v>440</v>
      </c>
      <c r="P24" s="2356" t="s">
        <v>390</v>
      </c>
      <c r="Q24" s="2357"/>
      <c r="S24" s="2048"/>
      <c r="T24" s="2042" t="s">
        <v>252</v>
      </c>
      <c r="U24" s="2042" t="s">
        <v>1064</v>
      </c>
      <c r="V24" s="2042"/>
      <c r="X24" s="2368" t="s">
        <v>261</v>
      </c>
      <c r="Y24" s="2368" t="s">
        <v>262</v>
      </c>
      <c r="Z24" s="2368"/>
    </row>
    <row r="25" spans="1:26" ht="14.5">
      <c r="E25" s="2369"/>
      <c r="F25" s="2103" t="s">
        <v>497</v>
      </c>
      <c r="G25" s="2049" t="s">
        <v>498</v>
      </c>
      <c r="H25" s="2374" t="s">
        <v>503</v>
      </c>
      <c r="I25" s="2374" t="str">
        <f>INDEX(Workstreams[Workstream], MATCH(Modules[WS Code], Workstreams[Code], 0))</f>
        <v>Agriculture and waste</v>
      </c>
      <c r="J25" s="2049"/>
      <c r="L25" s="2369"/>
      <c r="M25" s="2042" t="s">
        <v>1755</v>
      </c>
      <c r="N25" s="2042" t="s">
        <v>1758</v>
      </c>
      <c r="O25" s="2042" t="s">
        <v>441</v>
      </c>
      <c r="P25" s="2356" t="s">
        <v>54</v>
      </c>
      <c r="Q25" s="2357"/>
      <c r="T25" s="2042" t="s">
        <v>253</v>
      </c>
      <c r="U25" s="2042" t="s">
        <v>1066</v>
      </c>
      <c r="V25" s="2042"/>
      <c r="X25" s="2368" t="s">
        <v>263</v>
      </c>
      <c r="Y25" s="2368" t="s">
        <v>264</v>
      </c>
    </row>
    <row r="26" spans="1:26" ht="14.5">
      <c r="E26" s="2369"/>
      <c r="F26" s="2103" t="s">
        <v>554</v>
      </c>
      <c r="G26" s="2049" t="s">
        <v>555</v>
      </c>
      <c r="H26" s="2374" t="str">
        <f>LEFT(Modules[Code], FIND(".", Modules[Code])-1)</f>
        <v>VII</v>
      </c>
      <c r="I26" s="2374" t="str">
        <f>INDEX(Workstreams[Workstream], MATCH(Modules[WS Code], Workstreams[Code], 0))</f>
        <v>Electricity distribution, storage, and balancing</v>
      </c>
      <c r="J26" s="2049"/>
      <c r="L26" s="2369"/>
      <c r="M26" s="2042" t="s">
        <v>1755</v>
      </c>
      <c r="N26" s="2042" t="s">
        <v>1758</v>
      </c>
      <c r="O26" s="2042" t="s">
        <v>442</v>
      </c>
      <c r="P26" s="2356" t="s">
        <v>391</v>
      </c>
      <c r="Q26" s="2357"/>
      <c r="T26" s="2042" t="s">
        <v>451</v>
      </c>
      <c r="U26" s="2042" t="s">
        <v>1068</v>
      </c>
      <c r="V26" s="2042"/>
      <c r="X26" s="2368"/>
      <c r="Y26" s="2368"/>
    </row>
    <row r="27" spans="1:26" ht="14.5">
      <c r="E27" s="2369"/>
      <c r="F27" s="2103" t="s">
        <v>558</v>
      </c>
      <c r="G27" s="2049" t="s">
        <v>559</v>
      </c>
      <c r="H27" s="2374" t="str">
        <f>LEFT(Modules[Code], FIND(".", Modules[Code])-1)</f>
        <v>VII</v>
      </c>
      <c r="I27" s="2374" t="str">
        <f>INDEX(Workstreams[Workstream], MATCH(Modules[WS Code], Workstreams[Code], 0))</f>
        <v>Electricity distribution, storage, and balancing</v>
      </c>
      <c r="J27" s="2049"/>
      <c r="L27" s="2369"/>
      <c r="M27" s="2042" t="s">
        <v>1755</v>
      </c>
      <c r="N27" s="2042" t="s">
        <v>1758</v>
      </c>
      <c r="O27" s="2042" t="s">
        <v>101</v>
      </c>
      <c r="P27" s="2042" t="s">
        <v>91</v>
      </c>
      <c r="Q27" s="2361" t="s">
        <v>1762</v>
      </c>
    </row>
    <row r="28" spans="1:26" ht="14.5">
      <c r="E28" s="2369"/>
      <c r="F28" s="2103" t="s">
        <v>560</v>
      </c>
      <c r="G28" s="2049" t="s">
        <v>561</v>
      </c>
      <c r="H28" s="2374" t="str">
        <f>LEFT(Modules[Code], FIND(".", Modules[Code])-1)</f>
        <v>VII</v>
      </c>
      <c r="I28" s="2374" t="str">
        <f>INDEX(Workstreams[Workstream], MATCH(Modules[WS Code], Workstreams[Code], 0))</f>
        <v>Electricity distribution, storage, and balancing</v>
      </c>
      <c r="J28" s="2049" t="s">
        <v>1765</v>
      </c>
      <c r="L28" s="2369"/>
      <c r="M28" s="2042" t="s">
        <v>1755</v>
      </c>
      <c r="N28" s="2042" t="s">
        <v>1758</v>
      </c>
      <c r="O28" s="2042" t="s">
        <v>443</v>
      </c>
      <c r="P28" s="2042" t="s">
        <v>392</v>
      </c>
      <c r="Q28" s="2361" t="s">
        <v>1763</v>
      </c>
      <c r="T28" s="2040" t="s">
        <v>1764</v>
      </c>
    </row>
    <row r="29" spans="1:26" ht="14.5">
      <c r="E29" s="2369"/>
      <c r="F29" s="2103" t="s">
        <v>493</v>
      </c>
      <c r="G29" s="2049" t="s">
        <v>494</v>
      </c>
      <c r="H29" s="2374" t="str">
        <f>LEFT(Modules[Code], FIND(".", Modules[Code])-1)</f>
        <v>VIII</v>
      </c>
      <c r="I29" s="2374" t="str">
        <f>INDEX(Workstreams[Workstream], MATCH(Modules[WS Code], Workstreams[Code], 0))</f>
        <v>H2 Production</v>
      </c>
      <c r="J29" s="2049"/>
      <c r="L29" s="2369"/>
      <c r="M29" s="2042" t="s">
        <v>1755</v>
      </c>
      <c r="N29" s="2356" t="s">
        <v>393</v>
      </c>
      <c r="O29" s="2356" t="s">
        <v>444</v>
      </c>
      <c r="P29" s="2042" t="s">
        <v>2862</v>
      </c>
      <c r="Q29" s="2361" t="s">
        <v>1766</v>
      </c>
    </row>
    <row r="30" spans="1:26" ht="39">
      <c r="E30" s="2369"/>
      <c r="F30" s="2103" t="s">
        <v>2</v>
      </c>
      <c r="G30" s="2049" t="s">
        <v>3</v>
      </c>
      <c r="H30" s="2374" t="str">
        <f>LEFT(Modules[Code], FIND(".", Modules[Code])-1)</f>
        <v>IX</v>
      </c>
      <c r="I30" s="2374" t="str">
        <f>INDEX(Workstreams[Workstream], MATCH(Modules[WS Code], Workstreams[Code], 0))</f>
        <v>Heating</v>
      </c>
      <c r="J30" s="2049"/>
      <c r="L30" s="2369"/>
      <c r="M30" s="2042" t="s">
        <v>1755</v>
      </c>
      <c r="N30" s="2042" t="s">
        <v>1767</v>
      </c>
      <c r="O30" s="2356" t="s">
        <v>430</v>
      </c>
      <c r="P30" s="3691" t="s">
        <v>3161</v>
      </c>
      <c r="Q30" s="2361" t="s">
        <v>1768</v>
      </c>
      <c r="T30" s="2040" t="s">
        <v>1769</v>
      </c>
    </row>
    <row r="31" spans="1:26" ht="14.5">
      <c r="E31" s="2369"/>
      <c r="F31" s="2103" t="s">
        <v>1770</v>
      </c>
      <c r="G31" s="2049" t="s">
        <v>1771</v>
      </c>
      <c r="H31" s="2374" t="str">
        <f>LEFT(Modules[Code], FIND(".", Modules[Code])-1)</f>
        <v>IX</v>
      </c>
      <c r="I31" s="2374" t="str">
        <f>INDEX(Workstreams[Workstream], MATCH(Modules[WS Code], Workstreams[Code], 0))</f>
        <v>Heating</v>
      </c>
      <c r="J31" s="2049"/>
      <c r="L31" s="2369"/>
      <c r="M31" s="2042" t="s">
        <v>1755</v>
      </c>
      <c r="N31" s="2133" t="s">
        <v>1767</v>
      </c>
      <c r="O31" s="2133" t="s">
        <v>431</v>
      </c>
      <c r="P31" s="2042" t="s">
        <v>3160</v>
      </c>
      <c r="Q31" s="2357"/>
    </row>
    <row r="32" spans="1:26" ht="14.5">
      <c r="E32" s="2369"/>
      <c r="F32" s="2103" t="s">
        <v>1777</v>
      </c>
      <c r="G32" s="2049" t="s">
        <v>1778</v>
      </c>
      <c r="H32" s="2374" t="str">
        <f>LEFT(Modules[Code], FIND(".", Modules[Code])-1)</f>
        <v>IX</v>
      </c>
      <c r="I32" s="2374" t="str">
        <f>INDEX(Workstreams[Workstream], MATCH(Modules[WS Code], Workstreams[Code], 0))</f>
        <v>Heating</v>
      </c>
      <c r="J32" s="2049"/>
      <c r="L32" s="2369"/>
      <c r="M32" s="2042" t="s">
        <v>1755</v>
      </c>
      <c r="N32" s="2040" t="s">
        <v>1767</v>
      </c>
      <c r="O32" s="2040" t="s">
        <v>432</v>
      </c>
      <c r="P32" s="2042" t="s">
        <v>383</v>
      </c>
      <c r="Q32" s="2361" t="s">
        <v>1772</v>
      </c>
      <c r="T32" s="2040" t="s">
        <v>1773</v>
      </c>
      <c r="U32" s="2040" t="s">
        <v>1774</v>
      </c>
      <c r="V32" s="2040" t="s">
        <v>1775</v>
      </c>
      <c r="W32" s="2040" t="s">
        <v>1776</v>
      </c>
    </row>
    <row r="33" spans="5:23" ht="14.5">
      <c r="E33" s="2369"/>
      <c r="F33" s="2103" t="s">
        <v>1782</v>
      </c>
      <c r="G33" s="2049" t="s">
        <v>1783</v>
      </c>
      <c r="H33" s="2374" t="s">
        <v>0</v>
      </c>
      <c r="I33" s="2374" t="s">
        <v>1</v>
      </c>
      <c r="J33" s="2049"/>
      <c r="L33" s="2369"/>
      <c r="M33" s="2042" t="s">
        <v>1755</v>
      </c>
      <c r="N33" s="2040" t="s">
        <v>1767</v>
      </c>
      <c r="O33" s="2040" t="s">
        <v>433</v>
      </c>
      <c r="P33" s="2042" t="s">
        <v>3159</v>
      </c>
      <c r="Q33" s="2357"/>
      <c r="T33" s="2040" t="s">
        <v>1779</v>
      </c>
      <c r="U33" s="2040" t="s">
        <v>1780</v>
      </c>
      <c r="V33" s="2040" t="s">
        <v>1781</v>
      </c>
    </row>
    <row r="34" spans="5:23" ht="26">
      <c r="E34" s="2369"/>
      <c r="F34" s="2103" t="s">
        <v>456</v>
      </c>
      <c r="G34" s="2049" t="s">
        <v>457</v>
      </c>
      <c r="H34" s="2374" t="str">
        <f>LEFT(Modules[Code], FIND(".", Modules[Code])-1)</f>
        <v>IX</v>
      </c>
      <c r="I34" s="2374" t="str">
        <f>INDEX(Workstreams[Workstream], MATCH(Modules[WS Code], Workstreams[Code], 0))</f>
        <v>Heating</v>
      </c>
      <c r="J34" s="2049"/>
      <c r="L34" s="2369"/>
      <c r="M34" s="2042" t="s">
        <v>1755</v>
      </c>
      <c r="N34" s="2040" t="s">
        <v>1767</v>
      </c>
      <c r="O34" s="2040" t="s">
        <v>434</v>
      </c>
      <c r="P34" s="3691" t="s">
        <v>3162</v>
      </c>
      <c r="Q34" s="2361" t="s">
        <v>1784</v>
      </c>
      <c r="T34" s="2040" t="s">
        <v>1785</v>
      </c>
      <c r="U34" s="2040" t="s">
        <v>402</v>
      </c>
      <c r="V34" s="2040" t="s">
        <v>3077</v>
      </c>
    </row>
    <row r="35" spans="5:23" ht="14.5">
      <c r="E35" s="2369"/>
      <c r="F35" s="2103" t="s">
        <v>461</v>
      </c>
      <c r="G35" s="2049" t="s">
        <v>462</v>
      </c>
      <c r="H35" s="2374" t="str">
        <f>LEFT(Modules[Code], FIND(".", Modules[Code])-1)</f>
        <v>X</v>
      </c>
      <c r="I35" s="2374" t="str">
        <f>INDEX(Workstreams[Workstream], MATCH(Modules[WS Code], Workstreams[Code], 0))</f>
        <v>Lighting and appliances</v>
      </c>
      <c r="J35" s="2049"/>
      <c r="L35" s="2369"/>
      <c r="M35" s="2042" t="s">
        <v>1755</v>
      </c>
      <c r="N35" s="2040" t="s">
        <v>1767</v>
      </c>
      <c r="O35" s="2040" t="s">
        <v>435</v>
      </c>
      <c r="P35" s="2042" t="s">
        <v>3158</v>
      </c>
      <c r="Q35" s="2357"/>
      <c r="T35" s="2040" t="s">
        <v>1786</v>
      </c>
      <c r="U35" s="2040" t="s">
        <v>144</v>
      </c>
      <c r="V35" s="2040" t="s">
        <v>1787</v>
      </c>
    </row>
    <row r="36" spans="5:23" ht="14.5">
      <c r="E36" s="2369"/>
      <c r="F36" s="2103" t="s">
        <v>463</v>
      </c>
      <c r="G36" s="2049" t="s">
        <v>464</v>
      </c>
      <c r="H36" s="2374" t="str">
        <f>LEFT(Modules[Code], FIND(".", Modules[Code])-1)</f>
        <v>X</v>
      </c>
      <c r="I36" s="2374" t="str">
        <f>INDEX(Workstreams[Workstream], MATCH(Modules[WS Code], Workstreams[Code], 0))</f>
        <v>Lighting and appliances</v>
      </c>
      <c r="J36" s="2049"/>
      <c r="L36" s="2369"/>
      <c r="M36" s="2042" t="s">
        <v>1755</v>
      </c>
      <c r="N36" s="2040" t="s">
        <v>1788</v>
      </c>
      <c r="O36" s="2040" t="s">
        <v>427</v>
      </c>
      <c r="P36" s="2042" t="s">
        <v>2693</v>
      </c>
      <c r="Q36" s="2361"/>
      <c r="T36" s="2040" t="s">
        <v>1789</v>
      </c>
      <c r="U36" s="2040" t="s">
        <v>828</v>
      </c>
      <c r="V36" s="2040" t="s">
        <v>1790</v>
      </c>
      <c r="W36" s="2040" t="s">
        <v>1791</v>
      </c>
    </row>
    <row r="37" spans="5:23" ht="14.5">
      <c r="E37" s="2369"/>
      <c r="F37" s="2103" t="s">
        <v>466</v>
      </c>
      <c r="G37" s="2049" t="s">
        <v>467</v>
      </c>
      <c r="H37" s="2374" t="str">
        <f>LEFT(Modules[Code], FIND(".", Modules[Code])-1)</f>
        <v>XI</v>
      </c>
      <c r="I37" s="2374" t="str">
        <f>INDEX(Workstreams[Workstream], MATCH(Modules[WS Code], Workstreams[Code], 0))</f>
        <v>Industry</v>
      </c>
      <c r="J37" s="2049"/>
      <c r="L37" s="2369"/>
      <c r="M37" s="2042" t="s">
        <v>1755</v>
      </c>
      <c r="N37" s="2040" t="s">
        <v>1788</v>
      </c>
      <c r="O37" s="2040" t="s">
        <v>428</v>
      </c>
      <c r="P37" s="2042" t="s">
        <v>379</v>
      </c>
      <c r="Q37" s="2361"/>
      <c r="T37" s="2040" t="s">
        <v>1792</v>
      </c>
      <c r="U37" s="2040" t="s">
        <v>1793</v>
      </c>
      <c r="V37" s="2040" t="s">
        <v>1794</v>
      </c>
      <c r="W37" s="2040" t="s">
        <v>1795</v>
      </c>
    </row>
    <row r="38" spans="5:23" ht="14.5">
      <c r="E38" s="2379"/>
      <c r="F38" s="2103" t="s">
        <v>469</v>
      </c>
      <c r="G38" s="2049" t="s">
        <v>470</v>
      </c>
      <c r="H38" s="2374" t="str">
        <f>LEFT(Modules[Code], FIND(".", Modules[Code])-1)</f>
        <v>XII</v>
      </c>
      <c r="I38" s="2374" t="str">
        <f>INDEX(Workstreams[Workstream], MATCH(Modules[WS Code], Workstreams[Code], 0))</f>
        <v>Transport</v>
      </c>
      <c r="J38" s="2049"/>
      <c r="L38" s="2379"/>
      <c r="M38" s="2042" t="s">
        <v>1755</v>
      </c>
      <c r="N38" s="2040" t="s">
        <v>1788</v>
      </c>
      <c r="O38" s="2040" t="s">
        <v>429</v>
      </c>
      <c r="P38" s="2042" t="s">
        <v>380</v>
      </c>
      <c r="Q38" s="2361"/>
      <c r="T38" s="2040" t="s">
        <v>1796</v>
      </c>
      <c r="U38" s="2040" t="s">
        <v>402</v>
      </c>
      <c r="V38" s="2040" t="s">
        <v>3077</v>
      </c>
    </row>
    <row r="39" spans="5:23" ht="26">
      <c r="E39" s="2379"/>
      <c r="F39" s="2103" t="s">
        <v>471</v>
      </c>
      <c r="G39" s="2049" t="s">
        <v>472</v>
      </c>
      <c r="H39" s="2374" t="str">
        <f>LEFT(Modules[Code], FIND(".", Modules[Code])-1)</f>
        <v>XII</v>
      </c>
      <c r="I39" s="2374" t="str">
        <f>INDEX(Workstreams[Workstream], MATCH(Modules[WS Code], Workstreams[Code], 0))</f>
        <v>Transport</v>
      </c>
      <c r="J39" s="2049"/>
      <c r="L39" s="2379"/>
      <c r="M39" s="2042" t="s">
        <v>28</v>
      </c>
      <c r="N39" s="2042" t="s">
        <v>1797</v>
      </c>
      <c r="O39" s="2356" t="s">
        <v>416</v>
      </c>
      <c r="P39" s="3691" t="s">
        <v>2888</v>
      </c>
      <c r="Q39" s="2361" t="s">
        <v>1798</v>
      </c>
    </row>
    <row r="40" spans="5:23" ht="26">
      <c r="E40" s="2379"/>
      <c r="F40" s="2103" t="s">
        <v>473</v>
      </c>
      <c r="G40" s="2049" t="s">
        <v>364</v>
      </c>
      <c r="H40" s="2374" t="str">
        <f>LEFT(Modules[Code], FIND(".", Modules[Code])-1)</f>
        <v>XII</v>
      </c>
      <c r="I40" s="2374" t="str">
        <f>INDEX(Workstreams[Workstream], MATCH(Modules[WS Code], Workstreams[Code], 0))</f>
        <v>Transport</v>
      </c>
      <c r="J40" s="2049"/>
      <c r="L40" s="2379"/>
      <c r="M40" s="3549" t="s">
        <v>28</v>
      </c>
      <c r="N40" s="3549" t="s">
        <v>1797</v>
      </c>
      <c r="O40" s="3549" t="s">
        <v>417</v>
      </c>
      <c r="P40" s="2042" t="s">
        <v>368</v>
      </c>
      <c r="Q40" s="2361" t="s">
        <v>1798</v>
      </c>
      <c r="S40" s="2040" t="s">
        <v>5</v>
      </c>
    </row>
    <row r="41" spans="5:23" ht="26">
      <c r="E41" s="2379"/>
      <c r="F41" s="2103" t="s">
        <v>477</v>
      </c>
      <c r="G41" s="2049" t="s">
        <v>365</v>
      </c>
      <c r="H41" s="2374" t="str">
        <f>LEFT(Modules[Code], FIND(".", Modules[Code])-1)</f>
        <v>XII</v>
      </c>
      <c r="I41" s="2374" t="str">
        <f>INDEX(Workstreams[Workstream], MATCH(Modules[WS Code], Workstreams[Code], 0))</f>
        <v>Transport</v>
      </c>
      <c r="J41" s="2049"/>
      <c r="L41" s="2379"/>
      <c r="M41" s="2042" t="s">
        <v>28</v>
      </c>
      <c r="N41" s="2042" t="s">
        <v>1797</v>
      </c>
      <c r="O41" s="2356" t="s">
        <v>418</v>
      </c>
      <c r="P41" s="2042" t="s">
        <v>141</v>
      </c>
      <c r="Q41" s="2361" t="s">
        <v>1798</v>
      </c>
    </row>
    <row r="42" spans="5:23" ht="14.5">
      <c r="E42" s="2379"/>
      <c r="F42" s="2103" t="s">
        <v>483</v>
      </c>
      <c r="G42" s="2049" t="s">
        <v>3079</v>
      </c>
      <c r="H42" s="2374" t="str">
        <f>LEFT(Modules[Code], FIND(".", Modules[Code])-1)</f>
        <v>XIII</v>
      </c>
      <c r="I42" s="2374" t="str">
        <f>INDEX(Workstreams[Workstream], MATCH(Modules[WS Code], Workstreams[Code], 0))</f>
        <v>Food consumption [unused]</v>
      </c>
      <c r="J42" s="2049"/>
      <c r="L42" s="2379"/>
      <c r="M42" s="2042" t="s">
        <v>28</v>
      </c>
      <c r="N42" s="2042" t="s">
        <v>1217</v>
      </c>
      <c r="O42" s="2356" t="s">
        <v>95</v>
      </c>
      <c r="P42" s="2356" t="s">
        <v>85</v>
      </c>
      <c r="Q42" s="2042"/>
    </row>
    <row r="43" spans="5:23" ht="14.5">
      <c r="E43" s="2379"/>
      <c r="F43" s="2103" t="s">
        <v>485</v>
      </c>
      <c r="G43" s="2049" t="s">
        <v>486</v>
      </c>
      <c r="H43" s="2374" t="str">
        <f>LEFT(Modules[Code], FIND(".", Modules[Code])-1)</f>
        <v>XIV</v>
      </c>
      <c r="I43" s="2374" t="str">
        <f>INDEX(Workstreams[Workstream], MATCH(Modules[WS Code], Workstreams[Code], 0))</f>
        <v>Geosequestration</v>
      </c>
      <c r="J43" s="2049"/>
      <c r="L43" s="2379"/>
      <c r="M43" s="2042" t="s">
        <v>28</v>
      </c>
      <c r="N43" s="2042" t="s">
        <v>1217</v>
      </c>
      <c r="O43" s="2356" t="s">
        <v>96</v>
      </c>
      <c r="P43" s="2042" t="s">
        <v>86</v>
      </c>
      <c r="Q43" s="2357"/>
    </row>
    <row r="44" spans="5:23" ht="14.5">
      <c r="E44" s="2379"/>
      <c r="F44" s="2103" t="s">
        <v>505</v>
      </c>
      <c r="G44" s="2049" t="s">
        <v>506</v>
      </c>
      <c r="H44" s="2374" t="str">
        <f>LEFT(Modules[Code], FIND(".", Modules[Code])-1)</f>
        <v>XV</v>
      </c>
      <c r="I44" s="2374" t="str">
        <f>INDEX(Workstreams[Workstream], MATCH(Modules[WS Code], Workstreams[Code], 0))</f>
        <v>Fossil fuel production</v>
      </c>
      <c r="J44" s="2049"/>
      <c r="L44" s="2379"/>
      <c r="M44" s="2042" t="s">
        <v>28</v>
      </c>
      <c r="N44" s="2042" t="s">
        <v>1799</v>
      </c>
      <c r="O44" s="2042" t="s">
        <v>97</v>
      </c>
      <c r="P44" s="2356" t="s">
        <v>87</v>
      </c>
      <c r="Q44" s="2361" t="s">
        <v>1800</v>
      </c>
    </row>
    <row r="45" spans="5:23" ht="14.5">
      <c r="E45" s="2379"/>
      <c r="F45" s="2103" t="s">
        <v>507</v>
      </c>
      <c r="G45" s="2049" t="s">
        <v>508</v>
      </c>
      <c r="H45" s="2374" t="str">
        <f>LEFT(Modules[Code], FIND(".", Modules[Code])-1)</f>
        <v>XV</v>
      </c>
      <c r="I45" s="2374" t="str">
        <f>INDEX(Workstreams[Workstream], MATCH(Modules[WS Code], Workstreams[Code], 0))</f>
        <v>Fossil fuel production</v>
      </c>
      <c r="J45" s="2049"/>
      <c r="L45" s="2379"/>
      <c r="M45" s="2042" t="s">
        <v>28</v>
      </c>
      <c r="N45" s="2042" t="s">
        <v>1799</v>
      </c>
      <c r="O45" s="2042" t="s">
        <v>98</v>
      </c>
      <c r="P45" s="2356" t="s">
        <v>88</v>
      </c>
      <c r="Q45" s="2361" t="s">
        <v>1801</v>
      </c>
    </row>
    <row r="46" spans="5:23" ht="14.5">
      <c r="E46" s="2379"/>
      <c r="F46" s="2103" t="s">
        <v>574</v>
      </c>
      <c r="G46" s="2049" t="s">
        <v>575</v>
      </c>
      <c r="H46" s="2374" t="str">
        <f>LEFT(Modules[Code], FIND(".", Modules[Code])-1)</f>
        <v>XVI</v>
      </c>
      <c r="I46" s="2374" t="str">
        <f>INDEX(Workstreams[Workstream], MATCH(Modules[WS Code], Workstreams[Code], 0))</f>
        <v>Transfers</v>
      </c>
      <c r="J46" s="2049" t="s">
        <v>1807</v>
      </c>
      <c r="L46" s="2379"/>
      <c r="M46" s="2042" t="s">
        <v>28</v>
      </c>
      <c r="N46" s="2042" t="s">
        <v>1799</v>
      </c>
      <c r="O46" s="2042" t="s">
        <v>99</v>
      </c>
      <c r="P46" s="2042" t="s">
        <v>89</v>
      </c>
      <c r="Q46" s="2361" t="s">
        <v>1802</v>
      </c>
    </row>
    <row r="47" spans="5:23" ht="14.5">
      <c r="E47" s="2379"/>
      <c r="F47" s="2103" t="s">
        <v>577</v>
      </c>
      <c r="G47" s="2049" t="s">
        <v>578</v>
      </c>
      <c r="H47" s="2374" t="str">
        <f>LEFT(Modules[Code], FIND(".", Modules[Code])-1)</f>
        <v>XVI</v>
      </c>
      <c r="I47" s="2374" t="str">
        <f>INDEX(Workstreams[Workstream], MATCH(Modules[WS Code], Workstreams[Code], 0))</f>
        <v>Transfers</v>
      </c>
      <c r="J47" s="2049"/>
      <c r="L47" s="2379"/>
      <c r="M47" s="2042" t="s">
        <v>28</v>
      </c>
      <c r="N47" s="2042" t="s">
        <v>1799</v>
      </c>
      <c r="O47" s="2042" t="s">
        <v>419</v>
      </c>
      <c r="P47" s="2042" t="s">
        <v>369</v>
      </c>
      <c r="Q47" s="2361"/>
    </row>
    <row r="48" spans="5:23" ht="26">
      <c r="E48" s="2379"/>
      <c r="F48" s="2103" t="s">
        <v>533</v>
      </c>
      <c r="G48" s="2049" t="s">
        <v>534</v>
      </c>
      <c r="H48" s="2374" t="str">
        <f>LEFT(Modules[Code], FIND(".", Modules[Code])-1)</f>
        <v>XVII</v>
      </c>
      <c r="I48" s="2374" t="str">
        <f>INDEX(Workstreams[Workstream], MATCH(Modules[WS Code], Workstreams[Code], 0))</f>
        <v>District heating</v>
      </c>
      <c r="J48" s="2049" t="s">
        <v>1810</v>
      </c>
      <c r="L48" s="2379"/>
      <c r="M48" s="2042" t="s">
        <v>28</v>
      </c>
      <c r="N48" s="2042" t="s">
        <v>1390</v>
      </c>
      <c r="O48" s="2042" t="s">
        <v>100</v>
      </c>
      <c r="P48" s="2042" t="s">
        <v>90</v>
      </c>
      <c r="Q48" s="2361" t="s">
        <v>1803</v>
      </c>
    </row>
    <row r="49" spans="5:17" ht="14.5">
      <c r="E49" s="2379"/>
      <c r="F49" s="2103" t="s">
        <v>1487</v>
      </c>
      <c r="G49" s="2049" t="s">
        <v>1488</v>
      </c>
      <c r="H49" s="2374" t="s">
        <v>1761</v>
      </c>
      <c r="I49" s="2374" t="s">
        <v>1488</v>
      </c>
      <c r="J49" s="2049"/>
      <c r="L49" s="2379"/>
      <c r="M49" s="2042" t="s">
        <v>28</v>
      </c>
      <c r="N49" s="2042" t="s">
        <v>1804</v>
      </c>
      <c r="O49" s="2042" t="s">
        <v>420</v>
      </c>
      <c r="P49" s="2042" t="s">
        <v>370</v>
      </c>
      <c r="Q49" s="2361" t="s">
        <v>1805</v>
      </c>
    </row>
    <row r="50" spans="5:17" ht="39">
      <c r="E50" s="2379"/>
      <c r="F50" s="2103"/>
      <c r="G50" s="2049"/>
      <c r="H50" s="2374"/>
      <c r="I50" s="2374"/>
      <c r="J50" s="2049"/>
      <c r="L50" s="2379"/>
      <c r="M50" s="2042" t="s">
        <v>28</v>
      </c>
      <c r="N50" s="2042" t="s">
        <v>1804</v>
      </c>
      <c r="O50" s="2042" t="s">
        <v>423</v>
      </c>
      <c r="P50" s="2042" t="s">
        <v>373</v>
      </c>
      <c r="Q50" s="2361" t="s">
        <v>1806</v>
      </c>
    </row>
    <row r="51" spans="5:17" ht="26">
      <c r="E51" s="2379"/>
      <c r="F51" s="2103"/>
      <c r="G51" s="2049"/>
      <c r="H51" s="2374"/>
      <c r="I51" s="2374"/>
      <c r="J51" s="2049"/>
      <c r="L51" s="2379"/>
      <c r="M51" s="2042" t="s">
        <v>28</v>
      </c>
      <c r="N51" s="2042" t="s">
        <v>1218</v>
      </c>
      <c r="O51" s="2042" t="s">
        <v>424</v>
      </c>
      <c r="P51" s="2042" t="s">
        <v>374</v>
      </c>
      <c r="Q51" s="2361" t="s">
        <v>1808</v>
      </c>
    </row>
    <row r="52" spans="5:17" ht="14.5">
      <c r="E52" s="2379"/>
      <c r="L52" s="2379"/>
      <c r="M52" s="2380" t="s">
        <v>28</v>
      </c>
      <c r="N52" s="2088" t="s">
        <v>147</v>
      </c>
      <c r="O52" s="2380" t="s">
        <v>425</v>
      </c>
      <c r="P52" s="2381" t="s">
        <v>375</v>
      </c>
      <c r="Q52" s="2382" t="s">
        <v>1809</v>
      </c>
    </row>
    <row r="53" spans="5:17" ht="14.5">
      <c r="E53" s="2379"/>
      <c r="L53" s="2379"/>
      <c r="M53" s="2380" t="s">
        <v>28</v>
      </c>
      <c r="N53" s="2088" t="s">
        <v>1743</v>
      </c>
      <c r="O53" s="2088" t="s">
        <v>31</v>
      </c>
      <c r="P53" s="2049" t="s">
        <v>32</v>
      </c>
      <c r="Q53" s="2383" t="s">
        <v>1811</v>
      </c>
    </row>
    <row r="54" spans="5:17" ht="15">
      <c r="E54" s="2379"/>
      <c r="L54" s="2379"/>
      <c r="M54" s="2380" t="s">
        <v>28</v>
      </c>
      <c r="N54" s="2042" t="s">
        <v>1218</v>
      </c>
      <c r="O54" s="2042" t="s">
        <v>426</v>
      </c>
      <c r="P54" s="2356" t="s">
        <v>1812</v>
      </c>
      <c r="Q54" s="2382"/>
    </row>
    <row r="55" spans="5:17" ht="14.5">
      <c r="E55" s="2379"/>
      <c r="L55" s="2379"/>
      <c r="M55" s="2380" t="s">
        <v>28</v>
      </c>
      <c r="N55" s="2088" t="s">
        <v>147</v>
      </c>
      <c r="O55" s="2088" t="s">
        <v>421</v>
      </c>
      <c r="P55" s="2049" t="s">
        <v>371</v>
      </c>
      <c r="Q55" s="2383" t="s">
        <v>1813</v>
      </c>
    </row>
    <row r="56" spans="5:17" ht="14.5">
      <c r="E56" s="2379"/>
      <c r="L56" s="2379"/>
      <c r="M56" s="2380" t="s">
        <v>28</v>
      </c>
      <c r="N56" s="2088" t="s">
        <v>147</v>
      </c>
      <c r="O56" s="2380" t="s">
        <v>422</v>
      </c>
      <c r="P56" s="2049" t="s">
        <v>372</v>
      </c>
      <c r="Q56" s="2383" t="s">
        <v>1814</v>
      </c>
    </row>
    <row r="57" spans="5:17" ht="14.5">
      <c r="E57" s="2379"/>
      <c r="L57" s="2369"/>
      <c r="M57" s="2380" t="s">
        <v>310</v>
      </c>
      <c r="N57" s="2088" t="s">
        <v>1815</v>
      </c>
      <c r="O57" s="2380" t="s">
        <v>868</v>
      </c>
      <c r="P57" s="2049" t="s">
        <v>2692</v>
      </c>
      <c r="Q57" s="2382"/>
    </row>
    <row r="58" spans="5:17" ht="14.5">
      <c r="E58" s="2379"/>
      <c r="L58" s="2369"/>
      <c r="M58" s="2380" t="s">
        <v>310</v>
      </c>
      <c r="N58" s="2088" t="s">
        <v>1815</v>
      </c>
      <c r="O58" s="2380" t="s">
        <v>859</v>
      </c>
      <c r="P58" s="2381" t="s">
        <v>3081</v>
      </c>
      <c r="Q58" s="2382"/>
    </row>
    <row r="59" spans="5:17" ht="14.5">
      <c r="L59" s="2369"/>
      <c r="M59" s="2380" t="s">
        <v>310</v>
      </c>
      <c r="N59" s="2380" t="s">
        <v>1815</v>
      </c>
      <c r="O59" s="2380" t="s">
        <v>1816</v>
      </c>
      <c r="P59" s="2381" t="s">
        <v>1817</v>
      </c>
      <c r="Q59" s="2382"/>
    </row>
    <row r="60" spans="5:17" ht="14.5">
      <c r="L60" s="2369"/>
      <c r="M60" s="2380" t="s">
        <v>310</v>
      </c>
      <c r="N60" s="2088" t="s">
        <v>1818</v>
      </c>
      <c r="O60" s="2088" t="s">
        <v>916</v>
      </c>
      <c r="P60" s="2049" t="s">
        <v>1819</v>
      </c>
      <c r="Q60" s="2382"/>
    </row>
    <row r="61" spans="5:17" ht="14.5">
      <c r="L61" s="2369"/>
      <c r="M61" s="2380" t="s">
        <v>310</v>
      </c>
      <c r="N61" s="2380" t="s">
        <v>1713</v>
      </c>
      <c r="O61" s="2380" t="s">
        <v>748</v>
      </c>
      <c r="P61" s="2381" t="s">
        <v>749</v>
      </c>
      <c r="Q61" s="2382"/>
    </row>
    <row r="62" spans="5:17" ht="14.5">
      <c r="L62" s="2369"/>
      <c r="M62" s="2088" t="s">
        <v>310</v>
      </c>
      <c r="N62" s="2088" t="s">
        <v>1713</v>
      </c>
      <c r="O62" s="2088" t="s">
        <v>750</v>
      </c>
      <c r="P62" s="2049" t="s">
        <v>714</v>
      </c>
      <c r="Q62" s="2382"/>
    </row>
    <row r="63" spans="5:17" ht="14.5">
      <c r="L63" s="2369"/>
      <c r="M63" s="2380" t="s">
        <v>310</v>
      </c>
      <c r="N63" s="2088" t="s">
        <v>1713</v>
      </c>
      <c r="O63" s="2380" t="s">
        <v>313</v>
      </c>
      <c r="P63" s="2381" t="s">
        <v>3087</v>
      </c>
      <c r="Q63" s="2382"/>
    </row>
    <row r="64" spans="5:17" ht="14.5">
      <c r="L64" s="2369"/>
      <c r="M64" s="2380" t="s">
        <v>310</v>
      </c>
      <c r="N64" s="2380" t="s">
        <v>1740</v>
      </c>
      <c r="O64" s="2380" t="s">
        <v>1820</v>
      </c>
      <c r="P64" s="2381" t="s">
        <v>607</v>
      </c>
      <c r="Q64" s="2382" t="s">
        <v>1821</v>
      </c>
    </row>
    <row r="65" spans="12:17" ht="14.5">
      <c r="L65" s="2369"/>
      <c r="M65" s="2088" t="s">
        <v>310</v>
      </c>
      <c r="N65" s="2088" t="s">
        <v>1740</v>
      </c>
      <c r="O65" s="2088" t="s">
        <v>1233</v>
      </c>
      <c r="P65" s="2049" t="s">
        <v>1234</v>
      </c>
      <c r="Q65" s="2383" t="s">
        <v>1822</v>
      </c>
    </row>
    <row r="66" spans="12:17" ht="14.5">
      <c r="L66" s="2369"/>
      <c r="M66" s="2088" t="s">
        <v>310</v>
      </c>
      <c r="N66" s="2088" t="s">
        <v>1740</v>
      </c>
      <c r="O66" s="2088" t="s">
        <v>315</v>
      </c>
      <c r="P66" s="2049" t="s">
        <v>316</v>
      </c>
      <c r="Q66" s="2383" t="s">
        <v>1822</v>
      </c>
    </row>
    <row r="67" spans="12:17" ht="14.5">
      <c r="L67" s="2369"/>
      <c r="M67" s="2088" t="s">
        <v>310</v>
      </c>
      <c r="N67" s="2088" t="s">
        <v>1740</v>
      </c>
      <c r="O67" s="2088" t="s">
        <v>317</v>
      </c>
      <c r="P67" s="2049" t="s">
        <v>318</v>
      </c>
      <c r="Q67" s="2383" t="s">
        <v>1822</v>
      </c>
    </row>
    <row r="68" spans="12:17" ht="14.5">
      <c r="L68" s="2369"/>
      <c r="M68" s="2088" t="s">
        <v>310</v>
      </c>
      <c r="N68" s="2088" t="s">
        <v>1740</v>
      </c>
      <c r="O68" s="2088" t="s">
        <v>1823</v>
      </c>
      <c r="P68" s="2049" t="s">
        <v>1824</v>
      </c>
      <c r="Q68" s="2383" t="s">
        <v>1822</v>
      </c>
    </row>
    <row r="69" spans="12:17" ht="14.5">
      <c r="L69" s="2369"/>
      <c r="M69" s="2133"/>
      <c r="P69" s="2133"/>
      <c r="Q69" s="2357"/>
    </row>
    <row r="70" spans="12:17" ht="14.5">
      <c r="L70" s="2369"/>
      <c r="M70" s="2133"/>
      <c r="P70" s="2133"/>
      <c r="Q70" s="2357"/>
    </row>
    <row r="71" spans="12:17" ht="13">
      <c r="L71" s="2133"/>
      <c r="M71" s="2133"/>
      <c r="P71" s="2133"/>
      <c r="Q71" s="2357"/>
    </row>
    <row r="72" spans="12:17" ht="13">
      <c r="L72" s="2133"/>
      <c r="M72" s="2133"/>
      <c r="P72" s="2133"/>
      <c r="Q72" s="2357"/>
    </row>
    <row r="73" spans="12:17" ht="13">
      <c r="L73" s="2133"/>
      <c r="M73" s="2133"/>
      <c r="P73" s="2133"/>
      <c r="Q73" s="2357"/>
    </row>
    <row r="74" spans="12:17" ht="13">
      <c r="L74" s="2133"/>
      <c r="M74" s="2133"/>
      <c r="P74" s="2133"/>
      <c r="Q74" s="2357"/>
    </row>
    <row r="75" spans="12:17" ht="13">
      <c r="L75" s="2133"/>
      <c r="M75" s="2133"/>
      <c r="P75" s="2133"/>
      <c r="Q75" s="2357"/>
    </row>
    <row r="76" spans="12:17" ht="13">
      <c r="L76" s="2133"/>
      <c r="M76" s="2133"/>
      <c r="P76" s="2133"/>
      <c r="Q76" s="2357"/>
    </row>
    <row r="77" spans="12:17" ht="13">
      <c r="L77" s="2133"/>
      <c r="M77" s="2133"/>
      <c r="P77" s="2133"/>
      <c r="Q77" s="2357"/>
    </row>
    <row r="78" spans="12:17" ht="13">
      <c r="L78" s="2133"/>
      <c r="M78" s="2133"/>
      <c r="P78" s="2133"/>
      <c r="Q78" s="2357"/>
    </row>
    <row r="79" spans="12:17" ht="13">
      <c r="L79" s="2133"/>
      <c r="M79" s="2133"/>
      <c r="P79" s="2133"/>
      <c r="Q79" s="2357"/>
    </row>
    <row r="80" spans="12:17" ht="13">
      <c r="L80" s="2133"/>
      <c r="M80" s="2133"/>
      <c r="P80" s="2133"/>
      <c r="Q80" s="2357"/>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sheetPr>
  <dimension ref="A1:XFC423"/>
  <sheetViews>
    <sheetView showGridLines="0" topLeftCell="A239" zoomScale="80" zoomScaleNormal="80" workbookViewId="0">
      <selection activeCell="F249" sqref="F249"/>
    </sheetView>
  </sheetViews>
  <sheetFormatPr defaultColWidth="8.81640625" defaultRowHeight="14.5"/>
  <cols>
    <col min="1" max="1" width="7.7265625" customWidth="1"/>
    <col min="2" max="2" width="5.81640625" customWidth="1"/>
    <col min="3" max="3" width="30.54296875" customWidth="1"/>
    <col min="4" max="4" width="30.7265625" customWidth="1"/>
    <col min="5" max="5" width="20.7265625" customWidth="1"/>
    <col min="6" max="14" width="17.7265625" customWidth="1"/>
    <col min="15" max="15" width="2" customWidth="1"/>
    <col min="16" max="16" width="10.81640625" customWidth="1"/>
    <col min="17" max="27" width="13.26953125" customWidth="1"/>
  </cols>
  <sheetData>
    <row r="1" spans="1:114" ht="20">
      <c r="A1" s="1007" t="s">
        <v>549</v>
      </c>
      <c r="B1" s="1007" t="s">
        <v>550</v>
      </c>
      <c r="C1" s="1007"/>
    </row>
    <row r="2" spans="1:114" s="6" customFormat="1" ht="15">
      <c r="A2" s="855" t="s">
        <v>547</v>
      </c>
      <c r="B2" s="855" t="s">
        <v>2695</v>
      </c>
      <c r="C2" s="855"/>
      <c r="E2" s="5"/>
      <c r="L2" s="6" t="s">
        <v>5</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
      <c r="A3"/>
      <c r="B3" s="855"/>
      <c r="C3" s="855"/>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5">
      <c r="A4" s="7"/>
      <c r="B4" s="502" t="s">
        <v>352</v>
      </c>
      <c r="C4" s="856"/>
      <c r="D4" s="503"/>
      <c r="E4" s="504"/>
      <c r="F4" s="503"/>
      <c r="G4" s="503"/>
      <c r="H4" s="503"/>
      <c r="I4" s="503"/>
      <c r="J4" s="503"/>
      <c r="K4" s="503"/>
      <c r="L4" s="503"/>
      <c r="M4" s="503"/>
      <c r="N4" s="503"/>
      <c r="O4" s="857"/>
    </row>
    <row r="5" spans="1:114">
      <c r="B5" s="862"/>
      <c r="C5" s="12"/>
      <c r="D5" s="506"/>
      <c r="E5" s="507"/>
      <c r="F5" s="506"/>
      <c r="G5" s="506"/>
      <c r="H5" s="506"/>
      <c r="I5" s="506"/>
      <c r="J5" s="506"/>
      <c r="K5" s="506"/>
      <c r="L5" s="506"/>
      <c r="M5" s="506"/>
      <c r="N5" s="506"/>
      <c r="O5" s="858"/>
    </row>
    <row r="6" spans="1:114" ht="15.5">
      <c r="B6" s="1008"/>
      <c r="C6" s="506"/>
      <c r="D6" s="16" t="s">
        <v>7</v>
      </c>
      <c r="E6" s="16" t="s">
        <v>8</v>
      </c>
      <c r="F6" s="506"/>
      <c r="G6" s="506"/>
      <c r="H6" s="506"/>
      <c r="I6" s="506"/>
      <c r="J6" s="506"/>
      <c r="K6" s="506"/>
      <c r="L6" s="506"/>
      <c r="M6" s="506"/>
      <c r="N6" s="506"/>
      <c r="O6" s="858"/>
    </row>
    <row r="7" spans="1:114" ht="15.5">
      <c r="B7" s="1008"/>
      <c r="C7" s="506"/>
      <c r="D7" s="859" t="s">
        <v>8</v>
      </c>
      <c r="E7" s="859">
        <f>I.a.Scenario</f>
        <v>1</v>
      </c>
      <c r="F7" s="506"/>
      <c r="G7" s="506"/>
      <c r="H7" s="506"/>
      <c r="I7" s="506"/>
      <c r="J7" s="506"/>
      <c r="K7" s="506"/>
      <c r="L7" s="506"/>
      <c r="M7" s="506"/>
      <c r="N7" s="506"/>
      <c r="O7" s="858"/>
    </row>
    <row r="8" spans="1:114" ht="15.5">
      <c r="B8" s="1011"/>
      <c r="C8" s="443"/>
      <c r="D8" s="443"/>
      <c r="E8" s="443"/>
      <c r="F8" s="860"/>
      <c r="G8" s="860"/>
      <c r="H8" s="860"/>
      <c r="I8" s="860"/>
      <c r="J8" s="860"/>
      <c r="K8" s="860"/>
      <c r="L8" s="860"/>
      <c r="M8" s="860"/>
      <c r="N8" s="860"/>
      <c r="O8" s="861"/>
    </row>
    <row r="10" spans="1:114" ht="23.5">
      <c r="A10" s="7"/>
      <c r="B10" s="502" t="s">
        <v>24</v>
      </c>
      <c r="C10" s="503"/>
      <c r="D10" s="503"/>
      <c r="E10" s="503"/>
      <c r="F10" s="503"/>
      <c r="G10" s="503"/>
      <c r="H10" s="503"/>
      <c r="I10" s="503"/>
      <c r="J10" s="503"/>
      <c r="K10" s="503"/>
      <c r="L10" s="503"/>
      <c r="M10" s="503"/>
      <c r="N10" s="503"/>
      <c r="O10" s="857"/>
    </row>
    <row r="11" spans="1:114">
      <c r="B11" s="505"/>
      <c r="C11" s="506"/>
      <c r="D11" s="506"/>
      <c r="E11" s="506"/>
      <c r="F11" s="506"/>
      <c r="G11" s="506"/>
      <c r="H11" s="506"/>
      <c r="I11" s="506"/>
      <c r="J11" s="506"/>
      <c r="K11" s="506"/>
      <c r="L11" s="506"/>
      <c r="M11" s="506"/>
      <c r="N11" s="506"/>
      <c r="O11" s="858"/>
    </row>
    <row r="12" spans="1:114">
      <c r="B12" s="505"/>
      <c r="C12" s="34" t="s">
        <v>709</v>
      </c>
      <c r="D12" s="506"/>
      <c r="E12" s="506"/>
      <c r="F12" s="506"/>
      <c r="G12" s="506"/>
      <c r="H12" s="506"/>
      <c r="I12" s="506"/>
      <c r="J12" s="506"/>
      <c r="K12" s="506"/>
      <c r="L12" s="506"/>
      <c r="M12" s="506"/>
      <c r="N12" s="507" t="str">
        <f>Preferences.EnergyUnits</f>
        <v>TWh</v>
      </c>
      <c r="O12" s="858"/>
    </row>
    <row r="13" spans="1:114">
      <c r="B13" s="505"/>
      <c r="C13" s="12"/>
      <c r="D13" s="506"/>
      <c r="E13" s="507"/>
      <c r="F13" s="506"/>
      <c r="G13" s="506"/>
      <c r="H13" s="506"/>
      <c r="I13" s="506"/>
      <c r="J13" s="506"/>
      <c r="K13" s="506"/>
      <c r="L13" s="506"/>
      <c r="M13" s="506"/>
      <c r="N13" s="506"/>
      <c r="O13" s="858"/>
    </row>
    <row r="14" spans="1:114" s="6" customFormat="1" ht="15.5">
      <c r="A14"/>
      <c r="B14" s="19"/>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865"/>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0" customFormat="1" ht="15.5">
      <c r="A15" s="39"/>
      <c r="B15" s="19"/>
      <c r="C15" s="864" t="s">
        <v>95</v>
      </c>
      <c r="D15" s="864" t="s">
        <v>85</v>
      </c>
      <c r="E15" s="864"/>
      <c r="F15" s="1324">
        <f ca="1">INDEX(INDIRECT("'"&amp;I.a.Inputs[#Headers]&amp;"'!Year.Matrix"), MATCH("Subtotal."&amp;$A$2, INDIRECT("'"&amp;I.a.Inputs[#Headers]&amp;"'!Year.Modules"), 0), MATCH(I.a.Inputs[Vector], INDIRECT("'"&amp;I.a.Inputs[#Headers]&amp;"'!Year.Vectors"), 0))</f>
        <v>-24.08816123287685</v>
      </c>
      <c r="G15" s="1324">
        <f ca="1">INDEX(INDIRECT("'"&amp;I.a.Inputs[#Headers]&amp;"'!Year.Matrix"), MATCH("Subtotal."&amp;$A$2, INDIRECT("'"&amp;I.a.Inputs[#Headers]&amp;"'!Year.Modules"), 0), MATCH(I.a.Inputs[Vector], INDIRECT("'"&amp;I.a.Inputs[#Headers]&amp;"'!Year.Vectors"), 0))</f>
        <v>-24.811521893199025</v>
      </c>
      <c r="H15" s="1324">
        <f ca="1">INDEX(INDIRECT("'"&amp;I.a.Inputs[#Headers]&amp;"'!Year.Matrix"), MATCH("Subtotal."&amp;$A$2, INDIRECT("'"&amp;I.a.Inputs[#Headers]&amp;"'!Year.Modules"), 0), MATCH(I.a.Inputs[Vector], INDIRECT("'"&amp;I.a.Inputs[#Headers]&amp;"'!Year.Vectors"), 0))</f>
        <v>-26.31138768996038</v>
      </c>
      <c r="I15" s="1324">
        <f ca="1">INDEX(INDIRECT("'"&amp;I.a.Inputs[#Headers]&amp;"'!Year.Matrix"), MATCH("Subtotal."&amp;$A$2, INDIRECT("'"&amp;I.a.Inputs[#Headers]&amp;"'!Year.Modules"), 0), MATCH(I.a.Inputs[Vector], INDIRECT("'"&amp;I.a.Inputs[#Headers]&amp;"'!Year.Vectors"), 0))</f>
        <v>-28.055451795581007</v>
      </c>
      <c r="J15" s="1324">
        <f ca="1">INDEX(INDIRECT("'"&amp;I.a.Inputs[#Headers]&amp;"'!Year.Matrix"), MATCH("Subtotal."&amp;$A$2, INDIRECT("'"&amp;I.a.Inputs[#Headers]&amp;"'!Year.Modules"), 0), MATCH(I.a.Inputs[Vector], INDIRECT("'"&amp;I.a.Inputs[#Headers]&amp;"'!Year.Vectors"), 0))</f>
        <v>-29.856802850034068</v>
      </c>
      <c r="K15" s="1324">
        <f ca="1">INDEX(INDIRECT("'"&amp;I.a.Inputs[#Headers]&amp;"'!Year.Matrix"), MATCH("Subtotal."&amp;$A$2, INDIRECT("'"&amp;I.a.Inputs[#Headers]&amp;"'!Year.Modules"), 0), MATCH(I.a.Inputs[Vector], INDIRECT("'"&amp;I.a.Inputs[#Headers]&amp;"'!Year.Vectors"), 0))</f>
        <v>-31.827880936203822</v>
      </c>
      <c r="L15" s="1324">
        <f ca="1">INDEX(INDIRECT("'"&amp;I.a.Inputs[#Headers]&amp;"'!Year.Matrix"), MATCH("Subtotal."&amp;$A$2, INDIRECT("'"&amp;I.a.Inputs[#Headers]&amp;"'!Year.Modules"), 0), MATCH(I.a.Inputs[Vector], INDIRECT("'"&amp;I.a.Inputs[#Headers]&amp;"'!Year.Vectors"), 0))</f>
        <v>-33.94707664991239</v>
      </c>
      <c r="M15" s="1324">
        <f ca="1">INDEX(INDIRECT("'"&amp;I.a.Inputs[#Headers]&amp;"'!Year.Matrix"), MATCH("Subtotal."&amp;$A$2, INDIRECT("'"&amp;I.a.Inputs[#Headers]&amp;"'!Year.Modules"), 0), MATCH(I.a.Inputs[Vector], INDIRECT("'"&amp;I.a.Inputs[#Headers]&amp;"'!Year.Vectors"), 0))</f>
        <v>-36.162871893616611</v>
      </c>
      <c r="N15" s="1324">
        <f ca="1">INDEX(INDIRECT("'"&amp;I.a.Inputs[#Headers]&amp;"'!Year.Matrix"), MATCH("Subtotal."&amp;$A$2, INDIRECT("'"&amp;I.a.Inputs[#Headers]&amp;"'!Year.Modules"), 0), MATCH(I.a.Inputs[Vector], INDIRECT("'"&amp;I.a.Inputs[#Headers]&amp;"'!Year.Vectors"), 0))</f>
        <v>-38.38831997780612</v>
      </c>
      <c r="O15" s="1324">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0" customFormat="1" ht="15.5">
      <c r="A16" s="39"/>
      <c r="B16" s="19"/>
      <c r="C16" s="17" t="s">
        <v>96</v>
      </c>
      <c r="D16" s="17" t="s">
        <v>86</v>
      </c>
      <c r="E16" s="17"/>
      <c r="F16" s="1324">
        <f ca="1">INDEX(INDIRECT("'"&amp;I.a.Inputs[#Headers]&amp;"'!Year.Matrix"), MATCH("Subtotal."&amp;$A$2, INDIRECT("'"&amp;I.a.Inputs[#Headers]&amp;"'!Year.Modules"), 0), MATCH(I.a.Inputs[Vector], INDIRECT("'"&amp;I.a.Inputs[#Headers]&amp;"'!Year.Vectors"), 0))</f>
        <v>4.3049471499030432</v>
      </c>
      <c r="G16" s="1324">
        <f ca="1">INDEX(INDIRECT("'"&amp;I.a.Inputs[#Headers]&amp;"'!Year.Matrix"), MATCH("Subtotal."&amp;$A$2, INDIRECT("'"&amp;I.a.Inputs[#Headers]&amp;"'!Year.Modules"), 0), MATCH(I.a.Inputs[Vector], INDIRECT("'"&amp;I.a.Inputs[#Headers]&amp;"'!Year.Vectors"), 0))</f>
        <v>5.3216123209067536</v>
      </c>
      <c r="H16" s="1324">
        <f ca="1">INDEX(INDIRECT("'"&amp;I.a.Inputs[#Headers]&amp;"'!Year.Matrix"), MATCH("Subtotal."&amp;$A$2, INDIRECT("'"&amp;I.a.Inputs[#Headers]&amp;"'!Year.Modules"), 0), MATCH(I.a.Inputs[Vector], INDIRECT("'"&amp;I.a.Inputs[#Headers]&amp;"'!Year.Vectors"), 0))</f>
        <v>5.1208272492213931</v>
      </c>
      <c r="I16" s="1324">
        <f ca="1">INDEX(INDIRECT("'"&amp;I.a.Inputs[#Headers]&amp;"'!Year.Matrix"), MATCH("Subtotal."&amp;$A$2, INDIRECT("'"&amp;I.a.Inputs[#Headers]&amp;"'!Year.Modules"), 0), MATCH(I.a.Inputs[Vector], INDIRECT("'"&amp;I.a.Inputs[#Headers]&amp;"'!Year.Vectors"), 0))</f>
        <v>1.6275374030953058</v>
      </c>
      <c r="J16" s="1324">
        <f ca="1">INDEX(INDIRECT("'"&amp;I.a.Inputs[#Headers]&amp;"'!Year.Matrix"), MATCH("Subtotal."&amp;$A$2, INDIRECT("'"&amp;I.a.Inputs[#Headers]&amp;"'!Year.Modules"), 0), MATCH(I.a.Inputs[Vector], INDIRECT("'"&amp;I.a.Inputs[#Headers]&amp;"'!Year.Vectors"), 0))</f>
        <v>-1.6108806150792794</v>
      </c>
      <c r="K16" s="1324">
        <f ca="1">INDEX(INDIRECT("'"&amp;I.a.Inputs[#Headers]&amp;"'!Year.Matrix"), MATCH("Subtotal."&amp;$A$2, INDIRECT("'"&amp;I.a.Inputs[#Headers]&amp;"'!Year.Modules"), 0), MATCH(I.a.Inputs[Vector], INDIRECT("'"&amp;I.a.Inputs[#Headers]&amp;"'!Year.Vectors"), 0))</f>
        <v>-4.1646645764390726</v>
      </c>
      <c r="L16" s="1324">
        <f ca="1">INDEX(INDIRECT("'"&amp;I.a.Inputs[#Headers]&amp;"'!Year.Matrix"), MATCH("Subtotal."&amp;$A$2, INDIRECT("'"&amp;I.a.Inputs[#Headers]&amp;"'!Year.Modules"), 0), MATCH(I.a.Inputs[Vector], INDIRECT("'"&amp;I.a.Inputs[#Headers]&amp;"'!Year.Vectors"), 0))</f>
        <v>-4.5672840509879826</v>
      </c>
      <c r="M16" s="1324">
        <f ca="1">INDEX(INDIRECT("'"&amp;I.a.Inputs[#Headers]&amp;"'!Year.Matrix"), MATCH("Subtotal."&amp;$A$2, INDIRECT("'"&amp;I.a.Inputs[#Headers]&amp;"'!Year.Modules"), 0), MATCH(I.a.Inputs[Vector], INDIRECT("'"&amp;I.a.Inputs[#Headers]&amp;"'!Year.Vectors"), 0))</f>
        <v>-4.9634094627297518</v>
      </c>
      <c r="N16" s="1324">
        <f ca="1">INDEX(INDIRECT("'"&amp;I.a.Inputs[#Headers]&amp;"'!Year.Matrix"), MATCH("Subtotal."&amp;$A$2, INDIRECT("'"&amp;I.a.Inputs[#Headers]&amp;"'!Year.Modules"), 0), MATCH(I.a.Inputs[Vector], INDIRECT("'"&amp;I.a.Inputs[#Headers]&amp;"'!Year.Vectors"), 0))</f>
        <v>-5.4478268372352225</v>
      </c>
      <c r="O16" s="866"/>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43"/>
      <c r="C17" s="2341"/>
      <c r="D17" s="860"/>
      <c r="E17" s="860"/>
      <c r="F17" s="860"/>
      <c r="G17" s="860"/>
      <c r="H17" s="860"/>
      <c r="I17" s="860"/>
      <c r="J17" s="860"/>
      <c r="K17" s="860"/>
      <c r="L17" s="860"/>
      <c r="M17" s="860"/>
      <c r="N17" s="860"/>
      <c r="O17" s="861"/>
    </row>
    <row r="18" spans="1:114">
      <c r="F18" s="2348" t="s">
        <v>5</v>
      </c>
    </row>
    <row r="19" spans="1:114" s="6" customFormat="1" ht="23.5">
      <c r="A19" s="7"/>
      <c r="B19" s="869" t="s">
        <v>33</v>
      </c>
      <c r="C19" s="1012"/>
      <c r="D19" s="870"/>
      <c r="E19" s="870"/>
      <c r="F19" s="870"/>
      <c r="G19" s="870"/>
      <c r="H19" s="870"/>
      <c r="I19" s="870"/>
      <c r="J19" s="870"/>
      <c r="K19" s="870"/>
      <c r="L19" s="870"/>
      <c r="M19" s="870"/>
      <c r="N19" s="870"/>
      <c r="O19" s="871"/>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75"/>
      <c r="C20" s="67"/>
      <c r="D20" s="67"/>
      <c r="E20" s="67"/>
      <c r="F20" s="67"/>
      <c r="G20" s="67"/>
      <c r="H20" s="67"/>
      <c r="I20" s="67"/>
      <c r="J20" s="67"/>
      <c r="K20" s="67"/>
      <c r="L20" s="67"/>
      <c r="M20" s="67"/>
      <c r="N20" s="67"/>
      <c r="O20" s="876"/>
    </row>
    <row r="21" spans="1:114">
      <c r="B21" s="875"/>
      <c r="C21" s="49" t="str">
        <f>"Biomass installed capacity, cumulative,  " &amp; (Preferences.PowerUnits)</f>
        <v>Biomass installed capacity, cumulative,  GW</v>
      </c>
      <c r="D21" s="67"/>
      <c r="E21" s="934" t="s">
        <v>64</v>
      </c>
      <c r="F21" s="67"/>
      <c r="G21" s="67"/>
      <c r="H21" s="67"/>
      <c r="I21" s="67"/>
      <c r="J21" s="67"/>
      <c r="K21" s="67"/>
      <c r="L21" s="67"/>
      <c r="M21" s="67"/>
      <c r="N21" s="51"/>
      <c r="O21" s="876"/>
    </row>
    <row r="22" spans="1:114">
      <c r="B22" s="875"/>
      <c r="C22" s="67"/>
      <c r="D22" s="67"/>
      <c r="E22" s="67"/>
      <c r="F22" s="67"/>
      <c r="G22" s="67"/>
      <c r="H22" s="67"/>
      <c r="I22" s="67"/>
      <c r="J22" s="67"/>
      <c r="K22" s="67"/>
      <c r="L22" s="67"/>
      <c r="M22" s="67"/>
      <c r="N22" s="67"/>
      <c r="O22" s="876"/>
    </row>
    <row r="23" spans="1:114" ht="15.5">
      <c r="B23" s="877"/>
      <c r="C23" s="878" t="s">
        <v>8</v>
      </c>
      <c r="D23" s="878" t="s">
        <v>71</v>
      </c>
      <c r="E23" s="878" t="s">
        <v>30</v>
      </c>
      <c r="F23" s="879">
        <v>2013</v>
      </c>
      <c r="G23" s="2141">
        <v>2015</v>
      </c>
      <c r="H23" s="2141">
        <v>2020</v>
      </c>
      <c r="I23" s="2141">
        <v>2025</v>
      </c>
      <c r="J23" s="2141">
        <v>2030</v>
      </c>
      <c r="K23" s="2141">
        <v>2035</v>
      </c>
      <c r="L23" s="2141">
        <v>2040</v>
      </c>
      <c r="M23" s="2141">
        <v>2045</v>
      </c>
      <c r="N23" s="2141">
        <v>2050</v>
      </c>
      <c r="O23" s="876"/>
    </row>
    <row r="24" spans="1:114" ht="15.5">
      <c r="B24" s="877"/>
      <c r="C24" s="65">
        <v>1</v>
      </c>
      <c r="D24" s="103"/>
      <c r="E24" s="881"/>
      <c r="F24" s="896">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76"/>
      <c r="P24" s="4096" t="s">
        <v>5</v>
      </c>
    </row>
    <row r="25" spans="1:114" ht="15.5">
      <c r="B25" s="877"/>
      <c r="C25" s="65">
        <v>2</v>
      </c>
      <c r="D25" s="103"/>
      <c r="E25" s="103" t="s">
        <v>5</v>
      </c>
      <c r="F25" s="896">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76"/>
      <c r="P25" s="3969" t="s">
        <v>5</v>
      </c>
      <c r="Q25" s="3548" t="s">
        <v>5</v>
      </c>
    </row>
    <row r="26" spans="1:114" ht="15.5">
      <c r="B26" s="877"/>
      <c r="C26" s="65">
        <v>3</v>
      </c>
      <c r="D26" s="103"/>
      <c r="E26" s="103"/>
      <c r="F26" s="896">
        <f>(Unit.GW)*0.023</f>
        <v>2.3E-2</v>
      </c>
      <c r="G26" s="59">
        <f t="shared" si="0"/>
        <v>3.5000000000000003E-2</v>
      </c>
      <c r="H26" s="59">
        <f t="shared" si="1"/>
        <v>0.105</v>
      </c>
      <c r="I26" s="59">
        <f t="shared" si="1"/>
        <v>0.105</v>
      </c>
      <c r="J26" s="59">
        <f>(Unit.GW)*0.175</f>
        <v>0.17499999999999999</v>
      </c>
      <c r="K26" s="59">
        <f>(Unit.GW)*0.175</f>
        <v>0.17499999999999999</v>
      </c>
      <c r="L26" s="59">
        <f>(Unit.GW)*0.245</f>
        <v>0.245</v>
      </c>
      <c r="M26" s="59">
        <f>(Unit.GW)*0.245</f>
        <v>0.245</v>
      </c>
      <c r="N26" s="59">
        <f>(Unit.GW)*0.245</f>
        <v>0.245</v>
      </c>
      <c r="O26" s="876"/>
      <c r="Q26" s="3548" t="s">
        <v>5</v>
      </c>
    </row>
    <row r="27" spans="1:114" ht="15.5">
      <c r="B27" s="877"/>
      <c r="C27" s="887">
        <v>4</v>
      </c>
      <c r="D27" s="888"/>
      <c r="E27" s="888"/>
      <c r="F27" s="896">
        <f>(Unit.GW)*0.023</f>
        <v>2.3E-2</v>
      </c>
      <c r="G27" s="59">
        <f t="shared" si="0"/>
        <v>3.5000000000000003E-2</v>
      </c>
      <c r="H27" s="1014">
        <f>(Unit.GW)*0.105</f>
        <v>0.105</v>
      </c>
      <c r="I27" s="1014">
        <f>(Unit.GW)*0.105</f>
        <v>0.105</v>
      </c>
      <c r="J27" s="1014">
        <f>(Unit.GW)*0.175</f>
        <v>0.17499999999999999</v>
      </c>
      <c r="K27" s="1014">
        <f>(Unit.GW)*0.855+K26</f>
        <v>1.03</v>
      </c>
      <c r="L27" s="1014">
        <f>(Unit.GW)*0.855+L26</f>
        <v>1.1000000000000001</v>
      </c>
      <c r="M27" s="1014">
        <f>(Unit.GW)*0.855+M26</f>
        <v>1.1000000000000001</v>
      </c>
      <c r="N27" s="1014">
        <f>(Unit.GW)*0.855+N26</f>
        <v>1.1000000000000001</v>
      </c>
      <c r="O27" s="876"/>
      <c r="P27" s="3548" t="s">
        <v>5</v>
      </c>
      <c r="Q27" s="3548" t="s">
        <v>5</v>
      </c>
    </row>
    <row r="28" spans="1:114" ht="15.5">
      <c r="B28" s="55"/>
      <c r="C28" s="1015" t="s">
        <v>37</v>
      </c>
      <c r="D28" s="892"/>
      <c r="E28" s="892"/>
      <c r="F28" s="893">
        <f>(INDEX(F$24:F$27,ROUNDDOWN($E$7,0))*(1-MOD($E$7,1)))+(INDEX(F$24:F$27,ROUNDUP($E$7,0))*MOD($E$7,1))</f>
        <v>2.3E-2</v>
      </c>
      <c r="G28" s="893">
        <f t="shared" ref="G28:N28" si="2">(INDEX(G$24:G$27,ROUNDDOWN($E$7,0))*(1-MOD($E$7,1)))+(INDEX(G$24:G$27,ROUNDUP($E$7,0))*MOD($E$7,1))</f>
        <v>3.5000000000000003E-2</v>
      </c>
      <c r="H28" s="1148">
        <f t="shared" si="2"/>
        <v>3.5000000000000003E-2</v>
      </c>
      <c r="I28" s="1148">
        <f t="shared" si="2"/>
        <v>3.5000000000000003E-2</v>
      </c>
      <c r="J28" s="1148">
        <f t="shared" si="2"/>
        <v>3.5000000000000003E-2</v>
      </c>
      <c r="K28" s="1148">
        <f t="shared" si="2"/>
        <v>0</v>
      </c>
      <c r="L28" s="1148">
        <f t="shared" si="2"/>
        <v>0</v>
      </c>
      <c r="M28" s="1148">
        <f t="shared" si="2"/>
        <v>0</v>
      </c>
      <c r="N28" s="1149">
        <f t="shared" si="2"/>
        <v>0</v>
      </c>
      <c r="O28" s="876"/>
    </row>
    <row r="29" spans="1:114">
      <c r="B29" s="875"/>
      <c r="C29" s="67"/>
      <c r="D29" s="67"/>
      <c r="E29" s="67"/>
      <c r="F29" s="67"/>
      <c r="G29" s="67"/>
      <c r="H29" s="67" t="s">
        <v>5</v>
      </c>
      <c r="I29" s="67" t="s">
        <v>5</v>
      </c>
      <c r="J29" s="67"/>
      <c r="K29" s="67"/>
      <c r="L29" s="67" t="s">
        <v>5</v>
      </c>
      <c r="M29" s="67"/>
      <c r="N29" s="67"/>
      <c r="O29" s="876"/>
    </row>
    <row r="30" spans="1:114" s="3547" customFormat="1">
      <c r="A30" s="3547" t="s">
        <v>5</v>
      </c>
      <c r="B30" s="875"/>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76"/>
    </row>
    <row r="31" spans="1:114" s="3547" customFormat="1">
      <c r="B31" s="875"/>
      <c r="C31" s="67"/>
      <c r="D31" s="67"/>
      <c r="E31" s="67"/>
      <c r="F31" s="67"/>
      <c r="G31" s="67"/>
      <c r="H31" s="67"/>
      <c r="I31" s="67"/>
      <c r="J31" s="67"/>
      <c r="K31" s="67"/>
      <c r="L31" s="67"/>
      <c r="M31" s="67"/>
      <c r="N31" s="67"/>
      <c r="O31" s="876"/>
    </row>
    <row r="32" spans="1:114" s="3547" customFormat="1">
      <c r="B32" s="875"/>
      <c r="C32" s="878" t="s">
        <v>8</v>
      </c>
      <c r="D32" s="878" t="s">
        <v>71</v>
      </c>
      <c r="E32" s="878" t="s">
        <v>30</v>
      </c>
      <c r="F32" s="879">
        <v>2013</v>
      </c>
      <c r="G32" s="2141">
        <v>2015</v>
      </c>
      <c r="H32" s="2141">
        <v>2020</v>
      </c>
      <c r="I32" s="2141">
        <v>2025</v>
      </c>
      <c r="J32" s="2141">
        <v>2030</v>
      </c>
      <c r="K32" s="2141">
        <v>2035</v>
      </c>
      <c r="L32" s="2141">
        <v>2040</v>
      </c>
      <c r="M32" s="2141">
        <v>2045</v>
      </c>
      <c r="N32" s="2141">
        <v>2050</v>
      </c>
      <c r="O32" s="876"/>
    </row>
    <row r="33" spans="2:16" s="3547" customFormat="1">
      <c r="B33" s="875"/>
      <c r="C33" s="65">
        <v>1</v>
      </c>
      <c r="D33" s="103"/>
      <c r="E33" s="881"/>
      <c r="F33" s="896">
        <v>0</v>
      </c>
      <c r="G33" s="59">
        <v>0</v>
      </c>
      <c r="H33" s="59">
        <v>0</v>
      </c>
      <c r="I33" s="59">
        <v>0</v>
      </c>
      <c r="J33" s="59">
        <v>0</v>
      </c>
      <c r="K33" s="59">
        <v>0</v>
      </c>
      <c r="L33" s="59">
        <v>0</v>
      </c>
      <c r="M33" s="59">
        <v>0</v>
      </c>
      <c r="N33" s="59">
        <v>0</v>
      </c>
      <c r="O33" s="876"/>
    </row>
    <row r="34" spans="2:16" s="3547" customFormat="1">
      <c r="B34" s="875"/>
      <c r="C34" s="65">
        <v>2</v>
      </c>
      <c r="D34" s="103"/>
      <c r="E34" s="103"/>
      <c r="F34" s="896">
        <v>0</v>
      </c>
      <c r="G34" s="59">
        <v>0</v>
      </c>
      <c r="H34" s="59">
        <v>0</v>
      </c>
      <c r="I34" s="59">
        <v>0</v>
      </c>
      <c r="J34" s="59">
        <v>0</v>
      </c>
      <c r="K34" s="59">
        <v>0</v>
      </c>
      <c r="L34" s="59">
        <v>0</v>
      </c>
      <c r="M34" s="59">
        <v>0</v>
      </c>
      <c r="N34" s="59">
        <v>0</v>
      </c>
      <c r="O34" s="876"/>
    </row>
    <row r="35" spans="2:16" s="3547" customFormat="1">
      <c r="B35" s="875"/>
      <c r="C35" s="65">
        <v>3</v>
      </c>
      <c r="D35" s="103"/>
      <c r="E35" s="103"/>
      <c r="F35" s="896">
        <v>0</v>
      </c>
      <c r="G35" s="59">
        <v>0</v>
      </c>
      <c r="H35" s="59">
        <v>0</v>
      </c>
      <c r="I35" s="59">
        <v>0</v>
      </c>
      <c r="J35" s="59">
        <v>0</v>
      </c>
      <c r="K35" s="59">
        <v>0</v>
      </c>
      <c r="L35" s="59">
        <v>0</v>
      </c>
      <c r="M35" s="59">
        <v>0</v>
      </c>
      <c r="N35" s="59">
        <v>0</v>
      </c>
      <c r="O35" s="876"/>
    </row>
    <row r="36" spans="2:16" s="3547" customFormat="1">
      <c r="B36" s="875"/>
      <c r="C36" s="887">
        <v>4</v>
      </c>
      <c r="D36" s="888"/>
      <c r="E36" s="888"/>
      <c r="F36" s="896">
        <v>0</v>
      </c>
      <c r="G36" s="59">
        <v>0</v>
      </c>
      <c r="H36" s="59">
        <v>0</v>
      </c>
      <c r="I36" s="59">
        <v>0</v>
      </c>
      <c r="J36" s="59">
        <v>0</v>
      </c>
      <c r="K36" s="59">
        <f>(Unit.GW)*-0.855</f>
        <v>-0.85499999999999998</v>
      </c>
      <c r="L36" s="59">
        <f>(Unit.GW)*-0.855</f>
        <v>-0.85499999999999998</v>
      </c>
      <c r="M36" s="59">
        <f>(Unit.GW)*-0.855</f>
        <v>-0.85499999999999998</v>
      </c>
      <c r="N36" s="59">
        <f>(Unit.GW)*-0.855</f>
        <v>-0.85499999999999998</v>
      </c>
      <c r="O36" s="876"/>
      <c r="P36" s="3821" t="s">
        <v>5</v>
      </c>
    </row>
    <row r="37" spans="2:16" s="3547" customFormat="1">
      <c r="B37" s="875"/>
      <c r="C37" s="1015" t="s">
        <v>37</v>
      </c>
      <c r="D37" s="892"/>
      <c r="E37" s="892"/>
      <c r="F37" s="893">
        <f>(INDEX(F$33:F$36,ROUNDDOWN($E$7,0))*(1-MOD($E$7,1)))+(INDEX(F$33:F$36,ROUNDUP($E$7,0))*MOD($E$7,1))</f>
        <v>0</v>
      </c>
      <c r="G37" s="893">
        <f t="shared" ref="G37:N37" si="3">(INDEX(G$33:G$36,ROUNDDOWN($E$7,0))*(1-MOD($E$7,1)))+(INDEX(G$33:G$36,ROUNDUP($E$7,0))*MOD($E$7,1))</f>
        <v>0</v>
      </c>
      <c r="H37" s="893">
        <f t="shared" si="3"/>
        <v>0</v>
      </c>
      <c r="I37" s="893">
        <f t="shared" si="3"/>
        <v>0</v>
      </c>
      <c r="J37" s="893">
        <f t="shared" si="3"/>
        <v>0</v>
      </c>
      <c r="K37" s="893">
        <f t="shared" si="3"/>
        <v>0</v>
      </c>
      <c r="L37" s="893">
        <f t="shared" si="3"/>
        <v>0</v>
      </c>
      <c r="M37" s="893">
        <f t="shared" si="3"/>
        <v>0</v>
      </c>
      <c r="N37" s="893">
        <f t="shared" si="3"/>
        <v>0</v>
      </c>
      <c r="O37" s="876"/>
    </row>
    <row r="38" spans="2:16" s="3547" customFormat="1">
      <c r="B38" s="875"/>
      <c r="C38" s="67"/>
      <c r="D38" s="67"/>
      <c r="E38" s="67"/>
      <c r="F38" s="67"/>
      <c r="G38" s="67"/>
      <c r="H38" s="67"/>
      <c r="I38" s="67"/>
      <c r="J38" s="67"/>
      <c r="K38" s="67"/>
      <c r="L38" s="67"/>
      <c r="M38" s="67"/>
      <c r="N38" s="67"/>
      <c r="O38" s="876"/>
    </row>
    <row r="39" spans="2:16">
      <c r="B39" s="875"/>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76"/>
    </row>
    <row r="40" spans="2:16">
      <c r="B40" s="875"/>
      <c r="C40" s="67"/>
      <c r="D40" s="67"/>
      <c r="E40" s="67"/>
      <c r="F40" s="67"/>
      <c r="G40" s="67"/>
      <c r="H40" s="67"/>
      <c r="I40" s="67"/>
      <c r="J40" s="67"/>
      <c r="K40" s="67"/>
      <c r="L40" s="67"/>
      <c r="M40" s="67"/>
      <c r="N40" s="67"/>
      <c r="O40" s="876"/>
    </row>
    <row r="41" spans="2:16">
      <c r="B41" s="875"/>
      <c r="C41" s="878" t="s">
        <v>8</v>
      </c>
      <c r="D41" s="878" t="s">
        <v>71</v>
      </c>
      <c r="E41" s="878" t="s">
        <v>30</v>
      </c>
      <c r="F41" s="879">
        <v>2013</v>
      </c>
      <c r="G41" s="2141">
        <v>2015</v>
      </c>
      <c r="H41" s="2141">
        <v>2020</v>
      </c>
      <c r="I41" s="2141">
        <v>2025</v>
      </c>
      <c r="J41" s="2141">
        <v>2030</v>
      </c>
      <c r="K41" s="2141">
        <v>2035</v>
      </c>
      <c r="L41" s="2141">
        <v>2040</v>
      </c>
      <c r="M41" s="2141">
        <v>2045</v>
      </c>
      <c r="N41" s="2141">
        <v>2050</v>
      </c>
      <c r="O41" s="876"/>
    </row>
    <row r="42" spans="2:16">
      <c r="B42" s="875"/>
      <c r="C42" s="65">
        <v>1</v>
      </c>
      <c r="D42" s="103"/>
      <c r="E42" s="881"/>
      <c r="F42" s="896">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76"/>
    </row>
    <row r="43" spans="2:16">
      <c r="B43" s="875"/>
      <c r="C43" s="65">
        <v>2</v>
      </c>
      <c r="D43" s="103"/>
      <c r="E43" s="103"/>
      <c r="F43" s="896">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76"/>
    </row>
    <row r="44" spans="2:16">
      <c r="B44" s="875"/>
      <c r="C44" s="65">
        <v>3</v>
      </c>
      <c r="D44" s="103"/>
      <c r="E44" s="103"/>
      <c r="F44" s="896">
        <f>(Unit.GW)*-0.02</f>
        <v>-0.02</v>
      </c>
      <c r="G44" s="59">
        <f t="shared" si="4"/>
        <v>-3.5000000000000003E-2</v>
      </c>
      <c r="H44" s="59">
        <f t="shared" si="4"/>
        <v>-0.105</v>
      </c>
      <c r="I44" s="59">
        <f t="shared" si="4"/>
        <v>-0.105</v>
      </c>
      <c r="J44" s="59">
        <f t="shared" si="4"/>
        <v>-0.17499999999999999</v>
      </c>
      <c r="K44" s="59">
        <f t="shared" si="4"/>
        <v>-0.17499999999999999</v>
      </c>
      <c r="L44" s="59">
        <f t="shared" si="4"/>
        <v>-0.245</v>
      </c>
      <c r="M44" s="59">
        <f t="shared" si="4"/>
        <v>-0.245</v>
      </c>
      <c r="N44" s="59">
        <f t="shared" si="4"/>
        <v>-0.245</v>
      </c>
      <c r="O44" s="876"/>
    </row>
    <row r="45" spans="2:16">
      <c r="B45" s="875"/>
      <c r="C45" s="887">
        <v>4</v>
      </c>
      <c r="D45" s="888"/>
      <c r="E45" s="888"/>
      <c r="F45" s="896">
        <f>(Unit.GW)*-0.02</f>
        <v>-0.02</v>
      </c>
      <c r="G45" s="59">
        <f t="shared" ref="G45:N45" si="5">G26*-1</f>
        <v>-3.5000000000000003E-2</v>
      </c>
      <c r="H45" s="59">
        <f t="shared" si="5"/>
        <v>-0.105</v>
      </c>
      <c r="I45" s="59">
        <f t="shared" si="5"/>
        <v>-0.105</v>
      </c>
      <c r="J45" s="59">
        <f t="shared" si="5"/>
        <v>-0.17499999999999999</v>
      </c>
      <c r="K45" s="59">
        <f t="shared" si="5"/>
        <v>-0.17499999999999999</v>
      </c>
      <c r="L45" s="59">
        <f t="shared" si="5"/>
        <v>-0.245</v>
      </c>
      <c r="M45" s="59">
        <f t="shared" si="5"/>
        <v>-0.245</v>
      </c>
      <c r="N45" s="59">
        <f t="shared" si="5"/>
        <v>-0.245</v>
      </c>
      <c r="O45" s="876"/>
    </row>
    <row r="46" spans="2:16" ht="15.5">
      <c r="B46" s="55"/>
      <c r="C46" s="1015" t="s">
        <v>37</v>
      </c>
      <c r="D46" s="892"/>
      <c r="E46" s="892"/>
      <c r="F46" s="893">
        <f>(INDEX(F$42:F$45,ROUNDDOWN($E$7,0))*(1-MOD($E$7,1)))+(INDEX(F$42:F$45,ROUNDUP($E$7,0))*MOD($E$7,1))</f>
        <v>-0.02</v>
      </c>
      <c r="G46" s="893">
        <f t="shared" ref="G46:N46" si="6">(INDEX(G$42:G$45,ROUNDDOWN($E$7,0))*(1-MOD($E$7,1)))+(INDEX(G$42:G$45,ROUNDUP($E$7,0))*MOD($E$7,1))</f>
        <v>-3.5000000000000003E-2</v>
      </c>
      <c r="H46" s="893">
        <f t="shared" si="6"/>
        <v>-3.5000000000000003E-2</v>
      </c>
      <c r="I46" s="893">
        <f t="shared" si="6"/>
        <v>-3.5000000000000003E-2</v>
      </c>
      <c r="J46" s="893">
        <f t="shared" si="6"/>
        <v>-3.5000000000000003E-2</v>
      </c>
      <c r="K46" s="893">
        <f t="shared" si="6"/>
        <v>0</v>
      </c>
      <c r="L46" s="893">
        <f t="shared" si="6"/>
        <v>0</v>
      </c>
      <c r="M46" s="893">
        <f t="shared" si="6"/>
        <v>0</v>
      </c>
      <c r="N46" s="2142">
        <f t="shared" si="6"/>
        <v>0</v>
      </c>
      <c r="O46" s="876"/>
    </row>
    <row r="47" spans="2:16">
      <c r="B47" s="875"/>
      <c r="C47" s="67"/>
      <c r="D47" s="67"/>
      <c r="E47" s="67"/>
      <c r="F47" s="67"/>
      <c r="G47" s="67"/>
      <c r="H47" s="67"/>
      <c r="I47" s="67" t="s">
        <v>5</v>
      </c>
      <c r="J47" s="67"/>
      <c r="K47" s="67"/>
      <c r="L47" s="67"/>
      <c r="M47" s="67"/>
      <c r="N47" s="67"/>
      <c r="O47" s="876"/>
    </row>
    <row r="48" spans="2:16">
      <c r="B48" s="875"/>
      <c r="C48" s="3826" t="s">
        <v>63</v>
      </c>
      <c r="D48" s="67"/>
      <c r="E48" s="67"/>
      <c r="F48" s="67"/>
      <c r="G48" s="67"/>
      <c r="H48" s="67"/>
      <c r="I48" s="67"/>
      <c r="J48" s="67"/>
      <c r="K48" s="67"/>
      <c r="L48" s="67"/>
      <c r="M48" s="67"/>
      <c r="N48" s="67"/>
      <c r="O48" s="876"/>
    </row>
    <row r="49" spans="1:114">
      <c r="B49" s="875"/>
      <c r="C49" s="920" t="s">
        <v>64</v>
      </c>
      <c r="D49" s="3833" t="s">
        <v>3372</v>
      </c>
      <c r="E49" s="67"/>
      <c r="F49" s="67"/>
      <c r="G49" s="67"/>
      <c r="H49" s="67"/>
      <c r="I49" s="67"/>
      <c r="J49" s="67"/>
      <c r="K49" s="67"/>
      <c r="L49" s="67"/>
      <c r="M49" s="67"/>
      <c r="N49" s="67"/>
      <c r="O49" s="876"/>
    </row>
    <row r="50" spans="1:114">
      <c r="B50" s="875"/>
      <c r="C50" s="1161"/>
      <c r="D50" s="3833" t="s">
        <v>2990</v>
      </c>
      <c r="E50" s="67"/>
      <c r="F50" s="67"/>
      <c r="G50" s="67"/>
      <c r="H50" s="67"/>
      <c r="I50" s="67"/>
      <c r="J50" s="67"/>
      <c r="K50" s="67"/>
      <c r="L50" s="67"/>
      <c r="M50" s="67"/>
      <c r="N50" s="67"/>
      <c r="O50" s="876"/>
    </row>
    <row r="51" spans="1:114">
      <c r="B51" s="875"/>
      <c r="C51" s="1161"/>
      <c r="D51" s="3833"/>
      <c r="E51" s="67"/>
      <c r="F51" s="67"/>
      <c r="G51" s="67"/>
      <c r="H51" s="67"/>
      <c r="I51" s="67"/>
      <c r="J51" s="67"/>
      <c r="K51" s="67"/>
      <c r="L51" s="67"/>
      <c r="M51" s="67"/>
      <c r="N51" s="67"/>
      <c r="O51" s="876"/>
    </row>
    <row r="52" spans="1:114">
      <c r="B52" s="875"/>
      <c r="C52" s="67"/>
      <c r="D52" s="3833"/>
      <c r="E52" s="67"/>
      <c r="F52" s="67"/>
      <c r="G52" s="67"/>
      <c r="H52" s="67"/>
      <c r="I52" s="67"/>
      <c r="J52" s="67"/>
      <c r="K52" s="67"/>
      <c r="L52" s="67"/>
      <c r="M52" s="67"/>
      <c r="N52" s="67"/>
      <c r="O52" s="876"/>
    </row>
    <row r="55" spans="1:114" s="6" customFormat="1" ht="23.5">
      <c r="A55" s="7"/>
      <c r="B55" s="869" t="s">
        <v>69</v>
      </c>
      <c r="C55" s="870"/>
      <c r="D55" s="870"/>
      <c r="E55" s="870"/>
      <c r="F55" s="870"/>
      <c r="G55" s="870"/>
      <c r="H55" s="870"/>
      <c r="I55" s="870"/>
      <c r="J55" s="870"/>
      <c r="K55" s="870"/>
      <c r="L55" s="870"/>
      <c r="M55" s="870"/>
      <c r="N55" s="870"/>
      <c r="O55" s="871"/>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43"/>
      <c r="C56" s="873"/>
      <c r="D56" s="873"/>
      <c r="E56" s="873"/>
      <c r="F56" s="873"/>
      <c r="G56" s="873"/>
      <c r="H56" s="873"/>
      <c r="I56" s="873"/>
      <c r="J56" s="873"/>
      <c r="K56" s="873"/>
      <c r="L56" s="873"/>
      <c r="M56" s="873"/>
      <c r="N56" s="873"/>
      <c r="O56" s="874"/>
    </row>
    <row r="57" spans="1:114">
      <c r="B57" s="105"/>
      <c r="C57" s="49" t="s">
        <v>1677</v>
      </c>
      <c r="D57" s="67"/>
      <c r="E57" s="67"/>
      <c r="F57" s="67"/>
      <c r="G57" s="67"/>
      <c r="H57" s="67"/>
      <c r="I57" s="67"/>
      <c r="J57" s="67"/>
      <c r="K57" s="67"/>
      <c r="L57" s="67"/>
      <c r="M57" s="67"/>
      <c r="N57" s="67"/>
      <c r="O57" s="876"/>
    </row>
    <row r="58" spans="1:114">
      <c r="B58" s="105"/>
      <c r="C58" s="67"/>
      <c r="D58" s="67"/>
      <c r="E58" s="67"/>
      <c r="F58" s="67"/>
      <c r="G58" s="67"/>
      <c r="H58" s="67"/>
      <c r="I58" s="67"/>
      <c r="J58" s="67"/>
      <c r="K58" s="67"/>
      <c r="L58" s="67"/>
      <c r="M58" s="67"/>
      <c r="N58" s="67"/>
      <c r="O58" s="876"/>
    </row>
    <row r="59" spans="1:114" ht="15.5">
      <c r="B59" s="55"/>
      <c r="C59" s="878" t="s">
        <v>131</v>
      </c>
      <c r="D59" s="878" t="s">
        <v>712</v>
      </c>
      <c r="E59" s="878" t="s">
        <v>30</v>
      </c>
      <c r="F59" s="900">
        <v>2013</v>
      </c>
      <c r="G59" s="900" t="s">
        <v>132</v>
      </c>
      <c r="H59" s="900" t="s">
        <v>133</v>
      </c>
      <c r="I59" s="900" t="s">
        <v>134</v>
      </c>
      <c r="J59" s="900" t="s">
        <v>135</v>
      </c>
      <c r="K59" s="900" t="s">
        <v>136</v>
      </c>
      <c r="L59" s="900" t="s">
        <v>137</v>
      </c>
      <c r="M59" s="900" t="s">
        <v>138</v>
      </c>
      <c r="N59" s="900" t="s">
        <v>139</v>
      </c>
      <c r="O59" s="876"/>
    </row>
    <row r="60" spans="1:114" ht="15.5">
      <c r="A60" s="39"/>
      <c r="B60" s="55"/>
      <c r="C60" s="57" t="s">
        <v>97</v>
      </c>
      <c r="D60" s="103" t="s">
        <v>1678</v>
      </c>
      <c r="E60" s="117"/>
      <c r="F60" s="906">
        <v>0.03</v>
      </c>
      <c r="G60" s="906">
        <v>0.03</v>
      </c>
      <c r="H60" s="906">
        <v>0.03</v>
      </c>
      <c r="I60" s="906">
        <v>0.03</v>
      </c>
      <c r="J60" s="906">
        <v>0.03</v>
      </c>
      <c r="K60" s="906">
        <v>0.03</v>
      </c>
      <c r="L60" s="906">
        <v>0.03</v>
      </c>
      <c r="M60" s="906">
        <v>0.03</v>
      </c>
      <c r="N60" s="906">
        <v>0.03</v>
      </c>
      <c r="O60" s="876"/>
    </row>
    <row r="61" spans="1:114" ht="15.5">
      <c r="A61" s="39"/>
      <c r="B61" s="55"/>
      <c r="C61" s="57" t="s">
        <v>98</v>
      </c>
      <c r="D61" s="57" t="s">
        <v>1679</v>
      </c>
      <c r="E61" s="117"/>
      <c r="F61" s="906">
        <v>0.2</v>
      </c>
      <c r="G61" s="91">
        <v>0.2</v>
      </c>
      <c r="H61" s="91">
        <v>0.2</v>
      </c>
      <c r="I61" s="91">
        <v>0.2</v>
      </c>
      <c r="J61" s="91">
        <v>0.2</v>
      </c>
      <c r="K61" s="91">
        <v>0.2</v>
      </c>
      <c r="L61" s="91">
        <v>0.2</v>
      </c>
      <c r="M61" s="91">
        <v>0.2</v>
      </c>
      <c r="N61" s="91">
        <v>0.2</v>
      </c>
      <c r="O61" s="876"/>
    </row>
    <row r="62" spans="1:114" s="3853" customFormat="1" ht="15.5">
      <c r="A62" s="39"/>
      <c r="B62" s="55"/>
      <c r="C62" s="61" t="s">
        <v>99</v>
      </c>
      <c r="D62" s="62" t="s">
        <v>1680</v>
      </c>
      <c r="E62" s="62"/>
      <c r="F62" s="1028">
        <v>1.9761196093076236E-2</v>
      </c>
      <c r="G62" s="94">
        <v>0.02</v>
      </c>
      <c r="H62" s="94">
        <v>0.02</v>
      </c>
      <c r="I62" s="94">
        <v>0.02</v>
      </c>
      <c r="J62" s="94">
        <v>0.02</v>
      </c>
      <c r="K62" s="94">
        <v>0.02</v>
      </c>
      <c r="L62" s="94">
        <v>0.02</v>
      </c>
      <c r="M62" s="94">
        <v>0.02</v>
      </c>
      <c r="N62" s="94">
        <v>0.02</v>
      </c>
      <c r="O62" s="876"/>
    </row>
    <row r="63" spans="1:114">
      <c r="B63" s="105"/>
      <c r="C63" s="67"/>
      <c r="D63" s="67"/>
      <c r="E63" s="67"/>
      <c r="F63" s="67"/>
      <c r="G63" s="67"/>
      <c r="H63" s="67"/>
      <c r="I63" s="67"/>
      <c r="J63" s="67"/>
      <c r="K63" s="67"/>
      <c r="L63" s="67"/>
      <c r="M63" s="67"/>
      <c r="N63" s="67"/>
      <c r="O63" s="876"/>
    </row>
    <row r="64" spans="1:114">
      <c r="B64" s="130"/>
      <c r="C64" s="49" t="s">
        <v>713</v>
      </c>
      <c r="D64" s="67"/>
      <c r="E64" s="67"/>
      <c r="F64" s="67"/>
      <c r="G64" s="75"/>
      <c r="H64" s="75"/>
      <c r="I64" s="67"/>
      <c r="J64" s="67"/>
      <c r="K64" s="67"/>
      <c r="L64" s="67"/>
      <c r="M64" s="67"/>
      <c r="N64" s="67"/>
      <c r="O64" s="876"/>
    </row>
    <row r="65" spans="1:114">
      <c r="B65" s="105"/>
      <c r="C65" s="67"/>
      <c r="D65" s="67"/>
      <c r="E65" s="67"/>
      <c r="F65" s="67"/>
      <c r="G65" s="67"/>
      <c r="H65" s="67"/>
      <c r="I65" s="67"/>
      <c r="J65" s="67"/>
      <c r="K65" s="67"/>
      <c r="L65" s="67"/>
      <c r="M65" s="67"/>
      <c r="N65" s="67"/>
      <c r="O65" s="876"/>
    </row>
    <row r="66" spans="1:114" ht="15.5">
      <c r="B66" s="55"/>
      <c r="C66" s="878" t="s">
        <v>131</v>
      </c>
      <c r="D66" s="878" t="s">
        <v>712</v>
      </c>
      <c r="E66" s="878" t="s">
        <v>30</v>
      </c>
      <c r="F66" s="900">
        <v>2013</v>
      </c>
      <c r="G66" s="900" t="s">
        <v>132</v>
      </c>
      <c r="H66" s="900" t="s">
        <v>133</v>
      </c>
      <c r="I66" s="900" t="s">
        <v>134</v>
      </c>
      <c r="J66" s="900" t="s">
        <v>135</v>
      </c>
      <c r="K66" s="900" t="s">
        <v>136</v>
      </c>
      <c r="L66" s="900" t="s">
        <v>137</v>
      </c>
      <c r="M66" s="900" t="s">
        <v>138</v>
      </c>
      <c r="N66" s="900" t="s">
        <v>139</v>
      </c>
      <c r="O66" s="876"/>
    </row>
    <row r="67" spans="1:114" s="6" customFormat="1" ht="15.5">
      <c r="A67" s="39"/>
      <c r="B67" s="966"/>
      <c r="C67" s="56" t="s">
        <v>97</v>
      </c>
      <c r="D67" s="103" t="s">
        <v>1678</v>
      </c>
      <c r="E67" s="103" t="s">
        <v>64</v>
      </c>
      <c r="F67" s="296">
        <v>0.3</v>
      </c>
      <c r="G67" s="296">
        <v>0.3</v>
      </c>
      <c r="H67" s="296">
        <v>0.35</v>
      </c>
      <c r="I67" s="296">
        <v>0.35</v>
      </c>
      <c r="J67" s="296">
        <v>0.35</v>
      </c>
      <c r="K67" s="296">
        <v>0.35</v>
      </c>
      <c r="L67" s="296">
        <v>0.35</v>
      </c>
      <c r="M67" s="296">
        <v>0.35</v>
      </c>
      <c r="N67" s="296">
        <v>0.35</v>
      </c>
      <c r="O67" s="884"/>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5">
      <c r="A68" s="39"/>
      <c r="B68" s="966"/>
      <c r="C68" s="56" t="s">
        <v>98</v>
      </c>
      <c r="D68" s="57" t="s">
        <v>1679</v>
      </c>
      <c r="E68" s="57"/>
      <c r="F68" s="906">
        <v>0.3</v>
      </c>
      <c r="G68" s="88">
        <v>0.3</v>
      </c>
      <c r="H68" s="88">
        <v>0.3</v>
      </c>
      <c r="I68" s="88">
        <v>0.3</v>
      </c>
      <c r="J68" s="88">
        <v>0.3</v>
      </c>
      <c r="K68" s="88">
        <v>0.3</v>
      </c>
      <c r="L68" s="88">
        <v>0.3</v>
      </c>
      <c r="M68" s="88">
        <v>0.3</v>
      </c>
      <c r="N68" s="88">
        <v>0.3</v>
      </c>
      <c r="O68" s="884"/>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5">
      <c r="A69" s="39"/>
      <c r="B69" s="966"/>
      <c r="C69" s="61" t="s">
        <v>99</v>
      </c>
      <c r="D69" s="62" t="s">
        <v>1681</v>
      </c>
      <c r="E69" s="62" t="s">
        <v>66</v>
      </c>
      <c r="F69" s="1028">
        <v>0.55000000000000004</v>
      </c>
      <c r="G69" s="1028">
        <v>0.55000000000000004</v>
      </c>
      <c r="H69" s="1028">
        <v>0.55000000000000004</v>
      </c>
      <c r="I69" s="1028">
        <v>0.55000000000000004</v>
      </c>
      <c r="J69" s="1028">
        <v>0.55000000000000004</v>
      </c>
      <c r="K69" s="1028">
        <v>0.55000000000000004</v>
      </c>
      <c r="L69" s="1028">
        <v>0.55000000000000004</v>
      </c>
      <c r="M69" s="1028">
        <v>0.55000000000000004</v>
      </c>
      <c r="N69" s="1028">
        <v>0.55000000000000004</v>
      </c>
      <c r="O69" s="884"/>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05"/>
      <c r="C70" s="67"/>
      <c r="D70" s="67"/>
      <c r="E70" s="67"/>
      <c r="F70" s="67"/>
      <c r="G70" s="67"/>
      <c r="H70" s="67"/>
      <c r="I70" s="67"/>
      <c r="J70" s="67"/>
      <c r="K70" s="67"/>
      <c r="L70" s="67"/>
      <c r="M70" s="67"/>
      <c r="N70" s="67"/>
      <c r="O70" s="876"/>
    </row>
    <row r="71" spans="1:114">
      <c r="B71" s="130"/>
      <c r="C71" s="49" t="s">
        <v>714</v>
      </c>
      <c r="D71" s="67"/>
      <c r="E71" s="67" t="s">
        <v>5</v>
      </c>
      <c r="F71" s="67"/>
      <c r="G71" s="67"/>
      <c r="H71" s="67"/>
      <c r="I71" s="67"/>
      <c r="J71" s="67"/>
      <c r="K71" s="67"/>
      <c r="L71" s="67"/>
      <c r="M71" s="67"/>
      <c r="N71" s="67"/>
      <c r="O71" s="876"/>
    </row>
    <row r="72" spans="1:114">
      <c r="B72" s="105"/>
      <c r="C72" s="67"/>
      <c r="D72" s="67"/>
      <c r="E72" s="67"/>
      <c r="F72" s="67"/>
      <c r="G72" s="67"/>
      <c r="H72" s="67"/>
      <c r="I72" s="67"/>
      <c r="J72" s="67"/>
      <c r="K72" s="67"/>
      <c r="L72" s="67"/>
      <c r="M72" s="67"/>
      <c r="N72" s="67"/>
      <c r="O72" s="876"/>
    </row>
    <row r="73" spans="1:114" ht="15.5">
      <c r="B73" s="55"/>
      <c r="C73" s="878" t="s">
        <v>131</v>
      </c>
      <c r="D73" s="878" t="s">
        <v>712</v>
      </c>
      <c r="E73" s="878" t="s">
        <v>30</v>
      </c>
      <c r="F73" s="900">
        <v>2013</v>
      </c>
      <c r="G73" s="900" t="s">
        <v>132</v>
      </c>
      <c r="H73" s="900" t="s">
        <v>133</v>
      </c>
      <c r="I73" s="900" t="s">
        <v>134</v>
      </c>
      <c r="J73" s="900" t="s">
        <v>135</v>
      </c>
      <c r="K73" s="900" t="s">
        <v>136</v>
      </c>
      <c r="L73" s="900" t="s">
        <v>137</v>
      </c>
      <c r="M73" s="900" t="s">
        <v>138</v>
      </c>
      <c r="N73" s="900" t="s">
        <v>139</v>
      </c>
      <c r="O73" s="876"/>
    </row>
    <row r="74" spans="1:114" s="6" customFormat="1" ht="15.5">
      <c r="A74" s="39"/>
      <c r="B74" s="966"/>
      <c r="C74" s="56" t="s">
        <v>98</v>
      </c>
      <c r="D74" s="57" t="s">
        <v>1679</v>
      </c>
      <c r="E74" s="103" t="s">
        <v>64</v>
      </c>
      <c r="F74" s="296">
        <v>7.0000000000000007E-2</v>
      </c>
      <c r="G74" s="296">
        <v>0</v>
      </c>
      <c r="H74" s="296">
        <v>0</v>
      </c>
      <c r="I74" s="296">
        <v>0</v>
      </c>
      <c r="J74" s="296">
        <v>0</v>
      </c>
      <c r="K74" s="296">
        <v>0</v>
      </c>
      <c r="L74" s="296">
        <v>0</v>
      </c>
      <c r="M74" s="296">
        <v>0</v>
      </c>
      <c r="N74" s="296">
        <v>0</v>
      </c>
      <c r="O74" s="88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5">
      <c r="A75" s="39"/>
      <c r="B75" s="966"/>
      <c r="C75" s="141" t="s">
        <v>99</v>
      </c>
      <c r="D75" s="120" t="s">
        <v>1680</v>
      </c>
      <c r="E75" s="194" t="s">
        <v>64</v>
      </c>
      <c r="F75" s="1151">
        <v>0.4</v>
      </c>
      <c r="G75" s="1151">
        <v>0.4</v>
      </c>
      <c r="H75" s="1151">
        <v>0.4</v>
      </c>
      <c r="I75" s="1151">
        <v>0.4</v>
      </c>
      <c r="J75" s="1151">
        <v>0.4</v>
      </c>
      <c r="K75" s="1151">
        <v>0.4</v>
      </c>
      <c r="L75" s="1151">
        <v>0.4</v>
      </c>
      <c r="M75" s="1151">
        <v>0.4</v>
      </c>
      <c r="N75" s="1151">
        <v>0.4</v>
      </c>
      <c r="O75" s="884"/>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5">
      <c r="A76"/>
      <c r="B76" s="966"/>
      <c r="C76" s="65"/>
      <c r="D76" s="57"/>
      <c r="E76" s="57"/>
      <c r="F76" s="296"/>
      <c r="G76" s="88"/>
      <c r="H76" s="88"/>
      <c r="I76" s="88"/>
      <c r="J76" s="88"/>
      <c r="K76" s="88"/>
      <c r="L76" s="88"/>
      <c r="M76" s="88"/>
      <c r="N76" s="88"/>
      <c r="O76" s="884"/>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5">
      <c r="A77"/>
      <c r="B77" s="966"/>
      <c r="C77" s="84" t="s">
        <v>1682</v>
      </c>
      <c r="D77" s="57"/>
      <c r="E77" s="57"/>
      <c r="F77" s="296"/>
      <c r="G77" s="88"/>
      <c r="H77" s="88"/>
      <c r="I77" s="88"/>
      <c r="J77" s="88"/>
      <c r="K77" s="88"/>
      <c r="L77" s="88"/>
      <c r="M77" s="88"/>
      <c r="N77" s="88"/>
      <c r="O77" s="884"/>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5">
      <c r="A78"/>
      <c r="B78" s="966"/>
      <c r="C78" s="84"/>
      <c r="D78" s="57"/>
      <c r="E78" s="57"/>
      <c r="F78" s="296"/>
      <c r="G78" s="88"/>
      <c r="H78" s="88"/>
      <c r="I78" s="88"/>
      <c r="J78" s="88"/>
      <c r="K78" s="88"/>
      <c r="L78" s="88"/>
      <c r="M78" s="88"/>
      <c r="N78" s="88"/>
      <c r="O78" s="884"/>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5">
      <c r="A79"/>
      <c r="B79" s="966"/>
      <c r="C79" s="952" t="s">
        <v>2696</v>
      </c>
      <c r="D79" s="3552">
        <v>0.8</v>
      </c>
      <c r="E79" s="57"/>
      <c r="F79" s="296"/>
      <c r="G79" s="88"/>
      <c r="H79" s="88"/>
      <c r="I79" s="88"/>
      <c r="J79" s="88"/>
      <c r="K79" s="88"/>
      <c r="L79" s="88"/>
      <c r="M79" s="88"/>
      <c r="N79" s="88"/>
      <c r="O79" s="884"/>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05"/>
      <c r="C80" s="65"/>
      <c r="D80" s="57"/>
      <c r="E80" s="67"/>
      <c r="F80" s="67"/>
      <c r="G80" s="67"/>
      <c r="H80" s="67"/>
      <c r="I80" s="67"/>
      <c r="J80" s="67"/>
      <c r="K80" s="67"/>
      <c r="L80" s="67"/>
      <c r="M80" s="67"/>
      <c r="N80" s="67"/>
      <c r="O80" s="876"/>
    </row>
    <row r="81" spans="1:15">
      <c r="B81" s="105"/>
      <c r="C81" s="49" t="s">
        <v>3208</v>
      </c>
      <c r="D81" s="67"/>
      <c r="E81" s="51"/>
      <c r="F81" s="67"/>
      <c r="G81" s="67"/>
      <c r="H81" s="67"/>
      <c r="I81" s="67"/>
      <c r="J81" s="67"/>
      <c r="K81" s="67"/>
      <c r="L81" s="67"/>
      <c r="M81" s="67"/>
      <c r="N81" s="51" t="str">
        <f>Preferences.PowerUnits</f>
        <v>GW</v>
      </c>
      <c r="O81" s="876"/>
    </row>
    <row r="82" spans="1:15">
      <c r="B82" s="105"/>
      <c r="C82" s="67"/>
      <c r="D82" s="67"/>
      <c r="E82" s="67"/>
      <c r="F82" s="67"/>
      <c r="G82" s="67"/>
      <c r="H82" s="67"/>
      <c r="I82" s="67"/>
      <c r="J82" s="67"/>
      <c r="K82" s="67"/>
      <c r="L82" s="67"/>
      <c r="M82" s="67"/>
      <c r="N82" s="67"/>
      <c r="O82" s="876"/>
    </row>
    <row r="83" spans="1:15" ht="15.5">
      <c r="B83" s="55"/>
      <c r="C83" s="878"/>
      <c r="D83" s="878" t="s">
        <v>712</v>
      </c>
      <c r="E83" s="878" t="s">
        <v>30</v>
      </c>
      <c r="F83" s="900">
        <v>2013</v>
      </c>
      <c r="G83" s="900" t="s">
        <v>132</v>
      </c>
      <c r="H83" s="900" t="s">
        <v>133</v>
      </c>
      <c r="I83" s="900" t="s">
        <v>134</v>
      </c>
      <c r="J83" s="900" t="s">
        <v>135</v>
      </c>
      <c r="K83" s="900" t="s">
        <v>136</v>
      </c>
      <c r="L83" s="900" t="s">
        <v>137</v>
      </c>
      <c r="M83" s="900" t="s">
        <v>138</v>
      </c>
      <c r="N83" s="900" t="s">
        <v>139</v>
      </c>
      <c r="O83" s="876"/>
    </row>
    <row r="84" spans="1:15" ht="15.5">
      <c r="B84" s="55"/>
      <c r="C84" s="56"/>
      <c r="D84" s="103" t="s">
        <v>146</v>
      </c>
      <c r="E84" s="57" t="s">
        <v>105</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76"/>
    </row>
    <row r="85" spans="1:15" s="3383" customFormat="1" ht="15.5">
      <c r="B85" s="55"/>
      <c r="C85" s="56"/>
      <c r="D85" s="103" t="s">
        <v>1412</v>
      </c>
      <c r="E85" s="103" t="s">
        <v>105</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76"/>
    </row>
    <row r="86" spans="1:15" ht="15.5">
      <c r="B86" s="55"/>
      <c r="C86" s="141"/>
      <c r="D86" s="120" t="s">
        <v>1679</v>
      </c>
      <c r="E86" s="120" t="s">
        <v>105</v>
      </c>
      <c r="F86" s="1014">
        <f>(Unit.GW)*1.1</f>
        <v>1.1000000000000001</v>
      </c>
      <c r="G86" s="1149">
        <f>(Unit.GW)*0.916</f>
        <v>0.91600000000000004</v>
      </c>
      <c r="H86" s="1149">
        <f>(Unit.GW)*0.324</f>
        <v>0.32400000000000001</v>
      </c>
      <c r="I86" s="1149">
        <f>(Unit.GW)*0.324</f>
        <v>0.32400000000000001</v>
      </c>
      <c r="J86" s="1149">
        <f>(Unit.GW)*0.324</f>
        <v>0.32400000000000001</v>
      </c>
      <c r="K86" s="1149">
        <v>0</v>
      </c>
      <c r="L86" s="1149">
        <v>0</v>
      </c>
      <c r="M86" s="1149">
        <v>0</v>
      </c>
      <c r="N86" s="1149">
        <v>0</v>
      </c>
      <c r="O86" s="876"/>
    </row>
    <row r="87" spans="1:15">
      <c r="B87" s="105"/>
      <c r="C87" s="67"/>
      <c r="D87" s="67"/>
      <c r="E87" s="67"/>
      <c r="F87" s="67"/>
      <c r="G87" s="67"/>
      <c r="H87" s="67"/>
      <c r="I87" s="67"/>
      <c r="J87" s="67"/>
      <c r="K87" s="67" t="s">
        <v>5</v>
      </c>
      <c r="L87" s="67"/>
      <c r="M87" s="67"/>
      <c r="N87" s="67"/>
      <c r="O87" s="876"/>
    </row>
    <row r="88" spans="1:15">
      <c r="B88" s="105"/>
      <c r="C88" s="67"/>
      <c r="D88" s="67"/>
      <c r="E88" s="67"/>
      <c r="F88" s="67"/>
      <c r="G88" s="67"/>
      <c r="H88" s="67"/>
      <c r="I88" s="67"/>
      <c r="J88" s="67"/>
      <c r="K88" s="67"/>
      <c r="L88" s="67"/>
      <c r="M88" s="67"/>
      <c r="N88" s="67"/>
      <c r="O88" s="876"/>
    </row>
    <row r="89" spans="1:15">
      <c r="B89" s="105"/>
      <c r="C89" s="49" t="s">
        <v>1684</v>
      </c>
      <c r="D89" s="67"/>
      <c r="E89" s="67"/>
      <c r="F89" s="67"/>
      <c r="G89" s="67"/>
      <c r="H89" s="67"/>
      <c r="I89" s="67"/>
      <c r="J89" s="67"/>
      <c r="K89" s="67"/>
      <c r="L89" s="67"/>
      <c r="M89" s="67"/>
      <c r="N89" s="67"/>
      <c r="O89" s="876"/>
    </row>
    <row r="90" spans="1:15">
      <c r="B90" s="105"/>
      <c r="C90" s="67"/>
      <c r="D90" s="67"/>
      <c r="E90" s="67"/>
      <c r="F90" s="67"/>
      <c r="G90" s="67"/>
      <c r="H90" s="67"/>
      <c r="I90" s="67"/>
      <c r="J90" s="67"/>
      <c r="K90" s="67"/>
      <c r="L90" s="67"/>
      <c r="M90" s="67"/>
      <c r="N90" s="67"/>
      <c r="O90" s="876"/>
    </row>
    <row r="91" spans="1:15">
      <c r="B91" s="105"/>
      <c r="C91" s="878"/>
      <c r="D91" s="878" t="s">
        <v>712</v>
      </c>
      <c r="E91" s="878" t="s">
        <v>30</v>
      </c>
      <c r="F91" s="900">
        <v>2013</v>
      </c>
      <c r="G91" s="900" t="s">
        <v>132</v>
      </c>
      <c r="H91" s="900" t="s">
        <v>133</v>
      </c>
      <c r="I91" s="900" t="s">
        <v>134</v>
      </c>
      <c r="J91" s="900" t="s">
        <v>135</v>
      </c>
      <c r="K91" s="900" t="s">
        <v>136</v>
      </c>
      <c r="L91" s="900" t="s">
        <v>137</v>
      </c>
      <c r="M91" s="900" t="s">
        <v>138</v>
      </c>
      <c r="N91" s="900" t="s">
        <v>139</v>
      </c>
      <c r="O91" s="876"/>
    </row>
    <row r="92" spans="1:15" ht="15.5">
      <c r="A92" s="39"/>
      <c r="B92" s="55"/>
      <c r="C92" s="2144"/>
      <c r="D92" s="2145" t="s">
        <v>1685</v>
      </c>
      <c r="E92" s="908" t="s">
        <v>64</v>
      </c>
      <c r="F92" s="2146">
        <f>0.460713557918747</f>
        <v>0.46071355791874702</v>
      </c>
      <c r="G92" s="2146">
        <f t="shared" ref="G92:N92" si="8">0.460713557918747</f>
        <v>0.46071355791874702</v>
      </c>
      <c r="H92" s="2146">
        <f t="shared" si="8"/>
        <v>0.46071355791874702</v>
      </c>
      <c r="I92" s="2146">
        <f t="shared" si="8"/>
        <v>0.46071355791874702</v>
      </c>
      <c r="J92" s="2146">
        <f t="shared" si="8"/>
        <v>0.46071355791874702</v>
      </c>
      <c r="K92" s="2146">
        <f t="shared" si="8"/>
        <v>0.46071355791874702</v>
      </c>
      <c r="L92" s="2146">
        <f t="shared" si="8"/>
        <v>0.46071355791874702</v>
      </c>
      <c r="M92" s="2146">
        <f t="shared" si="8"/>
        <v>0.46071355791874702</v>
      </c>
      <c r="N92" s="2146">
        <f t="shared" si="8"/>
        <v>0.46071355791874702</v>
      </c>
      <c r="O92" s="876"/>
    </row>
    <row r="93" spans="1:15">
      <c r="B93" s="105"/>
      <c r="C93" s="65"/>
      <c r="D93" s="67"/>
      <c r="E93" s="67"/>
      <c r="F93" s="2389"/>
      <c r="G93" s="67"/>
      <c r="H93" s="67"/>
      <c r="I93" s="67"/>
      <c r="J93" s="67"/>
      <c r="K93" s="67"/>
      <c r="L93" s="67"/>
      <c r="M93" s="67"/>
      <c r="N93" s="67"/>
      <c r="O93" s="876"/>
    </row>
    <row r="94" spans="1:15" ht="15.5">
      <c r="B94" s="55"/>
      <c r="C94" s="49" t="s">
        <v>716</v>
      </c>
      <c r="D94" s="67"/>
      <c r="E94" s="67"/>
      <c r="F94" s="67"/>
      <c r="G94" s="67"/>
      <c r="H94" s="67"/>
      <c r="I94" s="67" t="s">
        <v>5</v>
      </c>
      <c r="J94" s="67"/>
      <c r="K94" s="67"/>
      <c r="L94" s="67"/>
      <c r="M94" s="67"/>
      <c r="N94" s="67"/>
      <c r="O94" s="876"/>
    </row>
    <row r="95" spans="1:15" ht="15.5">
      <c r="B95" s="55"/>
      <c r="C95" s="67"/>
      <c r="D95" s="67"/>
      <c r="E95" s="67"/>
      <c r="F95" s="67"/>
      <c r="G95" s="67"/>
      <c r="H95" s="67"/>
      <c r="I95" s="67"/>
      <c r="J95" s="67"/>
      <c r="K95" s="67"/>
      <c r="L95" s="67"/>
      <c r="M95" s="67"/>
      <c r="N95" s="67"/>
      <c r="O95" s="876"/>
    </row>
    <row r="96" spans="1:15" ht="15.5">
      <c r="B96" s="55"/>
      <c r="C96" s="1527"/>
      <c r="D96" s="2147" t="s">
        <v>718</v>
      </c>
      <c r="E96" s="1527"/>
      <c r="F96" s="1571" t="str">
        <f>Preferences.PowerUnits&amp;"peak"</f>
        <v>GWpeak</v>
      </c>
      <c r="G96" s="1215"/>
      <c r="H96" s="67"/>
      <c r="I96" s="911"/>
      <c r="J96" s="911"/>
      <c r="K96" s="911"/>
      <c r="L96" s="911"/>
      <c r="M96" s="911"/>
      <c r="N96" s="911"/>
      <c r="O96" s="876"/>
    </row>
    <row r="97" spans="2:15" ht="15.5">
      <c r="B97" s="55"/>
      <c r="C97" s="1170"/>
      <c r="D97" s="964" t="s">
        <v>146</v>
      </c>
      <c r="E97" s="968"/>
      <c r="F97" s="2148">
        <f>0.855*Unit.GW</f>
        <v>0.85499999999999998</v>
      </c>
      <c r="G97" s="934"/>
      <c r="H97" s="67"/>
      <c r="I97" s="59"/>
      <c r="J97" s="59"/>
      <c r="K97" s="59"/>
      <c r="L97" s="59"/>
      <c r="M97" s="59"/>
      <c r="N97" s="59"/>
      <c r="O97" s="876"/>
    </row>
    <row r="98" spans="2:15" s="3383" customFormat="1" ht="15.5">
      <c r="B98" s="55"/>
      <c r="C98" s="65"/>
      <c r="D98" s="67" t="s">
        <v>1412</v>
      </c>
      <c r="E98" s="103"/>
      <c r="F98" s="1198">
        <f>0.1*Unit.GW</f>
        <v>0.1</v>
      </c>
      <c r="G98" s="934"/>
      <c r="H98" s="67"/>
      <c r="I98" s="59"/>
      <c r="J98" s="59"/>
      <c r="K98" s="59"/>
      <c r="L98" s="59"/>
      <c r="M98" s="59"/>
      <c r="N98" s="59"/>
      <c r="O98" s="876"/>
    </row>
    <row r="99" spans="2:15" ht="15.5">
      <c r="B99" s="55"/>
      <c r="C99" s="65"/>
      <c r="D99" s="103" t="s">
        <v>144</v>
      </c>
      <c r="E99" s="103"/>
      <c r="F99" s="1198">
        <f>0.25*Unit.GW</f>
        <v>0.25</v>
      </c>
      <c r="G99" s="934"/>
      <c r="H99" s="67"/>
      <c r="I99" s="59"/>
      <c r="J99" s="59"/>
      <c r="K99" s="59"/>
      <c r="L99" s="59"/>
      <c r="M99" s="59"/>
      <c r="N99" s="59"/>
      <c r="O99" s="876"/>
    </row>
    <row r="100" spans="2:15" ht="15.5">
      <c r="B100" s="55"/>
      <c r="C100" s="65"/>
      <c r="D100" s="103" t="s">
        <v>15</v>
      </c>
      <c r="E100" s="103"/>
      <c r="F100" s="1198">
        <f>0.5*Unit.GW</f>
        <v>0.5</v>
      </c>
      <c r="G100" s="934"/>
      <c r="H100" s="67"/>
      <c r="I100" s="59"/>
      <c r="J100" s="59"/>
      <c r="K100" s="59"/>
      <c r="L100" s="59"/>
      <c r="M100" s="59"/>
      <c r="N100" s="59"/>
      <c r="O100" s="876"/>
    </row>
    <row r="101" spans="2:15" ht="15.5">
      <c r="B101" s="55"/>
      <c r="C101" s="917"/>
      <c r="D101" s="194" t="s">
        <v>147</v>
      </c>
      <c r="E101" s="194"/>
      <c r="F101" s="1063">
        <f>0.1*Unit.GW</f>
        <v>0.1</v>
      </c>
      <c r="G101" s="934"/>
      <c r="H101" s="67"/>
      <c r="I101" s="59"/>
      <c r="J101" s="59"/>
      <c r="K101" s="59"/>
      <c r="L101" s="59"/>
      <c r="M101" s="59"/>
      <c r="N101" s="59"/>
      <c r="O101" s="876"/>
    </row>
    <row r="102" spans="2:15" ht="15.5">
      <c r="B102" s="55"/>
      <c r="C102" s="65"/>
      <c r="D102" s="103"/>
      <c r="E102" s="103"/>
      <c r="F102" s="167"/>
      <c r="G102" s="934"/>
      <c r="H102" s="67"/>
      <c r="I102" s="59"/>
      <c r="J102" s="59"/>
      <c r="K102" s="59"/>
      <c r="L102" s="59"/>
      <c r="M102" s="59"/>
      <c r="N102" s="59"/>
      <c r="O102" s="876"/>
    </row>
    <row r="103" spans="2:15" ht="15.5">
      <c r="B103" s="55"/>
      <c r="C103" s="84" t="s">
        <v>779</v>
      </c>
      <c r="D103" s="103"/>
      <c r="E103" s="103"/>
      <c r="F103" s="167"/>
      <c r="G103" s="934" t="s">
        <v>5</v>
      </c>
      <c r="H103" s="67"/>
      <c r="I103" s="59"/>
      <c r="J103" s="59"/>
      <c r="K103" s="59"/>
      <c r="L103" s="59"/>
      <c r="M103" s="59"/>
      <c r="N103" s="2449" t="str">
        <f>"Kte/"&amp;Preferences.EnergyUnits</f>
        <v>Kte/TWh</v>
      </c>
      <c r="O103" s="876"/>
    </row>
    <row r="104" spans="2:15" ht="15.5">
      <c r="B104" s="55"/>
      <c r="C104" s="84"/>
      <c r="D104" s="103"/>
      <c r="E104" s="103"/>
      <c r="F104" s="167"/>
      <c r="G104" s="934" t="s">
        <v>5</v>
      </c>
      <c r="H104" s="67"/>
      <c r="I104" s="59"/>
      <c r="J104" s="59"/>
      <c r="K104" s="59"/>
      <c r="L104" s="59"/>
      <c r="M104" s="59"/>
      <c r="N104" s="1061"/>
      <c r="O104" s="67"/>
    </row>
    <row r="105" spans="2:15" ht="15.5">
      <c r="B105" s="55"/>
      <c r="C105" s="878"/>
      <c r="D105" s="878" t="s">
        <v>131</v>
      </c>
      <c r="E105" s="878" t="s">
        <v>30</v>
      </c>
      <c r="F105" s="900">
        <v>2013</v>
      </c>
      <c r="G105" s="900" t="s">
        <v>132</v>
      </c>
      <c r="H105" s="900" t="s">
        <v>133</v>
      </c>
      <c r="I105" s="900" t="s">
        <v>134</v>
      </c>
      <c r="J105" s="900" t="s">
        <v>135</v>
      </c>
      <c r="K105" s="900" t="s">
        <v>136</v>
      </c>
      <c r="L105" s="900" t="s">
        <v>137</v>
      </c>
      <c r="M105" s="900" t="s">
        <v>138</v>
      </c>
      <c r="N105" s="900" t="s">
        <v>139</v>
      </c>
      <c r="O105" s="59"/>
    </row>
    <row r="106" spans="2:15" ht="15.5">
      <c r="B106" s="55"/>
      <c r="C106" s="57"/>
      <c r="D106" s="2248" t="s">
        <v>1686</v>
      </c>
      <c r="E106" s="57"/>
      <c r="F106" s="3550">
        <f>0.00926404891829348*(1/Unit.TWh)</f>
        <v>9.2640489182934799E-3</v>
      </c>
      <c r="G106" s="3551">
        <f>0.00621900785422844*(1/Unit.TWh)</f>
        <v>6.2190078542284401E-3</v>
      </c>
      <c r="H106" s="3551">
        <f>0.00621900785422844*(1/Unit.TWh)</f>
        <v>6.2190078542284401E-3</v>
      </c>
      <c r="I106" s="3551">
        <f t="shared" ref="I106:N106" si="9">0.00572952284099682*(1/Unit.TWh)</f>
        <v>5.7295228409968198E-3</v>
      </c>
      <c r="J106" s="3551">
        <f t="shared" si="9"/>
        <v>5.7295228409968198E-3</v>
      </c>
      <c r="K106" s="3551">
        <f t="shared" si="9"/>
        <v>5.7295228409968198E-3</v>
      </c>
      <c r="L106" s="3551">
        <f t="shared" si="9"/>
        <v>5.7295228409968198E-3</v>
      </c>
      <c r="M106" s="3551">
        <f t="shared" si="9"/>
        <v>5.7295228409968198E-3</v>
      </c>
      <c r="N106" s="3551">
        <f t="shared" si="9"/>
        <v>5.7295228409968198E-3</v>
      </c>
      <c r="O106" s="59"/>
    </row>
    <row r="107" spans="2:15" ht="15.5">
      <c r="B107" s="55"/>
      <c r="C107" s="1362"/>
      <c r="D107" s="189" t="s">
        <v>1687</v>
      </c>
      <c r="E107" s="1362"/>
      <c r="F107" s="2390">
        <f>0.168606*(1/Unit.TWh)</f>
        <v>0.16860600000000001</v>
      </c>
      <c r="G107" s="2149">
        <f>0.120570666666667*(1/Unit.TWh)</f>
        <v>0.12057066666666701</v>
      </c>
      <c r="H107" s="2149">
        <f>0.0725353333333333*(1/Unit.TWh)</f>
        <v>7.2535333333333299E-2</v>
      </c>
      <c r="I107" s="2149">
        <f t="shared" ref="I107:N107" si="10">0.0245*(1/Unit.TWh)</f>
        <v>2.4500000000000001E-2</v>
      </c>
      <c r="J107" s="2391">
        <f t="shared" si="10"/>
        <v>2.4500000000000001E-2</v>
      </c>
      <c r="K107" s="2391">
        <f t="shared" si="10"/>
        <v>2.4500000000000001E-2</v>
      </c>
      <c r="L107" s="2391">
        <f t="shared" si="10"/>
        <v>2.4500000000000001E-2</v>
      </c>
      <c r="M107" s="2391">
        <f t="shared" si="10"/>
        <v>2.4500000000000001E-2</v>
      </c>
      <c r="N107" s="2391">
        <f t="shared" si="10"/>
        <v>2.4500000000000001E-2</v>
      </c>
      <c r="O107" s="59"/>
    </row>
    <row r="108" spans="2:15" ht="15.5">
      <c r="B108" s="55"/>
      <c r="C108" s="1362"/>
      <c r="D108" s="189" t="s">
        <v>88</v>
      </c>
      <c r="E108" s="1362"/>
      <c r="F108" s="2390">
        <f t="shared" ref="F108:N108" si="11">0.0489942785685536*(1/Unit.TWh)</f>
        <v>4.8994278568553602E-2</v>
      </c>
      <c r="G108" s="2149">
        <f t="shared" si="11"/>
        <v>4.8994278568553602E-2</v>
      </c>
      <c r="H108" s="2149">
        <f t="shared" si="11"/>
        <v>4.8994278568553602E-2</v>
      </c>
      <c r="I108" s="2149">
        <f t="shared" si="11"/>
        <v>4.8994278568553602E-2</v>
      </c>
      <c r="J108" s="2391">
        <f t="shared" si="11"/>
        <v>4.8994278568553602E-2</v>
      </c>
      <c r="K108" s="2391">
        <f t="shared" si="11"/>
        <v>4.8994278568553602E-2</v>
      </c>
      <c r="L108" s="2391">
        <f t="shared" si="11"/>
        <v>4.8994278568553602E-2</v>
      </c>
      <c r="M108" s="2391">
        <f t="shared" si="11"/>
        <v>4.8994278568553602E-2</v>
      </c>
      <c r="N108" s="2391">
        <f t="shared" si="11"/>
        <v>4.8994278568553602E-2</v>
      </c>
      <c r="O108" s="59"/>
    </row>
    <row r="109" spans="2:15" ht="15.5">
      <c r="B109" s="55"/>
      <c r="C109" s="2150"/>
      <c r="D109" s="193" t="s">
        <v>89</v>
      </c>
      <c r="E109" s="2150"/>
      <c r="F109" s="2392">
        <f>0.00278035848453654*(1/Unit.TWh)</f>
        <v>2.7803584845365399E-3</v>
      </c>
      <c r="G109" s="2151">
        <f>0.00309728804586587*(1/Unit.TWh)</f>
        <v>3.0972880458658698E-3</v>
      </c>
      <c r="H109" s="2151">
        <f>0.00309726437565347*(1/Unit.TWh)</f>
        <v>3.0972643756534699E-3</v>
      </c>
      <c r="I109" s="2151">
        <f>0.00309723515657493*(1/Unit.TWh)</f>
        <v>3.0972351565749299E-3</v>
      </c>
      <c r="J109" s="2393">
        <f>0.00309727451363559*(1/Unit.TWh)</f>
        <v>3.0972745136355899E-3</v>
      </c>
      <c r="K109" s="2393">
        <f>0.00309727451363559*(1/Unit.TWh)</f>
        <v>3.0972745136355899E-3</v>
      </c>
      <c r="L109" s="2393">
        <f>0.00309727451363559*(1/Unit.TWh)</f>
        <v>3.0972745136355899E-3</v>
      </c>
      <c r="M109" s="2393">
        <f>0.00309727451363559*(1/Unit.TWh)</f>
        <v>3.0972745136355899E-3</v>
      </c>
      <c r="N109" s="2393">
        <f>0.00309727451363559*(1/Unit.TWh)</f>
        <v>3.0972745136355899E-3</v>
      </c>
      <c r="O109" s="59"/>
    </row>
    <row r="110" spans="2:15" ht="15.5">
      <c r="B110" s="55"/>
      <c r="C110" s="65"/>
      <c r="D110" s="103"/>
      <c r="E110" s="103"/>
      <c r="F110" s="167"/>
      <c r="G110" s="934"/>
      <c r="H110" s="67"/>
      <c r="I110" s="59"/>
      <c r="J110" s="59"/>
      <c r="K110" s="59"/>
      <c r="L110" s="59"/>
      <c r="M110" s="59"/>
      <c r="N110" s="59"/>
      <c r="O110" s="876"/>
    </row>
    <row r="111" spans="2:15" ht="15.5">
      <c r="B111" s="55"/>
      <c r="C111" s="84" t="s">
        <v>781</v>
      </c>
      <c r="D111" s="103"/>
      <c r="E111" s="103"/>
      <c r="F111" s="167"/>
      <c r="G111" s="934"/>
      <c r="H111" s="67"/>
      <c r="I111" s="59"/>
      <c r="J111" s="59"/>
      <c r="K111" s="59"/>
      <c r="L111" s="59"/>
      <c r="M111" s="59"/>
      <c r="N111" s="2449" t="str">
        <f>"Kte/"&amp;Preferences.EnergyUnits</f>
        <v>Kte/TWh</v>
      </c>
      <c r="O111" s="876"/>
    </row>
    <row r="112" spans="2:15" ht="15.5">
      <c r="B112" s="55"/>
      <c r="C112" s="84"/>
      <c r="D112" s="103"/>
      <c r="E112" s="103"/>
      <c r="F112" s="167"/>
      <c r="G112" s="934"/>
      <c r="H112" s="67"/>
      <c r="I112" s="59"/>
      <c r="J112" s="59"/>
      <c r="K112" s="59"/>
      <c r="L112" s="59"/>
      <c r="M112" s="59"/>
      <c r="N112" s="1061"/>
      <c r="O112" s="67"/>
    </row>
    <row r="113" spans="2:15" ht="15.5">
      <c r="B113" s="55"/>
      <c r="C113" s="878"/>
      <c r="D113" s="878" t="s">
        <v>131</v>
      </c>
      <c r="E113" s="878" t="s">
        <v>30</v>
      </c>
      <c r="F113" s="900">
        <v>2013</v>
      </c>
      <c r="G113" s="900" t="s">
        <v>132</v>
      </c>
      <c r="H113" s="900" t="s">
        <v>133</v>
      </c>
      <c r="I113" s="900" t="s">
        <v>134</v>
      </c>
      <c r="J113" s="900" t="s">
        <v>135</v>
      </c>
      <c r="K113" s="900" t="s">
        <v>136</v>
      </c>
      <c r="L113" s="900" t="s">
        <v>137</v>
      </c>
      <c r="M113" s="900" t="s">
        <v>138</v>
      </c>
      <c r="N113" s="900" t="s">
        <v>139</v>
      </c>
      <c r="O113" s="59"/>
    </row>
    <row r="114" spans="2:15" ht="15.5">
      <c r="B114" s="55"/>
      <c r="C114" s="57"/>
      <c r="D114" s="2248" t="s">
        <v>1686</v>
      </c>
      <c r="E114" s="57"/>
      <c r="F114" s="3550">
        <f>0.5950486199862*(1/Unit.TWh)</f>
        <v>0.59504861998619996</v>
      </c>
      <c r="G114" s="3551">
        <f>0.410909829058898*(1/Unit.TWh)</f>
        <v>0.410909829058898</v>
      </c>
      <c r="H114" s="3551">
        <f>0.261585866598581*(1/Unit.TWh)</f>
        <v>0.26158586659858102</v>
      </c>
      <c r="I114" s="3551">
        <f t="shared" ref="I114:N114" si="12">0.257011569300937*(1/Unit.TWh)</f>
        <v>0.25701156930093699</v>
      </c>
      <c r="J114" s="3551">
        <f t="shared" si="12"/>
        <v>0.25701156930093699</v>
      </c>
      <c r="K114" s="3551">
        <f t="shared" si="12"/>
        <v>0.25701156930093699</v>
      </c>
      <c r="L114" s="3551">
        <f t="shared" si="12"/>
        <v>0.25701156930093699</v>
      </c>
      <c r="M114" s="3551">
        <f t="shared" si="12"/>
        <v>0.25701156930093699</v>
      </c>
      <c r="N114" s="3551">
        <f t="shared" si="12"/>
        <v>0.25701156930093699</v>
      </c>
      <c r="O114" s="59"/>
    </row>
    <row r="115" spans="2:15" ht="15.5">
      <c r="B115" s="55"/>
      <c r="C115" s="1362"/>
      <c r="D115" s="189" t="s">
        <v>1687</v>
      </c>
      <c r="E115" s="1362"/>
      <c r="F115" s="2390">
        <f>0.354042*(1/Unit.TWh)</f>
        <v>0.35404200000000002</v>
      </c>
      <c r="G115" s="2149">
        <f>0.338361333333333*(1/Unit.TWh)</f>
        <v>0.33836133333333301</v>
      </c>
      <c r="H115" s="2149">
        <f>0.322680666666667*(1/Unit.TWh)</f>
        <v>0.322680666666667</v>
      </c>
      <c r="I115" s="2149">
        <f t="shared" ref="I115:N115" si="13">0.307*(1/Unit.TWh)</f>
        <v>0.307</v>
      </c>
      <c r="J115" s="2391">
        <f t="shared" si="13"/>
        <v>0.307</v>
      </c>
      <c r="K115" s="2391">
        <f t="shared" si="13"/>
        <v>0.307</v>
      </c>
      <c r="L115" s="2391">
        <f t="shared" si="13"/>
        <v>0.307</v>
      </c>
      <c r="M115" s="2391">
        <f t="shared" si="13"/>
        <v>0.307</v>
      </c>
      <c r="N115" s="2391">
        <f t="shared" si="13"/>
        <v>0.307</v>
      </c>
      <c r="O115" s="59"/>
    </row>
    <row r="116" spans="2:15" ht="15.5">
      <c r="B116" s="55"/>
      <c r="C116" s="1362"/>
      <c r="D116" s="189" t="s">
        <v>88</v>
      </c>
      <c r="E116" s="1362"/>
      <c r="F116" s="2390">
        <f t="shared" ref="F116:N116" si="14">0.976131038603633*(1/Unit.TWh)</f>
        <v>0.97613103860363304</v>
      </c>
      <c r="G116" s="2149">
        <f t="shared" si="14"/>
        <v>0.97613103860363304</v>
      </c>
      <c r="H116" s="2149">
        <f t="shared" si="14"/>
        <v>0.97613103860363304</v>
      </c>
      <c r="I116" s="2149">
        <f t="shared" si="14"/>
        <v>0.97613103860363304</v>
      </c>
      <c r="J116" s="2391">
        <f t="shared" si="14"/>
        <v>0.97613103860363304</v>
      </c>
      <c r="K116" s="2391">
        <f t="shared" si="14"/>
        <v>0.97613103860363304</v>
      </c>
      <c r="L116" s="2391">
        <f t="shared" si="14"/>
        <v>0.97613103860363304</v>
      </c>
      <c r="M116" s="2391">
        <f t="shared" si="14"/>
        <v>0.97613103860363304</v>
      </c>
      <c r="N116" s="2391">
        <f t="shared" si="14"/>
        <v>0.97613103860363304</v>
      </c>
      <c r="O116" s="59"/>
    </row>
    <row r="117" spans="2:15" ht="15.5">
      <c r="B117" s="55"/>
      <c r="C117" s="2150"/>
      <c r="D117" s="193" t="s">
        <v>89</v>
      </c>
      <c r="E117" s="2150"/>
      <c r="F117" s="2392">
        <f>0.123050674970797*(1/Unit.TWh)</f>
        <v>0.123050674970797</v>
      </c>
      <c r="G117" s="2151">
        <f>0.127930570228309*(1/Unit.TWh)</f>
        <v>0.127930570228309</v>
      </c>
      <c r="H117" s="2151">
        <f>0.115766100034766*(1/Unit.TWh)</f>
        <v>0.11576610003476601</v>
      </c>
      <c r="I117" s="2151">
        <f>0.126726412997109*(1/Unit.TWh)</f>
        <v>0.12672641299710899</v>
      </c>
      <c r="J117" s="2393">
        <f>0.126179432674123*(1/Unit.TWh)</f>
        <v>0.12617943267412299</v>
      </c>
      <c r="K117" s="2393">
        <f>0.126179432674123*(1/Unit.TWh)</f>
        <v>0.12617943267412299</v>
      </c>
      <c r="L117" s="2393">
        <f>0.126179432674123*(1/Unit.TWh)</f>
        <v>0.12617943267412299</v>
      </c>
      <c r="M117" s="2393">
        <f>0.126179432674123*(1/Unit.TWh)</f>
        <v>0.12617943267412299</v>
      </c>
      <c r="N117" s="2393">
        <f>0.126179432674123*(1/Unit.TWh)</f>
        <v>0.12617943267412299</v>
      </c>
      <c r="O117" s="59"/>
    </row>
    <row r="118" spans="2:15" ht="15.5">
      <c r="B118" s="55"/>
      <c r="C118" s="2152"/>
      <c r="D118" s="2153"/>
      <c r="E118" s="2153"/>
      <c r="F118" s="2154"/>
      <c r="G118" s="2155"/>
      <c r="H118" s="2155"/>
      <c r="I118" s="2155"/>
      <c r="J118" s="2155"/>
      <c r="K118" s="2155"/>
      <c r="L118" s="2155"/>
      <c r="M118" s="2155"/>
      <c r="N118" s="2155"/>
      <c r="O118" s="876"/>
    </row>
    <row r="119" spans="2:15" ht="15.5">
      <c r="B119" s="55"/>
      <c r="C119" s="84" t="s">
        <v>782</v>
      </c>
      <c r="D119" s="103"/>
      <c r="E119" s="103"/>
      <c r="F119" s="167"/>
      <c r="G119" s="934"/>
      <c r="H119" s="67"/>
      <c r="I119" s="59"/>
      <c r="J119" s="59"/>
      <c r="K119" s="59"/>
      <c r="L119" s="59"/>
      <c r="M119" s="59"/>
      <c r="N119" s="2449" t="str">
        <f>"Kte/"&amp;Preferences.EnergyUnits</f>
        <v>Kte/TWh</v>
      </c>
      <c r="O119" s="876"/>
    </row>
    <row r="120" spans="2:15" ht="15.5">
      <c r="B120" s="55"/>
      <c r="C120" s="84"/>
      <c r="D120" s="103"/>
      <c r="E120" s="103"/>
      <c r="F120" s="167"/>
      <c r="G120" s="934"/>
      <c r="H120" s="67"/>
      <c r="I120" s="59"/>
      <c r="J120" s="59"/>
      <c r="K120" s="59"/>
      <c r="L120" s="59"/>
      <c r="M120" s="59"/>
      <c r="N120" s="1061"/>
      <c r="O120" s="67"/>
    </row>
    <row r="121" spans="2:15" ht="15.5">
      <c r="B121" s="55"/>
      <c r="C121" s="878"/>
      <c r="D121" s="878" t="s">
        <v>131</v>
      </c>
      <c r="E121" s="878" t="s">
        <v>30</v>
      </c>
      <c r="F121" s="900">
        <v>2013</v>
      </c>
      <c r="G121" s="900" t="s">
        <v>132</v>
      </c>
      <c r="H121" s="900" t="s">
        <v>133</v>
      </c>
      <c r="I121" s="900" t="s">
        <v>134</v>
      </c>
      <c r="J121" s="900" t="s">
        <v>135</v>
      </c>
      <c r="K121" s="900" t="s">
        <v>136</v>
      </c>
      <c r="L121" s="900" t="s">
        <v>137</v>
      </c>
      <c r="M121" s="900" t="s">
        <v>138</v>
      </c>
      <c r="N121" s="900" t="s">
        <v>139</v>
      </c>
      <c r="O121" s="59"/>
    </row>
    <row r="122" spans="2:15" ht="15.5">
      <c r="B122" s="55"/>
      <c r="C122" s="57"/>
      <c r="D122" s="2248" t="s">
        <v>1686</v>
      </c>
      <c r="E122" s="57"/>
      <c r="F122" s="3550">
        <f>0.392720353768974*(1/Unit.TWh)</f>
        <v>0.39272035376897402</v>
      </c>
      <c r="G122" s="3551">
        <f>0.255262077087497*(1/Unit.TWh)</f>
        <v>0.25526207708749699</v>
      </c>
      <c r="H122" s="3551">
        <f>0.248871589064033*(1/Unit.TWh)</f>
        <v>0.24887158906403301</v>
      </c>
      <c r="I122" s="3551">
        <f t="shared" ref="I122:N122" si="15">0.243293504284017*(1/Unit.TWh)</f>
        <v>0.243293504284017</v>
      </c>
      <c r="J122" s="3551">
        <f t="shared" si="15"/>
        <v>0.243293504284017</v>
      </c>
      <c r="K122" s="3551">
        <f t="shared" si="15"/>
        <v>0.243293504284017</v>
      </c>
      <c r="L122" s="3551">
        <f t="shared" si="15"/>
        <v>0.243293504284017</v>
      </c>
      <c r="M122" s="3551">
        <f t="shared" si="15"/>
        <v>0.243293504284017</v>
      </c>
      <c r="N122" s="3551">
        <f t="shared" si="15"/>
        <v>0.243293504284017</v>
      </c>
      <c r="O122" s="59"/>
    </row>
    <row r="123" spans="2:15" ht="15.5">
      <c r="B123" s="55"/>
      <c r="C123" s="1362"/>
      <c r="D123" s="189" t="s">
        <v>1687</v>
      </c>
      <c r="E123" s="1362"/>
      <c r="F123" s="2390">
        <f>0.0359129355007782*(1/Unit.TWh)</f>
        <v>3.5912935500778197E-2</v>
      </c>
      <c r="G123" s="2149">
        <f t="shared" ref="G123:N123" si="16">0.0360674041701294*(1/Unit.TWh)</f>
        <v>3.6067404170129401E-2</v>
      </c>
      <c r="H123" s="2149">
        <f t="shared" si="16"/>
        <v>3.6067404170129401E-2</v>
      </c>
      <c r="I123" s="2149">
        <f t="shared" si="16"/>
        <v>3.6067404170129401E-2</v>
      </c>
      <c r="J123" s="2391">
        <f t="shared" si="16"/>
        <v>3.6067404170129401E-2</v>
      </c>
      <c r="K123" s="2391">
        <f t="shared" si="16"/>
        <v>3.6067404170129401E-2</v>
      </c>
      <c r="L123" s="2391">
        <f t="shared" si="16"/>
        <v>3.6067404170129401E-2</v>
      </c>
      <c r="M123" s="2391">
        <f t="shared" si="16"/>
        <v>3.6067404170129401E-2</v>
      </c>
      <c r="N123" s="2391">
        <f t="shared" si="16"/>
        <v>3.6067404170129401E-2</v>
      </c>
      <c r="O123" s="59"/>
    </row>
    <row r="124" spans="2:15" ht="15.5">
      <c r="B124" s="55"/>
      <c r="C124" s="1362"/>
      <c r="D124" s="189" t="s">
        <v>88</v>
      </c>
      <c r="E124" s="1362"/>
      <c r="F124" s="2390">
        <f t="shared" ref="F124:N124" si="17">0.685723850317848*(1/Unit.TWh)</f>
        <v>0.68572385031784799</v>
      </c>
      <c r="G124" s="2149">
        <f t="shared" si="17"/>
        <v>0.68572385031784799</v>
      </c>
      <c r="H124" s="2149">
        <f t="shared" si="17"/>
        <v>0.68572385031784799</v>
      </c>
      <c r="I124" s="2149">
        <f t="shared" si="17"/>
        <v>0.68572385031784799</v>
      </c>
      <c r="J124" s="2391">
        <f t="shared" si="17"/>
        <v>0.68572385031784799</v>
      </c>
      <c r="K124" s="2391">
        <f t="shared" si="17"/>
        <v>0.68572385031784799</v>
      </c>
      <c r="L124" s="2391">
        <f t="shared" si="17"/>
        <v>0.68572385031784799</v>
      </c>
      <c r="M124" s="2391">
        <f t="shared" si="17"/>
        <v>0.68572385031784799</v>
      </c>
      <c r="N124" s="2391">
        <f t="shared" si="17"/>
        <v>0.68572385031784799</v>
      </c>
      <c r="O124" s="59"/>
    </row>
    <row r="125" spans="2:15" ht="15.5">
      <c r="B125" s="55"/>
      <c r="C125" s="2150"/>
      <c r="D125" s="193" t="s">
        <v>89</v>
      </c>
      <c r="E125" s="2150"/>
      <c r="F125" s="2392">
        <f>0.00181607897153511*(1/Unit.TWh)</f>
        <v>1.81607897153511E-3</v>
      </c>
      <c r="G125" s="2151">
        <f>0.0023443095515625*(1/Unit.TWh)</f>
        <v>2.3443095515624998E-3</v>
      </c>
      <c r="H125" s="2151">
        <f>0.00234138971705812*(1/Unit.TWh)</f>
        <v>2.3413897170581201E-3</v>
      </c>
      <c r="I125" s="2151">
        <f>0.00233778540323651*(1/Unit.TWh)</f>
        <v>2.3377854032365099E-3</v>
      </c>
      <c r="J125" s="2393">
        <f>0.00234264028589595*(1/Unit.TWh)</f>
        <v>2.3426402858959501E-3</v>
      </c>
      <c r="K125" s="2393">
        <f>0.00234264028589595*(1/Unit.TWh)</f>
        <v>2.3426402858959501E-3</v>
      </c>
      <c r="L125" s="2393">
        <f>0.00234264028589595*(1/Unit.TWh)</f>
        <v>2.3426402858959501E-3</v>
      </c>
      <c r="M125" s="2393">
        <f>0.00234264028589595*(1/Unit.TWh)</f>
        <v>2.3426402858959501E-3</v>
      </c>
      <c r="N125" s="2393">
        <f>0.00234264028589595*(1/Unit.TWh)</f>
        <v>2.3426402858959501E-3</v>
      </c>
      <c r="O125" s="59"/>
    </row>
    <row r="126" spans="2:15" ht="15.5">
      <c r="B126" s="55"/>
      <c r="C126" s="65"/>
      <c r="D126" s="103"/>
      <c r="E126" s="103"/>
      <c r="F126" s="167"/>
      <c r="G126" s="934"/>
      <c r="H126" s="67"/>
      <c r="I126" s="59"/>
      <c r="J126" s="59"/>
      <c r="K126" s="59"/>
      <c r="L126" s="59"/>
      <c r="M126" s="59"/>
      <c r="N126" s="59"/>
      <c r="O126" s="876"/>
    </row>
    <row r="127" spans="2:15" ht="15.5">
      <c r="B127" s="55"/>
      <c r="C127" s="84" t="s">
        <v>783</v>
      </c>
      <c r="D127" s="103"/>
      <c r="E127" s="103"/>
      <c r="F127" s="167"/>
      <c r="G127" s="934"/>
      <c r="H127" s="67"/>
      <c r="I127" s="59"/>
      <c r="J127" s="59"/>
      <c r="K127" s="59"/>
      <c r="L127" s="59"/>
      <c r="M127" s="59"/>
      <c r="N127" s="2449" t="str">
        <f>"Kte/"&amp;Preferences.EnergyUnits</f>
        <v>Kte/TWh</v>
      </c>
      <c r="O127" s="876"/>
    </row>
    <row r="128" spans="2:15" ht="15.5">
      <c r="B128" s="55"/>
      <c r="C128" s="84"/>
      <c r="D128" s="103"/>
      <c r="E128" s="103"/>
      <c r="F128" s="167"/>
      <c r="G128" s="934"/>
      <c r="H128" s="67"/>
      <c r="I128" s="59"/>
      <c r="J128" s="59"/>
      <c r="K128" s="59"/>
      <c r="L128" s="59"/>
      <c r="M128" s="59"/>
      <c r="N128" s="1061"/>
      <c r="O128" s="67"/>
    </row>
    <row r="129" spans="1:114" ht="15.5">
      <c r="B129" s="55"/>
      <c r="C129" s="878"/>
      <c r="D129" s="878" t="s">
        <v>131</v>
      </c>
      <c r="E129" s="878" t="s">
        <v>30</v>
      </c>
      <c r="F129" s="900">
        <v>2013</v>
      </c>
      <c r="G129" s="900" t="s">
        <v>132</v>
      </c>
      <c r="H129" s="900" t="s">
        <v>133</v>
      </c>
      <c r="I129" s="900" t="s">
        <v>134</v>
      </c>
      <c r="J129" s="900" t="s">
        <v>135</v>
      </c>
      <c r="K129" s="900" t="s">
        <v>136</v>
      </c>
      <c r="L129" s="900" t="s">
        <v>137</v>
      </c>
      <c r="M129" s="900" t="s">
        <v>138</v>
      </c>
      <c r="N129" s="900" t="s">
        <v>139</v>
      </c>
      <c r="O129" s="59"/>
    </row>
    <row r="130" spans="1:114" ht="15.5">
      <c r="B130" s="55"/>
      <c r="C130" s="57"/>
      <c r="D130" s="2248" t="s">
        <v>1686</v>
      </c>
      <c r="E130" s="57"/>
      <c r="F130" s="3550">
        <f>0.00257521766005439*(1/Unit.TWh)</f>
        <v>2.5752176600543899E-3</v>
      </c>
      <c r="G130" s="3551">
        <f>0.00251349544448512*(1/Unit.TWh)</f>
        <v>2.5134954444851199E-3</v>
      </c>
      <c r="H130" s="3551">
        <f>0.00251449039415792*(1/Unit.TWh)</f>
        <v>2.5144903941579201E-3</v>
      </c>
      <c r="I130" s="3551">
        <f>0.00251660725789183*(1/Unit.TWh)</f>
        <v>2.51660725789183E-3</v>
      </c>
      <c r="J130" s="3551">
        <f>0.0025207932619345*(1/Unit.TWh)</f>
        <v>2.5207932619345E-3</v>
      </c>
      <c r="K130" s="3551">
        <f>0.0025207932619345*(1/Unit.TWh)</f>
        <v>2.5207932619345E-3</v>
      </c>
      <c r="L130" s="3551">
        <f>0.0025207932619345*(1/Unit.TWh)</f>
        <v>2.5207932619345E-3</v>
      </c>
      <c r="M130" s="3551">
        <f>0.0025207932619345*(1/Unit.TWh)</f>
        <v>2.5207932619345E-3</v>
      </c>
      <c r="N130" s="3551">
        <f>0.0025207932619345*(1/Unit.TWh)</f>
        <v>2.5207932619345E-3</v>
      </c>
      <c r="O130" s="59"/>
    </row>
    <row r="131" spans="1:114" ht="15.5">
      <c r="B131" s="55"/>
      <c r="C131" s="1362"/>
      <c r="D131" s="189" t="s">
        <v>1687</v>
      </c>
      <c r="E131" s="1362"/>
      <c r="F131" s="2390">
        <f>0.0562206573743901*(1/Unit.TWh)</f>
        <v>5.6220657374390103E-2</v>
      </c>
      <c r="G131" s="2149">
        <f t="shared" ref="G131:N131" si="18">0.0695658398524502*(1/Unit.TWh)</f>
        <v>6.9565839852450198E-2</v>
      </c>
      <c r="H131" s="2149">
        <f t="shared" si="18"/>
        <v>6.9565839852450198E-2</v>
      </c>
      <c r="I131" s="2149">
        <f t="shared" si="18"/>
        <v>6.9565839852450198E-2</v>
      </c>
      <c r="J131" s="2391">
        <f t="shared" si="18"/>
        <v>6.9565839852450198E-2</v>
      </c>
      <c r="K131" s="2391">
        <f t="shared" si="18"/>
        <v>6.9565839852450198E-2</v>
      </c>
      <c r="L131" s="2391">
        <f t="shared" si="18"/>
        <v>6.9565839852450198E-2</v>
      </c>
      <c r="M131" s="2391">
        <f t="shared" si="18"/>
        <v>6.9565839852450198E-2</v>
      </c>
      <c r="N131" s="2391">
        <f t="shared" si="18"/>
        <v>6.9565839852450198E-2</v>
      </c>
      <c r="O131" s="59"/>
    </row>
    <row r="132" spans="1:114" ht="15.5">
      <c r="B132" s="55"/>
      <c r="C132" s="1362"/>
      <c r="D132" s="189" t="s">
        <v>88</v>
      </c>
      <c r="E132" s="1362"/>
      <c r="F132" s="2390">
        <f t="shared" ref="F132:N132" si="19">0.00620662344249255*(1/Unit.TWh)</f>
        <v>6.2066234424925501E-3</v>
      </c>
      <c r="G132" s="2149">
        <f t="shared" si="19"/>
        <v>6.2066234424925501E-3</v>
      </c>
      <c r="H132" s="2149">
        <f t="shared" si="19"/>
        <v>6.2066234424925501E-3</v>
      </c>
      <c r="I132" s="2149">
        <f t="shared" si="19"/>
        <v>6.2066234424925501E-3</v>
      </c>
      <c r="J132" s="2391">
        <f t="shared" si="19"/>
        <v>6.2066234424925501E-3</v>
      </c>
      <c r="K132" s="2391">
        <f t="shared" si="19"/>
        <v>6.2066234424925501E-3</v>
      </c>
      <c r="L132" s="2391">
        <f t="shared" si="19"/>
        <v>6.2066234424925501E-3</v>
      </c>
      <c r="M132" s="2391">
        <f t="shared" si="19"/>
        <v>6.2066234424925501E-3</v>
      </c>
      <c r="N132" s="2391">
        <f t="shared" si="19"/>
        <v>6.2066234424925501E-3</v>
      </c>
      <c r="O132" s="59"/>
    </row>
    <row r="133" spans="1:114" ht="15.5">
      <c r="B133" s="55"/>
      <c r="C133" s="2150"/>
      <c r="D133" s="193" t="s">
        <v>89</v>
      </c>
      <c r="E133" s="2150"/>
      <c r="F133" s="2392">
        <f>0.00419060073008392*(1/Unit.TWh)</f>
        <v>4.1906007300839196E-3</v>
      </c>
      <c r="G133" s="2151">
        <f>0.00422133980427538*(1/Unit.TWh)</f>
        <v>4.22133980427538E-3</v>
      </c>
      <c r="H133" s="2151">
        <f>0.00422141672632296*(1/Unit.TWh)</f>
        <v>4.2214167263229596E-3</v>
      </c>
      <c r="I133" s="2151">
        <f>0.00422151168074551*(1/Unit.TWh)</f>
        <v>4.2215116807455101E-3</v>
      </c>
      <c r="J133" s="2393">
        <f>0.00422138378051199*(1/Unit.TWh)</f>
        <v>4.2213837805119897E-3</v>
      </c>
      <c r="K133" s="2393">
        <f>0.00422138378051199*(1/Unit.TWh)</f>
        <v>4.2213837805119897E-3</v>
      </c>
      <c r="L133" s="2393">
        <f>0.00422138378051199*(1/Unit.TWh)</f>
        <v>4.2213837805119897E-3</v>
      </c>
      <c r="M133" s="2393">
        <f>0.00422138378051199*(1/Unit.TWh)</f>
        <v>4.2213837805119897E-3</v>
      </c>
      <c r="N133" s="2393">
        <f>0.00422138378051199*(1/Unit.TWh)</f>
        <v>4.2213837805119897E-3</v>
      </c>
      <c r="O133" s="59"/>
    </row>
    <row r="134" spans="1:114" ht="15.5">
      <c r="B134" s="55"/>
      <c r="C134" s="65"/>
      <c r="D134" s="103"/>
      <c r="E134" s="103"/>
      <c r="F134" s="167"/>
      <c r="G134" s="934"/>
      <c r="H134" s="67"/>
      <c r="I134" s="59"/>
      <c r="J134" s="59"/>
      <c r="K134" s="59"/>
      <c r="L134" s="59"/>
      <c r="M134" s="59"/>
      <c r="N134" s="59"/>
      <c r="O134" s="876"/>
    </row>
    <row r="135" spans="1:114">
      <c r="B135" s="45"/>
      <c r="C135" s="67"/>
      <c r="D135" s="195"/>
      <c r="E135" s="67"/>
      <c r="F135" s="67"/>
      <c r="G135" s="67"/>
      <c r="H135" s="67"/>
      <c r="I135" s="67"/>
      <c r="J135" s="67"/>
      <c r="K135" s="67"/>
      <c r="L135" s="67"/>
      <c r="M135" s="67"/>
      <c r="N135" s="67"/>
      <c r="O135" s="876"/>
    </row>
    <row r="136" spans="1:114">
      <c r="B136" s="45"/>
      <c r="C136" s="3826" t="s">
        <v>63</v>
      </c>
      <c r="D136" s="195"/>
      <c r="E136" s="67"/>
      <c r="F136" s="67"/>
      <c r="G136" s="67"/>
      <c r="H136" s="67"/>
      <c r="I136" s="67"/>
      <c r="J136" s="67"/>
      <c r="K136" s="67"/>
      <c r="L136" s="67"/>
      <c r="M136" s="67"/>
      <c r="N136" s="67"/>
      <c r="O136" s="876"/>
    </row>
    <row r="137" spans="1:114" s="918" customFormat="1">
      <c r="A137"/>
      <c r="B137" s="1160"/>
      <c r="C137" s="920" t="s">
        <v>64</v>
      </c>
      <c r="D137" s="924" t="s">
        <v>2974</v>
      </c>
      <c r="E137" s="922"/>
      <c r="F137" s="922"/>
      <c r="G137" s="922"/>
      <c r="H137" s="922"/>
      <c r="I137" s="922"/>
      <c r="J137" s="922"/>
      <c r="K137" s="922"/>
      <c r="L137" s="922"/>
      <c r="M137" s="922"/>
      <c r="N137" s="922"/>
      <c r="O137" s="92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18" customFormat="1">
      <c r="A138"/>
      <c r="B138" s="1160"/>
      <c r="C138" s="920"/>
      <c r="D138" s="924" t="s">
        <v>2973</v>
      </c>
      <c r="E138" s="922"/>
      <c r="F138" s="922"/>
      <c r="G138" s="922"/>
      <c r="H138" s="922"/>
      <c r="I138" s="922"/>
      <c r="J138" s="922"/>
      <c r="K138" s="922"/>
      <c r="L138" s="922"/>
      <c r="M138" s="922"/>
      <c r="N138" s="922"/>
      <c r="O138" s="92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18" customFormat="1">
      <c r="A139"/>
      <c r="B139" s="1160"/>
      <c r="C139" s="920"/>
      <c r="D139" s="924" t="s">
        <v>2975</v>
      </c>
      <c r="E139" s="922"/>
      <c r="F139" s="922"/>
      <c r="G139" s="922"/>
      <c r="H139" s="922"/>
      <c r="I139" s="922"/>
      <c r="J139" s="922"/>
      <c r="K139" s="922"/>
      <c r="L139" s="922"/>
      <c r="M139" s="922"/>
      <c r="N139" s="922"/>
      <c r="O139" s="92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18" customFormat="1">
      <c r="A140"/>
      <c r="B140" s="1160"/>
      <c r="C140" s="920" t="s">
        <v>66</v>
      </c>
      <c r="D140" s="924" t="s">
        <v>1688</v>
      </c>
      <c r="E140" s="922"/>
      <c r="F140" s="922"/>
      <c r="G140" s="922"/>
      <c r="H140" s="922"/>
      <c r="I140" s="922"/>
      <c r="J140" s="922"/>
      <c r="K140" s="922"/>
      <c r="L140" s="922"/>
      <c r="M140" s="922"/>
      <c r="N140" s="922"/>
      <c r="O140" s="923"/>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18" customFormat="1">
      <c r="A141"/>
      <c r="B141" s="1160"/>
      <c r="C141" s="920" t="s">
        <v>105</v>
      </c>
      <c r="D141" s="924" t="s">
        <v>2989</v>
      </c>
      <c r="E141" s="922"/>
      <c r="F141" s="922"/>
      <c r="G141" s="922"/>
      <c r="H141" s="922"/>
      <c r="I141" s="922"/>
      <c r="J141" s="922"/>
      <c r="K141" s="922"/>
      <c r="L141" s="922"/>
      <c r="M141" s="922"/>
      <c r="N141" s="922"/>
      <c r="O141" s="92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18" customFormat="1">
      <c r="A142"/>
      <c r="B142" s="1160"/>
      <c r="C142" s="1161"/>
      <c r="D142" s="922"/>
      <c r="E142" s="922"/>
      <c r="F142" s="922"/>
      <c r="G142" s="922"/>
      <c r="H142" s="922"/>
      <c r="I142" s="922"/>
      <c r="J142" s="922"/>
      <c r="K142" s="922"/>
      <c r="L142" s="922"/>
      <c r="M142" s="922"/>
      <c r="N142" s="922"/>
      <c r="O142" s="92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63"/>
      <c r="C143" s="1065"/>
      <c r="D143" s="1065"/>
      <c r="E143" s="1065"/>
      <c r="F143" s="1065"/>
      <c r="G143" s="1065"/>
      <c r="H143" s="1065"/>
      <c r="I143" s="1065"/>
      <c r="J143" s="1065"/>
      <c r="K143" s="1065"/>
      <c r="L143" s="1065"/>
      <c r="M143" s="1065"/>
      <c r="N143" s="1065"/>
      <c r="O143" s="1100"/>
    </row>
    <row r="144" spans="1:114">
      <c r="B144" s="868"/>
    </row>
    <row r="145" spans="1:16383" s="6" customFormat="1" ht="23.5">
      <c r="A145" s="7"/>
      <c r="B145" s="2156" t="s">
        <v>2719</v>
      </c>
      <c r="C145" s="2157"/>
      <c r="D145" s="2157"/>
      <c r="E145" s="2157"/>
      <c r="F145" s="2157"/>
      <c r="G145" s="2157"/>
      <c r="H145" s="2157"/>
      <c r="I145" s="2157"/>
      <c r="J145" s="2157"/>
      <c r="K145" s="2157"/>
      <c r="L145" s="2157"/>
      <c r="M145" s="2157"/>
      <c r="N145" s="2157"/>
      <c r="O145" s="2158"/>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46"/>
      <c r="C146" s="930"/>
      <c r="D146" s="930"/>
      <c r="E146" s="930"/>
      <c r="F146" s="930"/>
      <c r="G146" s="930"/>
      <c r="H146" s="930"/>
      <c r="I146" s="930"/>
      <c r="J146" s="930"/>
      <c r="K146" s="930"/>
      <c r="L146" s="930"/>
      <c r="M146" s="930"/>
      <c r="N146" s="930"/>
      <c r="O146" s="1048"/>
      <c r="P146" s="1164"/>
      <c r="Q146" s="1164"/>
      <c r="R146" s="1164"/>
      <c r="S146" s="1164"/>
      <c r="T146" s="1164"/>
      <c r="U146" s="1164"/>
      <c r="V146" s="1164"/>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46"/>
      <c r="C147" s="49" t="s">
        <v>1689</v>
      </c>
      <c r="D147" s="915"/>
      <c r="E147" s="932"/>
      <c r="F147" s="933"/>
      <c r="G147" s="934"/>
      <c r="H147" s="934"/>
      <c r="I147" s="934"/>
      <c r="J147" s="934"/>
      <c r="K147" s="934"/>
      <c r="L147" s="934"/>
      <c r="M147" s="934"/>
      <c r="N147" s="935" t="s">
        <v>2738</v>
      </c>
      <c r="O147" s="1048"/>
      <c r="P147" s="1164"/>
      <c r="Q147" s="647"/>
      <c r="R147" s="647"/>
      <c r="S147" s="1164"/>
      <c r="T147" s="1164"/>
      <c r="U147" s="1164"/>
      <c r="V147" s="1164"/>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46"/>
      <c r="C148" s="937"/>
      <c r="D148" s="915"/>
      <c r="E148" s="932"/>
      <c r="F148" s="933"/>
      <c r="G148" s="934"/>
      <c r="H148" s="934"/>
      <c r="I148" s="934"/>
      <c r="J148" s="934"/>
      <c r="K148" s="934"/>
      <c r="L148" s="934"/>
      <c r="M148" s="934"/>
      <c r="N148" s="67"/>
      <c r="O148" s="1048"/>
      <c r="P148" s="1164"/>
      <c r="Q148" s="647"/>
      <c r="R148" s="647"/>
      <c r="S148" s="1164"/>
      <c r="T148" s="1164"/>
      <c r="U148" s="1164"/>
      <c r="V148" s="1164"/>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46"/>
      <c r="C149" s="1069" t="s">
        <v>144</v>
      </c>
      <c r="D149" s="1070" t="s">
        <v>1832</v>
      </c>
      <c r="E149" s="971" t="s">
        <v>159</v>
      </c>
      <c r="F149" s="972">
        <v>2013</v>
      </c>
      <c r="G149" s="965">
        <v>2015</v>
      </c>
      <c r="H149" s="965">
        <v>2020</v>
      </c>
      <c r="I149" s="965">
        <v>2025</v>
      </c>
      <c r="J149" s="965">
        <v>2030</v>
      </c>
      <c r="K149" s="965">
        <v>2035</v>
      </c>
      <c r="L149" s="965">
        <v>2040</v>
      </c>
      <c r="M149" s="965">
        <v>2045</v>
      </c>
      <c r="N149" s="965">
        <v>2050</v>
      </c>
      <c r="O149" s="1048"/>
      <c r="P149" s="1164"/>
      <c r="Q149" s="647"/>
      <c r="R149" s="647"/>
      <c r="S149" s="1164"/>
      <c r="T149" s="1164"/>
      <c r="U149" s="1164"/>
      <c r="V149" s="1164"/>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46"/>
      <c r="C150" s="967" t="s">
        <v>719</v>
      </c>
      <c r="D150" s="1070"/>
      <c r="E150" s="2394"/>
      <c r="F150" s="2397"/>
      <c r="G150" s="2397"/>
      <c r="H150" s="2397"/>
      <c r="I150" s="2397"/>
      <c r="J150" s="2397"/>
      <c r="K150" s="2397"/>
      <c r="L150" s="2397"/>
      <c r="M150" s="2397"/>
      <c r="N150" s="2397"/>
      <c r="O150" s="1048"/>
      <c r="P150" s="1164"/>
      <c r="Q150" s="647"/>
      <c r="R150" s="2159"/>
      <c r="S150" s="1164"/>
      <c r="T150" s="1164"/>
      <c r="U150" s="1164"/>
      <c r="V150" s="1164"/>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46"/>
      <c r="C151" s="943" t="s">
        <v>720</v>
      </c>
      <c r="D151" s="915"/>
      <c r="E151" s="2395"/>
      <c r="F151" s="2398"/>
      <c r="G151" s="2398"/>
      <c r="H151" s="2398"/>
      <c r="I151" s="2398"/>
      <c r="J151" s="2398"/>
      <c r="K151" s="2398"/>
      <c r="L151" s="2398"/>
      <c r="M151" s="2398"/>
      <c r="N151" s="2398"/>
      <c r="O151" s="1048"/>
      <c r="P151" s="1164"/>
      <c r="Q151" s="647"/>
      <c r="R151" s="2159"/>
      <c r="S151" s="1164"/>
      <c r="T151" s="1164"/>
      <c r="U151" s="1164"/>
      <c r="V151" s="1164"/>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46"/>
      <c r="C152" s="947" t="s">
        <v>721</v>
      </c>
      <c r="D152" s="948"/>
      <c r="E152" s="2396"/>
      <c r="F152" s="2399"/>
      <c r="G152" s="2399"/>
      <c r="H152" s="2399"/>
      <c r="I152" s="2399"/>
      <c r="J152" s="2399"/>
      <c r="K152" s="2399"/>
      <c r="L152" s="2399"/>
      <c r="M152" s="2399"/>
      <c r="N152" s="2399"/>
      <c r="O152" s="1048"/>
      <c r="P152" s="1164"/>
      <c r="Q152" s="647"/>
      <c r="R152" s="2159"/>
      <c r="S152" s="1164"/>
      <c r="T152" s="1164"/>
      <c r="U152" s="1164"/>
      <c r="V152" s="1164"/>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46"/>
      <c r="C153" s="936"/>
      <c r="D153" s="936"/>
      <c r="E153" s="936"/>
      <c r="F153" s="936"/>
      <c r="G153" s="936"/>
      <c r="H153" s="936"/>
      <c r="I153" s="936"/>
      <c r="J153" s="936"/>
      <c r="K153" s="936"/>
      <c r="L153" s="936"/>
      <c r="M153" s="936"/>
      <c r="N153" s="936"/>
      <c r="O153" s="1048"/>
      <c r="P153" s="1164"/>
      <c r="Q153" s="647"/>
      <c r="R153" s="647"/>
      <c r="S153" s="1164"/>
      <c r="T153" s="1164"/>
      <c r="U153" s="1164"/>
      <c r="V153" s="1164"/>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46"/>
      <c r="C154" s="936"/>
      <c r="D154" s="936"/>
      <c r="E154" s="936"/>
      <c r="F154" s="936"/>
      <c r="G154" s="936"/>
      <c r="H154" s="936"/>
      <c r="I154" s="936"/>
      <c r="J154" s="936"/>
      <c r="K154" s="936"/>
      <c r="L154" s="936"/>
      <c r="M154" s="936"/>
      <c r="N154" s="935" t="s">
        <v>2738</v>
      </c>
      <c r="O154" s="1048"/>
      <c r="P154" s="1164"/>
      <c r="Q154" s="647"/>
      <c r="R154" s="647"/>
      <c r="S154" s="1164"/>
      <c r="T154" s="1164"/>
      <c r="U154" s="1164"/>
      <c r="V154" s="116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48" customFormat="1" hidden="1">
      <c r="A155" s="389"/>
      <c r="B155" s="2160"/>
      <c r="C155" s="1069" t="s">
        <v>146</v>
      </c>
      <c r="D155" s="1070" t="s">
        <v>1832</v>
      </c>
      <c r="E155" s="971" t="s">
        <v>159</v>
      </c>
      <c r="F155" s="972">
        <v>2013</v>
      </c>
      <c r="G155" s="965">
        <v>2015</v>
      </c>
      <c r="H155" s="965">
        <v>2020</v>
      </c>
      <c r="I155" s="965">
        <v>2025</v>
      </c>
      <c r="J155" s="965">
        <v>2030</v>
      </c>
      <c r="K155" s="965">
        <v>2035</v>
      </c>
      <c r="L155" s="965">
        <v>2040</v>
      </c>
      <c r="M155" s="965">
        <v>2045</v>
      </c>
      <c r="N155" s="965">
        <v>2050</v>
      </c>
      <c r="P155" s="1164"/>
      <c r="Q155" s="2161"/>
      <c r="R155" s="2161"/>
      <c r="S155" s="1164"/>
      <c r="T155" s="1164"/>
      <c r="U155" s="1164"/>
      <c r="V155" s="1164"/>
      <c r="W155" s="389"/>
      <c r="X155" s="389"/>
      <c r="Y155" s="389"/>
      <c r="Z155" s="389"/>
      <c r="AA155" s="389"/>
      <c r="AB155" s="389"/>
      <c r="AC155" s="389"/>
      <c r="AD155" s="389"/>
      <c r="AE155" s="389"/>
      <c r="AF155" s="389"/>
      <c r="AG155" s="389"/>
      <c r="AH155" s="389"/>
      <c r="AI155" s="389"/>
      <c r="AJ155" s="389"/>
      <c r="AK155" s="389"/>
      <c r="AL155" s="389"/>
      <c r="AM155" s="389"/>
      <c r="AN155" s="389"/>
      <c r="AO155" s="389"/>
      <c r="AP155" s="389"/>
      <c r="AQ155" s="389"/>
      <c r="AR155" s="389"/>
      <c r="AS155" s="389"/>
      <c r="AT155" s="389"/>
      <c r="AU155" s="389"/>
      <c r="AV155" s="389"/>
      <c r="AW155" s="389"/>
      <c r="AX155" s="389"/>
      <c r="AY155" s="389"/>
      <c r="AZ155" s="389"/>
      <c r="BA155" s="389"/>
      <c r="BB155" s="389"/>
      <c r="BC155" s="389"/>
      <c r="BD155" s="389"/>
      <c r="BE155" s="389"/>
      <c r="BF155" s="389"/>
      <c r="BG155" s="389"/>
      <c r="BH155" s="389"/>
      <c r="BI155" s="389"/>
      <c r="BJ155" s="389"/>
      <c r="BK155" s="389"/>
      <c r="BL155" s="389"/>
      <c r="BM155" s="389"/>
      <c r="BN155" s="389"/>
      <c r="BO155" s="389"/>
      <c r="BP155" s="389"/>
      <c r="BQ155" s="389"/>
      <c r="BR155" s="389"/>
      <c r="BS155" s="389"/>
      <c r="BT155" s="389"/>
      <c r="BU155" s="389"/>
      <c r="BV155" s="389"/>
      <c r="BW155" s="389"/>
      <c r="BX155" s="389"/>
      <c r="BY155" s="389"/>
      <c r="BZ155" s="389"/>
      <c r="CA155" s="389"/>
      <c r="CB155" s="389"/>
      <c r="CC155" s="389"/>
      <c r="CD155" s="389"/>
      <c r="CE155" s="389"/>
      <c r="CF155" s="389"/>
      <c r="CG155" s="389"/>
      <c r="CH155" s="389"/>
      <c r="CI155" s="389"/>
      <c r="CJ155" s="389"/>
      <c r="CK155" s="389"/>
      <c r="CL155" s="389"/>
      <c r="CM155" s="389"/>
      <c r="CN155" s="389"/>
      <c r="CO155" s="389"/>
      <c r="CP155" s="389"/>
      <c r="CQ155" s="389"/>
      <c r="CR155" s="389"/>
      <c r="CS155" s="389"/>
      <c r="CT155" s="389"/>
      <c r="CU155" s="389"/>
      <c r="CV155" s="389"/>
      <c r="CW155" s="389"/>
      <c r="CX155" s="389"/>
      <c r="CY155" s="389"/>
      <c r="CZ155" s="389"/>
      <c r="DA155" s="389"/>
      <c r="DB155" s="389"/>
      <c r="DC155" s="389"/>
      <c r="DD155" s="389"/>
      <c r="DE155" s="389"/>
      <c r="DF155" s="389"/>
      <c r="DG155" s="389"/>
      <c r="DH155" s="389"/>
      <c r="DI155" s="389"/>
      <c r="DJ155" s="389"/>
      <c r="DK155" s="389"/>
      <c r="DL155" s="389"/>
      <c r="DM155" s="389"/>
      <c r="DN155" s="389"/>
      <c r="DO155" s="389"/>
      <c r="DP155" s="389"/>
      <c r="DQ155" s="389"/>
      <c r="DR155" s="389"/>
      <c r="DS155" s="389"/>
      <c r="DT155" s="389"/>
      <c r="DU155" s="389"/>
      <c r="DV155" s="389"/>
      <c r="DW155" s="389"/>
      <c r="DX155" s="389"/>
      <c r="DY155" s="389"/>
      <c r="DZ155" s="389"/>
      <c r="EA155" s="389"/>
      <c r="EB155" s="389"/>
      <c r="EC155" s="389"/>
      <c r="ED155" s="389"/>
      <c r="EE155" s="389"/>
      <c r="EF155" s="389"/>
      <c r="EG155" s="389"/>
      <c r="EH155" s="389"/>
      <c r="EI155" s="389"/>
      <c r="EJ155" s="389"/>
      <c r="EK155" s="389"/>
      <c r="EL155" s="389"/>
      <c r="EM155" s="389"/>
      <c r="EN155" s="389"/>
      <c r="EO155" s="389"/>
      <c r="EP155" s="389"/>
      <c r="EQ155" s="389"/>
      <c r="ER155" s="389"/>
      <c r="ES155" s="389"/>
      <c r="ET155" s="389"/>
      <c r="EU155" s="389"/>
      <c r="EV155" s="389"/>
      <c r="EW155" s="389"/>
      <c r="EX155" s="389"/>
      <c r="EY155" s="389"/>
      <c r="EZ155" s="389"/>
      <c r="FA155" s="389"/>
      <c r="FB155" s="389"/>
      <c r="FC155" s="389"/>
      <c r="FD155" s="389"/>
      <c r="FE155" s="389"/>
      <c r="FF155" s="389"/>
      <c r="FG155" s="389"/>
      <c r="FH155" s="389"/>
      <c r="FI155" s="389"/>
      <c r="FJ155" s="389"/>
      <c r="FK155" s="389"/>
      <c r="FL155" s="389"/>
      <c r="FM155" s="389"/>
      <c r="FN155" s="389"/>
      <c r="FO155" s="389"/>
      <c r="FP155" s="389"/>
      <c r="FQ155" s="389"/>
      <c r="FR155" s="389"/>
      <c r="FS155" s="389"/>
      <c r="FT155" s="389"/>
      <c r="FU155" s="389"/>
      <c r="FV155" s="389"/>
      <c r="FW155" s="389"/>
      <c r="FX155" s="389"/>
      <c r="FY155" s="389"/>
      <c r="FZ155" s="389"/>
      <c r="GA155" s="389"/>
      <c r="GB155" s="389"/>
      <c r="GC155" s="389"/>
      <c r="GD155" s="389"/>
      <c r="GE155" s="389"/>
      <c r="GF155" s="389"/>
      <c r="GG155" s="389"/>
      <c r="GH155" s="389"/>
      <c r="GI155" s="389"/>
      <c r="GJ155" s="389"/>
      <c r="GK155" s="389"/>
      <c r="GL155" s="389"/>
      <c r="GM155" s="389"/>
      <c r="GN155" s="389"/>
      <c r="GO155" s="389"/>
      <c r="GP155" s="389"/>
      <c r="GQ155" s="389"/>
      <c r="GR155" s="389"/>
      <c r="GS155" s="389"/>
      <c r="GT155" s="389"/>
      <c r="GU155" s="389"/>
      <c r="GV155" s="389"/>
      <c r="GW155" s="389"/>
      <c r="GX155" s="389"/>
      <c r="GY155" s="389"/>
      <c r="GZ155" s="389"/>
      <c r="HA155" s="389"/>
      <c r="HB155" s="389"/>
      <c r="HC155" s="389"/>
      <c r="HD155" s="389"/>
      <c r="HE155" s="389"/>
      <c r="HF155" s="389"/>
      <c r="HG155" s="389"/>
      <c r="HH155" s="389"/>
      <c r="HI155" s="389"/>
      <c r="HJ155" s="389"/>
      <c r="HK155" s="389"/>
      <c r="HL155" s="389"/>
      <c r="HM155" s="389"/>
      <c r="HN155" s="389"/>
      <c r="HO155" s="389"/>
      <c r="HP155" s="389"/>
      <c r="HQ155" s="389"/>
      <c r="HR155" s="389"/>
      <c r="HS155" s="389"/>
      <c r="HT155" s="389"/>
      <c r="HU155" s="389"/>
      <c r="HV155" s="389"/>
      <c r="HW155" s="389"/>
      <c r="HX155" s="389"/>
      <c r="HY155" s="389"/>
      <c r="HZ155" s="389"/>
      <c r="IA155" s="389"/>
      <c r="IB155" s="389"/>
      <c r="IC155" s="389"/>
      <c r="ID155" s="389"/>
      <c r="IE155" s="389"/>
      <c r="IF155" s="389"/>
      <c r="IG155" s="389"/>
      <c r="IH155" s="389"/>
      <c r="II155" s="389"/>
      <c r="IJ155" s="389"/>
      <c r="IK155" s="389"/>
      <c r="IL155" s="389"/>
      <c r="IM155" s="389"/>
      <c r="IN155" s="389"/>
      <c r="IO155" s="389"/>
      <c r="IP155" s="389"/>
      <c r="IQ155" s="389"/>
      <c r="IR155" s="389"/>
      <c r="IS155" s="389"/>
      <c r="IT155" s="389"/>
      <c r="IU155" s="389"/>
      <c r="IV155" s="389"/>
      <c r="IW155" s="389"/>
      <c r="IX155" s="389"/>
      <c r="IY155" s="389"/>
      <c r="IZ155" s="389"/>
      <c r="JA155" s="389"/>
      <c r="JB155" s="389"/>
      <c r="JC155" s="389"/>
      <c r="JD155" s="389"/>
      <c r="JE155" s="389"/>
      <c r="JF155" s="389"/>
      <c r="JG155" s="389"/>
      <c r="JH155" s="389"/>
      <c r="JI155" s="389"/>
      <c r="JJ155" s="389"/>
      <c r="JK155" s="389"/>
      <c r="JL155" s="389"/>
      <c r="JM155" s="389"/>
      <c r="JN155" s="389"/>
      <c r="JO155" s="389"/>
      <c r="JP155" s="389"/>
      <c r="JQ155" s="389"/>
      <c r="JR155" s="389"/>
      <c r="JS155" s="389"/>
      <c r="JT155" s="389"/>
      <c r="JU155" s="389"/>
      <c r="JV155" s="389"/>
      <c r="JW155" s="389"/>
      <c r="JX155" s="389"/>
      <c r="JY155" s="389"/>
      <c r="JZ155" s="389"/>
      <c r="KA155" s="389"/>
      <c r="KB155" s="389"/>
      <c r="KC155" s="389"/>
      <c r="KD155" s="389"/>
      <c r="KE155" s="389"/>
      <c r="KF155" s="389"/>
      <c r="KG155" s="389"/>
      <c r="KH155" s="389"/>
      <c r="KI155" s="389"/>
      <c r="KJ155" s="389"/>
      <c r="KK155" s="389"/>
      <c r="KL155" s="389"/>
      <c r="KM155" s="389"/>
      <c r="KN155" s="389"/>
      <c r="KO155" s="389"/>
      <c r="KP155" s="389"/>
      <c r="KQ155" s="389"/>
      <c r="KR155" s="389"/>
      <c r="KS155" s="389"/>
      <c r="KT155" s="389"/>
      <c r="KU155" s="389"/>
      <c r="KV155" s="389"/>
      <c r="KW155" s="389"/>
      <c r="KX155" s="389"/>
      <c r="KY155" s="389"/>
      <c r="KZ155" s="389"/>
      <c r="LA155" s="389"/>
      <c r="LB155" s="389"/>
      <c r="LC155" s="389"/>
      <c r="LD155" s="389"/>
      <c r="LE155" s="389"/>
      <c r="LF155" s="389"/>
      <c r="LG155" s="389"/>
      <c r="LH155" s="389"/>
      <c r="LI155" s="389"/>
      <c r="LJ155" s="389"/>
      <c r="LK155" s="389"/>
      <c r="LL155" s="389"/>
      <c r="LM155" s="389"/>
      <c r="LN155" s="389"/>
      <c r="LO155" s="389"/>
      <c r="LP155" s="389"/>
      <c r="LQ155" s="389"/>
      <c r="LR155" s="389"/>
      <c r="LS155" s="389"/>
      <c r="LT155" s="389"/>
      <c r="LU155" s="389"/>
      <c r="LV155" s="389"/>
      <c r="LW155" s="389"/>
      <c r="LX155" s="389"/>
      <c r="LY155" s="389"/>
      <c r="LZ155" s="389"/>
      <c r="MA155" s="389"/>
      <c r="MB155" s="389"/>
      <c r="MC155" s="389"/>
      <c r="MD155" s="389"/>
      <c r="ME155" s="389"/>
      <c r="MF155" s="389"/>
      <c r="MG155" s="389"/>
      <c r="MH155" s="389"/>
      <c r="MI155" s="389"/>
      <c r="MJ155" s="389"/>
      <c r="MK155" s="389"/>
      <c r="ML155" s="389"/>
      <c r="MM155" s="389"/>
      <c r="MN155" s="389"/>
      <c r="MO155" s="389"/>
      <c r="MP155" s="389"/>
      <c r="MQ155" s="389"/>
      <c r="MR155" s="389"/>
      <c r="MS155" s="389"/>
      <c r="MT155" s="389"/>
      <c r="MU155" s="389"/>
      <c r="MV155" s="389"/>
      <c r="MW155" s="389"/>
      <c r="MX155" s="389"/>
      <c r="MY155" s="389"/>
      <c r="MZ155" s="389"/>
      <c r="NA155" s="389"/>
      <c r="NB155" s="389"/>
      <c r="NC155" s="389"/>
      <c r="ND155" s="389"/>
      <c r="NE155" s="389"/>
      <c r="NF155" s="389"/>
      <c r="NG155" s="389"/>
      <c r="NH155" s="389"/>
      <c r="NI155" s="389"/>
      <c r="NJ155" s="389"/>
      <c r="NK155" s="389"/>
      <c r="NL155" s="389"/>
      <c r="NM155" s="389"/>
      <c r="NN155" s="389"/>
      <c r="NO155" s="389"/>
      <c r="NP155" s="389"/>
      <c r="NQ155" s="389"/>
      <c r="NR155" s="389"/>
      <c r="NS155" s="389"/>
      <c r="NT155" s="389"/>
      <c r="NU155" s="389"/>
      <c r="NV155" s="389"/>
      <c r="NW155" s="389"/>
      <c r="NX155" s="389"/>
      <c r="NY155" s="389"/>
      <c r="NZ155" s="389"/>
      <c r="OA155" s="389"/>
      <c r="OB155" s="389"/>
      <c r="OC155" s="389"/>
      <c r="OD155" s="389"/>
      <c r="OE155" s="389"/>
      <c r="OF155" s="389"/>
      <c r="OG155" s="389"/>
      <c r="OH155" s="389"/>
      <c r="OI155" s="389"/>
      <c r="OJ155" s="389"/>
      <c r="OK155" s="389"/>
      <c r="OL155" s="389"/>
      <c r="OM155" s="389"/>
      <c r="ON155" s="389"/>
      <c r="OO155" s="389"/>
      <c r="OP155" s="389"/>
      <c r="OQ155" s="389"/>
      <c r="OR155" s="389"/>
      <c r="OS155" s="389"/>
      <c r="OT155" s="389"/>
      <c r="OU155" s="389"/>
      <c r="OV155" s="389"/>
      <c r="OW155" s="389"/>
      <c r="OX155" s="389"/>
      <c r="OY155" s="389"/>
      <c r="OZ155" s="389"/>
      <c r="PA155" s="389"/>
      <c r="PB155" s="389"/>
      <c r="PC155" s="389"/>
      <c r="PD155" s="389"/>
      <c r="PE155" s="389"/>
      <c r="PF155" s="389"/>
      <c r="PG155" s="389"/>
      <c r="PH155" s="389"/>
      <c r="PI155" s="389"/>
      <c r="PJ155" s="389"/>
      <c r="PK155" s="389"/>
      <c r="PL155" s="389"/>
      <c r="PM155" s="389"/>
      <c r="PN155" s="389"/>
      <c r="PO155" s="389"/>
      <c r="PP155" s="389"/>
      <c r="PQ155" s="389"/>
      <c r="PR155" s="389"/>
      <c r="PS155" s="389"/>
      <c r="PT155" s="389"/>
      <c r="PU155" s="389"/>
      <c r="PV155" s="389"/>
      <c r="PW155" s="389"/>
      <c r="PX155" s="389"/>
      <c r="PY155" s="389"/>
      <c r="PZ155" s="389"/>
      <c r="QA155" s="389"/>
      <c r="QB155" s="389"/>
      <c r="QC155" s="389"/>
      <c r="QD155" s="389"/>
      <c r="QE155" s="389"/>
      <c r="QF155" s="389"/>
      <c r="QG155" s="389"/>
      <c r="QH155" s="389"/>
      <c r="QI155" s="389"/>
      <c r="QJ155" s="389"/>
      <c r="QK155" s="389"/>
      <c r="QL155" s="389"/>
      <c r="QM155" s="389"/>
      <c r="QN155" s="389"/>
      <c r="QO155" s="389"/>
      <c r="QP155" s="389"/>
      <c r="QQ155" s="389"/>
      <c r="QR155" s="389"/>
      <c r="QS155" s="389"/>
      <c r="QT155" s="389"/>
      <c r="QU155" s="389"/>
      <c r="QV155" s="389"/>
      <c r="QW155" s="389"/>
      <c r="QX155" s="389"/>
      <c r="QY155" s="389"/>
      <c r="QZ155" s="389"/>
      <c r="RA155" s="389"/>
      <c r="RB155" s="389"/>
      <c r="RC155" s="389"/>
      <c r="RD155" s="389"/>
      <c r="RE155" s="389"/>
      <c r="RF155" s="389"/>
      <c r="RG155" s="389"/>
      <c r="RH155" s="389"/>
      <c r="RI155" s="389"/>
      <c r="RJ155" s="389"/>
      <c r="RK155" s="389"/>
      <c r="RL155" s="389"/>
      <c r="RM155" s="389"/>
      <c r="RN155" s="389"/>
      <c r="RO155" s="389"/>
      <c r="RP155" s="389"/>
      <c r="RQ155" s="389"/>
      <c r="RR155" s="389"/>
      <c r="RS155" s="389"/>
      <c r="RT155" s="389"/>
      <c r="RU155" s="389"/>
      <c r="RV155" s="389"/>
      <c r="RW155" s="389"/>
      <c r="RX155" s="389"/>
      <c r="RY155" s="389"/>
      <c r="RZ155" s="389"/>
      <c r="SA155" s="389"/>
      <c r="SB155" s="389"/>
      <c r="SC155" s="389"/>
      <c r="SD155" s="389"/>
      <c r="SE155" s="389"/>
      <c r="SF155" s="389"/>
      <c r="SG155" s="389"/>
      <c r="SH155" s="389"/>
      <c r="SI155" s="389"/>
      <c r="SJ155" s="389"/>
      <c r="SK155" s="389"/>
      <c r="SL155" s="389"/>
      <c r="SM155" s="389"/>
      <c r="SN155" s="389"/>
      <c r="SO155" s="389"/>
      <c r="SP155" s="389"/>
      <c r="SQ155" s="389"/>
      <c r="SR155" s="389"/>
      <c r="SS155" s="389"/>
      <c r="ST155" s="389"/>
      <c r="SU155" s="389"/>
      <c r="SV155" s="389"/>
      <c r="SW155" s="389"/>
      <c r="SX155" s="389"/>
      <c r="SY155" s="389"/>
      <c r="SZ155" s="389"/>
      <c r="TA155" s="389"/>
      <c r="TB155" s="389"/>
      <c r="TC155" s="389"/>
      <c r="TD155" s="389"/>
      <c r="TE155" s="389"/>
      <c r="TF155" s="389"/>
      <c r="TG155" s="389"/>
      <c r="TH155" s="389"/>
      <c r="TI155" s="389"/>
      <c r="TJ155" s="389"/>
      <c r="TK155" s="389"/>
      <c r="TL155" s="389"/>
      <c r="TM155" s="389"/>
      <c r="TN155" s="389"/>
      <c r="TO155" s="389"/>
      <c r="TP155" s="389"/>
      <c r="TQ155" s="389"/>
      <c r="TR155" s="389"/>
      <c r="TS155" s="389"/>
      <c r="TT155" s="389"/>
      <c r="TU155" s="389"/>
      <c r="TV155" s="389"/>
      <c r="TW155" s="389"/>
      <c r="TX155" s="389"/>
      <c r="TY155" s="389"/>
      <c r="TZ155" s="389"/>
      <c r="UA155" s="389"/>
      <c r="UB155" s="389"/>
      <c r="UC155" s="389"/>
      <c r="UD155" s="389"/>
      <c r="UE155" s="389"/>
      <c r="UF155" s="389"/>
      <c r="UG155" s="389"/>
      <c r="UH155" s="389"/>
      <c r="UI155" s="389"/>
      <c r="UJ155" s="389"/>
      <c r="UK155" s="389"/>
      <c r="UL155" s="389"/>
      <c r="UM155" s="389"/>
      <c r="UN155" s="389"/>
      <c r="UO155" s="389"/>
      <c r="UP155" s="389"/>
      <c r="UQ155" s="389"/>
      <c r="UR155" s="389"/>
      <c r="US155" s="389"/>
      <c r="UT155" s="389"/>
      <c r="UU155" s="389"/>
      <c r="UV155" s="389"/>
      <c r="UW155" s="389"/>
      <c r="UX155" s="389"/>
      <c r="UY155" s="389"/>
      <c r="UZ155" s="389"/>
      <c r="VA155" s="389"/>
      <c r="VB155" s="389"/>
      <c r="VC155" s="389"/>
      <c r="VD155" s="389"/>
      <c r="VE155" s="389"/>
      <c r="VF155" s="389"/>
      <c r="VG155" s="389"/>
      <c r="VH155" s="389"/>
      <c r="VI155" s="389"/>
      <c r="VJ155" s="389"/>
      <c r="VK155" s="389"/>
      <c r="VL155" s="389"/>
      <c r="VM155" s="389"/>
      <c r="VN155" s="389"/>
      <c r="VO155" s="389"/>
      <c r="VP155" s="389"/>
      <c r="VQ155" s="389"/>
      <c r="VR155" s="389"/>
      <c r="VS155" s="389"/>
      <c r="VT155" s="389"/>
      <c r="VU155" s="389"/>
      <c r="VV155" s="389"/>
      <c r="VW155" s="389"/>
      <c r="VX155" s="389"/>
      <c r="VY155" s="389"/>
      <c r="VZ155" s="389"/>
      <c r="WA155" s="389"/>
      <c r="WB155" s="389"/>
      <c r="WC155" s="389"/>
      <c r="WD155" s="389"/>
      <c r="WE155" s="389"/>
      <c r="WF155" s="389"/>
      <c r="WG155" s="389"/>
      <c r="WH155" s="389"/>
      <c r="WI155" s="389"/>
      <c r="WJ155" s="389"/>
      <c r="WK155" s="389"/>
      <c r="WL155" s="389"/>
      <c r="WM155" s="389"/>
      <c r="WN155" s="389"/>
      <c r="WO155" s="389"/>
      <c r="WP155" s="389"/>
      <c r="WQ155" s="389"/>
      <c r="WR155" s="389"/>
      <c r="WS155" s="389"/>
      <c r="WT155" s="389"/>
      <c r="WU155" s="389"/>
      <c r="WV155" s="389"/>
      <c r="WW155" s="389"/>
      <c r="WX155" s="389"/>
      <c r="WY155" s="389"/>
      <c r="WZ155" s="389"/>
      <c r="XA155" s="389"/>
      <c r="XB155" s="389"/>
      <c r="XC155" s="389"/>
      <c r="XD155" s="389"/>
      <c r="XE155" s="389"/>
      <c r="XF155" s="389"/>
      <c r="XG155" s="389"/>
      <c r="XH155" s="389"/>
      <c r="XI155" s="389"/>
      <c r="XJ155" s="389"/>
      <c r="XK155" s="389"/>
      <c r="XL155" s="389"/>
      <c r="XM155" s="389"/>
      <c r="XN155" s="389"/>
      <c r="XO155" s="389"/>
      <c r="XP155" s="389"/>
      <c r="XQ155" s="389"/>
      <c r="XR155" s="389"/>
      <c r="XS155" s="389"/>
      <c r="XT155" s="389"/>
      <c r="XU155" s="389"/>
      <c r="XV155" s="389"/>
      <c r="XW155" s="389"/>
      <c r="XX155" s="389"/>
      <c r="XY155" s="389"/>
      <c r="XZ155" s="389"/>
      <c r="YA155" s="389"/>
      <c r="YB155" s="389"/>
      <c r="YC155" s="389"/>
      <c r="YD155" s="389"/>
      <c r="YE155" s="389"/>
      <c r="YF155" s="389"/>
      <c r="YG155" s="389"/>
      <c r="YH155" s="389"/>
      <c r="YI155" s="389"/>
      <c r="YJ155" s="389"/>
      <c r="YK155" s="389"/>
      <c r="YL155" s="389"/>
      <c r="YM155" s="389"/>
      <c r="YN155" s="389"/>
      <c r="YO155" s="389"/>
      <c r="YP155" s="389"/>
      <c r="YQ155" s="389"/>
      <c r="YR155" s="389"/>
      <c r="YS155" s="389"/>
      <c r="YT155" s="389"/>
      <c r="YU155" s="389"/>
      <c r="YV155" s="389"/>
      <c r="YW155" s="389"/>
      <c r="YX155" s="389"/>
      <c r="YY155" s="389"/>
      <c r="YZ155" s="389"/>
      <c r="ZA155" s="389"/>
      <c r="ZB155" s="389"/>
      <c r="ZC155" s="389"/>
      <c r="ZD155" s="389"/>
      <c r="ZE155" s="389"/>
      <c r="ZF155" s="389"/>
      <c r="ZG155" s="389"/>
      <c r="ZH155" s="389"/>
      <c r="ZI155" s="389"/>
      <c r="ZJ155" s="389"/>
      <c r="ZK155" s="389"/>
      <c r="ZL155" s="389"/>
      <c r="ZM155" s="389"/>
      <c r="ZN155" s="389"/>
      <c r="ZO155" s="389"/>
      <c r="ZP155" s="389"/>
      <c r="ZQ155" s="389"/>
      <c r="ZR155" s="389"/>
      <c r="ZS155" s="389"/>
      <c r="ZT155" s="389"/>
      <c r="ZU155" s="389"/>
      <c r="ZV155" s="389"/>
      <c r="ZW155" s="389"/>
      <c r="ZX155" s="389"/>
      <c r="ZY155" s="389"/>
      <c r="ZZ155" s="389"/>
      <c r="AAA155" s="389"/>
      <c r="AAB155" s="389"/>
      <c r="AAC155" s="389"/>
      <c r="AAD155" s="389"/>
      <c r="AAE155" s="389"/>
      <c r="AAF155" s="389"/>
      <c r="AAG155" s="389"/>
      <c r="AAH155" s="389"/>
      <c r="AAI155" s="389"/>
      <c r="AAJ155" s="389"/>
      <c r="AAK155" s="389"/>
      <c r="AAL155" s="389"/>
      <c r="AAM155" s="389"/>
      <c r="AAN155" s="389"/>
      <c r="AAO155" s="389"/>
      <c r="AAP155" s="389"/>
      <c r="AAQ155" s="389"/>
      <c r="AAR155" s="389"/>
      <c r="AAS155" s="389"/>
      <c r="AAT155" s="389"/>
      <c r="AAU155" s="389"/>
      <c r="AAV155" s="389"/>
      <c r="AAW155" s="389"/>
      <c r="AAX155" s="389"/>
      <c r="AAY155" s="389"/>
      <c r="AAZ155" s="389"/>
      <c r="ABA155" s="389"/>
      <c r="ABB155" s="389"/>
      <c r="ABC155" s="389"/>
      <c r="ABD155" s="389"/>
      <c r="ABE155" s="389"/>
      <c r="ABF155" s="389"/>
      <c r="ABG155" s="389"/>
      <c r="ABH155" s="389"/>
      <c r="ABI155" s="389"/>
      <c r="ABJ155" s="389"/>
      <c r="ABK155" s="389"/>
      <c r="ABL155" s="389"/>
      <c r="ABM155" s="389"/>
      <c r="ABN155" s="389"/>
      <c r="ABO155" s="389"/>
      <c r="ABP155" s="389"/>
      <c r="ABQ155" s="389"/>
      <c r="ABR155" s="389"/>
      <c r="ABS155" s="389"/>
      <c r="ABT155" s="389"/>
      <c r="ABU155" s="389"/>
      <c r="ABV155" s="389"/>
      <c r="ABW155" s="389"/>
      <c r="ABX155" s="389"/>
      <c r="ABY155" s="389"/>
      <c r="ABZ155" s="389"/>
      <c r="ACA155" s="389"/>
      <c r="ACB155" s="389"/>
      <c r="ACC155" s="389"/>
      <c r="ACD155" s="389"/>
      <c r="ACE155" s="389"/>
      <c r="ACF155" s="389"/>
      <c r="ACG155" s="389"/>
      <c r="ACH155" s="389"/>
      <c r="ACI155" s="389"/>
      <c r="ACJ155" s="389"/>
      <c r="ACK155" s="389"/>
      <c r="ACL155" s="389"/>
      <c r="ACM155" s="389"/>
      <c r="ACN155" s="389"/>
      <c r="ACO155" s="389"/>
      <c r="ACP155" s="389"/>
      <c r="ACQ155" s="389"/>
      <c r="ACR155" s="389"/>
      <c r="ACS155" s="389"/>
      <c r="ACT155" s="389"/>
      <c r="ACU155" s="389"/>
      <c r="ACV155" s="389"/>
      <c r="ACW155" s="389"/>
      <c r="ACX155" s="389"/>
      <c r="ACY155" s="389"/>
      <c r="ACZ155" s="389"/>
      <c r="ADA155" s="389"/>
      <c r="ADB155" s="389"/>
      <c r="ADC155" s="389"/>
      <c r="ADD155" s="389"/>
      <c r="ADE155" s="389"/>
      <c r="ADF155" s="389"/>
      <c r="ADG155" s="389"/>
      <c r="ADH155" s="389"/>
      <c r="ADI155" s="389"/>
      <c r="ADJ155" s="389"/>
      <c r="ADK155" s="389"/>
      <c r="ADL155" s="389"/>
      <c r="ADM155" s="389"/>
      <c r="ADN155" s="389"/>
      <c r="ADO155" s="389"/>
      <c r="ADP155" s="389"/>
      <c r="ADQ155" s="389"/>
      <c r="ADR155" s="389"/>
      <c r="ADS155" s="389"/>
      <c r="ADT155" s="389"/>
      <c r="ADU155" s="389"/>
      <c r="ADV155" s="389"/>
      <c r="ADW155" s="389"/>
      <c r="ADX155" s="389"/>
      <c r="ADY155" s="389"/>
      <c r="ADZ155" s="389"/>
      <c r="AEA155" s="389"/>
      <c r="AEB155" s="389"/>
      <c r="AEC155" s="389"/>
      <c r="AED155" s="389"/>
      <c r="AEE155" s="389"/>
      <c r="AEF155" s="389"/>
      <c r="AEG155" s="389"/>
      <c r="AEH155" s="389"/>
      <c r="AEI155" s="389"/>
      <c r="AEJ155" s="389"/>
      <c r="AEK155" s="389"/>
      <c r="AEL155" s="389"/>
      <c r="AEM155" s="389"/>
      <c r="AEN155" s="389"/>
      <c r="AEO155" s="389"/>
      <c r="AEP155" s="389"/>
      <c r="AEQ155" s="389"/>
      <c r="AER155" s="389"/>
      <c r="AES155" s="389"/>
      <c r="AET155" s="389"/>
      <c r="AEU155" s="389"/>
      <c r="AEV155" s="389"/>
      <c r="AEW155" s="389"/>
      <c r="AEX155" s="389"/>
      <c r="AEY155" s="389"/>
      <c r="AEZ155" s="389"/>
      <c r="AFA155" s="389"/>
      <c r="AFB155" s="389"/>
      <c r="AFC155" s="389"/>
      <c r="AFD155" s="389"/>
      <c r="AFE155" s="389"/>
      <c r="AFF155" s="389"/>
      <c r="AFG155" s="389"/>
      <c r="AFH155" s="389"/>
      <c r="AFI155" s="389"/>
      <c r="AFJ155" s="389"/>
      <c r="AFK155" s="389"/>
      <c r="AFL155" s="389"/>
      <c r="AFM155" s="389"/>
      <c r="AFN155" s="389"/>
      <c r="AFO155" s="389"/>
      <c r="AFP155" s="389"/>
      <c r="AFQ155" s="389"/>
      <c r="AFR155" s="389"/>
      <c r="AFS155" s="389"/>
      <c r="AFT155" s="389"/>
      <c r="AFU155" s="389"/>
      <c r="AFV155" s="389"/>
      <c r="AFW155" s="389"/>
      <c r="AFX155" s="389"/>
      <c r="AFY155" s="389"/>
      <c r="AFZ155" s="389"/>
      <c r="AGA155" s="389"/>
      <c r="AGB155" s="389"/>
      <c r="AGC155" s="389"/>
      <c r="AGD155" s="389"/>
      <c r="AGE155" s="389"/>
      <c r="AGF155" s="389"/>
      <c r="AGG155" s="389"/>
      <c r="AGH155" s="389"/>
      <c r="AGI155" s="389"/>
      <c r="AGJ155" s="389"/>
      <c r="AGK155" s="389"/>
      <c r="AGL155" s="389"/>
      <c r="AGM155" s="389"/>
      <c r="AGN155" s="389"/>
      <c r="AGO155" s="389"/>
      <c r="AGP155" s="389"/>
      <c r="AGQ155" s="389"/>
      <c r="AGR155" s="389"/>
      <c r="AGS155" s="389"/>
      <c r="AGT155" s="389"/>
      <c r="AGU155" s="389"/>
      <c r="AGV155" s="389"/>
      <c r="AGW155" s="389"/>
      <c r="AGX155" s="389"/>
      <c r="AGY155" s="389"/>
      <c r="AGZ155" s="389"/>
      <c r="AHA155" s="389"/>
      <c r="AHB155" s="389"/>
      <c r="AHC155" s="389"/>
      <c r="AHD155" s="389"/>
      <c r="AHE155" s="389"/>
      <c r="AHF155" s="389"/>
      <c r="AHG155" s="389"/>
      <c r="AHH155" s="389"/>
      <c r="AHI155" s="389"/>
      <c r="AHJ155" s="389"/>
      <c r="AHK155" s="389"/>
      <c r="AHL155" s="389"/>
      <c r="AHM155" s="389"/>
      <c r="AHN155" s="389"/>
      <c r="AHO155" s="389"/>
      <c r="AHP155" s="389"/>
      <c r="AHQ155" s="389"/>
      <c r="AHR155" s="389"/>
      <c r="AHS155" s="389"/>
      <c r="AHT155" s="389"/>
      <c r="AHU155" s="389"/>
      <c r="AHV155" s="389"/>
      <c r="AHW155" s="389"/>
      <c r="AHX155" s="389"/>
      <c r="AHY155" s="389"/>
      <c r="AHZ155" s="389"/>
      <c r="AIA155" s="389"/>
      <c r="AIB155" s="389"/>
      <c r="AIC155" s="389"/>
      <c r="AID155" s="389"/>
      <c r="AIE155" s="389"/>
      <c r="AIF155" s="389"/>
      <c r="AIG155" s="389"/>
      <c r="AIH155" s="389"/>
      <c r="AII155" s="389"/>
      <c r="AIJ155" s="389"/>
      <c r="AIK155" s="389"/>
      <c r="AIL155" s="389"/>
      <c r="AIM155" s="389"/>
      <c r="AIN155" s="389"/>
      <c r="AIO155" s="389"/>
      <c r="AIP155" s="389"/>
      <c r="AIQ155" s="389"/>
      <c r="AIR155" s="389"/>
      <c r="AIS155" s="389"/>
      <c r="AIT155" s="389"/>
      <c r="AIU155" s="389"/>
      <c r="AIV155" s="389"/>
      <c r="AIW155" s="389"/>
      <c r="AIX155" s="389"/>
      <c r="AIY155" s="389"/>
      <c r="AIZ155" s="389"/>
      <c r="AJA155" s="389"/>
      <c r="AJB155" s="389"/>
      <c r="AJC155" s="389"/>
      <c r="AJD155" s="389"/>
      <c r="AJE155" s="389"/>
      <c r="AJF155" s="389"/>
      <c r="AJG155" s="389"/>
      <c r="AJH155" s="389"/>
      <c r="AJI155" s="389"/>
      <c r="AJJ155" s="389"/>
      <c r="AJK155" s="389"/>
      <c r="AJL155" s="389"/>
      <c r="AJM155" s="389"/>
      <c r="AJN155" s="389"/>
      <c r="AJO155" s="389"/>
      <c r="AJP155" s="389"/>
      <c r="AJQ155" s="389"/>
      <c r="AJR155" s="389"/>
      <c r="AJS155" s="389"/>
      <c r="AJT155" s="389"/>
      <c r="AJU155" s="389"/>
      <c r="AJV155" s="389"/>
      <c r="AJW155" s="389"/>
      <c r="AJX155" s="389"/>
      <c r="AJY155" s="389"/>
      <c r="AJZ155" s="389"/>
      <c r="AKA155" s="389"/>
      <c r="AKB155" s="389"/>
      <c r="AKC155" s="389"/>
      <c r="AKD155" s="389"/>
      <c r="AKE155" s="389"/>
      <c r="AKF155" s="389"/>
      <c r="AKG155" s="389"/>
      <c r="AKH155" s="389"/>
      <c r="AKI155" s="389"/>
      <c r="AKJ155" s="389"/>
      <c r="AKK155" s="389"/>
      <c r="AKL155" s="389"/>
      <c r="AKM155" s="389"/>
      <c r="AKN155" s="389"/>
      <c r="AKO155" s="389"/>
      <c r="AKP155" s="389"/>
      <c r="AKQ155" s="389"/>
      <c r="AKR155" s="389"/>
      <c r="AKS155" s="389"/>
      <c r="AKT155" s="389"/>
      <c r="AKU155" s="389"/>
      <c r="AKV155" s="389"/>
      <c r="AKW155" s="389"/>
      <c r="AKX155" s="389"/>
      <c r="AKY155" s="389"/>
      <c r="AKZ155" s="389"/>
      <c r="ALA155" s="389"/>
      <c r="ALB155" s="389"/>
      <c r="ALC155" s="389"/>
      <c r="ALD155" s="389"/>
      <c r="ALE155" s="389"/>
      <c r="ALF155" s="389"/>
      <c r="ALG155" s="389"/>
      <c r="ALH155" s="389"/>
      <c r="ALI155" s="389"/>
      <c r="ALJ155" s="389"/>
      <c r="ALK155" s="389"/>
      <c r="ALL155" s="389"/>
      <c r="ALM155" s="389"/>
      <c r="ALN155" s="389"/>
      <c r="ALO155" s="389"/>
      <c r="ALP155" s="389"/>
      <c r="ALQ155" s="389"/>
      <c r="ALR155" s="389"/>
      <c r="ALS155" s="389"/>
      <c r="ALT155" s="389"/>
      <c r="ALU155" s="389"/>
      <c r="ALV155" s="389"/>
      <c r="ALW155" s="389"/>
      <c r="ALX155" s="389"/>
      <c r="ALY155" s="389"/>
      <c r="ALZ155" s="389"/>
      <c r="AMA155" s="389"/>
      <c r="AMB155" s="389"/>
      <c r="AMC155" s="389"/>
      <c r="AMD155" s="389"/>
      <c r="AME155" s="389"/>
      <c r="AMF155" s="389"/>
      <c r="AMG155" s="389"/>
      <c r="AMH155" s="389"/>
      <c r="AMI155" s="389"/>
      <c r="AMJ155" s="389"/>
      <c r="AMK155" s="389"/>
      <c r="AML155" s="389"/>
      <c r="AMM155" s="389"/>
      <c r="AMN155" s="389"/>
      <c r="AMO155" s="389"/>
      <c r="AMP155" s="389"/>
      <c r="AMQ155" s="389"/>
      <c r="AMR155" s="389"/>
      <c r="AMS155" s="389"/>
      <c r="AMT155" s="389"/>
      <c r="AMU155" s="389"/>
      <c r="AMV155" s="389"/>
      <c r="AMW155" s="389"/>
      <c r="AMX155" s="389"/>
      <c r="AMY155" s="389"/>
      <c r="AMZ155" s="389"/>
      <c r="ANA155" s="389"/>
      <c r="ANB155" s="389"/>
      <c r="ANC155" s="389"/>
      <c r="AND155" s="389"/>
      <c r="ANE155" s="389"/>
      <c r="ANF155" s="389"/>
      <c r="ANG155" s="389"/>
      <c r="ANH155" s="389"/>
      <c r="ANI155" s="389"/>
      <c r="ANJ155" s="389"/>
      <c r="ANK155" s="389"/>
      <c r="ANL155" s="389"/>
      <c r="ANM155" s="389"/>
      <c r="ANN155" s="389"/>
      <c r="ANO155" s="389"/>
      <c r="ANP155" s="389"/>
      <c r="ANQ155" s="389"/>
      <c r="ANR155" s="389"/>
      <c r="ANS155" s="389"/>
      <c r="ANT155" s="389"/>
      <c r="ANU155" s="389"/>
      <c r="ANV155" s="389"/>
      <c r="ANW155" s="389"/>
      <c r="ANX155" s="389"/>
      <c r="ANY155" s="389"/>
      <c r="ANZ155" s="389"/>
      <c r="AOA155" s="389"/>
      <c r="AOB155" s="389"/>
      <c r="AOC155" s="389"/>
      <c r="AOD155" s="389"/>
      <c r="AOE155" s="389"/>
      <c r="AOF155" s="389"/>
      <c r="AOG155" s="389"/>
      <c r="AOH155" s="389"/>
      <c r="AOI155" s="389"/>
      <c r="AOJ155" s="389"/>
      <c r="AOK155" s="389"/>
      <c r="AOL155" s="389"/>
      <c r="AOM155" s="389"/>
      <c r="AON155" s="389"/>
      <c r="AOO155" s="389"/>
      <c r="AOP155" s="389"/>
      <c r="AOQ155" s="389"/>
      <c r="AOR155" s="389"/>
      <c r="AOS155" s="389"/>
      <c r="AOT155" s="389"/>
      <c r="AOU155" s="389"/>
      <c r="AOV155" s="389"/>
      <c r="AOW155" s="389"/>
      <c r="AOX155" s="389"/>
      <c r="AOY155" s="389"/>
      <c r="AOZ155" s="389"/>
      <c r="APA155" s="389"/>
      <c r="APB155" s="389"/>
      <c r="APC155" s="389"/>
      <c r="APD155" s="389"/>
      <c r="APE155" s="389"/>
      <c r="APF155" s="389"/>
      <c r="APG155" s="389"/>
      <c r="APH155" s="389"/>
      <c r="API155" s="389"/>
      <c r="APJ155" s="389"/>
      <c r="APK155" s="389"/>
      <c r="APL155" s="389"/>
      <c r="APM155" s="389"/>
      <c r="APN155" s="389"/>
      <c r="APO155" s="389"/>
      <c r="APP155" s="389"/>
      <c r="APQ155" s="389"/>
      <c r="APR155" s="389"/>
      <c r="APS155" s="389"/>
      <c r="APT155" s="389"/>
      <c r="APU155" s="389"/>
      <c r="APV155" s="389"/>
      <c r="APW155" s="389"/>
      <c r="APX155" s="389"/>
      <c r="APY155" s="389"/>
      <c r="APZ155" s="389"/>
      <c r="AQA155" s="389"/>
      <c r="AQB155" s="389"/>
      <c r="AQC155" s="389"/>
      <c r="AQD155" s="389"/>
      <c r="AQE155" s="389"/>
      <c r="AQF155" s="389"/>
      <c r="AQG155" s="389"/>
      <c r="AQH155" s="389"/>
      <c r="AQI155" s="389"/>
      <c r="AQJ155" s="389"/>
      <c r="AQK155" s="389"/>
      <c r="AQL155" s="389"/>
      <c r="AQM155" s="389"/>
      <c r="AQN155" s="389"/>
      <c r="AQO155" s="389"/>
      <c r="AQP155" s="389"/>
      <c r="AQQ155" s="389"/>
      <c r="AQR155" s="389"/>
      <c r="AQS155" s="389"/>
      <c r="AQT155" s="389"/>
      <c r="AQU155" s="389"/>
      <c r="AQV155" s="389"/>
      <c r="AQW155" s="389"/>
      <c r="AQX155" s="389"/>
      <c r="AQY155" s="389"/>
      <c r="AQZ155" s="389"/>
      <c r="ARA155" s="389"/>
      <c r="ARB155" s="389"/>
      <c r="ARC155" s="389"/>
      <c r="ARD155" s="389"/>
      <c r="ARE155" s="389"/>
      <c r="ARF155" s="389"/>
      <c r="ARG155" s="389"/>
      <c r="ARH155" s="389"/>
      <c r="ARI155" s="389"/>
      <c r="ARJ155" s="389"/>
      <c r="ARK155" s="389"/>
      <c r="ARL155" s="389"/>
      <c r="ARM155" s="389"/>
      <c r="ARN155" s="389"/>
      <c r="ARO155" s="389"/>
      <c r="ARP155" s="389"/>
      <c r="ARQ155" s="389"/>
      <c r="ARR155" s="389"/>
      <c r="ARS155" s="389"/>
      <c r="ART155" s="389"/>
      <c r="ARU155" s="389"/>
      <c r="ARV155" s="389"/>
      <c r="ARW155" s="389"/>
      <c r="ARX155" s="389"/>
      <c r="ARY155" s="389"/>
      <c r="ARZ155" s="389"/>
      <c r="ASA155" s="389"/>
      <c r="ASB155" s="389"/>
      <c r="ASC155" s="389"/>
      <c r="ASD155" s="389"/>
      <c r="ASE155" s="389"/>
      <c r="ASF155" s="389"/>
      <c r="ASG155" s="389"/>
      <c r="ASH155" s="389"/>
      <c r="ASI155" s="389"/>
      <c r="ASJ155" s="389"/>
      <c r="ASK155" s="389"/>
      <c r="ASL155" s="389"/>
      <c r="ASM155" s="389"/>
      <c r="ASN155" s="389"/>
      <c r="ASO155" s="389"/>
      <c r="ASP155" s="389"/>
      <c r="ASQ155" s="389"/>
      <c r="ASR155" s="389"/>
      <c r="ASS155" s="389"/>
      <c r="AST155" s="389"/>
      <c r="ASU155" s="389"/>
      <c r="ASV155" s="389"/>
      <c r="ASW155" s="389"/>
      <c r="ASX155" s="389"/>
      <c r="ASY155" s="389"/>
      <c r="ASZ155" s="389"/>
      <c r="ATA155" s="389"/>
      <c r="ATB155" s="389"/>
      <c r="ATC155" s="389"/>
      <c r="ATD155" s="389"/>
      <c r="ATE155" s="389"/>
      <c r="ATF155" s="389"/>
      <c r="ATG155" s="389"/>
      <c r="ATH155" s="389"/>
      <c r="ATI155" s="389"/>
      <c r="ATJ155" s="389"/>
      <c r="ATK155" s="389"/>
      <c r="ATL155" s="389"/>
      <c r="ATM155" s="389"/>
      <c r="ATN155" s="389"/>
      <c r="ATO155" s="389"/>
      <c r="ATP155" s="389"/>
      <c r="ATQ155" s="389"/>
      <c r="ATR155" s="389"/>
      <c r="ATS155" s="389"/>
      <c r="ATT155" s="389"/>
      <c r="ATU155" s="389"/>
      <c r="ATV155" s="389"/>
      <c r="ATW155" s="389"/>
      <c r="ATX155" s="389"/>
      <c r="ATY155" s="389"/>
      <c r="ATZ155" s="389"/>
      <c r="AUA155" s="389"/>
      <c r="AUB155" s="389"/>
      <c r="AUC155" s="389"/>
      <c r="AUD155" s="389"/>
      <c r="AUE155" s="389"/>
      <c r="AUF155" s="389"/>
      <c r="AUG155" s="389"/>
      <c r="AUH155" s="389"/>
      <c r="AUI155" s="389"/>
      <c r="AUJ155" s="389"/>
      <c r="AUK155" s="389"/>
      <c r="AUL155" s="389"/>
      <c r="AUM155" s="389"/>
      <c r="AUN155" s="389"/>
      <c r="AUO155" s="389"/>
      <c r="AUP155" s="389"/>
      <c r="AUQ155" s="389"/>
      <c r="AUR155" s="389"/>
      <c r="AUS155" s="389"/>
      <c r="AUT155" s="389"/>
      <c r="AUU155" s="389"/>
      <c r="AUV155" s="389"/>
      <c r="AUW155" s="389"/>
      <c r="AUX155" s="389"/>
      <c r="AUY155" s="389"/>
      <c r="AUZ155" s="389"/>
      <c r="AVA155" s="389"/>
      <c r="AVB155" s="389"/>
      <c r="AVC155" s="389"/>
      <c r="AVD155" s="389"/>
      <c r="AVE155" s="389"/>
      <c r="AVF155" s="389"/>
      <c r="AVG155" s="389"/>
      <c r="AVH155" s="389"/>
      <c r="AVI155" s="389"/>
      <c r="AVJ155" s="389"/>
      <c r="AVK155" s="389"/>
      <c r="AVL155" s="389"/>
      <c r="AVM155" s="389"/>
      <c r="AVN155" s="389"/>
      <c r="AVO155" s="389"/>
      <c r="AVP155" s="389"/>
      <c r="AVQ155" s="389"/>
      <c r="AVR155" s="389"/>
      <c r="AVS155" s="389"/>
      <c r="AVT155" s="389"/>
      <c r="AVU155" s="389"/>
      <c r="AVV155" s="389"/>
      <c r="AVW155" s="389"/>
      <c r="AVX155" s="389"/>
      <c r="AVY155" s="389"/>
      <c r="AVZ155" s="389"/>
      <c r="AWA155" s="389"/>
      <c r="AWB155" s="389"/>
      <c r="AWC155" s="389"/>
      <c r="AWD155" s="389"/>
      <c r="AWE155" s="389"/>
      <c r="AWF155" s="389"/>
      <c r="AWG155" s="389"/>
      <c r="AWH155" s="389"/>
      <c r="AWI155" s="389"/>
      <c r="AWJ155" s="389"/>
      <c r="AWK155" s="389"/>
      <c r="AWL155" s="389"/>
      <c r="AWM155" s="389"/>
      <c r="AWN155" s="389"/>
      <c r="AWO155" s="389"/>
      <c r="AWP155" s="389"/>
      <c r="AWQ155" s="389"/>
      <c r="AWR155" s="389"/>
      <c r="AWS155" s="389"/>
      <c r="AWT155" s="389"/>
      <c r="AWU155" s="389"/>
      <c r="AWV155" s="389"/>
      <c r="AWW155" s="389"/>
      <c r="AWX155" s="389"/>
      <c r="AWY155" s="389"/>
      <c r="AWZ155" s="389"/>
      <c r="AXA155" s="389"/>
      <c r="AXB155" s="389"/>
      <c r="AXC155" s="389"/>
      <c r="AXD155" s="389"/>
      <c r="AXE155" s="389"/>
      <c r="AXF155" s="389"/>
      <c r="AXG155" s="389"/>
      <c r="AXH155" s="389"/>
      <c r="AXI155" s="389"/>
      <c r="AXJ155" s="389"/>
      <c r="AXK155" s="389"/>
      <c r="AXL155" s="389"/>
      <c r="AXM155" s="389"/>
      <c r="AXN155" s="389"/>
      <c r="AXO155" s="389"/>
      <c r="AXP155" s="389"/>
      <c r="AXQ155" s="389"/>
      <c r="AXR155" s="389"/>
      <c r="AXS155" s="389"/>
      <c r="AXT155" s="389"/>
      <c r="AXU155" s="389"/>
      <c r="AXV155" s="389"/>
      <c r="AXW155" s="389"/>
      <c r="AXX155" s="389"/>
      <c r="AXY155" s="389"/>
      <c r="AXZ155" s="389"/>
      <c r="AYA155" s="389"/>
      <c r="AYB155" s="389"/>
      <c r="AYC155" s="389"/>
      <c r="AYD155" s="389"/>
      <c r="AYE155" s="389"/>
      <c r="AYF155" s="389"/>
      <c r="AYG155" s="389"/>
      <c r="AYH155" s="389"/>
      <c r="AYI155" s="389"/>
      <c r="AYJ155" s="389"/>
      <c r="AYK155" s="389"/>
      <c r="AYL155" s="389"/>
      <c r="AYM155" s="389"/>
      <c r="AYN155" s="389"/>
      <c r="AYO155" s="389"/>
      <c r="AYP155" s="389"/>
      <c r="AYQ155" s="389"/>
      <c r="AYR155" s="389"/>
      <c r="AYS155" s="389"/>
      <c r="AYT155" s="389"/>
      <c r="AYU155" s="389"/>
      <c r="AYV155" s="389"/>
      <c r="AYW155" s="389"/>
      <c r="AYX155" s="389"/>
      <c r="AYY155" s="389"/>
      <c r="AYZ155" s="389"/>
      <c r="AZA155" s="389"/>
      <c r="AZB155" s="389"/>
      <c r="AZC155" s="389"/>
      <c r="AZD155" s="389"/>
      <c r="AZE155" s="389"/>
      <c r="AZF155" s="389"/>
      <c r="AZG155" s="389"/>
      <c r="AZH155" s="389"/>
      <c r="AZI155" s="389"/>
      <c r="AZJ155" s="389"/>
      <c r="AZK155" s="389"/>
      <c r="AZL155" s="389"/>
      <c r="AZM155" s="389"/>
      <c r="AZN155" s="389"/>
      <c r="AZO155" s="389"/>
      <c r="AZP155" s="389"/>
      <c r="AZQ155" s="389"/>
      <c r="AZR155" s="389"/>
      <c r="AZS155" s="389"/>
      <c r="AZT155" s="389"/>
      <c r="AZU155" s="389"/>
      <c r="AZV155" s="389"/>
      <c r="AZW155" s="389"/>
      <c r="AZX155" s="389"/>
      <c r="AZY155" s="389"/>
      <c r="AZZ155" s="389"/>
      <c r="BAA155" s="389"/>
      <c r="BAB155" s="389"/>
      <c r="BAC155" s="389"/>
      <c r="BAD155" s="389"/>
      <c r="BAE155" s="389"/>
      <c r="BAF155" s="389"/>
      <c r="BAG155" s="389"/>
      <c r="BAH155" s="389"/>
      <c r="BAI155" s="389"/>
      <c r="BAJ155" s="389"/>
      <c r="BAK155" s="389"/>
      <c r="BAL155" s="389"/>
      <c r="BAM155" s="389"/>
      <c r="BAN155" s="389"/>
      <c r="BAO155" s="389"/>
      <c r="BAP155" s="389"/>
      <c r="BAQ155" s="389"/>
      <c r="BAR155" s="389"/>
      <c r="BAS155" s="389"/>
      <c r="BAT155" s="389"/>
      <c r="BAU155" s="389"/>
      <c r="BAV155" s="389"/>
      <c r="BAW155" s="389"/>
      <c r="BAX155" s="389"/>
      <c r="BAY155" s="389"/>
      <c r="BAZ155" s="389"/>
      <c r="BBA155" s="389"/>
      <c r="BBB155" s="389"/>
      <c r="BBC155" s="389"/>
      <c r="BBD155" s="389"/>
      <c r="BBE155" s="389"/>
      <c r="BBF155" s="389"/>
      <c r="BBG155" s="389"/>
      <c r="BBH155" s="389"/>
      <c r="BBI155" s="389"/>
      <c r="BBJ155" s="389"/>
      <c r="BBK155" s="389"/>
      <c r="BBL155" s="389"/>
      <c r="BBM155" s="389"/>
      <c r="BBN155" s="389"/>
      <c r="BBO155" s="389"/>
      <c r="BBP155" s="389"/>
      <c r="BBQ155" s="389"/>
      <c r="BBR155" s="389"/>
      <c r="BBS155" s="389"/>
      <c r="BBT155" s="389"/>
      <c r="BBU155" s="389"/>
      <c r="BBV155" s="389"/>
      <c r="BBW155" s="389"/>
      <c r="BBX155" s="389"/>
      <c r="BBY155" s="389"/>
      <c r="BBZ155" s="389"/>
      <c r="BCA155" s="389"/>
      <c r="BCB155" s="389"/>
      <c r="BCC155" s="389"/>
      <c r="BCD155" s="389"/>
      <c r="BCE155" s="389"/>
      <c r="BCF155" s="389"/>
      <c r="BCG155" s="389"/>
      <c r="BCH155" s="389"/>
      <c r="BCI155" s="389"/>
      <c r="BCJ155" s="389"/>
      <c r="BCK155" s="389"/>
      <c r="BCL155" s="389"/>
      <c r="BCM155" s="389"/>
      <c r="BCN155" s="389"/>
      <c r="BCO155" s="389"/>
      <c r="BCP155" s="389"/>
      <c r="BCQ155" s="389"/>
      <c r="BCR155" s="389"/>
      <c r="BCS155" s="389"/>
      <c r="BCT155" s="389"/>
      <c r="BCU155" s="389"/>
      <c r="BCV155" s="389"/>
      <c r="BCW155" s="389"/>
      <c r="BCX155" s="389"/>
      <c r="BCY155" s="389"/>
      <c r="BCZ155" s="389"/>
      <c r="BDA155" s="389"/>
      <c r="BDB155" s="389"/>
      <c r="BDC155" s="389"/>
      <c r="BDD155" s="389"/>
      <c r="BDE155" s="389"/>
      <c r="BDF155" s="389"/>
      <c r="BDG155" s="389"/>
      <c r="BDH155" s="389"/>
      <c r="BDI155" s="389"/>
      <c r="BDJ155" s="389"/>
      <c r="BDK155" s="389"/>
      <c r="BDL155" s="389"/>
      <c r="BDM155" s="389"/>
      <c r="BDN155" s="389"/>
      <c r="BDO155" s="389"/>
      <c r="BDP155" s="389"/>
      <c r="BDQ155" s="389"/>
      <c r="BDR155" s="389"/>
      <c r="BDS155" s="389"/>
      <c r="BDT155" s="389"/>
      <c r="BDU155" s="389"/>
      <c r="BDV155" s="389"/>
      <c r="BDW155" s="389"/>
      <c r="BDX155" s="389"/>
      <c r="BDY155" s="389"/>
      <c r="BDZ155" s="389"/>
      <c r="BEA155" s="389"/>
      <c r="BEB155" s="389"/>
      <c r="BEC155" s="389"/>
      <c r="BED155" s="389"/>
      <c r="BEE155" s="389"/>
      <c r="BEF155" s="389"/>
      <c r="BEG155" s="389"/>
      <c r="BEH155" s="389"/>
      <c r="BEI155" s="389"/>
      <c r="BEJ155" s="389"/>
      <c r="BEK155" s="389"/>
      <c r="BEL155" s="389"/>
      <c r="BEM155" s="389"/>
      <c r="BEN155" s="389"/>
      <c r="BEO155" s="389"/>
      <c r="BEP155" s="389"/>
      <c r="BEQ155" s="389"/>
      <c r="BER155" s="389"/>
      <c r="BES155" s="389"/>
      <c r="BET155" s="389"/>
      <c r="BEU155" s="389"/>
      <c r="BEV155" s="389"/>
      <c r="BEW155" s="389"/>
      <c r="BEX155" s="389"/>
      <c r="BEY155" s="389"/>
      <c r="BEZ155" s="389"/>
      <c r="BFA155" s="389"/>
      <c r="BFB155" s="389"/>
      <c r="BFC155" s="389"/>
      <c r="BFD155" s="389"/>
      <c r="BFE155" s="389"/>
      <c r="BFF155" s="389"/>
      <c r="BFG155" s="389"/>
      <c r="BFH155" s="389"/>
      <c r="BFI155" s="389"/>
      <c r="BFJ155" s="389"/>
      <c r="BFK155" s="389"/>
      <c r="BFL155" s="389"/>
      <c r="BFM155" s="389"/>
      <c r="BFN155" s="389"/>
      <c r="BFO155" s="389"/>
      <c r="BFP155" s="389"/>
      <c r="BFQ155" s="389"/>
      <c r="BFR155" s="389"/>
      <c r="BFS155" s="389"/>
      <c r="BFT155" s="389"/>
      <c r="BFU155" s="389"/>
      <c r="BFV155" s="389"/>
      <c r="BFW155" s="389"/>
      <c r="BFX155" s="389"/>
      <c r="BFY155" s="389"/>
      <c r="BFZ155" s="389"/>
      <c r="BGA155" s="389"/>
      <c r="BGB155" s="389"/>
      <c r="BGC155" s="389"/>
      <c r="BGD155" s="389"/>
      <c r="BGE155" s="389"/>
      <c r="BGF155" s="389"/>
      <c r="BGG155" s="389"/>
      <c r="BGH155" s="389"/>
      <c r="BGI155" s="389"/>
      <c r="BGJ155" s="389"/>
      <c r="BGK155" s="389"/>
      <c r="BGL155" s="389"/>
      <c r="BGM155" s="389"/>
      <c r="BGN155" s="389"/>
      <c r="BGO155" s="389"/>
      <c r="BGP155" s="389"/>
      <c r="BGQ155" s="389"/>
      <c r="BGR155" s="389"/>
      <c r="BGS155" s="389"/>
      <c r="BGT155" s="389"/>
      <c r="BGU155" s="389"/>
      <c r="BGV155" s="389"/>
      <c r="BGW155" s="389"/>
      <c r="BGX155" s="389"/>
      <c r="BGY155" s="389"/>
      <c r="BGZ155" s="389"/>
      <c r="BHA155" s="389"/>
      <c r="BHB155" s="389"/>
      <c r="BHC155" s="389"/>
      <c r="BHD155" s="389"/>
      <c r="BHE155" s="389"/>
      <c r="BHF155" s="389"/>
      <c r="BHG155" s="389"/>
      <c r="BHH155" s="389"/>
      <c r="BHI155" s="389"/>
      <c r="BHJ155" s="389"/>
      <c r="BHK155" s="389"/>
      <c r="BHL155" s="389"/>
      <c r="BHM155" s="389"/>
      <c r="BHN155" s="389"/>
      <c r="BHO155" s="389"/>
      <c r="BHP155" s="389"/>
      <c r="BHQ155" s="389"/>
      <c r="BHR155" s="389"/>
      <c r="BHS155" s="389"/>
      <c r="BHT155" s="389"/>
      <c r="BHU155" s="389"/>
      <c r="BHV155" s="389"/>
      <c r="BHW155" s="389"/>
      <c r="BHX155" s="389"/>
      <c r="BHY155" s="389"/>
      <c r="BHZ155" s="389"/>
      <c r="BIA155" s="389"/>
      <c r="BIB155" s="389"/>
      <c r="BIC155" s="389"/>
      <c r="BID155" s="389"/>
      <c r="BIE155" s="389"/>
      <c r="BIF155" s="389"/>
      <c r="BIG155" s="389"/>
      <c r="BIH155" s="389"/>
      <c r="BII155" s="389"/>
      <c r="BIJ155" s="389"/>
      <c r="BIK155" s="389"/>
      <c r="BIL155" s="389"/>
      <c r="BIM155" s="389"/>
      <c r="BIN155" s="389"/>
      <c r="BIO155" s="389"/>
      <c r="BIP155" s="389"/>
      <c r="BIQ155" s="389"/>
      <c r="BIR155" s="389"/>
      <c r="BIS155" s="389"/>
      <c r="BIT155" s="389"/>
      <c r="BIU155" s="389"/>
      <c r="BIV155" s="389"/>
      <c r="BIW155" s="389"/>
      <c r="BIX155" s="389"/>
      <c r="BIY155" s="389"/>
      <c r="BIZ155" s="389"/>
      <c r="BJA155" s="389"/>
      <c r="BJB155" s="389"/>
      <c r="BJC155" s="389"/>
      <c r="BJD155" s="389"/>
      <c r="BJE155" s="389"/>
      <c r="BJF155" s="389"/>
      <c r="BJG155" s="389"/>
      <c r="BJH155" s="389"/>
      <c r="BJI155" s="389"/>
      <c r="BJJ155" s="389"/>
      <c r="BJK155" s="389"/>
      <c r="BJL155" s="389"/>
      <c r="BJM155" s="389"/>
      <c r="BJN155" s="389"/>
      <c r="BJO155" s="389"/>
      <c r="BJP155" s="389"/>
      <c r="BJQ155" s="389"/>
      <c r="BJR155" s="389"/>
      <c r="BJS155" s="389"/>
      <c r="BJT155" s="389"/>
      <c r="BJU155" s="389"/>
      <c r="BJV155" s="389"/>
      <c r="BJW155" s="389"/>
      <c r="BJX155" s="389"/>
      <c r="BJY155" s="389"/>
      <c r="BJZ155" s="389"/>
      <c r="BKA155" s="389"/>
      <c r="BKB155" s="389"/>
      <c r="BKC155" s="389"/>
      <c r="BKD155" s="389"/>
      <c r="BKE155" s="389"/>
      <c r="BKF155" s="389"/>
      <c r="BKG155" s="389"/>
      <c r="BKH155" s="389"/>
      <c r="BKI155" s="389"/>
      <c r="BKJ155" s="389"/>
      <c r="BKK155" s="389"/>
      <c r="BKL155" s="389"/>
      <c r="BKM155" s="389"/>
      <c r="BKN155" s="389"/>
      <c r="BKO155" s="389"/>
      <c r="BKP155" s="389"/>
      <c r="BKQ155" s="389"/>
      <c r="BKR155" s="389"/>
      <c r="BKS155" s="389"/>
      <c r="BKT155" s="389"/>
      <c r="BKU155" s="389"/>
      <c r="BKV155" s="389"/>
      <c r="BKW155" s="389"/>
      <c r="BKX155" s="389"/>
      <c r="BKY155" s="389"/>
      <c r="BKZ155" s="389"/>
      <c r="BLA155" s="389"/>
      <c r="BLB155" s="389"/>
      <c r="BLC155" s="389"/>
      <c r="BLD155" s="389"/>
      <c r="BLE155" s="389"/>
      <c r="BLF155" s="389"/>
      <c r="BLG155" s="389"/>
      <c r="BLH155" s="389"/>
      <c r="BLI155" s="389"/>
      <c r="BLJ155" s="389"/>
      <c r="BLK155" s="389"/>
      <c r="BLL155" s="389"/>
      <c r="BLM155" s="389"/>
      <c r="BLN155" s="389"/>
      <c r="BLO155" s="389"/>
      <c r="BLP155" s="389"/>
      <c r="BLQ155" s="389"/>
      <c r="BLR155" s="389"/>
      <c r="BLS155" s="389"/>
      <c r="BLT155" s="389"/>
      <c r="BLU155" s="389"/>
      <c r="BLV155" s="389"/>
      <c r="BLW155" s="389"/>
      <c r="BLX155" s="389"/>
      <c r="BLY155" s="389"/>
      <c r="BLZ155" s="389"/>
      <c r="BMA155" s="389"/>
      <c r="BMB155" s="389"/>
      <c r="BMC155" s="389"/>
      <c r="BMD155" s="389"/>
      <c r="BME155" s="389"/>
      <c r="BMF155" s="389"/>
      <c r="BMG155" s="389"/>
      <c r="BMH155" s="389"/>
      <c r="BMI155" s="389"/>
      <c r="BMJ155" s="389"/>
      <c r="BMK155" s="389"/>
      <c r="BML155" s="389"/>
      <c r="BMM155" s="389"/>
      <c r="BMN155" s="389"/>
      <c r="BMO155" s="389"/>
      <c r="BMP155" s="389"/>
      <c r="BMQ155" s="389"/>
      <c r="BMR155" s="389"/>
      <c r="BMS155" s="389"/>
      <c r="BMT155" s="389"/>
      <c r="BMU155" s="389"/>
      <c r="BMV155" s="389"/>
      <c r="BMW155" s="389"/>
      <c r="BMX155" s="389"/>
      <c r="BMY155" s="389"/>
      <c r="BMZ155" s="389"/>
      <c r="BNA155" s="389"/>
      <c r="BNB155" s="389"/>
      <c r="BNC155" s="389"/>
      <c r="BND155" s="389"/>
      <c r="BNE155" s="389"/>
      <c r="BNF155" s="389"/>
      <c r="BNG155" s="389"/>
      <c r="BNH155" s="389"/>
      <c r="BNI155" s="389"/>
      <c r="BNJ155" s="389"/>
      <c r="BNK155" s="389"/>
      <c r="BNL155" s="389"/>
      <c r="BNM155" s="389"/>
      <c r="BNN155" s="389"/>
      <c r="BNO155" s="389"/>
      <c r="BNP155" s="389"/>
      <c r="BNQ155" s="389"/>
      <c r="BNR155" s="389"/>
      <c r="BNS155" s="389"/>
      <c r="BNT155" s="389"/>
      <c r="BNU155" s="389"/>
      <c r="BNV155" s="389"/>
      <c r="BNW155" s="389"/>
      <c r="BNX155" s="389"/>
      <c r="BNY155" s="389"/>
      <c r="BNZ155" s="389"/>
      <c r="BOA155" s="389"/>
      <c r="BOB155" s="389"/>
      <c r="BOC155" s="389"/>
      <c r="BOD155" s="389"/>
      <c r="BOE155" s="389"/>
      <c r="BOF155" s="389"/>
      <c r="BOG155" s="389"/>
      <c r="BOH155" s="389"/>
      <c r="BOI155" s="389"/>
      <c r="BOJ155" s="389"/>
      <c r="BOK155" s="389"/>
      <c r="BOL155" s="389"/>
      <c r="BOM155" s="389"/>
      <c r="BON155" s="389"/>
      <c r="BOO155" s="389"/>
      <c r="BOP155" s="389"/>
      <c r="BOQ155" s="389"/>
      <c r="BOR155" s="389"/>
      <c r="BOS155" s="389"/>
      <c r="BOT155" s="389"/>
      <c r="BOU155" s="389"/>
      <c r="BOV155" s="389"/>
      <c r="BOW155" s="389"/>
      <c r="BOX155" s="389"/>
      <c r="BOY155" s="389"/>
      <c r="BOZ155" s="389"/>
      <c r="BPA155" s="389"/>
      <c r="BPB155" s="389"/>
      <c r="BPC155" s="389"/>
      <c r="BPD155" s="389"/>
      <c r="BPE155" s="389"/>
      <c r="BPF155" s="389"/>
      <c r="BPG155" s="389"/>
      <c r="BPH155" s="389"/>
      <c r="BPI155" s="389"/>
      <c r="BPJ155" s="389"/>
      <c r="BPK155" s="389"/>
      <c r="BPL155" s="389"/>
      <c r="BPM155" s="389"/>
      <c r="BPN155" s="389"/>
      <c r="BPO155" s="389"/>
      <c r="BPP155" s="389"/>
      <c r="BPQ155" s="389"/>
      <c r="BPR155" s="389"/>
      <c r="BPS155" s="389"/>
      <c r="BPT155" s="389"/>
      <c r="BPU155" s="389"/>
      <c r="BPV155" s="389"/>
      <c r="BPW155" s="389"/>
      <c r="BPX155" s="389"/>
      <c r="BPY155" s="389"/>
      <c r="BPZ155" s="389"/>
      <c r="BQA155" s="389"/>
      <c r="BQB155" s="389"/>
      <c r="BQC155" s="389"/>
      <c r="BQD155" s="389"/>
      <c r="BQE155" s="389"/>
      <c r="BQF155" s="389"/>
      <c r="BQG155" s="389"/>
      <c r="BQH155" s="389"/>
      <c r="BQI155" s="389"/>
      <c r="BQJ155" s="389"/>
      <c r="BQK155" s="389"/>
      <c r="BQL155" s="389"/>
      <c r="BQM155" s="389"/>
      <c r="BQN155" s="389"/>
      <c r="BQO155" s="389"/>
      <c r="BQP155" s="389"/>
      <c r="BQQ155" s="389"/>
      <c r="BQR155" s="389"/>
      <c r="BQS155" s="389"/>
      <c r="BQT155" s="389"/>
      <c r="BQU155" s="389"/>
      <c r="BQV155" s="389"/>
      <c r="BQW155" s="389"/>
      <c r="BQX155" s="389"/>
      <c r="BQY155" s="389"/>
      <c r="BQZ155" s="389"/>
      <c r="BRA155" s="389"/>
      <c r="BRB155" s="389"/>
      <c r="BRC155" s="389"/>
      <c r="BRD155" s="389"/>
      <c r="BRE155" s="389"/>
      <c r="BRF155" s="389"/>
      <c r="BRG155" s="389"/>
      <c r="BRH155" s="389"/>
      <c r="BRI155" s="389"/>
      <c r="BRJ155" s="389"/>
      <c r="BRK155" s="389"/>
      <c r="BRL155" s="389"/>
      <c r="BRM155" s="389"/>
      <c r="BRN155" s="389"/>
      <c r="BRO155" s="389"/>
      <c r="BRP155" s="389"/>
      <c r="BRQ155" s="389"/>
      <c r="BRR155" s="389"/>
      <c r="BRS155" s="389"/>
      <c r="BRT155" s="389"/>
      <c r="BRU155" s="389"/>
      <c r="BRV155" s="389"/>
      <c r="BRW155" s="389"/>
      <c r="BRX155" s="389"/>
      <c r="BRY155" s="389"/>
      <c r="BRZ155" s="389"/>
      <c r="BSA155" s="389"/>
      <c r="BSB155" s="389"/>
      <c r="BSC155" s="389"/>
      <c r="BSD155" s="389"/>
      <c r="BSE155" s="389"/>
      <c r="BSF155" s="389"/>
      <c r="BSG155" s="389"/>
      <c r="BSH155" s="389"/>
      <c r="BSI155" s="389"/>
      <c r="BSJ155" s="389"/>
      <c r="BSK155" s="389"/>
      <c r="BSL155" s="389"/>
      <c r="BSM155" s="389"/>
      <c r="BSN155" s="389"/>
      <c r="BSO155" s="389"/>
      <c r="BSP155" s="389"/>
      <c r="BSQ155" s="389"/>
      <c r="BSR155" s="389"/>
      <c r="BSS155" s="389"/>
      <c r="BST155" s="389"/>
      <c r="BSU155" s="389"/>
      <c r="BSV155" s="389"/>
      <c r="BSW155" s="389"/>
      <c r="BSX155" s="389"/>
      <c r="BSY155" s="389"/>
      <c r="BSZ155" s="389"/>
      <c r="BTA155" s="389"/>
      <c r="BTB155" s="389"/>
      <c r="BTC155" s="389"/>
      <c r="BTD155" s="389"/>
      <c r="BTE155" s="389"/>
      <c r="BTF155" s="389"/>
      <c r="BTG155" s="389"/>
      <c r="BTH155" s="389"/>
      <c r="BTI155" s="389"/>
      <c r="BTJ155" s="389"/>
      <c r="BTK155" s="389"/>
      <c r="BTL155" s="389"/>
      <c r="BTM155" s="389"/>
      <c r="BTN155" s="389"/>
      <c r="BTO155" s="389"/>
      <c r="BTP155" s="389"/>
      <c r="BTQ155" s="389"/>
      <c r="BTR155" s="389"/>
      <c r="BTS155" s="389"/>
      <c r="BTT155" s="389"/>
      <c r="BTU155" s="389"/>
      <c r="BTV155" s="389"/>
      <c r="BTW155" s="389"/>
      <c r="BTX155" s="389"/>
      <c r="BTY155" s="389"/>
      <c r="BTZ155" s="389"/>
      <c r="BUA155" s="389"/>
      <c r="BUB155" s="389"/>
      <c r="BUC155" s="389"/>
      <c r="BUD155" s="389"/>
      <c r="BUE155" s="389"/>
      <c r="BUF155" s="389"/>
      <c r="BUG155" s="389"/>
      <c r="BUH155" s="389"/>
      <c r="BUI155" s="389"/>
      <c r="BUJ155" s="389"/>
      <c r="BUK155" s="389"/>
      <c r="BUL155" s="389"/>
      <c r="BUM155" s="389"/>
      <c r="BUN155" s="389"/>
      <c r="BUO155" s="389"/>
      <c r="BUP155" s="389"/>
      <c r="BUQ155" s="389"/>
      <c r="BUR155" s="389"/>
      <c r="BUS155" s="389"/>
      <c r="BUT155" s="389"/>
      <c r="BUU155" s="389"/>
      <c r="BUV155" s="389"/>
      <c r="BUW155" s="389"/>
      <c r="BUX155" s="389"/>
      <c r="BUY155" s="389"/>
      <c r="BUZ155" s="389"/>
      <c r="BVA155" s="389"/>
      <c r="BVB155" s="389"/>
      <c r="BVC155" s="389"/>
      <c r="BVD155" s="389"/>
      <c r="BVE155" s="389"/>
      <c r="BVF155" s="389"/>
      <c r="BVG155" s="389"/>
      <c r="BVH155" s="389"/>
      <c r="BVI155" s="389"/>
      <c r="BVJ155" s="389"/>
      <c r="BVK155" s="389"/>
      <c r="BVL155" s="389"/>
      <c r="BVM155" s="389"/>
      <c r="BVN155" s="389"/>
      <c r="BVO155" s="389"/>
      <c r="BVP155" s="389"/>
      <c r="BVQ155" s="389"/>
      <c r="BVR155" s="389"/>
      <c r="BVS155" s="389"/>
      <c r="BVT155" s="389"/>
      <c r="BVU155" s="389"/>
      <c r="BVV155" s="389"/>
      <c r="BVW155" s="389"/>
      <c r="BVX155" s="389"/>
      <c r="BVY155" s="389"/>
      <c r="BVZ155" s="389"/>
      <c r="BWA155" s="389"/>
      <c r="BWB155" s="389"/>
      <c r="BWC155" s="389"/>
      <c r="BWD155" s="389"/>
      <c r="BWE155" s="389"/>
      <c r="BWF155" s="389"/>
      <c r="BWG155" s="389"/>
      <c r="BWH155" s="389"/>
      <c r="BWI155" s="389"/>
      <c r="BWJ155" s="389"/>
      <c r="BWK155" s="389"/>
      <c r="BWL155" s="389"/>
      <c r="BWM155" s="389"/>
      <c r="BWN155" s="389"/>
      <c r="BWO155" s="389"/>
      <c r="BWP155" s="389"/>
      <c r="BWQ155" s="389"/>
      <c r="BWR155" s="389"/>
      <c r="BWS155" s="389"/>
      <c r="BWT155" s="389"/>
      <c r="BWU155" s="389"/>
      <c r="BWV155" s="389"/>
      <c r="BWW155" s="389"/>
      <c r="BWX155" s="389"/>
      <c r="BWY155" s="389"/>
      <c r="BWZ155" s="389"/>
      <c r="BXA155" s="389"/>
      <c r="BXB155" s="389"/>
      <c r="BXC155" s="389"/>
      <c r="BXD155" s="389"/>
      <c r="BXE155" s="389"/>
      <c r="BXF155" s="389"/>
      <c r="BXG155" s="389"/>
      <c r="BXH155" s="389"/>
      <c r="BXI155" s="389"/>
      <c r="BXJ155" s="389"/>
      <c r="BXK155" s="389"/>
      <c r="BXL155" s="389"/>
      <c r="BXM155" s="389"/>
      <c r="BXN155" s="389"/>
      <c r="BXO155" s="389"/>
      <c r="BXP155" s="389"/>
      <c r="BXQ155" s="389"/>
      <c r="BXR155" s="389"/>
      <c r="BXS155" s="389"/>
      <c r="BXT155" s="389"/>
      <c r="BXU155" s="389"/>
      <c r="BXV155" s="389"/>
      <c r="BXW155" s="389"/>
      <c r="BXX155" s="389"/>
      <c r="BXY155" s="389"/>
      <c r="BXZ155" s="389"/>
      <c r="BYA155" s="389"/>
      <c r="BYB155" s="389"/>
      <c r="BYC155" s="389"/>
      <c r="BYD155" s="389"/>
      <c r="BYE155" s="389"/>
      <c r="BYF155" s="389"/>
      <c r="BYG155" s="389"/>
      <c r="BYH155" s="389"/>
      <c r="BYI155" s="389"/>
      <c r="BYJ155" s="389"/>
      <c r="BYK155" s="389"/>
      <c r="BYL155" s="389"/>
      <c r="BYM155" s="389"/>
      <c r="BYN155" s="389"/>
      <c r="BYO155" s="389"/>
      <c r="BYP155" s="389"/>
      <c r="BYQ155" s="389"/>
      <c r="BYR155" s="389"/>
      <c r="BYS155" s="389"/>
      <c r="BYT155" s="389"/>
      <c r="BYU155" s="389"/>
      <c r="BYV155" s="389"/>
      <c r="BYW155" s="389"/>
      <c r="BYX155" s="389"/>
      <c r="BYY155" s="389"/>
      <c r="BYZ155" s="389"/>
      <c r="BZA155" s="389"/>
      <c r="BZB155" s="389"/>
      <c r="BZC155" s="389"/>
      <c r="BZD155" s="389"/>
      <c r="BZE155" s="389"/>
      <c r="BZF155" s="389"/>
      <c r="BZG155" s="389"/>
      <c r="BZH155" s="389"/>
      <c r="BZI155" s="389"/>
      <c r="BZJ155" s="389"/>
      <c r="BZK155" s="389"/>
      <c r="BZL155" s="389"/>
      <c r="BZM155" s="389"/>
      <c r="BZN155" s="389"/>
      <c r="BZO155" s="389"/>
      <c r="BZP155" s="389"/>
      <c r="BZQ155" s="389"/>
      <c r="BZR155" s="389"/>
      <c r="BZS155" s="389"/>
      <c r="BZT155" s="389"/>
      <c r="BZU155" s="389"/>
      <c r="BZV155" s="389"/>
      <c r="BZW155" s="389"/>
      <c r="BZX155" s="389"/>
      <c r="BZY155" s="389"/>
      <c r="BZZ155" s="389"/>
      <c r="CAA155" s="389"/>
      <c r="CAB155" s="389"/>
      <c r="CAC155" s="389"/>
      <c r="CAD155" s="389"/>
      <c r="CAE155" s="389"/>
      <c r="CAF155" s="389"/>
      <c r="CAG155" s="389"/>
      <c r="CAH155" s="389"/>
      <c r="CAI155" s="389"/>
      <c r="CAJ155" s="389"/>
      <c r="CAK155" s="389"/>
      <c r="CAL155" s="389"/>
      <c r="CAM155" s="389"/>
      <c r="CAN155" s="389"/>
      <c r="CAO155" s="389"/>
      <c r="CAP155" s="389"/>
      <c r="CAQ155" s="389"/>
      <c r="CAR155" s="389"/>
      <c r="CAS155" s="389"/>
      <c r="CAT155" s="389"/>
      <c r="CAU155" s="389"/>
      <c r="CAV155" s="389"/>
      <c r="CAW155" s="389"/>
      <c r="CAX155" s="389"/>
      <c r="CAY155" s="389"/>
      <c r="CAZ155" s="389"/>
      <c r="CBA155" s="389"/>
      <c r="CBB155" s="389"/>
      <c r="CBC155" s="389"/>
      <c r="CBD155" s="389"/>
      <c r="CBE155" s="389"/>
      <c r="CBF155" s="389"/>
      <c r="CBG155" s="389"/>
      <c r="CBH155" s="389"/>
      <c r="CBI155" s="389"/>
      <c r="CBJ155" s="389"/>
      <c r="CBK155" s="389"/>
      <c r="CBL155" s="389"/>
      <c r="CBM155" s="389"/>
      <c r="CBN155" s="389"/>
      <c r="CBO155" s="389"/>
      <c r="CBP155" s="389"/>
      <c r="CBQ155" s="389"/>
      <c r="CBR155" s="389"/>
      <c r="CBS155" s="389"/>
      <c r="CBT155" s="389"/>
      <c r="CBU155" s="389"/>
      <c r="CBV155" s="389"/>
      <c r="CBW155" s="389"/>
      <c r="CBX155" s="389"/>
      <c r="CBY155" s="389"/>
      <c r="CBZ155" s="389"/>
      <c r="CCA155" s="389"/>
      <c r="CCB155" s="389"/>
      <c r="CCC155" s="389"/>
      <c r="CCD155" s="389"/>
      <c r="CCE155" s="389"/>
      <c r="CCF155" s="389"/>
      <c r="CCG155" s="389"/>
      <c r="CCH155" s="389"/>
      <c r="CCI155" s="389"/>
      <c r="CCJ155" s="389"/>
      <c r="CCK155" s="389"/>
      <c r="CCL155" s="389"/>
      <c r="CCM155" s="389"/>
      <c r="CCN155" s="389"/>
      <c r="CCO155" s="389"/>
      <c r="CCP155" s="389"/>
      <c r="CCQ155" s="389"/>
      <c r="CCR155" s="389"/>
      <c r="CCS155" s="389"/>
      <c r="CCT155" s="389"/>
      <c r="CCU155" s="389"/>
      <c r="CCV155" s="389"/>
      <c r="CCW155" s="389"/>
      <c r="CCX155" s="389"/>
      <c r="CCY155" s="389"/>
      <c r="CCZ155" s="389"/>
      <c r="CDA155" s="389"/>
      <c r="CDB155" s="389"/>
      <c r="CDC155" s="389"/>
      <c r="CDD155" s="389"/>
      <c r="CDE155" s="389"/>
      <c r="CDF155" s="389"/>
      <c r="CDG155" s="389"/>
      <c r="CDH155" s="389"/>
      <c r="CDI155" s="389"/>
      <c r="CDJ155" s="389"/>
      <c r="CDK155" s="389"/>
      <c r="CDL155" s="389"/>
      <c r="CDM155" s="389"/>
      <c r="CDN155" s="389"/>
      <c r="CDO155" s="389"/>
      <c r="CDP155" s="389"/>
      <c r="CDQ155" s="389"/>
      <c r="CDR155" s="389"/>
      <c r="CDS155" s="389"/>
      <c r="CDT155" s="389"/>
      <c r="CDU155" s="389"/>
      <c r="CDV155" s="389"/>
      <c r="CDW155" s="389"/>
      <c r="CDX155" s="389"/>
      <c r="CDY155" s="389"/>
      <c r="CDZ155" s="389"/>
      <c r="CEA155" s="389"/>
      <c r="CEB155" s="389"/>
      <c r="CEC155" s="389"/>
      <c r="CED155" s="389"/>
      <c r="CEE155" s="389"/>
      <c r="CEF155" s="389"/>
      <c r="CEG155" s="389"/>
      <c r="CEH155" s="389"/>
      <c r="CEI155" s="389"/>
      <c r="CEJ155" s="389"/>
      <c r="CEK155" s="389"/>
      <c r="CEL155" s="389"/>
      <c r="CEM155" s="389"/>
      <c r="CEN155" s="389"/>
      <c r="CEO155" s="389"/>
      <c r="CEP155" s="389"/>
      <c r="CEQ155" s="389"/>
      <c r="CER155" s="389"/>
      <c r="CES155" s="389"/>
      <c r="CET155" s="389"/>
      <c r="CEU155" s="389"/>
      <c r="CEV155" s="389"/>
      <c r="CEW155" s="389"/>
      <c r="CEX155" s="389"/>
      <c r="CEY155" s="389"/>
      <c r="CEZ155" s="389"/>
      <c r="CFA155" s="389"/>
      <c r="CFB155" s="389"/>
      <c r="CFC155" s="389"/>
      <c r="CFD155" s="389"/>
      <c r="CFE155" s="389"/>
      <c r="CFF155" s="389"/>
      <c r="CFG155" s="389"/>
      <c r="CFH155" s="389"/>
      <c r="CFI155" s="389"/>
      <c r="CFJ155" s="389"/>
      <c r="CFK155" s="389"/>
      <c r="CFL155" s="389"/>
      <c r="CFM155" s="389"/>
      <c r="CFN155" s="389"/>
      <c r="CFO155" s="389"/>
      <c r="CFP155" s="389"/>
      <c r="CFQ155" s="389"/>
      <c r="CFR155" s="389"/>
      <c r="CFS155" s="389"/>
      <c r="CFT155" s="389"/>
      <c r="CFU155" s="389"/>
      <c r="CFV155" s="389"/>
      <c r="CFW155" s="389"/>
      <c r="CFX155" s="389"/>
      <c r="CFY155" s="389"/>
      <c r="CFZ155" s="389"/>
      <c r="CGA155" s="389"/>
      <c r="CGB155" s="389"/>
      <c r="CGC155" s="389"/>
      <c r="CGD155" s="389"/>
      <c r="CGE155" s="389"/>
      <c r="CGF155" s="389"/>
      <c r="CGG155" s="389"/>
      <c r="CGH155" s="389"/>
      <c r="CGI155" s="389"/>
      <c r="CGJ155" s="389"/>
      <c r="CGK155" s="389"/>
      <c r="CGL155" s="389"/>
      <c r="CGM155" s="389"/>
      <c r="CGN155" s="389"/>
      <c r="CGO155" s="389"/>
      <c r="CGP155" s="389"/>
      <c r="CGQ155" s="389"/>
      <c r="CGR155" s="389"/>
      <c r="CGS155" s="389"/>
      <c r="CGT155" s="389"/>
      <c r="CGU155" s="389"/>
      <c r="CGV155" s="389"/>
      <c r="CGW155" s="389"/>
      <c r="CGX155" s="389"/>
      <c r="CGY155" s="389"/>
      <c r="CGZ155" s="389"/>
      <c r="CHA155" s="389"/>
      <c r="CHB155" s="389"/>
      <c r="CHC155" s="389"/>
      <c r="CHD155" s="389"/>
      <c r="CHE155" s="389"/>
      <c r="CHF155" s="389"/>
      <c r="CHG155" s="389"/>
      <c r="CHH155" s="389"/>
      <c r="CHI155" s="389"/>
      <c r="CHJ155" s="389"/>
      <c r="CHK155" s="389"/>
      <c r="CHL155" s="389"/>
      <c r="CHM155" s="389"/>
      <c r="CHN155" s="389"/>
      <c r="CHO155" s="389"/>
      <c r="CHP155" s="389"/>
      <c r="CHQ155" s="389"/>
      <c r="CHR155" s="389"/>
      <c r="CHS155" s="389"/>
      <c r="CHT155" s="389"/>
      <c r="CHU155" s="389"/>
      <c r="CHV155" s="389"/>
      <c r="CHW155" s="389"/>
      <c r="CHX155" s="389"/>
      <c r="CHY155" s="389"/>
      <c r="CHZ155" s="389"/>
      <c r="CIA155" s="389"/>
      <c r="CIB155" s="389"/>
      <c r="CIC155" s="389"/>
      <c r="CID155" s="389"/>
      <c r="CIE155" s="389"/>
      <c r="CIF155" s="389"/>
      <c r="CIG155" s="389"/>
      <c r="CIH155" s="389"/>
      <c r="CII155" s="389"/>
      <c r="CIJ155" s="389"/>
      <c r="CIK155" s="389"/>
      <c r="CIL155" s="389"/>
      <c r="CIM155" s="389"/>
      <c r="CIN155" s="389"/>
      <c r="CIO155" s="389"/>
      <c r="CIP155" s="389"/>
      <c r="CIQ155" s="389"/>
      <c r="CIR155" s="389"/>
      <c r="CIS155" s="389"/>
      <c r="CIT155" s="389"/>
      <c r="CIU155" s="389"/>
      <c r="CIV155" s="389"/>
      <c r="CIW155" s="389"/>
      <c r="CIX155" s="389"/>
      <c r="CIY155" s="389"/>
      <c r="CIZ155" s="389"/>
      <c r="CJA155" s="389"/>
      <c r="CJB155" s="389"/>
      <c r="CJC155" s="389"/>
      <c r="CJD155" s="389"/>
      <c r="CJE155" s="389"/>
      <c r="CJF155" s="389"/>
      <c r="CJG155" s="389"/>
      <c r="CJH155" s="389"/>
      <c r="CJI155" s="389"/>
      <c r="CJJ155" s="389"/>
      <c r="CJK155" s="389"/>
      <c r="CJL155" s="389"/>
      <c r="CJM155" s="389"/>
      <c r="CJN155" s="389"/>
      <c r="CJO155" s="389"/>
      <c r="CJP155" s="389"/>
      <c r="CJQ155" s="389"/>
      <c r="CJR155" s="389"/>
      <c r="CJS155" s="389"/>
      <c r="CJT155" s="389"/>
      <c r="CJU155" s="389"/>
      <c r="CJV155" s="389"/>
      <c r="CJW155" s="389"/>
      <c r="CJX155" s="389"/>
      <c r="CJY155" s="389"/>
      <c r="CJZ155" s="389"/>
      <c r="CKA155" s="389"/>
      <c r="CKB155" s="389"/>
      <c r="CKC155" s="389"/>
      <c r="CKD155" s="389"/>
      <c r="CKE155" s="389"/>
      <c r="CKF155" s="389"/>
      <c r="CKG155" s="389"/>
      <c r="CKH155" s="389"/>
      <c r="CKI155" s="389"/>
      <c r="CKJ155" s="389"/>
      <c r="CKK155" s="389"/>
      <c r="CKL155" s="389"/>
      <c r="CKM155" s="389"/>
      <c r="CKN155" s="389"/>
      <c r="CKO155" s="389"/>
      <c r="CKP155" s="389"/>
      <c r="CKQ155" s="389"/>
      <c r="CKR155" s="389"/>
      <c r="CKS155" s="389"/>
      <c r="CKT155" s="389"/>
      <c r="CKU155" s="389"/>
      <c r="CKV155" s="389"/>
      <c r="CKW155" s="389"/>
      <c r="CKX155" s="389"/>
      <c r="CKY155" s="389"/>
      <c r="CKZ155" s="389"/>
      <c r="CLA155" s="389"/>
      <c r="CLB155" s="389"/>
      <c r="CLC155" s="389"/>
      <c r="CLD155" s="389"/>
      <c r="CLE155" s="389"/>
      <c r="CLF155" s="389"/>
      <c r="CLG155" s="389"/>
      <c r="CLH155" s="389"/>
      <c r="CLI155" s="389"/>
      <c r="CLJ155" s="389"/>
      <c r="CLK155" s="389"/>
      <c r="CLL155" s="389"/>
      <c r="CLM155" s="389"/>
      <c r="CLN155" s="389"/>
      <c r="CLO155" s="389"/>
      <c r="CLP155" s="389"/>
      <c r="CLQ155" s="389"/>
      <c r="CLR155" s="389"/>
      <c r="CLS155" s="389"/>
      <c r="CLT155" s="389"/>
      <c r="CLU155" s="389"/>
      <c r="CLV155" s="389"/>
      <c r="CLW155" s="389"/>
      <c r="CLX155" s="389"/>
      <c r="CLY155" s="389"/>
      <c r="CLZ155" s="389"/>
      <c r="CMA155" s="389"/>
      <c r="CMB155" s="389"/>
      <c r="CMC155" s="389"/>
      <c r="CMD155" s="389"/>
      <c r="CME155" s="389"/>
      <c r="CMF155" s="389"/>
      <c r="CMG155" s="389"/>
      <c r="CMH155" s="389"/>
      <c r="CMI155" s="389"/>
      <c r="CMJ155" s="389"/>
      <c r="CMK155" s="389"/>
      <c r="CML155" s="389"/>
      <c r="CMM155" s="389"/>
      <c r="CMN155" s="389"/>
      <c r="CMO155" s="389"/>
      <c r="CMP155" s="389"/>
      <c r="CMQ155" s="389"/>
      <c r="CMR155" s="389"/>
      <c r="CMS155" s="389"/>
      <c r="CMT155" s="389"/>
      <c r="CMU155" s="389"/>
      <c r="CMV155" s="389"/>
      <c r="CMW155" s="389"/>
      <c r="CMX155" s="389"/>
      <c r="CMY155" s="389"/>
      <c r="CMZ155" s="389"/>
      <c r="CNA155" s="389"/>
      <c r="CNB155" s="389"/>
      <c r="CNC155" s="389"/>
      <c r="CND155" s="389"/>
      <c r="CNE155" s="389"/>
      <c r="CNF155" s="389"/>
      <c r="CNG155" s="389"/>
      <c r="CNH155" s="389"/>
      <c r="CNI155" s="389"/>
      <c r="CNJ155" s="389"/>
      <c r="CNK155" s="389"/>
      <c r="CNL155" s="389"/>
      <c r="CNM155" s="389"/>
      <c r="CNN155" s="389"/>
      <c r="CNO155" s="389"/>
      <c r="CNP155" s="389"/>
      <c r="CNQ155" s="389"/>
      <c r="CNR155" s="389"/>
      <c r="CNS155" s="389"/>
      <c r="CNT155" s="389"/>
      <c r="CNU155" s="389"/>
      <c r="CNV155" s="389"/>
      <c r="CNW155" s="389"/>
      <c r="CNX155" s="389"/>
      <c r="CNY155" s="389"/>
      <c r="CNZ155" s="389"/>
      <c r="COA155" s="389"/>
      <c r="COB155" s="389"/>
      <c r="COC155" s="389"/>
      <c r="COD155" s="389"/>
      <c r="COE155" s="389"/>
      <c r="COF155" s="389"/>
      <c r="COG155" s="389"/>
      <c r="COH155" s="389"/>
      <c r="COI155" s="389"/>
      <c r="COJ155" s="389"/>
      <c r="COK155" s="389"/>
      <c r="COL155" s="389"/>
      <c r="COM155" s="389"/>
      <c r="CON155" s="389"/>
      <c r="COO155" s="389"/>
      <c r="COP155" s="389"/>
      <c r="COQ155" s="389"/>
      <c r="COR155" s="389"/>
      <c r="COS155" s="389"/>
      <c r="COT155" s="389"/>
      <c r="COU155" s="389"/>
      <c r="COV155" s="389"/>
      <c r="COW155" s="389"/>
      <c r="COX155" s="389"/>
      <c r="COY155" s="389"/>
      <c r="COZ155" s="389"/>
      <c r="CPA155" s="389"/>
      <c r="CPB155" s="389"/>
      <c r="CPC155" s="389"/>
      <c r="CPD155" s="389"/>
      <c r="CPE155" s="389"/>
      <c r="CPF155" s="389"/>
      <c r="CPG155" s="389"/>
      <c r="CPH155" s="389"/>
      <c r="CPI155" s="389"/>
      <c r="CPJ155" s="389"/>
      <c r="CPK155" s="389"/>
      <c r="CPL155" s="389"/>
      <c r="CPM155" s="389"/>
      <c r="CPN155" s="389"/>
      <c r="CPO155" s="389"/>
      <c r="CPP155" s="389"/>
      <c r="CPQ155" s="389"/>
      <c r="CPR155" s="389"/>
      <c r="CPS155" s="389"/>
      <c r="CPT155" s="389"/>
      <c r="CPU155" s="389"/>
      <c r="CPV155" s="389"/>
      <c r="CPW155" s="389"/>
      <c r="CPX155" s="389"/>
      <c r="CPY155" s="389"/>
      <c r="CPZ155" s="389"/>
      <c r="CQA155" s="389"/>
      <c r="CQB155" s="389"/>
      <c r="CQC155" s="389"/>
      <c r="CQD155" s="389"/>
      <c r="CQE155" s="389"/>
      <c r="CQF155" s="389"/>
      <c r="CQG155" s="389"/>
      <c r="CQH155" s="389"/>
      <c r="CQI155" s="389"/>
      <c r="CQJ155" s="389"/>
      <c r="CQK155" s="389"/>
      <c r="CQL155" s="389"/>
      <c r="CQM155" s="389"/>
      <c r="CQN155" s="389"/>
      <c r="CQO155" s="389"/>
      <c r="CQP155" s="389"/>
      <c r="CQQ155" s="389"/>
      <c r="CQR155" s="389"/>
      <c r="CQS155" s="389"/>
      <c r="CQT155" s="389"/>
      <c r="CQU155" s="389"/>
      <c r="CQV155" s="389"/>
      <c r="CQW155" s="389"/>
      <c r="CQX155" s="389"/>
      <c r="CQY155" s="389"/>
      <c r="CQZ155" s="389"/>
      <c r="CRA155" s="389"/>
      <c r="CRB155" s="389"/>
      <c r="CRC155" s="389"/>
      <c r="CRD155" s="389"/>
      <c r="CRE155" s="389"/>
      <c r="CRF155" s="389"/>
      <c r="CRG155" s="389"/>
      <c r="CRH155" s="389"/>
      <c r="CRI155" s="389"/>
      <c r="CRJ155" s="389"/>
      <c r="CRK155" s="389"/>
      <c r="CRL155" s="389"/>
      <c r="CRM155" s="389"/>
      <c r="CRN155" s="389"/>
      <c r="CRO155" s="389"/>
      <c r="CRP155" s="389"/>
      <c r="CRQ155" s="389"/>
      <c r="CRR155" s="389"/>
      <c r="CRS155" s="389"/>
      <c r="CRT155" s="389"/>
      <c r="CRU155" s="389"/>
      <c r="CRV155" s="389"/>
      <c r="CRW155" s="389"/>
      <c r="CRX155" s="389"/>
      <c r="CRY155" s="389"/>
      <c r="CRZ155" s="389"/>
      <c r="CSA155" s="389"/>
      <c r="CSB155" s="389"/>
      <c r="CSC155" s="389"/>
      <c r="CSD155" s="389"/>
      <c r="CSE155" s="389"/>
      <c r="CSF155" s="389"/>
      <c r="CSG155" s="389"/>
      <c r="CSH155" s="389"/>
      <c r="CSI155" s="389"/>
      <c r="CSJ155" s="389"/>
      <c r="CSK155" s="389"/>
      <c r="CSL155" s="389"/>
      <c r="CSM155" s="389"/>
      <c r="CSN155" s="389"/>
      <c r="CSO155" s="389"/>
      <c r="CSP155" s="389"/>
      <c r="CSQ155" s="389"/>
      <c r="CSR155" s="389"/>
      <c r="CSS155" s="389"/>
      <c r="CST155" s="389"/>
      <c r="CSU155" s="389"/>
      <c r="CSV155" s="389"/>
      <c r="CSW155" s="389"/>
      <c r="CSX155" s="389"/>
      <c r="CSY155" s="389"/>
      <c r="CSZ155" s="389"/>
      <c r="CTA155" s="389"/>
      <c r="CTB155" s="389"/>
      <c r="CTC155" s="389"/>
      <c r="CTD155" s="389"/>
      <c r="CTE155" s="389"/>
      <c r="CTF155" s="389"/>
      <c r="CTG155" s="389"/>
      <c r="CTH155" s="389"/>
      <c r="CTI155" s="389"/>
      <c r="CTJ155" s="389"/>
      <c r="CTK155" s="389"/>
      <c r="CTL155" s="389"/>
      <c r="CTM155" s="389"/>
      <c r="CTN155" s="389"/>
      <c r="CTO155" s="389"/>
      <c r="CTP155" s="389"/>
      <c r="CTQ155" s="389"/>
      <c r="CTR155" s="389"/>
      <c r="CTS155" s="389"/>
      <c r="CTT155" s="389"/>
      <c r="CTU155" s="389"/>
      <c r="CTV155" s="389"/>
      <c r="CTW155" s="389"/>
      <c r="CTX155" s="389"/>
      <c r="CTY155" s="389"/>
      <c r="CTZ155" s="389"/>
      <c r="CUA155" s="389"/>
      <c r="CUB155" s="389"/>
      <c r="CUC155" s="389"/>
      <c r="CUD155" s="389"/>
      <c r="CUE155" s="389"/>
      <c r="CUF155" s="389"/>
      <c r="CUG155" s="389"/>
      <c r="CUH155" s="389"/>
      <c r="CUI155" s="389"/>
      <c r="CUJ155" s="389"/>
      <c r="CUK155" s="389"/>
      <c r="CUL155" s="389"/>
      <c r="CUM155" s="389"/>
      <c r="CUN155" s="389"/>
      <c r="CUO155" s="389"/>
      <c r="CUP155" s="389"/>
      <c r="CUQ155" s="389"/>
      <c r="CUR155" s="389"/>
      <c r="CUS155" s="389"/>
      <c r="CUT155" s="389"/>
      <c r="CUU155" s="389"/>
      <c r="CUV155" s="389"/>
      <c r="CUW155" s="389"/>
      <c r="CUX155" s="389"/>
      <c r="CUY155" s="389"/>
      <c r="CUZ155" s="389"/>
      <c r="CVA155" s="389"/>
      <c r="CVB155" s="389"/>
      <c r="CVC155" s="389"/>
      <c r="CVD155" s="389"/>
      <c r="CVE155" s="389"/>
      <c r="CVF155" s="389"/>
      <c r="CVG155" s="389"/>
      <c r="CVH155" s="389"/>
      <c r="CVI155" s="389"/>
      <c r="CVJ155" s="389"/>
      <c r="CVK155" s="389"/>
      <c r="CVL155" s="389"/>
      <c r="CVM155" s="389"/>
      <c r="CVN155" s="389"/>
      <c r="CVO155" s="389"/>
      <c r="CVP155" s="389"/>
      <c r="CVQ155" s="389"/>
      <c r="CVR155" s="389"/>
      <c r="CVS155" s="389"/>
      <c r="CVT155" s="389"/>
      <c r="CVU155" s="389"/>
      <c r="CVV155" s="389"/>
      <c r="CVW155" s="389"/>
      <c r="CVX155" s="389"/>
      <c r="CVY155" s="389"/>
      <c r="CVZ155" s="389"/>
      <c r="CWA155" s="389"/>
      <c r="CWB155" s="389"/>
      <c r="CWC155" s="389"/>
      <c r="CWD155" s="389"/>
      <c r="CWE155" s="389"/>
      <c r="CWF155" s="389"/>
      <c r="CWG155" s="389"/>
      <c r="CWH155" s="389"/>
      <c r="CWI155" s="389"/>
      <c r="CWJ155" s="389"/>
      <c r="CWK155" s="389"/>
      <c r="CWL155" s="389"/>
      <c r="CWM155" s="389"/>
      <c r="CWN155" s="389"/>
      <c r="CWO155" s="389"/>
      <c r="CWP155" s="389"/>
      <c r="CWQ155" s="389"/>
      <c r="CWR155" s="389"/>
      <c r="CWS155" s="389"/>
      <c r="CWT155" s="389"/>
      <c r="CWU155" s="389"/>
      <c r="CWV155" s="389"/>
      <c r="CWW155" s="389"/>
      <c r="CWX155" s="389"/>
      <c r="CWY155" s="389"/>
      <c r="CWZ155" s="389"/>
      <c r="CXA155" s="389"/>
      <c r="CXB155" s="389"/>
      <c r="CXC155" s="389"/>
      <c r="CXD155" s="389"/>
      <c r="CXE155" s="389"/>
      <c r="CXF155" s="389"/>
      <c r="CXG155" s="389"/>
      <c r="CXH155" s="389"/>
      <c r="CXI155" s="389"/>
      <c r="CXJ155" s="389"/>
      <c r="CXK155" s="389"/>
      <c r="CXL155" s="389"/>
      <c r="CXM155" s="389"/>
      <c r="CXN155" s="389"/>
      <c r="CXO155" s="389"/>
      <c r="CXP155" s="389"/>
      <c r="CXQ155" s="389"/>
      <c r="CXR155" s="389"/>
      <c r="CXS155" s="389"/>
      <c r="CXT155" s="389"/>
      <c r="CXU155" s="389"/>
      <c r="CXV155" s="389"/>
      <c r="CXW155" s="389"/>
      <c r="CXX155" s="389"/>
      <c r="CXY155" s="389"/>
      <c r="CXZ155" s="389"/>
      <c r="CYA155" s="389"/>
      <c r="CYB155" s="389"/>
      <c r="CYC155" s="389"/>
      <c r="CYD155" s="389"/>
      <c r="CYE155" s="389"/>
      <c r="CYF155" s="389"/>
      <c r="CYG155" s="389"/>
      <c r="CYH155" s="389"/>
      <c r="CYI155" s="389"/>
      <c r="CYJ155" s="389"/>
      <c r="CYK155" s="389"/>
      <c r="CYL155" s="389"/>
      <c r="CYM155" s="389"/>
      <c r="CYN155" s="389"/>
      <c r="CYO155" s="389"/>
      <c r="CYP155" s="389"/>
      <c r="CYQ155" s="389"/>
      <c r="CYR155" s="389"/>
      <c r="CYS155" s="389"/>
      <c r="CYT155" s="389"/>
      <c r="CYU155" s="389"/>
      <c r="CYV155" s="389"/>
      <c r="CYW155" s="389"/>
      <c r="CYX155" s="389"/>
      <c r="CYY155" s="389"/>
      <c r="CYZ155" s="389"/>
      <c r="CZA155" s="389"/>
      <c r="CZB155" s="389"/>
      <c r="CZC155" s="389"/>
      <c r="CZD155" s="389"/>
      <c r="CZE155" s="389"/>
      <c r="CZF155" s="389"/>
      <c r="CZG155" s="389"/>
      <c r="CZH155" s="389"/>
      <c r="CZI155" s="389"/>
      <c r="CZJ155" s="389"/>
      <c r="CZK155" s="389"/>
      <c r="CZL155" s="389"/>
      <c r="CZM155" s="389"/>
      <c r="CZN155" s="389"/>
      <c r="CZO155" s="389"/>
      <c r="CZP155" s="389"/>
      <c r="CZQ155" s="389"/>
      <c r="CZR155" s="389"/>
      <c r="CZS155" s="389"/>
      <c r="CZT155" s="389"/>
      <c r="CZU155" s="389"/>
      <c r="CZV155" s="389"/>
      <c r="CZW155" s="389"/>
      <c r="CZX155" s="389"/>
      <c r="CZY155" s="389"/>
      <c r="CZZ155" s="389"/>
      <c r="DAA155" s="389"/>
      <c r="DAB155" s="389"/>
      <c r="DAC155" s="389"/>
      <c r="DAD155" s="389"/>
      <c r="DAE155" s="389"/>
      <c r="DAF155" s="389"/>
      <c r="DAG155" s="389"/>
      <c r="DAH155" s="389"/>
      <c r="DAI155" s="389"/>
      <c r="DAJ155" s="389"/>
      <c r="DAK155" s="389"/>
      <c r="DAL155" s="389"/>
      <c r="DAM155" s="389"/>
      <c r="DAN155" s="389"/>
      <c r="DAO155" s="389"/>
      <c r="DAP155" s="389"/>
      <c r="DAQ155" s="389"/>
      <c r="DAR155" s="389"/>
      <c r="DAS155" s="389"/>
      <c r="DAT155" s="389"/>
      <c r="DAU155" s="389"/>
      <c r="DAV155" s="389"/>
      <c r="DAW155" s="389"/>
      <c r="DAX155" s="389"/>
      <c r="DAY155" s="389"/>
      <c r="DAZ155" s="389"/>
      <c r="DBA155" s="389"/>
      <c r="DBB155" s="389"/>
      <c r="DBC155" s="389"/>
      <c r="DBD155" s="389"/>
      <c r="DBE155" s="389"/>
      <c r="DBF155" s="389"/>
      <c r="DBG155" s="389"/>
      <c r="DBH155" s="389"/>
      <c r="DBI155" s="389"/>
      <c r="DBJ155" s="389"/>
      <c r="DBK155" s="389"/>
      <c r="DBL155" s="389"/>
      <c r="DBM155" s="389"/>
      <c r="DBN155" s="389"/>
      <c r="DBO155" s="389"/>
      <c r="DBP155" s="389"/>
      <c r="DBQ155" s="389"/>
      <c r="DBR155" s="389"/>
      <c r="DBS155" s="389"/>
      <c r="DBT155" s="389"/>
      <c r="DBU155" s="389"/>
      <c r="DBV155" s="389"/>
      <c r="DBW155" s="389"/>
      <c r="DBX155" s="389"/>
      <c r="DBY155" s="389"/>
      <c r="DBZ155" s="389"/>
      <c r="DCA155" s="389"/>
      <c r="DCB155" s="389"/>
      <c r="DCC155" s="389"/>
      <c r="DCD155" s="389"/>
      <c r="DCE155" s="389"/>
      <c r="DCF155" s="389"/>
      <c r="DCG155" s="389"/>
      <c r="DCH155" s="389"/>
      <c r="DCI155" s="389"/>
      <c r="DCJ155" s="389"/>
      <c r="DCK155" s="389"/>
      <c r="DCL155" s="389"/>
      <c r="DCM155" s="389"/>
      <c r="DCN155" s="389"/>
      <c r="DCO155" s="389"/>
      <c r="DCP155" s="389"/>
      <c r="DCQ155" s="389"/>
      <c r="DCR155" s="389"/>
      <c r="DCS155" s="389"/>
      <c r="DCT155" s="389"/>
      <c r="DCU155" s="389"/>
      <c r="DCV155" s="389"/>
      <c r="DCW155" s="389"/>
      <c r="DCX155" s="389"/>
      <c r="DCY155" s="389"/>
      <c r="DCZ155" s="389"/>
      <c r="DDA155" s="389"/>
      <c r="DDB155" s="389"/>
      <c r="DDC155" s="389"/>
      <c r="DDD155" s="389"/>
      <c r="DDE155" s="389"/>
      <c r="DDF155" s="389"/>
      <c r="DDG155" s="389"/>
      <c r="DDH155" s="389"/>
      <c r="DDI155" s="389"/>
      <c r="DDJ155" s="389"/>
      <c r="DDK155" s="389"/>
      <c r="DDL155" s="389"/>
      <c r="DDM155" s="389"/>
      <c r="DDN155" s="389"/>
      <c r="DDO155" s="389"/>
      <c r="DDP155" s="389"/>
      <c r="DDQ155" s="389"/>
      <c r="DDR155" s="389"/>
      <c r="DDS155" s="389"/>
      <c r="DDT155" s="389"/>
      <c r="DDU155" s="389"/>
      <c r="DDV155" s="389"/>
      <c r="DDW155" s="389"/>
      <c r="DDX155" s="389"/>
      <c r="DDY155" s="389"/>
      <c r="DDZ155" s="389"/>
      <c r="DEA155" s="389"/>
      <c r="DEB155" s="389"/>
      <c r="DEC155" s="389"/>
      <c r="DED155" s="389"/>
      <c r="DEE155" s="389"/>
      <c r="DEF155" s="389"/>
      <c r="DEG155" s="389"/>
      <c r="DEH155" s="389"/>
      <c r="DEI155" s="389"/>
      <c r="DEJ155" s="389"/>
      <c r="DEK155" s="389"/>
      <c r="DEL155" s="389"/>
      <c r="DEM155" s="389"/>
      <c r="DEN155" s="389"/>
      <c r="DEO155" s="389"/>
      <c r="DEP155" s="389"/>
      <c r="DEQ155" s="389"/>
      <c r="DER155" s="389"/>
      <c r="DES155" s="389"/>
      <c r="DET155" s="389"/>
      <c r="DEU155" s="389"/>
      <c r="DEV155" s="389"/>
      <c r="DEW155" s="389"/>
      <c r="DEX155" s="389"/>
      <c r="DEY155" s="389"/>
      <c r="DEZ155" s="389"/>
      <c r="DFA155" s="389"/>
      <c r="DFB155" s="389"/>
      <c r="DFC155" s="389"/>
      <c r="DFD155" s="389"/>
      <c r="DFE155" s="389"/>
      <c r="DFF155" s="389"/>
      <c r="DFG155" s="389"/>
      <c r="DFH155" s="389"/>
      <c r="DFI155" s="389"/>
      <c r="DFJ155" s="389"/>
      <c r="DFK155" s="389"/>
      <c r="DFL155" s="389"/>
      <c r="DFM155" s="389"/>
      <c r="DFN155" s="389"/>
      <c r="DFO155" s="389"/>
      <c r="DFP155" s="389"/>
      <c r="DFQ155" s="389"/>
      <c r="DFR155" s="389"/>
      <c r="DFS155" s="389"/>
      <c r="DFT155" s="389"/>
      <c r="DFU155" s="389"/>
      <c r="DFV155" s="389"/>
      <c r="DFW155" s="389"/>
      <c r="DFX155" s="389"/>
      <c r="DFY155" s="389"/>
      <c r="DFZ155" s="389"/>
      <c r="DGA155" s="389"/>
      <c r="DGB155" s="389"/>
      <c r="DGC155" s="389"/>
      <c r="DGD155" s="389"/>
      <c r="DGE155" s="389"/>
      <c r="DGF155" s="389"/>
      <c r="DGG155" s="389"/>
      <c r="DGH155" s="389"/>
      <c r="DGI155" s="389"/>
      <c r="DGJ155" s="389"/>
      <c r="DGK155" s="389"/>
      <c r="DGL155" s="389"/>
      <c r="DGM155" s="389"/>
      <c r="DGN155" s="389"/>
      <c r="DGO155" s="389"/>
      <c r="DGP155" s="389"/>
      <c r="DGQ155" s="389"/>
      <c r="DGR155" s="389"/>
      <c r="DGS155" s="389"/>
      <c r="DGT155" s="389"/>
      <c r="DGU155" s="389"/>
      <c r="DGV155" s="389"/>
      <c r="DGW155" s="389"/>
      <c r="DGX155" s="389"/>
      <c r="DGY155" s="389"/>
      <c r="DGZ155" s="389"/>
      <c r="DHA155" s="389"/>
      <c r="DHB155" s="389"/>
      <c r="DHC155" s="389"/>
      <c r="DHD155" s="389"/>
      <c r="DHE155" s="389"/>
      <c r="DHF155" s="389"/>
      <c r="DHG155" s="389"/>
      <c r="DHH155" s="389"/>
      <c r="DHI155" s="389"/>
      <c r="DHJ155" s="389"/>
      <c r="DHK155" s="389"/>
      <c r="DHL155" s="389"/>
      <c r="DHM155" s="389"/>
      <c r="DHN155" s="389"/>
      <c r="DHO155" s="389"/>
      <c r="DHP155" s="389"/>
      <c r="DHQ155" s="389"/>
      <c r="DHR155" s="389"/>
      <c r="DHS155" s="389"/>
      <c r="DHT155" s="389"/>
      <c r="DHU155" s="389"/>
      <c r="DHV155" s="389"/>
      <c r="DHW155" s="389"/>
      <c r="DHX155" s="389"/>
      <c r="DHY155" s="389"/>
      <c r="DHZ155" s="389"/>
      <c r="DIA155" s="389"/>
      <c r="DIB155" s="389"/>
      <c r="DIC155" s="389"/>
      <c r="DID155" s="389"/>
      <c r="DIE155" s="389"/>
      <c r="DIF155" s="389"/>
      <c r="DIG155" s="389"/>
      <c r="DIH155" s="389"/>
      <c r="DII155" s="389"/>
      <c r="DIJ155" s="389"/>
      <c r="DIK155" s="389"/>
      <c r="DIL155" s="389"/>
      <c r="DIM155" s="389"/>
      <c r="DIN155" s="389"/>
      <c r="DIO155" s="389"/>
      <c r="DIP155" s="389"/>
      <c r="DIQ155" s="389"/>
      <c r="DIR155" s="389"/>
      <c r="DIS155" s="389"/>
      <c r="DIT155" s="389"/>
      <c r="DIU155" s="389"/>
      <c r="DIV155" s="389"/>
      <c r="DIW155" s="389"/>
      <c r="DIX155" s="389"/>
      <c r="DIY155" s="389"/>
      <c r="DIZ155" s="389"/>
      <c r="DJA155" s="389"/>
      <c r="DJB155" s="389"/>
      <c r="DJC155" s="389"/>
      <c r="DJD155" s="389"/>
      <c r="DJE155" s="389"/>
      <c r="DJF155" s="389"/>
      <c r="DJG155" s="389"/>
      <c r="DJH155" s="389"/>
      <c r="DJI155" s="389"/>
      <c r="DJJ155" s="389"/>
      <c r="DJK155" s="389"/>
      <c r="DJL155" s="389"/>
      <c r="DJM155" s="389"/>
      <c r="DJN155" s="389"/>
      <c r="DJO155" s="389"/>
      <c r="DJP155" s="389"/>
      <c r="DJQ155" s="389"/>
      <c r="DJR155" s="389"/>
      <c r="DJS155" s="389"/>
      <c r="DJT155" s="389"/>
      <c r="DJU155" s="389"/>
      <c r="DJV155" s="389"/>
      <c r="DJW155" s="389"/>
      <c r="DJX155" s="389"/>
      <c r="DJY155" s="389"/>
      <c r="DJZ155" s="389"/>
      <c r="DKA155" s="389"/>
      <c r="DKB155" s="389"/>
      <c r="DKC155" s="389"/>
      <c r="DKD155" s="389"/>
      <c r="DKE155" s="389"/>
      <c r="DKF155" s="389"/>
      <c r="DKG155" s="389"/>
      <c r="DKH155" s="389"/>
      <c r="DKI155" s="389"/>
      <c r="DKJ155" s="389"/>
      <c r="DKK155" s="389"/>
      <c r="DKL155" s="389"/>
      <c r="DKM155" s="389"/>
      <c r="DKN155" s="389"/>
      <c r="DKO155" s="389"/>
      <c r="DKP155" s="389"/>
      <c r="DKQ155" s="389"/>
      <c r="DKR155" s="389"/>
      <c r="DKS155" s="389"/>
      <c r="DKT155" s="389"/>
      <c r="DKU155" s="389"/>
      <c r="DKV155" s="389"/>
      <c r="DKW155" s="389"/>
      <c r="DKX155" s="389"/>
      <c r="DKY155" s="389"/>
      <c r="DKZ155" s="389"/>
      <c r="DLA155" s="389"/>
      <c r="DLB155" s="389"/>
      <c r="DLC155" s="389"/>
      <c r="DLD155" s="389"/>
      <c r="DLE155" s="389"/>
      <c r="DLF155" s="389"/>
      <c r="DLG155" s="389"/>
      <c r="DLH155" s="389"/>
      <c r="DLI155" s="389"/>
      <c r="DLJ155" s="389"/>
      <c r="DLK155" s="389"/>
      <c r="DLL155" s="389"/>
      <c r="DLM155" s="389"/>
      <c r="DLN155" s="389"/>
      <c r="DLO155" s="389"/>
      <c r="DLP155" s="389"/>
      <c r="DLQ155" s="389"/>
      <c r="DLR155" s="389"/>
      <c r="DLS155" s="389"/>
      <c r="DLT155" s="389"/>
      <c r="DLU155" s="389"/>
      <c r="DLV155" s="389"/>
      <c r="DLW155" s="389"/>
      <c r="DLX155" s="389"/>
      <c r="DLY155" s="389"/>
      <c r="DLZ155" s="389"/>
      <c r="DMA155" s="389"/>
      <c r="DMB155" s="389"/>
      <c r="DMC155" s="389"/>
      <c r="DMD155" s="389"/>
      <c r="DME155" s="389"/>
      <c r="DMF155" s="389"/>
      <c r="DMG155" s="389"/>
      <c r="DMH155" s="389"/>
      <c r="DMI155" s="389"/>
      <c r="DMJ155" s="389"/>
      <c r="DMK155" s="389"/>
      <c r="DML155" s="389"/>
      <c r="DMM155" s="389"/>
      <c r="DMN155" s="389"/>
      <c r="DMO155" s="389"/>
      <c r="DMP155" s="389"/>
      <c r="DMQ155" s="389"/>
      <c r="DMR155" s="389"/>
      <c r="DMS155" s="389"/>
      <c r="DMT155" s="389"/>
      <c r="DMU155" s="389"/>
      <c r="DMV155" s="389"/>
      <c r="DMW155" s="389"/>
      <c r="DMX155" s="389"/>
      <c r="DMY155" s="389"/>
      <c r="DMZ155" s="389"/>
      <c r="DNA155" s="389"/>
      <c r="DNB155" s="389"/>
      <c r="DNC155" s="389"/>
      <c r="DND155" s="389"/>
      <c r="DNE155" s="389"/>
      <c r="DNF155" s="389"/>
      <c r="DNG155" s="389"/>
      <c r="DNH155" s="389"/>
      <c r="DNI155" s="389"/>
      <c r="DNJ155" s="389"/>
      <c r="DNK155" s="389"/>
      <c r="DNL155" s="389"/>
      <c r="DNM155" s="389"/>
      <c r="DNN155" s="389"/>
      <c r="DNO155" s="389"/>
      <c r="DNP155" s="389"/>
      <c r="DNQ155" s="389"/>
      <c r="DNR155" s="389"/>
      <c r="DNS155" s="389"/>
      <c r="DNT155" s="389"/>
      <c r="DNU155" s="389"/>
      <c r="DNV155" s="389"/>
      <c r="DNW155" s="389"/>
      <c r="DNX155" s="389"/>
      <c r="DNY155" s="389"/>
      <c r="DNZ155" s="389"/>
      <c r="DOA155" s="389"/>
      <c r="DOB155" s="389"/>
      <c r="DOC155" s="389"/>
      <c r="DOD155" s="389"/>
      <c r="DOE155" s="389"/>
      <c r="DOF155" s="389"/>
      <c r="DOG155" s="389"/>
      <c r="DOH155" s="389"/>
      <c r="DOI155" s="389"/>
      <c r="DOJ155" s="389"/>
      <c r="DOK155" s="389"/>
      <c r="DOL155" s="389"/>
      <c r="DOM155" s="389"/>
      <c r="DON155" s="389"/>
      <c r="DOO155" s="389"/>
      <c r="DOP155" s="389"/>
      <c r="DOQ155" s="389"/>
      <c r="DOR155" s="389"/>
      <c r="DOS155" s="389"/>
      <c r="DOT155" s="389"/>
      <c r="DOU155" s="389"/>
      <c r="DOV155" s="389"/>
      <c r="DOW155" s="389"/>
      <c r="DOX155" s="389"/>
      <c r="DOY155" s="389"/>
      <c r="DOZ155" s="389"/>
      <c r="DPA155" s="389"/>
      <c r="DPB155" s="389"/>
      <c r="DPC155" s="389"/>
      <c r="DPD155" s="389"/>
      <c r="DPE155" s="389"/>
      <c r="DPF155" s="389"/>
      <c r="DPG155" s="389"/>
      <c r="DPH155" s="389"/>
      <c r="DPI155" s="389"/>
      <c r="DPJ155" s="389"/>
      <c r="DPK155" s="389"/>
      <c r="DPL155" s="389"/>
      <c r="DPM155" s="389"/>
      <c r="DPN155" s="389"/>
      <c r="DPO155" s="389"/>
      <c r="DPP155" s="389"/>
      <c r="DPQ155" s="389"/>
      <c r="DPR155" s="389"/>
      <c r="DPS155" s="389"/>
      <c r="DPT155" s="389"/>
      <c r="DPU155" s="389"/>
      <c r="DPV155" s="389"/>
      <c r="DPW155" s="389"/>
      <c r="DPX155" s="389"/>
      <c r="DPY155" s="389"/>
      <c r="DPZ155" s="389"/>
      <c r="DQA155" s="389"/>
      <c r="DQB155" s="389"/>
      <c r="DQC155" s="389"/>
      <c r="DQD155" s="389"/>
      <c r="DQE155" s="389"/>
      <c r="DQF155" s="389"/>
      <c r="DQG155" s="389"/>
      <c r="DQH155" s="389"/>
      <c r="DQI155" s="389"/>
      <c r="DQJ155" s="389"/>
      <c r="DQK155" s="389"/>
      <c r="DQL155" s="389"/>
      <c r="DQM155" s="389"/>
      <c r="DQN155" s="389"/>
      <c r="DQO155" s="389"/>
      <c r="DQP155" s="389"/>
      <c r="DQQ155" s="389"/>
      <c r="DQR155" s="389"/>
      <c r="DQS155" s="389"/>
      <c r="DQT155" s="389"/>
      <c r="DQU155" s="389"/>
      <c r="DQV155" s="389"/>
      <c r="DQW155" s="389"/>
      <c r="DQX155" s="389"/>
      <c r="DQY155" s="389"/>
      <c r="DQZ155" s="389"/>
      <c r="DRA155" s="389"/>
      <c r="DRB155" s="389"/>
      <c r="DRC155" s="389"/>
      <c r="DRD155" s="389"/>
      <c r="DRE155" s="389"/>
      <c r="DRF155" s="389"/>
      <c r="DRG155" s="389"/>
      <c r="DRH155" s="389"/>
      <c r="DRI155" s="389"/>
      <c r="DRJ155" s="389"/>
      <c r="DRK155" s="389"/>
      <c r="DRL155" s="389"/>
      <c r="DRM155" s="389"/>
      <c r="DRN155" s="389"/>
      <c r="DRO155" s="389"/>
      <c r="DRP155" s="389"/>
      <c r="DRQ155" s="389"/>
      <c r="DRR155" s="389"/>
      <c r="DRS155" s="389"/>
      <c r="DRT155" s="389"/>
      <c r="DRU155" s="389"/>
      <c r="DRV155" s="389"/>
      <c r="DRW155" s="389"/>
      <c r="DRX155" s="389"/>
      <c r="DRY155" s="389"/>
      <c r="DRZ155" s="389"/>
      <c r="DSA155" s="389"/>
      <c r="DSB155" s="389"/>
      <c r="DSC155" s="389"/>
      <c r="DSD155" s="389"/>
      <c r="DSE155" s="389"/>
      <c r="DSF155" s="389"/>
      <c r="DSG155" s="389"/>
      <c r="DSH155" s="389"/>
      <c r="DSI155" s="389"/>
      <c r="DSJ155" s="389"/>
      <c r="DSK155" s="389"/>
      <c r="DSL155" s="389"/>
      <c r="DSM155" s="389"/>
      <c r="DSN155" s="389"/>
      <c r="DSO155" s="389"/>
      <c r="DSP155" s="389"/>
      <c r="DSQ155" s="389"/>
      <c r="DSR155" s="389"/>
      <c r="DSS155" s="389"/>
      <c r="DST155" s="389"/>
      <c r="DSU155" s="389"/>
      <c r="DSV155" s="389"/>
      <c r="DSW155" s="389"/>
      <c r="DSX155" s="389"/>
      <c r="DSY155" s="389"/>
      <c r="DSZ155" s="389"/>
      <c r="DTA155" s="389"/>
      <c r="DTB155" s="389"/>
      <c r="DTC155" s="389"/>
      <c r="DTD155" s="389"/>
      <c r="DTE155" s="389"/>
      <c r="DTF155" s="389"/>
      <c r="DTG155" s="389"/>
      <c r="DTH155" s="389"/>
      <c r="DTI155" s="389"/>
      <c r="DTJ155" s="389"/>
      <c r="DTK155" s="389"/>
      <c r="DTL155" s="389"/>
      <c r="DTM155" s="389"/>
      <c r="DTN155" s="389"/>
      <c r="DTO155" s="389"/>
      <c r="DTP155" s="389"/>
      <c r="DTQ155" s="389"/>
      <c r="DTR155" s="389"/>
      <c r="DTS155" s="389"/>
      <c r="DTT155" s="389"/>
      <c r="DTU155" s="389"/>
      <c r="DTV155" s="389"/>
      <c r="DTW155" s="389"/>
      <c r="DTX155" s="389"/>
      <c r="DTY155" s="389"/>
      <c r="DTZ155" s="389"/>
      <c r="DUA155" s="389"/>
      <c r="DUB155" s="389"/>
      <c r="DUC155" s="389"/>
      <c r="DUD155" s="389"/>
      <c r="DUE155" s="389"/>
      <c r="DUF155" s="389"/>
      <c r="DUG155" s="389"/>
      <c r="DUH155" s="389"/>
      <c r="DUI155" s="389"/>
      <c r="DUJ155" s="389"/>
      <c r="DUK155" s="389"/>
      <c r="DUL155" s="389"/>
      <c r="DUM155" s="389"/>
      <c r="DUN155" s="389"/>
      <c r="DUO155" s="389"/>
      <c r="DUP155" s="389"/>
      <c r="DUQ155" s="389"/>
      <c r="DUR155" s="389"/>
      <c r="DUS155" s="389"/>
      <c r="DUT155" s="389"/>
      <c r="DUU155" s="389"/>
      <c r="DUV155" s="389"/>
      <c r="DUW155" s="389"/>
      <c r="DUX155" s="389"/>
      <c r="DUY155" s="389"/>
      <c r="DUZ155" s="389"/>
      <c r="DVA155" s="389"/>
      <c r="DVB155" s="389"/>
      <c r="DVC155" s="389"/>
      <c r="DVD155" s="389"/>
      <c r="DVE155" s="389"/>
      <c r="DVF155" s="389"/>
      <c r="DVG155" s="389"/>
      <c r="DVH155" s="389"/>
      <c r="DVI155" s="389"/>
      <c r="DVJ155" s="389"/>
      <c r="DVK155" s="389"/>
      <c r="DVL155" s="389"/>
      <c r="DVM155" s="389"/>
      <c r="DVN155" s="389"/>
      <c r="DVO155" s="389"/>
      <c r="DVP155" s="389"/>
      <c r="DVQ155" s="389"/>
      <c r="DVR155" s="389"/>
      <c r="DVS155" s="389"/>
      <c r="DVT155" s="389"/>
      <c r="DVU155" s="389"/>
      <c r="DVV155" s="389"/>
      <c r="DVW155" s="389"/>
      <c r="DVX155" s="389"/>
      <c r="DVY155" s="389"/>
      <c r="DVZ155" s="389"/>
      <c r="DWA155" s="389"/>
      <c r="DWB155" s="389"/>
      <c r="DWC155" s="389"/>
      <c r="DWD155" s="389"/>
      <c r="DWE155" s="389"/>
      <c r="DWF155" s="389"/>
      <c r="DWG155" s="389"/>
      <c r="DWH155" s="389"/>
      <c r="DWI155" s="389"/>
      <c r="DWJ155" s="389"/>
      <c r="DWK155" s="389"/>
      <c r="DWL155" s="389"/>
      <c r="DWM155" s="389"/>
      <c r="DWN155" s="389"/>
      <c r="DWO155" s="389"/>
      <c r="DWP155" s="389"/>
      <c r="DWQ155" s="389"/>
      <c r="DWR155" s="389"/>
      <c r="DWS155" s="389"/>
      <c r="DWT155" s="389"/>
      <c r="DWU155" s="389"/>
      <c r="DWV155" s="389"/>
      <c r="DWW155" s="389"/>
      <c r="DWX155" s="389"/>
      <c r="DWY155" s="389"/>
      <c r="DWZ155" s="389"/>
      <c r="DXA155" s="389"/>
      <c r="DXB155" s="389"/>
      <c r="DXC155" s="389"/>
      <c r="DXD155" s="389"/>
      <c r="DXE155" s="389"/>
      <c r="DXF155" s="389"/>
      <c r="DXG155" s="389"/>
      <c r="DXH155" s="389"/>
      <c r="DXI155" s="389"/>
      <c r="DXJ155" s="389"/>
      <c r="DXK155" s="389"/>
      <c r="DXL155" s="389"/>
      <c r="DXM155" s="389"/>
      <c r="DXN155" s="389"/>
      <c r="DXO155" s="389"/>
      <c r="DXP155" s="389"/>
      <c r="DXQ155" s="389"/>
      <c r="DXR155" s="389"/>
      <c r="DXS155" s="389"/>
      <c r="DXT155" s="389"/>
      <c r="DXU155" s="389"/>
      <c r="DXV155" s="389"/>
      <c r="DXW155" s="389"/>
      <c r="DXX155" s="389"/>
      <c r="DXY155" s="389"/>
      <c r="DXZ155" s="389"/>
      <c r="DYA155" s="389"/>
      <c r="DYB155" s="389"/>
      <c r="DYC155" s="389"/>
      <c r="DYD155" s="389"/>
      <c r="DYE155" s="389"/>
      <c r="DYF155" s="389"/>
      <c r="DYG155" s="389"/>
      <c r="DYH155" s="389"/>
      <c r="DYI155" s="389"/>
      <c r="DYJ155" s="389"/>
      <c r="DYK155" s="389"/>
      <c r="DYL155" s="389"/>
      <c r="DYM155" s="389"/>
      <c r="DYN155" s="389"/>
      <c r="DYO155" s="389"/>
      <c r="DYP155" s="389"/>
      <c r="DYQ155" s="389"/>
      <c r="DYR155" s="389"/>
      <c r="DYS155" s="389"/>
      <c r="DYT155" s="389"/>
      <c r="DYU155" s="389"/>
      <c r="DYV155" s="389"/>
      <c r="DYW155" s="389"/>
      <c r="DYX155" s="389"/>
      <c r="DYY155" s="389"/>
      <c r="DYZ155" s="389"/>
      <c r="DZA155" s="389"/>
      <c r="DZB155" s="389"/>
      <c r="DZC155" s="389"/>
      <c r="DZD155" s="389"/>
      <c r="DZE155" s="389"/>
      <c r="DZF155" s="389"/>
      <c r="DZG155" s="389"/>
      <c r="DZH155" s="389"/>
      <c r="DZI155" s="389"/>
      <c r="DZJ155" s="389"/>
      <c r="DZK155" s="389"/>
      <c r="DZL155" s="389"/>
      <c r="DZM155" s="389"/>
      <c r="DZN155" s="389"/>
      <c r="DZO155" s="389"/>
      <c r="DZP155" s="389"/>
      <c r="DZQ155" s="389"/>
      <c r="DZR155" s="389"/>
      <c r="DZS155" s="389"/>
      <c r="DZT155" s="389"/>
      <c r="DZU155" s="389"/>
      <c r="DZV155" s="389"/>
      <c r="DZW155" s="389"/>
      <c r="DZX155" s="389"/>
      <c r="DZY155" s="389"/>
      <c r="DZZ155" s="389"/>
      <c r="EAA155" s="389"/>
      <c r="EAB155" s="389"/>
      <c r="EAC155" s="389"/>
      <c r="EAD155" s="389"/>
      <c r="EAE155" s="389"/>
      <c r="EAF155" s="389"/>
      <c r="EAG155" s="389"/>
      <c r="EAH155" s="389"/>
      <c r="EAI155" s="389"/>
      <c r="EAJ155" s="389"/>
      <c r="EAK155" s="389"/>
      <c r="EAL155" s="389"/>
      <c r="EAM155" s="389"/>
      <c r="EAN155" s="389"/>
      <c r="EAO155" s="389"/>
      <c r="EAP155" s="389"/>
      <c r="EAQ155" s="389"/>
      <c r="EAR155" s="389"/>
      <c r="EAS155" s="389"/>
      <c r="EAT155" s="389"/>
      <c r="EAU155" s="389"/>
      <c r="EAV155" s="389"/>
      <c r="EAW155" s="389"/>
      <c r="EAX155" s="389"/>
      <c r="EAY155" s="389"/>
      <c r="EAZ155" s="389"/>
      <c r="EBA155" s="389"/>
      <c r="EBB155" s="389"/>
      <c r="EBC155" s="389"/>
      <c r="EBD155" s="389"/>
      <c r="EBE155" s="389"/>
      <c r="EBF155" s="389"/>
      <c r="EBG155" s="389"/>
      <c r="EBH155" s="389"/>
      <c r="EBI155" s="389"/>
      <c r="EBJ155" s="389"/>
      <c r="EBK155" s="389"/>
      <c r="EBL155" s="389"/>
      <c r="EBM155" s="389"/>
      <c r="EBN155" s="389"/>
      <c r="EBO155" s="389"/>
      <c r="EBP155" s="389"/>
      <c r="EBQ155" s="389"/>
      <c r="EBR155" s="389"/>
      <c r="EBS155" s="389"/>
      <c r="EBT155" s="389"/>
      <c r="EBU155" s="389"/>
      <c r="EBV155" s="389"/>
      <c r="EBW155" s="389"/>
      <c r="EBX155" s="389"/>
      <c r="EBY155" s="389"/>
      <c r="EBZ155" s="389"/>
      <c r="ECA155" s="389"/>
      <c r="ECB155" s="389"/>
      <c r="ECC155" s="389"/>
      <c r="ECD155" s="389"/>
      <c r="ECE155" s="389"/>
      <c r="ECF155" s="389"/>
      <c r="ECG155" s="389"/>
      <c r="ECH155" s="389"/>
      <c r="ECI155" s="389"/>
      <c r="ECJ155" s="389"/>
      <c r="ECK155" s="389"/>
      <c r="ECL155" s="389"/>
      <c r="ECM155" s="389"/>
      <c r="ECN155" s="389"/>
      <c r="ECO155" s="389"/>
      <c r="ECP155" s="389"/>
      <c r="ECQ155" s="389"/>
      <c r="ECR155" s="389"/>
      <c r="ECS155" s="389"/>
      <c r="ECT155" s="389"/>
      <c r="ECU155" s="389"/>
      <c r="ECV155" s="389"/>
      <c r="ECW155" s="389"/>
      <c r="ECX155" s="389"/>
      <c r="ECY155" s="389"/>
      <c r="ECZ155" s="389"/>
      <c r="EDA155" s="389"/>
      <c r="EDB155" s="389"/>
      <c r="EDC155" s="389"/>
      <c r="EDD155" s="389"/>
      <c r="EDE155" s="389"/>
      <c r="EDF155" s="389"/>
      <c r="EDG155" s="389"/>
      <c r="EDH155" s="389"/>
      <c r="EDI155" s="389"/>
      <c r="EDJ155" s="389"/>
      <c r="EDK155" s="389"/>
      <c r="EDL155" s="389"/>
      <c r="EDM155" s="389"/>
      <c r="EDN155" s="389"/>
      <c r="EDO155" s="389"/>
      <c r="EDP155" s="389"/>
      <c r="EDQ155" s="389"/>
      <c r="EDR155" s="389"/>
      <c r="EDS155" s="389"/>
      <c r="EDT155" s="389"/>
      <c r="EDU155" s="389"/>
      <c r="EDV155" s="389"/>
      <c r="EDW155" s="389"/>
      <c r="EDX155" s="389"/>
      <c r="EDY155" s="389"/>
      <c r="EDZ155" s="389"/>
      <c r="EEA155" s="389"/>
      <c r="EEB155" s="389"/>
      <c r="EEC155" s="389"/>
      <c r="EED155" s="389"/>
      <c r="EEE155" s="389"/>
      <c r="EEF155" s="389"/>
      <c r="EEG155" s="389"/>
      <c r="EEH155" s="389"/>
      <c r="EEI155" s="389"/>
      <c r="EEJ155" s="389"/>
      <c r="EEK155" s="389"/>
      <c r="EEL155" s="389"/>
      <c r="EEM155" s="389"/>
      <c r="EEN155" s="389"/>
      <c r="EEO155" s="389"/>
      <c r="EEP155" s="389"/>
      <c r="EEQ155" s="389"/>
      <c r="EER155" s="389"/>
      <c r="EES155" s="389"/>
      <c r="EET155" s="389"/>
      <c r="EEU155" s="389"/>
      <c r="EEV155" s="389"/>
      <c r="EEW155" s="389"/>
      <c r="EEX155" s="389"/>
      <c r="EEY155" s="389"/>
      <c r="EEZ155" s="389"/>
      <c r="EFA155" s="389"/>
      <c r="EFB155" s="389"/>
      <c r="EFC155" s="389"/>
      <c r="EFD155" s="389"/>
      <c r="EFE155" s="389"/>
      <c r="EFF155" s="389"/>
      <c r="EFG155" s="389"/>
      <c r="EFH155" s="389"/>
      <c r="EFI155" s="389"/>
      <c r="EFJ155" s="389"/>
      <c r="EFK155" s="389"/>
      <c r="EFL155" s="389"/>
      <c r="EFM155" s="389"/>
      <c r="EFN155" s="389"/>
      <c r="EFO155" s="389"/>
      <c r="EFP155" s="389"/>
      <c r="EFQ155" s="389"/>
      <c r="EFR155" s="389"/>
      <c r="EFS155" s="389"/>
      <c r="EFT155" s="389"/>
      <c r="EFU155" s="389"/>
      <c r="EFV155" s="389"/>
      <c r="EFW155" s="389"/>
      <c r="EFX155" s="389"/>
      <c r="EFY155" s="389"/>
      <c r="EFZ155" s="389"/>
      <c r="EGA155" s="389"/>
      <c r="EGB155" s="389"/>
      <c r="EGC155" s="389"/>
      <c r="EGD155" s="389"/>
      <c r="EGE155" s="389"/>
      <c r="EGF155" s="389"/>
      <c r="EGG155" s="389"/>
      <c r="EGH155" s="389"/>
      <c r="EGI155" s="389"/>
      <c r="EGJ155" s="389"/>
      <c r="EGK155" s="389"/>
      <c r="EGL155" s="389"/>
      <c r="EGM155" s="389"/>
      <c r="EGN155" s="389"/>
      <c r="EGO155" s="389"/>
      <c r="EGP155" s="389"/>
      <c r="EGQ155" s="389"/>
      <c r="EGR155" s="389"/>
      <c r="EGS155" s="389"/>
      <c r="EGT155" s="389"/>
      <c r="EGU155" s="389"/>
      <c r="EGV155" s="389"/>
      <c r="EGW155" s="389"/>
      <c r="EGX155" s="389"/>
      <c r="EGY155" s="389"/>
      <c r="EGZ155" s="389"/>
      <c r="EHA155" s="389"/>
      <c r="EHB155" s="389"/>
      <c r="EHC155" s="389"/>
      <c r="EHD155" s="389"/>
      <c r="EHE155" s="389"/>
      <c r="EHF155" s="389"/>
      <c r="EHG155" s="389"/>
      <c r="EHH155" s="389"/>
      <c r="EHI155" s="389"/>
      <c r="EHJ155" s="389"/>
      <c r="EHK155" s="389"/>
      <c r="EHL155" s="389"/>
      <c r="EHM155" s="389"/>
      <c r="EHN155" s="389"/>
      <c r="EHO155" s="389"/>
      <c r="EHP155" s="389"/>
      <c r="EHQ155" s="389"/>
      <c r="EHR155" s="389"/>
      <c r="EHS155" s="389"/>
      <c r="EHT155" s="389"/>
      <c r="EHU155" s="389"/>
      <c r="EHV155" s="389"/>
      <c r="EHW155" s="389"/>
      <c r="EHX155" s="389"/>
      <c r="EHY155" s="389"/>
      <c r="EHZ155" s="389"/>
      <c r="EIA155" s="389"/>
      <c r="EIB155" s="389"/>
      <c r="EIC155" s="389"/>
      <c r="EID155" s="389"/>
      <c r="EIE155" s="389"/>
      <c r="EIF155" s="389"/>
      <c r="EIG155" s="389"/>
      <c r="EIH155" s="389"/>
      <c r="EII155" s="389"/>
      <c r="EIJ155" s="389"/>
      <c r="EIK155" s="389"/>
      <c r="EIL155" s="389"/>
      <c r="EIM155" s="389"/>
      <c r="EIN155" s="389"/>
      <c r="EIO155" s="389"/>
      <c r="EIP155" s="389"/>
      <c r="EIQ155" s="389"/>
      <c r="EIR155" s="389"/>
      <c r="EIS155" s="389"/>
      <c r="EIT155" s="389"/>
      <c r="EIU155" s="389"/>
      <c r="EIV155" s="389"/>
      <c r="EIW155" s="389"/>
      <c r="EIX155" s="389"/>
      <c r="EIY155" s="389"/>
      <c r="EIZ155" s="389"/>
      <c r="EJA155" s="389"/>
      <c r="EJB155" s="389"/>
      <c r="EJC155" s="389"/>
      <c r="EJD155" s="389"/>
      <c r="EJE155" s="389"/>
      <c r="EJF155" s="389"/>
      <c r="EJG155" s="389"/>
      <c r="EJH155" s="389"/>
      <c r="EJI155" s="389"/>
      <c r="EJJ155" s="389"/>
      <c r="EJK155" s="389"/>
      <c r="EJL155" s="389"/>
      <c r="EJM155" s="389"/>
      <c r="EJN155" s="389"/>
      <c r="EJO155" s="389"/>
      <c r="EJP155" s="389"/>
      <c r="EJQ155" s="389"/>
      <c r="EJR155" s="389"/>
      <c r="EJS155" s="389"/>
      <c r="EJT155" s="389"/>
      <c r="EJU155" s="389"/>
      <c r="EJV155" s="389"/>
      <c r="EJW155" s="389"/>
      <c r="EJX155" s="389"/>
      <c r="EJY155" s="389"/>
      <c r="EJZ155" s="389"/>
      <c r="EKA155" s="389"/>
      <c r="EKB155" s="389"/>
      <c r="EKC155" s="389"/>
      <c r="EKD155" s="389"/>
      <c r="EKE155" s="389"/>
      <c r="EKF155" s="389"/>
      <c r="EKG155" s="389"/>
      <c r="EKH155" s="389"/>
      <c r="EKI155" s="389"/>
      <c r="EKJ155" s="389"/>
      <c r="EKK155" s="389"/>
      <c r="EKL155" s="389"/>
      <c r="EKM155" s="389"/>
      <c r="EKN155" s="389"/>
      <c r="EKO155" s="389"/>
      <c r="EKP155" s="389"/>
      <c r="EKQ155" s="389"/>
      <c r="EKR155" s="389"/>
      <c r="EKS155" s="389"/>
      <c r="EKT155" s="389"/>
      <c r="EKU155" s="389"/>
      <c r="EKV155" s="389"/>
      <c r="EKW155" s="389"/>
      <c r="EKX155" s="389"/>
      <c r="EKY155" s="389"/>
      <c r="EKZ155" s="389"/>
      <c r="ELA155" s="389"/>
      <c r="ELB155" s="389"/>
      <c r="ELC155" s="389"/>
      <c r="ELD155" s="389"/>
      <c r="ELE155" s="389"/>
      <c r="ELF155" s="389"/>
      <c r="ELG155" s="389"/>
      <c r="ELH155" s="389"/>
      <c r="ELI155" s="389"/>
      <c r="ELJ155" s="389"/>
      <c r="ELK155" s="389"/>
      <c r="ELL155" s="389"/>
      <c r="ELM155" s="389"/>
      <c r="ELN155" s="389"/>
      <c r="ELO155" s="389"/>
      <c r="ELP155" s="389"/>
      <c r="ELQ155" s="389"/>
      <c r="ELR155" s="389"/>
      <c r="ELS155" s="389"/>
      <c r="ELT155" s="389"/>
      <c r="ELU155" s="389"/>
      <c r="ELV155" s="389"/>
      <c r="ELW155" s="389"/>
      <c r="ELX155" s="389"/>
      <c r="ELY155" s="389"/>
      <c r="ELZ155" s="389"/>
      <c r="EMA155" s="389"/>
      <c r="EMB155" s="389"/>
      <c r="EMC155" s="389"/>
      <c r="EMD155" s="389"/>
      <c r="EME155" s="389"/>
      <c r="EMF155" s="389"/>
      <c r="EMG155" s="389"/>
      <c r="EMH155" s="389"/>
      <c r="EMI155" s="389"/>
      <c r="EMJ155" s="389"/>
      <c r="EMK155" s="389"/>
      <c r="EML155" s="389"/>
      <c r="EMM155" s="389"/>
      <c r="EMN155" s="389"/>
      <c r="EMO155" s="389"/>
      <c r="EMP155" s="389"/>
      <c r="EMQ155" s="389"/>
      <c r="EMR155" s="389"/>
      <c r="EMS155" s="389"/>
      <c r="EMT155" s="389"/>
      <c r="EMU155" s="389"/>
      <c r="EMV155" s="389"/>
      <c r="EMW155" s="389"/>
      <c r="EMX155" s="389"/>
      <c r="EMY155" s="389"/>
      <c r="EMZ155" s="389"/>
      <c r="ENA155" s="389"/>
      <c r="ENB155" s="389"/>
      <c r="ENC155" s="389"/>
      <c r="END155" s="389"/>
      <c r="ENE155" s="389"/>
      <c r="ENF155" s="389"/>
      <c r="ENG155" s="389"/>
      <c r="ENH155" s="389"/>
      <c r="ENI155" s="389"/>
      <c r="ENJ155" s="389"/>
      <c r="ENK155" s="389"/>
      <c r="ENL155" s="389"/>
      <c r="ENM155" s="389"/>
      <c r="ENN155" s="389"/>
      <c r="ENO155" s="389"/>
      <c r="ENP155" s="389"/>
      <c r="ENQ155" s="389"/>
      <c r="ENR155" s="389"/>
      <c r="ENS155" s="389"/>
      <c r="ENT155" s="389"/>
      <c r="ENU155" s="389"/>
      <c r="ENV155" s="389"/>
      <c r="ENW155" s="389"/>
      <c r="ENX155" s="389"/>
      <c r="ENY155" s="389"/>
      <c r="ENZ155" s="389"/>
      <c r="EOA155" s="389"/>
      <c r="EOB155" s="389"/>
      <c r="EOC155" s="389"/>
      <c r="EOD155" s="389"/>
      <c r="EOE155" s="389"/>
      <c r="EOF155" s="389"/>
      <c r="EOG155" s="389"/>
      <c r="EOH155" s="389"/>
      <c r="EOI155" s="389"/>
      <c r="EOJ155" s="389"/>
      <c r="EOK155" s="389"/>
      <c r="EOL155" s="389"/>
      <c r="EOM155" s="389"/>
      <c r="EON155" s="389"/>
      <c r="EOO155" s="389"/>
      <c r="EOP155" s="389"/>
      <c r="EOQ155" s="389"/>
      <c r="EOR155" s="389"/>
      <c r="EOS155" s="389"/>
      <c r="EOT155" s="389"/>
      <c r="EOU155" s="389"/>
      <c r="EOV155" s="389"/>
      <c r="EOW155" s="389"/>
      <c r="EOX155" s="389"/>
      <c r="EOY155" s="389"/>
      <c r="EOZ155" s="389"/>
      <c r="EPA155" s="389"/>
      <c r="EPB155" s="389"/>
      <c r="EPC155" s="389"/>
      <c r="EPD155" s="389"/>
      <c r="EPE155" s="389"/>
      <c r="EPF155" s="389"/>
      <c r="EPG155" s="389"/>
      <c r="EPH155" s="389"/>
      <c r="EPI155" s="389"/>
      <c r="EPJ155" s="389"/>
      <c r="EPK155" s="389"/>
      <c r="EPL155" s="389"/>
      <c r="EPM155" s="389"/>
      <c r="EPN155" s="389"/>
      <c r="EPO155" s="389"/>
      <c r="EPP155" s="389"/>
      <c r="EPQ155" s="389"/>
      <c r="EPR155" s="389"/>
      <c r="EPS155" s="389"/>
      <c r="EPT155" s="389"/>
      <c r="EPU155" s="389"/>
      <c r="EPV155" s="389"/>
      <c r="EPW155" s="389"/>
      <c r="EPX155" s="389"/>
      <c r="EPY155" s="389"/>
      <c r="EPZ155" s="389"/>
      <c r="EQA155" s="389"/>
      <c r="EQB155" s="389"/>
      <c r="EQC155" s="389"/>
      <c r="EQD155" s="389"/>
      <c r="EQE155" s="389"/>
      <c r="EQF155" s="389"/>
      <c r="EQG155" s="389"/>
      <c r="EQH155" s="389"/>
      <c r="EQI155" s="389"/>
      <c r="EQJ155" s="389"/>
      <c r="EQK155" s="389"/>
      <c r="EQL155" s="389"/>
      <c r="EQM155" s="389"/>
      <c r="EQN155" s="389"/>
      <c r="EQO155" s="389"/>
      <c r="EQP155" s="389"/>
      <c r="EQQ155" s="389"/>
      <c r="EQR155" s="389"/>
      <c r="EQS155" s="389"/>
      <c r="EQT155" s="389"/>
      <c r="EQU155" s="389"/>
      <c r="EQV155" s="389"/>
      <c r="EQW155" s="389"/>
      <c r="EQX155" s="389"/>
      <c r="EQY155" s="389"/>
      <c r="EQZ155" s="389"/>
      <c r="ERA155" s="389"/>
      <c r="ERB155" s="389"/>
      <c r="ERC155" s="389"/>
      <c r="ERD155" s="389"/>
      <c r="ERE155" s="389"/>
      <c r="ERF155" s="389"/>
      <c r="ERG155" s="389"/>
      <c r="ERH155" s="389"/>
      <c r="ERI155" s="389"/>
      <c r="ERJ155" s="389"/>
      <c r="ERK155" s="389"/>
      <c r="ERL155" s="389"/>
      <c r="ERM155" s="389"/>
      <c r="ERN155" s="389"/>
      <c r="ERO155" s="389"/>
      <c r="ERP155" s="389"/>
      <c r="ERQ155" s="389"/>
      <c r="ERR155" s="389"/>
      <c r="ERS155" s="389"/>
      <c r="ERT155" s="389"/>
      <c r="ERU155" s="389"/>
      <c r="ERV155" s="389"/>
      <c r="ERW155" s="389"/>
      <c r="ERX155" s="389"/>
      <c r="ERY155" s="389"/>
      <c r="ERZ155" s="389"/>
      <c r="ESA155" s="389"/>
      <c r="ESB155" s="389"/>
      <c r="ESC155" s="389"/>
      <c r="ESD155" s="389"/>
      <c r="ESE155" s="389"/>
      <c r="ESF155" s="389"/>
      <c r="ESG155" s="389"/>
      <c r="ESH155" s="389"/>
      <c r="ESI155" s="389"/>
      <c r="ESJ155" s="389"/>
      <c r="ESK155" s="389"/>
      <c r="ESL155" s="389"/>
      <c r="ESM155" s="389"/>
      <c r="ESN155" s="389"/>
      <c r="ESO155" s="389"/>
      <c r="ESP155" s="389"/>
      <c r="ESQ155" s="389"/>
      <c r="ESR155" s="389"/>
      <c r="ESS155" s="389"/>
      <c r="EST155" s="389"/>
      <c r="ESU155" s="389"/>
      <c r="ESV155" s="389"/>
      <c r="ESW155" s="389"/>
      <c r="ESX155" s="389"/>
      <c r="ESY155" s="389"/>
      <c r="ESZ155" s="389"/>
      <c r="ETA155" s="389"/>
      <c r="ETB155" s="389"/>
      <c r="ETC155" s="389"/>
      <c r="ETD155" s="389"/>
      <c r="ETE155" s="389"/>
      <c r="ETF155" s="389"/>
      <c r="ETG155" s="389"/>
      <c r="ETH155" s="389"/>
      <c r="ETI155" s="389"/>
      <c r="ETJ155" s="389"/>
      <c r="ETK155" s="389"/>
      <c r="ETL155" s="389"/>
      <c r="ETM155" s="389"/>
      <c r="ETN155" s="389"/>
      <c r="ETO155" s="389"/>
      <c r="ETP155" s="389"/>
      <c r="ETQ155" s="389"/>
      <c r="ETR155" s="389"/>
      <c r="ETS155" s="389"/>
      <c r="ETT155" s="389"/>
      <c r="ETU155" s="389"/>
      <c r="ETV155" s="389"/>
      <c r="ETW155" s="389"/>
      <c r="ETX155" s="389"/>
      <c r="ETY155" s="389"/>
      <c r="ETZ155" s="389"/>
      <c r="EUA155" s="389"/>
      <c r="EUB155" s="389"/>
      <c r="EUC155" s="389"/>
      <c r="EUD155" s="389"/>
      <c r="EUE155" s="389"/>
      <c r="EUF155" s="389"/>
      <c r="EUG155" s="389"/>
      <c r="EUH155" s="389"/>
      <c r="EUI155" s="389"/>
      <c r="EUJ155" s="389"/>
      <c r="EUK155" s="389"/>
      <c r="EUL155" s="389"/>
      <c r="EUM155" s="389"/>
      <c r="EUN155" s="389"/>
      <c r="EUO155" s="389"/>
      <c r="EUP155" s="389"/>
      <c r="EUQ155" s="389"/>
      <c r="EUR155" s="389"/>
      <c r="EUS155" s="389"/>
      <c r="EUT155" s="389"/>
      <c r="EUU155" s="389"/>
      <c r="EUV155" s="389"/>
      <c r="EUW155" s="389"/>
      <c r="EUX155" s="389"/>
      <c r="EUY155" s="389"/>
      <c r="EUZ155" s="389"/>
      <c r="EVA155" s="389"/>
      <c r="EVB155" s="389"/>
      <c r="EVC155" s="389"/>
      <c r="EVD155" s="389"/>
      <c r="EVE155" s="389"/>
      <c r="EVF155" s="389"/>
      <c r="EVG155" s="389"/>
      <c r="EVH155" s="389"/>
      <c r="EVI155" s="389"/>
      <c r="EVJ155" s="389"/>
      <c r="EVK155" s="389"/>
      <c r="EVL155" s="389"/>
      <c r="EVM155" s="389"/>
      <c r="EVN155" s="389"/>
      <c r="EVO155" s="389"/>
      <c r="EVP155" s="389"/>
      <c r="EVQ155" s="389"/>
      <c r="EVR155" s="389"/>
      <c r="EVS155" s="389"/>
      <c r="EVT155" s="389"/>
      <c r="EVU155" s="389"/>
      <c r="EVV155" s="389"/>
      <c r="EVW155" s="389"/>
      <c r="EVX155" s="389"/>
      <c r="EVY155" s="389"/>
      <c r="EVZ155" s="389"/>
      <c r="EWA155" s="389"/>
      <c r="EWB155" s="389"/>
      <c r="EWC155" s="389"/>
      <c r="EWD155" s="389"/>
      <c r="EWE155" s="389"/>
      <c r="EWF155" s="389"/>
      <c r="EWG155" s="389"/>
      <c r="EWH155" s="389"/>
      <c r="EWI155" s="389"/>
      <c r="EWJ155" s="389"/>
      <c r="EWK155" s="389"/>
      <c r="EWL155" s="389"/>
      <c r="EWM155" s="389"/>
      <c r="EWN155" s="389"/>
      <c r="EWO155" s="389"/>
      <c r="EWP155" s="389"/>
      <c r="EWQ155" s="389"/>
      <c r="EWR155" s="389"/>
      <c r="EWS155" s="389"/>
      <c r="EWT155" s="389"/>
      <c r="EWU155" s="389"/>
      <c r="EWV155" s="389"/>
      <c r="EWW155" s="389"/>
      <c r="EWX155" s="389"/>
      <c r="EWY155" s="389"/>
      <c r="EWZ155" s="389"/>
      <c r="EXA155" s="389"/>
      <c r="EXB155" s="389"/>
      <c r="EXC155" s="389"/>
      <c r="EXD155" s="389"/>
      <c r="EXE155" s="389"/>
      <c r="EXF155" s="389"/>
      <c r="EXG155" s="389"/>
      <c r="EXH155" s="389"/>
      <c r="EXI155" s="389"/>
      <c r="EXJ155" s="389"/>
      <c r="EXK155" s="389"/>
      <c r="EXL155" s="389"/>
      <c r="EXM155" s="389"/>
      <c r="EXN155" s="389"/>
      <c r="EXO155" s="389"/>
      <c r="EXP155" s="389"/>
      <c r="EXQ155" s="389"/>
      <c r="EXR155" s="389"/>
      <c r="EXS155" s="389"/>
      <c r="EXT155" s="389"/>
      <c r="EXU155" s="389"/>
      <c r="EXV155" s="389"/>
      <c r="EXW155" s="389"/>
      <c r="EXX155" s="389"/>
      <c r="EXY155" s="389"/>
      <c r="EXZ155" s="389"/>
      <c r="EYA155" s="389"/>
      <c r="EYB155" s="389"/>
      <c r="EYC155" s="389"/>
      <c r="EYD155" s="389"/>
      <c r="EYE155" s="389"/>
      <c r="EYF155" s="389"/>
      <c r="EYG155" s="389"/>
      <c r="EYH155" s="389"/>
      <c r="EYI155" s="389"/>
      <c r="EYJ155" s="389"/>
      <c r="EYK155" s="389"/>
      <c r="EYL155" s="389"/>
      <c r="EYM155" s="389"/>
      <c r="EYN155" s="389"/>
      <c r="EYO155" s="389"/>
      <c r="EYP155" s="389"/>
      <c r="EYQ155" s="389"/>
      <c r="EYR155" s="389"/>
      <c r="EYS155" s="389"/>
      <c r="EYT155" s="389"/>
      <c r="EYU155" s="389"/>
      <c r="EYV155" s="389"/>
      <c r="EYW155" s="389"/>
      <c r="EYX155" s="389"/>
      <c r="EYY155" s="389"/>
      <c r="EYZ155" s="389"/>
      <c r="EZA155" s="389"/>
      <c r="EZB155" s="389"/>
      <c r="EZC155" s="389"/>
      <c r="EZD155" s="389"/>
      <c r="EZE155" s="389"/>
      <c r="EZF155" s="389"/>
      <c r="EZG155" s="389"/>
      <c r="EZH155" s="389"/>
      <c r="EZI155" s="389"/>
      <c r="EZJ155" s="389"/>
      <c r="EZK155" s="389"/>
      <c r="EZL155" s="389"/>
      <c r="EZM155" s="389"/>
      <c r="EZN155" s="389"/>
      <c r="EZO155" s="389"/>
      <c r="EZP155" s="389"/>
      <c r="EZQ155" s="389"/>
      <c r="EZR155" s="389"/>
      <c r="EZS155" s="389"/>
      <c r="EZT155" s="389"/>
      <c r="EZU155" s="389"/>
      <c r="EZV155" s="389"/>
      <c r="EZW155" s="389"/>
      <c r="EZX155" s="389"/>
      <c r="EZY155" s="389"/>
      <c r="EZZ155" s="389"/>
      <c r="FAA155" s="389"/>
      <c r="FAB155" s="389"/>
      <c r="FAC155" s="389"/>
      <c r="FAD155" s="389"/>
      <c r="FAE155" s="389"/>
      <c r="FAF155" s="389"/>
      <c r="FAG155" s="389"/>
      <c r="FAH155" s="389"/>
      <c r="FAI155" s="389"/>
      <c r="FAJ155" s="389"/>
      <c r="FAK155" s="389"/>
      <c r="FAL155" s="389"/>
      <c r="FAM155" s="389"/>
      <c r="FAN155" s="389"/>
      <c r="FAO155" s="389"/>
      <c r="FAP155" s="389"/>
      <c r="FAQ155" s="389"/>
      <c r="FAR155" s="389"/>
      <c r="FAS155" s="389"/>
      <c r="FAT155" s="389"/>
      <c r="FAU155" s="389"/>
      <c r="FAV155" s="389"/>
      <c r="FAW155" s="389"/>
      <c r="FAX155" s="389"/>
      <c r="FAY155" s="389"/>
      <c r="FAZ155" s="389"/>
      <c r="FBA155" s="389"/>
      <c r="FBB155" s="389"/>
      <c r="FBC155" s="389"/>
      <c r="FBD155" s="389"/>
      <c r="FBE155" s="389"/>
      <c r="FBF155" s="389"/>
      <c r="FBG155" s="389"/>
      <c r="FBH155" s="389"/>
      <c r="FBI155" s="389"/>
      <c r="FBJ155" s="389"/>
      <c r="FBK155" s="389"/>
      <c r="FBL155" s="389"/>
      <c r="FBM155" s="389"/>
      <c r="FBN155" s="389"/>
      <c r="FBO155" s="389"/>
      <c r="FBP155" s="389"/>
      <c r="FBQ155" s="389"/>
      <c r="FBR155" s="389"/>
      <c r="FBS155" s="389"/>
      <c r="FBT155" s="389"/>
      <c r="FBU155" s="389"/>
      <c r="FBV155" s="389"/>
      <c r="FBW155" s="389"/>
      <c r="FBX155" s="389"/>
      <c r="FBY155" s="389"/>
      <c r="FBZ155" s="389"/>
      <c r="FCA155" s="389"/>
      <c r="FCB155" s="389"/>
      <c r="FCC155" s="389"/>
      <c r="FCD155" s="389"/>
      <c r="FCE155" s="389"/>
      <c r="FCF155" s="389"/>
      <c r="FCG155" s="389"/>
      <c r="FCH155" s="389"/>
      <c r="FCI155" s="389"/>
      <c r="FCJ155" s="389"/>
      <c r="FCK155" s="389"/>
      <c r="FCL155" s="389"/>
      <c r="FCM155" s="389"/>
      <c r="FCN155" s="389"/>
      <c r="FCO155" s="389"/>
      <c r="FCP155" s="389"/>
      <c r="FCQ155" s="389"/>
      <c r="FCR155" s="389"/>
      <c r="FCS155" s="389"/>
      <c r="FCT155" s="389"/>
      <c r="FCU155" s="389"/>
      <c r="FCV155" s="389"/>
      <c r="FCW155" s="389"/>
      <c r="FCX155" s="389"/>
      <c r="FCY155" s="389"/>
      <c r="FCZ155" s="389"/>
      <c r="FDA155" s="389"/>
      <c r="FDB155" s="389"/>
      <c r="FDC155" s="389"/>
      <c r="FDD155" s="389"/>
      <c r="FDE155" s="389"/>
      <c r="FDF155" s="389"/>
      <c r="FDG155" s="389"/>
      <c r="FDH155" s="389"/>
      <c r="FDI155" s="389"/>
      <c r="FDJ155" s="389"/>
      <c r="FDK155" s="389"/>
      <c r="FDL155" s="389"/>
      <c r="FDM155" s="389"/>
      <c r="FDN155" s="389"/>
      <c r="FDO155" s="389"/>
      <c r="FDP155" s="389"/>
      <c r="FDQ155" s="389"/>
      <c r="FDR155" s="389"/>
      <c r="FDS155" s="389"/>
      <c r="FDT155" s="389"/>
      <c r="FDU155" s="389"/>
      <c r="FDV155" s="389"/>
      <c r="FDW155" s="389"/>
      <c r="FDX155" s="389"/>
      <c r="FDY155" s="389"/>
      <c r="FDZ155" s="389"/>
      <c r="FEA155" s="389"/>
      <c r="FEB155" s="389"/>
      <c r="FEC155" s="389"/>
      <c r="FED155" s="389"/>
      <c r="FEE155" s="389"/>
      <c r="FEF155" s="389"/>
      <c r="FEG155" s="389"/>
      <c r="FEH155" s="389"/>
      <c r="FEI155" s="389"/>
      <c r="FEJ155" s="389"/>
      <c r="FEK155" s="389"/>
      <c r="FEL155" s="389"/>
      <c r="FEM155" s="389"/>
      <c r="FEN155" s="389"/>
      <c r="FEO155" s="389"/>
      <c r="FEP155" s="389"/>
      <c r="FEQ155" s="389"/>
      <c r="FER155" s="389"/>
      <c r="FES155" s="389"/>
      <c r="FET155" s="389"/>
      <c r="FEU155" s="389"/>
      <c r="FEV155" s="389"/>
      <c r="FEW155" s="389"/>
      <c r="FEX155" s="389"/>
      <c r="FEY155" s="389"/>
      <c r="FEZ155" s="389"/>
      <c r="FFA155" s="389"/>
      <c r="FFB155" s="389"/>
      <c r="FFC155" s="389"/>
      <c r="FFD155" s="389"/>
      <c r="FFE155" s="389"/>
      <c r="FFF155" s="389"/>
      <c r="FFG155" s="389"/>
      <c r="FFH155" s="389"/>
      <c r="FFI155" s="389"/>
      <c r="FFJ155" s="389"/>
      <c r="FFK155" s="389"/>
      <c r="FFL155" s="389"/>
      <c r="FFM155" s="389"/>
      <c r="FFN155" s="389"/>
      <c r="FFO155" s="389"/>
      <c r="FFP155" s="389"/>
      <c r="FFQ155" s="389"/>
      <c r="FFR155" s="389"/>
      <c r="FFS155" s="389"/>
      <c r="FFT155" s="389"/>
      <c r="FFU155" s="389"/>
      <c r="FFV155" s="389"/>
      <c r="FFW155" s="389"/>
      <c r="FFX155" s="389"/>
      <c r="FFY155" s="389"/>
      <c r="FFZ155" s="389"/>
      <c r="FGA155" s="389"/>
      <c r="FGB155" s="389"/>
      <c r="FGC155" s="389"/>
      <c r="FGD155" s="389"/>
      <c r="FGE155" s="389"/>
      <c r="FGF155" s="389"/>
      <c r="FGG155" s="389"/>
      <c r="FGH155" s="389"/>
      <c r="FGI155" s="389"/>
      <c r="FGJ155" s="389"/>
      <c r="FGK155" s="389"/>
      <c r="FGL155" s="389"/>
      <c r="FGM155" s="389"/>
      <c r="FGN155" s="389"/>
      <c r="FGO155" s="389"/>
      <c r="FGP155" s="389"/>
      <c r="FGQ155" s="389"/>
      <c r="FGR155" s="389"/>
      <c r="FGS155" s="389"/>
      <c r="FGT155" s="389"/>
      <c r="FGU155" s="389"/>
      <c r="FGV155" s="389"/>
      <c r="FGW155" s="389"/>
      <c r="FGX155" s="389"/>
      <c r="FGY155" s="389"/>
      <c r="FGZ155" s="389"/>
      <c r="FHA155" s="389"/>
      <c r="FHB155" s="389"/>
      <c r="FHC155" s="389"/>
      <c r="FHD155" s="389"/>
      <c r="FHE155" s="389"/>
      <c r="FHF155" s="389"/>
      <c r="FHG155" s="389"/>
      <c r="FHH155" s="389"/>
      <c r="FHI155" s="389"/>
      <c r="FHJ155" s="389"/>
      <c r="FHK155" s="389"/>
      <c r="FHL155" s="389"/>
      <c r="FHM155" s="389"/>
      <c r="FHN155" s="389"/>
      <c r="FHO155" s="389"/>
      <c r="FHP155" s="389"/>
      <c r="FHQ155" s="389"/>
      <c r="FHR155" s="389"/>
      <c r="FHS155" s="389"/>
      <c r="FHT155" s="389"/>
      <c r="FHU155" s="389"/>
      <c r="FHV155" s="389"/>
      <c r="FHW155" s="389"/>
      <c r="FHX155" s="389"/>
      <c r="FHY155" s="389"/>
      <c r="FHZ155" s="389"/>
      <c r="FIA155" s="389"/>
      <c r="FIB155" s="389"/>
      <c r="FIC155" s="389"/>
      <c r="FID155" s="389"/>
      <c r="FIE155" s="389"/>
      <c r="FIF155" s="389"/>
      <c r="FIG155" s="389"/>
      <c r="FIH155" s="389"/>
      <c r="FII155" s="389"/>
      <c r="FIJ155" s="389"/>
      <c r="FIK155" s="389"/>
      <c r="FIL155" s="389"/>
      <c r="FIM155" s="389"/>
      <c r="FIN155" s="389"/>
      <c r="FIO155" s="389"/>
      <c r="FIP155" s="389"/>
      <c r="FIQ155" s="389"/>
      <c r="FIR155" s="389"/>
      <c r="FIS155" s="389"/>
      <c r="FIT155" s="389"/>
      <c r="FIU155" s="389"/>
      <c r="FIV155" s="389"/>
      <c r="FIW155" s="389"/>
      <c r="FIX155" s="389"/>
      <c r="FIY155" s="389"/>
      <c r="FIZ155" s="389"/>
      <c r="FJA155" s="389"/>
      <c r="FJB155" s="389"/>
      <c r="FJC155" s="389"/>
      <c r="FJD155" s="389"/>
      <c r="FJE155" s="389"/>
      <c r="FJF155" s="389"/>
      <c r="FJG155" s="389"/>
      <c r="FJH155" s="389"/>
      <c r="FJI155" s="389"/>
      <c r="FJJ155" s="389"/>
      <c r="FJK155" s="389"/>
      <c r="FJL155" s="389"/>
      <c r="FJM155" s="389"/>
      <c r="FJN155" s="389"/>
      <c r="FJO155" s="389"/>
      <c r="FJP155" s="389"/>
      <c r="FJQ155" s="389"/>
      <c r="FJR155" s="389"/>
      <c r="FJS155" s="389"/>
      <c r="FJT155" s="389"/>
      <c r="FJU155" s="389"/>
      <c r="FJV155" s="389"/>
      <c r="FJW155" s="389"/>
      <c r="FJX155" s="389"/>
      <c r="FJY155" s="389"/>
      <c r="FJZ155" s="389"/>
      <c r="FKA155" s="389"/>
      <c r="FKB155" s="389"/>
      <c r="FKC155" s="389"/>
      <c r="FKD155" s="389"/>
      <c r="FKE155" s="389"/>
      <c r="FKF155" s="389"/>
      <c r="FKG155" s="389"/>
      <c r="FKH155" s="389"/>
      <c r="FKI155" s="389"/>
      <c r="FKJ155" s="389"/>
      <c r="FKK155" s="389"/>
      <c r="FKL155" s="389"/>
      <c r="FKM155" s="389"/>
      <c r="FKN155" s="389"/>
      <c r="FKO155" s="389"/>
      <c r="FKP155" s="389"/>
      <c r="FKQ155" s="389"/>
      <c r="FKR155" s="389"/>
      <c r="FKS155" s="389"/>
      <c r="FKT155" s="389"/>
      <c r="FKU155" s="389"/>
      <c r="FKV155" s="389"/>
      <c r="FKW155" s="389"/>
      <c r="FKX155" s="389"/>
      <c r="FKY155" s="389"/>
      <c r="FKZ155" s="389"/>
      <c r="FLA155" s="389"/>
      <c r="FLB155" s="389"/>
      <c r="FLC155" s="389"/>
      <c r="FLD155" s="389"/>
      <c r="FLE155" s="389"/>
      <c r="FLF155" s="389"/>
      <c r="FLG155" s="389"/>
      <c r="FLH155" s="389"/>
      <c r="FLI155" s="389"/>
      <c r="FLJ155" s="389"/>
      <c r="FLK155" s="389"/>
      <c r="FLL155" s="389"/>
      <c r="FLM155" s="389"/>
      <c r="FLN155" s="389"/>
      <c r="FLO155" s="389"/>
      <c r="FLP155" s="389"/>
      <c r="FLQ155" s="389"/>
      <c r="FLR155" s="389"/>
      <c r="FLS155" s="389"/>
      <c r="FLT155" s="389"/>
      <c r="FLU155" s="389"/>
      <c r="FLV155" s="389"/>
      <c r="FLW155" s="389"/>
      <c r="FLX155" s="389"/>
      <c r="FLY155" s="389"/>
      <c r="FLZ155" s="389"/>
      <c r="FMA155" s="389"/>
      <c r="FMB155" s="389"/>
      <c r="FMC155" s="389"/>
      <c r="FMD155" s="389"/>
      <c r="FME155" s="389"/>
      <c r="FMF155" s="389"/>
      <c r="FMG155" s="389"/>
      <c r="FMH155" s="389"/>
      <c r="FMI155" s="389"/>
      <c r="FMJ155" s="389"/>
      <c r="FMK155" s="389"/>
      <c r="FML155" s="389"/>
      <c r="FMM155" s="389"/>
      <c r="FMN155" s="389"/>
      <c r="FMO155" s="389"/>
      <c r="FMP155" s="389"/>
      <c r="FMQ155" s="389"/>
      <c r="FMR155" s="389"/>
      <c r="FMS155" s="389"/>
      <c r="FMT155" s="389"/>
      <c r="FMU155" s="389"/>
      <c r="FMV155" s="389"/>
      <c r="FMW155" s="389"/>
      <c r="FMX155" s="389"/>
      <c r="FMY155" s="389"/>
      <c r="FMZ155" s="389"/>
      <c r="FNA155" s="389"/>
      <c r="FNB155" s="389"/>
      <c r="FNC155" s="389"/>
      <c r="FND155" s="389"/>
      <c r="FNE155" s="389"/>
      <c r="FNF155" s="389"/>
      <c r="FNG155" s="389"/>
      <c r="FNH155" s="389"/>
      <c r="FNI155" s="389"/>
      <c r="FNJ155" s="389"/>
      <c r="FNK155" s="389"/>
      <c r="FNL155" s="389"/>
      <c r="FNM155" s="389"/>
      <c r="FNN155" s="389"/>
      <c r="FNO155" s="389"/>
      <c r="FNP155" s="389"/>
      <c r="FNQ155" s="389"/>
      <c r="FNR155" s="389"/>
      <c r="FNS155" s="389"/>
      <c r="FNT155" s="389"/>
      <c r="FNU155" s="389"/>
      <c r="FNV155" s="389"/>
      <c r="FNW155" s="389"/>
      <c r="FNX155" s="389"/>
      <c r="FNY155" s="389"/>
      <c r="FNZ155" s="389"/>
      <c r="FOA155" s="389"/>
      <c r="FOB155" s="389"/>
      <c r="FOC155" s="389"/>
      <c r="FOD155" s="389"/>
      <c r="FOE155" s="389"/>
      <c r="FOF155" s="389"/>
      <c r="FOG155" s="389"/>
      <c r="FOH155" s="389"/>
      <c r="FOI155" s="389"/>
      <c r="FOJ155" s="389"/>
      <c r="FOK155" s="389"/>
      <c r="FOL155" s="389"/>
      <c r="FOM155" s="389"/>
      <c r="FON155" s="389"/>
      <c r="FOO155" s="389"/>
      <c r="FOP155" s="389"/>
      <c r="FOQ155" s="389"/>
      <c r="FOR155" s="389"/>
      <c r="FOS155" s="389"/>
      <c r="FOT155" s="389"/>
      <c r="FOU155" s="389"/>
      <c r="FOV155" s="389"/>
      <c r="FOW155" s="389"/>
      <c r="FOX155" s="389"/>
      <c r="FOY155" s="389"/>
      <c r="FOZ155" s="389"/>
      <c r="FPA155" s="389"/>
      <c r="FPB155" s="389"/>
      <c r="FPC155" s="389"/>
      <c r="FPD155" s="389"/>
      <c r="FPE155" s="389"/>
      <c r="FPF155" s="389"/>
      <c r="FPG155" s="389"/>
      <c r="FPH155" s="389"/>
      <c r="FPI155" s="389"/>
      <c r="FPJ155" s="389"/>
      <c r="FPK155" s="389"/>
      <c r="FPL155" s="389"/>
      <c r="FPM155" s="389"/>
      <c r="FPN155" s="389"/>
      <c r="FPO155" s="389"/>
      <c r="FPP155" s="389"/>
      <c r="FPQ155" s="389"/>
      <c r="FPR155" s="389"/>
      <c r="FPS155" s="389"/>
      <c r="FPT155" s="389"/>
      <c r="FPU155" s="389"/>
      <c r="FPV155" s="389"/>
      <c r="FPW155" s="389"/>
      <c r="FPX155" s="389"/>
      <c r="FPY155" s="389"/>
      <c r="FPZ155" s="389"/>
      <c r="FQA155" s="389"/>
      <c r="FQB155" s="389"/>
      <c r="FQC155" s="389"/>
      <c r="FQD155" s="389"/>
      <c r="FQE155" s="389"/>
      <c r="FQF155" s="389"/>
      <c r="FQG155" s="389"/>
      <c r="FQH155" s="389"/>
      <c r="FQI155" s="389"/>
      <c r="FQJ155" s="389"/>
      <c r="FQK155" s="389"/>
      <c r="FQL155" s="389"/>
      <c r="FQM155" s="389"/>
      <c r="FQN155" s="389"/>
      <c r="FQO155" s="389"/>
      <c r="FQP155" s="389"/>
      <c r="FQQ155" s="389"/>
      <c r="FQR155" s="389"/>
      <c r="FQS155" s="389"/>
      <c r="FQT155" s="389"/>
      <c r="FQU155" s="389"/>
      <c r="FQV155" s="389"/>
      <c r="FQW155" s="389"/>
      <c r="FQX155" s="389"/>
      <c r="FQY155" s="389"/>
      <c r="FQZ155" s="389"/>
      <c r="FRA155" s="389"/>
      <c r="FRB155" s="389"/>
      <c r="FRC155" s="389"/>
      <c r="FRD155" s="389"/>
      <c r="FRE155" s="389"/>
      <c r="FRF155" s="389"/>
      <c r="FRG155" s="389"/>
      <c r="FRH155" s="389"/>
      <c r="FRI155" s="389"/>
      <c r="FRJ155" s="389"/>
      <c r="FRK155" s="389"/>
      <c r="FRL155" s="389"/>
      <c r="FRM155" s="389"/>
      <c r="FRN155" s="389"/>
      <c r="FRO155" s="389"/>
      <c r="FRP155" s="389"/>
      <c r="FRQ155" s="389"/>
      <c r="FRR155" s="389"/>
      <c r="FRS155" s="389"/>
      <c r="FRT155" s="389"/>
      <c r="FRU155" s="389"/>
      <c r="FRV155" s="389"/>
      <c r="FRW155" s="389"/>
      <c r="FRX155" s="389"/>
      <c r="FRY155" s="389"/>
      <c r="FRZ155" s="389"/>
      <c r="FSA155" s="389"/>
      <c r="FSB155" s="389"/>
      <c r="FSC155" s="389"/>
      <c r="FSD155" s="389"/>
      <c r="FSE155" s="389"/>
      <c r="FSF155" s="389"/>
      <c r="FSG155" s="389"/>
      <c r="FSH155" s="389"/>
      <c r="FSI155" s="389"/>
      <c r="FSJ155" s="389"/>
      <c r="FSK155" s="389"/>
      <c r="FSL155" s="389"/>
      <c r="FSM155" s="389"/>
      <c r="FSN155" s="389"/>
      <c r="FSO155" s="389"/>
      <c r="FSP155" s="389"/>
      <c r="FSQ155" s="389"/>
      <c r="FSR155" s="389"/>
      <c r="FSS155" s="389"/>
      <c r="FST155" s="389"/>
      <c r="FSU155" s="389"/>
      <c r="FSV155" s="389"/>
      <c r="FSW155" s="389"/>
      <c r="FSX155" s="389"/>
      <c r="FSY155" s="389"/>
      <c r="FSZ155" s="389"/>
      <c r="FTA155" s="389"/>
      <c r="FTB155" s="389"/>
      <c r="FTC155" s="389"/>
      <c r="FTD155" s="389"/>
      <c r="FTE155" s="389"/>
      <c r="FTF155" s="389"/>
      <c r="FTG155" s="389"/>
      <c r="FTH155" s="389"/>
      <c r="FTI155" s="389"/>
      <c r="FTJ155" s="389"/>
      <c r="FTK155" s="389"/>
      <c r="FTL155" s="389"/>
      <c r="FTM155" s="389"/>
      <c r="FTN155" s="389"/>
      <c r="FTO155" s="389"/>
      <c r="FTP155" s="389"/>
      <c r="FTQ155" s="389"/>
      <c r="FTR155" s="389"/>
      <c r="FTS155" s="389"/>
      <c r="FTT155" s="389"/>
      <c r="FTU155" s="389"/>
      <c r="FTV155" s="389"/>
      <c r="FTW155" s="389"/>
      <c r="FTX155" s="389"/>
      <c r="FTY155" s="389"/>
      <c r="FTZ155" s="389"/>
      <c r="FUA155" s="389"/>
      <c r="FUB155" s="389"/>
      <c r="FUC155" s="389"/>
      <c r="FUD155" s="389"/>
      <c r="FUE155" s="389"/>
      <c r="FUF155" s="389"/>
      <c r="FUG155" s="389"/>
      <c r="FUH155" s="389"/>
      <c r="FUI155" s="389"/>
      <c r="FUJ155" s="389"/>
      <c r="FUK155" s="389"/>
      <c r="FUL155" s="389"/>
      <c r="FUM155" s="389"/>
      <c r="FUN155" s="389"/>
      <c r="FUO155" s="389"/>
      <c r="FUP155" s="389"/>
      <c r="FUQ155" s="389"/>
      <c r="FUR155" s="389"/>
      <c r="FUS155" s="389"/>
      <c r="FUT155" s="389"/>
      <c r="FUU155" s="389"/>
      <c r="FUV155" s="389"/>
      <c r="FUW155" s="389"/>
      <c r="FUX155" s="389"/>
      <c r="FUY155" s="389"/>
      <c r="FUZ155" s="389"/>
      <c r="FVA155" s="389"/>
      <c r="FVB155" s="389"/>
      <c r="FVC155" s="389"/>
      <c r="FVD155" s="389"/>
      <c r="FVE155" s="389"/>
      <c r="FVF155" s="389"/>
      <c r="FVG155" s="389"/>
      <c r="FVH155" s="389"/>
      <c r="FVI155" s="389"/>
      <c r="FVJ155" s="389"/>
      <c r="FVK155" s="389"/>
      <c r="FVL155" s="389"/>
      <c r="FVM155" s="389"/>
      <c r="FVN155" s="389"/>
      <c r="FVO155" s="389"/>
      <c r="FVP155" s="389"/>
      <c r="FVQ155" s="389"/>
      <c r="FVR155" s="389"/>
      <c r="FVS155" s="389"/>
      <c r="FVT155" s="389"/>
      <c r="FVU155" s="389"/>
      <c r="FVV155" s="389"/>
      <c r="FVW155" s="389"/>
      <c r="FVX155" s="389"/>
      <c r="FVY155" s="389"/>
      <c r="FVZ155" s="389"/>
      <c r="FWA155" s="389"/>
      <c r="FWB155" s="389"/>
      <c r="FWC155" s="389"/>
      <c r="FWD155" s="389"/>
      <c r="FWE155" s="389"/>
      <c r="FWF155" s="389"/>
      <c r="FWG155" s="389"/>
      <c r="FWH155" s="389"/>
      <c r="FWI155" s="389"/>
      <c r="FWJ155" s="389"/>
      <c r="FWK155" s="389"/>
      <c r="FWL155" s="389"/>
      <c r="FWM155" s="389"/>
      <c r="FWN155" s="389"/>
      <c r="FWO155" s="389"/>
      <c r="FWP155" s="389"/>
      <c r="FWQ155" s="389"/>
      <c r="FWR155" s="389"/>
      <c r="FWS155" s="389"/>
      <c r="FWT155" s="389"/>
      <c r="FWU155" s="389"/>
      <c r="FWV155" s="389"/>
      <c r="FWW155" s="389"/>
      <c r="FWX155" s="389"/>
      <c r="FWY155" s="389"/>
      <c r="FWZ155" s="389"/>
      <c r="FXA155" s="389"/>
      <c r="FXB155" s="389"/>
      <c r="FXC155" s="389"/>
      <c r="FXD155" s="389"/>
      <c r="FXE155" s="389"/>
      <c r="FXF155" s="389"/>
      <c r="FXG155" s="389"/>
      <c r="FXH155" s="389"/>
      <c r="FXI155" s="389"/>
      <c r="FXJ155" s="389"/>
      <c r="FXK155" s="389"/>
      <c r="FXL155" s="389"/>
      <c r="FXM155" s="389"/>
      <c r="FXN155" s="389"/>
      <c r="FXO155" s="389"/>
      <c r="FXP155" s="389"/>
      <c r="FXQ155" s="389"/>
      <c r="FXR155" s="389"/>
      <c r="FXS155" s="389"/>
      <c r="FXT155" s="389"/>
      <c r="FXU155" s="389"/>
      <c r="FXV155" s="389"/>
      <c r="FXW155" s="389"/>
      <c r="FXX155" s="389"/>
      <c r="FXY155" s="389"/>
      <c r="FXZ155" s="389"/>
      <c r="FYA155" s="389"/>
      <c r="FYB155" s="389"/>
      <c r="FYC155" s="389"/>
      <c r="FYD155" s="389"/>
      <c r="FYE155" s="389"/>
      <c r="FYF155" s="389"/>
      <c r="FYG155" s="389"/>
      <c r="FYH155" s="389"/>
      <c r="FYI155" s="389"/>
      <c r="FYJ155" s="389"/>
      <c r="FYK155" s="389"/>
      <c r="FYL155" s="389"/>
      <c r="FYM155" s="389"/>
      <c r="FYN155" s="389"/>
      <c r="FYO155" s="389"/>
      <c r="FYP155" s="389"/>
      <c r="FYQ155" s="389"/>
      <c r="FYR155" s="389"/>
      <c r="FYS155" s="389"/>
      <c r="FYT155" s="389"/>
      <c r="FYU155" s="389"/>
      <c r="FYV155" s="389"/>
      <c r="FYW155" s="389"/>
      <c r="FYX155" s="389"/>
      <c r="FYY155" s="389"/>
      <c r="FYZ155" s="389"/>
      <c r="FZA155" s="389"/>
      <c r="FZB155" s="389"/>
      <c r="FZC155" s="389"/>
      <c r="FZD155" s="389"/>
      <c r="FZE155" s="389"/>
      <c r="FZF155" s="389"/>
      <c r="FZG155" s="389"/>
      <c r="FZH155" s="389"/>
      <c r="FZI155" s="389"/>
      <c r="FZJ155" s="389"/>
      <c r="FZK155" s="389"/>
      <c r="FZL155" s="389"/>
      <c r="FZM155" s="389"/>
      <c r="FZN155" s="389"/>
      <c r="FZO155" s="389"/>
      <c r="FZP155" s="389"/>
      <c r="FZQ155" s="389"/>
      <c r="FZR155" s="389"/>
      <c r="FZS155" s="389"/>
      <c r="FZT155" s="389"/>
      <c r="FZU155" s="389"/>
      <c r="FZV155" s="389"/>
      <c r="FZW155" s="389"/>
      <c r="FZX155" s="389"/>
      <c r="FZY155" s="389"/>
      <c r="FZZ155" s="389"/>
      <c r="GAA155" s="389"/>
      <c r="GAB155" s="389"/>
      <c r="GAC155" s="389"/>
      <c r="GAD155" s="389"/>
      <c r="GAE155" s="389"/>
      <c r="GAF155" s="389"/>
      <c r="GAG155" s="389"/>
      <c r="GAH155" s="389"/>
      <c r="GAI155" s="389"/>
      <c r="GAJ155" s="389"/>
      <c r="GAK155" s="389"/>
      <c r="GAL155" s="389"/>
      <c r="GAM155" s="389"/>
      <c r="GAN155" s="389"/>
      <c r="GAO155" s="389"/>
      <c r="GAP155" s="389"/>
      <c r="GAQ155" s="389"/>
      <c r="GAR155" s="389"/>
      <c r="GAS155" s="389"/>
      <c r="GAT155" s="389"/>
      <c r="GAU155" s="389"/>
      <c r="GAV155" s="389"/>
      <c r="GAW155" s="389"/>
      <c r="GAX155" s="389"/>
      <c r="GAY155" s="389"/>
      <c r="GAZ155" s="389"/>
      <c r="GBA155" s="389"/>
      <c r="GBB155" s="389"/>
      <c r="GBC155" s="389"/>
      <c r="GBD155" s="389"/>
      <c r="GBE155" s="389"/>
      <c r="GBF155" s="389"/>
      <c r="GBG155" s="389"/>
      <c r="GBH155" s="389"/>
      <c r="GBI155" s="389"/>
      <c r="GBJ155" s="389"/>
      <c r="GBK155" s="389"/>
      <c r="GBL155" s="389"/>
      <c r="GBM155" s="389"/>
      <c r="GBN155" s="389"/>
      <c r="GBO155" s="389"/>
      <c r="GBP155" s="389"/>
      <c r="GBQ155" s="389"/>
      <c r="GBR155" s="389"/>
      <c r="GBS155" s="389"/>
      <c r="GBT155" s="389"/>
      <c r="GBU155" s="389"/>
      <c r="GBV155" s="389"/>
      <c r="GBW155" s="389"/>
      <c r="GBX155" s="389"/>
      <c r="GBY155" s="389"/>
      <c r="GBZ155" s="389"/>
      <c r="GCA155" s="389"/>
      <c r="GCB155" s="389"/>
      <c r="GCC155" s="389"/>
      <c r="GCD155" s="389"/>
      <c r="GCE155" s="389"/>
      <c r="GCF155" s="389"/>
      <c r="GCG155" s="389"/>
      <c r="GCH155" s="389"/>
      <c r="GCI155" s="389"/>
      <c r="GCJ155" s="389"/>
      <c r="GCK155" s="389"/>
      <c r="GCL155" s="389"/>
      <c r="GCM155" s="389"/>
      <c r="GCN155" s="389"/>
      <c r="GCO155" s="389"/>
      <c r="GCP155" s="389"/>
      <c r="GCQ155" s="389"/>
      <c r="GCR155" s="389"/>
      <c r="GCS155" s="389"/>
      <c r="GCT155" s="389"/>
      <c r="GCU155" s="389"/>
      <c r="GCV155" s="389"/>
      <c r="GCW155" s="389"/>
      <c r="GCX155" s="389"/>
      <c r="GCY155" s="389"/>
      <c r="GCZ155" s="389"/>
      <c r="GDA155" s="389"/>
      <c r="GDB155" s="389"/>
      <c r="GDC155" s="389"/>
      <c r="GDD155" s="389"/>
      <c r="GDE155" s="389"/>
      <c r="GDF155" s="389"/>
      <c r="GDG155" s="389"/>
      <c r="GDH155" s="389"/>
      <c r="GDI155" s="389"/>
      <c r="GDJ155" s="389"/>
      <c r="GDK155" s="389"/>
      <c r="GDL155" s="389"/>
      <c r="GDM155" s="389"/>
      <c r="GDN155" s="389"/>
      <c r="GDO155" s="389"/>
      <c r="GDP155" s="389"/>
      <c r="GDQ155" s="389"/>
      <c r="GDR155" s="389"/>
      <c r="GDS155" s="389"/>
      <c r="GDT155" s="389"/>
      <c r="GDU155" s="389"/>
      <c r="GDV155" s="389"/>
      <c r="GDW155" s="389"/>
      <c r="GDX155" s="389"/>
      <c r="GDY155" s="389"/>
      <c r="GDZ155" s="389"/>
      <c r="GEA155" s="389"/>
      <c r="GEB155" s="389"/>
      <c r="GEC155" s="389"/>
      <c r="GED155" s="389"/>
      <c r="GEE155" s="389"/>
      <c r="GEF155" s="389"/>
      <c r="GEG155" s="389"/>
      <c r="GEH155" s="389"/>
      <c r="GEI155" s="389"/>
      <c r="GEJ155" s="389"/>
      <c r="GEK155" s="389"/>
      <c r="GEL155" s="389"/>
      <c r="GEM155" s="389"/>
      <c r="GEN155" s="389"/>
      <c r="GEO155" s="389"/>
      <c r="GEP155" s="389"/>
      <c r="GEQ155" s="389"/>
      <c r="GER155" s="389"/>
      <c r="GES155" s="389"/>
      <c r="GET155" s="389"/>
      <c r="GEU155" s="389"/>
      <c r="GEV155" s="389"/>
      <c r="GEW155" s="389"/>
      <c r="GEX155" s="389"/>
      <c r="GEY155" s="389"/>
      <c r="GEZ155" s="389"/>
      <c r="GFA155" s="389"/>
      <c r="GFB155" s="389"/>
      <c r="GFC155" s="389"/>
      <c r="GFD155" s="389"/>
      <c r="GFE155" s="389"/>
      <c r="GFF155" s="389"/>
      <c r="GFG155" s="389"/>
      <c r="GFH155" s="389"/>
      <c r="GFI155" s="389"/>
      <c r="GFJ155" s="389"/>
      <c r="GFK155" s="389"/>
      <c r="GFL155" s="389"/>
      <c r="GFM155" s="389"/>
      <c r="GFN155" s="389"/>
      <c r="GFO155" s="389"/>
      <c r="GFP155" s="389"/>
      <c r="GFQ155" s="389"/>
      <c r="GFR155" s="389"/>
      <c r="GFS155" s="389"/>
      <c r="GFT155" s="389"/>
      <c r="GFU155" s="389"/>
      <c r="GFV155" s="389"/>
      <c r="GFW155" s="389"/>
      <c r="GFX155" s="389"/>
      <c r="GFY155" s="389"/>
      <c r="GFZ155" s="389"/>
      <c r="GGA155" s="389"/>
      <c r="GGB155" s="389"/>
      <c r="GGC155" s="389"/>
      <c r="GGD155" s="389"/>
      <c r="GGE155" s="389"/>
      <c r="GGF155" s="389"/>
      <c r="GGG155" s="389"/>
      <c r="GGH155" s="389"/>
      <c r="GGI155" s="389"/>
      <c r="GGJ155" s="389"/>
      <c r="GGK155" s="389"/>
      <c r="GGL155" s="389"/>
      <c r="GGM155" s="389"/>
      <c r="GGN155" s="389"/>
      <c r="GGO155" s="389"/>
      <c r="GGP155" s="389"/>
      <c r="GGQ155" s="389"/>
      <c r="GGR155" s="389"/>
      <c r="GGS155" s="389"/>
      <c r="GGT155" s="389"/>
      <c r="GGU155" s="389"/>
      <c r="GGV155" s="389"/>
      <c r="GGW155" s="389"/>
      <c r="GGX155" s="389"/>
      <c r="GGY155" s="389"/>
      <c r="GGZ155" s="389"/>
      <c r="GHA155" s="389"/>
      <c r="GHB155" s="389"/>
      <c r="GHC155" s="389"/>
      <c r="GHD155" s="389"/>
      <c r="GHE155" s="389"/>
      <c r="GHF155" s="389"/>
      <c r="GHG155" s="389"/>
      <c r="GHH155" s="389"/>
      <c r="GHI155" s="389"/>
      <c r="GHJ155" s="389"/>
      <c r="GHK155" s="389"/>
      <c r="GHL155" s="389"/>
      <c r="GHM155" s="389"/>
      <c r="GHN155" s="389"/>
      <c r="GHO155" s="389"/>
      <c r="GHP155" s="389"/>
      <c r="GHQ155" s="389"/>
      <c r="GHR155" s="389"/>
      <c r="GHS155" s="389"/>
      <c r="GHT155" s="389"/>
      <c r="GHU155" s="389"/>
      <c r="GHV155" s="389"/>
      <c r="GHW155" s="389"/>
      <c r="GHX155" s="389"/>
      <c r="GHY155" s="389"/>
      <c r="GHZ155" s="389"/>
      <c r="GIA155" s="389"/>
      <c r="GIB155" s="389"/>
      <c r="GIC155" s="389"/>
      <c r="GID155" s="389"/>
      <c r="GIE155" s="389"/>
      <c r="GIF155" s="389"/>
      <c r="GIG155" s="389"/>
      <c r="GIH155" s="389"/>
      <c r="GII155" s="389"/>
      <c r="GIJ155" s="389"/>
      <c r="GIK155" s="389"/>
      <c r="GIL155" s="389"/>
      <c r="GIM155" s="389"/>
      <c r="GIN155" s="389"/>
      <c r="GIO155" s="389"/>
      <c r="GIP155" s="389"/>
      <c r="GIQ155" s="389"/>
      <c r="GIR155" s="389"/>
      <c r="GIS155" s="389"/>
      <c r="GIT155" s="389"/>
      <c r="GIU155" s="389"/>
      <c r="GIV155" s="389"/>
      <c r="GIW155" s="389"/>
      <c r="GIX155" s="389"/>
      <c r="GIY155" s="389"/>
      <c r="GIZ155" s="389"/>
      <c r="GJA155" s="389"/>
      <c r="GJB155" s="389"/>
      <c r="GJC155" s="389"/>
      <c r="GJD155" s="389"/>
      <c r="GJE155" s="389"/>
      <c r="GJF155" s="389"/>
      <c r="GJG155" s="389"/>
      <c r="GJH155" s="389"/>
      <c r="GJI155" s="389"/>
      <c r="GJJ155" s="389"/>
      <c r="GJK155" s="389"/>
      <c r="GJL155" s="389"/>
      <c r="GJM155" s="389"/>
      <c r="GJN155" s="389"/>
      <c r="GJO155" s="389"/>
      <c r="GJP155" s="389"/>
      <c r="GJQ155" s="389"/>
      <c r="GJR155" s="389"/>
      <c r="GJS155" s="389"/>
      <c r="GJT155" s="389"/>
      <c r="GJU155" s="389"/>
      <c r="GJV155" s="389"/>
      <c r="GJW155" s="389"/>
      <c r="GJX155" s="389"/>
      <c r="GJY155" s="389"/>
      <c r="GJZ155" s="389"/>
      <c r="GKA155" s="389"/>
      <c r="GKB155" s="389"/>
      <c r="GKC155" s="389"/>
      <c r="GKD155" s="389"/>
      <c r="GKE155" s="389"/>
      <c r="GKF155" s="389"/>
      <c r="GKG155" s="389"/>
      <c r="GKH155" s="389"/>
      <c r="GKI155" s="389"/>
      <c r="GKJ155" s="389"/>
      <c r="GKK155" s="389"/>
      <c r="GKL155" s="389"/>
      <c r="GKM155" s="389"/>
      <c r="GKN155" s="389"/>
      <c r="GKO155" s="389"/>
      <c r="GKP155" s="389"/>
      <c r="GKQ155" s="389"/>
      <c r="GKR155" s="389"/>
      <c r="GKS155" s="389"/>
      <c r="GKT155" s="389"/>
      <c r="GKU155" s="389"/>
      <c r="GKV155" s="389"/>
      <c r="GKW155" s="389"/>
      <c r="GKX155" s="389"/>
      <c r="GKY155" s="389"/>
      <c r="GKZ155" s="389"/>
      <c r="GLA155" s="389"/>
      <c r="GLB155" s="389"/>
      <c r="GLC155" s="389"/>
      <c r="GLD155" s="389"/>
      <c r="GLE155" s="389"/>
      <c r="GLF155" s="389"/>
      <c r="GLG155" s="389"/>
      <c r="GLH155" s="389"/>
      <c r="GLI155" s="389"/>
      <c r="GLJ155" s="389"/>
      <c r="GLK155" s="389"/>
      <c r="GLL155" s="389"/>
      <c r="GLM155" s="389"/>
      <c r="GLN155" s="389"/>
      <c r="GLO155" s="389"/>
      <c r="GLP155" s="389"/>
      <c r="GLQ155" s="389"/>
      <c r="GLR155" s="389"/>
      <c r="GLS155" s="389"/>
      <c r="GLT155" s="389"/>
      <c r="GLU155" s="389"/>
      <c r="GLV155" s="389"/>
      <c r="GLW155" s="389"/>
      <c r="GLX155" s="389"/>
      <c r="GLY155" s="389"/>
      <c r="GLZ155" s="389"/>
      <c r="GMA155" s="389"/>
      <c r="GMB155" s="389"/>
      <c r="GMC155" s="389"/>
      <c r="GMD155" s="389"/>
      <c r="GME155" s="389"/>
      <c r="GMF155" s="389"/>
      <c r="GMG155" s="389"/>
      <c r="GMH155" s="389"/>
      <c r="GMI155" s="389"/>
      <c r="GMJ155" s="389"/>
      <c r="GMK155" s="389"/>
      <c r="GML155" s="389"/>
      <c r="GMM155" s="389"/>
      <c r="GMN155" s="389"/>
      <c r="GMO155" s="389"/>
      <c r="GMP155" s="389"/>
      <c r="GMQ155" s="389"/>
      <c r="GMR155" s="389"/>
      <c r="GMS155" s="389"/>
      <c r="GMT155" s="389"/>
      <c r="GMU155" s="389"/>
      <c r="GMV155" s="389"/>
      <c r="GMW155" s="389"/>
      <c r="GMX155" s="389"/>
      <c r="GMY155" s="389"/>
      <c r="GMZ155" s="389"/>
      <c r="GNA155" s="389"/>
      <c r="GNB155" s="389"/>
      <c r="GNC155" s="389"/>
      <c r="GND155" s="389"/>
      <c r="GNE155" s="389"/>
      <c r="GNF155" s="389"/>
      <c r="GNG155" s="389"/>
      <c r="GNH155" s="389"/>
      <c r="GNI155" s="389"/>
      <c r="GNJ155" s="389"/>
      <c r="GNK155" s="389"/>
      <c r="GNL155" s="389"/>
      <c r="GNM155" s="389"/>
      <c r="GNN155" s="389"/>
      <c r="GNO155" s="389"/>
      <c r="GNP155" s="389"/>
      <c r="GNQ155" s="389"/>
      <c r="GNR155" s="389"/>
      <c r="GNS155" s="389"/>
      <c r="GNT155" s="389"/>
      <c r="GNU155" s="389"/>
      <c r="GNV155" s="389"/>
      <c r="GNW155" s="389"/>
      <c r="GNX155" s="389"/>
      <c r="GNY155" s="389"/>
      <c r="GNZ155" s="389"/>
      <c r="GOA155" s="389"/>
      <c r="GOB155" s="389"/>
      <c r="GOC155" s="389"/>
      <c r="GOD155" s="389"/>
      <c r="GOE155" s="389"/>
      <c r="GOF155" s="389"/>
      <c r="GOG155" s="389"/>
      <c r="GOH155" s="389"/>
      <c r="GOI155" s="389"/>
      <c r="GOJ155" s="389"/>
      <c r="GOK155" s="389"/>
      <c r="GOL155" s="389"/>
      <c r="GOM155" s="389"/>
      <c r="GON155" s="389"/>
      <c r="GOO155" s="389"/>
      <c r="GOP155" s="389"/>
      <c r="GOQ155" s="389"/>
      <c r="GOR155" s="389"/>
      <c r="GOS155" s="389"/>
      <c r="GOT155" s="389"/>
      <c r="GOU155" s="389"/>
      <c r="GOV155" s="389"/>
      <c r="GOW155" s="389"/>
      <c r="GOX155" s="389"/>
      <c r="GOY155" s="389"/>
      <c r="GOZ155" s="389"/>
      <c r="GPA155" s="389"/>
      <c r="GPB155" s="389"/>
      <c r="GPC155" s="389"/>
      <c r="GPD155" s="389"/>
      <c r="GPE155" s="389"/>
      <c r="GPF155" s="389"/>
      <c r="GPG155" s="389"/>
      <c r="GPH155" s="389"/>
      <c r="GPI155" s="389"/>
      <c r="GPJ155" s="389"/>
      <c r="GPK155" s="389"/>
      <c r="GPL155" s="389"/>
      <c r="GPM155" s="389"/>
      <c r="GPN155" s="389"/>
      <c r="GPO155" s="389"/>
      <c r="GPP155" s="389"/>
      <c r="GPQ155" s="389"/>
      <c r="GPR155" s="389"/>
      <c r="GPS155" s="389"/>
      <c r="GPT155" s="389"/>
      <c r="GPU155" s="389"/>
      <c r="GPV155" s="389"/>
      <c r="GPW155" s="389"/>
      <c r="GPX155" s="389"/>
      <c r="GPY155" s="389"/>
      <c r="GPZ155" s="389"/>
      <c r="GQA155" s="389"/>
      <c r="GQB155" s="389"/>
      <c r="GQC155" s="389"/>
      <c r="GQD155" s="389"/>
      <c r="GQE155" s="389"/>
      <c r="GQF155" s="389"/>
      <c r="GQG155" s="389"/>
      <c r="GQH155" s="389"/>
      <c r="GQI155" s="389"/>
      <c r="GQJ155" s="389"/>
      <c r="GQK155" s="389"/>
      <c r="GQL155" s="389"/>
      <c r="GQM155" s="389"/>
      <c r="GQN155" s="389"/>
      <c r="GQO155" s="389"/>
      <c r="GQP155" s="389"/>
      <c r="GQQ155" s="389"/>
      <c r="GQR155" s="389"/>
      <c r="GQS155" s="389"/>
      <c r="GQT155" s="389"/>
      <c r="GQU155" s="389"/>
      <c r="GQV155" s="389"/>
      <c r="GQW155" s="389"/>
      <c r="GQX155" s="389"/>
      <c r="GQY155" s="389"/>
      <c r="GQZ155" s="389"/>
      <c r="GRA155" s="389"/>
      <c r="GRB155" s="389"/>
      <c r="GRC155" s="389"/>
      <c r="GRD155" s="389"/>
      <c r="GRE155" s="389"/>
      <c r="GRF155" s="389"/>
      <c r="GRG155" s="389"/>
      <c r="GRH155" s="389"/>
      <c r="GRI155" s="389"/>
      <c r="GRJ155" s="389"/>
      <c r="GRK155" s="389"/>
      <c r="GRL155" s="389"/>
      <c r="GRM155" s="389"/>
      <c r="GRN155" s="389"/>
      <c r="GRO155" s="389"/>
      <c r="GRP155" s="389"/>
      <c r="GRQ155" s="389"/>
      <c r="GRR155" s="389"/>
      <c r="GRS155" s="389"/>
      <c r="GRT155" s="389"/>
      <c r="GRU155" s="389"/>
      <c r="GRV155" s="389"/>
      <c r="GRW155" s="389"/>
      <c r="GRX155" s="389"/>
      <c r="GRY155" s="389"/>
      <c r="GRZ155" s="389"/>
      <c r="GSA155" s="389"/>
      <c r="GSB155" s="389"/>
      <c r="GSC155" s="389"/>
      <c r="GSD155" s="389"/>
      <c r="GSE155" s="389"/>
      <c r="GSF155" s="389"/>
      <c r="GSG155" s="389"/>
      <c r="GSH155" s="389"/>
      <c r="GSI155" s="389"/>
      <c r="GSJ155" s="389"/>
      <c r="GSK155" s="389"/>
      <c r="GSL155" s="389"/>
      <c r="GSM155" s="389"/>
      <c r="GSN155" s="389"/>
      <c r="GSO155" s="389"/>
      <c r="GSP155" s="389"/>
      <c r="GSQ155" s="389"/>
      <c r="GSR155" s="389"/>
      <c r="GSS155" s="389"/>
      <c r="GST155" s="389"/>
      <c r="GSU155" s="389"/>
      <c r="GSV155" s="389"/>
      <c r="GSW155" s="389"/>
      <c r="GSX155" s="389"/>
      <c r="GSY155" s="389"/>
      <c r="GSZ155" s="389"/>
      <c r="GTA155" s="389"/>
      <c r="GTB155" s="389"/>
      <c r="GTC155" s="389"/>
      <c r="GTD155" s="389"/>
      <c r="GTE155" s="389"/>
      <c r="GTF155" s="389"/>
      <c r="GTG155" s="389"/>
      <c r="GTH155" s="389"/>
      <c r="GTI155" s="389"/>
      <c r="GTJ155" s="389"/>
      <c r="GTK155" s="389"/>
      <c r="GTL155" s="389"/>
      <c r="GTM155" s="389"/>
      <c r="GTN155" s="389"/>
      <c r="GTO155" s="389"/>
      <c r="GTP155" s="389"/>
      <c r="GTQ155" s="389"/>
      <c r="GTR155" s="389"/>
      <c r="GTS155" s="389"/>
      <c r="GTT155" s="389"/>
      <c r="GTU155" s="389"/>
      <c r="GTV155" s="389"/>
      <c r="GTW155" s="389"/>
      <c r="GTX155" s="389"/>
      <c r="GTY155" s="389"/>
      <c r="GTZ155" s="389"/>
      <c r="GUA155" s="389"/>
      <c r="GUB155" s="389"/>
      <c r="GUC155" s="389"/>
      <c r="GUD155" s="389"/>
      <c r="GUE155" s="389"/>
      <c r="GUF155" s="389"/>
      <c r="GUG155" s="389"/>
      <c r="GUH155" s="389"/>
      <c r="GUI155" s="389"/>
      <c r="GUJ155" s="389"/>
      <c r="GUK155" s="389"/>
      <c r="GUL155" s="389"/>
      <c r="GUM155" s="389"/>
      <c r="GUN155" s="389"/>
      <c r="GUO155" s="389"/>
      <c r="GUP155" s="389"/>
      <c r="GUQ155" s="389"/>
      <c r="GUR155" s="389"/>
      <c r="GUS155" s="389"/>
      <c r="GUT155" s="389"/>
      <c r="GUU155" s="389"/>
      <c r="GUV155" s="389"/>
      <c r="GUW155" s="389"/>
      <c r="GUX155" s="389"/>
      <c r="GUY155" s="389"/>
      <c r="GUZ155" s="389"/>
      <c r="GVA155" s="389"/>
      <c r="GVB155" s="389"/>
      <c r="GVC155" s="389"/>
      <c r="GVD155" s="389"/>
      <c r="GVE155" s="389"/>
      <c r="GVF155" s="389"/>
      <c r="GVG155" s="389"/>
      <c r="GVH155" s="389"/>
      <c r="GVI155" s="389"/>
      <c r="GVJ155" s="389"/>
      <c r="GVK155" s="389"/>
      <c r="GVL155" s="389"/>
      <c r="GVM155" s="389"/>
      <c r="GVN155" s="389"/>
      <c r="GVO155" s="389"/>
      <c r="GVP155" s="389"/>
      <c r="GVQ155" s="389"/>
      <c r="GVR155" s="389"/>
      <c r="GVS155" s="389"/>
      <c r="GVT155" s="389"/>
      <c r="GVU155" s="389"/>
      <c r="GVV155" s="389"/>
      <c r="GVW155" s="389"/>
      <c r="GVX155" s="389"/>
      <c r="GVY155" s="389"/>
      <c r="GVZ155" s="389"/>
      <c r="GWA155" s="389"/>
      <c r="GWB155" s="389"/>
      <c r="GWC155" s="389"/>
      <c r="GWD155" s="389"/>
      <c r="GWE155" s="389"/>
      <c r="GWF155" s="389"/>
      <c r="GWG155" s="389"/>
      <c r="GWH155" s="389"/>
      <c r="GWI155" s="389"/>
      <c r="GWJ155" s="389"/>
      <c r="GWK155" s="389"/>
      <c r="GWL155" s="389"/>
      <c r="GWM155" s="389"/>
      <c r="GWN155" s="389"/>
      <c r="GWO155" s="389"/>
      <c r="GWP155" s="389"/>
      <c r="GWQ155" s="389"/>
      <c r="GWR155" s="389"/>
      <c r="GWS155" s="389"/>
      <c r="GWT155" s="389"/>
      <c r="GWU155" s="389"/>
      <c r="GWV155" s="389"/>
      <c r="GWW155" s="389"/>
      <c r="GWX155" s="389"/>
      <c r="GWY155" s="389"/>
      <c r="GWZ155" s="389"/>
      <c r="GXA155" s="389"/>
      <c r="GXB155" s="389"/>
      <c r="GXC155" s="389"/>
      <c r="GXD155" s="389"/>
      <c r="GXE155" s="389"/>
      <c r="GXF155" s="389"/>
      <c r="GXG155" s="389"/>
      <c r="GXH155" s="389"/>
      <c r="GXI155" s="389"/>
      <c r="GXJ155" s="389"/>
      <c r="GXK155" s="389"/>
      <c r="GXL155" s="389"/>
      <c r="GXM155" s="389"/>
      <c r="GXN155" s="389"/>
      <c r="GXO155" s="389"/>
      <c r="GXP155" s="389"/>
      <c r="GXQ155" s="389"/>
      <c r="GXR155" s="389"/>
      <c r="GXS155" s="389"/>
      <c r="GXT155" s="389"/>
      <c r="GXU155" s="389"/>
      <c r="GXV155" s="389"/>
      <c r="GXW155" s="389"/>
      <c r="GXX155" s="389"/>
      <c r="GXY155" s="389"/>
      <c r="GXZ155" s="389"/>
      <c r="GYA155" s="389"/>
      <c r="GYB155" s="389"/>
      <c r="GYC155" s="389"/>
      <c r="GYD155" s="389"/>
      <c r="GYE155" s="389"/>
      <c r="GYF155" s="389"/>
      <c r="GYG155" s="389"/>
      <c r="GYH155" s="389"/>
      <c r="GYI155" s="389"/>
      <c r="GYJ155" s="389"/>
      <c r="GYK155" s="389"/>
      <c r="GYL155" s="389"/>
      <c r="GYM155" s="389"/>
      <c r="GYN155" s="389"/>
      <c r="GYO155" s="389"/>
      <c r="GYP155" s="389"/>
      <c r="GYQ155" s="389"/>
      <c r="GYR155" s="389"/>
      <c r="GYS155" s="389"/>
      <c r="GYT155" s="389"/>
      <c r="GYU155" s="389"/>
      <c r="GYV155" s="389"/>
      <c r="GYW155" s="389"/>
      <c r="GYX155" s="389"/>
      <c r="GYY155" s="389"/>
      <c r="GYZ155" s="389"/>
      <c r="GZA155" s="389"/>
      <c r="GZB155" s="389"/>
      <c r="GZC155" s="389"/>
      <c r="GZD155" s="389"/>
      <c r="GZE155" s="389"/>
      <c r="GZF155" s="389"/>
      <c r="GZG155" s="389"/>
      <c r="GZH155" s="389"/>
      <c r="GZI155" s="389"/>
      <c r="GZJ155" s="389"/>
      <c r="GZK155" s="389"/>
      <c r="GZL155" s="389"/>
      <c r="GZM155" s="389"/>
      <c r="GZN155" s="389"/>
      <c r="GZO155" s="389"/>
      <c r="GZP155" s="389"/>
      <c r="GZQ155" s="389"/>
      <c r="GZR155" s="389"/>
      <c r="GZS155" s="389"/>
      <c r="GZT155" s="389"/>
      <c r="GZU155" s="389"/>
      <c r="GZV155" s="389"/>
      <c r="GZW155" s="389"/>
      <c r="GZX155" s="389"/>
      <c r="GZY155" s="389"/>
      <c r="GZZ155" s="389"/>
      <c r="HAA155" s="389"/>
      <c r="HAB155" s="389"/>
      <c r="HAC155" s="389"/>
      <c r="HAD155" s="389"/>
      <c r="HAE155" s="389"/>
      <c r="HAF155" s="389"/>
      <c r="HAG155" s="389"/>
      <c r="HAH155" s="389"/>
      <c r="HAI155" s="389"/>
      <c r="HAJ155" s="389"/>
      <c r="HAK155" s="389"/>
      <c r="HAL155" s="389"/>
      <c r="HAM155" s="389"/>
      <c r="HAN155" s="389"/>
      <c r="HAO155" s="389"/>
      <c r="HAP155" s="389"/>
      <c r="HAQ155" s="389"/>
      <c r="HAR155" s="389"/>
      <c r="HAS155" s="389"/>
      <c r="HAT155" s="389"/>
      <c r="HAU155" s="389"/>
      <c r="HAV155" s="389"/>
      <c r="HAW155" s="389"/>
      <c r="HAX155" s="389"/>
      <c r="HAY155" s="389"/>
      <c r="HAZ155" s="389"/>
      <c r="HBA155" s="389"/>
      <c r="HBB155" s="389"/>
      <c r="HBC155" s="389"/>
      <c r="HBD155" s="389"/>
      <c r="HBE155" s="389"/>
      <c r="HBF155" s="389"/>
      <c r="HBG155" s="389"/>
      <c r="HBH155" s="389"/>
      <c r="HBI155" s="389"/>
      <c r="HBJ155" s="389"/>
      <c r="HBK155" s="389"/>
      <c r="HBL155" s="389"/>
      <c r="HBM155" s="389"/>
      <c r="HBN155" s="389"/>
      <c r="HBO155" s="389"/>
      <c r="HBP155" s="389"/>
      <c r="HBQ155" s="389"/>
      <c r="HBR155" s="389"/>
      <c r="HBS155" s="389"/>
      <c r="HBT155" s="389"/>
      <c r="HBU155" s="389"/>
      <c r="HBV155" s="389"/>
      <c r="HBW155" s="389"/>
      <c r="HBX155" s="389"/>
      <c r="HBY155" s="389"/>
      <c r="HBZ155" s="389"/>
      <c r="HCA155" s="389"/>
      <c r="HCB155" s="389"/>
      <c r="HCC155" s="389"/>
      <c r="HCD155" s="389"/>
      <c r="HCE155" s="389"/>
      <c r="HCF155" s="389"/>
      <c r="HCG155" s="389"/>
      <c r="HCH155" s="389"/>
      <c r="HCI155" s="389"/>
      <c r="HCJ155" s="389"/>
      <c r="HCK155" s="389"/>
      <c r="HCL155" s="389"/>
      <c r="HCM155" s="389"/>
      <c r="HCN155" s="389"/>
      <c r="HCO155" s="389"/>
      <c r="HCP155" s="389"/>
      <c r="HCQ155" s="389"/>
      <c r="HCR155" s="389"/>
      <c r="HCS155" s="389"/>
      <c r="HCT155" s="389"/>
      <c r="HCU155" s="389"/>
      <c r="HCV155" s="389"/>
      <c r="HCW155" s="389"/>
      <c r="HCX155" s="389"/>
      <c r="HCY155" s="389"/>
      <c r="HCZ155" s="389"/>
      <c r="HDA155" s="389"/>
      <c r="HDB155" s="389"/>
      <c r="HDC155" s="389"/>
      <c r="HDD155" s="389"/>
      <c r="HDE155" s="389"/>
      <c r="HDF155" s="389"/>
      <c r="HDG155" s="389"/>
      <c r="HDH155" s="389"/>
      <c r="HDI155" s="389"/>
      <c r="HDJ155" s="389"/>
      <c r="HDK155" s="389"/>
      <c r="HDL155" s="389"/>
      <c r="HDM155" s="389"/>
      <c r="HDN155" s="389"/>
      <c r="HDO155" s="389"/>
      <c r="HDP155" s="389"/>
      <c r="HDQ155" s="389"/>
      <c r="HDR155" s="389"/>
      <c r="HDS155" s="389"/>
      <c r="HDT155" s="389"/>
      <c r="HDU155" s="389"/>
      <c r="HDV155" s="389"/>
      <c r="HDW155" s="389"/>
      <c r="HDX155" s="389"/>
      <c r="HDY155" s="389"/>
      <c r="HDZ155" s="389"/>
      <c r="HEA155" s="389"/>
      <c r="HEB155" s="389"/>
      <c r="HEC155" s="389"/>
      <c r="HED155" s="389"/>
      <c r="HEE155" s="389"/>
      <c r="HEF155" s="389"/>
      <c r="HEG155" s="389"/>
      <c r="HEH155" s="389"/>
      <c r="HEI155" s="389"/>
      <c r="HEJ155" s="389"/>
      <c r="HEK155" s="389"/>
      <c r="HEL155" s="389"/>
      <c r="HEM155" s="389"/>
      <c r="HEN155" s="389"/>
      <c r="HEO155" s="389"/>
      <c r="HEP155" s="389"/>
      <c r="HEQ155" s="389"/>
      <c r="HER155" s="389"/>
      <c r="HES155" s="389"/>
      <c r="HET155" s="389"/>
      <c r="HEU155" s="389"/>
      <c r="HEV155" s="389"/>
      <c r="HEW155" s="389"/>
      <c r="HEX155" s="389"/>
      <c r="HEY155" s="389"/>
      <c r="HEZ155" s="389"/>
      <c r="HFA155" s="389"/>
      <c r="HFB155" s="389"/>
      <c r="HFC155" s="389"/>
      <c r="HFD155" s="389"/>
      <c r="HFE155" s="389"/>
      <c r="HFF155" s="389"/>
      <c r="HFG155" s="389"/>
      <c r="HFH155" s="389"/>
      <c r="HFI155" s="389"/>
      <c r="HFJ155" s="389"/>
      <c r="HFK155" s="389"/>
      <c r="HFL155" s="389"/>
      <c r="HFM155" s="389"/>
      <c r="HFN155" s="389"/>
      <c r="HFO155" s="389"/>
      <c r="HFP155" s="389"/>
      <c r="HFQ155" s="389"/>
      <c r="HFR155" s="389"/>
      <c r="HFS155" s="389"/>
      <c r="HFT155" s="389"/>
      <c r="HFU155" s="389"/>
      <c r="HFV155" s="389"/>
      <c r="HFW155" s="389"/>
      <c r="HFX155" s="389"/>
      <c r="HFY155" s="389"/>
      <c r="HFZ155" s="389"/>
      <c r="HGA155" s="389"/>
      <c r="HGB155" s="389"/>
      <c r="HGC155" s="389"/>
      <c r="HGD155" s="389"/>
      <c r="HGE155" s="389"/>
      <c r="HGF155" s="389"/>
      <c r="HGG155" s="389"/>
      <c r="HGH155" s="389"/>
      <c r="HGI155" s="389"/>
      <c r="HGJ155" s="389"/>
      <c r="HGK155" s="389"/>
      <c r="HGL155" s="389"/>
      <c r="HGM155" s="389"/>
      <c r="HGN155" s="389"/>
      <c r="HGO155" s="389"/>
      <c r="HGP155" s="389"/>
      <c r="HGQ155" s="389"/>
      <c r="HGR155" s="389"/>
      <c r="HGS155" s="389"/>
      <c r="HGT155" s="389"/>
      <c r="HGU155" s="389"/>
      <c r="HGV155" s="389"/>
      <c r="HGW155" s="389"/>
      <c r="HGX155" s="389"/>
      <c r="HGY155" s="389"/>
      <c r="HGZ155" s="389"/>
      <c r="HHA155" s="389"/>
      <c r="HHB155" s="389"/>
      <c r="HHC155" s="389"/>
      <c r="HHD155" s="389"/>
      <c r="HHE155" s="389"/>
      <c r="HHF155" s="389"/>
      <c r="HHG155" s="389"/>
      <c r="HHH155" s="389"/>
      <c r="HHI155" s="389"/>
      <c r="HHJ155" s="389"/>
      <c r="HHK155" s="389"/>
      <c r="HHL155" s="389"/>
      <c r="HHM155" s="389"/>
      <c r="HHN155" s="389"/>
      <c r="HHO155" s="389"/>
      <c r="HHP155" s="389"/>
      <c r="HHQ155" s="389"/>
      <c r="HHR155" s="389"/>
      <c r="HHS155" s="389"/>
      <c r="HHT155" s="389"/>
      <c r="HHU155" s="389"/>
      <c r="HHV155" s="389"/>
      <c r="HHW155" s="389"/>
      <c r="HHX155" s="389"/>
      <c r="HHY155" s="389"/>
      <c r="HHZ155" s="389"/>
      <c r="HIA155" s="389"/>
      <c r="HIB155" s="389"/>
      <c r="HIC155" s="389"/>
      <c r="HID155" s="389"/>
      <c r="HIE155" s="389"/>
      <c r="HIF155" s="389"/>
      <c r="HIG155" s="389"/>
      <c r="HIH155" s="389"/>
      <c r="HII155" s="389"/>
      <c r="HIJ155" s="389"/>
      <c r="HIK155" s="389"/>
      <c r="HIL155" s="389"/>
      <c r="HIM155" s="389"/>
      <c r="HIN155" s="389"/>
      <c r="HIO155" s="389"/>
      <c r="HIP155" s="389"/>
      <c r="HIQ155" s="389"/>
      <c r="HIR155" s="389"/>
      <c r="HIS155" s="389"/>
      <c r="HIT155" s="389"/>
      <c r="HIU155" s="389"/>
      <c r="HIV155" s="389"/>
      <c r="HIW155" s="389"/>
      <c r="HIX155" s="389"/>
      <c r="HIY155" s="389"/>
      <c r="HIZ155" s="389"/>
      <c r="HJA155" s="389"/>
      <c r="HJB155" s="389"/>
      <c r="HJC155" s="389"/>
      <c r="HJD155" s="389"/>
      <c r="HJE155" s="389"/>
      <c r="HJF155" s="389"/>
      <c r="HJG155" s="389"/>
      <c r="HJH155" s="389"/>
      <c r="HJI155" s="389"/>
      <c r="HJJ155" s="389"/>
      <c r="HJK155" s="389"/>
      <c r="HJL155" s="389"/>
      <c r="HJM155" s="389"/>
      <c r="HJN155" s="389"/>
      <c r="HJO155" s="389"/>
      <c r="HJP155" s="389"/>
      <c r="HJQ155" s="389"/>
      <c r="HJR155" s="389"/>
      <c r="HJS155" s="389"/>
      <c r="HJT155" s="389"/>
      <c r="HJU155" s="389"/>
      <c r="HJV155" s="389"/>
      <c r="HJW155" s="389"/>
      <c r="HJX155" s="389"/>
      <c r="HJY155" s="389"/>
      <c r="HJZ155" s="389"/>
      <c r="HKA155" s="389"/>
      <c r="HKB155" s="389"/>
      <c r="HKC155" s="389"/>
      <c r="HKD155" s="389"/>
      <c r="HKE155" s="389"/>
      <c r="HKF155" s="389"/>
      <c r="HKG155" s="389"/>
      <c r="HKH155" s="389"/>
      <c r="HKI155" s="389"/>
      <c r="HKJ155" s="389"/>
      <c r="HKK155" s="389"/>
      <c r="HKL155" s="389"/>
      <c r="HKM155" s="389"/>
      <c r="HKN155" s="389"/>
      <c r="HKO155" s="389"/>
      <c r="HKP155" s="389"/>
      <c r="HKQ155" s="389"/>
      <c r="HKR155" s="389"/>
      <c r="HKS155" s="389"/>
      <c r="HKT155" s="389"/>
      <c r="HKU155" s="389"/>
      <c r="HKV155" s="389"/>
      <c r="HKW155" s="389"/>
      <c r="HKX155" s="389"/>
      <c r="HKY155" s="389"/>
      <c r="HKZ155" s="389"/>
      <c r="HLA155" s="389"/>
      <c r="HLB155" s="389"/>
      <c r="HLC155" s="389"/>
      <c r="HLD155" s="389"/>
      <c r="HLE155" s="389"/>
      <c r="HLF155" s="389"/>
      <c r="HLG155" s="389"/>
      <c r="HLH155" s="389"/>
      <c r="HLI155" s="389"/>
      <c r="HLJ155" s="389"/>
      <c r="HLK155" s="389"/>
      <c r="HLL155" s="389"/>
      <c r="HLM155" s="389"/>
      <c r="HLN155" s="389"/>
      <c r="HLO155" s="389"/>
      <c r="HLP155" s="389"/>
      <c r="HLQ155" s="389"/>
      <c r="HLR155" s="389"/>
      <c r="HLS155" s="389"/>
      <c r="HLT155" s="389"/>
      <c r="HLU155" s="389"/>
      <c r="HLV155" s="389"/>
      <c r="HLW155" s="389"/>
      <c r="HLX155" s="389"/>
      <c r="HLY155" s="389"/>
      <c r="HLZ155" s="389"/>
      <c r="HMA155" s="389"/>
      <c r="HMB155" s="389"/>
      <c r="HMC155" s="389"/>
      <c r="HMD155" s="389"/>
      <c r="HME155" s="389"/>
      <c r="HMF155" s="389"/>
      <c r="HMG155" s="389"/>
      <c r="HMH155" s="389"/>
      <c r="HMI155" s="389"/>
      <c r="HMJ155" s="389"/>
      <c r="HMK155" s="389"/>
      <c r="HML155" s="389"/>
      <c r="HMM155" s="389"/>
      <c r="HMN155" s="389"/>
      <c r="HMO155" s="389"/>
      <c r="HMP155" s="389"/>
      <c r="HMQ155" s="389"/>
      <c r="HMR155" s="389"/>
      <c r="HMS155" s="389"/>
      <c r="HMT155" s="389"/>
      <c r="HMU155" s="389"/>
      <c r="HMV155" s="389"/>
      <c r="HMW155" s="389"/>
      <c r="HMX155" s="389"/>
      <c r="HMY155" s="389"/>
      <c r="HMZ155" s="389"/>
      <c r="HNA155" s="389"/>
      <c r="HNB155" s="389"/>
      <c r="HNC155" s="389"/>
      <c r="HND155" s="389"/>
      <c r="HNE155" s="389"/>
      <c r="HNF155" s="389"/>
      <c r="HNG155" s="389"/>
      <c r="HNH155" s="389"/>
      <c r="HNI155" s="389"/>
      <c r="HNJ155" s="389"/>
      <c r="HNK155" s="389"/>
      <c r="HNL155" s="389"/>
      <c r="HNM155" s="389"/>
      <c r="HNN155" s="389"/>
      <c r="HNO155" s="389"/>
      <c r="HNP155" s="389"/>
      <c r="HNQ155" s="389"/>
      <c r="HNR155" s="389"/>
      <c r="HNS155" s="389"/>
      <c r="HNT155" s="389"/>
      <c r="HNU155" s="389"/>
      <c r="HNV155" s="389"/>
      <c r="HNW155" s="389"/>
      <c r="HNX155" s="389"/>
      <c r="HNY155" s="389"/>
      <c r="HNZ155" s="389"/>
      <c r="HOA155" s="389"/>
      <c r="HOB155" s="389"/>
      <c r="HOC155" s="389"/>
      <c r="HOD155" s="389"/>
      <c r="HOE155" s="389"/>
      <c r="HOF155" s="389"/>
      <c r="HOG155" s="389"/>
      <c r="HOH155" s="389"/>
      <c r="HOI155" s="389"/>
      <c r="HOJ155" s="389"/>
      <c r="HOK155" s="389"/>
      <c r="HOL155" s="389"/>
      <c r="HOM155" s="389"/>
      <c r="HON155" s="389"/>
      <c r="HOO155" s="389"/>
      <c r="HOP155" s="389"/>
      <c r="HOQ155" s="389"/>
      <c r="HOR155" s="389"/>
      <c r="HOS155" s="389"/>
      <c r="HOT155" s="389"/>
      <c r="HOU155" s="389"/>
      <c r="HOV155" s="389"/>
      <c r="HOW155" s="389"/>
      <c r="HOX155" s="389"/>
      <c r="HOY155" s="389"/>
      <c r="HOZ155" s="389"/>
      <c r="HPA155" s="389"/>
      <c r="HPB155" s="389"/>
      <c r="HPC155" s="389"/>
      <c r="HPD155" s="389"/>
      <c r="HPE155" s="389"/>
      <c r="HPF155" s="389"/>
      <c r="HPG155" s="389"/>
      <c r="HPH155" s="389"/>
      <c r="HPI155" s="389"/>
      <c r="HPJ155" s="389"/>
      <c r="HPK155" s="389"/>
      <c r="HPL155" s="389"/>
      <c r="HPM155" s="389"/>
      <c r="HPN155" s="389"/>
      <c r="HPO155" s="389"/>
      <c r="HPP155" s="389"/>
      <c r="HPQ155" s="389"/>
      <c r="HPR155" s="389"/>
      <c r="HPS155" s="389"/>
      <c r="HPT155" s="389"/>
      <c r="HPU155" s="389"/>
      <c r="HPV155" s="389"/>
      <c r="HPW155" s="389"/>
      <c r="HPX155" s="389"/>
      <c r="HPY155" s="389"/>
      <c r="HPZ155" s="389"/>
      <c r="HQA155" s="389"/>
      <c r="HQB155" s="389"/>
      <c r="HQC155" s="389"/>
      <c r="HQD155" s="389"/>
      <c r="HQE155" s="389"/>
      <c r="HQF155" s="389"/>
      <c r="HQG155" s="389"/>
      <c r="HQH155" s="389"/>
      <c r="HQI155" s="389"/>
      <c r="HQJ155" s="389"/>
      <c r="HQK155" s="389"/>
      <c r="HQL155" s="389"/>
      <c r="HQM155" s="389"/>
      <c r="HQN155" s="389"/>
      <c r="HQO155" s="389"/>
      <c r="HQP155" s="389"/>
      <c r="HQQ155" s="389"/>
      <c r="HQR155" s="389"/>
      <c r="HQS155" s="389"/>
      <c r="HQT155" s="389"/>
      <c r="HQU155" s="389"/>
      <c r="HQV155" s="389"/>
      <c r="HQW155" s="389"/>
      <c r="HQX155" s="389"/>
      <c r="HQY155" s="389"/>
      <c r="HQZ155" s="389"/>
      <c r="HRA155" s="389"/>
      <c r="HRB155" s="389"/>
      <c r="HRC155" s="389"/>
      <c r="HRD155" s="389"/>
      <c r="HRE155" s="389"/>
      <c r="HRF155" s="389"/>
      <c r="HRG155" s="389"/>
      <c r="HRH155" s="389"/>
      <c r="HRI155" s="389"/>
      <c r="HRJ155" s="389"/>
      <c r="HRK155" s="389"/>
      <c r="HRL155" s="389"/>
      <c r="HRM155" s="389"/>
      <c r="HRN155" s="389"/>
      <c r="HRO155" s="389"/>
      <c r="HRP155" s="389"/>
      <c r="HRQ155" s="389"/>
      <c r="HRR155" s="389"/>
      <c r="HRS155" s="389"/>
      <c r="HRT155" s="389"/>
      <c r="HRU155" s="389"/>
      <c r="HRV155" s="389"/>
      <c r="HRW155" s="389"/>
      <c r="HRX155" s="389"/>
      <c r="HRY155" s="389"/>
      <c r="HRZ155" s="389"/>
      <c r="HSA155" s="389"/>
      <c r="HSB155" s="389"/>
      <c r="HSC155" s="389"/>
      <c r="HSD155" s="389"/>
      <c r="HSE155" s="389"/>
      <c r="HSF155" s="389"/>
      <c r="HSG155" s="389"/>
      <c r="HSH155" s="389"/>
      <c r="HSI155" s="389"/>
      <c r="HSJ155" s="389"/>
      <c r="HSK155" s="389"/>
      <c r="HSL155" s="389"/>
      <c r="HSM155" s="389"/>
      <c r="HSN155" s="389"/>
      <c r="HSO155" s="389"/>
      <c r="HSP155" s="389"/>
      <c r="HSQ155" s="389"/>
      <c r="HSR155" s="389"/>
      <c r="HSS155" s="389"/>
      <c r="HST155" s="389"/>
      <c r="HSU155" s="389"/>
      <c r="HSV155" s="389"/>
      <c r="HSW155" s="389"/>
      <c r="HSX155" s="389"/>
      <c r="HSY155" s="389"/>
      <c r="HSZ155" s="389"/>
      <c r="HTA155" s="389"/>
      <c r="HTB155" s="389"/>
      <c r="HTC155" s="389"/>
      <c r="HTD155" s="389"/>
      <c r="HTE155" s="389"/>
      <c r="HTF155" s="389"/>
      <c r="HTG155" s="389"/>
      <c r="HTH155" s="389"/>
      <c r="HTI155" s="389"/>
      <c r="HTJ155" s="389"/>
      <c r="HTK155" s="389"/>
      <c r="HTL155" s="389"/>
      <c r="HTM155" s="389"/>
      <c r="HTN155" s="389"/>
      <c r="HTO155" s="389"/>
      <c r="HTP155" s="389"/>
      <c r="HTQ155" s="389"/>
      <c r="HTR155" s="389"/>
      <c r="HTS155" s="389"/>
      <c r="HTT155" s="389"/>
      <c r="HTU155" s="389"/>
      <c r="HTV155" s="389"/>
      <c r="HTW155" s="389"/>
      <c r="HTX155" s="389"/>
      <c r="HTY155" s="389"/>
      <c r="HTZ155" s="389"/>
      <c r="HUA155" s="389"/>
      <c r="HUB155" s="389"/>
      <c r="HUC155" s="389"/>
      <c r="HUD155" s="389"/>
      <c r="HUE155" s="389"/>
      <c r="HUF155" s="389"/>
      <c r="HUG155" s="389"/>
      <c r="HUH155" s="389"/>
      <c r="HUI155" s="389"/>
      <c r="HUJ155" s="389"/>
      <c r="HUK155" s="389"/>
      <c r="HUL155" s="389"/>
      <c r="HUM155" s="389"/>
      <c r="HUN155" s="389"/>
      <c r="HUO155" s="389"/>
      <c r="HUP155" s="389"/>
      <c r="HUQ155" s="389"/>
      <c r="HUR155" s="389"/>
      <c r="HUS155" s="389"/>
      <c r="HUT155" s="389"/>
      <c r="HUU155" s="389"/>
      <c r="HUV155" s="389"/>
      <c r="HUW155" s="389"/>
      <c r="HUX155" s="389"/>
      <c r="HUY155" s="389"/>
      <c r="HUZ155" s="389"/>
      <c r="HVA155" s="389"/>
      <c r="HVB155" s="389"/>
      <c r="HVC155" s="389"/>
      <c r="HVD155" s="389"/>
      <c r="HVE155" s="389"/>
      <c r="HVF155" s="389"/>
      <c r="HVG155" s="389"/>
      <c r="HVH155" s="389"/>
      <c r="HVI155" s="389"/>
      <c r="HVJ155" s="389"/>
      <c r="HVK155" s="389"/>
      <c r="HVL155" s="389"/>
      <c r="HVM155" s="389"/>
      <c r="HVN155" s="389"/>
      <c r="HVO155" s="389"/>
      <c r="HVP155" s="389"/>
      <c r="HVQ155" s="389"/>
      <c r="HVR155" s="389"/>
      <c r="HVS155" s="389"/>
      <c r="HVT155" s="389"/>
      <c r="HVU155" s="389"/>
      <c r="HVV155" s="389"/>
      <c r="HVW155" s="389"/>
      <c r="HVX155" s="389"/>
      <c r="HVY155" s="389"/>
      <c r="HVZ155" s="389"/>
      <c r="HWA155" s="389"/>
      <c r="HWB155" s="389"/>
      <c r="HWC155" s="389"/>
      <c r="HWD155" s="389"/>
      <c r="HWE155" s="389"/>
      <c r="HWF155" s="389"/>
      <c r="HWG155" s="389"/>
      <c r="HWH155" s="389"/>
      <c r="HWI155" s="389"/>
      <c r="HWJ155" s="389"/>
      <c r="HWK155" s="389"/>
      <c r="HWL155" s="389"/>
      <c r="HWM155" s="389"/>
      <c r="HWN155" s="389"/>
      <c r="HWO155" s="389"/>
      <c r="HWP155" s="389"/>
      <c r="HWQ155" s="389"/>
      <c r="HWR155" s="389"/>
      <c r="HWS155" s="389"/>
      <c r="HWT155" s="389"/>
      <c r="HWU155" s="389"/>
      <c r="HWV155" s="389"/>
      <c r="HWW155" s="389"/>
      <c r="HWX155" s="389"/>
      <c r="HWY155" s="389"/>
      <c r="HWZ155" s="389"/>
      <c r="HXA155" s="389"/>
      <c r="HXB155" s="389"/>
      <c r="HXC155" s="389"/>
      <c r="HXD155" s="389"/>
      <c r="HXE155" s="389"/>
      <c r="HXF155" s="389"/>
      <c r="HXG155" s="389"/>
      <c r="HXH155" s="389"/>
      <c r="HXI155" s="389"/>
      <c r="HXJ155" s="389"/>
      <c r="HXK155" s="389"/>
      <c r="HXL155" s="389"/>
      <c r="HXM155" s="389"/>
      <c r="HXN155" s="389"/>
      <c r="HXO155" s="389"/>
      <c r="HXP155" s="389"/>
      <c r="HXQ155" s="389"/>
      <c r="HXR155" s="389"/>
      <c r="HXS155" s="389"/>
      <c r="HXT155" s="389"/>
      <c r="HXU155" s="389"/>
      <c r="HXV155" s="389"/>
      <c r="HXW155" s="389"/>
      <c r="HXX155" s="389"/>
      <c r="HXY155" s="389"/>
      <c r="HXZ155" s="389"/>
      <c r="HYA155" s="389"/>
      <c r="HYB155" s="389"/>
      <c r="HYC155" s="389"/>
      <c r="HYD155" s="389"/>
      <c r="HYE155" s="389"/>
      <c r="HYF155" s="389"/>
      <c r="HYG155" s="389"/>
      <c r="HYH155" s="389"/>
      <c r="HYI155" s="389"/>
      <c r="HYJ155" s="389"/>
      <c r="HYK155" s="389"/>
      <c r="HYL155" s="389"/>
      <c r="HYM155" s="389"/>
      <c r="HYN155" s="389"/>
      <c r="HYO155" s="389"/>
      <c r="HYP155" s="389"/>
      <c r="HYQ155" s="389"/>
      <c r="HYR155" s="389"/>
      <c r="HYS155" s="389"/>
      <c r="HYT155" s="389"/>
      <c r="HYU155" s="389"/>
      <c r="HYV155" s="389"/>
      <c r="HYW155" s="389"/>
      <c r="HYX155" s="389"/>
      <c r="HYY155" s="389"/>
      <c r="HYZ155" s="389"/>
      <c r="HZA155" s="389"/>
      <c r="HZB155" s="389"/>
      <c r="HZC155" s="389"/>
      <c r="HZD155" s="389"/>
      <c r="HZE155" s="389"/>
      <c r="HZF155" s="389"/>
      <c r="HZG155" s="389"/>
      <c r="HZH155" s="389"/>
      <c r="HZI155" s="389"/>
      <c r="HZJ155" s="389"/>
      <c r="HZK155" s="389"/>
      <c r="HZL155" s="389"/>
      <c r="HZM155" s="389"/>
      <c r="HZN155" s="389"/>
      <c r="HZO155" s="389"/>
      <c r="HZP155" s="389"/>
      <c r="HZQ155" s="389"/>
      <c r="HZR155" s="389"/>
      <c r="HZS155" s="389"/>
      <c r="HZT155" s="389"/>
      <c r="HZU155" s="389"/>
      <c r="HZV155" s="389"/>
      <c r="HZW155" s="389"/>
      <c r="HZX155" s="389"/>
      <c r="HZY155" s="389"/>
      <c r="HZZ155" s="389"/>
      <c r="IAA155" s="389"/>
      <c r="IAB155" s="389"/>
      <c r="IAC155" s="389"/>
      <c r="IAD155" s="389"/>
      <c r="IAE155" s="389"/>
      <c r="IAF155" s="389"/>
      <c r="IAG155" s="389"/>
      <c r="IAH155" s="389"/>
      <c r="IAI155" s="389"/>
      <c r="IAJ155" s="389"/>
      <c r="IAK155" s="389"/>
      <c r="IAL155" s="389"/>
      <c r="IAM155" s="389"/>
      <c r="IAN155" s="389"/>
      <c r="IAO155" s="389"/>
      <c r="IAP155" s="389"/>
      <c r="IAQ155" s="389"/>
      <c r="IAR155" s="389"/>
      <c r="IAS155" s="389"/>
      <c r="IAT155" s="389"/>
      <c r="IAU155" s="389"/>
      <c r="IAV155" s="389"/>
      <c r="IAW155" s="389"/>
      <c r="IAX155" s="389"/>
      <c r="IAY155" s="389"/>
      <c r="IAZ155" s="389"/>
      <c r="IBA155" s="389"/>
      <c r="IBB155" s="389"/>
      <c r="IBC155" s="389"/>
      <c r="IBD155" s="389"/>
      <c r="IBE155" s="389"/>
      <c r="IBF155" s="389"/>
      <c r="IBG155" s="389"/>
      <c r="IBH155" s="389"/>
      <c r="IBI155" s="389"/>
      <c r="IBJ155" s="389"/>
      <c r="IBK155" s="389"/>
      <c r="IBL155" s="389"/>
      <c r="IBM155" s="389"/>
      <c r="IBN155" s="389"/>
      <c r="IBO155" s="389"/>
      <c r="IBP155" s="389"/>
      <c r="IBQ155" s="389"/>
      <c r="IBR155" s="389"/>
      <c r="IBS155" s="389"/>
      <c r="IBT155" s="389"/>
      <c r="IBU155" s="389"/>
      <c r="IBV155" s="389"/>
      <c r="IBW155" s="389"/>
      <c r="IBX155" s="389"/>
      <c r="IBY155" s="389"/>
      <c r="IBZ155" s="389"/>
      <c r="ICA155" s="389"/>
      <c r="ICB155" s="389"/>
      <c r="ICC155" s="389"/>
      <c r="ICD155" s="389"/>
      <c r="ICE155" s="389"/>
      <c r="ICF155" s="389"/>
      <c r="ICG155" s="389"/>
      <c r="ICH155" s="389"/>
      <c r="ICI155" s="389"/>
      <c r="ICJ155" s="389"/>
      <c r="ICK155" s="389"/>
      <c r="ICL155" s="389"/>
      <c r="ICM155" s="389"/>
      <c r="ICN155" s="389"/>
      <c r="ICO155" s="389"/>
      <c r="ICP155" s="389"/>
      <c r="ICQ155" s="389"/>
      <c r="ICR155" s="389"/>
      <c r="ICS155" s="389"/>
      <c r="ICT155" s="389"/>
      <c r="ICU155" s="389"/>
      <c r="ICV155" s="389"/>
      <c r="ICW155" s="389"/>
      <c r="ICX155" s="389"/>
      <c r="ICY155" s="389"/>
      <c r="ICZ155" s="389"/>
      <c r="IDA155" s="389"/>
      <c r="IDB155" s="389"/>
      <c r="IDC155" s="389"/>
      <c r="IDD155" s="389"/>
      <c r="IDE155" s="389"/>
      <c r="IDF155" s="389"/>
      <c r="IDG155" s="389"/>
      <c r="IDH155" s="389"/>
      <c r="IDI155" s="389"/>
      <c r="IDJ155" s="389"/>
      <c r="IDK155" s="389"/>
      <c r="IDL155" s="389"/>
      <c r="IDM155" s="389"/>
      <c r="IDN155" s="389"/>
      <c r="IDO155" s="389"/>
      <c r="IDP155" s="389"/>
      <c r="IDQ155" s="389"/>
      <c r="IDR155" s="389"/>
      <c r="IDS155" s="389"/>
      <c r="IDT155" s="389"/>
      <c r="IDU155" s="389"/>
      <c r="IDV155" s="389"/>
      <c r="IDW155" s="389"/>
      <c r="IDX155" s="389"/>
      <c r="IDY155" s="389"/>
      <c r="IDZ155" s="389"/>
      <c r="IEA155" s="389"/>
      <c r="IEB155" s="389"/>
      <c r="IEC155" s="389"/>
      <c r="IED155" s="389"/>
      <c r="IEE155" s="389"/>
      <c r="IEF155" s="389"/>
      <c r="IEG155" s="389"/>
      <c r="IEH155" s="389"/>
      <c r="IEI155" s="389"/>
      <c r="IEJ155" s="389"/>
      <c r="IEK155" s="389"/>
      <c r="IEL155" s="389"/>
      <c r="IEM155" s="389"/>
      <c r="IEN155" s="389"/>
      <c r="IEO155" s="389"/>
      <c r="IEP155" s="389"/>
      <c r="IEQ155" s="389"/>
      <c r="IER155" s="389"/>
      <c r="IES155" s="389"/>
      <c r="IET155" s="389"/>
      <c r="IEU155" s="389"/>
      <c r="IEV155" s="389"/>
      <c r="IEW155" s="389"/>
      <c r="IEX155" s="389"/>
      <c r="IEY155" s="389"/>
      <c r="IEZ155" s="389"/>
      <c r="IFA155" s="389"/>
      <c r="IFB155" s="389"/>
      <c r="IFC155" s="389"/>
      <c r="IFD155" s="389"/>
      <c r="IFE155" s="389"/>
      <c r="IFF155" s="389"/>
      <c r="IFG155" s="389"/>
      <c r="IFH155" s="389"/>
      <c r="IFI155" s="389"/>
      <c r="IFJ155" s="389"/>
      <c r="IFK155" s="389"/>
      <c r="IFL155" s="389"/>
      <c r="IFM155" s="389"/>
      <c r="IFN155" s="389"/>
      <c r="IFO155" s="389"/>
      <c r="IFP155" s="389"/>
      <c r="IFQ155" s="389"/>
      <c r="IFR155" s="389"/>
      <c r="IFS155" s="389"/>
      <c r="IFT155" s="389"/>
      <c r="IFU155" s="389"/>
      <c r="IFV155" s="389"/>
      <c r="IFW155" s="389"/>
      <c r="IFX155" s="389"/>
      <c r="IFY155" s="389"/>
      <c r="IFZ155" s="389"/>
      <c r="IGA155" s="389"/>
      <c r="IGB155" s="389"/>
      <c r="IGC155" s="389"/>
      <c r="IGD155" s="389"/>
      <c r="IGE155" s="389"/>
      <c r="IGF155" s="389"/>
      <c r="IGG155" s="389"/>
      <c r="IGH155" s="389"/>
      <c r="IGI155" s="389"/>
      <c r="IGJ155" s="389"/>
      <c r="IGK155" s="389"/>
      <c r="IGL155" s="389"/>
      <c r="IGM155" s="389"/>
      <c r="IGN155" s="389"/>
      <c r="IGO155" s="389"/>
      <c r="IGP155" s="389"/>
      <c r="IGQ155" s="389"/>
      <c r="IGR155" s="389"/>
      <c r="IGS155" s="389"/>
      <c r="IGT155" s="389"/>
      <c r="IGU155" s="389"/>
      <c r="IGV155" s="389"/>
      <c r="IGW155" s="389"/>
      <c r="IGX155" s="389"/>
      <c r="IGY155" s="389"/>
      <c r="IGZ155" s="389"/>
      <c r="IHA155" s="389"/>
      <c r="IHB155" s="389"/>
      <c r="IHC155" s="389"/>
      <c r="IHD155" s="389"/>
      <c r="IHE155" s="389"/>
      <c r="IHF155" s="389"/>
      <c r="IHG155" s="389"/>
      <c r="IHH155" s="389"/>
      <c r="IHI155" s="389"/>
      <c r="IHJ155" s="389"/>
      <c r="IHK155" s="389"/>
      <c r="IHL155" s="389"/>
      <c r="IHM155" s="389"/>
      <c r="IHN155" s="389"/>
      <c r="IHO155" s="389"/>
      <c r="IHP155" s="389"/>
      <c r="IHQ155" s="389"/>
      <c r="IHR155" s="389"/>
      <c r="IHS155" s="389"/>
      <c r="IHT155" s="389"/>
      <c r="IHU155" s="389"/>
      <c r="IHV155" s="389"/>
      <c r="IHW155" s="389"/>
      <c r="IHX155" s="389"/>
      <c r="IHY155" s="389"/>
      <c r="IHZ155" s="389"/>
      <c r="IIA155" s="389"/>
      <c r="IIB155" s="389"/>
      <c r="IIC155" s="389"/>
      <c r="IID155" s="389"/>
      <c r="IIE155" s="389"/>
      <c r="IIF155" s="389"/>
      <c r="IIG155" s="389"/>
      <c r="IIH155" s="389"/>
      <c r="III155" s="389"/>
      <c r="IIJ155" s="389"/>
      <c r="IIK155" s="389"/>
      <c r="IIL155" s="389"/>
      <c r="IIM155" s="389"/>
      <c r="IIN155" s="389"/>
      <c r="IIO155" s="389"/>
      <c r="IIP155" s="389"/>
      <c r="IIQ155" s="389"/>
      <c r="IIR155" s="389"/>
      <c r="IIS155" s="389"/>
      <c r="IIT155" s="389"/>
      <c r="IIU155" s="389"/>
      <c r="IIV155" s="389"/>
      <c r="IIW155" s="389"/>
      <c r="IIX155" s="389"/>
      <c r="IIY155" s="389"/>
      <c r="IIZ155" s="389"/>
      <c r="IJA155" s="389"/>
      <c r="IJB155" s="389"/>
      <c r="IJC155" s="389"/>
      <c r="IJD155" s="389"/>
      <c r="IJE155" s="389"/>
      <c r="IJF155" s="389"/>
      <c r="IJG155" s="389"/>
      <c r="IJH155" s="389"/>
      <c r="IJI155" s="389"/>
      <c r="IJJ155" s="389"/>
      <c r="IJK155" s="389"/>
      <c r="IJL155" s="389"/>
      <c r="IJM155" s="389"/>
      <c r="IJN155" s="389"/>
      <c r="IJO155" s="389"/>
      <c r="IJP155" s="389"/>
      <c r="IJQ155" s="389"/>
      <c r="IJR155" s="389"/>
      <c r="IJS155" s="389"/>
      <c r="IJT155" s="389"/>
      <c r="IJU155" s="389"/>
      <c r="IJV155" s="389"/>
      <c r="IJW155" s="389"/>
      <c r="IJX155" s="389"/>
      <c r="IJY155" s="389"/>
      <c r="IJZ155" s="389"/>
      <c r="IKA155" s="389"/>
      <c r="IKB155" s="389"/>
      <c r="IKC155" s="389"/>
      <c r="IKD155" s="389"/>
      <c r="IKE155" s="389"/>
      <c r="IKF155" s="389"/>
      <c r="IKG155" s="389"/>
      <c r="IKH155" s="389"/>
      <c r="IKI155" s="389"/>
      <c r="IKJ155" s="389"/>
      <c r="IKK155" s="389"/>
      <c r="IKL155" s="389"/>
      <c r="IKM155" s="389"/>
      <c r="IKN155" s="389"/>
      <c r="IKO155" s="389"/>
      <c r="IKP155" s="389"/>
      <c r="IKQ155" s="389"/>
      <c r="IKR155" s="389"/>
      <c r="IKS155" s="389"/>
      <c r="IKT155" s="389"/>
      <c r="IKU155" s="389"/>
      <c r="IKV155" s="389"/>
      <c r="IKW155" s="389"/>
      <c r="IKX155" s="389"/>
      <c r="IKY155" s="389"/>
      <c r="IKZ155" s="389"/>
      <c r="ILA155" s="389"/>
      <c r="ILB155" s="389"/>
      <c r="ILC155" s="389"/>
      <c r="ILD155" s="389"/>
      <c r="ILE155" s="389"/>
      <c r="ILF155" s="389"/>
      <c r="ILG155" s="389"/>
      <c r="ILH155" s="389"/>
      <c r="ILI155" s="389"/>
      <c r="ILJ155" s="389"/>
      <c r="ILK155" s="389"/>
      <c r="ILL155" s="389"/>
      <c r="ILM155" s="389"/>
      <c r="ILN155" s="389"/>
      <c r="ILO155" s="389"/>
      <c r="ILP155" s="389"/>
      <c r="ILQ155" s="389"/>
      <c r="ILR155" s="389"/>
      <c r="ILS155" s="389"/>
      <c r="ILT155" s="389"/>
      <c r="ILU155" s="389"/>
      <c r="ILV155" s="389"/>
      <c r="ILW155" s="389"/>
      <c r="ILX155" s="389"/>
      <c r="ILY155" s="389"/>
      <c r="ILZ155" s="389"/>
      <c r="IMA155" s="389"/>
      <c r="IMB155" s="389"/>
      <c r="IMC155" s="389"/>
      <c r="IMD155" s="389"/>
      <c r="IME155" s="389"/>
      <c r="IMF155" s="389"/>
      <c r="IMG155" s="389"/>
      <c r="IMH155" s="389"/>
      <c r="IMI155" s="389"/>
      <c r="IMJ155" s="389"/>
      <c r="IMK155" s="389"/>
      <c r="IML155" s="389"/>
      <c r="IMM155" s="389"/>
      <c r="IMN155" s="389"/>
      <c r="IMO155" s="389"/>
      <c r="IMP155" s="389"/>
      <c r="IMQ155" s="389"/>
      <c r="IMR155" s="389"/>
      <c r="IMS155" s="389"/>
      <c r="IMT155" s="389"/>
      <c r="IMU155" s="389"/>
      <c r="IMV155" s="389"/>
      <c r="IMW155" s="389"/>
      <c r="IMX155" s="389"/>
      <c r="IMY155" s="389"/>
      <c r="IMZ155" s="389"/>
      <c r="INA155" s="389"/>
      <c r="INB155" s="389"/>
      <c r="INC155" s="389"/>
      <c r="IND155" s="389"/>
      <c r="INE155" s="389"/>
      <c r="INF155" s="389"/>
      <c r="ING155" s="389"/>
      <c r="INH155" s="389"/>
      <c r="INI155" s="389"/>
      <c r="INJ155" s="389"/>
      <c r="INK155" s="389"/>
      <c r="INL155" s="389"/>
      <c r="INM155" s="389"/>
      <c r="INN155" s="389"/>
      <c r="INO155" s="389"/>
      <c r="INP155" s="389"/>
      <c r="INQ155" s="389"/>
      <c r="INR155" s="389"/>
      <c r="INS155" s="389"/>
      <c r="INT155" s="389"/>
      <c r="INU155" s="389"/>
      <c r="INV155" s="389"/>
      <c r="INW155" s="389"/>
      <c r="INX155" s="389"/>
      <c r="INY155" s="389"/>
      <c r="INZ155" s="389"/>
      <c r="IOA155" s="389"/>
      <c r="IOB155" s="389"/>
      <c r="IOC155" s="389"/>
      <c r="IOD155" s="389"/>
      <c r="IOE155" s="389"/>
      <c r="IOF155" s="389"/>
      <c r="IOG155" s="389"/>
      <c r="IOH155" s="389"/>
      <c r="IOI155" s="389"/>
      <c r="IOJ155" s="389"/>
      <c r="IOK155" s="389"/>
      <c r="IOL155" s="389"/>
      <c r="IOM155" s="389"/>
      <c r="ION155" s="389"/>
      <c r="IOO155" s="389"/>
      <c r="IOP155" s="389"/>
      <c r="IOQ155" s="389"/>
      <c r="IOR155" s="389"/>
      <c r="IOS155" s="389"/>
      <c r="IOT155" s="389"/>
      <c r="IOU155" s="389"/>
      <c r="IOV155" s="389"/>
      <c r="IOW155" s="389"/>
      <c r="IOX155" s="389"/>
      <c r="IOY155" s="389"/>
      <c r="IOZ155" s="389"/>
      <c r="IPA155" s="389"/>
      <c r="IPB155" s="389"/>
      <c r="IPC155" s="389"/>
      <c r="IPD155" s="389"/>
      <c r="IPE155" s="389"/>
      <c r="IPF155" s="389"/>
      <c r="IPG155" s="389"/>
      <c r="IPH155" s="389"/>
      <c r="IPI155" s="389"/>
      <c r="IPJ155" s="389"/>
      <c r="IPK155" s="389"/>
      <c r="IPL155" s="389"/>
      <c r="IPM155" s="389"/>
      <c r="IPN155" s="389"/>
      <c r="IPO155" s="389"/>
      <c r="IPP155" s="389"/>
      <c r="IPQ155" s="389"/>
      <c r="IPR155" s="389"/>
      <c r="IPS155" s="389"/>
      <c r="IPT155" s="389"/>
      <c r="IPU155" s="389"/>
      <c r="IPV155" s="389"/>
      <c r="IPW155" s="389"/>
      <c r="IPX155" s="389"/>
      <c r="IPY155" s="389"/>
      <c r="IPZ155" s="389"/>
      <c r="IQA155" s="389"/>
      <c r="IQB155" s="389"/>
      <c r="IQC155" s="389"/>
      <c r="IQD155" s="389"/>
      <c r="IQE155" s="389"/>
      <c r="IQF155" s="389"/>
      <c r="IQG155" s="389"/>
      <c r="IQH155" s="389"/>
      <c r="IQI155" s="389"/>
      <c r="IQJ155" s="389"/>
      <c r="IQK155" s="389"/>
      <c r="IQL155" s="389"/>
      <c r="IQM155" s="389"/>
      <c r="IQN155" s="389"/>
      <c r="IQO155" s="389"/>
      <c r="IQP155" s="389"/>
      <c r="IQQ155" s="389"/>
      <c r="IQR155" s="389"/>
      <c r="IQS155" s="389"/>
      <c r="IQT155" s="389"/>
      <c r="IQU155" s="389"/>
      <c r="IQV155" s="389"/>
      <c r="IQW155" s="389"/>
      <c r="IQX155" s="389"/>
      <c r="IQY155" s="389"/>
      <c r="IQZ155" s="389"/>
      <c r="IRA155" s="389"/>
      <c r="IRB155" s="389"/>
      <c r="IRC155" s="389"/>
      <c r="IRD155" s="389"/>
      <c r="IRE155" s="389"/>
      <c r="IRF155" s="389"/>
      <c r="IRG155" s="389"/>
      <c r="IRH155" s="389"/>
      <c r="IRI155" s="389"/>
      <c r="IRJ155" s="389"/>
      <c r="IRK155" s="389"/>
      <c r="IRL155" s="389"/>
      <c r="IRM155" s="389"/>
      <c r="IRN155" s="389"/>
      <c r="IRO155" s="389"/>
      <c r="IRP155" s="389"/>
      <c r="IRQ155" s="389"/>
      <c r="IRR155" s="389"/>
      <c r="IRS155" s="389"/>
      <c r="IRT155" s="389"/>
      <c r="IRU155" s="389"/>
      <c r="IRV155" s="389"/>
      <c r="IRW155" s="389"/>
      <c r="IRX155" s="389"/>
      <c r="IRY155" s="389"/>
      <c r="IRZ155" s="389"/>
      <c r="ISA155" s="389"/>
      <c r="ISB155" s="389"/>
      <c r="ISC155" s="389"/>
      <c r="ISD155" s="389"/>
      <c r="ISE155" s="389"/>
      <c r="ISF155" s="389"/>
      <c r="ISG155" s="389"/>
      <c r="ISH155" s="389"/>
      <c r="ISI155" s="389"/>
      <c r="ISJ155" s="389"/>
      <c r="ISK155" s="389"/>
      <c r="ISL155" s="389"/>
      <c r="ISM155" s="389"/>
      <c r="ISN155" s="389"/>
      <c r="ISO155" s="389"/>
      <c r="ISP155" s="389"/>
      <c r="ISQ155" s="389"/>
      <c r="ISR155" s="389"/>
      <c r="ISS155" s="389"/>
      <c r="IST155" s="389"/>
      <c r="ISU155" s="389"/>
      <c r="ISV155" s="389"/>
      <c r="ISW155" s="389"/>
      <c r="ISX155" s="389"/>
      <c r="ISY155" s="389"/>
      <c r="ISZ155" s="389"/>
      <c r="ITA155" s="389"/>
      <c r="ITB155" s="389"/>
      <c r="ITC155" s="389"/>
      <c r="ITD155" s="389"/>
      <c r="ITE155" s="389"/>
      <c r="ITF155" s="389"/>
      <c r="ITG155" s="389"/>
      <c r="ITH155" s="389"/>
      <c r="ITI155" s="389"/>
      <c r="ITJ155" s="389"/>
      <c r="ITK155" s="389"/>
      <c r="ITL155" s="389"/>
      <c r="ITM155" s="389"/>
      <c r="ITN155" s="389"/>
      <c r="ITO155" s="389"/>
      <c r="ITP155" s="389"/>
      <c r="ITQ155" s="389"/>
      <c r="ITR155" s="389"/>
      <c r="ITS155" s="389"/>
      <c r="ITT155" s="389"/>
      <c r="ITU155" s="389"/>
      <c r="ITV155" s="389"/>
      <c r="ITW155" s="389"/>
      <c r="ITX155" s="389"/>
      <c r="ITY155" s="389"/>
      <c r="ITZ155" s="389"/>
      <c r="IUA155" s="389"/>
      <c r="IUB155" s="389"/>
      <c r="IUC155" s="389"/>
      <c r="IUD155" s="389"/>
      <c r="IUE155" s="389"/>
      <c r="IUF155" s="389"/>
      <c r="IUG155" s="389"/>
      <c r="IUH155" s="389"/>
      <c r="IUI155" s="389"/>
      <c r="IUJ155" s="389"/>
      <c r="IUK155" s="389"/>
      <c r="IUL155" s="389"/>
      <c r="IUM155" s="389"/>
      <c r="IUN155" s="389"/>
      <c r="IUO155" s="389"/>
      <c r="IUP155" s="389"/>
      <c r="IUQ155" s="389"/>
      <c r="IUR155" s="389"/>
      <c r="IUS155" s="389"/>
      <c r="IUT155" s="389"/>
      <c r="IUU155" s="389"/>
      <c r="IUV155" s="389"/>
      <c r="IUW155" s="389"/>
      <c r="IUX155" s="389"/>
      <c r="IUY155" s="389"/>
      <c r="IUZ155" s="389"/>
      <c r="IVA155" s="389"/>
      <c r="IVB155" s="389"/>
      <c r="IVC155" s="389"/>
      <c r="IVD155" s="389"/>
      <c r="IVE155" s="389"/>
      <c r="IVF155" s="389"/>
      <c r="IVG155" s="389"/>
      <c r="IVH155" s="389"/>
      <c r="IVI155" s="389"/>
      <c r="IVJ155" s="389"/>
      <c r="IVK155" s="389"/>
      <c r="IVL155" s="389"/>
      <c r="IVM155" s="389"/>
      <c r="IVN155" s="389"/>
      <c r="IVO155" s="389"/>
      <c r="IVP155" s="389"/>
      <c r="IVQ155" s="389"/>
      <c r="IVR155" s="389"/>
      <c r="IVS155" s="389"/>
      <c r="IVT155" s="389"/>
      <c r="IVU155" s="389"/>
      <c r="IVV155" s="389"/>
      <c r="IVW155" s="389"/>
      <c r="IVX155" s="389"/>
      <c r="IVY155" s="389"/>
      <c r="IVZ155" s="389"/>
      <c r="IWA155" s="389"/>
      <c r="IWB155" s="389"/>
      <c r="IWC155" s="389"/>
      <c r="IWD155" s="389"/>
      <c r="IWE155" s="389"/>
      <c r="IWF155" s="389"/>
      <c r="IWG155" s="389"/>
      <c r="IWH155" s="389"/>
      <c r="IWI155" s="389"/>
      <c r="IWJ155" s="389"/>
      <c r="IWK155" s="389"/>
      <c r="IWL155" s="389"/>
      <c r="IWM155" s="389"/>
      <c r="IWN155" s="389"/>
      <c r="IWO155" s="389"/>
      <c r="IWP155" s="389"/>
      <c r="IWQ155" s="389"/>
      <c r="IWR155" s="389"/>
      <c r="IWS155" s="389"/>
      <c r="IWT155" s="389"/>
      <c r="IWU155" s="389"/>
      <c r="IWV155" s="389"/>
      <c r="IWW155" s="389"/>
      <c r="IWX155" s="389"/>
      <c r="IWY155" s="389"/>
      <c r="IWZ155" s="389"/>
      <c r="IXA155" s="389"/>
      <c r="IXB155" s="389"/>
      <c r="IXC155" s="389"/>
      <c r="IXD155" s="389"/>
      <c r="IXE155" s="389"/>
      <c r="IXF155" s="389"/>
      <c r="IXG155" s="389"/>
      <c r="IXH155" s="389"/>
      <c r="IXI155" s="389"/>
      <c r="IXJ155" s="389"/>
      <c r="IXK155" s="389"/>
      <c r="IXL155" s="389"/>
      <c r="IXM155" s="389"/>
      <c r="IXN155" s="389"/>
      <c r="IXO155" s="389"/>
      <c r="IXP155" s="389"/>
      <c r="IXQ155" s="389"/>
      <c r="IXR155" s="389"/>
      <c r="IXS155" s="389"/>
      <c r="IXT155" s="389"/>
      <c r="IXU155" s="389"/>
      <c r="IXV155" s="389"/>
      <c r="IXW155" s="389"/>
      <c r="IXX155" s="389"/>
      <c r="IXY155" s="389"/>
      <c r="IXZ155" s="389"/>
      <c r="IYA155" s="389"/>
      <c r="IYB155" s="389"/>
      <c r="IYC155" s="389"/>
      <c r="IYD155" s="389"/>
      <c r="IYE155" s="389"/>
      <c r="IYF155" s="389"/>
      <c r="IYG155" s="389"/>
      <c r="IYH155" s="389"/>
      <c r="IYI155" s="389"/>
      <c r="IYJ155" s="389"/>
      <c r="IYK155" s="389"/>
      <c r="IYL155" s="389"/>
      <c r="IYM155" s="389"/>
      <c r="IYN155" s="389"/>
      <c r="IYO155" s="389"/>
      <c r="IYP155" s="389"/>
      <c r="IYQ155" s="389"/>
      <c r="IYR155" s="389"/>
      <c r="IYS155" s="389"/>
      <c r="IYT155" s="389"/>
      <c r="IYU155" s="389"/>
      <c r="IYV155" s="389"/>
      <c r="IYW155" s="389"/>
      <c r="IYX155" s="389"/>
      <c r="IYY155" s="389"/>
      <c r="IYZ155" s="389"/>
      <c r="IZA155" s="389"/>
      <c r="IZB155" s="389"/>
      <c r="IZC155" s="389"/>
      <c r="IZD155" s="389"/>
      <c r="IZE155" s="389"/>
      <c r="IZF155" s="389"/>
      <c r="IZG155" s="389"/>
      <c r="IZH155" s="389"/>
      <c r="IZI155" s="389"/>
      <c r="IZJ155" s="389"/>
      <c r="IZK155" s="389"/>
      <c r="IZL155" s="389"/>
      <c r="IZM155" s="389"/>
      <c r="IZN155" s="389"/>
      <c r="IZO155" s="389"/>
      <c r="IZP155" s="389"/>
      <c r="IZQ155" s="389"/>
      <c r="IZR155" s="389"/>
      <c r="IZS155" s="389"/>
      <c r="IZT155" s="389"/>
      <c r="IZU155" s="389"/>
      <c r="IZV155" s="389"/>
      <c r="IZW155" s="389"/>
      <c r="IZX155" s="389"/>
      <c r="IZY155" s="389"/>
      <c r="IZZ155" s="389"/>
      <c r="JAA155" s="389"/>
      <c r="JAB155" s="389"/>
      <c r="JAC155" s="389"/>
      <c r="JAD155" s="389"/>
      <c r="JAE155" s="389"/>
      <c r="JAF155" s="389"/>
      <c r="JAG155" s="389"/>
      <c r="JAH155" s="389"/>
      <c r="JAI155" s="389"/>
      <c r="JAJ155" s="389"/>
      <c r="JAK155" s="389"/>
      <c r="JAL155" s="389"/>
      <c r="JAM155" s="389"/>
      <c r="JAN155" s="389"/>
      <c r="JAO155" s="389"/>
      <c r="JAP155" s="389"/>
      <c r="JAQ155" s="389"/>
      <c r="JAR155" s="389"/>
      <c r="JAS155" s="389"/>
      <c r="JAT155" s="389"/>
      <c r="JAU155" s="389"/>
      <c r="JAV155" s="389"/>
      <c r="JAW155" s="389"/>
      <c r="JAX155" s="389"/>
      <c r="JAY155" s="389"/>
      <c r="JAZ155" s="389"/>
      <c r="JBA155" s="389"/>
      <c r="JBB155" s="389"/>
      <c r="JBC155" s="389"/>
      <c r="JBD155" s="389"/>
      <c r="JBE155" s="389"/>
      <c r="JBF155" s="389"/>
      <c r="JBG155" s="389"/>
      <c r="JBH155" s="389"/>
      <c r="JBI155" s="389"/>
      <c r="JBJ155" s="389"/>
      <c r="JBK155" s="389"/>
      <c r="JBL155" s="389"/>
      <c r="JBM155" s="389"/>
      <c r="JBN155" s="389"/>
      <c r="JBO155" s="389"/>
      <c r="JBP155" s="389"/>
      <c r="JBQ155" s="389"/>
      <c r="JBR155" s="389"/>
      <c r="JBS155" s="389"/>
      <c r="JBT155" s="389"/>
      <c r="JBU155" s="389"/>
      <c r="JBV155" s="389"/>
      <c r="JBW155" s="389"/>
      <c r="JBX155" s="389"/>
      <c r="JBY155" s="389"/>
      <c r="JBZ155" s="389"/>
      <c r="JCA155" s="389"/>
      <c r="JCB155" s="389"/>
      <c r="JCC155" s="389"/>
      <c r="JCD155" s="389"/>
      <c r="JCE155" s="389"/>
      <c r="JCF155" s="389"/>
      <c r="JCG155" s="389"/>
      <c r="JCH155" s="389"/>
      <c r="JCI155" s="389"/>
      <c r="JCJ155" s="389"/>
      <c r="JCK155" s="389"/>
      <c r="JCL155" s="389"/>
      <c r="JCM155" s="389"/>
      <c r="JCN155" s="389"/>
      <c r="JCO155" s="389"/>
      <c r="JCP155" s="389"/>
      <c r="JCQ155" s="389"/>
      <c r="JCR155" s="389"/>
      <c r="JCS155" s="389"/>
      <c r="JCT155" s="389"/>
      <c r="JCU155" s="389"/>
      <c r="JCV155" s="389"/>
      <c r="JCW155" s="389"/>
      <c r="JCX155" s="389"/>
      <c r="JCY155" s="389"/>
      <c r="JCZ155" s="389"/>
      <c r="JDA155" s="389"/>
      <c r="JDB155" s="389"/>
      <c r="JDC155" s="389"/>
      <c r="JDD155" s="389"/>
      <c r="JDE155" s="389"/>
      <c r="JDF155" s="389"/>
      <c r="JDG155" s="389"/>
      <c r="JDH155" s="389"/>
      <c r="JDI155" s="389"/>
      <c r="JDJ155" s="389"/>
      <c r="JDK155" s="389"/>
      <c r="JDL155" s="389"/>
      <c r="JDM155" s="389"/>
      <c r="JDN155" s="389"/>
      <c r="JDO155" s="389"/>
      <c r="JDP155" s="389"/>
      <c r="JDQ155" s="389"/>
      <c r="JDR155" s="389"/>
      <c r="JDS155" s="389"/>
      <c r="JDT155" s="389"/>
      <c r="JDU155" s="389"/>
      <c r="JDV155" s="389"/>
      <c r="JDW155" s="389"/>
      <c r="JDX155" s="389"/>
      <c r="JDY155" s="389"/>
      <c r="JDZ155" s="389"/>
      <c r="JEA155" s="389"/>
      <c r="JEB155" s="389"/>
      <c r="JEC155" s="389"/>
      <c r="JED155" s="389"/>
      <c r="JEE155" s="389"/>
      <c r="JEF155" s="389"/>
      <c r="JEG155" s="389"/>
      <c r="JEH155" s="389"/>
      <c r="JEI155" s="389"/>
      <c r="JEJ155" s="389"/>
      <c r="JEK155" s="389"/>
      <c r="JEL155" s="389"/>
      <c r="JEM155" s="389"/>
      <c r="JEN155" s="389"/>
      <c r="JEO155" s="389"/>
      <c r="JEP155" s="389"/>
      <c r="JEQ155" s="389"/>
      <c r="JER155" s="389"/>
      <c r="JES155" s="389"/>
      <c r="JET155" s="389"/>
      <c r="JEU155" s="389"/>
      <c r="JEV155" s="389"/>
      <c r="JEW155" s="389"/>
      <c r="JEX155" s="389"/>
      <c r="JEY155" s="389"/>
      <c r="JEZ155" s="389"/>
      <c r="JFA155" s="389"/>
      <c r="JFB155" s="389"/>
      <c r="JFC155" s="389"/>
      <c r="JFD155" s="389"/>
      <c r="JFE155" s="389"/>
      <c r="JFF155" s="389"/>
      <c r="JFG155" s="389"/>
      <c r="JFH155" s="389"/>
      <c r="JFI155" s="389"/>
      <c r="JFJ155" s="389"/>
      <c r="JFK155" s="389"/>
      <c r="JFL155" s="389"/>
      <c r="JFM155" s="389"/>
      <c r="JFN155" s="389"/>
      <c r="JFO155" s="389"/>
      <c r="JFP155" s="389"/>
      <c r="JFQ155" s="389"/>
      <c r="JFR155" s="389"/>
      <c r="JFS155" s="389"/>
      <c r="JFT155" s="389"/>
      <c r="JFU155" s="389"/>
      <c r="JFV155" s="389"/>
      <c r="JFW155" s="389"/>
      <c r="JFX155" s="389"/>
      <c r="JFY155" s="389"/>
      <c r="JFZ155" s="389"/>
      <c r="JGA155" s="389"/>
      <c r="JGB155" s="389"/>
      <c r="JGC155" s="389"/>
      <c r="JGD155" s="389"/>
      <c r="JGE155" s="389"/>
      <c r="JGF155" s="389"/>
      <c r="JGG155" s="389"/>
      <c r="JGH155" s="389"/>
      <c r="JGI155" s="389"/>
      <c r="JGJ155" s="389"/>
      <c r="JGK155" s="389"/>
      <c r="JGL155" s="389"/>
      <c r="JGM155" s="389"/>
      <c r="JGN155" s="389"/>
      <c r="JGO155" s="389"/>
      <c r="JGP155" s="389"/>
      <c r="JGQ155" s="389"/>
      <c r="JGR155" s="389"/>
      <c r="JGS155" s="389"/>
      <c r="JGT155" s="389"/>
      <c r="JGU155" s="389"/>
      <c r="JGV155" s="389"/>
      <c r="JGW155" s="389"/>
      <c r="JGX155" s="389"/>
      <c r="JGY155" s="389"/>
      <c r="JGZ155" s="389"/>
      <c r="JHA155" s="389"/>
      <c r="JHB155" s="389"/>
      <c r="JHC155" s="389"/>
      <c r="JHD155" s="389"/>
      <c r="JHE155" s="389"/>
      <c r="JHF155" s="389"/>
      <c r="JHG155" s="389"/>
      <c r="JHH155" s="389"/>
      <c r="JHI155" s="389"/>
      <c r="JHJ155" s="389"/>
      <c r="JHK155" s="389"/>
      <c r="JHL155" s="389"/>
      <c r="JHM155" s="389"/>
      <c r="JHN155" s="389"/>
      <c r="JHO155" s="389"/>
      <c r="JHP155" s="389"/>
      <c r="JHQ155" s="389"/>
      <c r="JHR155" s="389"/>
      <c r="JHS155" s="389"/>
      <c r="JHT155" s="389"/>
      <c r="JHU155" s="389"/>
      <c r="JHV155" s="389"/>
      <c r="JHW155" s="389"/>
      <c r="JHX155" s="389"/>
      <c r="JHY155" s="389"/>
      <c r="JHZ155" s="389"/>
      <c r="JIA155" s="389"/>
      <c r="JIB155" s="389"/>
      <c r="JIC155" s="389"/>
      <c r="JID155" s="389"/>
      <c r="JIE155" s="389"/>
      <c r="JIF155" s="389"/>
      <c r="JIG155" s="389"/>
      <c r="JIH155" s="389"/>
      <c r="JII155" s="389"/>
      <c r="JIJ155" s="389"/>
      <c r="JIK155" s="389"/>
      <c r="JIL155" s="389"/>
      <c r="JIM155" s="389"/>
      <c r="JIN155" s="389"/>
      <c r="JIO155" s="389"/>
      <c r="JIP155" s="389"/>
      <c r="JIQ155" s="389"/>
      <c r="JIR155" s="389"/>
      <c r="JIS155" s="389"/>
      <c r="JIT155" s="389"/>
      <c r="JIU155" s="389"/>
      <c r="JIV155" s="389"/>
      <c r="JIW155" s="389"/>
      <c r="JIX155" s="389"/>
      <c r="JIY155" s="389"/>
      <c r="JIZ155" s="389"/>
      <c r="JJA155" s="389"/>
      <c r="JJB155" s="389"/>
      <c r="JJC155" s="389"/>
      <c r="JJD155" s="389"/>
      <c r="JJE155" s="389"/>
      <c r="JJF155" s="389"/>
      <c r="JJG155" s="389"/>
      <c r="JJH155" s="389"/>
      <c r="JJI155" s="389"/>
      <c r="JJJ155" s="389"/>
      <c r="JJK155" s="389"/>
      <c r="JJL155" s="389"/>
      <c r="JJM155" s="389"/>
      <c r="JJN155" s="389"/>
      <c r="JJO155" s="389"/>
      <c r="JJP155" s="389"/>
      <c r="JJQ155" s="389"/>
      <c r="JJR155" s="389"/>
      <c r="JJS155" s="389"/>
      <c r="JJT155" s="389"/>
      <c r="JJU155" s="389"/>
      <c r="JJV155" s="389"/>
      <c r="JJW155" s="389"/>
      <c r="JJX155" s="389"/>
      <c r="JJY155" s="389"/>
      <c r="JJZ155" s="389"/>
      <c r="JKA155" s="389"/>
      <c r="JKB155" s="389"/>
      <c r="JKC155" s="389"/>
      <c r="JKD155" s="389"/>
      <c r="JKE155" s="389"/>
      <c r="JKF155" s="389"/>
      <c r="JKG155" s="389"/>
      <c r="JKH155" s="389"/>
      <c r="JKI155" s="389"/>
      <c r="JKJ155" s="389"/>
      <c r="JKK155" s="389"/>
      <c r="JKL155" s="389"/>
      <c r="JKM155" s="389"/>
      <c r="JKN155" s="389"/>
      <c r="JKO155" s="389"/>
      <c r="JKP155" s="389"/>
      <c r="JKQ155" s="389"/>
      <c r="JKR155" s="389"/>
      <c r="JKS155" s="389"/>
      <c r="JKT155" s="389"/>
      <c r="JKU155" s="389"/>
      <c r="JKV155" s="389"/>
      <c r="JKW155" s="389"/>
      <c r="JKX155" s="389"/>
      <c r="JKY155" s="389"/>
      <c r="JKZ155" s="389"/>
      <c r="JLA155" s="389"/>
      <c r="JLB155" s="389"/>
      <c r="JLC155" s="389"/>
      <c r="JLD155" s="389"/>
      <c r="JLE155" s="389"/>
      <c r="JLF155" s="389"/>
      <c r="JLG155" s="389"/>
      <c r="JLH155" s="389"/>
      <c r="JLI155" s="389"/>
      <c r="JLJ155" s="389"/>
      <c r="JLK155" s="389"/>
      <c r="JLL155" s="389"/>
      <c r="JLM155" s="389"/>
      <c r="JLN155" s="389"/>
      <c r="JLO155" s="389"/>
      <c r="JLP155" s="389"/>
      <c r="JLQ155" s="389"/>
      <c r="JLR155" s="389"/>
      <c r="JLS155" s="389"/>
      <c r="JLT155" s="389"/>
      <c r="JLU155" s="389"/>
      <c r="JLV155" s="389"/>
      <c r="JLW155" s="389"/>
      <c r="JLX155" s="389"/>
      <c r="JLY155" s="389"/>
      <c r="JLZ155" s="389"/>
      <c r="JMA155" s="389"/>
      <c r="JMB155" s="389"/>
      <c r="JMC155" s="389"/>
      <c r="JMD155" s="389"/>
      <c r="JME155" s="389"/>
      <c r="JMF155" s="389"/>
      <c r="JMG155" s="389"/>
      <c r="JMH155" s="389"/>
      <c r="JMI155" s="389"/>
      <c r="JMJ155" s="389"/>
      <c r="JMK155" s="389"/>
      <c r="JML155" s="389"/>
      <c r="JMM155" s="389"/>
      <c r="JMN155" s="389"/>
      <c r="JMO155" s="389"/>
      <c r="JMP155" s="389"/>
      <c r="JMQ155" s="389"/>
      <c r="JMR155" s="389"/>
      <c r="JMS155" s="389"/>
      <c r="JMT155" s="389"/>
      <c r="JMU155" s="389"/>
      <c r="JMV155" s="389"/>
      <c r="JMW155" s="389"/>
      <c r="JMX155" s="389"/>
      <c r="JMY155" s="389"/>
      <c r="JMZ155" s="389"/>
      <c r="JNA155" s="389"/>
      <c r="JNB155" s="389"/>
      <c r="JNC155" s="389"/>
      <c r="JND155" s="389"/>
      <c r="JNE155" s="389"/>
      <c r="JNF155" s="389"/>
      <c r="JNG155" s="389"/>
      <c r="JNH155" s="389"/>
      <c r="JNI155" s="389"/>
      <c r="JNJ155" s="389"/>
      <c r="JNK155" s="389"/>
      <c r="JNL155" s="389"/>
      <c r="JNM155" s="389"/>
      <c r="JNN155" s="389"/>
      <c r="JNO155" s="389"/>
      <c r="JNP155" s="389"/>
      <c r="JNQ155" s="389"/>
      <c r="JNR155" s="389"/>
      <c r="JNS155" s="389"/>
      <c r="JNT155" s="389"/>
      <c r="JNU155" s="389"/>
      <c r="JNV155" s="389"/>
      <c r="JNW155" s="389"/>
      <c r="JNX155" s="389"/>
      <c r="JNY155" s="389"/>
      <c r="JNZ155" s="389"/>
      <c r="JOA155" s="389"/>
      <c r="JOB155" s="389"/>
      <c r="JOC155" s="389"/>
      <c r="JOD155" s="389"/>
      <c r="JOE155" s="389"/>
      <c r="JOF155" s="389"/>
      <c r="JOG155" s="389"/>
      <c r="JOH155" s="389"/>
      <c r="JOI155" s="389"/>
      <c r="JOJ155" s="389"/>
      <c r="JOK155" s="389"/>
      <c r="JOL155" s="389"/>
      <c r="JOM155" s="389"/>
      <c r="JON155" s="389"/>
      <c r="JOO155" s="389"/>
      <c r="JOP155" s="389"/>
      <c r="JOQ155" s="389"/>
      <c r="JOR155" s="389"/>
      <c r="JOS155" s="389"/>
      <c r="JOT155" s="389"/>
      <c r="JOU155" s="389"/>
      <c r="JOV155" s="389"/>
      <c r="JOW155" s="389"/>
      <c r="JOX155" s="389"/>
      <c r="JOY155" s="389"/>
      <c r="JOZ155" s="389"/>
      <c r="JPA155" s="389"/>
      <c r="JPB155" s="389"/>
      <c r="JPC155" s="389"/>
      <c r="JPD155" s="389"/>
      <c r="JPE155" s="389"/>
      <c r="JPF155" s="389"/>
      <c r="JPG155" s="389"/>
      <c r="JPH155" s="389"/>
      <c r="JPI155" s="389"/>
      <c r="JPJ155" s="389"/>
      <c r="JPK155" s="389"/>
      <c r="JPL155" s="389"/>
      <c r="JPM155" s="389"/>
      <c r="JPN155" s="389"/>
      <c r="JPO155" s="389"/>
      <c r="JPP155" s="389"/>
      <c r="JPQ155" s="389"/>
      <c r="JPR155" s="389"/>
      <c r="JPS155" s="389"/>
      <c r="JPT155" s="389"/>
      <c r="JPU155" s="389"/>
      <c r="JPV155" s="389"/>
      <c r="JPW155" s="389"/>
      <c r="JPX155" s="389"/>
      <c r="JPY155" s="389"/>
      <c r="JPZ155" s="389"/>
      <c r="JQA155" s="389"/>
      <c r="JQB155" s="389"/>
      <c r="JQC155" s="389"/>
      <c r="JQD155" s="389"/>
      <c r="JQE155" s="389"/>
      <c r="JQF155" s="389"/>
      <c r="JQG155" s="389"/>
      <c r="JQH155" s="389"/>
      <c r="JQI155" s="389"/>
      <c r="JQJ155" s="389"/>
      <c r="JQK155" s="389"/>
      <c r="JQL155" s="389"/>
      <c r="JQM155" s="389"/>
      <c r="JQN155" s="389"/>
      <c r="JQO155" s="389"/>
      <c r="JQP155" s="389"/>
      <c r="JQQ155" s="389"/>
      <c r="JQR155" s="389"/>
      <c r="JQS155" s="389"/>
      <c r="JQT155" s="389"/>
      <c r="JQU155" s="389"/>
      <c r="JQV155" s="389"/>
      <c r="JQW155" s="389"/>
      <c r="JQX155" s="389"/>
      <c r="JQY155" s="389"/>
      <c r="JQZ155" s="389"/>
      <c r="JRA155" s="389"/>
      <c r="JRB155" s="389"/>
      <c r="JRC155" s="389"/>
      <c r="JRD155" s="389"/>
      <c r="JRE155" s="389"/>
      <c r="JRF155" s="389"/>
      <c r="JRG155" s="389"/>
      <c r="JRH155" s="389"/>
      <c r="JRI155" s="389"/>
      <c r="JRJ155" s="389"/>
      <c r="JRK155" s="389"/>
      <c r="JRL155" s="389"/>
      <c r="JRM155" s="389"/>
      <c r="JRN155" s="389"/>
      <c r="JRO155" s="389"/>
      <c r="JRP155" s="389"/>
      <c r="JRQ155" s="389"/>
      <c r="JRR155" s="389"/>
      <c r="JRS155" s="389"/>
      <c r="JRT155" s="389"/>
      <c r="JRU155" s="389"/>
      <c r="JRV155" s="389"/>
      <c r="JRW155" s="389"/>
      <c r="JRX155" s="389"/>
      <c r="JRY155" s="389"/>
      <c r="JRZ155" s="389"/>
      <c r="JSA155" s="389"/>
      <c r="JSB155" s="389"/>
      <c r="JSC155" s="389"/>
      <c r="JSD155" s="389"/>
      <c r="JSE155" s="389"/>
      <c r="JSF155" s="389"/>
      <c r="JSG155" s="389"/>
      <c r="JSH155" s="389"/>
      <c r="JSI155" s="389"/>
      <c r="JSJ155" s="389"/>
      <c r="JSK155" s="389"/>
      <c r="JSL155" s="389"/>
      <c r="JSM155" s="389"/>
      <c r="JSN155" s="389"/>
      <c r="JSO155" s="389"/>
      <c r="JSP155" s="389"/>
      <c r="JSQ155" s="389"/>
      <c r="JSR155" s="389"/>
      <c r="JSS155" s="389"/>
      <c r="JST155" s="389"/>
      <c r="JSU155" s="389"/>
      <c r="JSV155" s="389"/>
      <c r="JSW155" s="389"/>
      <c r="JSX155" s="389"/>
      <c r="JSY155" s="389"/>
      <c r="JSZ155" s="389"/>
      <c r="JTA155" s="389"/>
      <c r="JTB155" s="389"/>
      <c r="JTC155" s="389"/>
      <c r="JTD155" s="389"/>
      <c r="JTE155" s="389"/>
      <c r="JTF155" s="389"/>
      <c r="JTG155" s="389"/>
      <c r="JTH155" s="389"/>
      <c r="JTI155" s="389"/>
      <c r="JTJ155" s="389"/>
      <c r="JTK155" s="389"/>
      <c r="JTL155" s="389"/>
      <c r="JTM155" s="389"/>
      <c r="JTN155" s="389"/>
      <c r="JTO155" s="389"/>
      <c r="JTP155" s="389"/>
      <c r="JTQ155" s="389"/>
      <c r="JTR155" s="389"/>
      <c r="JTS155" s="389"/>
      <c r="JTT155" s="389"/>
      <c r="JTU155" s="389"/>
      <c r="JTV155" s="389"/>
      <c r="JTW155" s="389"/>
      <c r="JTX155" s="389"/>
      <c r="JTY155" s="389"/>
      <c r="JTZ155" s="389"/>
      <c r="JUA155" s="389"/>
      <c r="JUB155" s="389"/>
      <c r="JUC155" s="389"/>
      <c r="JUD155" s="389"/>
      <c r="JUE155" s="389"/>
      <c r="JUF155" s="389"/>
      <c r="JUG155" s="389"/>
      <c r="JUH155" s="389"/>
      <c r="JUI155" s="389"/>
      <c r="JUJ155" s="389"/>
      <c r="JUK155" s="389"/>
      <c r="JUL155" s="389"/>
      <c r="JUM155" s="389"/>
      <c r="JUN155" s="389"/>
      <c r="JUO155" s="389"/>
      <c r="JUP155" s="389"/>
      <c r="JUQ155" s="389"/>
      <c r="JUR155" s="389"/>
      <c r="JUS155" s="389"/>
      <c r="JUT155" s="389"/>
      <c r="JUU155" s="389"/>
      <c r="JUV155" s="389"/>
      <c r="JUW155" s="389"/>
      <c r="JUX155" s="389"/>
      <c r="JUY155" s="389"/>
      <c r="JUZ155" s="389"/>
      <c r="JVA155" s="389"/>
      <c r="JVB155" s="389"/>
      <c r="JVC155" s="389"/>
      <c r="JVD155" s="389"/>
      <c r="JVE155" s="389"/>
      <c r="JVF155" s="389"/>
      <c r="JVG155" s="389"/>
      <c r="JVH155" s="389"/>
      <c r="JVI155" s="389"/>
      <c r="JVJ155" s="389"/>
      <c r="JVK155" s="389"/>
      <c r="JVL155" s="389"/>
      <c r="JVM155" s="389"/>
      <c r="JVN155" s="389"/>
      <c r="JVO155" s="389"/>
      <c r="JVP155" s="389"/>
      <c r="JVQ155" s="389"/>
      <c r="JVR155" s="389"/>
      <c r="JVS155" s="389"/>
      <c r="JVT155" s="389"/>
      <c r="JVU155" s="389"/>
      <c r="JVV155" s="389"/>
      <c r="JVW155" s="389"/>
      <c r="JVX155" s="389"/>
      <c r="JVY155" s="389"/>
      <c r="JVZ155" s="389"/>
      <c r="JWA155" s="389"/>
      <c r="JWB155" s="389"/>
      <c r="JWC155" s="389"/>
      <c r="JWD155" s="389"/>
      <c r="JWE155" s="389"/>
      <c r="JWF155" s="389"/>
      <c r="JWG155" s="389"/>
      <c r="JWH155" s="389"/>
      <c r="JWI155" s="389"/>
      <c r="JWJ155" s="389"/>
      <c r="JWK155" s="389"/>
      <c r="JWL155" s="389"/>
      <c r="JWM155" s="389"/>
      <c r="JWN155" s="389"/>
      <c r="JWO155" s="389"/>
      <c r="JWP155" s="389"/>
      <c r="JWQ155" s="389"/>
      <c r="JWR155" s="389"/>
      <c r="JWS155" s="389"/>
      <c r="JWT155" s="389"/>
      <c r="JWU155" s="389"/>
      <c r="JWV155" s="389"/>
      <c r="JWW155" s="389"/>
      <c r="JWX155" s="389"/>
      <c r="JWY155" s="389"/>
      <c r="JWZ155" s="389"/>
      <c r="JXA155" s="389"/>
      <c r="JXB155" s="389"/>
      <c r="JXC155" s="389"/>
      <c r="JXD155" s="389"/>
      <c r="JXE155" s="389"/>
      <c r="JXF155" s="389"/>
      <c r="JXG155" s="389"/>
      <c r="JXH155" s="389"/>
      <c r="JXI155" s="389"/>
      <c r="JXJ155" s="389"/>
      <c r="JXK155" s="389"/>
      <c r="JXL155" s="389"/>
      <c r="JXM155" s="389"/>
      <c r="JXN155" s="389"/>
      <c r="JXO155" s="389"/>
      <c r="JXP155" s="389"/>
      <c r="JXQ155" s="389"/>
      <c r="JXR155" s="389"/>
      <c r="JXS155" s="389"/>
      <c r="JXT155" s="389"/>
      <c r="JXU155" s="389"/>
      <c r="JXV155" s="389"/>
      <c r="JXW155" s="389"/>
      <c r="JXX155" s="389"/>
      <c r="JXY155" s="389"/>
      <c r="JXZ155" s="389"/>
      <c r="JYA155" s="389"/>
      <c r="JYB155" s="389"/>
      <c r="JYC155" s="389"/>
      <c r="JYD155" s="389"/>
      <c r="JYE155" s="389"/>
      <c r="JYF155" s="389"/>
      <c r="JYG155" s="389"/>
      <c r="JYH155" s="389"/>
      <c r="JYI155" s="389"/>
      <c r="JYJ155" s="389"/>
      <c r="JYK155" s="389"/>
      <c r="JYL155" s="389"/>
      <c r="JYM155" s="389"/>
      <c r="JYN155" s="389"/>
      <c r="JYO155" s="389"/>
      <c r="JYP155" s="389"/>
      <c r="JYQ155" s="389"/>
      <c r="JYR155" s="389"/>
      <c r="JYS155" s="389"/>
      <c r="JYT155" s="389"/>
      <c r="JYU155" s="389"/>
      <c r="JYV155" s="389"/>
      <c r="JYW155" s="389"/>
      <c r="JYX155" s="389"/>
      <c r="JYY155" s="389"/>
      <c r="JYZ155" s="389"/>
      <c r="JZA155" s="389"/>
      <c r="JZB155" s="389"/>
      <c r="JZC155" s="389"/>
      <c r="JZD155" s="389"/>
      <c r="JZE155" s="389"/>
      <c r="JZF155" s="389"/>
      <c r="JZG155" s="389"/>
      <c r="JZH155" s="389"/>
      <c r="JZI155" s="389"/>
      <c r="JZJ155" s="389"/>
      <c r="JZK155" s="389"/>
      <c r="JZL155" s="389"/>
      <c r="JZM155" s="389"/>
      <c r="JZN155" s="389"/>
      <c r="JZO155" s="389"/>
      <c r="JZP155" s="389"/>
      <c r="JZQ155" s="389"/>
      <c r="JZR155" s="389"/>
      <c r="JZS155" s="389"/>
      <c r="JZT155" s="389"/>
      <c r="JZU155" s="389"/>
      <c r="JZV155" s="389"/>
      <c r="JZW155" s="389"/>
      <c r="JZX155" s="389"/>
      <c r="JZY155" s="389"/>
      <c r="JZZ155" s="389"/>
      <c r="KAA155" s="389"/>
      <c r="KAB155" s="389"/>
      <c r="KAC155" s="389"/>
      <c r="KAD155" s="389"/>
      <c r="KAE155" s="389"/>
      <c r="KAF155" s="389"/>
      <c r="KAG155" s="389"/>
      <c r="KAH155" s="389"/>
      <c r="KAI155" s="389"/>
      <c r="KAJ155" s="389"/>
      <c r="KAK155" s="389"/>
      <c r="KAL155" s="389"/>
      <c r="KAM155" s="389"/>
      <c r="KAN155" s="389"/>
      <c r="KAO155" s="389"/>
      <c r="KAP155" s="389"/>
      <c r="KAQ155" s="389"/>
      <c r="KAR155" s="389"/>
      <c r="KAS155" s="389"/>
      <c r="KAT155" s="389"/>
      <c r="KAU155" s="389"/>
      <c r="KAV155" s="389"/>
      <c r="KAW155" s="389"/>
      <c r="KAX155" s="389"/>
      <c r="KAY155" s="389"/>
      <c r="KAZ155" s="389"/>
      <c r="KBA155" s="389"/>
      <c r="KBB155" s="389"/>
      <c r="KBC155" s="389"/>
      <c r="KBD155" s="389"/>
      <c r="KBE155" s="389"/>
      <c r="KBF155" s="389"/>
      <c r="KBG155" s="389"/>
      <c r="KBH155" s="389"/>
      <c r="KBI155" s="389"/>
      <c r="KBJ155" s="389"/>
      <c r="KBK155" s="389"/>
      <c r="KBL155" s="389"/>
      <c r="KBM155" s="389"/>
      <c r="KBN155" s="389"/>
      <c r="KBO155" s="389"/>
      <c r="KBP155" s="389"/>
      <c r="KBQ155" s="389"/>
      <c r="KBR155" s="389"/>
      <c r="KBS155" s="389"/>
      <c r="KBT155" s="389"/>
      <c r="KBU155" s="389"/>
      <c r="KBV155" s="389"/>
      <c r="KBW155" s="389"/>
      <c r="KBX155" s="389"/>
      <c r="KBY155" s="389"/>
      <c r="KBZ155" s="389"/>
      <c r="KCA155" s="389"/>
      <c r="KCB155" s="389"/>
      <c r="KCC155" s="389"/>
      <c r="KCD155" s="389"/>
      <c r="KCE155" s="389"/>
      <c r="KCF155" s="389"/>
      <c r="KCG155" s="389"/>
      <c r="KCH155" s="389"/>
      <c r="KCI155" s="389"/>
      <c r="KCJ155" s="389"/>
      <c r="KCK155" s="389"/>
      <c r="KCL155" s="389"/>
      <c r="KCM155" s="389"/>
      <c r="KCN155" s="389"/>
      <c r="KCO155" s="389"/>
      <c r="KCP155" s="389"/>
      <c r="KCQ155" s="389"/>
      <c r="KCR155" s="389"/>
      <c r="KCS155" s="389"/>
      <c r="KCT155" s="389"/>
      <c r="KCU155" s="389"/>
      <c r="KCV155" s="389"/>
      <c r="KCW155" s="389"/>
      <c r="KCX155" s="389"/>
      <c r="KCY155" s="389"/>
      <c r="KCZ155" s="389"/>
      <c r="KDA155" s="389"/>
      <c r="KDB155" s="389"/>
      <c r="KDC155" s="389"/>
      <c r="KDD155" s="389"/>
      <c r="KDE155" s="389"/>
      <c r="KDF155" s="389"/>
      <c r="KDG155" s="389"/>
      <c r="KDH155" s="389"/>
      <c r="KDI155" s="389"/>
      <c r="KDJ155" s="389"/>
      <c r="KDK155" s="389"/>
      <c r="KDL155" s="389"/>
      <c r="KDM155" s="389"/>
      <c r="KDN155" s="389"/>
      <c r="KDO155" s="389"/>
      <c r="KDP155" s="389"/>
      <c r="KDQ155" s="389"/>
      <c r="KDR155" s="389"/>
      <c r="KDS155" s="389"/>
      <c r="KDT155" s="389"/>
      <c r="KDU155" s="389"/>
      <c r="KDV155" s="389"/>
      <c r="KDW155" s="389"/>
      <c r="KDX155" s="389"/>
      <c r="KDY155" s="389"/>
      <c r="KDZ155" s="389"/>
      <c r="KEA155" s="389"/>
      <c r="KEB155" s="389"/>
      <c r="KEC155" s="389"/>
      <c r="KED155" s="389"/>
      <c r="KEE155" s="389"/>
      <c r="KEF155" s="389"/>
      <c r="KEG155" s="389"/>
      <c r="KEH155" s="389"/>
      <c r="KEI155" s="389"/>
      <c r="KEJ155" s="389"/>
      <c r="KEK155" s="389"/>
      <c r="KEL155" s="389"/>
      <c r="KEM155" s="389"/>
      <c r="KEN155" s="389"/>
      <c r="KEO155" s="389"/>
      <c r="KEP155" s="389"/>
      <c r="KEQ155" s="389"/>
      <c r="KER155" s="389"/>
      <c r="KES155" s="389"/>
      <c r="KET155" s="389"/>
      <c r="KEU155" s="389"/>
      <c r="KEV155" s="389"/>
      <c r="KEW155" s="389"/>
      <c r="KEX155" s="389"/>
      <c r="KEY155" s="389"/>
      <c r="KEZ155" s="389"/>
      <c r="KFA155" s="389"/>
      <c r="KFB155" s="389"/>
      <c r="KFC155" s="389"/>
      <c r="KFD155" s="389"/>
      <c r="KFE155" s="389"/>
      <c r="KFF155" s="389"/>
      <c r="KFG155" s="389"/>
      <c r="KFH155" s="389"/>
      <c r="KFI155" s="389"/>
      <c r="KFJ155" s="389"/>
      <c r="KFK155" s="389"/>
      <c r="KFL155" s="389"/>
      <c r="KFM155" s="389"/>
      <c r="KFN155" s="389"/>
      <c r="KFO155" s="389"/>
      <c r="KFP155" s="389"/>
      <c r="KFQ155" s="389"/>
      <c r="KFR155" s="389"/>
      <c r="KFS155" s="389"/>
      <c r="KFT155" s="389"/>
      <c r="KFU155" s="389"/>
      <c r="KFV155" s="389"/>
      <c r="KFW155" s="389"/>
      <c r="KFX155" s="389"/>
      <c r="KFY155" s="389"/>
      <c r="KFZ155" s="389"/>
      <c r="KGA155" s="389"/>
      <c r="KGB155" s="389"/>
      <c r="KGC155" s="389"/>
      <c r="KGD155" s="389"/>
      <c r="KGE155" s="389"/>
      <c r="KGF155" s="389"/>
      <c r="KGG155" s="389"/>
      <c r="KGH155" s="389"/>
      <c r="KGI155" s="389"/>
      <c r="KGJ155" s="389"/>
      <c r="KGK155" s="389"/>
      <c r="KGL155" s="389"/>
      <c r="KGM155" s="389"/>
      <c r="KGN155" s="389"/>
      <c r="KGO155" s="389"/>
      <c r="KGP155" s="389"/>
      <c r="KGQ155" s="389"/>
      <c r="KGR155" s="389"/>
      <c r="KGS155" s="389"/>
      <c r="KGT155" s="389"/>
      <c r="KGU155" s="389"/>
      <c r="KGV155" s="389"/>
      <c r="KGW155" s="389"/>
      <c r="KGX155" s="389"/>
      <c r="KGY155" s="389"/>
      <c r="KGZ155" s="389"/>
      <c r="KHA155" s="389"/>
      <c r="KHB155" s="389"/>
      <c r="KHC155" s="389"/>
      <c r="KHD155" s="389"/>
      <c r="KHE155" s="389"/>
      <c r="KHF155" s="389"/>
      <c r="KHG155" s="389"/>
      <c r="KHH155" s="389"/>
      <c r="KHI155" s="389"/>
      <c r="KHJ155" s="389"/>
      <c r="KHK155" s="389"/>
      <c r="KHL155" s="389"/>
      <c r="KHM155" s="389"/>
      <c r="KHN155" s="389"/>
      <c r="KHO155" s="389"/>
      <c r="KHP155" s="389"/>
      <c r="KHQ155" s="389"/>
      <c r="KHR155" s="389"/>
      <c r="KHS155" s="389"/>
      <c r="KHT155" s="389"/>
      <c r="KHU155" s="389"/>
      <c r="KHV155" s="389"/>
      <c r="KHW155" s="389"/>
      <c r="KHX155" s="389"/>
      <c r="KHY155" s="389"/>
      <c r="KHZ155" s="389"/>
      <c r="KIA155" s="389"/>
      <c r="KIB155" s="389"/>
      <c r="KIC155" s="389"/>
      <c r="KID155" s="389"/>
      <c r="KIE155" s="389"/>
      <c r="KIF155" s="389"/>
      <c r="KIG155" s="389"/>
      <c r="KIH155" s="389"/>
      <c r="KII155" s="389"/>
      <c r="KIJ155" s="389"/>
      <c r="KIK155" s="389"/>
      <c r="KIL155" s="389"/>
      <c r="KIM155" s="389"/>
      <c r="KIN155" s="389"/>
      <c r="KIO155" s="389"/>
      <c r="KIP155" s="389"/>
      <c r="KIQ155" s="389"/>
      <c r="KIR155" s="389"/>
      <c r="KIS155" s="389"/>
      <c r="KIT155" s="389"/>
      <c r="KIU155" s="389"/>
      <c r="KIV155" s="389"/>
      <c r="KIW155" s="389"/>
      <c r="KIX155" s="389"/>
      <c r="KIY155" s="389"/>
      <c r="KIZ155" s="389"/>
      <c r="KJA155" s="389"/>
      <c r="KJB155" s="389"/>
      <c r="KJC155" s="389"/>
      <c r="KJD155" s="389"/>
      <c r="KJE155" s="389"/>
      <c r="KJF155" s="389"/>
      <c r="KJG155" s="389"/>
      <c r="KJH155" s="389"/>
      <c r="KJI155" s="389"/>
      <c r="KJJ155" s="389"/>
      <c r="KJK155" s="389"/>
      <c r="KJL155" s="389"/>
      <c r="KJM155" s="389"/>
      <c r="KJN155" s="389"/>
      <c r="KJO155" s="389"/>
      <c r="KJP155" s="389"/>
      <c r="KJQ155" s="389"/>
      <c r="KJR155" s="389"/>
      <c r="KJS155" s="389"/>
      <c r="KJT155" s="389"/>
      <c r="KJU155" s="389"/>
      <c r="KJV155" s="389"/>
      <c r="KJW155" s="389"/>
      <c r="KJX155" s="389"/>
      <c r="KJY155" s="389"/>
      <c r="KJZ155" s="389"/>
      <c r="KKA155" s="389"/>
      <c r="KKB155" s="389"/>
      <c r="KKC155" s="389"/>
      <c r="KKD155" s="389"/>
      <c r="KKE155" s="389"/>
      <c r="KKF155" s="389"/>
      <c r="KKG155" s="389"/>
      <c r="KKH155" s="389"/>
      <c r="KKI155" s="389"/>
      <c r="KKJ155" s="389"/>
      <c r="KKK155" s="389"/>
      <c r="KKL155" s="389"/>
      <c r="KKM155" s="389"/>
      <c r="KKN155" s="389"/>
      <c r="KKO155" s="389"/>
      <c r="KKP155" s="389"/>
      <c r="KKQ155" s="389"/>
      <c r="KKR155" s="389"/>
      <c r="KKS155" s="389"/>
      <c r="KKT155" s="389"/>
      <c r="KKU155" s="389"/>
      <c r="KKV155" s="389"/>
      <c r="KKW155" s="389"/>
      <c r="KKX155" s="389"/>
      <c r="KKY155" s="389"/>
      <c r="KKZ155" s="389"/>
      <c r="KLA155" s="389"/>
      <c r="KLB155" s="389"/>
      <c r="KLC155" s="389"/>
      <c r="KLD155" s="389"/>
      <c r="KLE155" s="389"/>
      <c r="KLF155" s="389"/>
      <c r="KLG155" s="389"/>
      <c r="KLH155" s="389"/>
      <c r="KLI155" s="389"/>
      <c r="KLJ155" s="389"/>
      <c r="KLK155" s="389"/>
      <c r="KLL155" s="389"/>
      <c r="KLM155" s="389"/>
      <c r="KLN155" s="389"/>
      <c r="KLO155" s="389"/>
      <c r="KLP155" s="389"/>
      <c r="KLQ155" s="389"/>
      <c r="KLR155" s="389"/>
      <c r="KLS155" s="389"/>
      <c r="KLT155" s="389"/>
      <c r="KLU155" s="389"/>
      <c r="KLV155" s="389"/>
      <c r="KLW155" s="389"/>
      <c r="KLX155" s="389"/>
      <c r="KLY155" s="389"/>
      <c r="KLZ155" s="389"/>
      <c r="KMA155" s="389"/>
      <c r="KMB155" s="389"/>
      <c r="KMC155" s="389"/>
      <c r="KMD155" s="389"/>
      <c r="KME155" s="389"/>
      <c r="KMF155" s="389"/>
      <c r="KMG155" s="389"/>
      <c r="KMH155" s="389"/>
      <c r="KMI155" s="389"/>
      <c r="KMJ155" s="389"/>
      <c r="KMK155" s="389"/>
      <c r="KML155" s="389"/>
      <c r="KMM155" s="389"/>
      <c r="KMN155" s="389"/>
      <c r="KMO155" s="389"/>
      <c r="KMP155" s="389"/>
      <c r="KMQ155" s="389"/>
      <c r="KMR155" s="389"/>
      <c r="KMS155" s="389"/>
      <c r="KMT155" s="389"/>
      <c r="KMU155" s="389"/>
      <c r="KMV155" s="389"/>
      <c r="KMW155" s="389"/>
      <c r="KMX155" s="389"/>
      <c r="KMY155" s="389"/>
      <c r="KMZ155" s="389"/>
      <c r="KNA155" s="389"/>
      <c r="KNB155" s="389"/>
      <c r="KNC155" s="389"/>
      <c r="KND155" s="389"/>
      <c r="KNE155" s="389"/>
      <c r="KNF155" s="389"/>
      <c r="KNG155" s="389"/>
      <c r="KNH155" s="389"/>
      <c r="KNI155" s="389"/>
      <c r="KNJ155" s="389"/>
      <c r="KNK155" s="389"/>
      <c r="KNL155" s="389"/>
      <c r="KNM155" s="389"/>
      <c r="KNN155" s="389"/>
      <c r="KNO155" s="389"/>
      <c r="KNP155" s="389"/>
      <c r="KNQ155" s="389"/>
      <c r="KNR155" s="389"/>
      <c r="KNS155" s="389"/>
      <c r="KNT155" s="389"/>
      <c r="KNU155" s="389"/>
      <c r="KNV155" s="389"/>
      <c r="KNW155" s="389"/>
      <c r="KNX155" s="389"/>
      <c r="KNY155" s="389"/>
      <c r="KNZ155" s="389"/>
      <c r="KOA155" s="389"/>
      <c r="KOB155" s="389"/>
      <c r="KOC155" s="389"/>
      <c r="KOD155" s="389"/>
      <c r="KOE155" s="389"/>
      <c r="KOF155" s="389"/>
      <c r="KOG155" s="389"/>
      <c r="KOH155" s="389"/>
      <c r="KOI155" s="389"/>
      <c r="KOJ155" s="389"/>
      <c r="KOK155" s="389"/>
      <c r="KOL155" s="389"/>
      <c r="KOM155" s="389"/>
      <c r="KON155" s="389"/>
      <c r="KOO155" s="389"/>
      <c r="KOP155" s="389"/>
      <c r="KOQ155" s="389"/>
      <c r="KOR155" s="389"/>
      <c r="KOS155" s="389"/>
      <c r="KOT155" s="389"/>
      <c r="KOU155" s="389"/>
      <c r="KOV155" s="389"/>
      <c r="KOW155" s="389"/>
      <c r="KOX155" s="389"/>
      <c r="KOY155" s="389"/>
      <c r="KOZ155" s="389"/>
      <c r="KPA155" s="389"/>
      <c r="KPB155" s="389"/>
      <c r="KPC155" s="389"/>
      <c r="KPD155" s="389"/>
      <c r="KPE155" s="389"/>
      <c r="KPF155" s="389"/>
      <c r="KPG155" s="389"/>
      <c r="KPH155" s="389"/>
      <c r="KPI155" s="389"/>
      <c r="KPJ155" s="389"/>
      <c r="KPK155" s="389"/>
      <c r="KPL155" s="389"/>
      <c r="KPM155" s="389"/>
      <c r="KPN155" s="389"/>
      <c r="KPO155" s="389"/>
      <c r="KPP155" s="389"/>
      <c r="KPQ155" s="389"/>
      <c r="KPR155" s="389"/>
      <c r="KPS155" s="389"/>
      <c r="KPT155" s="389"/>
      <c r="KPU155" s="389"/>
      <c r="KPV155" s="389"/>
      <c r="KPW155" s="389"/>
      <c r="KPX155" s="389"/>
      <c r="KPY155" s="389"/>
      <c r="KPZ155" s="389"/>
      <c r="KQA155" s="389"/>
      <c r="KQB155" s="389"/>
      <c r="KQC155" s="389"/>
      <c r="KQD155" s="389"/>
      <c r="KQE155" s="389"/>
      <c r="KQF155" s="389"/>
      <c r="KQG155" s="389"/>
      <c r="KQH155" s="389"/>
      <c r="KQI155" s="389"/>
      <c r="KQJ155" s="389"/>
      <c r="KQK155" s="389"/>
      <c r="KQL155" s="389"/>
      <c r="KQM155" s="389"/>
      <c r="KQN155" s="389"/>
      <c r="KQO155" s="389"/>
      <c r="KQP155" s="389"/>
      <c r="KQQ155" s="389"/>
      <c r="KQR155" s="389"/>
      <c r="KQS155" s="389"/>
      <c r="KQT155" s="389"/>
      <c r="KQU155" s="389"/>
      <c r="KQV155" s="389"/>
      <c r="KQW155" s="389"/>
      <c r="KQX155" s="389"/>
      <c r="KQY155" s="389"/>
      <c r="KQZ155" s="389"/>
      <c r="KRA155" s="389"/>
      <c r="KRB155" s="389"/>
      <c r="KRC155" s="389"/>
      <c r="KRD155" s="389"/>
      <c r="KRE155" s="389"/>
      <c r="KRF155" s="389"/>
      <c r="KRG155" s="389"/>
      <c r="KRH155" s="389"/>
      <c r="KRI155" s="389"/>
      <c r="KRJ155" s="389"/>
      <c r="KRK155" s="389"/>
      <c r="KRL155" s="389"/>
      <c r="KRM155" s="389"/>
      <c r="KRN155" s="389"/>
      <c r="KRO155" s="389"/>
      <c r="KRP155" s="389"/>
      <c r="KRQ155" s="389"/>
      <c r="KRR155" s="389"/>
      <c r="KRS155" s="389"/>
      <c r="KRT155" s="389"/>
      <c r="KRU155" s="389"/>
      <c r="KRV155" s="389"/>
      <c r="KRW155" s="389"/>
      <c r="KRX155" s="389"/>
      <c r="KRY155" s="389"/>
      <c r="KRZ155" s="389"/>
      <c r="KSA155" s="389"/>
      <c r="KSB155" s="389"/>
      <c r="KSC155" s="389"/>
      <c r="KSD155" s="389"/>
      <c r="KSE155" s="389"/>
      <c r="KSF155" s="389"/>
      <c r="KSG155" s="389"/>
      <c r="KSH155" s="389"/>
      <c r="KSI155" s="389"/>
      <c r="KSJ155" s="389"/>
      <c r="KSK155" s="389"/>
      <c r="KSL155" s="389"/>
      <c r="KSM155" s="389"/>
      <c r="KSN155" s="389"/>
      <c r="KSO155" s="389"/>
      <c r="KSP155" s="389"/>
      <c r="KSQ155" s="389"/>
      <c r="KSR155" s="389"/>
      <c r="KSS155" s="389"/>
      <c r="KST155" s="389"/>
      <c r="KSU155" s="389"/>
      <c r="KSV155" s="389"/>
      <c r="KSW155" s="389"/>
      <c r="KSX155" s="389"/>
      <c r="KSY155" s="389"/>
      <c r="KSZ155" s="389"/>
      <c r="KTA155" s="389"/>
      <c r="KTB155" s="389"/>
      <c r="KTC155" s="389"/>
      <c r="KTD155" s="389"/>
      <c r="KTE155" s="389"/>
      <c r="KTF155" s="389"/>
      <c r="KTG155" s="389"/>
      <c r="KTH155" s="389"/>
      <c r="KTI155" s="389"/>
      <c r="KTJ155" s="389"/>
      <c r="KTK155" s="389"/>
      <c r="KTL155" s="389"/>
      <c r="KTM155" s="389"/>
      <c r="KTN155" s="389"/>
      <c r="KTO155" s="389"/>
      <c r="KTP155" s="389"/>
      <c r="KTQ155" s="389"/>
      <c r="KTR155" s="389"/>
      <c r="KTS155" s="389"/>
      <c r="KTT155" s="389"/>
      <c r="KTU155" s="389"/>
      <c r="KTV155" s="389"/>
      <c r="KTW155" s="389"/>
      <c r="KTX155" s="389"/>
      <c r="KTY155" s="389"/>
      <c r="KTZ155" s="389"/>
      <c r="KUA155" s="389"/>
      <c r="KUB155" s="389"/>
      <c r="KUC155" s="389"/>
      <c r="KUD155" s="389"/>
      <c r="KUE155" s="389"/>
      <c r="KUF155" s="389"/>
      <c r="KUG155" s="389"/>
      <c r="KUH155" s="389"/>
      <c r="KUI155" s="389"/>
      <c r="KUJ155" s="389"/>
      <c r="KUK155" s="389"/>
      <c r="KUL155" s="389"/>
      <c r="KUM155" s="389"/>
      <c r="KUN155" s="389"/>
      <c r="KUO155" s="389"/>
      <c r="KUP155" s="389"/>
      <c r="KUQ155" s="389"/>
      <c r="KUR155" s="389"/>
      <c r="KUS155" s="389"/>
      <c r="KUT155" s="389"/>
      <c r="KUU155" s="389"/>
      <c r="KUV155" s="389"/>
      <c r="KUW155" s="389"/>
      <c r="KUX155" s="389"/>
      <c r="KUY155" s="389"/>
      <c r="KUZ155" s="389"/>
      <c r="KVA155" s="389"/>
      <c r="KVB155" s="389"/>
      <c r="KVC155" s="389"/>
      <c r="KVD155" s="389"/>
      <c r="KVE155" s="389"/>
      <c r="KVF155" s="389"/>
      <c r="KVG155" s="389"/>
      <c r="KVH155" s="389"/>
      <c r="KVI155" s="389"/>
      <c r="KVJ155" s="389"/>
      <c r="KVK155" s="389"/>
      <c r="KVL155" s="389"/>
      <c r="KVM155" s="389"/>
      <c r="KVN155" s="389"/>
      <c r="KVO155" s="389"/>
      <c r="KVP155" s="389"/>
      <c r="KVQ155" s="389"/>
      <c r="KVR155" s="389"/>
      <c r="KVS155" s="389"/>
      <c r="KVT155" s="389"/>
      <c r="KVU155" s="389"/>
      <c r="KVV155" s="389"/>
      <c r="KVW155" s="389"/>
      <c r="KVX155" s="389"/>
      <c r="KVY155" s="389"/>
      <c r="KVZ155" s="389"/>
      <c r="KWA155" s="389"/>
      <c r="KWB155" s="389"/>
      <c r="KWC155" s="389"/>
      <c r="KWD155" s="389"/>
      <c r="KWE155" s="389"/>
      <c r="KWF155" s="389"/>
      <c r="KWG155" s="389"/>
      <c r="KWH155" s="389"/>
      <c r="KWI155" s="389"/>
      <c r="KWJ155" s="389"/>
      <c r="KWK155" s="389"/>
      <c r="KWL155" s="389"/>
      <c r="KWM155" s="389"/>
      <c r="KWN155" s="389"/>
      <c r="KWO155" s="389"/>
      <c r="KWP155" s="389"/>
      <c r="KWQ155" s="389"/>
      <c r="KWR155" s="389"/>
      <c r="KWS155" s="389"/>
      <c r="KWT155" s="389"/>
      <c r="KWU155" s="389"/>
      <c r="KWV155" s="389"/>
      <c r="KWW155" s="389"/>
      <c r="KWX155" s="389"/>
      <c r="KWY155" s="389"/>
      <c r="KWZ155" s="389"/>
      <c r="KXA155" s="389"/>
      <c r="KXB155" s="389"/>
      <c r="KXC155" s="389"/>
      <c r="KXD155" s="389"/>
      <c r="KXE155" s="389"/>
      <c r="KXF155" s="389"/>
      <c r="KXG155" s="389"/>
      <c r="KXH155" s="389"/>
      <c r="KXI155" s="389"/>
      <c r="KXJ155" s="389"/>
      <c r="KXK155" s="389"/>
      <c r="KXL155" s="389"/>
      <c r="KXM155" s="389"/>
      <c r="KXN155" s="389"/>
      <c r="KXO155" s="389"/>
      <c r="KXP155" s="389"/>
      <c r="KXQ155" s="389"/>
      <c r="KXR155" s="389"/>
      <c r="KXS155" s="389"/>
      <c r="KXT155" s="389"/>
      <c r="KXU155" s="389"/>
      <c r="KXV155" s="389"/>
      <c r="KXW155" s="389"/>
      <c r="KXX155" s="389"/>
      <c r="KXY155" s="389"/>
      <c r="KXZ155" s="389"/>
      <c r="KYA155" s="389"/>
      <c r="KYB155" s="389"/>
      <c r="KYC155" s="389"/>
      <c r="KYD155" s="389"/>
      <c r="KYE155" s="389"/>
      <c r="KYF155" s="389"/>
      <c r="KYG155" s="389"/>
      <c r="KYH155" s="389"/>
      <c r="KYI155" s="389"/>
      <c r="KYJ155" s="389"/>
      <c r="KYK155" s="389"/>
      <c r="KYL155" s="389"/>
      <c r="KYM155" s="389"/>
      <c r="KYN155" s="389"/>
      <c r="KYO155" s="389"/>
      <c r="KYP155" s="389"/>
      <c r="KYQ155" s="389"/>
      <c r="KYR155" s="389"/>
      <c r="KYS155" s="389"/>
      <c r="KYT155" s="389"/>
      <c r="KYU155" s="389"/>
      <c r="KYV155" s="389"/>
      <c r="KYW155" s="389"/>
      <c r="KYX155" s="389"/>
      <c r="KYY155" s="389"/>
      <c r="KYZ155" s="389"/>
      <c r="KZA155" s="389"/>
      <c r="KZB155" s="389"/>
      <c r="KZC155" s="389"/>
      <c r="KZD155" s="389"/>
      <c r="KZE155" s="389"/>
      <c r="KZF155" s="389"/>
      <c r="KZG155" s="389"/>
      <c r="KZH155" s="389"/>
      <c r="KZI155" s="389"/>
      <c r="KZJ155" s="389"/>
      <c r="KZK155" s="389"/>
      <c r="KZL155" s="389"/>
      <c r="KZM155" s="389"/>
      <c r="KZN155" s="389"/>
      <c r="KZO155" s="389"/>
      <c r="KZP155" s="389"/>
      <c r="KZQ155" s="389"/>
      <c r="KZR155" s="389"/>
      <c r="KZS155" s="389"/>
      <c r="KZT155" s="389"/>
      <c r="KZU155" s="389"/>
      <c r="KZV155" s="389"/>
      <c r="KZW155" s="389"/>
      <c r="KZX155" s="389"/>
      <c r="KZY155" s="389"/>
      <c r="KZZ155" s="389"/>
      <c r="LAA155" s="389"/>
      <c r="LAB155" s="389"/>
      <c r="LAC155" s="389"/>
      <c r="LAD155" s="389"/>
      <c r="LAE155" s="389"/>
      <c r="LAF155" s="389"/>
      <c r="LAG155" s="389"/>
      <c r="LAH155" s="389"/>
      <c r="LAI155" s="389"/>
      <c r="LAJ155" s="389"/>
      <c r="LAK155" s="389"/>
      <c r="LAL155" s="389"/>
      <c r="LAM155" s="389"/>
      <c r="LAN155" s="389"/>
      <c r="LAO155" s="389"/>
      <c r="LAP155" s="389"/>
      <c r="LAQ155" s="389"/>
      <c r="LAR155" s="389"/>
      <c r="LAS155" s="389"/>
      <c r="LAT155" s="389"/>
      <c r="LAU155" s="389"/>
      <c r="LAV155" s="389"/>
      <c r="LAW155" s="389"/>
      <c r="LAX155" s="389"/>
      <c r="LAY155" s="389"/>
      <c r="LAZ155" s="389"/>
      <c r="LBA155" s="389"/>
      <c r="LBB155" s="389"/>
      <c r="LBC155" s="389"/>
      <c r="LBD155" s="389"/>
      <c r="LBE155" s="389"/>
      <c r="LBF155" s="389"/>
      <c r="LBG155" s="389"/>
      <c r="LBH155" s="389"/>
      <c r="LBI155" s="389"/>
      <c r="LBJ155" s="389"/>
      <c r="LBK155" s="389"/>
      <c r="LBL155" s="389"/>
      <c r="LBM155" s="389"/>
      <c r="LBN155" s="389"/>
      <c r="LBO155" s="389"/>
      <c r="LBP155" s="389"/>
      <c r="LBQ155" s="389"/>
      <c r="LBR155" s="389"/>
      <c r="LBS155" s="389"/>
      <c r="LBT155" s="389"/>
      <c r="LBU155" s="389"/>
      <c r="LBV155" s="389"/>
      <c r="LBW155" s="389"/>
      <c r="LBX155" s="389"/>
      <c r="LBY155" s="389"/>
      <c r="LBZ155" s="389"/>
      <c r="LCA155" s="389"/>
      <c r="LCB155" s="389"/>
      <c r="LCC155" s="389"/>
      <c r="LCD155" s="389"/>
      <c r="LCE155" s="389"/>
      <c r="LCF155" s="389"/>
      <c r="LCG155" s="389"/>
      <c r="LCH155" s="389"/>
      <c r="LCI155" s="389"/>
      <c r="LCJ155" s="389"/>
      <c r="LCK155" s="389"/>
      <c r="LCL155" s="389"/>
      <c r="LCM155" s="389"/>
      <c r="LCN155" s="389"/>
      <c r="LCO155" s="389"/>
      <c r="LCP155" s="389"/>
      <c r="LCQ155" s="389"/>
      <c r="LCR155" s="389"/>
      <c r="LCS155" s="389"/>
      <c r="LCT155" s="389"/>
      <c r="LCU155" s="389"/>
      <c r="LCV155" s="389"/>
      <c r="LCW155" s="389"/>
      <c r="LCX155" s="389"/>
      <c r="LCY155" s="389"/>
      <c r="LCZ155" s="389"/>
      <c r="LDA155" s="389"/>
      <c r="LDB155" s="389"/>
      <c r="LDC155" s="389"/>
      <c r="LDD155" s="389"/>
      <c r="LDE155" s="389"/>
      <c r="LDF155" s="389"/>
      <c r="LDG155" s="389"/>
      <c r="LDH155" s="389"/>
      <c r="LDI155" s="389"/>
      <c r="LDJ155" s="389"/>
      <c r="LDK155" s="389"/>
      <c r="LDL155" s="389"/>
      <c r="LDM155" s="389"/>
      <c r="LDN155" s="389"/>
      <c r="LDO155" s="389"/>
      <c r="LDP155" s="389"/>
      <c r="LDQ155" s="389"/>
      <c r="LDR155" s="389"/>
      <c r="LDS155" s="389"/>
      <c r="LDT155" s="389"/>
      <c r="LDU155" s="389"/>
      <c r="LDV155" s="389"/>
      <c r="LDW155" s="389"/>
      <c r="LDX155" s="389"/>
      <c r="LDY155" s="389"/>
      <c r="LDZ155" s="389"/>
      <c r="LEA155" s="389"/>
      <c r="LEB155" s="389"/>
      <c r="LEC155" s="389"/>
      <c r="LED155" s="389"/>
      <c r="LEE155" s="389"/>
      <c r="LEF155" s="389"/>
      <c r="LEG155" s="389"/>
      <c r="LEH155" s="389"/>
      <c r="LEI155" s="389"/>
      <c r="LEJ155" s="389"/>
      <c r="LEK155" s="389"/>
      <c r="LEL155" s="389"/>
      <c r="LEM155" s="389"/>
      <c r="LEN155" s="389"/>
      <c r="LEO155" s="389"/>
      <c r="LEP155" s="389"/>
      <c r="LEQ155" s="389"/>
      <c r="LER155" s="389"/>
      <c r="LES155" s="389"/>
      <c r="LET155" s="389"/>
      <c r="LEU155" s="389"/>
      <c r="LEV155" s="389"/>
      <c r="LEW155" s="389"/>
      <c r="LEX155" s="389"/>
      <c r="LEY155" s="389"/>
      <c r="LEZ155" s="389"/>
      <c r="LFA155" s="389"/>
      <c r="LFB155" s="389"/>
      <c r="LFC155" s="389"/>
      <c r="LFD155" s="389"/>
      <c r="LFE155" s="389"/>
      <c r="LFF155" s="389"/>
      <c r="LFG155" s="389"/>
      <c r="LFH155" s="389"/>
      <c r="LFI155" s="389"/>
      <c r="LFJ155" s="389"/>
      <c r="LFK155" s="389"/>
      <c r="LFL155" s="389"/>
      <c r="LFM155" s="389"/>
      <c r="LFN155" s="389"/>
      <c r="LFO155" s="389"/>
      <c r="LFP155" s="389"/>
      <c r="LFQ155" s="389"/>
      <c r="LFR155" s="389"/>
      <c r="LFS155" s="389"/>
      <c r="LFT155" s="389"/>
      <c r="LFU155" s="389"/>
      <c r="LFV155" s="389"/>
      <c r="LFW155" s="389"/>
      <c r="LFX155" s="389"/>
      <c r="LFY155" s="389"/>
      <c r="LFZ155" s="389"/>
      <c r="LGA155" s="389"/>
      <c r="LGB155" s="389"/>
      <c r="LGC155" s="389"/>
      <c r="LGD155" s="389"/>
      <c r="LGE155" s="389"/>
      <c r="LGF155" s="389"/>
      <c r="LGG155" s="389"/>
      <c r="LGH155" s="389"/>
      <c r="LGI155" s="389"/>
      <c r="LGJ155" s="389"/>
      <c r="LGK155" s="389"/>
      <c r="LGL155" s="389"/>
      <c r="LGM155" s="389"/>
      <c r="LGN155" s="389"/>
      <c r="LGO155" s="389"/>
      <c r="LGP155" s="389"/>
      <c r="LGQ155" s="389"/>
      <c r="LGR155" s="389"/>
      <c r="LGS155" s="389"/>
      <c r="LGT155" s="389"/>
      <c r="LGU155" s="389"/>
      <c r="LGV155" s="389"/>
      <c r="LGW155" s="389"/>
      <c r="LGX155" s="389"/>
      <c r="LGY155" s="389"/>
      <c r="LGZ155" s="389"/>
      <c r="LHA155" s="389"/>
      <c r="LHB155" s="389"/>
      <c r="LHC155" s="389"/>
      <c r="LHD155" s="389"/>
      <c r="LHE155" s="389"/>
      <c r="LHF155" s="389"/>
      <c r="LHG155" s="389"/>
      <c r="LHH155" s="389"/>
      <c r="LHI155" s="389"/>
      <c r="LHJ155" s="389"/>
      <c r="LHK155" s="389"/>
      <c r="LHL155" s="389"/>
      <c r="LHM155" s="389"/>
      <c r="LHN155" s="389"/>
      <c r="LHO155" s="389"/>
      <c r="LHP155" s="389"/>
      <c r="LHQ155" s="389"/>
      <c r="LHR155" s="389"/>
      <c r="LHS155" s="389"/>
      <c r="LHT155" s="389"/>
      <c r="LHU155" s="389"/>
      <c r="LHV155" s="389"/>
      <c r="LHW155" s="389"/>
      <c r="LHX155" s="389"/>
      <c r="LHY155" s="389"/>
      <c r="LHZ155" s="389"/>
      <c r="LIA155" s="389"/>
      <c r="LIB155" s="389"/>
      <c r="LIC155" s="389"/>
      <c r="LID155" s="389"/>
      <c r="LIE155" s="389"/>
      <c r="LIF155" s="389"/>
      <c r="LIG155" s="389"/>
      <c r="LIH155" s="389"/>
      <c r="LII155" s="389"/>
      <c r="LIJ155" s="389"/>
      <c r="LIK155" s="389"/>
      <c r="LIL155" s="389"/>
      <c r="LIM155" s="389"/>
      <c r="LIN155" s="389"/>
      <c r="LIO155" s="389"/>
      <c r="LIP155" s="389"/>
      <c r="LIQ155" s="389"/>
      <c r="LIR155" s="389"/>
      <c r="LIS155" s="389"/>
      <c r="LIT155" s="389"/>
      <c r="LIU155" s="389"/>
      <c r="LIV155" s="389"/>
      <c r="LIW155" s="389"/>
      <c r="LIX155" s="389"/>
      <c r="LIY155" s="389"/>
      <c r="LIZ155" s="389"/>
      <c r="LJA155" s="389"/>
      <c r="LJB155" s="389"/>
      <c r="LJC155" s="389"/>
      <c r="LJD155" s="389"/>
      <c r="LJE155" s="389"/>
      <c r="LJF155" s="389"/>
      <c r="LJG155" s="389"/>
      <c r="LJH155" s="389"/>
      <c r="LJI155" s="389"/>
      <c r="LJJ155" s="389"/>
      <c r="LJK155" s="389"/>
      <c r="LJL155" s="389"/>
      <c r="LJM155" s="389"/>
      <c r="LJN155" s="389"/>
      <c r="LJO155" s="389"/>
      <c r="LJP155" s="389"/>
      <c r="LJQ155" s="389"/>
      <c r="LJR155" s="389"/>
      <c r="LJS155" s="389"/>
      <c r="LJT155" s="389"/>
      <c r="LJU155" s="389"/>
      <c r="LJV155" s="389"/>
      <c r="LJW155" s="389"/>
      <c r="LJX155" s="389"/>
      <c r="LJY155" s="389"/>
      <c r="LJZ155" s="389"/>
      <c r="LKA155" s="389"/>
      <c r="LKB155" s="389"/>
      <c r="LKC155" s="389"/>
      <c r="LKD155" s="389"/>
      <c r="LKE155" s="389"/>
      <c r="LKF155" s="389"/>
      <c r="LKG155" s="389"/>
      <c r="LKH155" s="389"/>
      <c r="LKI155" s="389"/>
      <c r="LKJ155" s="389"/>
      <c r="LKK155" s="389"/>
      <c r="LKL155" s="389"/>
      <c r="LKM155" s="389"/>
      <c r="LKN155" s="389"/>
      <c r="LKO155" s="389"/>
      <c r="LKP155" s="389"/>
      <c r="LKQ155" s="389"/>
      <c r="LKR155" s="389"/>
      <c r="LKS155" s="389"/>
      <c r="LKT155" s="389"/>
      <c r="LKU155" s="389"/>
      <c r="LKV155" s="389"/>
      <c r="LKW155" s="389"/>
      <c r="LKX155" s="389"/>
      <c r="LKY155" s="389"/>
      <c r="LKZ155" s="389"/>
      <c r="LLA155" s="389"/>
      <c r="LLB155" s="389"/>
      <c r="LLC155" s="389"/>
      <c r="LLD155" s="389"/>
      <c r="LLE155" s="389"/>
      <c r="LLF155" s="389"/>
      <c r="LLG155" s="389"/>
      <c r="LLH155" s="389"/>
      <c r="LLI155" s="389"/>
      <c r="LLJ155" s="389"/>
      <c r="LLK155" s="389"/>
      <c r="LLL155" s="389"/>
      <c r="LLM155" s="389"/>
      <c r="LLN155" s="389"/>
      <c r="LLO155" s="389"/>
      <c r="LLP155" s="389"/>
      <c r="LLQ155" s="389"/>
      <c r="LLR155" s="389"/>
      <c r="LLS155" s="389"/>
      <c r="LLT155" s="389"/>
      <c r="LLU155" s="389"/>
      <c r="LLV155" s="389"/>
      <c r="LLW155" s="389"/>
      <c r="LLX155" s="389"/>
      <c r="LLY155" s="389"/>
      <c r="LLZ155" s="389"/>
      <c r="LMA155" s="389"/>
      <c r="LMB155" s="389"/>
      <c r="LMC155" s="389"/>
      <c r="LMD155" s="389"/>
      <c r="LME155" s="389"/>
      <c r="LMF155" s="389"/>
      <c r="LMG155" s="389"/>
      <c r="LMH155" s="389"/>
      <c r="LMI155" s="389"/>
      <c r="LMJ155" s="389"/>
      <c r="LMK155" s="389"/>
      <c r="LML155" s="389"/>
      <c r="LMM155" s="389"/>
      <c r="LMN155" s="389"/>
      <c r="LMO155" s="389"/>
      <c r="LMP155" s="389"/>
      <c r="LMQ155" s="389"/>
      <c r="LMR155" s="389"/>
      <c r="LMS155" s="389"/>
      <c r="LMT155" s="389"/>
      <c r="LMU155" s="389"/>
      <c r="LMV155" s="389"/>
      <c r="LMW155" s="389"/>
      <c r="LMX155" s="389"/>
      <c r="LMY155" s="389"/>
      <c r="LMZ155" s="389"/>
      <c r="LNA155" s="389"/>
      <c r="LNB155" s="389"/>
      <c r="LNC155" s="389"/>
      <c r="LND155" s="389"/>
      <c r="LNE155" s="389"/>
      <c r="LNF155" s="389"/>
      <c r="LNG155" s="389"/>
      <c r="LNH155" s="389"/>
      <c r="LNI155" s="389"/>
      <c r="LNJ155" s="389"/>
      <c r="LNK155" s="389"/>
      <c r="LNL155" s="389"/>
      <c r="LNM155" s="389"/>
      <c r="LNN155" s="389"/>
      <c r="LNO155" s="389"/>
      <c r="LNP155" s="389"/>
      <c r="LNQ155" s="389"/>
      <c r="LNR155" s="389"/>
      <c r="LNS155" s="389"/>
      <c r="LNT155" s="389"/>
      <c r="LNU155" s="389"/>
      <c r="LNV155" s="389"/>
      <c r="LNW155" s="389"/>
      <c r="LNX155" s="389"/>
      <c r="LNY155" s="389"/>
      <c r="LNZ155" s="389"/>
      <c r="LOA155" s="389"/>
      <c r="LOB155" s="389"/>
      <c r="LOC155" s="389"/>
      <c r="LOD155" s="389"/>
      <c r="LOE155" s="389"/>
      <c r="LOF155" s="389"/>
      <c r="LOG155" s="389"/>
      <c r="LOH155" s="389"/>
      <c r="LOI155" s="389"/>
      <c r="LOJ155" s="389"/>
      <c r="LOK155" s="389"/>
      <c r="LOL155" s="389"/>
      <c r="LOM155" s="389"/>
      <c r="LON155" s="389"/>
      <c r="LOO155" s="389"/>
      <c r="LOP155" s="389"/>
      <c r="LOQ155" s="389"/>
      <c r="LOR155" s="389"/>
      <c r="LOS155" s="389"/>
      <c r="LOT155" s="389"/>
      <c r="LOU155" s="389"/>
      <c r="LOV155" s="389"/>
      <c r="LOW155" s="389"/>
      <c r="LOX155" s="389"/>
      <c r="LOY155" s="389"/>
      <c r="LOZ155" s="389"/>
      <c r="LPA155" s="389"/>
      <c r="LPB155" s="389"/>
      <c r="LPC155" s="389"/>
      <c r="LPD155" s="389"/>
      <c r="LPE155" s="389"/>
      <c r="LPF155" s="389"/>
      <c r="LPG155" s="389"/>
      <c r="LPH155" s="389"/>
      <c r="LPI155" s="389"/>
      <c r="LPJ155" s="389"/>
      <c r="LPK155" s="389"/>
      <c r="LPL155" s="389"/>
      <c r="LPM155" s="389"/>
      <c r="LPN155" s="389"/>
      <c r="LPO155" s="389"/>
      <c r="LPP155" s="389"/>
      <c r="LPQ155" s="389"/>
      <c r="LPR155" s="389"/>
      <c r="LPS155" s="389"/>
      <c r="LPT155" s="389"/>
      <c r="LPU155" s="389"/>
      <c r="LPV155" s="389"/>
      <c r="LPW155" s="389"/>
      <c r="LPX155" s="389"/>
      <c r="LPY155" s="389"/>
      <c r="LPZ155" s="389"/>
      <c r="LQA155" s="389"/>
      <c r="LQB155" s="389"/>
      <c r="LQC155" s="389"/>
      <c r="LQD155" s="389"/>
      <c r="LQE155" s="389"/>
      <c r="LQF155" s="389"/>
      <c r="LQG155" s="389"/>
      <c r="LQH155" s="389"/>
      <c r="LQI155" s="389"/>
      <c r="LQJ155" s="389"/>
      <c r="LQK155" s="389"/>
      <c r="LQL155" s="389"/>
      <c r="LQM155" s="389"/>
      <c r="LQN155" s="389"/>
      <c r="LQO155" s="389"/>
      <c r="LQP155" s="389"/>
      <c r="LQQ155" s="389"/>
      <c r="LQR155" s="389"/>
      <c r="LQS155" s="389"/>
      <c r="LQT155" s="389"/>
      <c r="LQU155" s="389"/>
      <c r="LQV155" s="389"/>
      <c r="LQW155" s="389"/>
      <c r="LQX155" s="389"/>
      <c r="LQY155" s="389"/>
      <c r="LQZ155" s="389"/>
      <c r="LRA155" s="389"/>
      <c r="LRB155" s="389"/>
      <c r="LRC155" s="389"/>
      <c r="LRD155" s="389"/>
      <c r="LRE155" s="389"/>
      <c r="LRF155" s="389"/>
      <c r="LRG155" s="389"/>
      <c r="LRH155" s="389"/>
      <c r="LRI155" s="389"/>
      <c r="LRJ155" s="389"/>
      <c r="LRK155" s="389"/>
      <c r="LRL155" s="389"/>
      <c r="LRM155" s="389"/>
      <c r="LRN155" s="389"/>
      <c r="LRO155" s="389"/>
      <c r="LRP155" s="389"/>
      <c r="LRQ155" s="389"/>
      <c r="LRR155" s="389"/>
      <c r="LRS155" s="389"/>
      <c r="LRT155" s="389"/>
      <c r="LRU155" s="389"/>
      <c r="LRV155" s="389"/>
      <c r="LRW155" s="389"/>
      <c r="LRX155" s="389"/>
      <c r="LRY155" s="389"/>
      <c r="LRZ155" s="389"/>
      <c r="LSA155" s="389"/>
      <c r="LSB155" s="389"/>
      <c r="LSC155" s="389"/>
      <c r="LSD155" s="389"/>
      <c r="LSE155" s="389"/>
      <c r="LSF155" s="389"/>
      <c r="LSG155" s="389"/>
      <c r="LSH155" s="389"/>
      <c r="LSI155" s="389"/>
      <c r="LSJ155" s="389"/>
      <c r="LSK155" s="389"/>
      <c r="LSL155" s="389"/>
      <c r="LSM155" s="389"/>
      <c r="LSN155" s="389"/>
      <c r="LSO155" s="389"/>
      <c r="LSP155" s="389"/>
      <c r="LSQ155" s="389"/>
      <c r="LSR155" s="389"/>
      <c r="LSS155" s="389"/>
      <c r="LST155" s="389"/>
      <c r="LSU155" s="389"/>
      <c r="LSV155" s="389"/>
      <c r="LSW155" s="389"/>
      <c r="LSX155" s="389"/>
      <c r="LSY155" s="389"/>
      <c r="LSZ155" s="389"/>
      <c r="LTA155" s="389"/>
      <c r="LTB155" s="389"/>
      <c r="LTC155" s="389"/>
      <c r="LTD155" s="389"/>
      <c r="LTE155" s="389"/>
      <c r="LTF155" s="389"/>
      <c r="LTG155" s="389"/>
      <c r="LTH155" s="389"/>
      <c r="LTI155" s="389"/>
      <c r="LTJ155" s="389"/>
      <c r="LTK155" s="389"/>
      <c r="LTL155" s="389"/>
      <c r="LTM155" s="389"/>
      <c r="LTN155" s="389"/>
      <c r="LTO155" s="389"/>
      <c r="LTP155" s="389"/>
      <c r="LTQ155" s="389"/>
      <c r="LTR155" s="389"/>
      <c r="LTS155" s="389"/>
      <c r="LTT155" s="389"/>
      <c r="LTU155" s="389"/>
      <c r="LTV155" s="389"/>
      <c r="LTW155" s="389"/>
      <c r="LTX155" s="389"/>
      <c r="LTY155" s="389"/>
      <c r="LTZ155" s="389"/>
      <c r="LUA155" s="389"/>
      <c r="LUB155" s="389"/>
      <c r="LUC155" s="389"/>
      <c r="LUD155" s="389"/>
      <c r="LUE155" s="389"/>
      <c r="LUF155" s="389"/>
      <c r="LUG155" s="389"/>
      <c r="LUH155" s="389"/>
      <c r="LUI155" s="389"/>
      <c r="LUJ155" s="389"/>
      <c r="LUK155" s="389"/>
      <c r="LUL155" s="389"/>
      <c r="LUM155" s="389"/>
      <c r="LUN155" s="389"/>
      <c r="LUO155" s="389"/>
      <c r="LUP155" s="389"/>
      <c r="LUQ155" s="389"/>
      <c r="LUR155" s="389"/>
      <c r="LUS155" s="389"/>
      <c r="LUT155" s="389"/>
      <c r="LUU155" s="389"/>
      <c r="LUV155" s="389"/>
      <c r="LUW155" s="389"/>
      <c r="LUX155" s="389"/>
      <c r="LUY155" s="389"/>
      <c r="LUZ155" s="389"/>
      <c r="LVA155" s="389"/>
      <c r="LVB155" s="389"/>
      <c r="LVC155" s="389"/>
      <c r="LVD155" s="389"/>
      <c r="LVE155" s="389"/>
      <c r="LVF155" s="389"/>
      <c r="LVG155" s="389"/>
      <c r="LVH155" s="389"/>
      <c r="LVI155" s="389"/>
      <c r="LVJ155" s="389"/>
      <c r="LVK155" s="389"/>
      <c r="LVL155" s="389"/>
      <c r="LVM155" s="389"/>
      <c r="LVN155" s="389"/>
      <c r="LVO155" s="389"/>
      <c r="LVP155" s="389"/>
      <c r="LVQ155" s="389"/>
      <c r="LVR155" s="389"/>
      <c r="LVS155" s="389"/>
      <c r="LVT155" s="389"/>
      <c r="LVU155" s="389"/>
      <c r="LVV155" s="389"/>
      <c r="LVW155" s="389"/>
      <c r="LVX155" s="389"/>
      <c r="LVY155" s="389"/>
      <c r="LVZ155" s="389"/>
      <c r="LWA155" s="389"/>
      <c r="LWB155" s="389"/>
      <c r="LWC155" s="389"/>
      <c r="LWD155" s="389"/>
      <c r="LWE155" s="389"/>
      <c r="LWF155" s="389"/>
      <c r="LWG155" s="389"/>
      <c r="LWH155" s="389"/>
      <c r="LWI155" s="389"/>
      <c r="LWJ155" s="389"/>
      <c r="LWK155" s="389"/>
      <c r="LWL155" s="389"/>
      <c r="LWM155" s="389"/>
      <c r="LWN155" s="389"/>
      <c r="LWO155" s="389"/>
      <c r="LWP155" s="389"/>
      <c r="LWQ155" s="389"/>
      <c r="LWR155" s="389"/>
      <c r="LWS155" s="389"/>
      <c r="LWT155" s="389"/>
      <c r="LWU155" s="389"/>
      <c r="LWV155" s="389"/>
      <c r="LWW155" s="389"/>
      <c r="LWX155" s="389"/>
      <c r="LWY155" s="389"/>
      <c r="LWZ155" s="389"/>
      <c r="LXA155" s="389"/>
      <c r="LXB155" s="389"/>
      <c r="LXC155" s="389"/>
      <c r="LXD155" s="389"/>
      <c r="LXE155" s="389"/>
      <c r="LXF155" s="389"/>
      <c r="LXG155" s="389"/>
      <c r="LXH155" s="389"/>
      <c r="LXI155" s="389"/>
      <c r="LXJ155" s="389"/>
      <c r="LXK155" s="389"/>
      <c r="LXL155" s="389"/>
      <c r="LXM155" s="389"/>
      <c r="LXN155" s="389"/>
      <c r="LXO155" s="389"/>
      <c r="LXP155" s="389"/>
      <c r="LXQ155" s="389"/>
      <c r="LXR155" s="389"/>
      <c r="LXS155" s="389"/>
      <c r="LXT155" s="389"/>
      <c r="LXU155" s="389"/>
      <c r="LXV155" s="389"/>
      <c r="LXW155" s="389"/>
      <c r="LXX155" s="389"/>
      <c r="LXY155" s="389"/>
      <c r="LXZ155" s="389"/>
      <c r="LYA155" s="389"/>
      <c r="LYB155" s="389"/>
      <c r="LYC155" s="389"/>
      <c r="LYD155" s="389"/>
      <c r="LYE155" s="389"/>
      <c r="LYF155" s="389"/>
      <c r="LYG155" s="389"/>
      <c r="LYH155" s="389"/>
      <c r="LYI155" s="389"/>
      <c r="LYJ155" s="389"/>
      <c r="LYK155" s="389"/>
      <c r="LYL155" s="389"/>
      <c r="LYM155" s="389"/>
      <c r="LYN155" s="389"/>
      <c r="LYO155" s="389"/>
      <c r="LYP155" s="389"/>
      <c r="LYQ155" s="389"/>
      <c r="LYR155" s="389"/>
      <c r="LYS155" s="389"/>
      <c r="LYT155" s="389"/>
      <c r="LYU155" s="389"/>
      <c r="LYV155" s="389"/>
      <c r="LYW155" s="389"/>
      <c r="LYX155" s="389"/>
      <c r="LYY155" s="389"/>
      <c r="LYZ155" s="389"/>
      <c r="LZA155" s="389"/>
      <c r="LZB155" s="389"/>
      <c r="LZC155" s="389"/>
      <c r="LZD155" s="389"/>
      <c r="LZE155" s="389"/>
      <c r="LZF155" s="389"/>
      <c r="LZG155" s="389"/>
      <c r="LZH155" s="389"/>
      <c r="LZI155" s="389"/>
      <c r="LZJ155" s="389"/>
      <c r="LZK155" s="389"/>
      <c r="LZL155" s="389"/>
      <c r="LZM155" s="389"/>
      <c r="LZN155" s="389"/>
      <c r="LZO155" s="389"/>
      <c r="LZP155" s="389"/>
      <c r="LZQ155" s="389"/>
      <c r="LZR155" s="389"/>
      <c r="LZS155" s="389"/>
      <c r="LZT155" s="389"/>
      <c r="LZU155" s="389"/>
      <c r="LZV155" s="389"/>
      <c r="LZW155" s="389"/>
      <c r="LZX155" s="389"/>
      <c r="LZY155" s="389"/>
      <c r="LZZ155" s="389"/>
      <c r="MAA155" s="389"/>
      <c r="MAB155" s="389"/>
      <c r="MAC155" s="389"/>
      <c r="MAD155" s="389"/>
      <c r="MAE155" s="389"/>
      <c r="MAF155" s="389"/>
      <c r="MAG155" s="389"/>
      <c r="MAH155" s="389"/>
      <c r="MAI155" s="389"/>
      <c r="MAJ155" s="389"/>
      <c r="MAK155" s="389"/>
      <c r="MAL155" s="389"/>
      <c r="MAM155" s="389"/>
      <c r="MAN155" s="389"/>
      <c r="MAO155" s="389"/>
      <c r="MAP155" s="389"/>
      <c r="MAQ155" s="389"/>
      <c r="MAR155" s="389"/>
      <c r="MAS155" s="389"/>
      <c r="MAT155" s="389"/>
      <c r="MAU155" s="389"/>
      <c r="MAV155" s="389"/>
      <c r="MAW155" s="389"/>
      <c r="MAX155" s="389"/>
      <c r="MAY155" s="389"/>
      <c r="MAZ155" s="389"/>
      <c r="MBA155" s="389"/>
      <c r="MBB155" s="389"/>
      <c r="MBC155" s="389"/>
      <c r="MBD155" s="389"/>
      <c r="MBE155" s="389"/>
      <c r="MBF155" s="389"/>
      <c r="MBG155" s="389"/>
      <c r="MBH155" s="389"/>
      <c r="MBI155" s="389"/>
      <c r="MBJ155" s="389"/>
      <c r="MBK155" s="389"/>
      <c r="MBL155" s="389"/>
      <c r="MBM155" s="389"/>
      <c r="MBN155" s="389"/>
      <c r="MBO155" s="389"/>
      <c r="MBP155" s="389"/>
      <c r="MBQ155" s="389"/>
      <c r="MBR155" s="389"/>
      <c r="MBS155" s="389"/>
      <c r="MBT155" s="389"/>
      <c r="MBU155" s="389"/>
      <c r="MBV155" s="389"/>
      <c r="MBW155" s="389"/>
      <c r="MBX155" s="389"/>
      <c r="MBY155" s="389"/>
      <c r="MBZ155" s="389"/>
      <c r="MCA155" s="389"/>
      <c r="MCB155" s="389"/>
      <c r="MCC155" s="389"/>
      <c r="MCD155" s="389"/>
      <c r="MCE155" s="389"/>
      <c r="MCF155" s="389"/>
      <c r="MCG155" s="389"/>
      <c r="MCH155" s="389"/>
      <c r="MCI155" s="389"/>
      <c r="MCJ155" s="389"/>
      <c r="MCK155" s="389"/>
      <c r="MCL155" s="389"/>
      <c r="MCM155" s="389"/>
      <c r="MCN155" s="389"/>
      <c r="MCO155" s="389"/>
      <c r="MCP155" s="389"/>
      <c r="MCQ155" s="389"/>
      <c r="MCR155" s="389"/>
      <c r="MCS155" s="389"/>
      <c r="MCT155" s="389"/>
      <c r="MCU155" s="389"/>
      <c r="MCV155" s="389"/>
      <c r="MCW155" s="389"/>
      <c r="MCX155" s="389"/>
      <c r="MCY155" s="389"/>
      <c r="MCZ155" s="389"/>
      <c r="MDA155" s="389"/>
      <c r="MDB155" s="389"/>
      <c r="MDC155" s="389"/>
      <c r="MDD155" s="389"/>
      <c r="MDE155" s="389"/>
      <c r="MDF155" s="389"/>
      <c r="MDG155" s="389"/>
      <c r="MDH155" s="389"/>
      <c r="MDI155" s="389"/>
      <c r="MDJ155" s="389"/>
      <c r="MDK155" s="389"/>
      <c r="MDL155" s="389"/>
      <c r="MDM155" s="389"/>
      <c r="MDN155" s="389"/>
      <c r="MDO155" s="389"/>
      <c r="MDP155" s="389"/>
      <c r="MDQ155" s="389"/>
      <c r="MDR155" s="389"/>
      <c r="MDS155" s="389"/>
      <c r="MDT155" s="389"/>
      <c r="MDU155" s="389"/>
      <c r="MDV155" s="389"/>
      <c r="MDW155" s="389"/>
      <c r="MDX155" s="389"/>
      <c r="MDY155" s="389"/>
      <c r="MDZ155" s="389"/>
      <c r="MEA155" s="389"/>
      <c r="MEB155" s="389"/>
      <c r="MEC155" s="389"/>
      <c r="MED155" s="389"/>
      <c r="MEE155" s="389"/>
      <c r="MEF155" s="389"/>
      <c r="MEG155" s="389"/>
      <c r="MEH155" s="389"/>
      <c r="MEI155" s="389"/>
      <c r="MEJ155" s="389"/>
      <c r="MEK155" s="389"/>
      <c r="MEL155" s="389"/>
      <c r="MEM155" s="389"/>
      <c r="MEN155" s="389"/>
      <c r="MEO155" s="389"/>
      <c r="MEP155" s="389"/>
      <c r="MEQ155" s="389"/>
      <c r="MER155" s="389"/>
      <c r="MES155" s="389"/>
      <c r="MET155" s="389"/>
      <c r="MEU155" s="389"/>
      <c r="MEV155" s="389"/>
      <c r="MEW155" s="389"/>
      <c r="MEX155" s="389"/>
      <c r="MEY155" s="389"/>
      <c r="MEZ155" s="389"/>
      <c r="MFA155" s="389"/>
      <c r="MFB155" s="389"/>
      <c r="MFC155" s="389"/>
      <c r="MFD155" s="389"/>
      <c r="MFE155" s="389"/>
      <c r="MFF155" s="389"/>
      <c r="MFG155" s="389"/>
      <c r="MFH155" s="389"/>
      <c r="MFI155" s="389"/>
      <c r="MFJ155" s="389"/>
      <c r="MFK155" s="389"/>
      <c r="MFL155" s="389"/>
      <c r="MFM155" s="389"/>
      <c r="MFN155" s="389"/>
      <c r="MFO155" s="389"/>
      <c r="MFP155" s="389"/>
      <c r="MFQ155" s="389"/>
      <c r="MFR155" s="389"/>
      <c r="MFS155" s="389"/>
      <c r="MFT155" s="389"/>
      <c r="MFU155" s="389"/>
      <c r="MFV155" s="389"/>
      <c r="MFW155" s="389"/>
      <c r="MFX155" s="389"/>
      <c r="MFY155" s="389"/>
      <c r="MFZ155" s="389"/>
      <c r="MGA155" s="389"/>
      <c r="MGB155" s="389"/>
      <c r="MGC155" s="389"/>
      <c r="MGD155" s="389"/>
      <c r="MGE155" s="389"/>
      <c r="MGF155" s="389"/>
      <c r="MGG155" s="389"/>
      <c r="MGH155" s="389"/>
      <c r="MGI155" s="389"/>
      <c r="MGJ155" s="389"/>
      <c r="MGK155" s="389"/>
      <c r="MGL155" s="389"/>
      <c r="MGM155" s="389"/>
      <c r="MGN155" s="389"/>
      <c r="MGO155" s="389"/>
      <c r="MGP155" s="389"/>
      <c r="MGQ155" s="389"/>
      <c r="MGR155" s="389"/>
      <c r="MGS155" s="389"/>
      <c r="MGT155" s="389"/>
      <c r="MGU155" s="389"/>
      <c r="MGV155" s="389"/>
      <c r="MGW155" s="389"/>
      <c r="MGX155" s="389"/>
      <c r="MGY155" s="389"/>
      <c r="MGZ155" s="389"/>
      <c r="MHA155" s="389"/>
      <c r="MHB155" s="389"/>
      <c r="MHC155" s="389"/>
      <c r="MHD155" s="389"/>
      <c r="MHE155" s="389"/>
      <c r="MHF155" s="389"/>
      <c r="MHG155" s="389"/>
      <c r="MHH155" s="389"/>
      <c r="MHI155" s="389"/>
      <c r="MHJ155" s="389"/>
      <c r="MHK155" s="389"/>
      <c r="MHL155" s="389"/>
      <c r="MHM155" s="389"/>
      <c r="MHN155" s="389"/>
      <c r="MHO155" s="389"/>
      <c r="MHP155" s="389"/>
      <c r="MHQ155" s="389"/>
      <c r="MHR155" s="389"/>
      <c r="MHS155" s="389"/>
      <c r="MHT155" s="389"/>
      <c r="MHU155" s="389"/>
      <c r="MHV155" s="389"/>
      <c r="MHW155" s="389"/>
      <c r="MHX155" s="389"/>
      <c r="MHY155" s="389"/>
      <c r="MHZ155" s="389"/>
      <c r="MIA155" s="389"/>
      <c r="MIB155" s="389"/>
      <c r="MIC155" s="389"/>
      <c r="MID155" s="389"/>
      <c r="MIE155" s="389"/>
      <c r="MIF155" s="389"/>
      <c r="MIG155" s="389"/>
      <c r="MIH155" s="389"/>
      <c r="MII155" s="389"/>
      <c r="MIJ155" s="389"/>
      <c r="MIK155" s="389"/>
      <c r="MIL155" s="389"/>
      <c r="MIM155" s="389"/>
      <c r="MIN155" s="389"/>
      <c r="MIO155" s="389"/>
      <c r="MIP155" s="389"/>
      <c r="MIQ155" s="389"/>
      <c r="MIR155" s="389"/>
      <c r="MIS155" s="389"/>
      <c r="MIT155" s="389"/>
      <c r="MIU155" s="389"/>
      <c r="MIV155" s="389"/>
      <c r="MIW155" s="389"/>
      <c r="MIX155" s="389"/>
      <c r="MIY155" s="389"/>
      <c r="MIZ155" s="389"/>
      <c r="MJA155" s="389"/>
      <c r="MJB155" s="389"/>
      <c r="MJC155" s="389"/>
      <c r="MJD155" s="389"/>
      <c r="MJE155" s="389"/>
      <c r="MJF155" s="389"/>
      <c r="MJG155" s="389"/>
      <c r="MJH155" s="389"/>
      <c r="MJI155" s="389"/>
      <c r="MJJ155" s="389"/>
      <c r="MJK155" s="389"/>
      <c r="MJL155" s="389"/>
      <c r="MJM155" s="389"/>
      <c r="MJN155" s="389"/>
      <c r="MJO155" s="389"/>
      <c r="MJP155" s="389"/>
      <c r="MJQ155" s="389"/>
      <c r="MJR155" s="389"/>
      <c r="MJS155" s="389"/>
      <c r="MJT155" s="389"/>
      <c r="MJU155" s="389"/>
      <c r="MJV155" s="389"/>
      <c r="MJW155" s="389"/>
      <c r="MJX155" s="389"/>
      <c r="MJY155" s="389"/>
      <c r="MJZ155" s="389"/>
      <c r="MKA155" s="389"/>
      <c r="MKB155" s="389"/>
      <c r="MKC155" s="389"/>
      <c r="MKD155" s="389"/>
      <c r="MKE155" s="389"/>
      <c r="MKF155" s="389"/>
      <c r="MKG155" s="389"/>
      <c r="MKH155" s="389"/>
      <c r="MKI155" s="389"/>
      <c r="MKJ155" s="389"/>
      <c r="MKK155" s="389"/>
      <c r="MKL155" s="389"/>
      <c r="MKM155" s="389"/>
      <c r="MKN155" s="389"/>
      <c r="MKO155" s="389"/>
      <c r="MKP155" s="389"/>
      <c r="MKQ155" s="389"/>
      <c r="MKR155" s="389"/>
      <c r="MKS155" s="389"/>
      <c r="MKT155" s="389"/>
      <c r="MKU155" s="389"/>
      <c r="MKV155" s="389"/>
      <c r="MKW155" s="389"/>
      <c r="MKX155" s="389"/>
      <c r="MKY155" s="389"/>
      <c r="MKZ155" s="389"/>
      <c r="MLA155" s="389"/>
      <c r="MLB155" s="389"/>
      <c r="MLC155" s="389"/>
      <c r="MLD155" s="389"/>
      <c r="MLE155" s="389"/>
      <c r="MLF155" s="389"/>
      <c r="MLG155" s="389"/>
      <c r="MLH155" s="389"/>
      <c r="MLI155" s="389"/>
      <c r="MLJ155" s="389"/>
      <c r="MLK155" s="389"/>
      <c r="MLL155" s="389"/>
      <c r="MLM155" s="389"/>
      <c r="MLN155" s="389"/>
      <c r="MLO155" s="389"/>
      <c r="MLP155" s="389"/>
      <c r="MLQ155" s="389"/>
      <c r="MLR155" s="389"/>
      <c r="MLS155" s="389"/>
      <c r="MLT155" s="389"/>
      <c r="MLU155" s="389"/>
      <c r="MLV155" s="389"/>
      <c r="MLW155" s="389"/>
      <c r="MLX155" s="389"/>
      <c r="MLY155" s="389"/>
      <c r="MLZ155" s="389"/>
      <c r="MMA155" s="389"/>
      <c r="MMB155" s="389"/>
      <c r="MMC155" s="389"/>
      <c r="MMD155" s="389"/>
      <c r="MME155" s="389"/>
      <c r="MMF155" s="389"/>
      <c r="MMG155" s="389"/>
      <c r="MMH155" s="389"/>
      <c r="MMI155" s="389"/>
      <c r="MMJ155" s="389"/>
      <c r="MMK155" s="389"/>
      <c r="MML155" s="389"/>
      <c r="MMM155" s="389"/>
      <c r="MMN155" s="389"/>
      <c r="MMO155" s="389"/>
      <c r="MMP155" s="389"/>
      <c r="MMQ155" s="389"/>
      <c r="MMR155" s="389"/>
      <c r="MMS155" s="389"/>
      <c r="MMT155" s="389"/>
      <c r="MMU155" s="389"/>
      <c r="MMV155" s="389"/>
      <c r="MMW155" s="389"/>
      <c r="MMX155" s="389"/>
      <c r="MMY155" s="389"/>
      <c r="MMZ155" s="389"/>
      <c r="MNA155" s="389"/>
      <c r="MNB155" s="389"/>
      <c r="MNC155" s="389"/>
      <c r="MND155" s="389"/>
      <c r="MNE155" s="389"/>
      <c r="MNF155" s="389"/>
      <c r="MNG155" s="389"/>
      <c r="MNH155" s="389"/>
      <c r="MNI155" s="389"/>
      <c r="MNJ155" s="389"/>
      <c r="MNK155" s="389"/>
      <c r="MNL155" s="389"/>
      <c r="MNM155" s="389"/>
      <c r="MNN155" s="389"/>
      <c r="MNO155" s="389"/>
      <c r="MNP155" s="389"/>
      <c r="MNQ155" s="389"/>
      <c r="MNR155" s="389"/>
      <c r="MNS155" s="389"/>
      <c r="MNT155" s="389"/>
      <c r="MNU155" s="389"/>
      <c r="MNV155" s="389"/>
      <c r="MNW155" s="389"/>
      <c r="MNX155" s="389"/>
      <c r="MNY155" s="389"/>
      <c r="MNZ155" s="389"/>
      <c r="MOA155" s="389"/>
      <c r="MOB155" s="389"/>
      <c r="MOC155" s="389"/>
      <c r="MOD155" s="389"/>
      <c r="MOE155" s="389"/>
      <c r="MOF155" s="389"/>
      <c r="MOG155" s="389"/>
      <c r="MOH155" s="389"/>
      <c r="MOI155" s="389"/>
      <c r="MOJ155" s="389"/>
      <c r="MOK155" s="389"/>
      <c r="MOL155" s="389"/>
      <c r="MOM155" s="389"/>
      <c r="MON155" s="389"/>
      <c r="MOO155" s="389"/>
      <c r="MOP155" s="389"/>
      <c r="MOQ155" s="389"/>
      <c r="MOR155" s="389"/>
      <c r="MOS155" s="389"/>
      <c r="MOT155" s="389"/>
      <c r="MOU155" s="389"/>
      <c r="MOV155" s="389"/>
      <c r="MOW155" s="389"/>
      <c r="MOX155" s="389"/>
      <c r="MOY155" s="389"/>
      <c r="MOZ155" s="389"/>
      <c r="MPA155" s="389"/>
      <c r="MPB155" s="389"/>
      <c r="MPC155" s="389"/>
      <c r="MPD155" s="389"/>
      <c r="MPE155" s="389"/>
      <c r="MPF155" s="389"/>
      <c r="MPG155" s="389"/>
      <c r="MPH155" s="389"/>
      <c r="MPI155" s="389"/>
      <c r="MPJ155" s="389"/>
      <c r="MPK155" s="389"/>
      <c r="MPL155" s="389"/>
      <c r="MPM155" s="389"/>
      <c r="MPN155" s="389"/>
      <c r="MPO155" s="389"/>
      <c r="MPP155" s="389"/>
      <c r="MPQ155" s="389"/>
      <c r="MPR155" s="389"/>
      <c r="MPS155" s="389"/>
      <c r="MPT155" s="389"/>
      <c r="MPU155" s="389"/>
      <c r="MPV155" s="389"/>
      <c r="MPW155" s="389"/>
      <c r="MPX155" s="389"/>
      <c r="MPY155" s="389"/>
      <c r="MPZ155" s="389"/>
      <c r="MQA155" s="389"/>
      <c r="MQB155" s="389"/>
      <c r="MQC155" s="389"/>
      <c r="MQD155" s="389"/>
      <c r="MQE155" s="389"/>
      <c r="MQF155" s="389"/>
      <c r="MQG155" s="389"/>
      <c r="MQH155" s="389"/>
      <c r="MQI155" s="389"/>
      <c r="MQJ155" s="389"/>
      <c r="MQK155" s="389"/>
      <c r="MQL155" s="389"/>
      <c r="MQM155" s="389"/>
      <c r="MQN155" s="389"/>
      <c r="MQO155" s="389"/>
      <c r="MQP155" s="389"/>
      <c r="MQQ155" s="389"/>
      <c r="MQR155" s="389"/>
      <c r="MQS155" s="389"/>
      <c r="MQT155" s="389"/>
      <c r="MQU155" s="389"/>
      <c r="MQV155" s="389"/>
      <c r="MQW155" s="389"/>
      <c r="MQX155" s="389"/>
      <c r="MQY155" s="389"/>
      <c r="MQZ155" s="389"/>
      <c r="MRA155" s="389"/>
      <c r="MRB155" s="389"/>
      <c r="MRC155" s="389"/>
      <c r="MRD155" s="389"/>
      <c r="MRE155" s="389"/>
      <c r="MRF155" s="389"/>
      <c r="MRG155" s="389"/>
      <c r="MRH155" s="389"/>
      <c r="MRI155" s="389"/>
      <c r="MRJ155" s="389"/>
      <c r="MRK155" s="389"/>
      <c r="MRL155" s="389"/>
      <c r="MRM155" s="389"/>
      <c r="MRN155" s="389"/>
      <c r="MRO155" s="389"/>
      <c r="MRP155" s="389"/>
      <c r="MRQ155" s="389"/>
      <c r="MRR155" s="389"/>
      <c r="MRS155" s="389"/>
      <c r="MRT155" s="389"/>
      <c r="MRU155" s="389"/>
      <c r="MRV155" s="389"/>
      <c r="MRW155" s="389"/>
      <c r="MRX155" s="389"/>
      <c r="MRY155" s="389"/>
      <c r="MRZ155" s="389"/>
      <c r="MSA155" s="389"/>
      <c r="MSB155" s="389"/>
      <c r="MSC155" s="389"/>
      <c r="MSD155" s="389"/>
      <c r="MSE155" s="389"/>
      <c r="MSF155" s="389"/>
      <c r="MSG155" s="389"/>
      <c r="MSH155" s="389"/>
      <c r="MSI155" s="389"/>
      <c r="MSJ155" s="389"/>
      <c r="MSK155" s="389"/>
      <c r="MSL155" s="389"/>
      <c r="MSM155" s="389"/>
      <c r="MSN155" s="389"/>
      <c r="MSO155" s="389"/>
      <c r="MSP155" s="389"/>
      <c r="MSQ155" s="389"/>
      <c r="MSR155" s="389"/>
      <c r="MSS155" s="389"/>
      <c r="MST155" s="389"/>
      <c r="MSU155" s="389"/>
      <c r="MSV155" s="389"/>
      <c r="MSW155" s="389"/>
      <c r="MSX155" s="389"/>
      <c r="MSY155" s="389"/>
      <c r="MSZ155" s="389"/>
      <c r="MTA155" s="389"/>
      <c r="MTB155" s="389"/>
      <c r="MTC155" s="389"/>
      <c r="MTD155" s="389"/>
      <c r="MTE155" s="389"/>
      <c r="MTF155" s="389"/>
      <c r="MTG155" s="389"/>
      <c r="MTH155" s="389"/>
      <c r="MTI155" s="389"/>
      <c r="MTJ155" s="389"/>
      <c r="MTK155" s="389"/>
      <c r="MTL155" s="389"/>
      <c r="MTM155" s="389"/>
      <c r="MTN155" s="389"/>
      <c r="MTO155" s="389"/>
      <c r="MTP155" s="389"/>
      <c r="MTQ155" s="389"/>
      <c r="MTR155" s="389"/>
      <c r="MTS155" s="389"/>
      <c r="MTT155" s="389"/>
      <c r="MTU155" s="389"/>
      <c r="MTV155" s="389"/>
      <c r="MTW155" s="389"/>
      <c r="MTX155" s="389"/>
      <c r="MTY155" s="389"/>
      <c r="MTZ155" s="389"/>
      <c r="MUA155" s="389"/>
      <c r="MUB155" s="389"/>
      <c r="MUC155" s="389"/>
      <c r="MUD155" s="389"/>
      <c r="MUE155" s="389"/>
      <c r="MUF155" s="389"/>
      <c r="MUG155" s="389"/>
      <c r="MUH155" s="389"/>
      <c r="MUI155" s="389"/>
      <c r="MUJ155" s="389"/>
      <c r="MUK155" s="389"/>
      <c r="MUL155" s="389"/>
      <c r="MUM155" s="389"/>
      <c r="MUN155" s="389"/>
      <c r="MUO155" s="389"/>
      <c r="MUP155" s="389"/>
      <c r="MUQ155" s="389"/>
      <c r="MUR155" s="389"/>
      <c r="MUS155" s="389"/>
      <c r="MUT155" s="389"/>
      <c r="MUU155" s="389"/>
      <c r="MUV155" s="389"/>
      <c r="MUW155" s="389"/>
      <c r="MUX155" s="389"/>
      <c r="MUY155" s="389"/>
      <c r="MUZ155" s="389"/>
      <c r="MVA155" s="389"/>
      <c r="MVB155" s="389"/>
      <c r="MVC155" s="389"/>
      <c r="MVD155" s="389"/>
      <c r="MVE155" s="389"/>
      <c r="MVF155" s="389"/>
      <c r="MVG155" s="389"/>
      <c r="MVH155" s="389"/>
      <c r="MVI155" s="389"/>
      <c r="MVJ155" s="389"/>
      <c r="MVK155" s="389"/>
      <c r="MVL155" s="389"/>
      <c r="MVM155" s="389"/>
      <c r="MVN155" s="389"/>
      <c r="MVO155" s="389"/>
      <c r="MVP155" s="389"/>
      <c r="MVQ155" s="389"/>
      <c r="MVR155" s="389"/>
      <c r="MVS155" s="389"/>
      <c r="MVT155" s="389"/>
      <c r="MVU155" s="389"/>
      <c r="MVV155" s="389"/>
      <c r="MVW155" s="389"/>
      <c r="MVX155" s="389"/>
      <c r="MVY155" s="389"/>
      <c r="MVZ155" s="389"/>
      <c r="MWA155" s="389"/>
      <c r="MWB155" s="389"/>
      <c r="MWC155" s="389"/>
      <c r="MWD155" s="389"/>
      <c r="MWE155" s="389"/>
      <c r="MWF155" s="389"/>
      <c r="MWG155" s="389"/>
      <c r="MWH155" s="389"/>
      <c r="MWI155" s="389"/>
      <c r="MWJ155" s="389"/>
      <c r="MWK155" s="389"/>
      <c r="MWL155" s="389"/>
      <c r="MWM155" s="389"/>
      <c r="MWN155" s="389"/>
      <c r="MWO155" s="389"/>
      <c r="MWP155" s="389"/>
      <c r="MWQ155" s="389"/>
      <c r="MWR155" s="389"/>
      <c r="MWS155" s="389"/>
      <c r="MWT155" s="389"/>
      <c r="MWU155" s="389"/>
      <c r="MWV155" s="389"/>
      <c r="MWW155" s="389"/>
      <c r="MWX155" s="389"/>
      <c r="MWY155" s="389"/>
      <c r="MWZ155" s="389"/>
      <c r="MXA155" s="389"/>
      <c r="MXB155" s="389"/>
      <c r="MXC155" s="389"/>
      <c r="MXD155" s="389"/>
      <c r="MXE155" s="389"/>
      <c r="MXF155" s="389"/>
      <c r="MXG155" s="389"/>
      <c r="MXH155" s="389"/>
      <c r="MXI155" s="389"/>
      <c r="MXJ155" s="389"/>
      <c r="MXK155" s="389"/>
      <c r="MXL155" s="389"/>
      <c r="MXM155" s="389"/>
      <c r="MXN155" s="389"/>
      <c r="MXO155" s="389"/>
      <c r="MXP155" s="389"/>
      <c r="MXQ155" s="389"/>
      <c r="MXR155" s="389"/>
      <c r="MXS155" s="389"/>
      <c r="MXT155" s="389"/>
      <c r="MXU155" s="389"/>
      <c r="MXV155" s="389"/>
      <c r="MXW155" s="389"/>
      <c r="MXX155" s="389"/>
      <c r="MXY155" s="389"/>
      <c r="MXZ155" s="389"/>
      <c r="MYA155" s="389"/>
      <c r="MYB155" s="389"/>
      <c r="MYC155" s="389"/>
      <c r="MYD155" s="389"/>
      <c r="MYE155" s="389"/>
      <c r="MYF155" s="389"/>
      <c r="MYG155" s="389"/>
      <c r="MYH155" s="389"/>
      <c r="MYI155" s="389"/>
      <c r="MYJ155" s="389"/>
      <c r="MYK155" s="389"/>
      <c r="MYL155" s="389"/>
      <c r="MYM155" s="389"/>
      <c r="MYN155" s="389"/>
      <c r="MYO155" s="389"/>
      <c r="MYP155" s="389"/>
      <c r="MYQ155" s="389"/>
      <c r="MYR155" s="389"/>
      <c r="MYS155" s="389"/>
      <c r="MYT155" s="389"/>
      <c r="MYU155" s="389"/>
      <c r="MYV155" s="389"/>
      <c r="MYW155" s="389"/>
      <c r="MYX155" s="389"/>
      <c r="MYY155" s="389"/>
      <c r="MYZ155" s="389"/>
      <c r="MZA155" s="389"/>
      <c r="MZB155" s="389"/>
      <c r="MZC155" s="389"/>
      <c r="MZD155" s="389"/>
      <c r="MZE155" s="389"/>
      <c r="MZF155" s="389"/>
      <c r="MZG155" s="389"/>
      <c r="MZH155" s="389"/>
      <c r="MZI155" s="389"/>
      <c r="MZJ155" s="389"/>
      <c r="MZK155" s="389"/>
      <c r="MZL155" s="389"/>
      <c r="MZM155" s="389"/>
      <c r="MZN155" s="389"/>
      <c r="MZO155" s="389"/>
      <c r="MZP155" s="389"/>
      <c r="MZQ155" s="389"/>
      <c r="MZR155" s="389"/>
      <c r="MZS155" s="389"/>
      <c r="MZT155" s="389"/>
      <c r="MZU155" s="389"/>
      <c r="MZV155" s="389"/>
      <c r="MZW155" s="389"/>
      <c r="MZX155" s="389"/>
      <c r="MZY155" s="389"/>
      <c r="MZZ155" s="389"/>
      <c r="NAA155" s="389"/>
      <c r="NAB155" s="389"/>
      <c r="NAC155" s="389"/>
      <c r="NAD155" s="389"/>
      <c r="NAE155" s="389"/>
      <c r="NAF155" s="389"/>
      <c r="NAG155" s="389"/>
      <c r="NAH155" s="389"/>
      <c r="NAI155" s="389"/>
      <c r="NAJ155" s="389"/>
      <c r="NAK155" s="389"/>
      <c r="NAL155" s="389"/>
      <c r="NAM155" s="389"/>
      <c r="NAN155" s="389"/>
      <c r="NAO155" s="389"/>
      <c r="NAP155" s="389"/>
      <c r="NAQ155" s="389"/>
      <c r="NAR155" s="389"/>
      <c r="NAS155" s="389"/>
      <c r="NAT155" s="389"/>
      <c r="NAU155" s="389"/>
      <c r="NAV155" s="389"/>
      <c r="NAW155" s="389"/>
      <c r="NAX155" s="389"/>
      <c r="NAY155" s="389"/>
      <c r="NAZ155" s="389"/>
      <c r="NBA155" s="389"/>
      <c r="NBB155" s="389"/>
      <c r="NBC155" s="389"/>
      <c r="NBD155" s="389"/>
      <c r="NBE155" s="389"/>
      <c r="NBF155" s="389"/>
      <c r="NBG155" s="389"/>
      <c r="NBH155" s="389"/>
      <c r="NBI155" s="389"/>
      <c r="NBJ155" s="389"/>
      <c r="NBK155" s="389"/>
      <c r="NBL155" s="389"/>
      <c r="NBM155" s="389"/>
      <c r="NBN155" s="389"/>
      <c r="NBO155" s="389"/>
      <c r="NBP155" s="389"/>
      <c r="NBQ155" s="389"/>
      <c r="NBR155" s="389"/>
      <c r="NBS155" s="389"/>
      <c r="NBT155" s="389"/>
      <c r="NBU155" s="389"/>
      <c r="NBV155" s="389"/>
      <c r="NBW155" s="389"/>
      <c r="NBX155" s="389"/>
      <c r="NBY155" s="389"/>
      <c r="NBZ155" s="389"/>
      <c r="NCA155" s="389"/>
      <c r="NCB155" s="389"/>
      <c r="NCC155" s="389"/>
      <c r="NCD155" s="389"/>
      <c r="NCE155" s="389"/>
      <c r="NCF155" s="389"/>
      <c r="NCG155" s="389"/>
      <c r="NCH155" s="389"/>
      <c r="NCI155" s="389"/>
      <c r="NCJ155" s="389"/>
      <c r="NCK155" s="389"/>
      <c r="NCL155" s="389"/>
      <c r="NCM155" s="389"/>
      <c r="NCN155" s="389"/>
      <c r="NCO155" s="389"/>
      <c r="NCP155" s="389"/>
      <c r="NCQ155" s="389"/>
      <c r="NCR155" s="389"/>
      <c r="NCS155" s="389"/>
      <c r="NCT155" s="389"/>
      <c r="NCU155" s="389"/>
      <c r="NCV155" s="389"/>
      <c r="NCW155" s="389"/>
      <c r="NCX155" s="389"/>
      <c r="NCY155" s="389"/>
      <c r="NCZ155" s="389"/>
      <c r="NDA155" s="389"/>
      <c r="NDB155" s="389"/>
      <c r="NDC155" s="389"/>
      <c r="NDD155" s="389"/>
      <c r="NDE155" s="389"/>
      <c r="NDF155" s="389"/>
      <c r="NDG155" s="389"/>
      <c r="NDH155" s="389"/>
      <c r="NDI155" s="389"/>
      <c r="NDJ155" s="389"/>
      <c r="NDK155" s="389"/>
      <c r="NDL155" s="389"/>
      <c r="NDM155" s="389"/>
      <c r="NDN155" s="389"/>
      <c r="NDO155" s="389"/>
      <c r="NDP155" s="389"/>
      <c r="NDQ155" s="389"/>
      <c r="NDR155" s="389"/>
      <c r="NDS155" s="389"/>
      <c r="NDT155" s="389"/>
      <c r="NDU155" s="389"/>
      <c r="NDV155" s="389"/>
      <c r="NDW155" s="389"/>
      <c r="NDX155" s="389"/>
      <c r="NDY155" s="389"/>
      <c r="NDZ155" s="389"/>
      <c r="NEA155" s="389"/>
      <c r="NEB155" s="389"/>
      <c r="NEC155" s="389"/>
      <c r="NED155" s="389"/>
      <c r="NEE155" s="389"/>
      <c r="NEF155" s="389"/>
      <c r="NEG155" s="389"/>
      <c r="NEH155" s="389"/>
      <c r="NEI155" s="389"/>
      <c r="NEJ155" s="389"/>
      <c r="NEK155" s="389"/>
      <c r="NEL155" s="389"/>
      <c r="NEM155" s="389"/>
      <c r="NEN155" s="389"/>
      <c r="NEO155" s="389"/>
      <c r="NEP155" s="389"/>
      <c r="NEQ155" s="389"/>
      <c r="NER155" s="389"/>
      <c r="NES155" s="389"/>
      <c r="NET155" s="389"/>
      <c r="NEU155" s="389"/>
      <c r="NEV155" s="389"/>
      <c r="NEW155" s="389"/>
      <c r="NEX155" s="389"/>
      <c r="NEY155" s="389"/>
      <c r="NEZ155" s="389"/>
      <c r="NFA155" s="389"/>
      <c r="NFB155" s="389"/>
      <c r="NFC155" s="389"/>
      <c r="NFD155" s="389"/>
      <c r="NFE155" s="389"/>
      <c r="NFF155" s="389"/>
      <c r="NFG155" s="389"/>
      <c r="NFH155" s="389"/>
      <c r="NFI155" s="389"/>
      <c r="NFJ155" s="389"/>
      <c r="NFK155" s="389"/>
      <c r="NFL155" s="389"/>
      <c r="NFM155" s="389"/>
      <c r="NFN155" s="389"/>
      <c r="NFO155" s="389"/>
      <c r="NFP155" s="389"/>
      <c r="NFQ155" s="389"/>
      <c r="NFR155" s="389"/>
      <c r="NFS155" s="389"/>
      <c r="NFT155" s="389"/>
      <c r="NFU155" s="389"/>
      <c r="NFV155" s="389"/>
      <c r="NFW155" s="389"/>
      <c r="NFX155" s="389"/>
      <c r="NFY155" s="389"/>
      <c r="NFZ155" s="389"/>
      <c r="NGA155" s="389"/>
      <c r="NGB155" s="389"/>
      <c r="NGC155" s="389"/>
      <c r="NGD155" s="389"/>
      <c r="NGE155" s="389"/>
      <c r="NGF155" s="389"/>
      <c r="NGG155" s="389"/>
      <c r="NGH155" s="389"/>
      <c r="NGI155" s="389"/>
      <c r="NGJ155" s="389"/>
      <c r="NGK155" s="389"/>
      <c r="NGL155" s="389"/>
      <c r="NGM155" s="389"/>
      <c r="NGN155" s="389"/>
      <c r="NGO155" s="389"/>
      <c r="NGP155" s="389"/>
      <c r="NGQ155" s="389"/>
      <c r="NGR155" s="389"/>
      <c r="NGS155" s="389"/>
      <c r="NGT155" s="389"/>
      <c r="NGU155" s="389"/>
      <c r="NGV155" s="389"/>
      <c r="NGW155" s="389"/>
      <c r="NGX155" s="389"/>
      <c r="NGY155" s="389"/>
      <c r="NGZ155" s="389"/>
      <c r="NHA155" s="389"/>
      <c r="NHB155" s="389"/>
      <c r="NHC155" s="389"/>
      <c r="NHD155" s="389"/>
      <c r="NHE155" s="389"/>
      <c r="NHF155" s="389"/>
      <c r="NHG155" s="389"/>
      <c r="NHH155" s="389"/>
      <c r="NHI155" s="389"/>
      <c r="NHJ155" s="389"/>
      <c r="NHK155" s="389"/>
      <c r="NHL155" s="389"/>
      <c r="NHM155" s="389"/>
      <c r="NHN155" s="389"/>
      <c r="NHO155" s="389"/>
      <c r="NHP155" s="389"/>
      <c r="NHQ155" s="389"/>
      <c r="NHR155" s="389"/>
      <c r="NHS155" s="389"/>
      <c r="NHT155" s="389"/>
      <c r="NHU155" s="389"/>
      <c r="NHV155" s="389"/>
      <c r="NHW155" s="389"/>
      <c r="NHX155" s="389"/>
      <c r="NHY155" s="389"/>
      <c r="NHZ155" s="389"/>
      <c r="NIA155" s="389"/>
      <c r="NIB155" s="389"/>
      <c r="NIC155" s="389"/>
      <c r="NID155" s="389"/>
      <c r="NIE155" s="389"/>
      <c r="NIF155" s="389"/>
      <c r="NIG155" s="389"/>
      <c r="NIH155" s="389"/>
      <c r="NII155" s="389"/>
      <c r="NIJ155" s="389"/>
      <c r="NIK155" s="389"/>
      <c r="NIL155" s="389"/>
      <c r="NIM155" s="389"/>
      <c r="NIN155" s="389"/>
      <c r="NIO155" s="389"/>
      <c r="NIP155" s="389"/>
      <c r="NIQ155" s="389"/>
      <c r="NIR155" s="389"/>
      <c r="NIS155" s="389"/>
      <c r="NIT155" s="389"/>
      <c r="NIU155" s="389"/>
      <c r="NIV155" s="389"/>
      <c r="NIW155" s="389"/>
      <c r="NIX155" s="389"/>
      <c r="NIY155" s="389"/>
      <c r="NIZ155" s="389"/>
      <c r="NJA155" s="389"/>
      <c r="NJB155" s="389"/>
      <c r="NJC155" s="389"/>
      <c r="NJD155" s="389"/>
      <c r="NJE155" s="389"/>
      <c r="NJF155" s="389"/>
      <c r="NJG155" s="389"/>
      <c r="NJH155" s="389"/>
      <c r="NJI155" s="389"/>
      <c r="NJJ155" s="389"/>
      <c r="NJK155" s="389"/>
      <c r="NJL155" s="389"/>
      <c r="NJM155" s="389"/>
      <c r="NJN155" s="389"/>
      <c r="NJO155" s="389"/>
      <c r="NJP155" s="389"/>
      <c r="NJQ155" s="389"/>
      <c r="NJR155" s="389"/>
      <c r="NJS155" s="389"/>
      <c r="NJT155" s="389"/>
      <c r="NJU155" s="389"/>
      <c r="NJV155" s="389"/>
      <c r="NJW155" s="389"/>
      <c r="NJX155" s="389"/>
      <c r="NJY155" s="389"/>
      <c r="NJZ155" s="389"/>
      <c r="NKA155" s="389"/>
      <c r="NKB155" s="389"/>
      <c r="NKC155" s="389"/>
      <c r="NKD155" s="389"/>
      <c r="NKE155" s="389"/>
      <c r="NKF155" s="389"/>
      <c r="NKG155" s="389"/>
      <c r="NKH155" s="389"/>
      <c r="NKI155" s="389"/>
      <c r="NKJ155" s="389"/>
      <c r="NKK155" s="389"/>
      <c r="NKL155" s="389"/>
      <c r="NKM155" s="389"/>
      <c r="NKN155" s="389"/>
      <c r="NKO155" s="389"/>
      <c r="NKP155" s="389"/>
      <c r="NKQ155" s="389"/>
      <c r="NKR155" s="389"/>
      <c r="NKS155" s="389"/>
      <c r="NKT155" s="389"/>
      <c r="NKU155" s="389"/>
      <c r="NKV155" s="389"/>
      <c r="NKW155" s="389"/>
      <c r="NKX155" s="389"/>
      <c r="NKY155" s="389"/>
      <c r="NKZ155" s="389"/>
      <c r="NLA155" s="389"/>
      <c r="NLB155" s="389"/>
      <c r="NLC155" s="389"/>
      <c r="NLD155" s="389"/>
      <c r="NLE155" s="389"/>
      <c r="NLF155" s="389"/>
      <c r="NLG155" s="389"/>
      <c r="NLH155" s="389"/>
      <c r="NLI155" s="389"/>
      <c r="NLJ155" s="389"/>
      <c r="NLK155" s="389"/>
      <c r="NLL155" s="389"/>
      <c r="NLM155" s="389"/>
      <c r="NLN155" s="389"/>
      <c r="NLO155" s="389"/>
      <c r="NLP155" s="389"/>
      <c r="NLQ155" s="389"/>
      <c r="NLR155" s="389"/>
      <c r="NLS155" s="389"/>
      <c r="NLT155" s="389"/>
      <c r="NLU155" s="389"/>
      <c r="NLV155" s="389"/>
      <c r="NLW155" s="389"/>
      <c r="NLX155" s="389"/>
      <c r="NLY155" s="389"/>
      <c r="NLZ155" s="389"/>
      <c r="NMA155" s="389"/>
      <c r="NMB155" s="389"/>
      <c r="NMC155" s="389"/>
      <c r="NMD155" s="389"/>
      <c r="NME155" s="389"/>
      <c r="NMF155" s="389"/>
      <c r="NMG155" s="389"/>
      <c r="NMH155" s="389"/>
      <c r="NMI155" s="389"/>
      <c r="NMJ155" s="389"/>
      <c r="NMK155" s="389"/>
      <c r="NML155" s="389"/>
      <c r="NMM155" s="389"/>
      <c r="NMN155" s="389"/>
      <c r="NMO155" s="389"/>
      <c r="NMP155" s="389"/>
      <c r="NMQ155" s="389"/>
      <c r="NMR155" s="389"/>
      <c r="NMS155" s="389"/>
      <c r="NMT155" s="389"/>
      <c r="NMU155" s="389"/>
      <c r="NMV155" s="389"/>
      <c r="NMW155" s="389"/>
      <c r="NMX155" s="389"/>
      <c r="NMY155" s="389"/>
      <c r="NMZ155" s="389"/>
      <c r="NNA155" s="389"/>
      <c r="NNB155" s="389"/>
      <c r="NNC155" s="389"/>
      <c r="NND155" s="389"/>
      <c r="NNE155" s="389"/>
      <c r="NNF155" s="389"/>
      <c r="NNG155" s="389"/>
      <c r="NNH155" s="389"/>
      <c r="NNI155" s="389"/>
      <c r="NNJ155" s="389"/>
      <c r="NNK155" s="389"/>
      <c r="NNL155" s="389"/>
      <c r="NNM155" s="389"/>
      <c r="NNN155" s="389"/>
      <c r="NNO155" s="389"/>
      <c r="NNP155" s="389"/>
      <c r="NNQ155" s="389"/>
      <c r="NNR155" s="389"/>
      <c r="NNS155" s="389"/>
      <c r="NNT155" s="389"/>
      <c r="NNU155" s="389"/>
      <c r="NNV155" s="389"/>
      <c r="NNW155" s="389"/>
      <c r="NNX155" s="389"/>
      <c r="NNY155" s="389"/>
      <c r="NNZ155" s="389"/>
      <c r="NOA155" s="389"/>
      <c r="NOB155" s="389"/>
      <c r="NOC155" s="389"/>
      <c r="NOD155" s="389"/>
      <c r="NOE155" s="389"/>
      <c r="NOF155" s="389"/>
      <c r="NOG155" s="389"/>
      <c r="NOH155" s="389"/>
      <c r="NOI155" s="389"/>
      <c r="NOJ155" s="389"/>
      <c r="NOK155" s="389"/>
      <c r="NOL155" s="389"/>
      <c r="NOM155" s="389"/>
      <c r="NON155" s="389"/>
      <c r="NOO155" s="389"/>
      <c r="NOP155" s="389"/>
      <c r="NOQ155" s="389"/>
      <c r="NOR155" s="389"/>
      <c r="NOS155" s="389"/>
      <c r="NOT155" s="389"/>
      <c r="NOU155" s="389"/>
      <c r="NOV155" s="389"/>
      <c r="NOW155" s="389"/>
      <c r="NOX155" s="389"/>
      <c r="NOY155" s="389"/>
      <c r="NOZ155" s="389"/>
      <c r="NPA155" s="389"/>
      <c r="NPB155" s="389"/>
      <c r="NPC155" s="389"/>
      <c r="NPD155" s="389"/>
      <c r="NPE155" s="389"/>
      <c r="NPF155" s="389"/>
      <c r="NPG155" s="389"/>
      <c r="NPH155" s="389"/>
      <c r="NPI155" s="389"/>
      <c r="NPJ155" s="389"/>
      <c r="NPK155" s="389"/>
      <c r="NPL155" s="389"/>
      <c r="NPM155" s="389"/>
      <c r="NPN155" s="389"/>
      <c r="NPO155" s="389"/>
      <c r="NPP155" s="389"/>
      <c r="NPQ155" s="389"/>
      <c r="NPR155" s="389"/>
      <c r="NPS155" s="389"/>
      <c r="NPT155" s="389"/>
      <c r="NPU155" s="389"/>
      <c r="NPV155" s="389"/>
      <c r="NPW155" s="389"/>
      <c r="NPX155" s="389"/>
      <c r="NPY155" s="389"/>
      <c r="NPZ155" s="389"/>
      <c r="NQA155" s="389"/>
      <c r="NQB155" s="389"/>
      <c r="NQC155" s="389"/>
      <c r="NQD155" s="389"/>
      <c r="NQE155" s="389"/>
      <c r="NQF155" s="389"/>
      <c r="NQG155" s="389"/>
      <c r="NQH155" s="389"/>
      <c r="NQI155" s="389"/>
      <c r="NQJ155" s="389"/>
      <c r="NQK155" s="389"/>
      <c r="NQL155" s="389"/>
      <c r="NQM155" s="389"/>
      <c r="NQN155" s="389"/>
      <c r="NQO155" s="389"/>
      <c r="NQP155" s="389"/>
      <c r="NQQ155" s="389"/>
      <c r="NQR155" s="389"/>
      <c r="NQS155" s="389"/>
      <c r="NQT155" s="389"/>
      <c r="NQU155" s="389"/>
      <c r="NQV155" s="389"/>
      <c r="NQW155" s="389"/>
      <c r="NQX155" s="389"/>
      <c r="NQY155" s="389"/>
      <c r="NQZ155" s="389"/>
      <c r="NRA155" s="389"/>
      <c r="NRB155" s="389"/>
      <c r="NRC155" s="389"/>
      <c r="NRD155" s="389"/>
      <c r="NRE155" s="389"/>
      <c r="NRF155" s="389"/>
      <c r="NRG155" s="389"/>
      <c r="NRH155" s="389"/>
      <c r="NRI155" s="389"/>
      <c r="NRJ155" s="389"/>
      <c r="NRK155" s="389"/>
      <c r="NRL155" s="389"/>
      <c r="NRM155" s="389"/>
      <c r="NRN155" s="389"/>
      <c r="NRO155" s="389"/>
      <c r="NRP155" s="389"/>
      <c r="NRQ155" s="389"/>
      <c r="NRR155" s="389"/>
      <c r="NRS155" s="389"/>
      <c r="NRT155" s="389"/>
      <c r="NRU155" s="389"/>
      <c r="NRV155" s="389"/>
      <c r="NRW155" s="389"/>
      <c r="NRX155" s="389"/>
      <c r="NRY155" s="389"/>
      <c r="NRZ155" s="389"/>
      <c r="NSA155" s="389"/>
      <c r="NSB155" s="389"/>
      <c r="NSC155" s="389"/>
      <c r="NSD155" s="389"/>
      <c r="NSE155" s="389"/>
      <c r="NSF155" s="389"/>
      <c r="NSG155" s="389"/>
      <c r="NSH155" s="389"/>
      <c r="NSI155" s="389"/>
      <c r="NSJ155" s="389"/>
      <c r="NSK155" s="389"/>
      <c r="NSL155" s="389"/>
      <c r="NSM155" s="389"/>
      <c r="NSN155" s="389"/>
      <c r="NSO155" s="389"/>
      <c r="NSP155" s="389"/>
      <c r="NSQ155" s="389"/>
      <c r="NSR155" s="389"/>
      <c r="NSS155" s="389"/>
      <c r="NST155" s="389"/>
      <c r="NSU155" s="389"/>
      <c r="NSV155" s="389"/>
      <c r="NSW155" s="389"/>
      <c r="NSX155" s="389"/>
      <c r="NSY155" s="389"/>
      <c r="NSZ155" s="389"/>
      <c r="NTA155" s="389"/>
      <c r="NTB155" s="389"/>
      <c r="NTC155" s="389"/>
      <c r="NTD155" s="389"/>
      <c r="NTE155" s="389"/>
      <c r="NTF155" s="389"/>
      <c r="NTG155" s="389"/>
      <c r="NTH155" s="389"/>
      <c r="NTI155" s="389"/>
      <c r="NTJ155" s="389"/>
      <c r="NTK155" s="389"/>
      <c r="NTL155" s="389"/>
      <c r="NTM155" s="389"/>
      <c r="NTN155" s="389"/>
      <c r="NTO155" s="389"/>
      <c r="NTP155" s="389"/>
      <c r="NTQ155" s="389"/>
      <c r="NTR155" s="389"/>
      <c r="NTS155" s="389"/>
      <c r="NTT155" s="389"/>
      <c r="NTU155" s="389"/>
      <c r="NTV155" s="389"/>
      <c r="NTW155" s="389"/>
      <c r="NTX155" s="389"/>
      <c r="NTY155" s="389"/>
      <c r="NTZ155" s="389"/>
      <c r="NUA155" s="389"/>
      <c r="NUB155" s="389"/>
      <c r="NUC155" s="389"/>
      <c r="NUD155" s="389"/>
      <c r="NUE155" s="389"/>
      <c r="NUF155" s="389"/>
      <c r="NUG155" s="389"/>
      <c r="NUH155" s="389"/>
      <c r="NUI155" s="389"/>
      <c r="NUJ155" s="389"/>
      <c r="NUK155" s="389"/>
      <c r="NUL155" s="389"/>
      <c r="NUM155" s="389"/>
      <c r="NUN155" s="389"/>
      <c r="NUO155" s="389"/>
      <c r="NUP155" s="389"/>
      <c r="NUQ155" s="389"/>
      <c r="NUR155" s="389"/>
      <c r="NUS155" s="389"/>
      <c r="NUT155" s="389"/>
      <c r="NUU155" s="389"/>
      <c r="NUV155" s="389"/>
      <c r="NUW155" s="389"/>
      <c r="NUX155" s="389"/>
      <c r="NUY155" s="389"/>
      <c r="NUZ155" s="389"/>
      <c r="NVA155" s="389"/>
      <c r="NVB155" s="389"/>
      <c r="NVC155" s="389"/>
      <c r="NVD155" s="389"/>
      <c r="NVE155" s="389"/>
      <c r="NVF155" s="389"/>
      <c r="NVG155" s="389"/>
      <c r="NVH155" s="389"/>
      <c r="NVI155" s="389"/>
      <c r="NVJ155" s="389"/>
      <c r="NVK155" s="389"/>
      <c r="NVL155" s="389"/>
      <c r="NVM155" s="389"/>
      <c r="NVN155" s="389"/>
      <c r="NVO155" s="389"/>
      <c r="NVP155" s="389"/>
      <c r="NVQ155" s="389"/>
      <c r="NVR155" s="389"/>
      <c r="NVS155" s="389"/>
      <c r="NVT155" s="389"/>
      <c r="NVU155" s="389"/>
      <c r="NVV155" s="389"/>
      <c r="NVW155" s="389"/>
      <c r="NVX155" s="389"/>
      <c r="NVY155" s="389"/>
      <c r="NVZ155" s="389"/>
      <c r="NWA155" s="389"/>
      <c r="NWB155" s="389"/>
      <c r="NWC155" s="389"/>
      <c r="NWD155" s="389"/>
      <c r="NWE155" s="389"/>
      <c r="NWF155" s="389"/>
      <c r="NWG155" s="389"/>
      <c r="NWH155" s="389"/>
      <c r="NWI155" s="389"/>
      <c r="NWJ155" s="389"/>
      <c r="NWK155" s="389"/>
      <c r="NWL155" s="389"/>
      <c r="NWM155" s="389"/>
      <c r="NWN155" s="389"/>
      <c r="NWO155" s="389"/>
      <c r="NWP155" s="389"/>
      <c r="NWQ155" s="389"/>
      <c r="NWR155" s="389"/>
      <c r="NWS155" s="389"/>
      <c r="NWT155" s="389"/>
      <c r="NWU155" s="389"/>
      <c r="NWV155" s="389"/>
      <c r="NWW155" s="389"/>
      <c r="NWX155" s="389"/>
      <c r="NWY155" s="389"/>
      <c r="NWZ155" s="389"/>
      <c r="NXA155" s="389"/>
      <c r="NXB155" s="389"/>
      <c r="NXC155" s="389"/>
      <c r="NXD155" s="389"/>
      <c r="NXE155" s="389"/>
      <c r="NXF155" s="389"/>
      <c r="NXG155" s="389"/>
      <c r="NXH155" s="389"/>
      <c r="NXI155" s="389"/>
      <c r="NXJ155" s="389"/>
      <c r="NXK155" s="389"/>
      <c r="NXL155" s="389"/>
      <c r="NXM155" s="389"/>
      <c r="NXN155" s="389"/>
      <c r="NXO155" s="389"/>
      <c r="NXP155" s="389"/>
      <c r="NXQ155" s="389"/>
      <c r="NXR155" s="389"/>
      <c r="NXS155" s="389"/>
      <c r="NXT155" s="389"/>
      <c r="NXU155" s="389"/>
      <c r="NXV155" s="389"/>
      <c r="NXW155" s="389"/>
      <c r="NXX155" s="389"/>
      <c r="NXY155" s="389"/>
      <c r="NXZ155" s="389"/>
      <c r="NYA155" s="389"/>
      <c r="NYB155" s="389"/>
      <c r="NYC155" s="389"/>
      <c r="NYD155" s="389"/>
      <c r="NYE155" s="389"/>
      <c r="NYF155" s="389"/>
      <c r="NYG155" s="389"/>
      <c r="NYH155" s="389"/>
      <c r="NYI155" s="389"/>
      <c r="NYJ155" s="389"/>
      <c r="NYK155" s="389"/>
      <c r="NYL155" s="389"/>
      <c r="NYM155" s="389"/>
      <c r="NYN155" s="389"/>
      <c r="NYO155" s="389"/>
      <c r="NYP155" s="389"/>
      <c r="NYQ155" s="389"/>
      <c r="NYR155" s="389"/>
      <c r="NYS155" s="389"/>
      <c r="NYT155" s="389"/>
      <c r="NYU155" s="389"/>
      <c r="NYV155" s="389"/>
      <c r="NYW155" s="389"/>
      <c r="NYX155" s="389"/>
      <c r="NYY155" s="389"/>
      <c r="NYZ155" s="389"/>
      <c r="NZA155" s="389"/>
      <c r="NZB155" s="389"/>
      <c r="NZC155" s="389"/>
      <c r="NZD155" s="389"/>
      <c r="NZE155" s="389"/>
      <c r="NZF155" s="389"/>
      <c r="NZG155" s="389"/>
      <c r="NZH155" s="389"/>
      <c r="NZI155" s="389"/>
      <c r="NZJ155" s="389"/>
      <c r="NZK155" s="389"/>
      <c r="NZL155" s="389"/>
      <c r="NZM155" s="389"/>
      <c r="NZN155" s="389"/>
      <c r="NZO155" s="389"/>
      <c r="NZP155" s="389"/>
      <c r="NZQ155" s="389"/>
      <c r="NZR155" s="389"/>
      <c r="NZS155" s="389"/>
      <c r="NZT155" s="389"/>
      <c r="NZU155" s="389"/>
      <c r="NZV155" s="389"/>
      <c r="NZW155" s="389"/>
      <c r="NZX155" s="389"/>
      <c r="NZY155" s="389"/>
      <c r="NZZ155" s="389"/>
      <c r="OAA155" s="389"/>
      <c r="OAB155" s="389"/>
      <c r="OAC155" s="389"/>
      <c r="OAD155" s="389"/>
      <c r="OAE155" s="389"/>
      <c r="OAF155" s="389"/>
      <c r="OAG155" s="389"/>
      <c r="OAH155" s="389"/>
      <c r="OAI155" s="389"/>
      <c r="OAJ155" s="389"/>
      <c r="OAK155" s="389"/>
      <c r="OAL155" s="389"/>
      <c r="OAM155" s="389"/>
      <c r="OAN155" s="389"/>
      <c r="OAO155" s="389"/>
      <c r="OAP155" s="389"/>
      <c r="OAQ155" s="389"/>
      <c r="OAR155" s="389"/>
      <c r="OAS155" s="389"/>
      <c r="OAT155" s="389"/>
      <c r="OAU155" s="389"/>
      <c r="OAV155" s="389"/>
      <c r="OAW155" s="389"/>
      <c r="OAX155" s="389"/>
      <c r="OAY155" s="389"/>
      <c r="OAZ155" s="389"/>
      <c r="OBA155" s="389"/>
      <c r="OBB155" s="389"/>
      <c r="OBC155" s="389"/>
      <c r="OBD155" s="389"/>
      <c r="OBE155" s="389"/>
      <c r="OBF155" s="389"/>
      <c r="OBG155" s="389"/>
      <c r="OBH155" s="389"/>
      <c r="OBI155" s="389"/>
      <c r="OBJ155" s="389"/>
      <c r="OBK155" s="389"/>
      <c r="OBL155" s="389"/>
      <c r="OBM155" s="389"/>
      <c r="OBN155" s="389"/>
      <c r="OBO155" s="389"/>
      <c r="OBP155" s="389"/>
      <c r="OBQ155" s="389"/>
      <c r="OBR155" s="389"/>
      <c r="OBS155" s="389"/>
      <c r="OBT155" s="389"/>
      <c r="OBU155" s="389"/>
      <c r="OBV155" s="389"/>
      <c r="OBW155" s="389"/>
      <c r="OBX155" s="389"/>
      <c r="OBY155" s="389"/>
      <c r="OBZ155" s="389"/>
      <c r="OCA155" s="389"/>
      <c r="OCB155" s="389"/>
      <c r="OCC155" s="389"/>
      <c r="OCD155" s="389"/>
      <c r="OCE155" s="389"/>
      <c r="OCF155" s="389"/>
      <c r="OCG155" s="389"/>
      <c r="OCH155" s="389"/>
      <c r="OCI155" s="389"/>
      <c r="OCJ155" s="389"/>
      <c r="OCK155" s="389"/>
      <c r="OCL155" s="389"/>
      <c r="OCM155" s="389"/>
      <c r="OCN155" s="389"/>
      <c r="OCO155" s="389"/>
      <c r="OCP155" s="389"/>
      <c r="OCQ155" s="389"/>
      <c r="OCR155" s="389"/>
      <c r="OCS155" s="389"/>
      <c r="OCT155" s="389"/>
      <c r="OCU155" s="389"/>
      <c r="OCV155" s="389"/>
      <c r="OCW155" s="389"/>
      <c r="OCX155" s="389"/>
      <c r="OCY155" s="389"/>
      <c r="OCZ155" s="389"/>
      <c r="ODA155" s="389"/>
      <c r="ODB155" s="389"/>
      <c r="ODC155" s="389"/>
      <c r="ODD155" s="389"/>
      <c r="ODE155" s="389"/>
      <c r="ODF155" s="389"/>
      <c r="ODG155" s="389"/>
      <c r="ODH155" s="389"/>
      <c r="ODI155" s="389"/>
      <c r="ODJ155" s="389"/>
      <c r="ODK155" s="389"/>
      <c r="ODL155" s="389"/>
      <c r="ODM155" s="389"/>
      <c r="ODN155" s="389"/>
      <c r="ODO155" s="389"/>
      <c r="ODP155" s="389"/>
      <c r="ODQ155" s="389"/>
      <c r="ODR155" s="389"/>
      <c r="ODS155" s="389"/>
      <c r="ODT155" s="389"/>
      <c r="ODU155" s="389"/>
      <c r="ODV155" s="389"/>
      <c r="ODW155" s="389"/>
      <c r="ODX155" s="389"/>
      <c r="ODY155" s="389"/>
      <c r="ODZ155" s="389"/>
      <c r="OEA155" s="389"/>
      <c r="OEB155" s="389"/>
      <c r="OEC155" s="389"/>
      <c r="OED155" s="389"/>
      <c r="OEE155" s="389"/>
      <c r="OEF155" s="389"/>
      <c r="OEG155" s="389"/>
      <c r="OEH155" s="389"/>
      <c r="OEI155" s="389"/>
      <c r="OEJ155" s="389"/>
      <c r="OEK155" s="389"/>
      <c r="OEL155" s="389"/>
      <c r="OEM155" s="389"/>
      <c r="OEN155" s="389"/>
      <c r="OEO155" s="389"/>
      <c r="OEP155" s="389"/>
      <c r="OEQ155" s="389"/>
      <c r="OER155" s="389"/>
      <c r="OES155" s="389"/>
      <c r="OET155" s="389"/>
      <c r="OEU155" s="389"/>
      <c r="OEV155" s="389"/>
      <c r="OEW155" s="389"/>
      <c r="OEX155" s="389"/>
      <c r="OEY155" s="389"/>
      <c r="OEZ155" s="389"/>
      <c r="OFA155" s="389"/>
      <c r="OFB155" s="389"/>
      <c r="OFC155" s="389"/>
      <c r="OFD155" s="389"/>
      <c r="OFE155" s="389"/>
      <c r="OFF155" s="389"/>
      <c r="OFG155" s="389"/>
      <c r="OFH155" s="389"/>
      <c r="OFI155" s="389"/>
      <c r="OFJ155" s="389"/>
      <c r="OFK155" s="389"/>
      <c r="OFL155" s="389"/>
      <c r="OFM155" s="389"/>
      <c r="OFN155" s="389"/>
      <c r="OFO155" s="389"/>
      <c r="OFP155" s="389"/>
      <c r="OFQ155" s="389"/>
      <c r="OFR155" s="389"/>
      <c r="OFS155" s="389"/>
      <c r="OFT155" s="389"/>
      <c r="OFU155" s="389"/>
      <c r="OFV155" s="389"/>
      <c r="OFW155" s="389"/>
      <c r="OFX155" s="389"/>
      <c r="OFY155" s="389"/>
      <c r="OFZ155" s="389"/>
      <c r="OGA155" s="389"/>
      <c r="OGB155" s="389"/>
      <c r="OGC155" s="389"/>
      <c r="OGD155" s="389"/>
      <c r="OGE155" s="389"/>
      <c r="OGF155" s="389"/>
      <c r="OGG155" s="389"/>
      <c r="OGH155" s="389"/>
      <c r="OGI155" s="389"/>
      <c r="OGJ155" s="389"/>
      <c r="OGK155" s="389"/>
      <c r="OGL155" s="389"/>
      <c r="OGM155" s="389"/>
      <c r="OGN155" s="389"/>
      <c r="OGO155" s="389"/>
      <c r="OGP155" s="389"/>
      <c r="OGQ155" s="389"/>
      <c r="OGR155" s="389"/>
      <c r="OGS155" s="389"/>
      <c r="OGT155" s="389"/>
      <c r="OGU155" s="389"/>
      <c r="OGV155" s="389"/>
      <c r="OGW155" s="389"/>
      <c r="OGX155" s="389"/>
      <c r="OGY155" s="389"/>
      <c r="OGZ155" s="389"/>
      <c r="OHA155" s="389"/>
      <c r="OHB155" s="389"/>
      <c r="OHC155" s="389"/>
      <c r="OHD155" s="389"/>
      <c r="OHE155" s="389"/>
      <c r="OHF155" s="389"/>
      <c r="OHG155" s="389"/>
      <c r="OHH155" s="389"/>
      <c r="OHI155" s="389"/>
      <c r="OHJ155" s="389"/>
      <c r="OHK155" s="389"/>
      <c r="OHL155" s="389"/>
      <c r="OHM155" s="389"/>
      <c r="OHN155" s="389"/>
      <c r="OHO155" s="389"/>
      <c r="OHP155" s="389"/>
      <c r="OHQ155" s="389"/>
      <c r="OHR155" s="389"/>
      <c r="OHS155" s="389"/>
      <c r="OHT155" s="389"/>
      <c r="OHU155" s="389"/>
      <c r="OHV155" s="389"/>
      <c r="OHW155" s="389"/>
      <c r="OHX155" s="389"/>
      <c r="OHY155" s="389"/>
      <c r="OHZ155" s="389"/>
      <c r="OIA155" s="389"/>
      <c r="OIB155" s="389"/>
      <c r="OIC155" s="389"/>
      <c r="OID155" s="389"/>
      <c r="OIE155" s="389"/>
      <c r="OIF155" s="389"/>
      <c r="OIG155" s="389"/>
      <c r="OIH155" s="389"/>
      <c r="OII155" s="389"/>
      <c r="OIJ155" s="389"/>
      <c r="OIK155" s="389"/>
      <c r="OIL155" s="389"/>
      <c r="OIM155" s="389"/>
      <c r="OIN155" s="389"/>
      <c r="OIO155" s="389"/>
      <c r="OIP155" s="389"/>
      <c r="OIQ155" s="389"/>
      <c r="OIR155" s="389"/>
      <c r="OIS155" s="389"/>
      <c r="OIT155" s="389"/>
      <c r="OIU155" s="389"/>
      <c r="OIV155" s="389"/>
      <c r="OIW155" s="389"/>
      <c r="OIX155" s="389"/>
      <c r="OIY155" s="389"/>
      <c r="OIZ155" s="389"/>
      <c r="OJA155" s="389"/>
      <c r="OJB155" s="389"/>
      <c r="OJC155" s="389"/>
      <c r="OJD155" s="389"/>
      <c r="OJE155" s="389"/>
      <c r="OJF155" s="389"/>
      <c r="OJG155" s="389"/>
      <c r="OJH155" s="389"/>
      <c r="OJI155" s="389"/>
      <c r="OJJ155" s="389"/>
      <c r="OJK155" s="389"/>
      <c r="OJL155" s="389"/>
      <c r="OJM155" s="389"/>
      <c r="OJN155" s="389"/>
      <c r="OJO155" s="389"/>
      <c r="OJP155" s="389"/>
      <c r="OJQ155" s="389"/>
      <c r="OJR155" s="389"/>
      <c r="OJS155" s="389"/>
      <c r="OJT155" s="389"/>
      <c r="OJU155" s="389"/>
      <c r="OJV155" s="389"/>
      <c r="OJW155" s="389"/>
      <c r="OJX155" s="389"/>
      <c r="OJY155" s="389"/>
      <c r="OJZ155" s="389"/>
      <c r="OKA155" s="389"/>
      <c r="OKB155" s="389"/>
      <c r="OKC155" s="389"/>
      <c r="OKD155" s="389"/>
      <c r="OKE155" s="389"/>
      <c r="OKF155" s="389"/>
      <c r="OKG155" s="389"/>
      <c r="OKH155" s="389"/>
      <c r="OKI155" s="389"/>
      <c r="OKJ155" s="389"/>
      <c r="OKK155" s="389"/>
      <c r="OKL155" s="389"/>
      <c r="OKM155" s="389"/>
      <c r="OKN155" s="389"/>
      <c r="OKO155" s="389"/>
      <c r="OKP155" s="389"/>
      <c r="OKQ155" s="389"/>
      <c r="OKR155" s="389"/>
      <c r="OKS155" s="389"/>
      <c r="OKT155" s="389"/>
      <c r="OKU155" s="389"/>
      <c r="OKV155" s="389"/>
      <c r="OKW155" s="389"/>
      <c r="OKX155" s="389"/>
      <c r="OKY155" s="389"/>
      <c r="OKZ155" s="389"/>
      <c r="OLA155" s="389"/>
      <c r="OLB155" s="389"/>
      <c r="OLC155" s="389"/>
      <c r="OLD155" s="389"/>
      <c r="OLE155" s="389"/>
      <c r="OLF155" s="389"/>
      <c r="OLG155" s="389"/>
      <c r="OLH155" s="389"/>
      <c r="OLI155" s="389"/>
      <c r="OLJ155" s="389"/>
      <c r="OLK155" s="389"/>
      <c r="OLL155" s="389"/>
      <c r="OLM155" s="389"/>
      <c r="OLN155" s="389"/>
      <c r="OLO155" s="389"/>
      <c r="OLP155" s="389"/>
      <c r="OLQ155" s="389"/>
      <c r="OLR155" s="389"/>
      <c r="OLS155" s="389"/>
      <c r="OLT155" s="389"/>
      <c r="OLU155" s="389"/>
      <c r="OLV155" s="389"/>
      <c r="OLW155" s="389"/>
      <c r="OLX155" s="389"/>
      <c r="OLY155" s="389"/>
      <c r="OLZ155" s="389"/>
      <c r="OMA155" s="389"/>
      <c r="OMB155" s="389"/>
      <c r="OMC155" s="389"/>
      <c r="OMD155" s="389"/>
      <c r="OME155" s="389"/>
      <c r="OMF155" s="389"/>
      <c r="OMG155" s="389"/>
      <c r="OMH155" s="389"/>
      <c r="OMI155" s="389"/>
      <c r="OMJ155" s="389"/>
      <c r="OMK155" s="389"/>
      <c r="OML155" s="389"/>
      <c r="OMM155" s="389"/>
      <c r="OMN155" s="389"/>
      <c r="OMO155" s="389"/>
      <c r="OMP155" s="389"/>
      <c r="OMQ155" s="389"/>
      <c r="OMR155" s="389"/>
      <c r="OMS155" s="389"/>
      <c r="OMT155" s="389"/>
      <c r="OMU155" s="389"/>
      <c r="OMV155" s="389"/>
      <c r="OMW155" s="389"/>
      <c r="OMX155" s="389"/>
      <c r="OMY155" s="389"/>
      <c r="OMZ155" s="389"/>
      <c r="ONA155" s="389"/>
      <c r="ONB155" s="389"/>
      <c r="ONC155" s="389"/>
      <c r="OND155" s="389"/>
      <c r="ONE155" s="389"/>
      <c r="ONF155" s="389"/>
      <c r="ONG155" s="389"/>
      <c r="ONH155" s="389"/>
      <c r="ONI155" s="389"/>
      <c r="ONJ155" s="389"/>
      <c r="ONK155" s="389"/>
      <c r="ONL155" s="389"/>
      <c r="ONM155" s="389"/>
      <c r="ONN155" s="389"/>
      <c r="ONO155" s="389"/>
      <c r="ONP155" s="389"/>
      <c r="ONQ155" s="389"/>
      <c r="ONR155" s="389"/>
      <c r="ONS155" s="389"/>
      <c r="ONT155" s="389"/>
      <c r="ONU155" s="389"/>
      <c r="ONV155" s="389"/>
      <c r="ONW155" s="389"/>
      <c r="ONX155" s="389"/>
      <c r="ONY155" s="389"/>
      <c r="ONZ155" s="389"/>
      <c r="OOA155" s="389"/>
      <c r="OOB155" s="389"/>
      <c r="OOC155" s="389"/>
      <c r="OOD155" s="389"/>
      <c r="OOE155" s="389"/>
      <c r="OOF155" s="389"/>
      <c r="OOG155" s="389"/>
      <c r="OOH155" s="389"/>
      <c r="OOI155" s="389"/>
      <c r="OOJ155" s="389"/>
      <c r="OOK155" s="389"/>
      <c r="OOL155" s="389"/>
      <c r="OOM155" s="389"/>
      <c r="OON155" s="389"/>
      <c r="OOO155" s="389"/>
      <c r="OOP155" s="389"/>
      <c r="OOQ155" s="389"/>
      <c r="OOR155" s="389"/>
      <c r="OOS155" s="389"/>
      <c r="OOT155" s="389"/>
      <c r="OOU155" s="389"/>
      <c r="OOV155" s="389"/>
      <c r="OOW155" s="389"/>
      <c r="OOX155" s="389"/>
      <c r="OOY155" s="389"/>
      <c r="OOZ155" s="389"/>
      <c r="OPA155" s="389"/>
      <c r="OPB155" s="389"/>
      <c r="OPC155" s="389"/>
      <c r="OPD155" s="389"/>
      <c r="OPE155" s="389"/>
      <c r="OPF155" s="389"/>
      <c r="OPG155" s="389"/>
      <c r="OPH155" s="389"/>
      <c r="OPI155" s="389"/>
      <c r="OPJ155" s="389"/>
      <c r="OPK155" s="389"/>
      <c r="OPL155" s="389"/>
      <c r="OPM155" s="389"/>
      <c r="OPN155" s="389"/>
      <c r="OPO155" s="389"/>
      <c r="OPP155" s="389"/>
      <c r="OPQ155" s="389"/>
      <c r="OPR155" s="389"/>
      <c r="OPS155" s="389"/>
      <c r="OPT155" s="389"/>
      <c r="OPU155" s="389"/>
      <c r="OPV155" s="389"/>
      <c r="OPW155" s="389"/>
      <c r="OPX155" s="389"/>
      <c r="OPY155" s="389"/>
      <c r="OPZ155" s="389"/>
      <c r="OQA155" s="389"/>
      <c r="OQB155" s="389"/>
      <c r="OQC155" s="389"/>
      <c r="OQD155" s="389"/>
      <c r="OQE155" s="389"/>
      <c r="OQF155" s="389"/>
      <c r="OQG155" s="389"/>
      <c r="OQH155" s="389"/>
      <c r="OQI155" s="389"/>
      <c r="OQJ155" s="389"/>
      <c r="OQK155" s="389"/>
      <c r="OQL155" s="389"/>
      <c r="OQM155" s="389"/>
      <c r="OQN155" s="389"/>
      <c r="OQO155" s="389"/>
      <c r="OQP155" s="389"/>
      <c r="OQQ155" s="389"/>
      <c r="OQR155" s="389"/>
      <c r="OQS155" s="389"/>
      <c r="OQT155" s="389"/>
      <c r="OQU155" s="389"/>
      <c r="OQV155" s="389"/>
      <c r="OQW155" s="389"/>
      <c r="OQX155" s="389"/>
      <c r="OQY155" s="389"/>
      <c r="OQZ155" s="389"/>
      <c r="ORA155" s="389"/>
      <c r="ORB155" s="389"/>
      <c r="ORC155" s="389"/>
      <c r="ORD155" s="389"/>
      <c r="ORE155" s="389"/>
      <c r="ORF155" s="389"/>
      <c r="ORG155" s="389"/>
      <c r="ORH155" s="389"/>
      <c r="ORI155" s="389"/>
      <c r="ORJ155" s="389"/>
      <c r="ORK155" s="389"/>
      <c r="ORL155" s="389"/>
      <c r="ORM155" s="389"/>
      <c r="ORN155" s="389"/>
      <c r="ORO155" s="389"/>
      <c r="ORP155" s="389"/>
      <c r="ORQ155" s="389"/>
      <c r="ORR155" s="389"/>
      <c r="ORS155" s="389"/>
      <c r="ORT155" s="389"/>
      <c r="ORU155" s="389"/>
      <c r="ORV155" s="389"/>
      <c r="ORW155" s="389"/>
      <c r="ORX155" s="389"/>
      <c r="ORY155" s="389"/>
      <c r="ORZ155" s="389"/>
      <c r="OSA155" s="389"/>
      <c r="OSB155" s="389"/>
      <c r="OSC155" s="389"/>
      <c r="OSD155" s="389"/>
      <c r="OSE155" s="389"/>
      <c r="OSF155" s="389"/>
      <c r="OSG155" s="389"/>
      <c r="OSH155" s="389"/>
      <c r="OSI155" s="389"/>
      <c r="OSJ155" s="389"/>
      <c r="OSK155" s="389"/>
      <c r="OSL155" s="389"/>
      <c r="OSM155" s="389"/>
      <c r="OSN155" s="389"/>
      <c r="OSO155" s="389"/>
      <c r="OSP155" s="389"/>
      <c r="OSQ155" s="389"/>
      <c r="OSR155" s="389"/>
      <c r="OSS155" s="389"/>
      <c r="OST155" s="389"/>
      <c r="OSU155" s="389"/>
      <c r="OSV155" s="389"/>
      <c r="OSW155" s="389"/>
      <c r="OSX155" s="389"/>
      <c r="OSY155" s="389"/>
      <c r="OSZ155" s="389"/>
      <c r="OTA155" s="389"/>
      <c r="OTB155" s="389"/>
      <c r="OTC155" s="389"/>
      <c r="OTD155" s="389"/>
      <c r="OTE155" s="389"/>
      <c r="OTF155" s="389"/>
      <c r="OTG155" s="389"/>
      <c r="OTH155" s="389"/>
      <c r="OTI155" s="389"/>
      <c r="OTJ155" s="389"/>
      <c r="OTK155" s="389"/>
      <c r="OTL155" s="389"/>
      <c r="OTM155" s="389"/>
      <c r="OTN155" s="389"/>
      <c r="OTO155" s="389"/>
      <c r="OTP155" s="389"/>
      <c r="OTQ155" s="389"/>
      <c r="OTR155" s="389"/>
      <c r="OTS155" s="389"/>
      <c r="OTT155" s="389"/>
      <c r="OTU155" s="389"/>
      <c r="OTV155" s="389"/>
      <c r="OTW155" s="389"/>
      <c r="OTX155" s="389"/>
      <c r="OTY155" s="389"/>
      <c r="OTZ155" s="389"/>
      <c r="OUA155" s="389"/>
      <c r="OUB155" s="389"/>
      <c r="OUC155" s="389"/>
      <c r="OUD155" s="389"/>
      <c r="OUE155" s="389"/>
      <c r="OUF155" s="389"/>
      <c r="OUG155" s="389"/>
      <c r="OUH155" s="389"/>
      <c r="OUI155" s="389"/>
      <c r="OUJ155" s="389"/>
      <c r="OUK155" s="389"/>
      <c r="OUL155" s="389"/>
      <c r="OUM155" s="389"/>
      <c r="OUN155" s="389"/>
      <c r="OUO155" s="389"/>
      <c r="OUP155" s="389"/>
      <c r="OUQ155" s="389"/>
      <c r="OUR155" s="389"/>
      <c r="OUS155" s="389"/>
      <c r="OUT155" s="389"/>
      <c r="OUU155" s="389"/>
      <c r="OUV155" s="389"/>
      <c r="OUW155" s="389"/>
      <c r="OUX155" s="389"/>
      <c r="OUY155" s="389"/>
      <c r="OUZ155" s="389"/>
      <c r="OVA155" s="389"/>
      <c r="OVB155" s="389"/>
      <c r="OVC155" s="389"/>
      <c r="OVD155" s="389"/>
      <c r="OVE155" s="389"/>
      <c r="OVF155" s="389"/>
      <c r="OVG155" s="389"/>
      <c r="OVH155" s="389"/>
      <c r="OVI155" s="389"/>
      <c r="OVJ155" s="389"/>
      <c r="OVK155" s="389"/>
      <c r="OVL155" s="389"/>
      <c r="OVM155" s="389"/>
      <c r="OVN155" s="389"/>
      <c r="OVO155" s="389"/>
      <c r="OVP155" s="389"/>
      <c r="OVQ155" s="389"/>
      <c r="OVR155" s="389"/>
      <c r="OVS155" s="389"/>
      <c r="OVT155" s="389"/>
      <c r="OVU155" s="389"/>
      <c r="OVV155" s="389"/>
      <c r="OVW155" s="389"/>
      <c r="OVX155" s="389"/>
      <c r="OVY155" s="389"/>
      <c r="OVZ155" s="389"/>
      <c r="OWA155" s="389"/>
      <c r="OWB155" s="389"/>
      <c r="OWC155" s="389"/>
      <c r="OWD155" s="389"/>
      <c r="OWE155" s="389"/>
      <c r="OWF155" s="389"/>
      <c r="OWG155" s="389"/>
      <c r="OWH155" s="389"/>
      <c r="OWI155" s="389"/>
      <c r="OWJ155" s="389"/>
      <c r="OWK155" s="389"/>
      <c r="OWL155" s="389"/>
      <c r="OWM155" s="389"/>
      <c r="OWN155" s="389"/>
      <c r="OWO155" s="389"/>
      <c r="OWP155" s="389"/>
      <c r="OWQ155" s="389"/>
      <c r="OWR155" s="389"/>
      <c r="OWS155" s="389"/>
      <c r="OWT155" s="389"/>
      <c r="OWU155" s="389"/>
      <c r="OWV155" s="389"/>
      <c r="OWW155" s="389"/>
      <c r="OWX155" s="389"/>
      <c r="OWY155" s="389"/>
      <c r="OWZ155" s="389"/>
      <c r="OXA155" s="389"/>
      <c r="OXB155" s="389"/>
      <c r="OXC155" s="389"/>
      <c r="OXD155" s="389"/>
      <c r="OXE155" s="389"/>
      <c r="OXF155" s="389"/>
      <c r="OXG155" s="389"/>
      <c r="OXH155" s="389"/>
      <c r="OXI155" s="389"/>
      <c r="OXJ155" s="389"/>
      <c r="OXK155" s="389"/>
      <c r="OXL155" s="389"/>
      <c r="OXM155" s="389"/>
      <c r="OXN155" s="389"/>
      <c r="OXO155" s="389"/>
      <c r="OXP155" s="389"/>
      <c r="OXQ155" s="389"/>
      <c r="OXR155" s="389"/>
      <c r="OXS155" s="389"/>
      <c r="OXT155" s="389"/>
      <c r="OXU155" s="389"/>
      <c r="OXV155" s="389"/>
      <c r="OXW155" s="389"/>
      <c r="OXX155" s="389"/>
      <c r="OXY155" s="389"/>
      <c r="OXZ155" s="389"/>
      <c r="OYA155" s="389"/>
      <c r="OYB155" s="389"/>
      <c r="OYC155" s="389"/>
      <c r="OYD155" s="389"/>
      <c r="OYE155" s="389"/>
      <c r="OYF155" s="389"/>
      <c r="OYG155" s="389"/>
      <c r="OYH155" s="389"/>
      <c r="OYI155" s="389"/>
      <c r="OYJ155" s="389"/>
      <c r="OYK155" s="389"/>
      <c r="OYL155" s="389"/>
      <c r="OYM155" s="389"/>
      <c r="OYN155" s="389"/>
      <c r="OYO155" s="389"/>
      <c r="OYP155" s="389"/>
      <c r="OYQ155" s="389"/>
      <c r="OYR155" s="389"/>
      <c r="OYS155" s="389"/>
      <c r="OYT155" s="389"/>
      <c r="OYU155" s="389"/>
      <c r="OYV155" s="389"/>
      <c r="OYW155" s="389"/>
      <c r="OYX155" s="389"/>
      <c r="OYY155" s="389"/>
      <c r="OYZ155" s="389"/>
      <c r="OZA155" s="389"/>
      <c r="OZB155" s="389"/>
      <c r="OZC155" s="389"/>
      <c r="OZD155" s="389"/>
      <c r="OZE155" s="389"/>
      <c r="OZF155" s="389"/>
      <c r="OZG155" s="389"/>
      <c r="OZH155" s="389"/>
      <c r="OZI155" s="389"/>
      <c r="OZJ155" s="389"/>
      <c r="OZK155" s="389"/>
      <c r="OZL155" s="389"/>
      <c r="OZM155" s="389"/>
      <c r="OZN155" s="389"/>
      <c r="OZO155" s="389"/>
      <c r="OZP155" s="389"/>
      <c r="OZQ155" s="389"/>
      <c r="OZR155" s="389"/>
      <c r="OZS155" s="389"/>
      <c r="OZT155" s="389"/>
      <c r="OZU155" s="389"/>
      <c r="OZV155" s="389"/>
      <c r="OZW155" s="389"/>
      <c r="OZX155" s="389"/>
      <c r="OZY155" s="389"/>
      <c r="OZZ155" s="389"/>
      <c r="PAA155" s="389"/>
      <c r="PAB155" s="389"/>
      <c r="PAC155" s="389"/>
      <c r="PAD155" s="389"/>
      <c r="PAE155" s="389"/>
      <c r="PAF155" s="389"/>
      <c r="PAG155" s="389"/>
      <c r="PAH155" s="389"/>
      <c r="PAI155" s="389"/>
      <c r="PAJ155" s="389"/>
      <c r="PAK155" s="389"/>
      <c r="PAL155" s="389"/>
      <c r="PAM155" s="389"/>
      <c r="PAN155" s="389"/>
      <c r="PAO155" s="389"/>
      <c r="PAP155" s="389"/>
      <c r="PAQ155" s="389"/>
      <c r="PAR155" s="389"/>
      <c r="PAS155" s="389"/>
      <c r="PAT155" s="389"/>
      <c r="PAU155" s="389"/>
      <c r="PAV155" s="389"/>
      <c r="PAW155" s="389"/>
      <c r="PAX155" s="389"/>
      <c r="PAY155" s="389"/>
      <c r="PAZ155" s="389"/>
      <c r="PBA155" s="389"/>
      <c r="PBB155" s="389"/>
      <c r="PBC155" s="389"/>
      <c r="PBD155" s="389"/>
      <c r="PBE155" s="389"/>
      <c r="PBF155" s="389"/>
      <c r="PBG155" s="389"/>
      <c r="PBH155" s="389"/>
      <c r="PBI155" s="389"/>
      <c r="PBJ155" s="389"/>
      <c r="PBK155" s="389"/>
      <c r="PBL155" s="389"/>
      <c r="PBM155" s="389"/>
      <c r="PBN155" s="389"/>
      <c r="PBO155" s="389"/>
      <c r="PBP155" s="389"/>
      <c r="PBQ155" s="389"/>
      <c r="PBR155" s="389"/>
      <c r="PBS155" s="389"/>
      <c r="PBT155" s="389"/>
      <c r="PBU155" s="389"/>
      <c r="PBV155" s="389"/>
      <c r="PBW155" s="389"/>
      <c r="PBX155" s="389"/>
      <c r="PBY155" s="389"/>
      <c r="PBZ155" s="389"/>
      <c r="PCA155" s="389"/>
      <c r="PCB155" s="389"/>
      <c r="PCC155" s="389"/>
      <c r="PCD155" s="389"/>
      <c r="PCE155" s="389"/>
      <c r="PCF155" s="389"/>
      <c r="PCG155" s="389"/>
      <c r="PCH155" s="389"/>
      <c r="PCI155" s="389"/>
      <c r="PCJ155" s="389"/>
      <c r="PCK155" s="389"/>
      <c r="PCL155" s="389"/>
      <c r="PCM155" s="389"/>
      <c r="PCN155" s="389"/>
      <c r="PCO155" s="389"/>
      <c r="PCP155" s="389"/>
      <c r="PCQ155" s="389"/>
      <c r="PCR155" s="389"/>
      <c r="PCS155" s="389"/>
      <c r="PCT155" s="389"/>
      <c r="PCU155" s="389"/>
      <c r="PCV155" s="389"/>
      <c r="PCW155" s="389"/>
      <c r="PCX155" s="389"/>
      <c r="PCY155" s="389"/>
      <c r="PCZ155" s="389"/>
      <c r="PDA155" s="389"/>
      <c r="PDB155" s="389"/>
      <c r="PDC155" s="389"/>
      <c r="PDD155" s="389"/>
      <c r="PDE155" s="389"/>
      <c r="PDF155" s="389"/>
      <c r="PDG155" s="389"/>
      <c r="PDH155" s="389"/>
      <c r="PDI155" s="389"/>
      <c r="PDJ155" s="389"/>
      <c r="PDK155" s="389"/>
      <c r="PDL155" s="389"/>
      <c r="PDM155" s="389"/>
      <c r="PDN155" s="389"/>
      <c r="PDO155" s="389"/>
      <c r="PDP155" s="389"/>
      <c r="PDQ155" s="389"/>
      <c r="PDR155" s="389"/>
      <c r="PDS155" s="389"/>
      <c r="PDT155" s="389"/>
      <c r="PDU155" s="389"/>
      <c r="PDV155" s="389"/>
      <c r="PDW155" s="389"/>
      <c r="PDX155" s="389"/>
      <c r="PDY155" s="389"/>
      <c r="PDZ155" s="389"/>
      <c r="PEA155" s="389"/>
      <c r="PEB155" s="389"/>
      <c r="PEC155" s="389"/>
      <c r="PED155" s="389"/>
      <c r="PEE155" s="389"/>
      <c r="PEF155" s="389"/>
      <c r="PEG155" s="389"/>
      <c r="PEH155" s="389"/>
      <c r="PEI155" s="389"/>
      <c r="PEJ155" s="389"/>
      <c r="PEK155" s="389"/>
      <c r="PEL155" s="389"/>
      <c r="PEM155" s="389"/>
      <c r="PEN155" s="389"/>
      <c r="PEO155" s="389"/>
      <c r="PEP155" s="389"/>
      <c r="PEQ155" s="389"/>
      <c r="PER155" s="389"/>
      <c r="PES155" s="389"/>
      <c r="PET155" s="389"/>
      <c r="PEU155" s="389"/>
      <c r="PEV155" s="389"/>
      <c r="PEW155" s="389"/>
      <c r="PEX155" s="389"/>
      <c r="PEY155" s="389"/>
      <c r="PEZ155" s="389"/>
      <c r="PFA155" s="389"/>
      <c r="PFB155" s="389"/>
      <c r="PFC155" s="389"/>
      <c r="PFD155" s="389"/>
      <c r="PFE155" s="389"/>
      <c r="PFF155" s="389"/>
      <c r="PFG155" s="389"/>
      <c r="PFH155" s="389"/>
      <c r="PFI155" s="389"/>
      <c r="PFJ155" s="389"/>
      <c r="PFK155" s="389"/>
      <c r="PFL155" s="389"/>
      <c r="PFM155" s="389"/>
      <c r="PFN155" s="389"/>
      <c r="PFO155" s="389"/>
      <c r="PFP155" s="389"/>
      <c r="PFQ155" s="389"/>
      <c r="PFR155" s="389"/>
      <c r="PFS155" s="389"/>
      <c r="PFT155" s="389"/>
      <c r="PFU155" s="389"/>
      <c r="PFV155" s="389"/>
      <c r="PFW155" s="389"/>
      <c r="PFX155" s="389"/>
      <c r="PFY155" s="389"/>
      <c r="PFZ155" s="389"/>
      <c r="PGA155" s="389"/>
      <c r="PGB155" s="389"/>
      <c r="PGC155" s="389"/>
      <c r="PGD155" s="389"/>
      <c r="PGE155" s="389"/>
      <c r="PGF155" s="389"/>
      <c r="PGG155" s="389"/>
      <c r="PGH155" s="389"/>
      <c r="PGI155" s="389"/>
      <c r="PGJ155" s="389"/>
      <c r="PGK155" s="389"/>
      <c r="PGL155" s="389"/>
      <c r="PGM155" s="389"/>
      <c r="PGN155" s="389"/>
      <c r="PGO155" s="389"/>
      <c r="PGP155" s="389"/>
      <c r="PGQ155" s="389"/>
      <c r="PGR155" s="389"/>
      <c r="PGS155" s="389"/>
      <c r="PGT155" s="389"/>
      <c r="PGU155" s="389"/>
      <c r="PGV155" s="389"/>
      <c r="PGW155" s="389"/>
      <c r="PGX155" s="389"/>
      <c r="PGY155" s="389"/>
      <c r="PGZ155" s="389"/>
      <c r="PHA155" s="389"/>
      <c r="PHB155" s="389"/>
      <c r="PHC155" s="389"/>
      <c r="PHD155" s="389"/>
      <c r="PHE155" s="389"/>
      <c r="PHF155" s="389"/>
      <c r="PHG155" s="389"/>
      <c r="PHH155" s="389"/>
      <c r="PHI155" s="389"/>
      <c r="PHJ155" s="389"/>
      <c r="PHK155" s="389"/>
      <c r="PHL155" s="389"/>
      <c r="PHM155" s="389"/>
      <c r="PHN155" s="389"/>
      <c r="PHO155" s="389"/>
      <c r="PHP155" s="389"/>
      <c r="PHQ155" s="389"/>
      <c r="PHR155" s="389"/>
      <c r="PHS155" s="389"/>
      <c r="PHT155" s="389"/>
      <c r="PHU155" s="389"/>
      <c r="PHV155" s="389"/>
      <c r="PHW155" s="389"/>
      <c r="PHX155" s="389"/>
      <c r="PHY155" s="389"/>
      <c r="PHZ155" s="389"/>
      <c r="PIA155" s="389"/>
      <c r="PIB155" s="389"/>
      <c r="PIC155" s="389"/>
      <c r="PID155" s="389"/>
      <c r="PIE155" s="389"/>
      <c r="PIF155" s="389"/>
      <c r="PIG155" s="389"/>
      <c r="PIH155" s="389"/>
      <c r="PII155" s="389"/>
      <c r="PIJ155" s="389"/>
      <c r="PIK155" s="389"/>
      <c r="PIL155" s="389"/>
      <c r="PIM155" s="389"/>
      <c r="PIN155" s="389"/>
      <c r="PIO155" s="389"/>
      <c r="PIP155" s="389"/>
      <c r="PIQ155" s="389"/>
      <c r="PIR155" s="389"/>
      <c r="PIS155" s="389"/>
      <c r="PIT155" s="389"/>
      <c r="PIU155" s="389"/>
      <c r="PIV155" s="389"/>
      <c r="PIW155" s="389"/>
      <c r="PIX155" s="389"/>
      <c r="PIY155" s="389"/>
      <c r="PIZ155" s="389"/>
      <c r="PJA155" s="389"/>
      <c r="PJB155" s="389"/>
      <c r="PJC155" s="389"/>
      <c r="PJD155" s="389"/>
      <c r="PJE155" s="389"/>
      <c r="PJF155" s="389"/>
      <c r="PJG155" s="389"/>
      <c r="PJH155" s="389"/>
      <c r="PJI155" s="389"/>
      <c r="PJJ155" s="389"/>
      <c r="PJK155" s="389"/>
      <c r="PJL155" s="389"/>
      <c r="PJM155" s="389"/>
      <c r="PJN155" s="389"/>
      <c r="PJO155" s="389"/>
      <c r="PJP155" s="389"/>
      <c r="PJQ155" s="389"/>
      <c r="PJR155" s="389"/>
      <c r="PJS155" s="389"/>
      <c r="PJT155" s="389"/>
      <c r="PJU155" s="389"/>
      <c r="PJV155" s="389"/>
      <c r="PJW155" s="389"/>
      <c r="PJX155" s="389"/>
      <c r="PJY155" s="389"/>
      <c r="PJZ155" s="389"/>
      <c r="PKA155" s="389"/>
      <c r="PKB155" s="389"/>
      <c r="PKC155" s="389"/>
      <c r="PKD155" s="389"/>
      <c r="PKE155" s="389"/>
      <c r="PKF155" s="389"/>
      <c r="PKG155" s="389"/>
      <c r="PKH155" s="389"/>
      <c r="PKI155" s="389"/>
      <c r="PKJ155" s="389"/>
      <c r="PKK155" s="389"/>
      <c r="PKL155" s="389"/>
      <c r="PKM155" s="389"/>
      <c r="PKN155" s="389"/>
      <c r="PKO155" s="389"/>
      <c r="PKP155" s="389"/>
      <c r="PKQ155" s="389"/>
      <c r="PKR155" s="389"/>
      <c r="PKS155" s="389"/>
      <c r="PKT155" s="389"/>
      <c r="PKU155" s="389"/>
      <c r="PKV155" s="389"/>
      <c r="PKW155" s="389"/>
      <c r="PKX155" s="389"/>
      <c r="PKY155" s="389"/>
      <c r="PKZ155" s="389"/>
      <c r="PLA155" s="389"/>
      <c r="PLB155" s="389"/>
      <c r="PLC155" s="389"/>
      <c r="PLD155" s="389"/>
      <c r="PLE155" s="389"/>
      <c r="PLF155" s="389"/>
      <c r="PLG155" s="389"/>
      <c r="PLH155" s="389"/>
      <c r="PLI155" s="389"/>
      <c r="PLJ155" s="389"/>
      <c r="PLK155" s="389"/>
      <c r="PLL155" s="389"/>
      <c r="PLM155" s="389"/>
      <c r="PLN155" s="389"/>
      <c r="PLO155" s="389"/>
      <c r="PLP155" s="389"/>
      <c r="PLQ155" s="389"/>
      <c r="PLR155" s="389"/>
      <c r="PLS155" s="389"/>
      <c r="PLT155" s="389"/>
      <c r="PLU155" s="389"/>
      <c r="PLV155" s="389"/>
      <c r="PLW155" s="389"/>
      <c r="PLX155" s="389"/>
      <c r="PLY155" s="389"/>
      <c r="PLZ155" s="389"/>
      <c r="PMA155" s="389"/>
      <c r="PMB155" s="389"/>
      <c r="PMC155" s="389"/>
      <c r="PMD155" s="389"/>
      <c r="PME155" s="389"/>
      <c r="PMF155" s="389"/>
      <c r="PMG155" s="389"/>
      <c r="PMH155" s="389"/>
      <c r="PMI155" s="389"/>
      <c r="PMJ155" s="389"/>
      <c r="PMK155" s="389"/>
      <c r="PML155" s="389"/>
      <c r="PMM155" s="389"/>
      <c r="PMN155" s="389"/>
      <c r="PMO155" s="389"/>
      <c r="PMP155" s="389"/>
      <c r="PMQ155" s="389"/>
      <c r="PMR155" s="389"/>
      <c r="PMS155" s="389"/>
      <c r="PMT155" s="389"/>
      <c r="PMU155" s="389"/>
      <c r="PMV155" s="389"/>
      <c r="PMW155" s="389"/>
      <c r="PMX155" s="389"/>
      <c r="PMY155" s="389"/>
      <c r="PMZ155" s="389"/>
      <c r="PNA155" s="389"/>
      <c r="PNB155" s="389"/>
      <c r="PNC155" s="389"/>
      <c r="PND155" s="389"/>
      <c r="PNE155" s="389"/>
      <c r="PNF155" s="389"/>
      <c r="PNG155" s="389"/>
      <c r="PNH155" s="389"/>
      <c r="PNI155" s="389"/>
      <c r="PNJ155" s="389"/>
      <c r="PNK155" s="389"/>
      <c r="PNL155" s="389"/>
      <c r="PNM155" s="389"/>
      <c r="PNN155" s="389"/>
      <c r="PNO155" s="389"/>
      <c r="PNP155" s="389"/>
      <c r="PNQ155" s="389"/>
      <c r="PNR155" s="389"/>
      <c r="PNS155" s="389"/>
      <c r="PNT155" s="389"/>
      <c r="PNU155" s="389"/>
      <c r="PNV155" s="389"/>
      <c r="PNW155" s="389"/>
      <c r="PNX155" s="389"/>
      <c r="PNY155" s="389"/>
      <c r="PNZ155" s="389"/>
      <c r="POA155" s="389"/>
      <c r="POB155" s="389"/>
      <c r="POC155" s="389"/>
      <c r="POD155" s="389"/>
      <c r="POE155" s="389"/>
      <c r="POF155" s="389"/>
      <c r="POG155" s="389"/>
      <c r="POH155" s="389"/>
      <c r="POI155" s="389"/>
      <c r="POJ155" s="389"/>
      <c r="POK155" s="389"/>
      <c r="POL155" s="389"/>
      <c r="POM155" s="389"/>
      <c r="PON155" s="389"/>
      <c r="POO155" s="389"/>
      <c r="POP155" s="389"/>
      <c r="POQ155" s="389"/>
      <c r="POR155" s="389"/>
      <c r="POS155" s="389"/>
      <c r="POT155" s="389"/>
      <c r="POU155" s="389"/>
      <c r="POV155" s="389"/>
      <c r="POW155" s="389"/>
      <c r="POX155" s="389"/>
      <c r="POY155" s="389"/>
      <c r="POZ155" s="389"/>
      <c r="PPA155" s="389"/>
      <c r="PPB155" s="389"/>
      <c r="PPC155" s="389"/>
      <c r="PPD155" s="389"/>
      <c r="PPE155" s="389"/>
      <c r="PPF155" s="389"/>
      <c r="PPG155" s="389"/>
      <c r="PPH155" s="389"/>
      <c r="PPI155" s="389"/>
      <c r="PPJ155" s="389"/>
      <c r="PPK155" s="389"/>
      <c r="PPL155" s="389"/>
      <c r="PPM155" s="389"/>
      <c r="PPN155" s="389"/>
      <c r="PPO155" s="389"/>
      <c r="PPP155" s="389"/>
      <c r="PPQ155" s="389"/>
      <c r="PPR155" s="389"/>
      <c r="PPS155" s="389"/>
      <c r="PPT155" s="389"/>
      <c r="PPU155" s="389"/>
      <c r="PPV155" s="389"/>
      <c r="PPW155" s="389"/>
      <c r="PPX155" s="389"/>
      <c r="PPY155" s="389"/>
      <c r="PPZ155" s="389"/>
      <c r="PQA155" s="389"/>
      <c r="PQB155" s="389"/>
      <c r="PQC155" s="389"/>
      <c r="PQD155" s="389"/>
      <c r="PQE155" s="389"/>
      <c r="PQF155" s="389"/>
      <c r="PQG155" s="389"/>
      <c r="PQH155" s="389"/>
      <c r="PQI155" s="389"/>
      <c r="PQJ155" s="389"/>
      <c r="PQK155" s="389"/>
      <c r="PQL155" s="389"/>
      <c r="PQM155" s="389"/>
      <c r="PQN155" s="389"/>
      <c r="PQO155" s="389"/>
      <c r="PQP155" s="389"/>
      <c r="PQQ155" s="389"/>
      <c r="PQR155" s="389"/>
      <c r="PQS155" s="389"/>
      <c r="PQT155" s="389"/>
      <c r="PQU155" s="389"/>
      <c r="PQV155" s="389"/>
      <c r="PQW155" s="389"/>
      <c r="PQX155" s="389"/>
      <c r="PQY155" s="389"/>
      <c r="PQZ155" s="389"/>
      <c r="PRA155" s="389"/>
      <c r="PRB155" s="389"/>
      <c r="PRC155" s="389"/>
      <c r="PRD155" s="389"/>
      <c r="PRE155" s="389"/>
      <c r="PRF155" s="389"/>
      <c r="PRG155" s="389"/>
      <c r="PRH155" s="389"/>
      <c r="PRI155" s="389"/>
      <c r="PRJ155" s="389"/>
      <c r="PRK155" s="389"/>
      <c r="PRL155" s="389"/>
      <c r="PRM155" s="389"/>
      <c r="PRN155" s="389"/>
      <c r="PRO155" s="389"/>
      <c r="PRP155" s="389"/>
      <c r="PRQ155" s="389"/>
      <c r="PRR155" s="389"/>
      <c r="PRS155" s="389"/>
      <c r="PRT155" s="389"/>
      <c r="PRU155" s="389"/>
      <c r="PRV155" s="389"/>
      <c r="PRW155" s="389"/>
      <c r="PRX155" s="389"/>
      <c r="PRY155" s="389"/>
      <c r="PRZ155" s="389"/>
      <c r="PSA155" s="389"/>
      <c r="PSB155" s="389"/>
      <c r="PSC155" s="389"/>
      <c r="PSD155" s="389"/>
      <c r="PSE155" s="389"/>
      <c r="PSF155" s="389"/>
      <c r="PSG155" s="389"/>
      <c r="PSH155" s="389"/>
      <c r="PSI155" s="389"/>
      <c r="PSJ155" s="389"/>
      <c r="PSK155" s="389"/>
      <c r="PSL155" s="389"/>
      <c r="PSM155" s="389"/>
      <c r="PSN155" s="389"/>
      <c r="PSO155" s="389"/>
      <c r="PSP155" s="389"/>
      <c r="PSQ155" s="389"/>
      <c r="PSR155" s="389"/>
      <c r="PSS155" s="389"/>
      <c r="PST155" s="389"/>
      <c r="PSU155" s="389"/>
      <c r="PSV155" s="389"/>
      <c r="PSW155" s="389"/>
      <c r="PSX155" s="389"/>
      <c r="PSY155" s="389"/>
      <c r="PSZ155" s="389"/>
      <c r="PTA155" s="389"/>
      <c r="PTB155" s="389"/>
      <c r="PTC155" s="389"/>
      <c r="PTD155" s="389"/>
      <c r="PTE155" s="389"/>
      <c r="PTF155" s="389"/>
      <c r="PTG155" s="389"/>
      <c r="PTH155" s="389"/>
      <c r="PTI155" s="389"/>
      <c r="PTJ155" s="389"/>
      <c r="PTK155" s="389"/>
      <c r="PTL155" s="389"/>
      <c r="PTM155" s="389"/>
      <c r="PTN155" s="389"/>
      <c r="PTO155" s="389"/>
      <c r="PTP155" s="389"/>
      <c r="PTQ155" s="389"/>
      <c r="PTR155" s="389"/>
      <c r="PTS155" s="389"/>
      <c r="PTT155" s="389"/>
      <c r="PTU155" s="389"/>
      <c r="PTV155" s="389"/>
      <c r="PTW155" s="389"/>
      <c r="PTX155" s="389"/>
      <c r="PTY155" s="389"/>
      <c r="PTZ155" s="389"/>
      <c r="PUA155" s="389"/>
      <c r="PUB155" s="389"/>
      <c r="PUC155" s="389"/>
      <c r="PUD155" s="389"/>
      <c r="PUE155" s="389"/>
      <c r="PUF155" s="389"/>
      <c r="PUG155" s="389"/>
      <c r="PUH155" s="389"/>
      <c r="PUI155" s="389"/>
      <c r="PUJ155" s="389"/>
      <c r="PUK155" s="389"/>
      <c r="PUL155" s="389"/>
      <c r="PUM155" s="389"/>
      <c r="PUN155" s="389"/>
      <c r="PUO155" s="389"/>
      <c r="PUP155" s="389"/>
      <c r="PUQ155" s="389"/>
      <c r="PUR155" s="389"/>
      <c r="PUS155" s="389"/>
      <c r="PUT155" s="389"/>
      <c r="PUU155" s="389"/>
      <c r="PUV155" s="389"/>
      <c r="PUW155" s="389"/>
      <c r="PUX155" s="389"/>
      <c r="PUY155" s="389"/>
      <c r="PUZ155" s="389"/>
      <c r="PVA155" s="389"/>
      <c r="PVB155" s="389"/>
      <c r="PVC155" s="389"/>
      <c r="PVD155" s="389"/>
      <c r="PVE155" s="389"/>
      <c r="PVF155" s="389"/>
      <c r="PVG155" s="389"/>
      <c r="PVH155" s="389"/>
      <c r="PVI155" s="389"/>
      <c r="PVJ155" s="389"/>
      <c r="PVK155" s="389"/>
      <c r="PVL155" s="389"/>
      <c r="PVM155" s="389"/>
      <c r="PVN155" s="389"/>
      <c r="PVO155" s="389"/>
      <c r="PVP155" s="389"/>
      <c r="PVQ155" s="389"/>
      <c r="PVR155" s="389"/>
      <c r="PVS155" s="389"/>
      <c r="PVT155" s="389"/>
      <c r="PVU155" s="389"/>
      <c r="PVV155" s="389"/>
      <c r="PVW155" s="389"/>
      <c r="PVX155" s="389"/>
      <c r="PVY155" s="389"/>
      <c r="PVZ155" s="389"/>
      <c r="PWA155" s="389"/>
      <c r="PWB155" s="389"/>
      <c r="PWC155" s="389"/>
      <c r="PWD155" s="389"/>
      <c r="PWE155" s="389"/>
      <c r="PWF155" s="389"/>
      <c r="PWG155" s="389"/>
      <c r="PWH155" s="389"/>
      <c r="PWI155" s="389"/>
      <c r="PWJ155" s="389"/>
      <c r="PWK155" s="389"/>
      <c r="PWL155" s="389"/>
      <c r="PWM155" s="389"/>
      <c r="PWN155" s="389"/>
      <c r="PWO155" s="389"/>
      <c r="PWP155" s="389"/>
      <c r="PWQ155" s="389"/>
      <c r="PWR155" s="389"/>
      <c r="PWS155" s="389"/>
      <c r="PWT155" s="389"/>
      <c r="PWU155" s="389"/>
      <c r="PWV155" s="389"/>
      <c r="PWW155" s="389"/>
      <c r="PWX155" s="389"/>
      <c r="PWY155" s="389"/>
      <c r="PWZ155" s="389"/>
      <c r="PXA155" s="389"/>
      <c r="PXB155" s="389"/>
      <c r="PXC155" s="389"/>
      <c r="PXD155" s="389"/>
      <c r="PXE155" s="389"/>
      <c r="PXF155" s="389"/>
      <c r="PXG155" s="389"/>
      <c r="PXH155" s="389"/>
      <c r="PXI155" s="389"/>
      <c r="PXJ155" s="389"/>
      <c r="PXK155" s="389"/>
      <c r="PXL155" s="389"/>
      <c r="PXM155" s="389"/>
      <c r="PXN155" s="389"/>
      <c r="PXO155" s="389"/>
      <c r="PXP155" s="389"/>
      <c r="PXQ155" s="389"/>
      <c r="PXR155" s="389"/>
      <c r="PXS155" s="389"/>
      <c r="PXT155" s="389"/>
      <c r="PXU155" s="389"/>
      <c r="PXV155" s="389"/>
      <c r="PXW155" s="389"/>
      <c r="PXX155" s="389"/>
      <c r="PXY155" s="389"/>
      <c r="PXZ155" s="389"/>
      <c r="PYA155" s="389"/>
      <c r="PYB155" s="389"/>
      <c r="PYC155" s="389"/>
      <c r="PYD155" s="389"/>
      <c r="PYE155" s="389"/>
      <c r="PYF155" s="389"/>
      <c r="PYG155" s="389"/>
      <c r="PYH155" s="389"/>
      <c r="PYI155" s="389"/>
      <c r="PYJ155" s="389"/>
      <c r="PYK155" s="389"/>
      <c r="PYL155" s="389"/>
      <c r="PYM155" s="389"/>
      <c r="PYN155" s="389"/>
      <c r="PYO155" s="389"/>
      <c r="PYP155" s="389"/>
      <c r="PYQ155" s="389"/>
      <c r="PYR155" s="389"/>
      <c r="PYS155" s="389"/>
      <c r="PYT155" s="389"/>
      <c r="PYU155" s="389"/>
      <c r="PYV155" s="389"/>
      <c r="PYW155" s="389"/>
      <c r="PYX155" s="389"/>
      <c r="PYY155" s="389"/>
      <c r="PYZ155" s="389"/>
      <c r="PZA155" s="389"/>
      <c r="PZB155" s="389"/>
      <c r="PZC155" s="389"/>
      <c r="PZD155" s="389"/>
      <c r="PZE155" s="389"/>
      <c r="PZF155" s="389"/>
      <c r="PZG155" s="389"/>
      <c r="PZH155" s="389"/>
      <c r="PZI155" s="389"/>
      <c r="PZJ155" s="389"/>
      <c r="PZK155" s="389"/>
      <c r="PZL155" s="389"/>
      <c r="PZM155" s="389"/>
      <c r="PZN155" s="389"/>
      <c r="PZO155" s="389"/>
      <c r="PZP155" s="389"/>
      <c r="PZQ155" s="389"/>
      <c r="PZR155" s="389"/>
      <c r="PZS155" s="389"/>
      <c r="PZT155" s="389"/>
      <c r="PZU155" s="389"/>
      <c r="PZV155" s="389"/>
      <c r="PZW155" s="389"/>
      <c r="PZX155" s="389"/>
      <c r="PZY155" s="389"/>
      <c r="PZZ155" s="389"/>
      <c r="QAA155" s="389"/>
      <c r="QAB155" s="389"/>
      <c r="QAC155" s="389"/>
      <c r="QAD155" s="389"/>
      <c r="QAE155" s="389"/>
      <c r="QAF155" s="389"/>
      <c r="QAG155" s="389"/>
      <c r="QAH155" s="389"/>
      <c r="QAI155" s="389"/>
      <c r="QAJ155" s="389"/>
      <c r="QAK155" s="389"/>
      <c r="QAL155" s="389"/>
      <c r="QAM155" s="389"/>
      <c r="QAN155" s="389"/>
      <c r="QAO155" s="389"/>
      <c r="QAP155" s="389"/>
      <c r="QAQ155" s="389"/>
      <c r="QAR155" s="389"/>
      <c r="QAS155" s="389"/>
      <c r="QAT155" s="389"/>
      <c r="QAU155" s="389"/>
      <c r="QAV155" s="389"/>
      <c r="QAW155" s="389"/>
      <c r="QAX155" s="389"/>
      <c r="QAY155" s="389"/>
      <c r="QAZ155" s="389"/>
      <c r="QBA155" s="389"/>
      <c r="QBB155" s="389"/>
      <c r="QBC155" s="389"/>
      <c r="QBD155" s="389"/>
      <c r="QBE155" s="389"/>
      <c r="QBF155" s="389"/>
      <c r="QBG155" s="389"/>
      <c r="QBH155" s="389"/>
      <c r="QBI155" s="389"/>
      <c r="QBJ155" s="389"/>
      <c r="QBK155" s="389"/>
      <c r="QBL155" s="389"/>
      <c r="QBM155" s="389"/>
      <c r="QBN155" s="389"/>
      <c r="QBO155" s="389"/>
      <c r="QBP155" s="389"/>
      <c r="QBQ155" s="389"/>
      <c r="QBR155" s="389"/>
      <c r="QBS155" s="389"/>
      <c r="QBT155" s="389"/>
      <c r="QBU155" s="389"/>
      <c r="QBV155" s="389"/>
      <c r="QBW155" s="389"/>
      <c r="QBX155" s="389"/>
      <c r="QBY155" s="389"/>
      <c r="QBZ155" s="389"/>
      <c r="QCA155" s="389"/>
      <c r="QCB155" s="389"/>
      <c r="QCC155" s="389"/>
      <c r="QCD155" s="389"/>
      <c r="QCE155" s="389"/>
      <c r="QCF155" s="389"/>
      <c r="QCG155" s="389"/>
      <c r="QCH155" s="389"/>
      <c r="QCI155" s="389"/>
      <c r="QCJ155" s="389"/>
      <c r="QCK155" s="389"/>
      <c r="QCL155" s="389"/>
      <c r="QCM155" s="389"/>
      <c r="QCN155" s="389"/>
      <c r="QCO155" s="389"/>
      <c r="QCP155" s="389"/>
      <c r="QCQ155" s="389"/>
      <c r="QCR155" s="389"/>
      <c r="QCS155" s="389"/>
      <c r="QCT155" s="389"/>
      <c r="QCU155" s="389"/>
      <c r="QCV155" s="389"/>
      <c r="QCW155" s="389"/>
      <c r="QCX155" s="389"/>
      <c r="QCY155" s="389"/>
      <c r="QCZ155" s="389"/>
      <c r="QDA155" s="389"/>
      <c r="QDB155" s="389"/>
      <c r="QDC155" s="389"/>
      <c r="QDD155" s="389"/>
      <c r="QDE155" s="389"/>
      <c r="QDF155" s="389"/>
      <c r="QDG155" s="389"/>
      <c r="QDH155" s="389"/>
      <c r="QDI155" s="389"/>
      <c r="QDJ155" s="389"/>
      <c r="QDK155" s="389"/>
      <c r="QDL155" s="389"/>
      <c r="QDM155" s="389"/>
      <c r="QDN155" s="389"/>
      <c r="QDO155" s="389"/>
      <c r="QDP155" s="389"/>
      <c r="QDQ155" s="389"/>
      <c r="QDR155" s="389"/>
      <c r="QDS155" s="389"/>
      <c r="QDT155" s="389"/>
      <c r="QDU155" s="389"/>
      <c r="QDV155" s="389"/>
      <c r="QDW155" s="389"/>
      <c r="QDX155" s="389"/>
      <c r="QDY155" s="389"/>
      <c r="QDZ155" s="389"/>
      <c r="QEA155" s="389"/>
      <c r="QEB155" s="389"/>
      <c r="QEC155" s="389"/>
      <c r="QED155" s="389"/>
      <c r="QEE155" s="389"/>
      <c r="QEF155" s="389"/>
      <c r="QEG155" s="389"/>
      <c r="QEH155" s="389"/>
      <c r="QEI155" s="389"/>
      <c r="QEJ155" s="389"/>
      <c r="QEK155" s="389"/>
      <c r="QEL155" s="389"/>
      <c r="QEM155" s="389"/>
      <c r="QEN155" s="389"/>
      <c r="QEO155" s="389"/>
      <c r="QEP155" s="389"/>
      <c r="QEQ155" s="389"/>
      <c r="QER155" s="389"/>
      <c r="QES155" s="389"/>
      <c r="QET155" s="389"/>
      <c r="QEU155" s="389"/>
      <c r="QEV155" s="389"/>
      <c r="QEW155" s="389"/>
      <c r="QEX155" s="389"/>
      <c r="QEY155" s="389"/>
      <c r="QEZ155" s="389"/>
      <c r="QFA155" s="389"/>
      <c r="QFB155" s="389"/>
      <c r="QFC155" s="389"/>
      <c r="QFD155" s="389"/>
      <c r="QFE155" s="389"/>
      <c r="QFF155" s="389"/>
      <c r="QFG155" s="389"/>
      <c r="QFH155" s="389"/>
      <c r="QFI155" s="389"/>
      <c r="QFJ155" s="389"/>
      <c r="QFK155" s="389"/>
      <c r="QFL155" s="389"/>
      <c r="QFM155" s="389"/>
      <c r="QFN155" s="389"/>
      <c r="QFO155" s="389"/>
      <c r="QFP155" s="389"/>
      <c r="QFQ155" s="389"/>
      <c r="QFR155" s="389"/>
      <c r="QFS155" s="389"/>
      <c r="QFT155" s="389"/>
      <c r="QFU155" s="389"/>
      <c r="QFV155" s="389"/>
      <c r="QFW155" s="389"/>
      <c r="QFX155" s="389"/>
      <c r="QFY155" s="389"/>
      <c r="QFZ155" s="389"/>
      <c r="QGA155" s="389"/>
      <c r="QGB155" s="389"/>
      <c r="QGC155" s="389"/>
      <c r="QGD155" s="389"/>
      <c r="QGE155" s="389"/>
      <c r="QGF155" s="389"/>
      <c r="QGG155" s="389"/>
      <c r="QGH155" s="389"/>
      <c r="QGI155" s="389"/>
      <c r="QGJ155" s="389"/>
      <c r="QGK155" s="389"/>
      <c r="QGL155" s="389"/>
      <c r="QGM155" s="389"/>
      <c r="QGN155" s="389"/>
      <c r="QGO155" s="389"/>
      <c r="QGP155" s="389"/>
      <c r="QGQ155" s="389"/>
      <c r="QGR155" s="389"/>
      <c r="QGS155" s="389"/>
      <c r="QGT155" s="389"/>
      <c r="QGU155" s="389"/>
      <c r="QGV155" s="389"/>
      <c r="QGW155" s="389"/>
      <c r="QGX155" s="389"/>
      <c r="QGY155" s="389"/>
      <c r="QGZ155" s="389"/>
      <c r="QHA155" s="389"/>
      <c r="QHB155" s="389"/>
      <c r="QHC155" s="389"/>
      <c r="QHD155" s="389"/>
      <c r="QHE155" s="389"/>
      <c r="QHF155" s="389"/>
      <c r="QHG155" s="389"/>
      <c r="QHH155" s="389"/>
      <c r="QHI155" s="389"/>
      <c r="QHJ155" s="389"/>
      <c r="QHK155" s="389"/>
      <c r="QHL155" s="389"/>
      <c r="QHM155" s="389"/>
      <c r="QHN155" s="389"/>
      <c r="QHO155" s="389"/>
      <c r="QHP155" s="389"/>
      <c r="QHQ155" s="389"/>
      <c r="QHR155" s="389"/>
      <c r="QHS155" s="389"/>
      <c r="QHT155" s="389"/>
      <c r="QHU155" s="389"/>
      <c r="QHV155" s="389"/>
      <c r="QHW155" s="389"/>
      <c r="QHX155" s="389"/>
      <c r="QHY155" s="389"/>
      <c r="QHZ155" s="389"/>
      <c r="QIA155" s="389"/>
      <c r="QIB155" s="389"/>
      <c r="QIC155" s="389"/>
      <c r="QID155" s="389"/>
      <c r="QIE155" s="389"/>
      <c r="QIF155" s="389"/>
      <c r="QIG155" s="389"/>
      <c r="QIH155" s="389"/>
      <c r="QII155" s="389"/>
      <c r="QIJ155" s="389"/>
      <c r="QIK155" s="389"/>
      <c r="QIL155" s="389"/>
      <c r="QIM155" s="389"/>
      <c r="QIN155" s="389"/>
      <c r="QIO155" s="389"/>
      <c r="QIP155" s="389"/>
      <c r="QIQ155" s="389"/>
      <c r="QIR155" s="389"/>
      <c r="QIS155" s="389"/>
      <c r="QIT155" s="389"/>
      <c r="QIU155" s="389"/>
      <c r="QIV155" s="389"/>
      <c r="QIW155" s="389"/>
      <c r="QIX155" s="389"/>
      <c r="QIY155" s="389"/>
      <c r="QIZ155" s="389"/>
      <c r="QJA155" s="389"/>
      <c r="QJB155" s="389"/>
      <c r="QJC155" s="389"/>
      <c r="QJD155" s="389"/>
      <c r="QJE155" s="389"/>
      <c r="QJF155" s="389"/>
      <c r="QJG155" s="389"/>
      <c r="QJH155" s="389"/>
      <c r="QJI155" s="389"/>
      <c r="QJJ155" s="389"/>
      <c r="QJK155" s="389"/>
      <c r="QJL155" s="389"/>
      <c r="QJM155" s="389"/>
      <c r="QJN155" s="389"/>
      <c r="QJO155" s="389"/>
      <c r="QJP155" s="389"/>
      <c r="QJQ155" s="389"/>
      <c r="QJR155" s="389"/>
      <c r="QJS155" s="389"/>
      <c r="QJT155" s="389"/>
      <c r="QJU155" s="389"/>
      <c r="QJV155" s="389"/>
      <c r="QJW155" s="389"/>
      <c r="QJX155" s="389"/>
      <c r="QJY155" s="389"/>
      <c r="QJZ155" s="389"/>
      <c r="QKA155" s="389"/>
      <c r="QKB155" s="389"/>
      <c r="QKC155" s="389"/>
      <c r="QKD155" s="389"/>
      <c r="QKE155" s="389"/>
      <c r="QKF155" s="389"/>
      <c r="QKG155" s="389"/>
      <c r="QKH155" s="389"/>
      <c r="QKI155" s="389"/>
      <c r="QKJ155" s="389"/>
      <c r="QKK155" s="389"/>
      <c r="QKL155" s="389"/>
      <c r="QKM155" s="389"/>
      <c r="QKN155" s="389"/>
      <c r="QKO155" s="389"/>
      <c r="QKP155" s="389"/>
      <c r="QKQ155" s="389"/>
      <c r="QKR155" s="389"/>
      <c r="QKS155" s="389"/>
      <c r="QKT155" s="389"/>
      <c r="QKU155" s="389"/>
      <c r="QKV155" s="389"/>
      <c r="QKW155" s="389"/>
      <c r="QKX155" s="389"/>
      <c r="QKY155" s="389"/>
      <c r="QKZ155" s="389"/>
      <c r="QLA155" s="389"/>
      <c r="QLB155" s="389"/>
      <c r="QLC155" s="389"/>
      <c r="QLD155" s="389"/>
      <c r="QLE155" s="389"/>
      <c r="QLF155" s="389"/>
      <c r="QLG155" s="389"/>
      <c r="QLH155" s="389"/>
      <c r="QLI155" s="389"/>
      <c r="QLJ155" s="389"/>
      <c r="QLK155" s="389"/>
      <c r="QLL155" s="389"/>
      <c r="QLM155" s="389"/>
      <c r="QLN155" s="389"/>
      <c r="QLO155" s="389"/>
      <c r="QLP155" s="389"/>
      <c r="QLQ155" s="389"/>
      <c r="QLR155" s="389"/>
      <c r="QLS155" s="389"/>
      <c r="QLT155" s="389"/>
      <c r="QLU155" s="389"/>
      <c r="QLV155" s="389"/>
      <c r="QLW155" s="389"/>
      <c r="QLX155" s="389"/>
      <c r="QLY155" s="389"/>
      <c r="QLZ155" s="389"/>
      <c r="QMA155" s="389"/>
      <c r="QMB155" s="389"/>
      <c r="QMC155" s="389"/>
      <c r="QMD155" s="389"/>
      <c r="QME155" s="389"/>
      <c r="QMF155" s="389"/>
      <c r="QMG155" s="389"/>
      <c r="QMH155" s="389"/>
      <c r="QMI155" s="389"/>
      <c r="QMJ155" s="389"/>
      <c r="QMK155" s="389"/>
      <c r="QML155" s="389"/>
      <c r="QMM155" s="389"/>
      <c r="QMN155" s="389"/>
      <c r="QMO155" s="389"/>
      <c r="QMP155" s="389"/>
      <c r="QMQ155" s="389"/>
      <c r="QMR155" s="389"/>
      <c r="QMS155" s="389"/>
      <c r="QMT155" s="389"/>
      <c r="QMU155" s="389"/>
      <c r="QMV155" s="389"/>
      <c r="QMW155" s="389"/>
      <c r="QMX155" s="389"/>
      <c r="QMY155" s="389"/>
      <c r="QMZ155" s="389"/>
      <c r="QNA155" s="389"/>
      <c r="QNB155" s="389"/>
      <c r="QNC155" s="389"/>
      <c r="QND155" s="389"/>
      <c r="QNE155" s="389"/>
      <c r="QNF155" s="389"/>
      <c r="QNG155" s="389"/>
      <c r="QNH155" s="389"/>
      <c r="QNI155" s="389"/>
      <c r="QNJ155" s="389"/>
      <c r="QNK155" s="389"/>
      <c r="QNL155" s="389"/>
      <c r="QNM155" s="389"/>
      <c r="QNN155" s="389"/>
      <c r="QNO155" s="389"/>
      <c r="QNP155" s="389"/>
      <c r="QNQ155" s="389"/>
      <c r="QNR155" s="389"/>
      <c r="QNS155" s="389"/>
      <c r="QNT155" s="389"/>
      <c r="QNU155" s="389"/>
      <c r="QNV155" s="389"/>
      <c r="QNW155" s="389"/>
      <c r="QNX155" s="389"/>
      <c r="QNY155" s="389"/>
      <c r="QNZ155" s="389"/>
      <c r="QOA155" s="389"/>
      <c r="QOB155" s="389"/>
      <c r="QOC155" s="389"/>
      <c r="QOD155" s="389"/>
      <c r="QOE155" s="389"/>
      <c r="QOF155" s="389"/>
      <c r="QOG155" s="389"/>
      <c r="QOH155" s="389"/>
      <c r="QOI155" s="389"/>
      <c r="QOJ155" s="389"/>
      <c r="QOK155" s="389"/>
      <c r="QOL155" s="389"/>
      <c r="QOM155" s="389"/>
      <c r="QON155" s="389"/>
      <c r="QOO155" s="389"/>
      <c r="QOP155" s="389"/>
      <c r="QOQ155" s="389"/>
      <c r="QOR155" s="389"/>
      <c r="QOS155" s="389"/>
      <c r="QOT155" s="389"/>
      <c r="QOU155" s="389"/>
      <c r="QOV155" s="389"/>
      <c r="QOW155" s="389"/>
      <c r="QOX155" s="389"/>
      <c r="QOY155" s="389"/>
      <c r="QOZ155" s="389"/>
      <c r="QPA155" s="389"/>
      <c r="QPB155" s="389"/>
      <c r="QPC155" s="389"/>
      <c r="QPD155" s="389"/>
      <c r="QPE155" s="389"/>
      <c r="QPF155" s="389"/>
      <c r="QPG155" s="389"/>
      <c r="QPH155" s="389"/>
      <c r="QPI155" s="389"/>
      <c r="QPJ155" s="389"/>
      <c r="QPK155" s="389"/>
      <c r="QPL155" s="389"/>
      <c r="QPM155" s="389"/>
      <c r="QPN155" s="389"/>
      <c r="QPO155" s="389"/>
      <c r="QPP155" s="389"/>
      <c r="QPQ155" s="389"/>
      <c r="QPR155" s="389"/>
      <c r="QPS155" s="389"/>
      <c r="QPT155" s="389"/>
      <c r="QPU155" s="389"/>
      <c r="QPV155" s="389"/>
      <c r="QPW155" s="389"/>
      <c r="QPX155" s="389"/>
      <c r="QPY155" s="389"/>
      <c r="QPZ155" s="389"/>
      <c r="QQA155" s="389"/>
      <c r="QQB155" s="389"/>
      <c r="QQC155" s="389"/>
      <c r="QQD155" s="389"/>
      <c r="QQE155" s="389"/>
      <c r="QQF155" s="389"/>
      <c r="QQG155" s="389"/>
      <c r="QQH155" s="389"/>
      <c r="QQI155" s="389"/>
      <c r="QQJ155" s="389"/>
      <c r="QQK155" s="389"/>
      <c r="QQL155" s="389"/>
      <c r="QQM155" s="389"/>
      <c r="QQN155" s="389"/>
      <c r="QQO155" s="389"/>
      <c r="QQP155" s="389"/>
      <c r="QQQ155" s="389"/>
      <c r="QQR155" s="389"/>
      <c r="QQS155" s="389"/>
      <c r="QQT155" s="389"/>
      <c r="QQU155" s="389"/>
      <c r="QQV155" s="389"/>
      <c r="QQW155" s="389"/>
      <c r="QQX155" s="389"/>
      <c r="QQY155" s="389"/>
      <c r="QQZ155" s="389"/>
      <c r="QRA155" s="389"/>
      <c r="QRB155" s="389"/>
      <c r="QRC155" s="389"/>
      <c r="QRD155" s="389"/>
      <c r="QRE155" s="389"/>
      <c r="QRF155" s="389"/>
      <c r="QRG155" s="389"/>
      <c r="QRH155" s="389"/>
      <c r="QRI155" s="389"/>
      <c r="QRJ155" s="389"/>
      <c r="QRK155" s="389"/>
      <c r="QRL155" s="389"/>
      <c r="QRM155" s="389"/>
      <c r="QRN155" s="389"/>
      <c r="QRO155" s="389"/>
      <c r="QRP155" s="389"/>
      <c r="QRQ155" s="389"/>
      <c r="QRR155" s="389"/>
      <c r="QRS155" s="389"/>
      <c r="QRT155" s="389"/>
      <c r="QRU155" s="389"/>
      <c r="QRV155" s="389"/>
      <c r="QRW155" s="389"/>
      <c r="QRX155" s="389"/>
      <c r="QRY155" s="389"/>
      <c r="QRZ155" s="389"/>
      <c r="QSA155" s="389"/>
      <c r="QSB155" s="389"/>
      <c r="QSC155" s="389"/>
      <c r="QSD155" s="389"/>
      <c r="QSE155" s="389"/>
      <c r="QSF155" s="389"/>
      <c r="QSG155" s="389"/>
      <c r="QSH155" s="389"/>
      <c r="QSI155" s="389"/>
      <c r="QSJ155" s="389"/>
      <c r="QSK155" s="389"/>
      <c r="QSL155" s="389"/>
      <c r="QSM155" s="389"/>
      <c r="QSN155" s="389"/>
      <c r="QSO155" s="389"/>
      <c r="QSP155" s="389"/>
      <c r="QSQ155" s="389"/>
      <c r="QSR155" s="389"/>
      <c r="QSS155" s="389"/>
      <c r="QST155" s="389"/>
      <c r="QSU155" s="389"/>
      <c r="QSV155" s="389"/>
      <c r="QSW155" s="389"/>
      <c r="QSX155" s="389"/>
      <c r="QSY155" s="389"/>
      <c r="QSZ155" s="389"/>
      <c r="QTA155" s="389"/>
      <c r="QTB155" s="389"/>
      <c r="QTC155" s="389"/>
      <c r="QTD155" s="389"/>
      <c r="QTE155" s="389"/>
      <c r="QTF155" s="389"/>
      <c r="QTG155" s="389"/>
      <c r="QTH155" s="389"/>
      <c r="QTI155" s="389"/>
      <c r="QTJ155" s="389"/>
      <c r="QTK155" s="389"/>
      <c r="QTL155" s="389"/>
      <c r="QTM155" s="389"/>
      <c r="QTN155" s="389"/>
      <c r="QTO155" s="389"/>
      <c r="QTP155" s="389"/>
      <c r="QTQ155" s="389"/>
      <c r="QTR155" s="389"/>
      <c r="QTS155" s="389"/>
      <c r="QTT155" s="389"/>
      <c r="QTU155" s="389"/>
      <c r="QTV155" s="389"/>
      <c r="QTW155" s="389"/>
      <c r="QTX155" s="389"/>
      <c r="QTY155" s="389"/>
      <c r="QTZ155" s="389"/>
      <c r="QUA155" s="389"/>
      <c r="QUB155" s="389"/>
      <c r="QUC155" s="389"/>
      <c r="QUD155" s="389"/>
      <c r="QUE155" s="389"/>
      <c r="QUF155" s="389"/>
      <c r="QUG155" s="389"/>
      <c r="QUH155" s="389"/>
      <c r="QUI155" s="389"/>
      <c r="QUJ155" s="389"/>
      <c r="QUK155" s="389"/>
      <c r="QUL155" s="389"/>
      <c r="QUM155" s="389"/>
      <c r="QUN155" s="389"/>
      <c r="QUO155" s="389"/>
      <c r="QUP155" s="389"/>
      <c r="QUQ155" s="389"/>
      <c r="QUR155" s="389"/>
      <c r="QUS155" s="389"/>
      <c r="QUT155" s="389"/>
      <c r="QUU155" s="389"/>
      <c r="QUV155" s="389"/>
      <c r="QUW155" s="389"/>
      <c r="QUX155" s="389"/>
      <c r="QUY155" s="389"/>
      <c r="QUZ155" s="389"/>
      <c r="QVA155" s="389"/>
      <c r="QVB155" s="389"/>
      <c r="QVC155" s="389"/>
      <c r="QVD155" s="389"/>
      <c r="QVE155" s="389"/>
      <c r="QVF155" s="389"/>
      <c r="QVG155" s="389"/>
      <c r="QVH155" s="389"/>
      <c r="QVI155" s="389"/>
      <c r="QVJ155" s="389"/>
      <c r="QVK155" s="389"/>
      <c r="QVL155" s="389"/>
      <c r="QVM155" s="389"/>
      <c r="QVN155" s="389"/>
      <c r="QVO155" s="389"/>
      <c r="QVP155" s="389"/>
      <c r="QVQ155" s="389"/>
      <c r="QVR155" s="389"/>
      <c r="QVS155" s="389"/>
      <c r="QVT155" s="389"/>
      <c r="QVU155" s="389"/>
      <c r="QVV155" s="389"/>
      <c r="QVW155" s="389"/>
      <c r="QVX155" s="389"/>
      <c r="QVY155" s="389"/>
      <c r="QVZ155" s="389"/>
      <c r="QWA155" s="389"/>
      <c r="QWB155" s="389"/>
      <c r="QWC155" s="389"/>
      <c r="QWD155" s="389"/>
      <c r="QWE155" s="389"/>
      <c r="QWF155" s="389"/>
      <c r="QWG155" s="389"/>
      <c r="QWH155" s="389"/>
      <c r="QWI155" s="389"/>
      <c r="QWJ155" s="389"/>
      <c r="QWK155" s="389"/>
      <c r="QWL155" s="389"/>
      <c r="QWM155" s="389"/>
      <c r="QWN155" s="389"/>
      <c r="QWO155" s="389"/>
      <c r="QWP155" s="389"/>
      <c r="QWQ155" s="389"/>
      <c r="QWR155" s="389"/>
      <c r="QWS155" s="389"/>
      <c r="QWT155" s="389"/>
      <c r="QWU155" s="389"/>
      <c r="QWV155" s="389"/>
      <c r="QWW155" s="389"/>
      <c r="QWX155" s="389"/>
      <c r="QWY155" s="389"/>
      <c r="QWZ155" s="389"/>
      <c r="QXA155" s="389"/>
      <c r="QXB155" s="389"/>
      <c r="QXC155" s="389"/>
      <c r="QXD155" s="389"/>
      <c r="QXE155" s="389"/>
      <c r="QXF155" s="389"/>
      <c r="QXG155" s="389"/>
      <c r="QXH155" s="389"/>
      <c r="QXI155" s="389"/>
      <c r="QXJ155" s="389"/>
      <c r="QXK155" s="389"/>
      <c r="QXL155" s="389"/>
      <c r="QXM155" s="389"/>
      <c r="QXN155" s="389"/>
      <c r="QXO155" s="389"/>
      <c r="QXP155" s="389"/>
      <c r="QXQ155" s="389"/>
      <c r="QXR155" s="389"/>
      <c r="QXS155" s="389"/>
      <c r="QXT155" s="389"/>
      <c r="QXU155" s="389"/>
      <c r="QXV155" s="389"/>
      <c r="QXW155" s="389"/>
      <c r="QXX155" s="389"/>
      <c r="QXY155" s="389"/>
      <c r="QXZ155" s="389"/>
      <c r="QYA155" s="389"/>
      <c r="QYB155" s="389"/>
      <c r="QYC155" s="389"/>
      <c r="QYD155" s="389"/>
      <c r="QYE155" s="389"/>
      <c r="QYF155" s="389"/>
      <c r="QYG155" s="389"/>
      <c r="QYH155" s="389"/>
      <c r="QYI155" s="389"/>
      <c r="QYJ155" s="389"/>
      <c r="QYK155" s="389"/>
      <c r="QYL155" s="389"/>
      <c r="QYM155" s="389"/>
      <c r="QYN155" s="389"/>
      <c r="QYO155" s="389"/>
      <c r="QYP155" s="389"/>
      <c r="QYQ155" s="389"/>
      <c r="QYR155" s="389"/>
      <c r="QYS155" s="389"/>
      <c r="QYT155" s="389"/>
      <c r="QYU155" s="389"/>
      <c r="QYV155" s="389"/>
      <c r="QYW155" s="389"/>
      <c r="QYX155" s="389"/>
      <c r="QYY155" s="389"/>
      <c r="QYZ155" s="389"/>
      <c r="QZA155" s="389"/>
      <c r="QZB155" s="389"/>
      <c r="QZC155" s="389"/>
      <c r="QZD155" s="389"/>
      <c r="QZE155" s="389"/>
      <c r="QZF155" s="389"/>
      <c r="QZG155" s="389"/>
      <c r="QZH155" s="389"/>
      <c r="QZI155" s="389"/>
      <c r="QZJ155" s="389"/>
      <c r="QZK155" s="389"/>
      <c r="QZL155" s="389"/>
      <c r="QZM155" s="389"/>
      <c r="QZN155" s="389"/>
      <c r="QZO155" s="389"/>
      <c r="QZP155" s="389"/>
      <c r="QZQ155" s="389"/>
      <c r="QZR155" s="389"/>
      <c r="QZS155" s="389"/>
      <c r="QZT155" s="389"/>
      <c r="QZU155" s="389"/>
      <c r="QZV155" s="389"/>
      <c r="QZW155" s="389"/>
      <c r="QZX155" s="389"/>
      <c r="QZY155" s="389"/>
      <c r="QZZ155" s="389"/>
      <c r="RAA155" s="389"/>
      <c r="RAB155" s="389"/>
      <c r="RAC155" s="389"/>
      <c r="RAD155" s="389"/>
      <c r="RAE155" s="389"/>
      <c r="RAF155" s="389"/>
      <c r="RAG155" s="389"/>
      <c r="RAH155" s="389"/>
      <c r="RAI155" s="389"/>
      <c r="RAJ155" s="389"/>
      <c r="RAK155" s="389"/>
      <c r="RAL155" s="389"/>
      <c r="RAM155" s="389"/>
      <c r="RAN155" s="389"/>
      <c r="RAO155" s="389"/>
      <c r="RAP155" s="389"/>
      <c r="RAQ155" s="389"/>
      <c r="RAR155" s="389"/>
      <c r="RAS155" s="389"/>
      <c r="RAT155" s="389"/>
      <c r="RAU155" s="389"/>
      <c r="RAV155" s="389"/>
      <c r="RAW155" s="389"/>
      <c r="RAX155" s="389"/>
      <c r="RAY155" s="389"/>
      <c r="RAZ155" s="389"/>
      <c r="RBA155" s="389"/>
      <c r="RBB155" s="389"/>
      <c r="RBC155" s="389"/>
      <c r="RBD155" s="389"/>
      <c r="RBE155" s="389"/>
      <c r="RBF155" s="389"/>
      <c r="RBG155" s="389"/>
      <c r="RBH155" s="389"/>
      <c r="RBI155" s="389"/>
      <c r="RBJ155" s="389"/>
      <c r="RBK155" s="389"/>
      <c r="RBL155" s="389"/>
      <c r="RBM155" s="389"/>
      <c r="RBN155" s="389"/>
      <c r="RBO155" s="389"/>
      <c r="RBP155" s="389"/>
      <c r="RBQ155" s="389"/>
      <c r="RBR155" s="389"/>
      <c r="RBS155" s="389"/>
      <c r="RBT155" s="389"/>
      <c r="RBU155" s="389"/>
      <c r="RBV155" s="389"/>
      <c r="RBW155" s="389"/>
      <c r="RBX155" s="389"/>
      <c r="RBY155" s="389"/>
      <c r="RBZ155" s="389"/>
      <c r="RCA155" s="389"/>
      <c r="RCB155" s="389"/>
      <c r="RCC155" s="389"/>
      <c r="RCD155" s="389"/>
      <c r="RCE155" s="389"/>
      <c r="RCF155" s="389"/>
      <c r="RCG155" s="389"/>
      <c r="RCH155" s="389"/>
      <c r="RCI155" s="389"/>
      <c r="RCJ155" s="389"/>
      <c r="RCK155" s="389"/>
      <c r="RCL155" s="389"/>
      <c r="RCM155" s="389"/>
      <c r="RCN155" s="389"/>
      <c r="RCO155" s="389"/>
      <c r="RCP155" s="389"/>
      <c r="RCQ155" s="389"/>
      <c r="RCR155" s="389"/>
      <c r="RCS155" s="389"/>
      <c r="RCT155" s="389"/>
      <c r="RCU155" s="389"/>
      <c r="RCV155" s="389"/>
      <c r="RCW155" s="389"/>
      <c r="RCX155" s="389"/>
      <c r="RCY155" s="389"/>
      <c r="RCZ155" s="389"/>
      <c r="RDA155" s="389"/>
      <c r="RDB155" s="389"/>
      <c r="RDC155" s="389"/>
      <c r="RDD155" s="389"/>
      <c r="RDE155" s="389"/>
      <c r="RDF155" s="389"/>
      <c r="RDG155" s="389"/>
      <c r="RDH155" s="389"/>
      <c r="RDI155" s="389"/>
      <c r="RDJ155" s="389"/>
      <c r="RDK155" s="389"/>
      <c r="RDL155" s="389"/>
      <c r="RDM155" s="389"/>
      <c r="RDN155" s="389"/>
      <c r="RDO155" s="389"/>
      <c r="RDP155" s="389"/>
      <c r="RDQ155" s="389"/>
      <c r="RDR155" s="389"/>
      <c r="RDS155" s="389"/>
      <c r="RDT155" s="389"/>
      <c r="RDU155" s="389"/>
      <c r="RDV155" s="389"/>
      <c r="RDW155" s="389"/>
      <c r="RDX155" s="389"/>
      <c r="RDY155" s="389"/>
      <c r="RDZ155" s="389"/>
      <c r="REA155" s="389"/>
      <c r="REB155" s="389"/>
      <c r="REC155" s="389"/>
      <c r="RED155" s="389"/>
      <c r="REE155" s="389"/>
      <c r="REF155" s="389"/>
      <c r="REG155" s="389"/>
      <c r="REH155" s="389"/>
      <c r="REI155" s="389"/>
      <c r="REJ155" s="389"/>
      <c r="REK155" s="389"/>
      <c r="REL155" s="389"/>
      <c r="REM155" s="389"/>
      <c r="REN155" s="389"/>
      <c r="REO155" s="389"/>
      <c r="REP155" s="389"/>
      <c r="REQ155" s="389"/>
      <c r="RER155" s="389"/>
      <c r="RES155" s="389"/>
      <c r="RET155" s="389"/>
      <c r="REU155" s="389"/>
      <c r="REV155" s="389"/>
      <c r="REW155" s="389"/>
      <c r="REX155" s="389"/>
      <c r="REY155" s="389"/>
      <c r="REZ155" s="389"/>
      <c r="RFA155" s="389"/>
      <c r="RFB155" s="389"/>
      <c r="RFC155" s="389"/>
      <c r="RFD155" s="389"/>
      <c r="RFE155" s="389"/>
      <c r="RFF155" s="389"/>
      <c r="RFG155" s="389"/>
      <c r="RFH155" s="389"/>
      <c r="RFI155" s="389"/>
      <c r="RFJ155" s="389"/>
      <c r="RFK155" s="389"/>
      <c r="RFL155" s="389"/>
      <c r="RFM155" s="389"/>
      <c r="RFN155" s="389"/>
      <c r="RFO155" s="389"/>
      <c r="RFP155" s="389"/>
      <c r="RFQ155" s="389"/>
      <c r="RFR155" s="389"/>
      <c r="RFS155" s="389"/>
      <c r="RFT155" s="389"/>
      <c r="RFU155" s="389"/>
      <c r="RFV155" s="389"/>
      <c r="RFW155" s="389"/>
      <c r="RFX155" s="389"/>
      <c r="RFY155" s="389"/>
      <c r="RFZ155" s="389"/>
      <c r="RGA155" s="389"/>
      <c r="RGB155" s="389"/>
      <c r="RGC155" s="389"/>
      <c r="RGD155" s="389"/>
      <c r="RGE155" s="389"/>
      <c r="RGF155" s="389"/>
      <c r="RGG155" s="389"/>
      <c r="RGH155" s="389"/>
      <c r="RGI155" s="389"/>
      <c r="RGJ155" s="389"/>
      <c r="RGK155" s="389"/>
      <c r="RGL155" s="389"/>
      <c r="RGM155" s="389"/>
      <c r="RGN155" s="389"/>
      <c r="RGO155" s="389"/>
      <c r="RGP155" s="389"/>
      <c r="RGQ155" s="389"/>
      <c r="RGR155" s="389"/>
      <c r="RGS155" s="389"/>
      <c r="RGT155" s="389"/>
      <c r="RGU155" s="389"/>
      <c r="RGV155" s="389"/>
      <c r="RGW155" s="389"/>
      <c r="RGX155" s="389"/>
      <c r="RGY155" s="389"/>
      <c r="RGZ155" s="389"/>
      <c r="RHA155" s="389"/>
      <c r="RHB155" s="389"/>
      <c r="RHC155" s="389"/>
      <c r="RHD155" s="389"/>
      <c r="RHE155" s="389"/>
      <c r="RHF155" s="389"/>
      <c r="RHG155" s="389"/>
      <c r="RHH155" s="389"/>
      <c r="RHI155" s="389"/>
      <c r="RHJ155" s="389"/>
      <c r="RHK155" s="389"/>
      <c r="RHL155" s="389"/>
      <c r="RHM155" s="389"/>
      <c r="RHN155" s="389"/>
      <c r="RHO155" s="389"/>
      <c r="RHP155" s="389"/>
      <c r="RHQ155" s="389"/>
      <c r="RHR155" s="389"/>
      <c r="RHS155" s="389"/>
      <c r="RHT155" s="389"/>
      <c r="RHU155" s="389"/>
      <c r="RHV155" s="389"/>
      <c r="RHW155" s="389"/>
      <c r="RHX155" s="389"/>
      <c r="RHY155" s="389"/>
      <c r="RHZ155" s="389"/>
      <c r="RIA155" s="389"/>
      <c r="RIB155" s="389"/>
      <c r="RIC155" s="389"/>
      <c r="RID155" s="389"/>
      <c r="RIE155" s="389"/>
      <c r="RIF155" s="389"/>
      <c r="RIG155" s="389"/>
      <c r="RIH155" s="389"/>
      <c r="RII155" s="389"/>
      <c r="RIJ155" s="389"/>
      <c r="RIK155" s="389"/>
      <c r="RIL155" s="389"/>
      <c r="RIM155" s="389"/>
      <c r="RIN155" s="389"/>
      <c r="RIO155" s="389"/>
      <c r="RIP155" s="389"/>
      <c r="RIQ155" s="389"/>
      <c r="RIR155" s="389"/>
      <c r="RIS155" s="389"/>
      <c r="RIT155" s="389"/>
      <c r="RIU155" s="389"/>
      <c r="RIV155" s="389"/>
      <c r="RIW155" s="389"/>
      <c r="RIX155" s="389"/>
      <c r="RIY155" s="389"/>
      <c r="RIZ155" s="389"/>
      <c r="RJA155" s="389"/>
      <c r="RJB155" s="389"/>
      <c r="RJC155" s="389"/>
      <c r="RJD155" s="389"/>
      <c r="RJE155" s="389"/>
      <c r="RJF155" s="389"/>
      <c r="RJG155" s="389"/>
      <c r="RJH155" s="389"/>
      <c r="RJI155" s="389"/>
      <c r="RJJ155" s="389"/>
      <c r="RJK155" s="389"/>
      <c r="RJL155" s="389"/>
      <c r="RJM155" s="389"/>
      <c r="RJN155" s="389"/>
      <c r="RJO155" s="389"/>
      <c r="RJP155" s="389"/>
      <c r="RJQ155" s="389"/>
      <c r="RJR155" s="389"/>
      <c r="RJS155" s="389"/>
      <c r="RJT155" s="389"/>
      <c r="RJU155" s="389"/>
      <c r="RJV155" s="389"/>
      <c r="RJW155" s="389"/>
      <c r="RJX155" s="389"/>
      <c r="RJY155" s="389"/>
      <c r="RJZ155" s="389"/>
      <c r="RKA155" s="389"/>
      <c r="RKB155" s="389"/>
      <c r="RKC155" s="389"/>
      <c r="RKD155" s="389"/>
      <c r="RKE155" s="389"/>
      <c r="RKF155" s="389"/>
      <c r="RKG155" s="389"/>
      <c r="RKH155" s="389"/>
      <c r="RKI155" s="389"/>
      <c r="RKJ155" s="389"/>
      <c r="RKK155" s="389"/>
      <c r="RKL155" s="389"/>
      <c r="RKM155" s="389"/>
      <c r="RKN155" s="389"/>
      <c r="RKO155" s="389"/>
      <c r="RKP155" s="389"/>
      <c r="RKQ155" s="389"/>
      <c r="RKR155" s="389"/>
      <c r="RKS155" s="389"/>
      <c r="RKT155" s="389"/>
      <c r="RKU155" s="389"/>
      <c r="RKV155" s="389"/>
      <c r="RKW155" s="389"/>
      <c r="RKX155" s="389"/>
      <c r="RKY155" s="389"/>
      <c r="RKZ155" s="389"/>
      <c r="RLA155" s="389"/>
      <c r="RLB155" s="389"/>
      <c r="RLC155" s="389"/>
      <c r="RLD155" s="389"/>
      <c r="RLE155" s="389"/>
      <c r="RLF155" s="389"/>
      <c r="RLG155" s="389"/>
      <c r="RLH155" s="389"/>
      <c r="RLI155" s="389"/>
      <c r="RLJ155" s="389"/>
      <c r="RLK155" s="389"/>
      <c r="RLL155" s="389"/>
      <c r="RLM155" s="389"/>
      <c r="RLN155" s="389"/>
      <c r="RLO155" s="389"/>
      <c r="RLP155" s="389"/>
      <c r="RLQ155" s="389"/>
      <c r="RLR155" s="389"/>
      <c r="RLS155" s="389"/>
      <c r="RLT155" s="389"/>
      <c r="RLU155" s="389"/>
      <c r="RLV155" s="389"/>
      <c r="RLW155" s="389"/>
      <c r="RLX155" s="389"/>
      <c r="RLY155" s="389"/>
      <c r="RLZ155" s="389"/>
      <c r="RMA155" s="389"/>
      <c r="RMB155" s="389"/>
      <c r="RMC155" s="389"/>
      <c r="RMD155" s="389"/>
      <c r="RME155" s="389"/>
      <c r="RMF155" s="389"/>
      <c r="RMG155" s="389"/>
      <c r="RMH155" s="389"/>
      <c r="RMI155" s="389"/>
      <c r="RMJ155" s="389"/>
      <c r="RMK155" s="389"/>
      <c r="RML155" s="389"/>
      <c r="RMM155" s="389"/>
      <c r="RMN155" s="389"/>
      <c r="RMO155" s="389"/>
      <c r="RMP155" s="389"/>
      <c r="RMQ155" s="389"/>
      <c r="RMR155" s="389"/>
      <c r="RMS155" s="389"/>
      <c r="RMT155" s="389"/>
      <c r="RMU155" s="389"/>
      <c r="RMV155" s="389"/>
      <c r="RMW155" s="389"/>
      <c r="RMX155" s="389"/>
      <c r="RMY155" s="389"/>
      <c r="RMZ155" s="389"/>
      <c r="RNA155" s="389"/>
      <c r="RNB155" s="389"/>
      <c r="RNC155" s="389"/>
      <c r="RND155" s="389"/>
      <c r="RNE155" s="389"/>
      <c r="RNF155" s="389"/>
      <c r="RNG155" s="389"/>
      <c r="RNH155" s="389"/>
      <c r="RNI155" s="389"/>
      <c r="RNJ155" s="389"/>
      <c r="RNK155" s="389"/>
      <c r="RNL155" s="389"/>
      <c r="RNM155" s="389"/>
      <c r="RNN155" s="389"/>
      <c r="RNO155" s="389"/>
      <c r="RNP155" s="389"/>
      <c r="RNQ155" s="389"/>
      <c r="RNR155" s="389"/>
      <c r="RNS155" s="389"/>
      <c r="RNT155" s="389"/>
      <c r="RNU155" s="389"/>
      <c r="RNV155" s="389"/>
      <c r="RNW155" s="389"/>
      <c r="RNX155" s="389"/>
      <c r="RNY155" s="389"/>
      <c r="RNZ155" s="389"/>
      <c r="ROA155" s="389"/>
      <c r="ROB155" s="389"/>
      <c r="ROC155" s="389"/>
      <c r="ROD155" s="389"/>
      <c r="ROE155" s="389"/>
      <c r="ROF155" s="389"/>
      <c r="ROG155" s="389"/>
      <c r="ROH155" s="389"/>
      <c r="ROI155" s="389"/>
      <c r="ROJ155" s="389"/>
      <c r="ROK155" s="389"/>
      <c r="ROL155" s="389"/>
      <c r="ROM155" s="389"/>
      <c r="RON155" s="389"/>
      <c r="ROO155" s="389"/>
      <c r="ROP155" s="389"/>
      <c r="ROQ155" s="389"/>
      <c r="ROR155" s="389"/>
      <c r="ROS155" s="389"/>
      <c r="ROT155" s="389"/>
      <c r="ROU155" s="389"/>
      <c r="ROV155" s="389"/>
      <c r="ROW155" s="389"/>
      <c r="ROX155" s="389"/>
      <c r="ROY155" s="389"/>
      <c r="ROZ155" s="389"/>
      <c r="RPA155" s="389"/>
      <c r="RPB155" s="389"/>
      <c r="RPC155" s="389"/>
      <c r="RPD155" s="389"/>
      <c r="RPE155" s="389"/>
      <c r="RPF155" s="389"/>
      <c r="RPG155" s="389"/>
      <c r="RPH155" s="389"/>
      <c r="RPI155" s="389"/>
      <c r="RPJ155" s="389"/>
      <c r="RPK155" s="389"/>
      <c r="RPL155" s="389"/>
      <c r="RPM155" s="389"/>
      <c r="RPN155" s="389"/>
      <c r="RPO155" s="389"/>
      <c r="RPP155" s="389"/>
      <c r="RPQ155" s="389"/>
      <c r="RPR155" s="389"/>
      <c r="RPS155" s="389"/>
      <c r="RPT155" s="389"/>
      <c r="RPU155" s="389"/>
      <c r="RPV155" s="389"/>
      <c r="RPW155" s="389"/>
      <c r="RPX155" s="389"/>
      <c r="RPY155" s="389"/>
      <c r="RPZ155" s="389"/>
      <c r="RQA155" s="389"/>
      <c r="RQB155" s="389"/>
      <c r="RQC155" s="389"/>
      <c r="RQD155" s="389"/>
      <c r="RQE155" s="389"/>
      <c r="RQF155" s="389"/>
      <c r="RQG155" s="389"/>
      <c r="RQH155" s="389"/>
      <c r="RQI155" s="389"/>
      <c r="RQJ155" s="389"/>
      <c r="RQK155" s="389"/>
      <c r="RQL155" s="389"/>
      <c r="RQM155" s="389"/>
      <c r="RQN155" s="389"/>
      <c r="RQO155" s="389"/>
      <c r="RQP155" s="389"/>
      <c r="RQQ155" s="389"/>
      <c r="RQR155" s="389"/>
      <c r="RQS155" s="389"/>
      <c r="RQT155" s="389"/>
      <c r="RQU155" s="389"/>
      <c r="RQV155" s="389"/>
      <c r="RQW155" s="389"/>
      <c r="RQX155" s="389"/>
      <c r="RQY155" s="389"/>
      <c r="RQZ155" s="389"/>
      <c r="RRA155" s="389"/>
      <c r="RRB155" s="389"/>
      <c r="RRC155" s="389"/>
      <c r="RRD155" s="389"/>
      <c r="RRE155" s="389"/>
      <c r="RRF155" s="389"/>
      <c r="RRG155" s="389"/>
      <c r="RRH155" s="389"/>
      <c r="RRI155" s="389"/>
      <c r="RRJ155" s="389"/>
      <c r="RRK155" s="389"/>
      <c r="RRL155" s="389"/>
      <c r="RRM155" s="389"/>
      <c r="RRN155" s="389"/>
      <c r="RRO155" s="389"/>
      <c r="RRP155" s="389"/>
      <c r="RRQ155" s="389"/>
      <c r="RRR155" s="389"/>
      <c r="RRS155" s="389"/>
      <c r="RRT155" s="389"/>
      <c r="RRU155" s="389"/>
      <c r="RRV155" s="389"/>
      <c r="RRW155" s="389"/>
      <c r="RRX155" s="389"/>
      <c r="RRY155" s="389"/>
      <c r="RRZ155" s="389"/>
      <c r="RSA155" s="389"/>
      <c r="RSB155" s="389"/>
      <c r="RSC155" s="389"/>
      <c r="RSD155" s="389"/>
      <c r="RSE155" s="389"/>
      <c r="RSF155" s="389"/>
      <c r="RSG155" s="389"/>
      <c r="RSH155" s="389"/>
      <c r="RSI155" s="389"/>
      <c r="RSJ155" s="389"/>
      <c r="RSK155" s="389"/>
      <c r="RSL155" s="389"/>
      <c r="RSM155" s="389"/>
      <c r="RSN155" s="389"/>
      <c r="RSO155" s="389"/>
      <c r="RSP155" s="389"/>
      <c r="RSQ155" s="389"/>
      <c r="RSR155" s="389"/>
      <c r="RSS155" s="389"/>
      <c r="RST155" s="389"/>
      <c r="RSU155" s="389"/>
      <c r="RSV155" s="389"/>
      <c r="RSW155" s="389"/>
      <c r="RSX155" s="389"/>
      <c r="RSY155" s="389"/>
      <c r="RSZ155" s="389"/>
      <c r="RTA155" s="389"/>
      <c r="RTB155" s="389"/>
      <c r="RTC155" s="389"/>
      <c r="RTD155" s="389"/>
      <c r="RTE155" s="389"/>
      <c r="RTF155" s="389"/>
      <c r="RTG155" s="389"/>
      <c r="RTH155" s="389"/>
      <c r="RTI155" s="389"/>
      <c r="RTJ155" s="389"/>
      <c r="RTK155" s="389"/>
      <c r="RTL155" s="389"/>
      <c r="RTM155" s="389"/>
      <c r="RTN155" s="389"/>
      <c r="RTO155" s="389"/>
      <c r="RTP155" s="389"/>
      <c r="RTQ155" s="389"/>
      <c r="RTR155" s="389"/>
      <c r="RTS155" s="389"/>
      <c r="RTT155" s="389"/>
      <c r="RTU155" s="389"/>
      <c r="RTV155" s="389"/>
      <c r="RTW155" s="389"/>
      <c r="RTX155" s="389"/>
      <c r="RTY155" s="389"/>
      <c r="RTZ155" s="389"/>
      <c r="RUA155" s="389"/>
      <c r="RUB155" s="389"/>
      <c r="RUC155" s="389"/>
      <c r="RUD155" s="389"/>
      <c r="RUE155" s="389"/>
      <c r="RUF155" s="389"/>
      <c r="RUG155" s="389"/>
      <c r="RUH155" s="389"/>
      <c r="RUI155" s="389"/>
      <c r="RUJ155" s="389"/>
      <c r="RUK155" s="389"/>
      <c r="RUL155" s="389"/>
      <c r="RUM155" s="389"/>
      <c r="RUN155" s="389"/>
      <c r="RUO155" s="389"/>
      <c r="RUP155" s="389"/>
      <c r="RUQ155" s="389"/>
      <c r="RUR155" s="389"/>
      <c r="RUS155" s="389"/>
      <c r="RUT155" s="389"/>
      <c r="RUU155" s="389"/>
      <c r="RUV155" s="389"/>
      <c r="RUW155" s="389"/>
      <c r="RUX155" s="389"/>
      <c r="RUY155" s="389"/>
      <c r="RUZ155" s="389"/>
      <c r="RVA155" s="389"/>
      <c r="RVB155" s="389"/>
      <c r="RVC155" s="389"/>
      <c r="RVD155" s="389"/>
      <c r="RVE155" s="389"/>
      <c r="RVF155" s="389"/>
      <c r="RVG155" s="389"/>
      <c r="RVH155" s="389"/>
      <c r="RVI155" s="389"/>
      <c r="RVJ155" s="389"/>
      <c r="RVK155" s="389"/>
      <c r="RVL155" s="389"/>
      <c r="RVM155" s="389"/>
      <c r="RVN155" s="389"/>
      <c r="RVO155" s="389"/>
      <c r="RVP155" s="389"/>
      <c r="RVQ155" s="389"/>
      <c r="RVR155" s="389"/>
      <c r="RVS155" s="389"/>
      <c r="RVT155" s="389"/>
      <c r="RVU155" s="389"/>
      <c r="RVV155" s="389"/>
      <c r="RVW155" s="389"/>
      <c r="RVX155" s="389"/>
      <c r="RVY155" s="389"/>
      <c r="RVZ155" s="389"/>
      <c r="RWA155" s="389"/>
      <c r="RWB155" s="389"/>
      <c r="RWC155" s="389"/>
      <c r="RWD155" s="389"/>
      <c r="RWE155" s="389"/>
      <c r="RWF155" s="389"/>
      <c r="RWG155" s="389"/>
      <c r="RWH155" s="389"/>
      <c r="RWI155" s="389"/>
      <c r="RWJ155" s="389"/>
      <c r="RWK155" s="389"/>
      <c r="RWL155" s="389"/>
      <c r="RWM155" s="389"/>
      <c r="RWN155" s="389"/>
      <c r="RWO155" s="389"/>
      <c r="RWP155" s="389"/>
      <c r="RWQ155" s="389"/>
      <c r="RWR155" s="389"/>
      <c r="RWS155" s="389"/>
      <c r="RWT155" s="389"/>
      <c r="RWU155" s="389"/>
      <c r="RWV155" s="389"/>
      <c r="RWW155" s="389"/>
      <c r="RWX155" s="389"/>
      <c r="RWY155" s="389"/>
      <c r="RWZ155" s="389"/>
      <c r="RXA155" s="389"/>
      <c r="RXB155" s="389"/>
      <c r="RXC155" s="389"/>
      <c r="RXD155" s="389"/>
      <c r="RXE155" s="389"/>
      <c r="RXF155" s="389"/>
      <c r="RXG155" s="389"/>
      <c r="RXH155" s="389"/>
      <c r="RXI155" s="389"/>
      <c r="RXJ155" s="389"/>
      <c r="RXK155" s="389"/>
      <c r="RXL155" s="389"/>
      <c r="RXM155" s="389"/>
      <c r="RXN155" s="389"/>
      <c r="RXO155" s="389"/>
      <c r="RXP155" s="389"/>
      <c r="RXQ155" s="389"/>
      <c r="RXR155" s="389"/>
      <c r="RXS155" s="389"/>
      <c r="RXT155" s="389"/>
      <c r="RXU155" s="389"/>
      <c r="RXV155" s="389"/>
      <c r="RXW155" s="389"/>
      <c r="RXX155" s="389"/>
      <c r="RXY155" s="389"/>
      <c r="RXZ155" s="389"/>
      <c r="RYA155" s="389"/>
      <c r="RYB155" s="389"/>
      <c r="RYC155" s="389"/>
      <c r="RYD155" s="389"/>
      <c r="RYE155" s="389"/>
      <c r="RYF155" s="389"/>
      <c r="RYG155" s="389"/>
      <c r="RYH155" s="389"/>
      <c r="RYI155" s="389"/>
      <c r="RYJ155" s="389"/>
      <c r="RYK155" s="389"/>
      <c r="RYL155" s="389"/>
      <c r="RYM155" s="389"/>
      <c r="RYN155" s="389"/>
      <c r="RYO155" s="389"/>
      <c r="RYP155" s="389"/>
      <c r="RYQ155" s="389"/>
      <c r="RYR155" s="389"/>
      <c r="RYS155" s="389"/>
      <c r="RYT155" s="389"/>
      <c r="RYU155" s="389"/>
      <c r="RYV155" s="389"/>
      <c r="RYW155" s="389"/>
      <c r="RYX155" s="389"/>
      <c r="RYY155" s="389"/>
      <c r="RYZ155" s="389"/>
      <c r="RZA155" s="389"/>
      <c r="RZB155" s="389"/>
      <c r="RZC155" s="389"/>
      <c r="RZD155" s="389"/>
      <c r="RZE155" s="389"/>
      <c r="RZF155" s="389"/>
      <c r="RZG155" s="389"/>
      <c r="RZH155" s="389"/>
      <c r="RZI155" s="389"/>
      <c r="RZJ155" s="389"/>
      <c r="RZK155" s="389"/>
      <c r="RZL155" s="389"/>
      <c r="RZM155" s="389"/>
      <c r="RZN155" s="389"/>
      <c r="RZO155" s="389"/>
      <c r="RZP155" s="389"/>
      <c r="RZQ155" s="389"/>
      <c r="RZR155" s="389"/>
      <c r="RZS155" s="389"/>
      <c r="RZT155" s="389"/>
      <c r="RZU155" s="389"/>
      <c r="RZV155" s="389"/>
      <c r="RZW155" s="389"/>
      <c r="RZX155" s="389"/>
      <c r="RZY155" s="389"/>
      <c r="RZZ155" s="389"/>
      <c r="SAA155" s="389"/>
      <c r="SAB155" s="389"/>
      <c r="SAC155" s="389"/>
      <c r="SAD155" s="389"/>
      <c r="SAE155" s="389"/>
      <c r="SAF155" s="389"/>
      <c r="SAG155" s="389"/>
      <c r="SAH155" s="389"/>
      <c r="SAI155" s="389"/>
      <c r="SAJ155" s="389"/>
      <c r="SAK155" s="389"/>
      <c r="SAL155" s="389"/>
      <c r="SAM155" s="389"/>
      <c r="SAN155" s="389"/>
      <c r="SAO155" s="389"/>
      <c r="SAP155" s="389"/>
      <c r="SAQ155" s="389"/>
      <c r="SAR155" s="389"/>
      <c r="SAS155" s="389"/>
      <c r="SAT155" s="389"/>
      <c r="SAU155" s="389"/>
      <c r="SAV155" s="389"/>
      <c r="SAW155" s="389"/>
      <c r="SAX155" s="389"/>
      <c r="SAY155" s="389"/>
      <c r="SAZ155" s="389"/>
      <c r="SBA155" s="389"/>
      <c r="SBB155" s="389"/>
      <c r="SBC155" s="389"/>
      <c r="SBD155" s="389"/>
      <c r="SBE155" s="389"/>
      <c r="SBF155" s="389"/>
      <c r="SBG155" s="389"/>
      <c r="SBH155" s="389"/>
      <c r="SBI155" s="389"/>
      <c r="SBJ155" s="389"/>
      <c r="SBK155" s="389"/>
      <c r="SBL155" s="389"/>
      <c r="SBM155" s="389"/>
      <c r="SBN155" s="389"/>
      <c r="SBO155" s="389"/>
      <c r="SBP155" s="389"/>
      <c r="SBQ155" s="389"/>
      <c r="SBR155" s="389"/>
      <c r="SBS155" s="389"/>
      <c r="SBT155" s="389"/>
      <c r="SBU155" s="389"/>
      <c r="SBV155" s="389"/>
      <c r="SBW155" s="389"/>
      <c r="SBX155" s="389"/>
      <c r="SBY155" s="389"/>
      <c r="SBZ155" s="389"/>
      <c r="SCA155" s="389"/>
      <c r="SCB155" s="389"/>
      <c r="SCC155" s="389"/>
      <c r="SCD155" s="389"/>
      <c r="SCE155" s="389"/>
      <c r="SCF155" s="389"/>
      <c r="SCG155" s="389"/>
      <c r="SCH155" s="389"/>
      <c r="SCI155" s="389"/>
      <c r="SCJ155" s="389"/>
      <c r="SCK155" s="389"/>
      <c r="SCL155" s="389"/>
      <c r="SCM155" s="389"/>
      <c r="SCN155" s="389"/>
      <c r="SCO155" s="389"/>
      <c r="SCP155" s="389"/>
      <c r="SCQ155" s="389"/>
      <c r="SCR155" s="389"/>
      <c r="SCS155" s="389"/>
      <c r="SCT155" s="389"/>
      <c r="SCU155" s="389"/>
      <c r="SCV155" s="389"/>
      <c r="SCW155" s="389"/>
      <c r="SCX155" s="389"/>
      <c r="SCY155" s="389"/>
      <c r="SCZ155" s="389"/>
      <c r="SDA155" s="389"/>
      <c r="SDB155" s="389"/>
      <c r="SDC155" s="389"/>
      <c r="SDD155" s="389"/>
      <c r="SDE155" s="389"/>
      <c r="SDF155" s="389"/>
      <c r="SDG155" s="389"/>
      <c r="SDH155" s="389"/>
      <c r="SDI155" s="389"/>
      <c r="SDJ155" s="389"/>
      <c r="SDK155" s="389"/>
      <c r="SDL155" s="389"/>
      <c r="SDM155" s="389"/>
      <c r="SDN155" s="389"/>
      <c r="SDO155" s="389"/>
      <c r="SDP155" s="389"/>
      <c r="SDQ155" s="389"/>
      <c r="SDR155" s="389"/>
      <c r="SDS155" s="389"/>
      <c r="SDT155" s="389"/>
      <c r="SDU155" s="389"/>
      <c r="SDV155" s="389"/>
      <c r="SDW155" s="389"/>
      <c r="SDX155" s="389"/>
      <c r="SDY155" s="389"/>
      <c r="SDZ155" s="389"/>
      <c r="SEA155" s="389"/>
      <c r="SEB155" s="389"/>
      <c r="SEC155" s="389"/>
      <c r="SED155" s="389"/>
      <c r="SEE155" s="389"/>
      <c r="SEF155" s="389"/>
      <c r="SEG155" s="389"/>
      <c r="SEH155" s="389"/>
      <c r="SEI155" s="389"/>
      <c r="SEJ155" s="389"/>
      <c r="SEK155" s="389"/>
      <c r="SEL155" s="389"/>
      <c r="SEM155" s="389"/>
      <c r="SEN155" s="389"/>
      <c r="SEO155" s="389"/>
      <c r="SEP155" s="389"/>
      <c r="SEQ155" s="389"/>
      <c r="SER155" s="389"/>
      <c r="SES155" s="389"/>
      <c r="SET155" s="389"/>
      <c r="SEU155" s="389"/>
      <c r="SEV155" s="389"/>
      <c r="SEW155" s="389"/>
      <c r="SEX155" s="389"/>
      <c r="SEY155" s="389"/>
      <c r="SEZ155" s="389"/>
      <c r="SFA155" s="389"/>
      <c r="SFB155" s="389"/>
      <c r="SFC155" s="389"/>
      <c r="SFD155" s="389"/>
      <c r="SFE155" s="389"/>
      <c r="SFF155" s="389"/>
      <c r="SFG155" s="389"/>
      <c r="SFH155" s="389"/>
      <c r="SFI155" s="389"/>
      <c r="SFJ155" s="389"/>
      <c r="SFK155" s="389"/>
      <c r="SFL155" s="389"/>
      <c r="SFM155" s="389"/>
      <c r="SFN155" s="389"/>
      <c r="SFO155" s="389"/>
      <c r="SFP155" s="389"/>
      <c r="SFQ155" s="389"/>
      <c r="SFR155" s="389"/>
      <c r="SFS155" s="389"/>
      <c r="SFT155" s="389"/>
      <c r="SFU155" s="389"/>
      <c r="SFV155" s="389"/>
      <c r="SFW155" s="389"/>
      <c r="SFX155" s="389"/>
      <c r="SFY155" s="389"/>
      <c r="SFZ155" s="389"/>
      <c r="SGA155" s="389"/>
      <c r="SGB155" s="389"/>
      <c r="SGC155" s="389"/>
      <c r="SGD155" s="389"/>
      <c r="SGE155" s="389"/>
      <c r="SGF155" s="389"/>
      <c r="SGG155" s="389"/>
      <c r="SGH155" s="389"/>
      <c r="SGI155" s="389"/>
      <c r="SGJ155" s="389"/>
      <c r="SGK155" s="389"/>
      <c r="SGL155" s="389"/>
      <c r="SGM155" s="389"/>
      <c r="SGN155" s="389"/>
      <c r="SGO155" s="389"/>
      <c r="SGP155" s="389"/>
      <c r="SGQ155" s="389"/>
      <c r="SGR155" s="389"/>
      <c r="SGS155" s="389"/>
      <c r="SGT155" s="389"/>
      <c r="SGU155" s="389"/>
      <c r="SGV155" s="389"/>
      <c r="SGW155" s="389"/>
      <c r="SGX155" s="389"/>
      <c r="SGY155" s="389"/>
      <c r="SGZ155" s="389"/>
      <c r="SHA155" s="389"/>
      <c r="SHB155" s="389"/>
      <c r="SHC155" s="389"/>
      <c r="SHD155" s="389"/>
      <c r="SHE155" s="389"/>
      <c r="SHF155" s="389"/>
      <c r="SHG155" s="389"/>
      <c r="SHH155" s="389"/>
      <c r="SHI155" s="389"/>
      <c r="SHJ155" s="389"/>
      <c r="SHK155" s="389"/>
      <c r="SHL155" s="389"/>
      <c r="SHM155" s="389"/>
      <c r="SHN155" s="389"/>
      <c r="SHO155" s="389"/>
      <c r="SHP155" s="389"/>
      <c r="SHQ155" s="389"/>
      <c r="SHR155" s="389"/>
      <c r="SHS155" s="389"/>
      <c r="SHT155" s="389"/>
      <c r="SHU155" s="389"/>
      <c r="SHV155" s="389"/>
      <c r="SHW155" s="389"/>
      <c r="SHX155" s="389"/>
      <c r="SHY155" s="389"/>
      <c r="SHZ155" s="389"/>
      <c r="SIA155" s="389"/>
      <c r="SIB155" s="389"/>
      <c r="SIC155" s="389"/>
      <c r="SID155" s="389"/>
      <c r="SIE155" s="389"/>
      <c r="SIF155" s="389"/>
      <c r="SIG155" s="389"/>
      <c r="SIH155" s="389"/>
      <c r="SII155" s="389"/>
      <c r="SIJ155" s="389"/>
      <c r="SIK155" s="389"/>
      <c r="SIL155" s="389"/>
      <c r="SIM155" s="389"/>
      <c r="SIN155" s="389"/>
      <c r="SIO155" s="389"/>
      <c r="SIP155" s="389"/>
      <c r="SIQ155" s="389"/>
      <c r="SIR155" s="389"/>
      <c r="SIS155" s="389"/>
      <c r="SIT155" s="389"/>
      <c r="SIU155" s="389"/>
      <c r="SIV155" s="389"/>
      <c r="SIW155" s="389"/>
      <c r="SIX155" s="389"/>
      <c r="SIY155" s="389"/>
      <c r="SIZ155" s="389"/>
      <c r="SJA155" s="389"/>
      <c r="SJB155" s="389"/>
      <c r="SJC155" s="389"/>
      <c r="SJD155" s="389"/>
      <c r="SJE155" s="389"/>
      <c r="SJF155" s="389"/>
      <c r="SJG155" s="389"/>
      <c r="SJH155" s="389"/>
      <c r="SJI155" s="389"/>
      <c r="SJJ155" s="389"/>
      <c r="SJK155" s="389"/>
      <c r="SJL155" s="389"/>
      <c r="SJM155" s="389"/>
      <c r="SJN155" s="389"/>
      <c r="SJO155" s="389"/>
      <c r="SJP155" s="389"/>
      <c r="SJQ155" s="389"/>
      <c r="SJR155" s="389"/>
      <c r="SJS155" s="389"/>
      <c r="SJT155" s="389"/>
      <c r="SJU155" s="389"/>
      <c r="SJV155" s="389"/>
      <c r="SJW155" s="389"/>
      <c r="SJX155" s="389"/>
      <c r="SJY155" s="389"/>
      <c r="SJZ155" s="389"/>
      <c r="SKA155" s="389"/>
      <c r="SKB155" s="389"/>
      <c r="SKC155" s="389"/>
      <c r="SKD155" s="389"/>
      <c r="SKE155" s="389"/>
      <c r="SKF155" s="389"/>
      <c r="SKG155" s="389"/>
      <c r="SKH155" s="389"/>
      <c r="SKI155" s="389"/>
      <c r="SKJ155" s="389"/>
      <c r="SKK155" s="389"/>
      <c r="SKL155" s="389"/>
      <c r="SKM155" s="389"/>
      <c r="SKN155" s="389"/>
      <c r="SKO155" s="389"/>
      <c r="SKP155" s="389"/>
      <c r="SKQ155" s="389"/>
      <c r="SKR155" s="389"/>
      <c r="SKS155" s="389"/>
      <c r="SKT155" s="389"/>
      <c r="SKU155" s="389"/>
      <c r="SKV155" s="389"/>
      <c r="SKW155" s="389"/>
      <c r="SKX155" s="389"/>
      <c r="SKY155" s="389"/>
      <c r="SKZ155" s="389"/>
      <c r="SLA155" s="389"/>
      <c r="SLB155" s="389"/>
      <c r="SLC155" s="389"/>
      <c r="SLD155" s="389"/>
      <c r="SLE155" s="389"/>
      <c r="SLF155" s="389"/>
      <c r="SLG155" s="389"/>
      <c r="SLH155" s="389"/>
      <c r="SLI155" s="389"/>
      <c r="SLJ155" s="389"/>
      <c r="SLK155" s="389"/>
      <c r="SLL155" s="389"/>
      <c r="SLM155" s="389"/>
      <c r="SLN155" s="389"/>
      <c r="SLO155" s="389"/>
      <c r="SLP155" s="389"/>
      <c r="SLQ155" s="389"/>
      <c r="SLR155" s="389"/>
      <c r="SLS155" s="389"/>
      <c r="SLT155" s="389"/>
      <c r="SLU155" s="389"/>
      <c r="SLV155" s="389"/>
      <c r="SLW155" s="389"/>
      <c r="SLX155" s="389"/>
      <c r="SLY155" s="389"/>
      <c r="SLZ155" s="389"/>
      <c r="SMA155" s="389"/>
      <c r="SMB155" s="389"/>
      <c r="SMC155" s="389"/>
      <c r="SMD155" s="389"/>
      <c r="SME155" s="389"/>
      <c r="SMF155" s="389"/>
      <c r="SMG155" s="389"/>
      <c r="SMH155" s="389"/>
      <c r="SMI155" s="389"/>
      <c r="SMJ155" s="389"/>
      <c r="SMK155" s="389"/>
      <c r="SML155" s="389"/>
      <c r="SMM155" s="389"/>
      <c r="SMN155" s="389"/>
      <c r="SMO155" s="389"/>
      <c r="SMP155" s="389"/>
      <c r="SMQ155" s="389"/>
      <c r="SMR155" s="389"/>
      <c r="SMS155" s="389"/>
      <c r="SMT155" s="389"/>
      <c r="SMU155" s="389"/>
      <c r="SMV155" s="389"/>
      <c r="SMW155" s="389"/>
      <c r="SMX155" s="389"/>
      <c r="SMY155" s="389"/>
      <c r="SMZ155" s="389"/>
      <c r="SNA155" s="389"/>
      <c r="SNB155" s="389"/>
      <c r="SNC155" s="389"/>
      <c r="SND155" s="389"/>
      <c r="SNE155" s="389"/>
      <c r="SNF155" s="389"/>
      <c r="SNG155" s="389"/>
      <c r="SNH155" s="389"/>
      <c r="SNI155" s="389"/>
      <c r="SNJ155" s="389"/>
      <c r="SNK155" s="389"/>
      <c r="SNL155" s="389"/>
      <c r="SNM155" s="389"/>
      <c r="SNN155" s="389"/>
      <c r="SNO155" s="389"/>
      <c r="SNP155" s="389"/>
      <c r="SNQ155" s="389"/>
      <c r="SNR155" s="389"/>
      <c r="SNS155" s="389"/>
      <c r="SNT155" s="389"/>
      <c r="SNU155" s="389"/>
      <c r="SNV155" s="389"/>
      <c r="SNW155" s="389"/>
      <c r="SNX155" s="389"/>
      <c r="SNY155" s="389"/>
      <c r="SNZ155" s="389"/>
      <c r="SOA155" s="389"/>
      <c r="SOB155" s="389"/>
      <c r="SOC155" s="389"/>
      <c r="SOD155" s="389"/>
      <c r="SOE155" s="389"/>
      <c r="SOF155" s="389"/>
      <c r="SOG155" s="389"/>
      <c r="SOH155" s="389"/>
      <c r="SOI155" s="389"/>
      <c r="SOJ155" s="389"/>
      <c r="SOK155" s="389"/>
      <c r="SOL155" s="389"/>
      <c r="SOM155" s="389"/>
      <c r="SON155" s="389"/>
      <c r="SOO155" s="389"/>
      <c r="SOP155" s="389"/>
      <c r="SOQ155" s="389"/>
      <c r="SOR155" s="389"/>
      <c r="SOS155" s="389"/>
      <c r="SOT155" s="389"/>
      <c r="SOU155" s="389"/>
      <c r="SOV155" s="389"/>
      <c r="SOW155" s="389"/>
      <c r="SOX155" s="389"/>
      <c r="SOY155" s="389"/>
      <c r="SOZ155" s="389"/>
      <c r="SPA155" s="389"/>
      <c r="SPB155" s="389"/>
      <c r="SPC155" s="389"/>
      <c r="SPD155" s="389"/>
      <c r="SPE155" s="389"/>
      <c r="SPF155" s="389"/>
      <c r="SPG155" s="389"/>
      <c r="SPH155" s="389"/>
      <c r="SPI155" s="389"/>
      <c r="SPJ155" s="389"/>
      <c r="SPK155" s="389"/>
      <c r="SPL155" s="389"/>
      <c r="SPM155" s="389"/>
      <c r="SPN155" s="389"/>
      <c r="SPO155" s="389"/>
      <c r="SPP155" s="389"/>
      <c r="SPQ155" s="389"/>
      <c r="SPR155" s="389"/>
      <c r="SPS155" s="389"/>
      <c r="SPT155" s="389"/>
      <c r="SPU155" s="389"/>
      <c r="SPV155" s="389"/>
      <c r="SPW155" s="389"/>
      <c r="SPX155" s="389"/>
      <c r="SPY155" s="389"/>
      <c r="SPZ155" s="389"/>
      <c r="SQA155" s="389"/>
      <c r="SQB155" s="389"/>
      <c r="SQC155" s="389"/>
      <c r="SQD155" s="389"/>
      <c r="SQE155" s="389"/>
      <c r="SQF155" s="389"/>
      <c r="SQG155" s="389"/>
      <c r="SQH155" s="389"/>
      <c r="SQI155" s="389"/>
      <c r="SQJ155" s="389"/>
      <c r="SQK155" s="389"/>
      <c r="SQL155" s="389"/>
      <c r="SQM155" s="389"/>
      <c r="SQN155" s="389"/>
      <c r="SQO155" s="389"/>
      <c r="SQP155" s="389"/>
      <c r="SQQ155" s="389"/>
      <c r="SQR155" s="389"/>
      <c r="SQS155" s="389"/>
      <c r="SQT155" s="389"/>
      <c r="SQU155" s="389"/>
      <c r="SQV155" s="389"/>
      <c r="SQW155" s="389"/>
      <c r="SQX155" s="389"/>
      <c r="SQY155" s="389"/>
      <c r="SQZ155" s="389"/>
      <c r="SRA155" s="389"/>
      <c r="SRB155" s="389"/>
      <c r="SRC155" s="389"/>
      <c r="SRD155" s="389"/>
      <c r="SRE155" s="389"/>
      <c r="SRF155" s="389"/>
      <c r="SRG155" s="389"/>
      <c r="SRH155" s="389"/>
      <c r="SRI155" s="389"/>
      <c r="SRJ155" s="389"/>
      <c r="SRK155" s="389"/>
      <c r="SRL155" s="389"/>
      <c r="SRM155" s="389"/>
      <c r="SRN155" s="389"/>
      <c r="SRO155" s="389"/>
      <c r="SRP155" s="389"/>
      <c r="SRQ155" s="389"/>
      <c r="SRR155" s="389"/>
      <c r="SRS155" s="389"/>
      <c r="SRT155" s="389"/>
      <c r="SRU155" s="389"/>
      <c r="SRV155" s="389"/>
      <c r="SRW155" s="389"/>
      <c r="SRX155" s="389"/>
      <c r="SRY155" s="389"/>
      <c r="SRZ155" s="389"/>
      <c r="SSA155" s="389"/>
      <c r="SSB155" s="389"/>
      <c r="SSC155" s="389"/>
      <c r="SSD155" s="389"/>
      <c r="SSE155" s="389"/>
      <c r="SSF155" s="389"/>
      <c r="SSG155" s="389"/>
      <c r="SSH155" s="389"/>
      <c r="SSI155" s="389"/>
      <c r="SSJ155" s="389"/>
      <c r="SSK155" s="389"/>
      <c r="SSL155" s="389"/>
      <c r="SSM155" s="389"/>
      <c r="SSN155" s="389"/>
      <c r="SSO155" s="389"/>
      <c r="SSP155" s="389"/>
      <c r="SSQ155" s="389"/>
      <c r="SSR155" s="389"/>
      <c r="SSS155" s="389"/>
      <c r="SST155" s="389"/>
      <c r="SSU155" s="389"/>
      <c r="SSV155" s="389"/>
      <c r="SSW155" s="389"/>
      <c r="SSX155" s="389"/>
      <c r="SSY155" s="389"/>
      <c r="SSZ155" s="389"/>
      <c r="STA155" s="389"/>
      <c r="STB155" s="389"/>
      <c r="STC155" s="389"/>
      <c r="STD155" s="389"/>
      <c r="STE155" s="389"/>
      <c r="STF155" s="389"/>
      <c r="STG155" s="389"/>
      <c r="STH155" s="389"/>
      <c r="STI155" s="389"/>
      <c r="STJ155" s="389"/>
      <c r="STK155" s="389"/>
      <c r="STL155" s="389"/>
      <c r="STM155" s="389"/>
      <c r="STN155" s="389"/>
      <c r="STO155" s="389"/>
      <c r="STP155" s="389"/>
      <c r="STQ155" s="389"/>
      <c r="STR155" s="389"/>
      <c r="STS155" s="389"/>
      <c r="STT155" s="389"/>
      <c r="STU155" s="389"/>
      <c r="STV155" s="389"/>
      <c r="STW155" s="389"/>
      <c r="STX155" s="389"/>
      <c r="STY155" s="389"/>
      <c r="STZ155" s="389"/>
      <c r="SUA155" s="389"/>
      <c r="SUB155" s="389"/>
      <c r="SUC155" s="389"/>
      <c r="SUD155" s="389"/>
      <c r="SUE155" s="389"/>
      <c r="SUF155" s="389"/>
      <c r="SUG155" s="389"/>
      <c r="SUH155" s="389"/>
      <c r="SUI155" s="389"/>
      <c r="SUJ155" s="389"/>
      <c r="SUK155" s="389"/>
      <c r="SUL155" s="389"/>
      <c r="SUM155" s="389"/>
      <c r="SUN155" s="389"/>
      <c r="SUO155" s="389"/>
      <c r="SUP155" s="389"/>
      <c r="SUQ155" s="389"/>
      <c r="SUR155" s="389"/>
      <c r="SUS155" s="389"/>
      <c r="SUT155" s="389"/>
      <c r="SUU155" s="389"/>
      <c r="SUV155" s="389"/>
      <c r="SUW155" s="389"/>
      <c r="SUX155" s="389"/>
      <c r="SUY155" s="389"/>
      <c r="SUZ155" s="389"/>
      <c r="SVA155" s="389"/>
      <c r="SVB155" s="389"/>
      <c r="SVC155" s="389"/>
      <c r="SVD155" s="389"/>
      <c r="SVE155" s="389"/>
      <c r="SVF155" s="389"/>
      <c r="SVG155" s="389"/>
      <c r="SVH155" s="389"/>
      <c r="SVI155" s="389"/>
      <c r="SVJ155" s="389"/>
      <c r="SVK155" s="389"/>
      <c r="SVL155" s="389"/>
      <c r="SVM155" s="389"/>
      <c r="SVN155" s="389"/>
      <c r="SVO155" s="389"/>
      <c r="SVP155" s="389"/>
      <c r="SVQ155" s="389"/>
      <c r="SVR155" s="389"/>
      <c r="SVS155" s="389"/>
      <c r="SVT155" s="389"/>
      <c r="SVU155" s="389"/>
      <c r="SVV155" s="389"/>
      <c r="SVW155" s="389"/>
      <c r="SVX155" s="389"/>
      <c r="SVY155" s="389"/>
      <c r="SVZ155" s="389"/>
      <c r="SWA155" s="389"/>
      <c r="SWB155" s="389"/>
      <c r="SWC155" s="389"/>
      <c r="SWD155" s="389"/>
      <c r="SWE155" s="389"/>
      <c r="SWF155" s="389"/>
      <c r="SWG155" s="389"/>
      <c r="SWH155" s="389"/>
      <c r="SWI155" s="389"/>
      <c r="SWJ155" s="389"/>
      <c r="SWK155" s="389"/>
      <c r="SWL155" s="389"/>
      <c r="SWM155" s="389"/>
      <c r="SWN155" s="389"/>
      <c r="SWO155" s="389"/>
      <c r="SWP155" s="389"/>
      <c r="SWQ155" s="389"/>
      <c r="SWR155" s="389"/>
      <c r="SWS155" s="389"/>
      <c r="SWT155" s="389"/>
      <c r="SWU155" s="389"/>
      <c r="SWV155" s="389"/>
      <c r="SWW155" s="389"/>
      <c r="SWX155" s="389"/>
      <c r="SWY155" s="389"/>
      <c r="SWZ155" s="389"/>
      <c r="SXA155" s="389"/>
      <c r="SXB155" s="389"/>
      <c r="SXC155" s="389"/>
      <c r="SXD155" s="389"/>
      <c r="SXE155" s="389"/>
      <c r="SXF155" s="389"/>
      <c r="SXG155" s="389"/>
      <c r="SXH155" s="389"/>
      <c r="SXI155" s="389"/>
      <c r="SXJ155" s="389"/>
      <c r="SXK155" s="389"/>
      <c r="SXL155" s="389"/>
      <c r="SXM155" s="389"/>
      <c r="SXN155" s="389"/>
      <c r="SXO155" s="389"/>
      <c r="SXP155" s="389"/>
      <c r="SXQ155" s="389"/>
      <c r="SXR155" s="389"/>
      <c r="SXS155" s="389"/>
      <c r="SXT155" s="389"/>
      <c r="SXU155" s="389"/>
      <c r="SXV155" s="389"/>
      <c r="SXW155" s="389"/>
      <c r="SXX155" s="389"/>
      <c r="SXY155" s="389"/>
      <c r="SXZ155" s="389"/>
      <c r="SYA155" s="389"/>
      <c r="SYB155" s="389"/>
      <c r="SYC155" s="389"/>
      <c r="SYD155" s="389"/>
      <c r="SYE155" s="389"/>
      <c r="SYF155" s="389"/>
      <c r="SYG155" s="389"/>
      <c r="SYH155" s="389"/>
      <c r="SYI155" s="389"/>
      <c r="SYJ155" s="389"/>
      <c r="SYK155" s="389"/>
      <c r="SYL155" s="389"/>
      <c r="SYM155" s="389"/>
      <c r="SYN155" s="389"/>
      <c r="SYO155" s="389"/>
      <c r="SYP155" s="389"/>
      <c r="SYQ155" s="389"/>
      <c r="SYR155" s="389"/>
      <c r="SYS155" s="389"/>
      <c r="SYT155" s="389"/>
      <c r="SYU155" s="389"/>
      <c r="SYV155" s="389"/>
      <c r="SYW155" s="389"/>
      <c r="SYX155" s="389"/>
      <c r="SYY155" s="389"/>
      <c r="SYZ155" s="389"/>
      <c r="SZA155" s="389"/>
      <c r="SZB155" s="389"/>
      <c r="SZC155" s="389"/>
      <c r="SZD155" s="389"/>
      <c r="SZE155" s="389"/>
      <c r="SZF155" s="389"/>
      <c r="SZG155" s="389"/>
      <c r="SZH155" s="389"/>
      <c r="SZI155" s="389"/>
      <c r="SZJ155" s="389"/>
      <c r="SZK155" s="389"/>
      <c r="SZL155" s="389"/>
      <c r="SZM155" s="389"/>
      <c r="SZN155" s="389"/>
      <c r="SZO155" s="389"/>
      <c r="SZP155" s="389"/>
      <c r="SZQ155" s="389"/>
      <c r="SZR155" s="389"/>
      <c r="SZS155" s="389"/>
      <c r="SZT155" s="389"/>
      <c r="SZU155" s="389"/>
      <c r="SZV155" s="389"/>
      <c r="SZW155" s="389"/>
      <c r="SZX155" s="389"/>
      <c r="SZY155" s="389"/>
      <c r="SZZ155" s="389"/>
      <c r="TAA155" s="389"/>
      <c r="TAB155" s="389"/>
      <c r="TAC155" s="389"/>
      <c r="TAD155" s="389"/>
      <c r="TAE155" s="389"/>
      <c r="TAF155" s="389"/>
      <c r="TAG155" s="389"/>
      <c r="TAH155" s="389"/>
      <c r="TAI155" s="389"/>
      <c r="TAJ155" s="389"/>
      <c r="TAK155" s="389"/>
      <c r="TAL155" s="389"/>
      <c r="TAM155" s="389"/>
      <c r="TAN155" s="389"/>
      <c r="TAO155" s="389"/>
      <c r="TAP155" s="389"/>
      <c r="TAQ155" s="389"/>
      <c r="TAR155" s="389"/>
      <c r="TAS155" s="389"/>
      <c r="TAT155" s="389"/>
      <c r="TAU155" s="389"/>
      <c r="TAV155" s="389"/>
      <c r="TAW155" s="389"/>
      <c r="TAX155" s="389"/>
      <c r="TAY155" s="389"/>
      <c r="TAZ155" s="389"/>
      <c r="TBA155" s="389"/>
      <c r="TBB155" s="389"/>
      <c r="TBC155" s="389"/>
      <c r="TBD155" s="389"/>
      <c r="TBE155" s="389"/>
      <c r="TBF155" s="389"/>
      <c r="TBG155" s="389"/>
      <c r="TBH155" s="389"/>
      <c r="TBI155" s="389"/>
      <c r="TBJ155" s="389"/>
      <c r="TBK155" s="389"/>
      <c r="TBL155" s="389"/>
      <c r="TBM155" s="389"/>
      <c r="TBN155" s="389"/>
      <c r="TBO155" s="389"/>
      <c r="TBP155" s="389"/>
      <c r="TBQ155" s="389"/>
      <c r="TBR155" s="389"/>
      <c r="TBS155" s="389"/>
      <c r="TBT155" s="389"/>
      <c r="TBU155" s="389"/>
      <c r="TBV155" s="389"/>
      <c r="TBW155" s="389"/>
      <c r="TBX155" s="389"/>
      <c r="TBY155" s="389"/>
      <c r="TBZ155" s="389"/>
      <c r="TCA155" s="389"/>
      <c r="TCB155" s="389"/>
      <c r="TCC155" s="389"/>
      <c r="TCD155" s="389"/>
      <c r="TCE155" s="389"/>
      <c r="TCF155" s="389"/>
      <c r="TCG155" s="389"/>
      <c r="TCH155" s="389"/>
      <c r="TCI155" s="389"/>
      <c r="TCJ155" s="389"/>
      <c r="TCK155" s="389"/>
      <c r="TCL155" s="389"/>
      <c r="TCM155" s="389"/>
      <c r="TCN155" s="389"/>
      <c r="TCO155" s="389"/>
      <c r="TCP155" s="389"/>
      <c r="TCQ155" s="389"/>
      <c r="TCR155" s="389"/>
      <c r="TCS155" s="389"/>
      <c r="TCT155" s="389"/>
      <c r="TCU155" s="389"/>
      <c r="TCV155" s="389"/>
      <c r="TCW155" s="389"/>
      <c r="TCX155" s="389"/>
      <c r="TCY155" s="389"/>
      <c r="TCZ155" s="389"/>
      <c r="TDA155" s="389"/>
      <c r="TDB155" s="389"/>
      <c r="TDC155" s="389"/>
      <c r="TDD155" s="389"/>
      <c r="TDE155" s="389"/>
      <c r="TDF155" s="389"/>
      <c r="TDG155" s="389"/>
      <c r="TDH155" s="389"/>
      <c r="TDI155" s="389"/>
      <c r="TDJ155" s="389"/>
      <c r="TDK155" s="389"/>
      <c r="TDL155" s="389"/>
      <c r="TDM155" s="389"/>
      <c r="TDN155" s="389"/>
      <c r="TDO155" s="389"/>
      <c r="TDP155" s="389"/>
      <c r="TDQ155" s="389"/>
      <c r="TDR155" s="389"/>
      <c r="TDS155" s="389"/>
      <c r="TDT155" s="389"/>
      <c r="TDU155" s="389"/>
      <c r="TDV155" s="389"/>
      <c r="TDW155" s="389"/>
      <c r="TDX155" s="389"/>
      <c r="TDY155" s="389"/>
      <c r="TDZ155" s="389"/>
      <c r="TEA155" s="389"/>
      <c r="TEB155" s="389"/>
      <c r="TEC155" s="389"/>
      <c r="TED155" s="389"/>
      <c r="TEE155" s="389"/>
      <c r="TEF155" s="389"/>
      <c r="TEG155" s="389"/>
      <c r="TEH155" s="389"/>
      <c r="TEI155" s="389"/>
      <c r="TEJ155" s="389"/>
      <c r="TEK155" s="389"/>
      <c r="TEL155" s="389"/>
      <c r="TEM155" s="389"/>
      <c r="TEN155" s="389"/>
      <c r="TEO155" s="389"/>
      <c r="TEP155" s="389"/>
      <c r="TEQ155" s="389"/>
      <c r="TER155" s="389"/>
      <c r="TES155" s="389"/>
      <c r="TET155" s="389"/>
      <c r="TEU155" s="389"/>
      <c r="TEV155" s="389"/>
      <c r="TEW155" s="389"/>
      <c r="TEX155" s="389"/>
      <c r="TEY155" s="389"/>
      <c r="TEZ155" s="389"/>
      <c r="TFA155" s="389"/>
      <c r="TFB155" s="389"/>
      <c r="TFC155" s="389"/>
      <c r="TFD155" s="389"/>
      <c r="TFE155" s="389"/>
      <c r="TFF155" s="389"/>
      <c r="TFG155" s="389"/>
      <c r="TFH155" s="389"/>
      <c r="TFI155" s="389"/>
      <c r="TFJ155" s="389"/>
      <c r="TFK155" s="389"/>
      <c r="TFL155" s="389"/>
      <c r="TFM155" s="389"/>
      <c r="TFN155" s="389"/>
      <c r="TFO155" s="389"/>
      <c r="TFP155" s="389"/>
      <c r="TFQ155" s="389"/>
      <c r="TFR155" s="389"/>
      <c r="TFS155" s="389"/>
      <c r="TFT155" s="389"/>
      <c r="TFU155" s="389"/>
      <c r="TFV155" s="389"/>
      <c r="TFW155" s="389"/>
      <c r="TFX155" s="389"/>
      <c r="TFY155" s="389"/>
      <c r="TFZ155" s="389"/>
      <c r="TGA155" s="389"/>
      <c r="TGB155" s="389"/>
      <c r="TGC155" s="389"/>
      <c r="TGD155" s="389"/>
      <c r="TGE155" s="389"/>
      <c r="TGF155" s="389"/>
      <c r="TGG155" s="389"/>
      <c r="TGH155" s="389"/>
      <c r="TGI155" s="389"/>
      <c r="TGJ155" s="389"/>
      <c r="TGK155" s="389"/>
      <c r="TGL155" s="389"/>
      <c r="TGM155" s="389"/>
      <c r="TGN155" s="389"/>
      <c r="TGO155" s="389"/>
      <c r="TGP155" s="389"/>
      <c r="TGQ155" s="389"/>
      <c r="TGR155" s="389"/>
      <c r="TGS155" s="389"/>
      <c r="TGT155" s="389"/>
      <c r="TGU155" s="389"/>
      <c r="TGV155" s="389"/>
      <c r="TGW155" s="389"/>
      <c r="TGX155" s="389"/>
      <c r="TGY155" s="389"/>
      <c r="TGZ155" s="389"/>
      <c r="THA155" s="389"/>
      <c r="THB155" s="389"/>
      <c r="THC155" s="389"/>
      <c r="THD155" s="389"/>
      <c r="THE155" s="389"/>
      <c r="THF155" s="389"/>
      <c r="THG155" s="389"/>
      <c r="THH155" s="389"/>
      <c r="THI155" s="389"/>
      <c r="THJ155" s="389"/>
      <c r="THK155" s="389"/>
      <c r="THL155" s="389"/>
      <c r="THM155" s="389"/>
      <c r="THN155" s="389"/>
      <c r="THO155" s="389"/>
      <c r="THP155" s="389"/>
      <c r="THQ155" s="389"/>
      <c r="THR155" s="389"/>
      <c r="THS155" s="389"/>
      <c r="THT155" s="389"/>
      <c r="THU155" s="389"/>
      <c r="THV155" s="389"/>
      <c r="THW155" s="389"/>
      <c r="THX155" s="389"/>
      <c r="THY155" s="389"/>
      <c r="THZ155" s="389"/>
      <c r="TIA155" s="389"/>
      <c r="TIB155" s="389"/>
      <c r="TIC155" s="389"/>
      <c r="TID155" s="389"/>
      <c r="TIE155" s="389"/>
      <c r="TIF155" s="389"/>
      <c r="TIG155" s="389"/>
      <c r="TIH155" s="389"/>
      <c r="TII155" s="389"/>
      <c r="TIJ155" s="389"/>
      <c r="TIK155" s="389"/>
      <c r="TIL155" s="389"/>
      <c r="TIM155" s="389"/>
      <c r="TIN155" s="389"/>
      <c r="TIO155" s="389"/>
      <c r="TIP155" s="389"/>
      <c r="TIQ155" s="389"/>
      <c r="TIR155" s="389"/>
      <c r="TIS155" s="389"/>
      <c r="TIT155" s="389"/>
      <c r="TIU155" s="389"/>
      <c r="TIV155" s="389"/>
      <c r="TIW155" s="389"/>
      <c r="TIX155" s="389"/>
      <c r="TIY155" s="389"/>
      <c r="TIZ155" s="389"/>
      <c r="TJA155" s="389"/>
      <c r="TJB155" s="389"/>
      <c r="TJC155" s="389"/>
      <c r="TJD155" s="389"/>
      <c r="TJE155" s="389"/>
      <c r="TJF155" s="389"/>
      <c r="TJG155" s="389"/>
      <c r="TJH155" s="389"/>
      <c r="TJI155" s="389"/>
      <c r="TJJ155" s="389"/>
      <c r="TJK155" s="389"/>
      <c r="TJL155" s="389"/>
      <c r="TJM155" s="389"/>
      <c r="TJN155" s="389"/>
      <c r="TJO155" s="389"/>
      <c r="TJP155" s="389"/>
      <c r="TJQ155" s="389"/>
      <c r="TJR155" s="389"/>
      <c r="TJS155" s="389"/>
      <c r="TJT155" s="389"/>
      <c r="TJU155" s="389"/>
      <c r="TJV155" s="389"/>
      <c r="TJW155" s="389"/>
      <c r="TJX155" s="389"/>
      <c r="TJY155" s="389"/>
      <c r="TJZ155" s="389"/>
      <c r="TKA155" s="389"/>
      <c r="TKB155" s="389"/>
      <c r="TKC155" s="389"/>
      <c r="TKD155" s="389"/>
      <c r="TKE155" s="389"/>
      <c r="TKF155" s="389"/>
      <c r="TKG155" s="389"/>
      <c r="TKH155" s="389"/>
      <c r="TKI155" s="389"/>
      <c r="TKJ155" s="389"/>
      <c r="TKK155" s="389"/>
      <c r="TKL155" s="389"/>
      <c r="TKM155" s="389"/>
      <c r="TKN155" s="389"/>
      <c r="TKO155" s="389"/>
      <c r="TKP155" s="389"/>
      <c r="TKQ155" s="389"/>
      <c r="TKR155" s="389"/>
      <c r="TKS155" s="389"/>
      <c r="TKT155" s="389"/>
      <c r="TKU155" s="389"/>
      <c r="TKV155" s="389"/>
      <c r="TKW155" s="389"/>
      <c r="TKX155" s="389"/>
      <c r="TKY155" s="389"/>
      <c r="TKZ155" s="389"/>
      <c r="TLA155" s="389"/>
      <c r="TLB155" s="389"/>
      <c r="TLC155" s="389"/>
      <c r="TLD155" s="389"/>
      <c r="TLE155" s="389"/>
      <c r="TLF155" s="389"/>
      <c r="TLG155" s="389"/>
      <c r="TLH155" s="389"/>
      <c r="TLI155" s="389"/>
      <c r="TLJ155" s="389"/>
      <c r="TLK155" s="389"/>
      <c r="TLL155" s="389"/>
      <c r="TLM155" s="389"/>
      <c r="TLN155" s="389"/>
      <c r="TLO155" s="389"/>
      <c r="TLP155" s="389"/>
      <c r="TLQ155" s="389"/>
      <c r="TLR155" s="389"/>
      <c r="TLS155" s="389"/>
      <c r="TLT155" s="389"/>
      <c r="TLU155" s="389"/>
      <c r="TLV155" s="389"/>
      <c r="TLW155" s="389"/>
      <c r="TLX155" s="389"/>
      <c r="TLY155" s="389"/>
      <c r="TLZ155" s="389"/>
      <c r="TMA155" s="389"/>
      <c r="TMB155" s="389"/>
      <c r="TMC155" s="389"/>
      <c r="TMD155" s="389"/>
      <c r="TME155" s="389"/>
      <c r="TMF155" s="389"/>
      <c r="TMG155" s="389"/>
      <c r="TMH155" s="389"/>
      <c r="TMI155" s="389"/>
      <c r="TMJ155" s="389"/>
      <c r="TMK155" s="389"/>
      <c r="TML155" s="389"/>
      <c r="TMM155" s="389"/>
      <c r="TMN155" s="389"/>
      <c r="TMO155" s="389"/>
      <c r="TMP155" s="389"/>
      <c r="TMQ155" s="389"/>
      <c r="TMR155" s="389"/>
      <c r="TMS155" s="389"/>
      <c r="TMT155" s="389"/>
      <c r="TMU155" s="389"/>
      <c r="TMV155" s="389"/>
      <c r="TMW155" s="389"/>
      <c r="TMX155" s="389"/>
      <c r="TMY155" s="389"/>
      <c r="TMZ155" s="389"/>
      <c r="TNA155" s="389"/>
      <c r="TNB155" s="389"/>
      <c r="TNC155" s="389"/>
      <c r="TND155" s="389"/>
      <c r="TNE155" s="389"/>
      <c r="TNF155" s="389"/>
      <c r="TNG155" s="389"/>
      <c r="TNH155" s="389"/>
      <c r="TNI155" s="389"/>
      <c r="TNJ155" s="389"/>
      <c r="TNK155" s="389"/>
      <c r="TNL155" s="389"/>
      <c r="TNM155" s="389"/>
      <c r="TNN155" s="389"/>
      <c r="TNO155" s="389"/>
      <c r="TNP155" s="389"/>
      <c r="TNQ155" s="389"/>
      <c r="TNR155" s="389"/>
      <c r="TNS155" s="389"/>
      <c r="TNT155" s="389"/>
      <c r="TNU155" s="389"/>
      <c r="TNV155" s="389"/>
      <c r="TNW155" s="389"/>
      <c r="TNX155" s="389"/>
      <c r="TNY155" s="389"/>
      <c r="TNZ155" s="389"/>
      <c r="TOA155" s="389"/>
      <c r="TOB155" s="389"/>
      <c r="TOC155" s="389"/>
      <c r="TOD155" s="389"/>
      <c r="TOE155" s="389"/>
      <c r="TOF155" s="389"/>
      <c r="TOG155" s="389"/>
      <c r="TOH155" s="389"/>
      <c r="TOI155" s="389"/>
      <c r="TOJ155" s="389"/>
      <c r="TOK155" s="389"/>
      <c r="TOL155" s="389"/>
      <c r="TOM155" s="389"/>
      <c r="TON155" s="389"/>
      <c r="TOO155" s="389"/>
      <c r="TOP155" s="389"/>
      <c r="TOQ155" s="389"/>
      <c r="TOR155" s="389"/>
      <c r="TOS155" s="389"/>
      <c r="TOT155" s="389"/>
      <c r="TOU155" s="389"/>
      <c r="TOV155" s="389"/>
      <c r="TOW155" s="389"/>
      <c r="TOX155" s="389"/>
      <c r="TOY155" s="389"/>
      <c r="TOZ155" s="389"/>
      <c r="TPA155" s="389"/>
      <c r="TPB155" s="389"/>
      <c r="TPC155" s="389"/>
      <c r="TPD155" s="389"/>
      <c r="TPE155" s="389"/>
      <c r="TPF155" s="389"/>
      <c r="TPG155" s="389"/>
      <c r="TPH155" s="389"/>
      <c r="TPI155" s="389"/>
      <c r="TPJ155" s="389"/>
      <c r="TPK155" s="389"/>
      <c r="TPL155" s="389"/>
      <c r="TPM155" s="389"/>
      <c r="TPN155" s="389"/>
      <c r="TPO155" s="389"/>
      <c r="TPP155" s="389"/>
      <c r="TPQ155" s="389"/>
      <c r="TPR155" s="389"/>
      <c r="TPS155" s="389"/>
      <c r="TPT155" s="389"/>
      <c r="TPU155" s="389"/>
      <c r="TPV155" s="389"/>
      <c r="TPW155" s="389"/>
      <c r="TPX155" s="389"/>
      <c r="TPY155" s="389"/>
      <c r="TPZ155" s="389"/>
      <c r="TQA155" s="389"/>
      <c r="TQB155" s="389"/>
      <c r="TQC155" s="389"/>
      <c r="TQD155" s="389"/>
      <c r="TQE155" s="389"/>
      <c r="TQF155" s="389"/>
      <c r="TQG155" s="389"/>
      <c r="TQH155" s="389"/>
      <c r="TQI155" s="389"/>
      <c r="TQJ155" s="389"/>
      <c r="TQK155" s="389"/>
      <c r="TQL155" s="389"/>
      <c r="TQM155" s="389"/>
      <c r="TQN155" s="389"/>
      <c r="TQO155" s="389"/>
      <c r="TQP155" s="389"/>
      <c r="TQQ155" s="389"/>
      <c r="TQR155" s="389"/>
      <c r="TQS155" s="389"/>
      <c r="TQT155" s="389"/>
      <c r="TQU155" s="389"/>
      <c r="TQV155" s="389"/>
      <c r="TQW155" s="389"/>
      <c r="TQX155" s="389"/>
      <c r="TQY155" s="389"/>
      <c r="TQZ155" s="389"/>
      <c r="TRA155" s="389"/>
      <c r="TRB155" s="389"/>
      <c r="TRC155" s="389"/>
      <c r="TRD155" s="389"/>
      <c r="TRE155" s="389"/>
      <c r="TRF155" s="389"/>
      <c r="TRG155" s="389"/>
      <c r="TRH155" s="389"/>
      <c r="TRI155" s="389"/>
      <c r="TRJ155" s="389"/>
      <c r="TRK155" s="389"/>
      <c r="TRL155" s="389"/>
      <c r="TRM155" s="389"/>
      <c r="TRN155" s="389"/>
      <c r="TRO155" s="389"/>
      <c r="TRP155" s="389"/>
      <c r="TRQ155" s="389"/>
      <c r="TRR155" s="389"/>
      <c r="TRS155" s="389"/>
      <c r="TRT155" s="389"/>
      <c r="TRU155" s="389"/>
      <c r="TRV155" s="389"/>
      <c r="TRW155" s="389"/>
      <c r="TRX155" s="389"/>
      <c r="TRY155" s="389"/>
      <c r="TRZ155" s="389"/>
      <c r="TSA155" s="389"/>
      <c r="TSB155" s="389"/>
      <c r="TSC155" s="389"/>
      <c r="TSD155" s="389"/>
      <c r="TSE155" s="389"/>
      <c r="TSF155" s="389"/>
      <c r="TSG155" s="389"/>
      <c r="TSH155" s="389"/>
      <c r="TSI155" s="389"/>
      <c r="TSJ155" s="389"/>
      <c r="TSK155" s="389"/>
      <c r="TSL155" s="389"/>
      <c r="TSM155" s="389"/>
      <c r="TSN155" s="389"/>
      <c r="TSO155" s="389"/>
      <c r="TSP155" s="389"/>
      <c r="TSQ155" s="389"/>
      <c r="TSR155" s="389"/>
      <c r="TSS155" s="389"/>
      <c r="TST155" s="389"/>
      <c r="TSU155" s="389"/>
      <c r="TSV155" s="389"/>
      <c r="TSW155" s="389"/>
      <c r="TSX155" s="389"/>
      <c r="TSY155" s="389"/>
      <c r="TSZ155" s="389"/>
      <c r="TTA155" s="389"/>
      <c r="TTB155" s="389"/>
      <c r="TTC155" s="389"/>
      <c r="TTD155" s="389"/>
      <c r="TTE155" s="389"/>
      <c r="TTF155" s="389"/>
      <c r="TTG155" s="389"/>
      <c r="TTH155" s="389"/>
      <c r="TTI155" s="389"/>
      <c r="TTJ155" s="389"/>
      <c r="TTK155" s="389"/>
      <c r="TTL155" s="389"/>
      <c r="TTM155" s="389"/>
      <c r="TTN155" s="389"/>
      <c r="TTO155" s="389"/>
      <c r="TTP155" s="389"/>
      <c r="TTQ155" s="389"/>
      <c r="TTR155" s="389"/>
      <c r="TTS155" s="389"/>
      <c r="TTT155" s="389"/>
      <c r="TTU155" s="389"/>
      <c r="TTV155" s="389"/>
      <c r="TTW155" s="389"/>
      <c r="TTX155" s="389"/>
      <c r="TTY155" s="389"/>
      <c r="TTZ155" s="389"/>
      <c r="TUA155" s="389"/>
      <c r="TUB155" s="389"/>
      <c r="TUC155" s="389"/>
      <c r="TUD155" s="389"/>
      <c r="TUE155" s="389"/>
      <c r="TUF155" s="389"/>
      <c r="TUG155" s="389"/>
      <c r="TUH155" s="389"/>
      <c r="TUI155" s="389"/>
      <c r="TUJ155" s="389"/>
      <c r="TUK155" s="389"/>
      <c r="TUL155" s="389"/>
      <c r="TUM155" s="389"/>
      <c r="TUN155" s="389"/>
      <c r="TUO155" s="389"/>
      <c r="TUP155" s="389"/>
      <c r="TUQ155" s="389"/>
      <c r="TUR155" s="389"/>
      <c r="TUS155" s="389"/>
      <c r="TUT155" s="389"/>
      <c r="TUU155" s="389"/>
      <c r="TUV155" s="389"/>
      <c r="TUW155" s="389"/>
      <c r="TUX155" s="389"/>
      <c r="TUY155" s="389"/>
      <c r="TUZ155" s="389"/>
      <c r="TVA155" s="389"/>
      <c r="TVB155" s="389"/>
      <c r="TVC155" s="389"/>
      <c r="TVD155" s="389"/>
      <c r="TVE155" s="389"/>
      <c r="TVF155" s="389"/>
      <c r="TVG155" s="389"/>
      <c r="TVH155" s="389"/>
      <c r="TVI155" s="389"/>
      <c r="TVJ155" s="389"/>
      <c r="TVK155" s="389"/>
      <c r="TVL155" s="389"/>
      <c r="TVM155" s="389"/>
      <c r="TVN155" s="389"/>
      <c r="TVO155" s="389"/>
      <c r="TVP155" s="389"/>
      <c r="TVQ155" s="389"/>
      <c r="TVR155" s="389"/>
      <c r="TVS155" s="389"/>
      <c r="TVT155" s="389"/>
      <c r="TVU155" s="389"/>
      <c r="TVV155" s="389"/>
      <c r="TVW155" s="389"/>
      <c r="TVX155" s="389"/>
      <c r="TVY155" s="389"/>
      <c r="TVZ155" s="389"/>
      <c r="TWA155" s="389"/>
      <c r="TWB155" s="389"/>
      <c r="TWC155" s="389"/>
      <c r="TWD155" s="389"/>
      <c r="TWE155" s="389"/>
      <c r="TWF155" s="389"/>
      <c r="TWG155" s="389"/>
      <c r="TWH155" s="389"/>
      <c r="TWI155" s="389"/>
      <c r="TWJ155" s="389"/>
      <c r="TWK155" s="389"/>
      <c r="TWL155" s="389"/>
      <c r="TWM155" s="389"/>
      <c r="TWN155" s="389"/>
      <c r="TWO155" s="389"/>
      <c r="TWP155" s="389"/>
      <c r="TWQ155" s="389"/>
      <c r="TWR155" s="389"/>
      <c r="TWS155" s="389"/>
      <c r="TWT155" s="389"/>
      <c r="TWU155" s="389"/>
      <c r="TWV155" s="389"/>
      <c r="TWW155" s="389"/>
      <c r="TWX155" s="389"/>
      <c r="TWY155" s="389"/>
      <c r="TWZ155" s="389"/>
      <c r="TXA155" s="389"/>
      <c r="TXB155" s="389"/>
      <c r="TXC155" s="389"/>
      <c r="TXD155" s="389"/>
      <c r="TXE155" s="389"/>
      <c r="TXF155" s="389"/>
      <c r="TXG155" s="389"/>
      <c r="TXH155" s="389"/>
      <c r="TXI155" s="389"/>
      <c r="TXJ155" s="389"/>
      <c r="TXK155" s="389"/>
      <c r="TXL155" s="389"/>
      <c r="TXM155" s="389"/>
      <c r="TXN155" s="389"/>
      <c r="TXO155" s="389"/>
      <c r="TXP155" s="389"/>
      <c r="TXQ155" s="389"/>
      <c r="TXR155" s="389"/>
      <c r="TXS155" s="389"/>
      <c r="TXT155" s="389"/>
      <c r="TXU155" s="389"/>
      <c r="TXV155" s="389"/>
      <c r="TXW155" s="389"/>
      <c r="TXX155" s="389"/>
      <c r="TXY155" s="389"/>
      <c r="TXZ155" s="389"/>
      <c r="TYA155" s="389"/>
      <c r="TYB155" s="389"/>
      <c r="TYC155" s="389"/>
      <c r="TYD155" s="389"/>
      <c r="TYE155" s="389"/>
      <c r="TYF155" s="389"/>
      <c r="TYG155" s="389"/>
      <c r="TYH155" s="389"/>
      <c r="TYI155" s="389"/>
      <c r="TYJ155" s="389"/>
      <c r="TYK155" s="389"/>
      <c r="TYL155" s="389"/>
      <c r="TYM155" s="389"/>
      <c r="TYN155" s="389"/>
      <c r="TYO155" s="389"/>
      <c r="TYP155" s="389"/>
      <c r="TYQ155" s="389"/>
      <c r="TYR155" s="389"/>
      <c r="TYS155" s="389"/>
      <c r="TYT155" s="389"/>
      <c r="TYU155" s="389"/>
      <c r="TYV155" s="389"/>
      <c r="TYW155" s="389"/>
      <c r="TYX155" s="389"/>
      <c r="TYY155" s="389"/>
      <c r="TYZ155" s="389"/>
      <c r="TZA155" s="389"/>
      <c r="TZB155" s="389"/>
      <c r="TZC155" s="389"/>
      <c r="TZD155" s="389"/>
      <c r="TZE155" s="389"/>
      <c r="TZF155" s="389"/>
      <c r="TZG155" s="389"/>
      <c r="TZH155" s="389"/>
      <c r="TZI155" s="389"/>
      <c r="TZJ155" s="389"/>
      <c r="TZK155" s="389"/>
      <c r="TZL155" s="389"/>
      <c r="TZM155" s="389"/>
      <c r="TZN155" s="389"/>
      <c r="TZO155" s="389"/>
      <c r="TZP155" s="389"/>
      <c r="TZQ155" s="389"/>
      <c r="TZR155" s="389"/>
      <c r="TZS155" s="389"/>
      <c r="TZT155" s="389"/>
      <c r="TZU155" s="389"/>
      <c r="TZV155" s="389"/>
      <c r="TZW155" s="389"/>
      <c r="TZX155" s="389"/>
      <c r="TZY155" s="389"/>
      <c r="TZZ155" s="389"/>
      <c r="UAA155" s="389"/>
      <c r="UAB155" s="389"/>
      <c r="UAC155" s="389"/>
      <c r="UAD155" s="389"/>
      <c r="UAE155" s="389"/>
      <c r="UAF155" s="389"/>
      <c r="UAG155" s="389"/>
      <c r="UAH155" s="389"/>
      <c r="UAI155" s="389"/>
      <c r="UAJ155" s="389"/>
      <c r="UAK155" s="389"/>
      <c r="UAL155" s="389"/>
      <c r="UAM155" s="389"/>
      <c r="UAN155" s="389"/>
      <c r="UAO155" s="389"/>
      <c r="UAP155" s="389"/>
      <c r="UAQ155" s="389"/>
      <c r="UAR155" s="389"/>
      <c r="UAS155" s="389"/>
      <c r="UAT155" s="389"/>
      <c r="UAU155" s="389"/>
      <c r="UAV155" s="389"/>
      <c r="UAW155" s="389"/>
      <c r="UAX155" s="389"/>
      <c r="UAY155" s="389"/>
      <c r="UAZ155" s="389"/>
      <c r="UBA155" s="389"/>
      <c r="UBB155" s="389"/>
      <c r="UBC155" s="389"/>
      <c r="UBD155" s="389"/>
      <c r="UBE155" s="389"/>
      <c r="UBF155" s="389"/>
      <c r="UBG155" s="389"/>
      <c r="UBH155" s="389"/>
      <c r="UBI155" s="389"/>
      <c r="UBJ155" s="389"/>
      <c r="UBK155" s="389"/>
      <c r="UBL155" s="389"/>
      <c r="UBM155" s="389"/>
      <c r="UBN155" s="389"/>
      <c r="UBO155" s="389"/>
      <c r="UBP155" s="389"/>
      <c r="UBQ155" s="389"/>
      <c r="UBR155" s="389"/>
      <c r="UBS155" s="389"/>
      <c r="UBT155" s="389"/>
      <c r="UBU155" s="389"/>
      <c r="UBV155" s="389"/>
      <c r="UBW155" s="389"/>
      <c r="UBX155" s="389"/>
      <c r="UBY155" s="389"/>
      <c r="UBZ155" s="389"/>
      <c r="UCA155" s="389"/>
      <c r="UCB155" s="389"/>
      <c r="UCC155" s="389"/>
      <c r="UCD155" s="389"/>
      <c r="UCE155" s="389"/>
      <c r="UCF155" s="389"/>
      <c r="UCG155" s="389"/>
      <c r="UCH155" s="389"/>
      <c r="UCI155" s="389"/>
      <c r="UCJ155" s="389"/>
      <c r="UCK155" s="389"/>
      <c r="UCL155" s="389"/>
      <c r="UCM155" s="389"/>
      <c r="UCN155" s="389"/>
      <c r="UCO155" s="389"/>
      <c r="UCP155" s="389"/>
      <c r="UCQ155" s="389"/>
      <c r="UCR155" s="389"/>
      <c r="UCS155" s="389"/>
      <c r="UCT155" s="389"/>
      <c r="UCU155" s="389"/>
      <c r="UCV155" s="389"/>
      <c r="UCW155" s="389"/>
      <c r="UCX155" s="389"/>
      <c r="UCY155" s="389"/>
      <c r="UCZ155" s="389"/>
      <c r="UDA155" s="389"/>
      <c r="UDB155" s="389"/>
      <c r="UDC155" s="389"/>
      <c r="UDD155" s="389"/>
      <c r="UDE155" s="389"/>
      <c r="UDF155" s="389"/>
      <c r="UDG155" s="389"/>
      <c r="UDH155" s="389"/>
      <c r="UDI155" s="389"/>
      <c r="UDJ155" s="389"/>
      <c r="UDK155" s="389"/>
      <c r="UDL155" s="389"/>
      <c r="UDM155" s="389"/>
      <c r="UDN155" s="389"/>
      <c r="UDO155" s="389"/>
      <c r="UDP155" s="389"/>
      <c r="UDQ155" s="389"/>
      <c r="UDR155" s="389"/>
      <c r="UDS155" s="389"/>
      <c r="UDT155" s="389"/>
      <c r="UDU155" s="389"/>
      <c r="UDV155" s="389"/>
      <c r="UDW155" s="389"/>
      <c r="UDX155" s="389"/>
      <c r="UDY155" s="389"/>
      <c r="UDZ155" s="389"/>
      <c r="UEA155" s="389"/>
      <c r="UEB155" s="389"/>
      <c r="UEC155" s="389"/>
      <c r="UED155" s="389"/>
      <c r="UEE155" s="389"/>
      <c r="UEF155" s="389"/>
      <c r="UEG155" s="389"/>
      <c r="UEH155" s="389"/>
      <c r="UEI155" s="389"/>
      <c r="UEJ155" s="389"/>
      <c r="UEK155" s="389"/>
      <c r="UEL155" s="389"/>
      <c r="UEM155" s="389"/>
      <c r="UEN155" s="389"/>
      <c r="UEO155" s="389"/>
      <c r="UEP155" s="389"/>
      <c r="UEQ155" s="389"/>
      <c r="UER155" s="389"/>
      <c r="UES155" s="389"/>
      <c r="UET155" s="389"/>
      <c r="UEU155" s="389"/>
      <c r="UEV155" s="389"/>
      <c r="UEW155" s="389"/>
      <c r="UEX155" s="389"/>
      <c r="UEY155" s="389"/>
      <c r="UEZ155" s="389"/>
      <c r="UFA155" s="389"/>
      <c r="UFB155" s="389"/>
      <c r="UFC155" s="389"/>
      <c r="UFD155" s="389"/>
      <c r="UFE155" s="389"/>
      <c r="UFF155" s="389"/>
      <c r="UFG155" s="389"/>
      <c r="UFH155" s="389"/>
      <c r="UFI155" s="389"/>
      <c r="UFJ155" s="389"/>
      <c r="UFK155" s="389"/>
      <c r="UFL155" s="389"/>
      <c r="UFM155" s="389"/>
      <c r="UFN155" s="389"/>
      <c r="UFO155" s="389"/>
      <c r="UFP155" s="389"/>
      <c r="UFQ155" s="389"/>
      <c r="UFR155" s="389"/>
      <c r="UFS155" s="389"/>
      <c r="UFT155" s="389"/>
      <c r="UFU155" s="389"/>
      <c r="UFV155" s="389"/>
      <c r="UFW155" s="389"/>
      <c r="UFX155" s="389"/>
      <c r="UFY155" s="389"/>
      <c r="UFZ155" s="389"/>
      <c r="UGA155" s="389"/>
      <c r="UGB155" s="389"/>
      <c r="UGC155" s="389"/>
      <c r="UGD155" s="389"/>
      <c r="UGE155" s="389"/>
      <c r="UGF155" s="389"/>
      <c r="UGG155" s="389"/>
      <c r="UGH155" s="389"/>
      <c r="UGI155" s="389"/>
      <c r="UGJ155" s="389"/>
      <c r="UGK155" s="389"/>
      <c r="UGL155" s="389"/>
      <c r="UGM155" s="389"/>
      <c r="UGN155" s="389"/>
      <c r="UGO155" s="389"/>
      <c r="UGP155" s="389"/>
      <c r="UGQ155" s="389"/>
      <c r="UGR155" s="389"/>
      <c r="UGS155" s="389"/>
      <c r="UGT155" s="389"/>
      <c r="UGU155" s="389"/>
      <c r="UGV155" s="389"/>
      <c r="UGW155" s="389"/>
      <c r="UGX155" s="389"/>
      <c r="UGY155" s="389"/>
      <c r="UGZ155" s="389"/>
      <c r="UHA155" s="389"/>
      <c r="UHB155" s="389"/>
      <c r="UHC155" s="389"/>
      <c r="UHD155" s="389"/>
      <c r="UHE155" s="389"/>
      <c r="UHF155" s="389"/>
      <c r="UHG155" s="389"/>
      <c r="UHH155" s="389"/>
      <c r="UHI155" s="389"/>
      <c r="UHJ155" s="389"/>
      <c r="UHK155" s="389"/>
      <c r="UHL155" s="389"/>
      <c r="UHM155" s="389"/>
      <c r="UHN155" s="389"/>
      <c r="UHO155" s="389"/>
      <c r="UHP155" s="389"/>
      <c r="UHQ155" s="389"/>
      <c r="UHR155" s="389"/>
      <c r="UHS155" s="389"/>
      <c r="UHT155" s="389"/>
      <c r="UHU155" s="389"/>
      <c r="UHV155" s="389"/>
      <c r="UHW155" s="389"/>
      <c r="UHX155" s="389"/>
      <c r="UHY155" s="389"/>
      <c r="UHZ155" s="389"/>
      <c r="UIA155" s="389"/>
      <c r="UIB155" s="389"/>
      <c r="UIC155" s="389"/>
      <c r="UID155" s="389"/>
      <c r="UIE155" s="389"/>
      <c r="UIF155" s="389"/>
      <c r="UIG155" s="389"/>
      <c r="UIH155" s="389"/>
      <c r="UII155" s="389"/>
      <c r="UIJ155" s="389"/>
      <c r="UIK155" s="389"/>
      <c r="UIL155" s="389"/>
      <c r="UIM155" s="389"/>
      <c r="UIN155" s="389"/>
      <c r="UIO155" s="389"/>
      <c r="UIP155" s="389"/>
      <c r="UIQ155" s="389"/>
      <c r="UIR155" s="389"/>
      <c r="UIS155" s="389"/>
      <c r="UIT155" s="389"/>
      <c r="UIU155" s="389"/>
      <c r="UIV155" s="389"/>
      <c r="UIW155" s="389"/>
      <c r="UIX155" s="389"/>
      <c r="UIY155" s="389"/>
      <c r="UIZ155" s="389"/>
      <c r="UJA155" s="389"/>
      <c r="UJB155" s="389"/>
      <c r="UJC155" s="389"/>
      <c r="UJD155" s="389"/>
      <c r="UJE155" s="389"/>
      <c r="UJF155" s="389"/>
      <c r="UJG155" s="389"/>
      <c r="UJH155" s="389"/>
      <c r="UJI155" s="389"/>
      <c r="UJJ155" s="389"/>
      <c r="UJK155" s="389"/>
      <c r="UJL155" s="389"/>
      <c r="UJM155" s="389"/>
      <c r="UJN155" s="389"/>
      <c r="UJO155" s="389"/>
      <c r="UJP155" s="389"/>
      <c r="UJQ155" s="389"/>
      <c r="UJR155" s="389"/>
      <c r="UJS155" s="389"/>
      <c r="UJT155" s="389"/>
      <c r="UJU155" s="389"/>
      <c r="UJV155" s="389"/>
      <c r="UJW155" s="389"/>
      <c r="UJX155" s="389"/>
      <c r="UJY155" s="389"/>
      <c r="UJZ155" s="389"/>
      <c r="UKA155" s="389"/>
      <c r="UKB155" s="389"/>
      <c r="UKC155" s="389"/>
      <c r="UKD155" s="389"/>
      <c r="UKE155" s="389"/>
      <c r="UKF155" s="389"/>
      <c r="UKG155" s="389"/>
      <c r="UKH155" s="389"/>
      <c r="UKI155" s="389"/>
      <c r="UKJ155" s="389"/>
      <c r="UKK155" s="389"/>
      <c r="UKL155" s="389"/>
      <c r="UKM155" s="389"/>
      <c r="UKN155" s="389"/>
      <c r="UKO155" s="389"/>
      <c r="UKP155" s="389"/>
      <c r="UKQ155" s="389"/>
      <c r="UKR155" s="389"/>
      <c r="UKS155" s="389"/>
      <c r="UKT155" s="389"/>
      <c r="UKU155" s="389"/>
      <c r="UKV155" s="389"/>
      <c r="UKW155" s="389"/>
      <c r="UKX155" s="389"/>
      <c r="UKY155" s="389"/>
      <c r="UKZ155" s="389"/>
      <c r="ULA155" s="389"/>
      <c r="ULB155" s="389"/>
      <c r="ULC155" s="389"/>
      <c r="ULD155" s="389"/>
      <c r="ULE155" s="389"/>
      <c r="ULF155" s="389"/>
      <c r="ULG155" s="389"/>
      <c r="ULH155" s="389"/>
      <c r="ULI155" s="389"/>
      <c r="ULJ155" s="389"/>
      <c r="ULK155" s="389"/>
      <c r="ULL155" s="389"/>
      <c r="ULM155" s="389"/>
      <c r="ULN155" s="389"/>
      <c r="ULO155" s="389"/>
      <c r="ULP155" s="389"/>
      <c r="ULQ155" s="389"/>
      <c r="ULR155" s="389"/>
      <c r="ULS155" s="389"/>
      <c r="ULT155" s="389"/>
      <c r="ULU155" s="389"/>
      <c r="ULV155" s="389"/>
      <c r="ULW155" s="389"/>
      <c r="ULX155" s="389"/>
      <c r="ULY155" s="389"/>
      <c r="ULZ155" s="389"/>
      <c r="UMA155" s="389"/>
      <c r="UMB155" s="389"/>
      <c r="UMC155" s="389"/>
      <c r="UMD155" s="389"/>
      <c r="UME155" s="389"/>
      <c r="UMF155" s="389"/>
      <c r="UMG155" s="389"/>
      <c r="UMH155" s="389"/>
      <c r="UMI155" s="389"/>
      <c r="UMJ155" s="389"/>
      <c r="UMK155" s="389"/>
      <c r="UML155" s="389"/>
      <c r="UMM155" s="389"/>
      <c r="UMN155" s="389"/>
      <c r="UMO155" s="389"/>
      <c r="UMP155" s="389"/>
      <c r="UMQ155" s="389"/>
      <c r="UMR155" s="389"/>
      <c r="UMS155" s="389"/>
      <c r="UMT155" s="389"/>
      <c r="UMU155" s="389"/>
      <c r="UMV155" s="389"/>
      <c r="UMW155" s="389"/>
      <c r="UMX155" s="389"/>
      <c r="UMY155" s="389"/>
      <c r="UMZ155" s="389"/>
      <c r="UNA155" s="389"/>
      <c r="UNB155" s="389"/>
      <c r="UNC155" s="389"/>
      <c r="UND155" s="389"/>
      <c r="UNE155" s="389"/>
      <c r="UNF155" s="389"/>
      <c r="UNG155" s="389"/>
      <c r="UNH155" s="389"/>
      <c r="UNI155" s="389"/>
      <c r="UNJ155" s="389"/>
      <c r="UNK155" s="389"/>
      <c r="UNL155" s="389"/>
      <c r="UNM155" s="389"/>
      <c r="UNN155" s="389"/>
      <c r="UNO155" s="389"/>
      <c r="UNP155" s="389"/>
      <c r="UNQ155" s="389"/>
      <c r="UNR155" s="389"/>
      <c r="UNS155" s="389"/>
      <c r="UNT155" s="389"/>
      <c r="UNU155" s="389"/>
      <c r="UNV155" s="389"/>
      <c r="UNW155" s="389"/>
      <c r="UNX155" s="389"/>
      <c r="UNY155" s="389"/>
      <c r="UNZ155" s="389"/>
      <c r="UOA155" s="389"/>
      <c r="UOB155" s="389"/>
      <c r="UOC155" s="389"/>
      <c r="UOD155" s="389"/>
      <c r="UOE155" s="389"/>
      <c r="UOF155" s="389"/>
      <c r="UOG155" s="389"/>
      <c r="UOH155" s="389"/>
      <c r="UOI155" s="389"/>
      <c r="UOJ155" s="389"/>
      <c r="UOK155" s="389"/>
      <c r="UOL155" s="389"/>
      <c r="UOM155" s="389"/>
      <c r="UON155" s="389"/>
      <c r="UOO155" s="389"/>
      <c r="UOP155" s="389"/>
      <c r="UOQ155" s="389"/>
      <c r="UOR155" s="389"/>
      <c r="UOS155" s="389"/>
      <c r="UOT155" s="389"/>
      <c r="UOU155" s="389"/>
      <c r="UOV155" s="389"/>
      <c r="UOW155" s="389"/>
      <c r="UOX155" s="389"/>
      <c r="UOY155" s="389"/>
      <c r="UOZ155" s="389"/>
      <c r="UPA155" s="389"/>
      <c r="UPB155" s="389"/>
      <c r="UPC155" s="389"/>
      <c r="UPD155" s="389"/>
      <c r="UPE155" s="389"/>
      <c r="UPF155" s="389"/>
      <c r="UPG155" s="389"/>
      <c r="UPH155" s="389"/>
      <c r="UPI155" s="389"/>
      <c r="UPJ155" s="389"/>
      <c r="UPK155" s="389"/>
      <c r="UPL155" s="389"/>
      <c r="UPM155" s="389"/>
      <c r="UPN155" s="389"/>
      <c r="UPO155" s="389"/>
      <c r="UPP155" s="389"/>
      <c r="UPQ155" s="389"/>
      <c r="UPR155" s="389"/>
      <c r="UPS155" s="389"/>
      <c r="UPT155" s="389"/>
      <c r="UPU155" s="389"/>
      <c r="UPV155" s="389"/>
      <c r="UPW155" s="389"/>
      <c r="UPX155" s="389"/>
      <c r="UPY155" s="389"/>
      <c r="UPZ155" s="389"/>
      <c r="UQA155" s="389"/>
      <c r="UQB155" s="389"/>
      <c r="UQC155" s="389"/>
      <c r="UQD155" s="389"/>
      <c r="UQE155" s="389"/>
      <c r="UQF155" s="389"/>
      <c r="UQG155" s="389"/>
      <c r="UQH155" s="389"/>
      <c r="UQI155" s="389"/>
      <c r="UQJ155" s="389"/>
      <c r="UQK155" s="389"/>
      <c r="UQL155" s="389"/>
      <c r="UQM155" s="389"/>
      <c r="UQN155" s="389"/>
      <c r="UQO155" s="389"/>
      <c r="UQP155" s="389"/>
      <c r="UQQ155" s="389"/>
      <c r="UQR155" s="389"/>
      <c r="UQS155" s="389"/>
      <c r="UQT155" s="389"/>
      <c r="UQU155" s="389"/>
      <c r="UQV155" s="389"/>
      <c r="UQW155" s="389"/>
      <c r="UQX155" s="389"/>
      <c r="UQY155" s="389"/>
      <c r="UQZ155" s="389"/>
      <c r="URA155" s="389"/>
      <c r="URB155" s="389"/>
      <c r="URC155" s="389"/>
      <c r="URD155" s="389"/>
      <c r="URE155" s="389"/>
      <c r="URF155" s="389"/>
      <c r="URG155" s="389"/>
      <c r="URH155" s="389"/>
      <c r="URI155" s="389"/>
      <c r="URJ155" s="389"/>
      <c r="URK155" s="389"/>
      <c r="URL155" s="389"/>
      <c r="URM155" s="389"/>
      <c r="URN155" s="389"/>
      <c r="URO155" s="389"/>
      <c r="URP155" s="389"/>
      <c r="URQ155" s="389"/>
      <c r="URR155" s="389"/>
      <c r="URS155" s="389"/>
      <c r="URT155" s="389"/>
      <c r="URU155" s="389"/>
      <c r="URV155" s="389"/>
      <c r="URW155" s="389"/>
      <c r="URX155" s="389"/>
      <c r="URY155" s="389"/>
      <c r="URZ155" s="389"/>
      <c r="USA155" s="389"/>
      <c r="USB155" s="389"/>
      <c r="USC155" s="389"/>
      <c r="USD155" s="389"/>
      <c r="USE155" s="389"/>
      <c r="USF155" s="389"/>
      <c r="USG155" s="389"/>
      <c r="USH155" s="389"/>
      <c r="USI155" s="389"/>
      <c r="USJ155" s="389"/>
      <c r="USK155" s="389"/>
      <c r="USL155" s="389"/>
      <c r="USM155" s="389"/>
      <c r="USN155" s="389"/>
      <c r="USO155" s="389"/>
      <c r="USP155" s="389"/>
      <c r="USQ155" s="389"/>
      <c r="USR155" s="389"/>
      <c r="USS155" s="389"/>
      <c r="UST155" s="389"/>
      <c r="USU155" s="389"/>
      <c r="USV155" s="389"/>
      <c r="USW155" s="389"/>
      <c r="USX155" s="389"/>
      <c r="USY155" s="389"/>
      <c r="USZ155" s="389"/>
      <c r="UTA155" s="389"/>
      <c r="UTB155" s="389"/>
      <c r="UTC155" s="389"/>
      <c r="UTD155" s="389"/>
      <c r="UTE155" s="389"/>
      <c r="UTF155" s="389"/>
      <c r="UTG155" s="389"/>
      <c r="UTH155" s="389"/>
      <c r="UTI155" s="389"/>
      <c r="UTJ155" s="389"/>
      <c r="UTK155" s="389"/>
      <c r="UTL155" s="389"/>
      <c r="UTM155" s="389"/>
      <c r="UTN155" s="389"/>
      <c r="UTO155" s="389"/>
      <c r="UTP155" s="389"/>
      <c r="UTQ155" s="389"/>
      <c r="UTR155" s="389"/>
      <c r="UTS155" s="389"/>
      <c r="UTT155" s="389"/>
      <c r="UTU155" s="389"/>
      <c r="UTV155" s="389"/>
      <c r="UTW155" s="389"/>
      <c r="UTX155" s="389"/>
      <c r="UTY155" s="389"/>
      <c r="UTZ155" s="389"/>
      <c r="UUA155" s="389"/>
      <c r="UUB155" s="389"/>
      <c r="UUC155" s="389"/>
      <c r="UUD155" s="389"/>
      <c r="UUE155" s="389"/>
      <c r="UUF155" s="389"/>
      <c r="UUG155" s="389"/>
      <c r="UUH155" s="389"/>
      <c r="UUI155" s="389"/>
      <c r="UUJ155" s="389"/>
      <c r="UUK155" s="389"/>
      <c r="UUL155" s="389"/>
      <c r="UUM155" s="389"/>
      <c r="UUN155" s="389"/>
      <c r="UUO155" s="389"/>
      <c r="UUP155" s="389"/>
      <c r="UUQ155" s="389"/>
      <c r="UUR155" s="389"/>
      <c r="UUS155" s="389"/>
      <c r="UUT155" s="389"/>
      <c r="UUU155" s="389"/>
      <c r="UUV155" s="389"/>
      <c r="UUW155" s="389"/>
      <c r="UUX155" s="389"/>
      <c r="UUY155" s="389"/>
      <c r="UUZ155" s="389"/>
      <c r="UVA155" s="389"/>
      <c r="UVB155" s="389"/>
      <c r="UVC155" s="389"/>
      <c r="UVD155" s="389"/>
      <c r="UVE155" s="389"/>
      <c r="UVF155" s="389"/>
      <c r="UVG155" s="389"/>
      <c r="UVH155" s="389"/>
      <c r="UVI155" s="389"/>
      <c r="UVJ155" s="389"/>
      <c r="UVK155" s="389"/>
      <c r="UVL155" s="389"/>
      <c r="UVM155" s="389"/>
      <c r="UVN155" s="389"/>
      <c r="UVO155" s="389"/>
      <c r="UVP155" s="389"/>
      <c r="UVQ155" s="389"/>
      <c r="UVR155" s="389"/>
      <c r="UVS155" s="389"/>
      <c r="UVT155" s="389"/>
      <c r="UVU155" s="389"/>
      <c r="UVV155" s="389"/>
      <c r="UVW155" s="389"/>
      <c r="UVX155" s="389"/>
      <c r="UVY155" s="389"/>
      <c r="UVZ155" s="389"/>
      <c r="UWA155" s="389"/>
      <c r="UWB155" s="389"/>
      <c r="UWC155" s="389"/>
      <c r="UWD155" s="389"/>
      <c r="UWE155" s="389"/>
      <c r="UWF155" s="389"/>
      <c r="UWG155" s="389"/>
      <c r="UWH155" s="389"/>
      <c r="UWI155" s="389"/>
      <c r="UWJ155" s="389"/>
      <c r="UWK155" s="389"/>
      <c r="UWL155" s="389"/>
      <c r="UWM155" s="389"/>
      <c r="UWN155" s="389"/>
      <c r="UWO155" s="389"/>
      <c r="UWP155" s="389"/>
      <c r="UWQ155" s="389"/>
      <c r="UWR155" s="389"/>
      <c r="UWS155" s="389"/>
      <c r="UWT155" s="389"/>
      <c r="UWU155" s="389"/>
      <c r="UWV155" s="389"/>
      <c r="UWW155" s="389"/>
      <c r="UWX155" s="389"/>
      <c r="UWY155" s="389"/>
      <c r="UWZ155" s="389"/>
      <c r="UXA155" s="389"/>
      <c r="UXB155" s="389"/>
      <c r="UXC155" s="389"/>
      <c r="UXD155" s="389"/>
      <c r="UXE155" s="389"/>
      <c r="UXF155" s="389"/>
      <c r="UXG155" s="389"/>
      <c r="UXH155" s="389"/>
      <c r="UXI155" s="389"/>
      <c r="UXJ155" s="389"/>
      <c r="UXK155" s="389"/>
      <c r="UXL155" s="389"/>
      <c r="UXM155" s="389"/>
      <c r="UXN155" s="389"/>
      <c r="UXO155" s="389"/>
      <c r="UXP155" s="389"/>
      <c r="UXQ155" s="389"/>
      <c r="UXR155" s="389"/>
      <c r="UXS155" s="389"/>
      <c r="UXT155" s="389"/>
      <c r="UXU155" s="389"/>
      <c r="UXV155" s="389"/>
      <c r="UXW155" s="389"/>
      <c r="UXX155" s="389"/>
      <c r="UXY155" s="389"/>
      <c r="UXZ155" s="389"/>
      <c r="UYA155" s="389"/>
      <c r="UYB155" s="389"/>
      <c r="UYC155" s="389"/>
      <c r="UYD155" s="389"/>
      <c r="UYE155" s="389"/>
      <c r="UYF155" s="389"/>
      <c r="UYG155" s="389"/>
      <c r="UYH155" s="389"/>
      <c r="UYI155" s="389"/>
      <c r="UYJ155" s="389"/>
      <c r="UYK155" s="389"/>
      <c r="UYL155" s="389"/>
      <c r="UYM155" s="389"/>
      <c r="UYN155" s="389"/>
      <c r="UYO155" s="389"/>
      <c r="UYP155" s="389"/>
      <c r="UYQ155" s="389"/>
      <c r="UYR155" s="389"/>
      <c r="UYS155" s="389"/>
      <c r="UYT155" s="389"/>
      <c r="UYU155" s="389"/>
      <c r="UYV155" s="389"/>
      <c r="UYW155" s="389"/>
      <c r="UYX155" s="389"/>
      <c r="UYY155" s="389"/>
      <c r="UYZ155" s="389"/>
      <c r="UZA155" s="389"/>
      <c r="UZB155" s="389"/>
      <c r="UZC155" s="389"/>
      <c r="UZD155" s="389"/>
      <c r="UZE155" s="389"/>
      <c r="UZF155" s="389"/>
      <c r="UZG155" s="389"/>
      <c r="UZH155" s="389"/>
      <c r="UZI155" s="389"/>
      <c r="UZJ155" s="389"/>
      <c r="UZK155" s="389"/>
      <c r="UZL155" s="389"/>
      <c r="UZM155" s="389"/>
      <c r="UZN155" s="389"/>
      <c r="UZO155" s="389"/>
      <c r="UZP155" s="389"/>
      <c r="UZQ155" s="389"/>
      <c r="UZR155" s="389"/>
      <c r="UZS155" s="389"/>
      <c r="UZT155" s="389"/>
      <c r="UZU155" s="389"/>
      <c r="UZV155" s="389"/>
      <c r="UZW155" s="389"/>
      <c r="UZX155" s="389"/>
      <c r="UZY155" s="389"/>
      <c r="UZZ155" s="389"/>
      <c r="VAA155" s="389"/>
      <c r="VAB155" s="389"/>
      <c r="VAC155" s="389"/>
      <c r="VAD155" s="389"/>
      <c r="VAE155" s="389"/>
      <c r="VAF155" s="389"/>
      <c r="VAG155" s="389"/>
      <c r="VAH155" s="389"/>
      <c r="VAI155" s="389"/>
      <c r="VAJ155" s="389"/>
      <c r="VAK155" s="389"/>
      <c r="VAL155" s="389"/>
      <c r="VAM155" s="389"/>
      <c r="VAN155" s="389"/>
      <c r="VAO155" s="389"/>
      <c r="VAP155" s="389"/>
      <c r="VAQ155" s="389"/>
      <c r="VAR155" s="389"/>
      <c r="VAS155" s="389"/>
      <c r="VAT155" s="389"/>
      <c r="VAU155" s="389"/>
      <c r="VAV155" s="389"/>
      <c r="VAW155" s="389"/>
      <c r="VAX155" s="389"/>
      <c r="VAY155" s="389"/>
      <c r="VAZ155" s="389"/>
      <c r="VBA155" s="389"/>
      <c r="VBB155" s="389"/>
      <c r="VBC155" s="389"/>
      <c r="VBD155" s="389"/>
      <c r="VBE155" s="389"/>
      <c r="VBF155" s="389"/>
      <c r="VBG155" s="389"/>
      <c r="VBH155" s="389"/>
      <c r="VBI155" s="389"/>
      <c r="VBJ155" s="389"/>
      <c r="VBK155" s="389"/>
      <c r="VBL155" s="389"/>
      <c r="VBM155" s="389"/>
      <c r="VBN155" s="389"/>
      <c r="VBO155" s="389"/>
      <c r="VBP155" s="389"/>
      <c r="VBQ155" s="389"/>
      <c r="VBR155" s="389"/>
      <c r="VBS155" s="389"/>
      <c r="VBT155" s="389"/>
      <c r="VBU155" s="389"/>
      <c r="VBV155" s="389"/>
      <c r="VBW155" s="389"/>
      <c r="VBX155" s="389"/>
      <c r="VBY155" s="389"/>
      <c r="VBZ155" s="389"/>
      <c r="VCA155" s="389"/>
      <c r="VCB155" s="389"/>
      <c r="VCC155" s="389"/>
      <c r="VCD155" s="389"/>
      <c r="VCE155" s="389"/>
      <c r="VCF155" s="389"/>
      <c r="VCG155" s="389"/>
      <c r="VCH155" s="389"/>
      <c r="VCI155" s="389"/>
      <c r="VCJ155" s="389"/>
      <c r="VCK155" s="389"/>
      <c r="VCL155" s="389"/>
      <c r="VCM155" s="389"/>
      <c r="VCN155" s="389"/>
      <c r="VCO155" s="389"/>
      <c r="VCP155" s="389"/>
      <c r="VCQ155" s="389"/>
      <c r="VCR155" s="389"/>
      <c r="VCS155" s="389"/>
      <c r="VCT155" s="389"/>
      <c r="VCU155" s="389"/>
      <c r="VCV155" s="389"/>
      <c r="VCW155" s="389"/>
      <c r="VCX155" s="389"/>
      <c r="VCY155" s="389"/>
      <c r="VCZ155" s="389"/>
      <c r="VDA155" s="389"/>
      <c r="VDB155" s="389"/>
      <c r="VDC155" s="389"/>
      <c r="VDD155" s="389"/>
      <c r="VDE155" s="389"/>
      <c r="VDF155" s="389"/>
      <c r="VDG155" s="389"/>
      <c r="VDH155" s="389"/>
      <c r="VDI155" s="389"/>
      <c r="VDJ155" s="389"/>
      <c r="VDK155" s="389"/>
      <c r="VDL155" s="389"/>
      <c r="VDM155" s="389"/>
      <c r="VDN155" s="389"/>
      <c r="VDO155" s="389"/>
      <c r="VDP155" s="389"/>
      <c r="VDQ155" s="389"/>
      <c r="VDR155" s="389"/>
      <c r="VDS155" s="389"/>
      <c r="VDT155" s="389"/>
      <c r="VDU155" s="389"/>
      <c r="VDV155" s="389"/>
      <c r="VDW155" s="389"/>
      <c r="VDX155" s="389"/>
      <c r="VDY155" s="389"/>
      <c r="VDZ155" s="389"/>
      <c r="VEA155" s="389"/>
      <c r="VEB155" s="389"/>
      <c r="VEC155" s="389"/>
      <c r="VED155" s="389"/>
      <c r="VEE155" s="389"/>
      <c r="VEF155" s="389"/>
      <c r="VEG155" s="389"/>
      <c r="VEH155" s="389"/>
      <c r="VEI155" s="389"/>
      <c r="VEJ155" s="389"/>
      <c r="VEK155" s="389"/>
      <c r="VEL155" s="389"/>
      <c r="VEM155" s="389"/>
      <c r="VEN155" s="389"/>
      <c r="VEO155" s="389"/>
      <c r="VEP155" s="389"/>
      <c r="VEQ155" s="389"/>
      <c r="VER155" s="389"/>
      <c r="VES155" s="389"/>
      <c r="VET155" s="389"/>
      <c r="VEU155" s="389"/>
      <c r="VEV155" s="389"/>
      <c r="VEW155" s="389"/>
      <c r="VEX155" s="389"/>
      <c r="VEY155" s="389"/>
      <c r="VEZ155" s="389"/>
      <c r="VFA155" s="389"/>
      <c r="VFB155" s="389"/>
      <c r="VFC155" s="389"/>
      <c r="VFD155" s="389"/>
      <c r="VFE155" s="389"/>
      <c r="VFF155" s="389"/>
      <c r="VFG155" s="389"/>
      <c r="VFH155" s="389"/>
      <c r="VFI155" s="389"/>
      <c r="VFJ155" s="389"/>
      <c r="VFK155" s="389"/>
      <c r="VFL155" s="389"/>
      <c r="VFM155" s="389"/>
      <c r="VFN155" s="389"/>
      <c r="VFO155" s="389"/>
      <c r="VFP155" s="389"/>
      <c r="VFQ155" s="389"/>
      <c r="VFR155" s="389"/>
      <c r="VFS155" s="389"/>
      <c r="VFT155" s="389"/>
      <c r="VFU155" s="389"/>
      <c r="VFV155" s="389"/>
      <c r="VFW155" s="389"/>
      <c r="VFX155" s="389"/>
      <c r="VFY155" s="389"/>
      <c r="VFZ155" s="389"/>
      <c r="VGA155" s="389"/>
      <c r="VGB155" s="389"/>
      <c r="VGC155" s="389"/>
      <c r="VGD155" s="389"/>
      <c r="VGE155" s="389"/>
      <c r="VGF155" s="389"/>
      <c r="VGG155" s="389"/>
      <c r="VGH155" s="389"/>
      <c r="VGI155" s="389"/>
      <c r="VGJ155" s="389"/>
      <c r="VGK155" s="389"/>
      <c r="VGL155" s="389"/>
      <c r="VGM155" s="389"/>
      <c r="VGN155" s="389"/>
      <c r="VGO155" s="389"/>
      <c r="VGP155" s="389"/>
      <c r="VGQ155" s="389"/>
      <c r="VGR155" s="389"/>
      <c r="VGS155" s="389"/>
      <c r="VGT155" s="389"/>
      <c r="VGU155" s="389"/>
      <c r="VGV155" s="389"/>
      <c r="VGW155" s="389"/>
      <c r="VGX155" s="389"/>
      <c r="VGY155" s="389"/>
      <c r="VGZ155" s="389"/>
      <c r="VHA155" s="389"/>
      <c r="VHB155" s="389"/>
      <c r="VHC155" s="389"/>
      <c r="VHD155" s="389"/>
      <c r="VHE155" s="389"/>
      <c r="VHF155" s="389"/>
      <c r="VHG155" s="389"/>
      <c r="VHH155" s="389"/>
      <c r="VHI155" s="389"/>
      <c r="VHJ155" s="389"/>
      <c r="VHK155" s="389"/>
      <c r="VHL155" s="389"/>
      <c r="VHM155" s="389"/>
      <c r="VHN155" s="389"/>
      <c r="VHO155" s="389"/>
      <c r="VHP155" s="389"/>
      <c r="VHQ155" s="389"/>
      <c r="VHR155" s="389"/>
      <c r="VHS155" s="389"/>
      <c r="VHT155" s="389"/>
      <c r="VHU155" s="389"/>
      <c r="VHV155" s="389"/>
      <c r="VHW155" s="389"/>
      <c r="VHX155" s="389"/>
      <c r="VHY155" s="389"/>
      <c r="VHZ155" s="389"/>
      <c r="VIA155" s="389"/>
      <c r="VIB155" s="389"/>
      <c r="VIC155" s="389"/>
      <c r="VID155" s="389"/>
      <c r="VIE155" s="389"/>
      <c r="VIF155" s="389"/>
      <c r="VIG155" s="389"/>
      <c r="VIH155" s="389"/>
      <c r="VII155" s="389"/>
      <c r="VIJ155" s="389"/>
      <c r="VIK155" s="389"/>
      <c r="VIL155" s="389"/>
      <c r="VIM155" s="389"/>
      <c r="VIN155" s="389"/>
      <c r="VIO155" s="389"/>
      <c r="VIP155" s="389"/>
      <c r="VIQ155" s="389"/>
      <c r="VIR155" s="389"/>
      <c r="VIS155" s="389"/>
      <c r="VIT155" s="389"/>
      <c r="VIU155" s="389"/>
      <c r="VIV155" s="389"/>
      <c r="VIW155" s="389"/>
      <c r="VIX155" s="389"/>
      <c r="VIY155" s="389"/>
      <c r="VIZ155" s="389"/>
      <c r="VJA155" s="389"/>
      <c r="VJB155" s="389"/>
      <c r="VJC155" s="389"/>
      <c r="VJD155" s="389"/>
      <c r="VJE155" s="389"/>
      <c r="VJF155" s="389"/>
      <c r="VJG155" s="389"/>
      <c r="VJH155" s="389"/>
      <c r="VJI155" s="389"/>
      <c r="VJJ155" s="389"/>
      <c r="VJK155" s="389"/>
      <c r="VJL155" s="389"/>
      <c r="VJM155" s="389"/>
      <c r="VJN155" s="389"/>
      <c r="VJO155" s="389"/>
      <c r="VJP155" s="389"/>
      <c r="VJQ155" s="389"/>
      <c r="VJR155" s="389"/>
      <c r="VJS155" s="389"/>
      <c r="VJT155" s="389"/>
      <c r="VJU155" s="389"/>
      <c r="VJV155" s="389"/>
      <c r="VJW155" s="389"/>
      <c r="VJX155" s="389"/>
      <c r="VJY155" s="389"/>
      <c r="VJZ155" s="389"/>
      <c r="VKA155" s="389"/>
      <c r="VKB155" s="389"/>
      <c r="VKC155" s="389"/>
      <c r="VKD155" s="389"/>
      <c r="VKE155" s="389"/>
      <c r="VKF155" s="389"/>
      <c r="VKG155" s="389"/>
      <c r="VKH155" s="389"/>
      <c r="VKI155" s="389"/>
      <c r="VKJ155" s="389"/>
      <c r="VKK155" s="389"/>
      <c r="VKL155" s="389"/>
      <c r="VKM155" s="389"/>
      <c r="VKN155" s="389"/>
      <c r="VKO155" s="389"/>
      <c r="VKP155" s="389"/>
      <c r="VKQ155" s="389"/>
      <c r="VKR155" s="389"/>
      <c r="VKS155" s="389"/>
      <c r="VKT155" s="389"/>
      <c r="VKU155" s="389"/>
      <c r="VKV155" s="389"/>
      <c r="VKW155" s="389"/>
      <c r="VKX155" s="389"/>
      <c r="VKY155" s="389"/>
      <c r="VKZ155" s="389"/>
      <c r="VLA155" s="389"/>
      <c r="VLB155" s="389"/>
      <c r="VLC155" s="389"/>
      <c r="VLD155" s="389"/>
      <c r="VLE155" s="389"/>
      <c r="VLF155" s="389"/>
      <c r="VLG155" s="389"/>
      <c r="VLH155" s="389"/>
      <c r="VLI155" s="389"/>
      <c r="VLJ155" s="389"/>
      <c r="VLK155" s="389"/>
      <c r="VLL155" s="389"/>
      <c r="VLM155" s="389"/>
      <c r="VLN155" s="389"/>
      <c r="VLO155" s="389"/>
      <c r="VLP155" s="389"/>
      <c r="VLQ155" s="389"/>
      <c r="VLR155" s="389"/>
      <c r="VLS155" s="389"/>
      <c r="VLT155" s="389"/>
      <c r="VLU155" s="389"/>
      <c r="VLV155" s="389"/>
      <c r="VLW155" s="389"/>
      <c r="VLX155" s="389"/>
      <c r="VLY155" s="389"/>
      <c r="VLZ155" s="389"/>
      <c r="VMA155" s="389"/>
      <c r="VMB155" s="389"/>
      <c r="VMC155" s="389"/>
      <c r="VMD155" s="389"/>
      <c r="VME155" s="389"/>
      <c r="VMF155" s="389"/>
      <c r="VMG155" s="389"/>
      <c r="VMH155" s="389"/>
      <c r="VMI155" s="389"/>
      <c r="VMJ155" s="389"/>
      <c r="VMK155" s="389"/>
      <c r="VML155" s="389"/>
      <c r="VMM155" s="389"/>
      <c r="VMN155" s="389"/>
      <c r="VMO155" s="389"/>
      <c r="VMP155" s="389"/>
      <c r="VMQ155" s="389"/>
      <c r="VMR155" s="389"/>
      <c r="VMS155" s="389"/>
      <c r="VMT155" s="389"/>
      <c r="VMU155" s="389"/>
      <c r="VMV155" s="389"/>
      <c r="VMW155" s="389"/>
      <c r="VMX155" s="389"/>
      <c r="VMY155" s="389"/>
      <c r="VMZ155" s="389"/>
      <c r="VNA155" s="389"/>
      <c r="VNB155" s="389"/>
      <c r="VNC155" s="389"/>
      <c r="VND155" s="389"/>
      <c r="VNE155" s="389"/>
      <c r="VNF155" s="389"/>
      <c r="VNG155" s="389"/>
      <c r="VNH155" s="389"/>
      <c r="VNI155" s="389"/>
      <c r="VNJ155" s="389"/>
      <c r="VNK155" s="389"/>
      <c r="VNL155" s="389"/>
      <c r="VNM155" s="389"/>
      <c r="VNN155" s="389"/>
      <c r="VNO155" s="389"/>
      <c r="VNP155" s="389"/>
      <c r="VNQ155" s="389"/>
      <c r="VNR155" s="389"/>
      <c r="VNS155" s="389"/>
      <c r="VNT155" s="389"/>
      <c r="VNU155" s="389"/>
      <c r="VNV155" s="389"/>
      <c r="VNW155" s="389"/>
      <c r="VNX155" s="389"/>
      <c r="VNY155" s="389"/>
      <c r="VNZ155" s="389"/>
      <c r="VOA155" s="389"/>
      <c r="VOB155" s="389"/>
      <c r="VOC155" s="389"/>
      <c r="VOD155" s="389"/>
      <c r="VOE155" s="389"/>
      <c r="VOF155" s="389"/>
      <c r="VOG155" s="389"/>
      <c r="VOH155" s="389"/>
      <c r="VOI155" s="389"/>
      <c r="VOJ155" s="389"/>
      <c r="VOK155" s="389"/>
      <c r="VOL155" s="389"/>
      <c r="VOM155" s="389"/>
      <c r="VON155" s="389"/>
      <c r="VOO155" s="389"/>
      <c r="VOP155" s="389"/>
      <c r="VOQ155" s="389"/>
      <c r="VOR155" s="389"/>
      <c r="VOS155" s="389"/>
      <c r="VOT155" s="389"/>
      <c r="VOU155" s="389"/>
      <c r="VOV155" s="389"/>
      <c r="VOW155" s="389"/>
      <c r="VOX155" s="389"/>
      <c r="VOY155" s="389"/>
      <c r="VOZ155" s="389"/>
      <c r="VPA155" s="389"/>
      <c r="VPB155" s="389"/>
      <c r="VPC155" s="389"/>
      <c r="VPD155" s="389"/>
      <c r="VPE155" s="389"/>
      <c r="VPF155" s="389"/>
      <c r="VPG155" s="389"/>
      <c r="VPH155" s="389"/>
      <c r="VPI155" s="389"/>
      <c r="VPJ155" s="389"/>
      <c r="VPK155" s="389"/>
      <c r="VPL155" s="389"/>
      <c r="VPM155" s="389"/>
      <c r="VPN155" s="389"/>
      <c r="VPO155" s="389"/>
      <c r="VPP155" s="389"/>
      <c r="VPQ155" s="389"/>
      <c r="VPR155" s="389"/>
      <c r="VPS155" s="389"/>
      <c r="VPT155" s="389"/>
      <c r="VPU155" s="389"/>
      <c r="VPV155" s="389"/>
      <c r="VPW155" s="389"/>
      <c r="VPX155" s="389"/>
      <c r="VPY155" s="389"/>
      <c r="VPZ155" s="389"/>
      <c r="VQA155" s="389"/>
      <c r="VQB155" s="389"/>
      <c r="VQC155" s="389"/>
      <c r="VQD155" s="389"/>
      <c r="VQE155" s="389"/>
      <c r="VQF155" s="389"/>
      <c r="VQG155" s="389"/>
      <c r="VQH155" s="389"/>
      <c r="VQI155" s="389"/>
      <c r="VQJ155" s="389"/>
      <c r="VQK155" s="389"/>
      <c r="VQL155" s="389"/>
      <c r="VQM155" s="389"/>
      <c r="VQN155" s="389"/>
      <c r="VQO155" s="389"/>
      <c r="VQP155" s="389"/>
      <c r="VQQ155" s="389"/>
      <c r="VQR155" s="389"/>
      <c r="VQS155" s="389"/>
      <c r="VQT155" s="389"/>
      <c r="VQU155" s="389"/>
      <c r="VQV155" s="389"/>
      <c r="VQW155" s="389"/>
      <c r="VQX155" s="389"/>
      <c r="VQY155" s="389"/>
      <c r="VQZ155" s="389"/>
      <c r="VRA155" s="389"/>
      <c r="VRB155" s="389"/>
      <c r="VRC155" s="389"/>
      <c r="VRD155" s="389"/>
      <c r="VRE155" s="389"/>
      <c r="VRF155" s="389"/>
      <c r="VRG155" s="389"/>
      <c r="VRH155" s="389"/>
      <c r="VRI155" s="389"/>
      <c r="VRJ155" s="389"/>
      <c r="VRK155" s="389"/>
      <c r="VRL155" s="389"/>
      <c r="VRM155" s="389"/>
      <c r="VRN155" s="389"/>
      <c r="VRO155" s="389"/>
      <c r="VRP155" s="389"/>
      <c r="VRQ155" s="389"/>
      <c r="VRR155" s="389"/>
      <c r="VRS155" s="389"/>
      <c r="VRT155" s="389"/>
      <c r="VRU155" s="389"/>
      <c r="VRV155" s="389"/>
      <c r="VRW155" s="389"/>
      <c r="VRX155" s="389"/>
      <c r="VRY155" s="389"/>
      <c r="VRZ155" s="389"/>
      <c r="VSA155" s="389"/>
      <c r="VSB155" s="389"/>
      <c r="VSC155" s="389"/>
      <c r="VSD155" s="389"/>
      <c r="VSE155" s="389"/>
      <c r="VSF155" s="389"/>
      <c r="VSG155" s="389"/>
      <c r="VSH155" s="389"/>
      <c r="VSI155" s="389"/>
      <c r="VSJ155" s="389"/>
      <c r="VSK155" s="389"/>
      <c r="VSL155" s="389"/>
      <c r="VSM155" s="389"/>
      <c r="VSN155" s="389"/>
      <c r="VSO155" s="389"/>
      <c r="VSP155" s="389"/>
      <c r="VSQ155" s="389"/>
      <c r="VSR155" s="389"/>
      <c r="VSS155" s="389"/>
      <c r="VST155" s="389"/>
      <c r="VSU155" s="389"/>
      <c r="VSV155" s="389"/>
      <c r="VSW155" s="389"/>
      <c r="VSX155" s="389"/>
      <c r="VSY155" s="389"/>
      <c r="VSZ155" s="389"/>
      <c r="VTA155" s="389"/>
      <c r="VTB155" s="389"/>
      <c r="VTC155" s="389"/>
      <c r="VTD155" s="389"/>
      <c r="VTE155" s="389"/>
      <c r="VTF155" s="389"/>
      <c r="VTG155" s="389"/>
      <c r="VTH155" s="389"/>
      <c r="VTI155" s="389"/>
      <c r="VTJ155" s="389"/>
      <c r="VTK155" s="389"/>
      <c r="VTL155" s="389"/>
      <c r="VTM155" s="389"/>
      <c r="VTN155" s="389"/>
      <c r="VTO155" s="389"/>
      <c r="VTP155" s="389"/>
      <c r="VTQ155" s="389"/>
      <c r="VTR155" s="389"/>
      <c r="VTS155" s="389"/>
      <c r="VTT155" s="389"/>
      <c r="VTU155" s="389"/>
      <c r="VTV155" s="389"/>
      <c r="VTW155" s="389"/>
      <c r="VTX155" s="389"/>
      <c r="VTY155" s="389"/>
      <c r="VTZ155" s="389"/>
      <c r="VUA155" s="389"/>
      <c r="VUB155" s="389"/>
      <c r="VUC155" s="389"/>
      <c r="VUD155" s="389"/>
      <c r="VUE155" s="389"/>
      <c r="VUF155" s="389"/>
      <c r="VUG155" s="389"/>
      <c r="VUH155" s="389"/>
      <c r="VUI155" s="389"/>
      <c r="VUJ155" s="389"/>
      <c r="VUK155" s="389"/>
      <c r="VUL155" s="389"/>
      <c r="VUM155" s="389"/>
      <c r="VUN155" s="389"/>
      <c r="VUO155" s="389"/>
      <c r="VUP155" s="389"/>
      <c r="VUQ155" s="389"/>
      <c r="VUR155" s="389"/>
      <c r="VUS155" s="389"/>
      <c r="VUT155" s="389"/>
      <c r="VUU155" s="389"/>
      <c r="VUV155" s="389"/>
      <c r="VUW155" s="389"/>
      <c r="VUX155" s="389"/>
      <c r="VUY155" s="389"/>
      <c r="VUZ155" s="389"/>
      <c r="VVA155" s="389"/>
      <c r="VVB155" s="389"/>
      <c r="VVC155" s="389"/>
      <c r="VVD155" s="389"/>
      <c r="VVE155" s="389"/>
      <c r="VVF155" s="389"/>
      <c r="VVG155" s="389"/>
      <c r="VVH155" s="389"/>
      <c r="VVI155" s="389"/>
      <c r="VVJ155" s="389"/>
      <c r="VVK155" s="389"/>
      <c r="VVL155" s="389"/>
      <c r="VVM155" s="389"/>
      <c r="VVN155" s="389"/>
      <c r="VVO155" s="389"/>
      <c r="VVP155" s="389"/>
      <c r="VVQ155" s="389"/>
      <c r="VVR155" s="389"/>
      <c r="VVS155" s="389"/>
      <c r="VVT155" s="389"/>
      <c r="VVU155" s="389"/>
      <c r="VVV155" s="389"/>
      <c r="VVW155" s="389"/>
      <c r="VVX155" s="389"/>
      <c r="VVY155" s="389"/>
      <c r="VVZ155" s="389"/>
      <c r="VWA155" s="389"/>
      <c r="VWB155" s="389"/>
      <c r="VWC155" s="389"/>
      <c r="VWD155" s="389"/>
      <c r="VWE155" s="389"/>
      <c r="VWF155" s="389"/>
      <c r="VWG155" s="389"/>
      <c r="VWH155" s="389"/>
      <c r="VWI155" s="389"/>
      <c r="VWJ155" s="389"/>
      <c r="VWK155" s="389"/>
      <c r="VWL155" s="389"/>
      <c r="VWM155" s="389"/>
      <c r="VWN155" s="389"/>
      <c r="VWO155" s="389"/>
      <c r="VWP155" s="389"/>
      <c r="VWQ155" s="389"/>
      <c r="VWR155" s="389"/>
      <c r="VWS155" s="389"/>
      <c r="VWT155" s="389"/>
      <c r="VWU155" s="389"/>
      <c r="VWV155" s="389"/>
      <c r="VWW155" s="389"/>
      <c r="VWX155" s="389"/>
      <c r="VWY155" s="389"/>
      <c r="VWZ155" s="389"/>
      <c r="VXA155" s="389"/>
      <c r="VXB155" s="389"/>
      <c r="VXC155" s="389"/>
      <c r="VXD155" s="389"/>
      <c r="VXE155" s="389"/>
      <c r="VXF155" s="389"/>
      <c r="VXG155" s="389"/>
      <c r="VXH155" s="389"/>
      <c r="VXI155" s="389"/>
      <c r="VXJ155" s="389"/>
      <c r="VXK155" s="389"/>
      <c r="VXL155" s="389"/>
      <c r="VXM155" s="389"/>
      <c r="VXN155" s="389"/>
      <c r="VXO155" s="389"/>
      <c r="VXP155" s="389"/>
      <c r="VXQ155" s="389"/>
      <c r="VXR155" s="389"/>
      <c r="VXS155" s="389"/>
      <c r="VXT155" s="389"/>
      <c r="VXU155" s="389"/>
      <c r="VXV155" s="389"/>
      <c r="VXW155" s="389"/>
      <c r="VXX155" s="389"/>
      <c r="VXY155" s="389"/>
      <c r="VXZ155" s="389"/>
      <c r="VYA155" s="389"/>
      <c r="VYB155" s="389"/>
      <c r="VYC155" s="389"/>
      <c r="VYD155" s="389"/>
      <c r="VYE155" s="389"/>
      <c r="VYF155" s="389"/>
      <c r="VYG155" s="389"/>
      <c r="VYH155" s="389"/>
      <c r="VYI155" s="389"/>
      <c r="VYJ155" s="389"/>
      <c r="VYK155" s="389"/>
      <c r="VYL155" s="389"/>
      <c r="VYM155" s="389"/>
      <c r="VYN155" s="389"/>
      <c r="VYO155" s="389"/>
      <c r="VYP155" s="389"/>
      <c r="VYQ155" s="389"/>
      <c r="VYR155" s="389"/>
      <c r="VYS155" s="389"/>
      <c r="VYT155" s="389"/>
      <c r="VYU155" s="389"/>
      <c r="VYV155" s="389"/>
      <c r="VYW155" s="389"/>
      <c r="VYX155" s="389"/>
      <c r="VYY155" s="389"/>
      <c r="VYZ155" s="389"/>
      <c r="VZA155" s="389"/>
      <c r="VZB155" s="389"/>
      <c r="VZC155" s="389"/>
      <c r="VZD155" s="389"/>
      <c r="VZE155" s="389"/>
      <c r="VZF155" s="389"/>
      <c r="VZG155" s="389"/>
      <c r="VZH155" s="389"/>
      <c r="VZI155" s="389"/>
      <c r="VZJ155" s="389"/>
      <c r="VZK155" s="389"/>
      <c r="VZL155" s="389"/>
      <c r="VZM155" s="389"/>
      <c r="VZN155" s="389"/>
      <c r="VZO155" s="389"/>
      <c r="VZP155" s="389"/>
      <c r="VZQ155" s="389"/>
      <c r="VZR155" s="389"/>
      <c r="VZS155" s="389"/>
      <c r="VZT155" s="389"/>
      <c r="VZU155" s="389"/>
      <c r="VZV155" s="389"/>
      <c r="VZW155" s="389"/>
      <c r="VZX155" s="389"/>
      <c r="VZY155" s="389"/>
      <c r="VZZ155" s="389"/>
      <c r="WAA155" s="389"/>
      <c r="WAB155" s="389"/>
      <c r="WAC155" s="389"/>
      <c r="WAD155" s="389"/>
      <c r="WAE155" s="389"/>
      <c r="WAF155" s="389"/>
      <c r="WAG155" s="389"/>
      <c r="WAH155" s="389"/>
      <c r="WAI155" s="389"/>
      <c r="WAJ155" s="389"/>
      <c r="WAK155" s="389"/>
      <c r="WAL155" s="389"/>
      <c r="WAM155" s="389"/>
      <c r="WAN155" s="389"/>
      <c r="WAO155" s="389"/>
      <c r="WAP155" s="389"/>
      <c r="WAQ155" s="389"/>
      <c r="WAR155" s="389"/>
      <c r="WAS155" s="389"/>
      <c r="WAT155" s="389"/>
      <c r="WAU155" s="389"/>
      <c r="WAV155" s="389"/>
      <c r="WAW155" s="389"/>
      <c r="WAX155" s="389"/>
      <c r="WAY155" s="389"/>
      <c r="WAZ155" s="389"/>
      <c r="WBA155" s="389"/>
      <c r="WBB155" s="389"/>
      <c r="WBC155" s="389"/>
      <c r="WBD155" s="389"/>
      <c r="WBE155" s="389"/>
      <c r="WBF155" s="389"/>
      <c r="WBG155" s="389"/>
      <c r="WBH155" s="389"/>
      <c r="WBI155" s="389"/>
      <c r="WBJ155" s="389"/>
      <c r="WBK155" s="389"/>
      <c r="WBL155" s="389"/>
      <c r="WBM155" s="389"/>
      <c r="WBN155" s="389"/>
      <c r="WBO155" s="389"/>
      <c r="WBP155" s="389"/>
      <c r="WBQ155" s="389"/>
      <c r="WBR155" s="389"/>
      <c r="WBS155" s="389"/>
      <c r="WBT155" s="389"/>
      <c r="WBU155" s="389"/>
      <c r="WBV155" s="389"/>
      <c r="WBW155" s="389"/>
      <c r="WBX155" s="389"/>
      <c r="WBY155" s="389"/>
      <c r="WBZ155" s="389"/>
      <c r="WCA155" s="389"/>
      <c r="WCB155" s="389"/>
      <c r="WCC155" s="389"/>
      <c r="WCD155" s="389"/>
      <c r="WCE155" s="389"/>
      <c r="WCF155" s="389"/>
      <c r="WCG155" s="389"/>
      <c r="WCH155" s="389"/>
      <c r="WCI155" s="389"/>
      <c r="WCJ155" s="389"/>
      <c r="WCK155" s="389"/>
      <c r="WCL155" s="389"/>
      <c r="WCM155" s="389"/>
      <c r="WCN155" s="389"/>
      <c r="WCO155" s="389"/>
      <c r="WCP155" s="389"/>
      <c r="WCQ155" s="389"/>
      <c r="WCR155" s="389"/>
      <c r="WCS155" s="389"/>
      <c r="WCT155" s="389"/>
      <c r="WCU155" s="389"/>
      <c r="WCV155" s="389"/>
      <c r="WCW155" s="389"/>
      <c r="WCX155" s="389"/>
      <c r="WCY155" s="389"/>
      <c r="WCZ155" s="389"/>
      <c r="WDA155" s="389"/>
      <c r="WDB155" s="389"/>
      <c r="WDC155" s="389"/>
      <c r="WDD155" s="389"/>
      <c r="WDE155" s="389"/>
      <c r="WDF155" s="389"/>
      <c r="WDG155" s="389"/>
      <c r="WDH155" s="389"/>
      <c r="WDI155" s="389"/>
      <c r="WDJ155" s="389"/>
      <c r="WDK155" s="389"/>
      <c r="WDL155" s="389"/>
      <c r="WDM155" s="389"/>
      <c r="WDN155" s="389"/>
      <c r="WDO155" s="389"/>
      <c r="WDP155" s="389"/>
      <c r="WDQ155" s="389"/>
      <c r="WDR155" s="389"/>
      <c r="WDS155" s="389"/>
      <c r="WDT155" s="389"/>
      <c r="WDU155" s="389"/>
      <c r="WDV155" s="389"/>
      <c r="WDW155" s="389"/>
      <c r="WDX155" s="389"/>
      <c r="WDY155" s="389"/>
      <c r="WDZ155" s="389"/>
      <c r="WEA155" s="389"/>
      <c r="WEB155" s="389"/>
      <c r="WEC155" s="389"/>
      <c r="WED155" s="389"/>
      <c r="WEE155" s="389"/>
      <c r="WEF155" s="389"/>
      <c r="WEG155" s="389"/>
      <c r="WEH155" s="389"/>
      <c r="WEI155" s="389"/>
      <c r="WEJ155" s="389"/>
      <c r="WEK155" s="389"/>
      <c r="WEL155" s="389"/>
      <c r="WEM155" s="389"/>
      <c r="WEN155" s="389"/>
      <c r="WEO155" s="389"/>
      <c r="WEP155" s="389"/>
      <c r="WEQ155" s="389"/>
      <c r="WER155" s="389"/>
      <c r="WES155" s="389"/>
      <c r="WET155" s="389"/>
      <c r="WEU155" s="389"/>
      <c r="WEV155" s="389"/>
      <c r="WEW155" s="389"/>
      <c r="WEX155" s="389"/>
      <c r="WEY155" s="389"/>
      <c r="WEZ155" s="389"/>
      <c r="WFA155" s="389"/>
      <c r="WFB155" s="389"/>
      <c r="WFC155" s="389"/>
      <c r="WFD155" s="389"/>
      <c r="WFE155" s="389"/>
      <c r="WFF155" s="389"/>
      <c r="WFG155" s="389"/>
      <c r="WFH155" s="389"/>
      <c r="WFI155" s="389"/>
      <c r="WFJ155" s="389"/>
      <c r="WFK155" s="389"/>
      <c r="WFL155" s="389"/>
      <c r="WFM155" s="389"/>
      <c r="WFN155" s="389"/>
      <c r="WFO155" s="389"/>
      <c r="WFP155" s="389"/>
      <c r="WFQ155" s="389"/>
      <c r="WFR155" s="389"/>
      <c r="WFS155" s="389"/>
      <c r="WFT155" s="389"/>
      <c r="WFU155" s="389"/>
      <c r="WFV155" s="389"/>
      <c r="WFW155" s="389"/>
      <c r="WFX155" s="389"/>
      <c r="WFY155" s="389"/>
      <c r="WFZ155" s="389"/>
      <c r="WGA155" s="389"/>
      <c r="WGB155" s="389"/>
      <c r="WGC155" s="389"/>
      <c r="WGD155" s="389"/>
      <c r="WGE155" s="389"/>
      <c r="WGF155" s="389"/>
      <c r="WGG155" s="389"/>
      <c r="WGH155" s="389"/>
      <c r="WGI155" s="389"/>
      <c r="WGJ155" s="389"/>
      <c r="WGK155" s="389"/>
      <c r="WGL155" s="389"/>
      <c r="WGM155" s="389"/>
      <c r="WGN155" s="389"/>
      <c r="WGO155" s="389"/>
      <c r="WGP155" s="389"/>
      <c r="WGQ155" s="389"/>
      <c r="WGR155" s="389"/>
      <c r="WGS155" s="389"/>
      <c r="WGT155" s="389"/>
      <c r="WGU155" s="389"/>
      <c r="WGV155" s="389"/>
      <c r="WGW155" s="389"/>
      <c r="WGX155" s="389"/>
      <c r="WGY155" s="389"/>
      <c r="WGZ155" s="389"/>
      <c r="WHA155" s="389"/>
      <c r="WHB155" s="389"/>
      <c r="WHC155" s="389"/>
      <c r="WHD155" s="389"/>
      <c r="WHE155" s="389"/>
      <c r="WHF155" s="389"/>
      <c r="WHG155" s="389"/>
      <c r="WHH155" s="389"/>
      <c r="WHI155" s="389"/>
      <c r="WHJ155" s="389"/>
      <c r="WHK155" s="389"/>
      <c r="WHL155" s="389"/>
      <c r="WHM155" s="389"/>
      <c r="WHN155" s="389"/>
      <c r="WHO155" s="389"/>
      <c r="WHP155" s="389"/>
      <c r="WHQ155" s="389"/>
      <c r="WHR155" s="389"/>
      <c r="WHS155" s="389"/>
      <c r="WHT155" s="389"/>
      <c r="WHU155" s="389"/>
      <c r="WHV155" s="389"/>
      <c r="WHW155" s="389"/>
      <c r="WHX155" s="389"/>
      <c r="WHY155" s="389"/>
      <c r="WHZ155" s="389"/>
      <c r="WIA155" s="389"/>
      <c r="WIB155" s="389"/>
      <c r="WIC155" s="389"/>
      <c r="WID155" s="389"/>
      <c r="WIE155" s="389"/>
      <c r="WIF155" s="389"/>
      <c r="WIG155" s="389"/>
      <c r="WIH155" s="389"/>
      <c r="WII155" s="389"/>
      <c r="WIJ155" s="389"/>
      <c r="WIK155" s="389"/>
      <c r="WIL155" s="389"/>
      <c r="WIM155" s="389"/>
      <c r="WIN155" s="389"/>
      <c r="WIO155" s="389"/>
      <c r="WIP155" s="389"/>
      <c r="WIQ155" s="389"/>
      <c r="WIR155" s="389"/>
      <c r="WIS155" s="389"/>
      <c r="WIT155" s="389"/>
      <c r="WIU155" s="389"/>
      <c r="WIV155" s="389"/>
      <c r="WIW155" s="389"/>
      <c r="WIX155" s="389"/>
      <c r="WIY155" s="389"/>
      <c r="WIZ155" s="389"/>
      <c r="WJA155" s="389"/>
      <c r="WJB155" s="389"/>
      <c r="WJC155" s="389"/>
      <c r="WJD155" s="389"/>
      <c r="WJE155" s="389"/>
      <c r="WJF155" s="389"/>
      <c r="WJG155" s="389"/>
      <c r="WJH155" s="389"/>
      <c r="WJI155" s="389"/>
      <c r="WJJ155" s="389"/>
      <c r="WJK155" s="389"/>
      <c r="WJL155" s="389"/>
      <c r="WJM155" s="389"/>
      <c r="WJN155" s="389"/>
      <c r="WJO155" s="389"/>
      <c r="WJP155" s="389"/>
      <c r="WJQ155" s="389"/>
      <c r="WJR155" s="389"/>
      <c r="WJS155" s="389"/>
      <c r="WJT155" s="389"/>
      <c r="WJU155" s="389"/>
      <c r="WJV155" s="389"/>
      <c r="WJW155" s="389"/>
      <c r="WJX155" s="389"/>
      <c r="WJY155" s="389"/>
      <c r="WJZ155" s="389"/>
      <c r="WKA155" s="389"/>
      <c r="WKB155" s="389"/>
      <c r="WKC155" s="389"/>
      <c r="WKD155" s="389"/>
      <c r="WKE155" s="389"/>
      <c r="WKF155" s="389"/>
      <c r="WKG155" s="389"/>
      <c r="WKH155" s="389"/>
      <c r="WKI155" s="389"/>
      <c r="WKJ155" s="389"/>
      <c r="WKK155" s="389"/>
      <c r="WKL155" s="389"/>
      <c r="WKM155" s="389"/>
      <c r="WKN155" s="389"/>
      <c r="WKO155" s="389"/>
      <c r="WKP155" s="389"/>
      <c r="WKQ155" s="389"/>
      <c r="WKR155" s="389"/>
      <c r="WKS155" s="389"/>
      <c r="WKT155" s="389"/>
      <c r="WKU155" s="389"/>
      <c r="WKV155" s="389"/>
      <c r="WKW155" s="389"/>
      <c r="WKX155" s="389"/>
      <c r="WKY155" s="389"/>
      <c r="WKZ155" s="389"/>
      <c r="WLA155" s="389"/>
      <c r="WLB155" s="389"/>
      <c r="WLC155" s="389"/>
      <c r="WLD155" s="389"/>
      <c r="WLE155" s="389"/>
      <c r="WLF155" s="389"/>
      <c r="WLG155" s="389"/>
      <c r="WLH155" s="389"/>
      <c r="WLI155" s="389"/>
      <c r="WLJ155" s="389"/>
      <c r="WLK155" s="389"/>
      <c r="WLL155" s="389"/>
      <c r="WLM155" s="389"/>
      <c r="WLN155" s="389"/>
      <c r="WLO155" s="389"/>
      <c r="WLP155" s="389"/>
      <c r="WLQ155" s="389"/>
      <c r="WLR155" s="389"/>
      <c r="WLS155" s="389"/>
      <c r="WLT155" s="389"/>
      <c r="WLU155" s="389"/>
      <c r="WLV155" s="389"/>
      <c r="WLW155" s="389"/>
      <c r="WLX155" s="389"/>
      <c r="WLY155" s="389"/>
      <c r="WLZ155" s="389"/>
      <c r="WMA155" s="389"/>
      <c r="WMB155" s="389"/>
      <c r="WMC155" s="389"/>
      <c r="WMD155" s="389"/>
      <c r="WME155" s="389"/>
      <c r="WMF155" s="389"/>
      <c r="WMG155" s="389"/>
      <c r="WMH155" s="389"/>
      <c r="WMI155" s="389"/>
      <c r="WMJ155" s="389"/>
      <c r="WMK155" s="389"/>
      <c r="WML155" s="389"/>
      <c r="WMM155" s="389"/>
      <c r="WMN155" s="389"/>
      <c r="WMO155" s="389"/>
      <c r="WMP155" s="389"/>
      <c r="WMQ155" s="389"/>
      <c r="WMR155" s="389"/>
      <c r="WMS155" s="389"/>
      <c r="WMT155" s="389"/>
      <c r="WMU155" s="389"/>
      <c r="WMV155" s="389"/>
      <c r="WMW155" s="389"/>
      <c r="WMX155" s="389"/>
      <c r="WMY155" s="389"/>
      <c r="WMZ155" s="389"/>
      <c r="WNA155" s="389"/>
      <c r="WNB155" s="389"/>
      <c r="WNC155" s="389"/>
      <c r="WND155" s="389"/>
      <c r="WNE155" s="389"/>
      <c r="WNF155" s="389"/>
      <c r="WNG155" s="389"/>
      <c r="WNH155" s="389"/>
      <c r="WNI155" s="389"/>
      <c r="WNJ155" s="389"/>
      <c r="WNK155" s="389"/>
      <c r="WNL155" s="389"/>
      <c r="WNM155" s="389"/>
      <c r="WNN155" s="389"/>
      <c r="WNO155" s="389"/>
      <c r="WNP155" s="389"/>
      <c r="WNQ155" s="389"/>
      <c r="WNR155" s="389"/>
      <c r="WNS155" s="389"/>
      <c r="WNT155" s="389"/>
      <c r="WNU155" s="389"/>
      <c r="WNV155" s="389"/>
      <c r="WNW155" s="389"/>
      <c r="WNX155" s="389"/>
      <c r="WNY155" s="389"/>
      <c r="WNZ155" s="389"/>
      <c r="WOA155" s="389"/>
      <c r="WOB155" s="389"/>
      <c r="WOC155" s="389"/>
      <c r="WOD155" s="389"/>
      <c r="WOE155" s="389"/>
      <c r="WOF155" s="389"/>
      <c r="WOG155" s="389"/>
      <c r="WOH155" s="389"/>
      <c r="WOI155" s="389"/>
      <c r="WOJ155" s="389"/>
      <c r="WOK155" s="389"/>
      <c r="WOL155" s="389"/>
      <c r="WOM155" s="389"/>
      <c r="WON155" s="389"/>
      <c r="WOO155" s="389"/>
      <c r="WOP155" s="389"/>
      <c r="WOQ155" s="389"/>
      <c r="WOR155" s="389"/>
      <c r="WOS155" s="389"/>
      <c r="WOT155" s="389"/>
      <c r="WOU155" s="389"/>
      <c r="WOV155" s="389"/>
      <c r="WOW155" s="389"/>
      <c r="WOX155" s="389"/>
      <c r="WOY155" s="389"/>
      <c r="WOZ155" s="389"/>
      <c r="WPA155" s="389"/>
      <c r="WPB155" s="389"/>
      <c r="WPC155" s="389"/>
      <c r="WPD155" s="389"/>
      <c r="WPE155" s="389"/>
      <c r="WPF155" s="389"/>
      <c r="WPG155" s="389"/>
      <c r="WPH155" s="389"/>
      <c r="WPI155" s="389"/>
      <c r="WPJ155" s="389"/>
      <c r="WPK155" s="389"/>
      <c r="WPL155" s="389"/>
      <c r="WPM155" s="389"/>
      <c r="WPN155" s="389"/>
      <c r="WPO155" s="389"/>
      <c r="WPP155" s="389"/>
      <c r="WPQ155" s="389"/>
      <c r="WPR155" s="389"/>
      <c r="WPS155" s="389"/>
      <c r="WPT155" s="389"/>
      <c r="WPU155" s="389"/>
      <c r="WPV155" s="389"/>
      <c r="WPW155" s="389"/>
      <c r="WPX155" s="389"/>
      <c r="WPY155" s="389"/>
      <c r="WPZ155" s="389"/>
      <c r="WQA155" s="389"/>
      <c r="WQB155" s="389"/>
      <c r="WQC155" s="389"/>
      <c r="WQD155" s="389"/>
      <c r="WQE155" s="389"/>
      <c r="WQF155" s="389"/>
      <c r="WQG155" s="389"/>
      <c r="WQH155" s="389"/>
      <c r="WQI155" s="389"/>
      <c r="WQJ155" s="389"/>
      <c r="WQK155" s="389"/>
      <c r="WQL155" s="389"/>
      <c r="WQM155" s="389"/>
      <c r="WQN155" s="389"/>
      <c r="WQO155" s="389"/>
      <c r="WQP155" s="389"/>
      <c r="WQQ155" s="389"/>
      <c r="WQR155" s="389"/>
      <c r="WQS155" s="389"/>
      <c r="WQT155" s="389"/>
      <c r="WQU155" s="389"/>
      <c r="WQV155" s="389"/>
      <c r="WQW155" s="389"/>
      <c r="WQX155" s="389"/>
      <c r="WQY155" s="389"/>
      <c r="WQZ155" s="389"/>
      <c r="WRA155" s="389"/>
      <c r="WRB155" s="389"/>
      <c r="WRC155" s="389"/>
      <c r="WRD155" s="389"/>
      <c r="WRE155" s="389"/>
      <c r="WRF155" s="389"/>
      <c r="WRG155" s="389"/>
      <c r="WRH155" s="389"/>
      <c r="WRI155" s="389"/>
      <c r="WRJ155" s="389"/>
      <c r="WRK155" s="389"/>
      <c r="WRL155" s="389"/>
      <c r="WRM155" s="389"/>
      <c r="WRN155" s="389"/>
      <c r="WRO155" s="389"/>
      <c r="WRP155" s="389"/>
      <c r="WRQ155" s="389"/>
      <c r="WRR155" s="389"/>
      <c r="WRS155" s="389"/>
      <c r="WRT155" s="389"/>
      <c r="WRU155" s="389"/>
      <c r="WRV155" s="389"/>
      <c r="WRW155" s="389"/>
      <c r="WRX155" s="389"/>
      <c r="WRY155" s="389"/>
      <c r="WRZ155" s="389"/>
      <c r="WSA155" s="389"/>
      <c r="WSB155" s="389"/>
      <c r="WSC155" s="389"/>
      <c r="WSD155" s="389"/>
      <c r="WSE155" s="389"/>
      <c r="WSF155" s="389"/>
      <c r="WSG155" s="389"/>
      <c r="WSH155" s="389"/>
      <c r="WSI155" s="389"/>
      <c r="WSJ155" s="389"/>
      <c r="WSK155" s="389"/>
      <c r="WSL155" s="389"/>
      <c r="WSM155" s="389"/>
      <c r="WSN155" s="389"/>
      <c r="WSO155" s="389"/>
      <c r="WSP155" s="389"/>
      <c r="WSQ155" s="389"/>
      <c r="WSR155" s="389"/>
      <c r="WSS155" s="389"/>
      <c r="WST155" s="389"/>
      <c r="WSU155" s="389"/>
      <c r="WSV155" s="389"/>
      <c r="WSW155" s="389"/>
      <c r="WSX155" s="389"/>
      <c r="WSY155" s="389"/>
      <c r="WSZ155" s="389"/>
      <c r="WTA155" s="389"/>
      <c r="WTB155" s="389"/>
      <c r="WTC155" s="389"/>
      <c r="WTD155" s="389"/>
      <c r="WTE155" s="389"/>
      <c r="WTF155" s="389"/>
      <c r="WTG155" s="389"/>
      <c r="WTH155" s="389"/>
      <c r="WTI155" s="389"/>
      <c r="WTJ155" s="389"/>
      <c r="WTK155" s="389"/>
      <c r="WTL155" s="389"/>
      <c r="WTM155" s="389"/>
      <c r="WTN155" s="389"/>
      <c r="WTO155" s="389"/>
      <c r="WTP155" s="389"/>
      <c r="WTQ155" s="389"/>
      <c r="WTR155" s="389"/>
      <c r="WTS155" s="389"/>
      <c r="WTT155" s="389"/>
      <c r="WTU155" s="389"/>
      <c r="WTV155" s="389"/>
      <c r="WTW155" s="389"/>
      <c r="WTX155" s="389"/>
      <c r="WTY155" s="389"/>
      <c r="WTZ155" s="389"/>
      <c r="WUA155" s="389"/>
      <c r="WUB155" s="389"/>
      <c r="WUC155" s="389"/>
      <c r="WUD155" s="389"/>
      <c r="WUE155" s="389"/>
      <c r="WUF155" s="389"/>
      <c r="WUG155" s="389"/>
      <c r="WUH155" s="389"/>
      <c r="WUI155" s="389"/>
      <c r="WUJ155" s="389"/>
      <c r="WUK155" s="389"/>
      <c r="WUL155" s="389"/>
      <c r="WUM155" s="389"/>
      <c r="WUN155" s="389"/>
      <c r="WUO155" s="389"/>
      <c r="WUP155" s="389"/>
      <c r="WUQ155" s="389"/>
      <c r="WUR155" s="389"/>
      <c r="WUS155" s="389"/>
      <c r="WUT155" s="389"/>
      <c r="WUU155" s="389"/>
      <c r="WUV155" s="389"/>
      <c r="WUW155" s="389"/>
      <c r="WUX155" s="389"/>
      <c r="WUY155" s="389"/>
      <c r="WUZ155" s="389"/>
      <c r="WVA155" s="389"/>
      <c r="WVB155" s="389"/>
      <c r="WVC155" s="389"/>
      <c r="WVD155" s="389"/>
      <c r="WVE155" s="389"/>
      <c r="WVF155" s="389"/>
      <c r="WVG155" s="389"/>
      <c r="WVH155" s="389"/>
      <c r="WVI155" s="389"/>
      <c r="WVJ155" s="389"/>
      <c r="WVK155" s="389"/>
      <c r="WVL155" s="389"/>
      <c r="WVM155" s="389"/>
      <c r="WVN155" s="389"/>
      <c r="WVO155" s="389"/>
      <c r="WVP155" s="389"/>
      <c r="WVQ155" s="389"/>
      <c r="WVR155" s="389"/>
      <c r="WVS155" s="389"/>
      <c r="WVT155" s="389"/>
      <c r="WVU155" s="389"/>
      <c r="WVV155" s="389"/>
      <c r="WVW155" s="389"/>
      <c r="WVX155" s="389"/>
      <c r="WVY155" s="389"/>
      <c r="WVZ155" s="389"/>
      <c r="WWA155" s="389"/>
      <c r="WWB155" s="389"/>
      <c r="WWC155" s="389"/>
      <c r="WWD155" s="389"/>
      <c r="WWE155" s="389"/>
      <c r="WWF155" s="389"/>
      <c r="WWG155" s="389"/>
      <c r="WWH155" s="389"/>
      <c r="WWI155" s="389"/>
      <c r="WWJ155" s="389"/>
      <c r="WWK155" s="389"/>
      <c r="WWL155" s="389"/>
      <c r="WWM155" s="389"/>
      <c r="WWN155" s="389"/>
      <c r="WWO155" s="389"/>
      <c r="WWP155" s="389"/>
      <c r="WWQ155" s="389"/>
      <c r="WWR155" s="389"/>
      <c r="WWS155" s="389"/>
      <c r="WWT155" s="389"/>
      <c r="WWU155" s="389"/>
      <c r="WWV155" s="389"/>
      <c r="WWW155" s="389"/>
      <c r="WWX155" s="389"/>
      <c r="WWY155" s="389"/>
      <c r="WWZ155" s="389"/>
      <c r="WXA155" s="389"/>
      <c r="WXB155" s="389"/>
      <c r="WXC155" s="389"/>
      <c r="WXD155" s="389"/>
      <c r="WXE155" s="389"/>
      <c r="WXF155" s="389"/>
      <c r="WXG155" s="389"/>
      <c r="WXH155" s="389"/>
      <c r="WXI155" s="389"/>
      <c r="WXJ155" s="389"/>
      <c r="WXK155" s="389"/>
      <c r="WXL155" s="389"/>
      <c r="WXM155" s="389"/>
      <c r="WXN155" s="389"/>
      <c r="WXO155" s="389"/>
      <c r="WXP155" s="389"/>
      <c r="WXQ155" s="389"/>
      <c r="WXR155" s="389"/>
      <c r="WXS155" s="389"/>
      <c r="WXT155" s="389"/>
      <c r="WXU155" s="389"/>
      <c r="WXV155" s="389"/>
      <c r="WXW155" s="389"/>
      <c r="WXX155" s="389"/>
      <c r="WXY155" s="389"/>
      <c r="WXZ155" s="389"/>
      <c r="WYA155" s="389"/>
      <c r="WYB155" s="389"/>
      <c r="WYC155" s="389"/>
      <c r="WYD155" s="389"/>
      <c r="WYE155" s="389"/>
      <c r="WYF155" s="389"/>
      <c r="WYG155" s="389"/>
      <c r="WYH155" s="389"/>
      <c r="WYI155" s="389"/>
      <c r="WYJ155" s="389"/>
      <c r="WYK155" s="389"/>
      <c r="WYL155" s="389"/>
      <c r="WYM155" s="389"/>
      <c r="WYN155" s="389"/>
      <c r="WYO155" s="389"/>
      <c r="WYP155" s="389"/>
      <c r="WYQ155" s="389"/>
      <c r="WYR155" s="389"/>
      <c r="WYS155" s="389"/>
      <c r="WYT155" s="389"/>
      <c r="WYU155" s="389"/>
      <c r="WYV155" s="389"/>
      <c r="WYW155" s="389"/>
      <c r="WYX155" s="389"/>
      <c r="WYY155" s="389"/>
      <c r="WYZ155" s="389"/>
      <c r="WZA155" s="389"/>
      <c r="WZB155" s="389"/>
      <c r="WZC155" s="389"/>
      <c r="WZD155" s="389"/>
      <c r="WZE155" s="389"/>
      <c r="WZF155" s="389"/>
      <c r="WZG155" s="389"/>
      <c r="WZH155" s="389"/>
      <c r="WZI155" s="389"/>
      <c r="WZJ155" s="389"/>
      <c r="WZK155" s="389"/>
      <c r="WZL155" s="389"/>
      <c r="WZM155" s="389"/>
      <c r="WZN155" s="389"/>
      <c r="WZO155" s="389"/>
      <c r="WZP155" s="389"/>
      <c r="WZQ155" s="389"/>
      <c r="WZR155" s="389"/>
      <c r="WZS155" s="389"/>
      <c r="WZT155" s="389"/>
      <c r="WZU155" s="389"/>
      <c r="WZV155" s="389"/>
      <c r="WZW155" s="389"/>
      <c r="WZX155" s="389"/>
      <c r="WZY155" s="389"/>
      <c r="WZZ155" s="389"/>
      <c r="XAA155" s="389"/>
      <c r="XAB155" s="389"/>
      <c r="XAC155" s="389"/>
      <c r="XAD155" s="389"/>
      <c r="XAE155" s="389"/>
      <c r="XAF155" s="389"/>
      <c r="XAG155" s="389"/>
      <c r="XAH155" s="389"/>
      <c r="XAI155" s="389"/>
      <c r="XAJ155" s="389"/>
      <c r="XAK155" s="389"/>
      <c r="XAL155" s="389"/>
      <c r="XAM155" s="389"/>
      <c r="XAN155" s="389"/>
      <c r="XAO155" s="389"/>
      <c r="XAP155" s="389"/>
      <c r="XAQ155" s="389"/>
      <c r="XAR155" s="389"/>
      <c r="XAS155" s="389"/>
      <c r="XAT155" s="389"/>
      <c r="XAU155" s="389"/>
      <c r="XAV155" s="389"/>
      <c r="XAW155" s="389"/>
      <c r="XAX155" s="389"/>
      <c r="XAY155" s="389"/>
      <c r="XAZ155" s="389"/>
      <c r="XBA155" s="389"/>
      <c r="XBB155" s="389"/>
      <c r="XBC155" s="389"/>
      <c r="XBD155" s="389"/>
      <c r="XBE155" s="389"/>
      <c r="XBF155" s="389"/>
      <c r="XBG155" s="389"/>
      <c r="XBH155" s="389"/>
      <c r="XBI155" s="389"/>
      <c r="XBJ155" s="389"/>
      <c r="XBK155" s="389"/>
      <c r="XBL155" s="389"/>
      <c r="XBM155" s="389"/>
      <c r="XBN155" s="389"/>
      <c r="XBO155" s="389"/>
      <c r="XBP155" s="389"/>
      <c r="XBQ155" s="389"/>
      <c r="XBR155" s="389"/>
      <c r="XBS155" s="389"/>
      <c r="XBT155" s="389"/>
      <c r="XBU155" s="389"/>
      <c r="XBV155" s="389"/>
      <c r="XBW155" s="389"/>
      <c r="XBX155" s="389"/>
      <c r="XBY155" s="389"/>
      <c r="XBZ155" s="389"/>
      <c r="XCA155" s="389"/>
      <c r="XCB155" s="389"/>
      <c r="XCC155" s="389"/>
      <c r="XCD155" s="389"/>
      <c r="XCE155" s="389"/>
      <c r="XCF155" s="389"/>
      <c r="XCG155" s="389"/>
      <c r="XCH155" s="389"/>
      <c r="XCI155" s="389"/>
      <c r="XCJ155" s="389"/>
      <c r="XCK155" s="389"/>
      <c r="XCL155" s="389"/>
      <c r="XCM155" s="389"/>
      <c r="XCN155" s="389"/>
      <c r="XCO155" s="389"/>
      <c r="XCP155" s="389"/>
      <c r="XCQ155" s="389"/>
      <c r="XCR155" s="389"/>
      <c r="XCS155" s="389"/>
      <c r="XCT155" s="389"/>
      <c r="XCU155" s="389"/>
      <c r="XCV155" s="389"/>
      <c r="XCW155" s="389"/>
      <c r="XCX155" s="389"/>
      <c r="XCY155" s="389"/>
      <c r="XCZ155" s="389"/>
      <c r="XDA155" s="389"/>
      <c r="XDB155" s="389"/>
      <c r="XDC155" s="389"/>
      <c r="XDD155" s="389"/>
      <c r="XDE155" s="389"/>
      <c r="XDF155" s="389"/>
      <c r="XDG155" s="389"/>
      <c r="XDH155" s="389"/>
      <c r="XDI155" s="389"/>
      <c r="XDJ155" s="389"/>
      <c r="XDK155" s="389"/>
      <c r="XDL155" s="389"/>
      <c r="XDM155" s="389"/>
      <c r="XDN155" s="389"/>
      <c r="XDO155" s="389"/>
      <c r="XDP155" s="389"/>
      <c r="XDQ155" s="389"/>
      <c r="XDR155" s="389"/>
      <c r="XDS155" s="389"/>
      <c r="XDT155" s="389"/>
      <c r="XDU155" s="389"/>
      <c r="XDV155" s="389"/>
      <c r="XDW155" s="389"/>
      <c r="XDX155" s="389"/>
      <c r="XDY155" s="389"/>
      <c r="XDZ155" s="389"/>
      <c r="XEA155" s="389"/>
      <c r="XEB155" s="389"/>
      <c r="XEC155" s="389"/>
      <c r="XED155" s="389"/>
      <c r="XEE155" s="389"/>
      <c r="XEF155" s="389"/>
      <c r="XEG155" s="389"/>
      <c r="XEH155" s="389"/>
      <c r="XEI155" s="389"/>
      <c r="XEJ155" s="389"/>
      <c r="XEK155" s="389"/>
      <c r="XEL155" s="389"/>
      <c r="XEM155" s="389"/>
      <c r="XEN155" s="389"/>
      <c r="XEO155" s="389"/>
      <c r="XEP155" s="389"/>
      <c r="XEQ155" s="389"/>
      <c r="XER155" s="389"/>
      <c r="XES155" s="389"/>
      <c r="XET155" s="389"/>
      <c r="XEU155" s="389"/>
      <c r="XEV155" s="389"/>
      <c r="XEW155" s="389"/>
      <c r="XEX155" s="389"/>
      <c r="XEY155" s="389"/>
      <c r="XEZ155" s="389"/>
      <c r="XFA155" s="389"/>
      <c r="XFB155" s="389"/>
      <c r="XFC155" s="389"/>
    </row>
    <row r="156" spans="1:16383" s="389" customFormat="1" hidden="1">
      <c r="B156" s="1031"/>
      <c r="C156" s="967" t="s">
        <v>719</v>
      </c>
      <c r="D156" s="1070"/>
      <c r="E156" s="2394"/>
      <c r="F156" s="2397"/>
      <c r="G156" s="2397"/>
      <c r="H156" s="2397"/>
      <c r="I156" s="2397"/>
      <c r="J156" s="2397"/>
      <c r="K156" s="2397"/>
      <c r="L156" s="2397"/>
      <c r="M156" s="2397"/>
      <c r="N156" s="2397"/>
      <c r="O156" s="1048"/>
      <c r="P156" s="1164"/>
      <c r="Q156" s="1164"/>
      <c r="R156" s="1164"/>
      <c r="S156" s="1164"/>
      <c r="T156" s="1164"/>
      <c r="U156" s="1164"/>
      <c r="V156" s="1164"/>
    </row>
    <row r="157" spans="1:16383" hidden="1">
      <c r="B157" s="2162"/>
      <c r="C157" s="943" t="s">
        <v>720</v>
      </c>
      <c r="D157" s="915"/>
      <c r="E157" s="2395"/>
      <c r="F157" s="2398"/>
      <c r="G157" s="2398"/>
      <c r="H157" s="2398"/>
      <c r="I157" s="2398"/>
      <c r="J157" s="2398"/>
      <c r="K157" s="2398"/>
      <c r="L157" s="2398"/>
      <c r="M157" s="2398"/>
      <c r="N157" s="2398"/>
      <c r="O157" s="1048"/>
      <c r="P157" s="1164"/>
      <c r="Q157" s="1164"/>
      <c r="R157" s="1164"/>
      <c r="S157" s="1164"/>
      <c r="T157" s="1164"/>
      <c r="U157" s="1164"/>
      <c r="V157" s="1164"/>
    </row>
    <row r="158" spans="1:16383" hidden="1">
      <c r="B158" s="2162"/>
      <c r="C158" s="947" t="s">
        <v>721</v>
      </c>
      <c r="D158" s="948"/>
      <c r="E158" s="2396"/>
      <c r="F158" s="2399"/>
      <c r="G158" s="2399"/>
      <c r="H158" s="2399"/>
      <c r="I158" s="2399"/>
      <c r="J158" s="2399"/>
      <c r="K158" s="2399"/>
      <c r="L158" s="2399"/>
      <c r="M158" s="2399"/>
      <c r="N158" s="2399"/>
      <c r="O158" s="1048"/>
      <c r="P158" s="1164"/>
      <c r="Q158" s="1164"/>
      <c r="R158" s="1164"/>
      <c r="S158" s="1164"/>
      <c r="T158" s="1164"/>
      <c r="U158" s="1164"/>
      <c r="V158" s="1164"/>
    </row>
    <row r="159" spans="1:16383" hidden="1">
      <c r="B159" s="2162"/>
      <c r="C159" s="47"/>
      <c r="D159" s="47"/>
      <c r="E159" s="47"/>
      <c r="F159" s="47"/>
      <c r="G159" s="47"/>
      <c r="H159" s="47"/>
      <c r="I159" s="47"/>
      <c r="J159" s="47"/>
      <c r="K159" s="47"/>
      <c r="L159" s="47"/>
      <c r="M159" s="47"/>
      <c r="N159" s="47"/>
      <c r="O159" s="1048"/>
      <c r="P159" s="1164"/>
      <c r="Q159" s="1164"/>
      <c r="R159" s="1164"/>
      <c r="S159" s="1164"/>
      <c r="T159" s="1164"/>
      <c r="U159" s="1164"/>
      <c r="V159" s="1164"/>
    </row>
    <row r="160" spans="1:16383" hidden="1">
      <c r="B160" s="2162"/>
      <c r="C160" s="937"/>
      <c r="D160" s="915"/>
      <c r="E160" s="932"/>
      <c r="F160" s="933"/>
      <c r="G160" s="934"/>
      <c r="H160" s="934"/>
      <c r="I160" s="934"/>
      <c r="J160" s="934"/>
      <c r="K160" s="934"/>
      <c r="L160" s="934"/>
      <c r="M160" s="934"/>
      <c r="N160" s="935" t="s">
        <v>2738</v>
      </c>
      <c r="O160" s="1048"/>
      <c r="P160" s="1164"/>
      <c r="Q160" s="1164"/>
      <c r="R160" s="1164"/>
      <c r="S160" s="1164"/>
      <c r="T160" s="1164"/>
      <c r="U160" s="1164"/>
      <c r="V160" s="1164"/>
      <c r="W160" s="389"/>
      <c r="X160" s="389"/>
      <c r="Y160" s="389"/>
      <c r="Z160" s="389"/>
      <c r="AA160" s="389"/>
    </row>
    <row r="161" spans="2:27" hidden="1">
      <c r="B161" s="2162"/>
      <c r="C161" s="1069" t="s">
        <v>1690</v>
      </c>
      <c r="D161" s="1070" t="s">
        <v>1832</v>
      </c>
      <c r="E161" s="971" t="s">
        <v>159</v>
      </c>
      <c r="F161" s="972">
        <v>2013</v>
      </c>
      <c r="G161" s="965">
        <v>2015</v>
      </c>
      <c r="H161" s="965">
        <v>2020</v>
      </c>
      <c r="I161" s="965">
        <v>2025</v>
      </c>
      <c r="J161" s="965">
        <v>2030</v>
      </c>
      <c r="K161" s="965">
        <v>2035</v>
      </c>
      <c r="L161" s="965">
        <v>2040</v>
      </c>
      <c r="M161" s="965">
        <v>2045</v>
      </c>
      <c r="N161" s="965">
        <v>2050</v>
      </c>
      <c r="O161" s="1048"/>
      <c r="P161" s="1164"/>
      <c r="Q161" s="1164"/>
      <c r="R161" s="1164"/>
      <c r="S161" s="1164"/>
      <c r="T161" s="1164"/>
      <c r="U161" s="1164"/>
      <c r="V161" s="1164"/>
      <c r="W161" s="389"/>
      <c r="X161" s="389"/>
      <c r="Y161" s="389"/>
      <c r="Z161" s="389"/>
      <c r="AA161" s="389"/>
    </row>
    <row r="162" spans="2:27" hidden="1">
      <c r="B162" s="2162"/>
      <c r="C162" s="967" t="s">
        <v>719</v>
      </c>
      <c r="D162" s="1070"/>
      <c r="E162" s="2394"/>
      <c r="F162" s="2397"/>
      <c r="G162" s="2397"/>
      <c r="H162" s="2397"/>
      <c r="I162" s="2397"/>
      <c r="J162" s="2397"/>
      <c r="K162" s="2397"/>
      <c r="L162" s="2397"/>
      <c r="M162" s="2397"/>
      <c r="N162" s="2397"/>
      <c r="O162" s="1048"/>
      <c r="P162" s="1164"/>
      <c r="Q162" s="1164"/>
      <c r="R162" s="1164"/>
      <c r="S162" s="1172"/>
      <c r="T162" s="1172"/>
      <c r="U162" s="1172"/>
      <c r="V162" s="1172"/>
      <c r="W162" s="81"/>
      <c r="X162" s="81"/>
      <c r="Y162" s="81"/>
      <c r="Z162" s="81"/>
      <c r="AA162" s="389"/>
    </row>
    <row r="163" spans="2:27" hidden="1">
      <c r="B163" s="2162"/>
      <c r="C163" s="943" t="s">
        <v>720</v>
      </c>
      <c r="D163" s="915"/>
      <c r="E163" s="2395"/>
      <c r="F163" s="2398"/>
      <c r="G163" s="2398"/>
      <c r="H163" s="2398"/>
      <c r="I163" s="2398"/>
      <c r="J163" s="2398"/>
      <c r="K163" s="2398"/>
      <c r="L163" s="2398"/>
      <c r="M163" s="2398"/>
      <c r="N163" s="2398"/>
      <c r="O163" s="1048"/>
      <c r="P163" s="1164"/>
      <c r="Q163" s="1164"/>
      <c r="R163" s="1164"/>
      <c r="S163" s="1164"/>
      <c r="T163" s="1164"/>
      <c r="U163" s="1164"/>
      <c r="V163" s="1164"/>
      <c r="W163" s="389"/>
      <c r="X163" s="389"/>
      <c r="Y163" s="389"/>
      <c r="Z163" s="389"/>
      <c r="AA163" s="389"/>
    </row>
    <row r="164" spans="2:27" hidden="1">
      <c r="B164" s="2162"/>
      <c r="C164" s="947" t="s">
        <v>721</v>
      </c>
      <c r="D164" s="948"/>
      <c r="E164" s="2396"/>
      <c r="F164" s="2399"/>
      <c r="G164" s="2399"/>
      <c r="H164" s="2399"/>
      <c r="I164" s="2399"/>
      <c r="J164" s="2399"/>
      <c r="K164" s="2399"/>
      <c r="L164" s="2399"/>
      <c r="M164" s="2399"/>
      <c r="N164" s="2399"/>
      <c r="O164" s="1048"/>
      <c r="P164" s="1164"/>
      <c r="Q164" s="1164"/>
      <c r="R164" s="1164"/>
      <c r="S164" s="1164"/>
      <c r="T164" s="1164"/>
      <c r="U164" s="1164"/>
      <c r="V164" s="1164"/>
      <c r="W164" s="389"/>
      <c r="X164" s="389"/>
      <c r="Y164" s="389"/>
      <c r="Z164" s="389"/>
      <c r="AA164" s="389"/>
    </row>
    <row r="165" spans="2:27" ht="10.5" hidden="1" customHeight="1">
      <c r="B165" s="2162"/>
      <c r="C165" s="47"/>
      <c r="D165" s="47"/>
      <c r="E165" s="47"/>
      <c r="F165" s="47"/>
      <c r="G165" s="47"/>
      <c r="H165" s="47"/>
      <c r="I165" s="47"/>
      <c r="J165" s="47"/>
      <c r="K165" s="47"/>
      <c r="L165" s="47"/>
      <c r="M165" s="47"/>
      <c r="N165" s="47"/>
      <c r="O165" s="1048"/>
      <c r="P165" s="1164"/>
      <c r="Q165" s="1164"/>
      <c r="R165" s="1164"/>
      <c r="S165" s="1164"/>
      <c r="T165" s="1164"/>
      <c r="U165" s="1164"/>
      <c r="V165" s="1164"/>
    </row>
    <row r="166" spans="2:27" hidden="1">
      <c r="B166" s="2162"/>
      <c r="C166" s="915"/>
      <c r="D166" s="932"/>
      <c r="E166" s="933"/>
      <c r="F166" s="933"/>
      <c r="G166" s="934"/>
      <c r="H166" s="934"/>
      <c r="I166" s="934"/>
      <c r="J166" s="934"/>
      <c r="K166" s="934"/>
      <c r="L166" s="934"/>
      <c r="M166" s="47"/>
      <c r="N166" s="935" t="s">
        <v>2739</v>
      </c>
      <c r="O166" s="1048"/>
      <c r="P166" s="1164"/>
      <c r="Q166" s="1164"/>
      <c r="R166" s="1164"/>
      <c r="S166" s="1164"/>
      <c r="T166" s="1164"/>
      <c r="U166" s="1164"/>
      <c r="V166" s="1164"/>
    </row>
    <row r="167" spans="2:27" ht="15.75" hidden="1" customHeight="1">
      <c r="B167" s="2162"/>
      <c r="C167" s="2163" t="s">
        <v>1691</v>
      </c>
      <c r="D167" s="1070" t="s">
        <v>1692</v>
      </c>
      <c r="E167" s="971" t="s">
        <v>159</v>
      </c>
      <c r="F167" s="972">
        <v>2013</v>
      </c>
      <c r="G167" s="965">
        <v>2015</v>
      </c>
      <c r="H167" s="965">
        <v>2020</v>
      </c>
      <c r="I167" s="965">
        <v>2025</v>
      </c>
      <c r="J167" s="965">
        <v>2030</v>
      </c>
      <c r="K167" s="965">
        <v>2035</v>
      </c>
      <c r="L167" s="965">
        <v>2040</v>
      </c>
      <c r="M167" s="965">
        <v>2045</v>
      </c>
      <c r="N167" s="965">
        <v>2050</v>
      </c>
      <c r="O167" s="1048"/>
      <c r="P167" s="1164"/>
      <c r="Q167" s="1164"/>
      <c r="R167" s="1164"/>
      <c r="S167" s="1164"/>
      <c r="T167" s="1164"/>
      <c r="U167" s="1164"/>
      <c r="V167" s="1164"/>
    </row>
    <row r="168" spans="2:27" ht="12.75" hidden="1" customHeight="1">
      <c r="B168" s="2162"/>
      <c r="C168" s="967" t="s">
        <v>719</v>
      </c>
      <c r="D168" s="1070"/>
      <c r="E168" s="2394"/>
      <c r="F168" s="2397"/>
      <c r="G168" s="2397"/>
      <c r="H168" s="2397"/>
      <c r="I168" s="2397"/>
      <c r="J168" s="2397"/>
      <c r="K168" s="2397"/>
      <c r="L168" s="2397"/>
      <c r="M168" s="2397"/>
      <c r="N168" s="2397"/>
      <c r="O168" s="1048"/>
      <c r="P168" s="1164"/>
      <c r="Q168" s="1164"/>
      <c r="R168" s="1164"/>
      <c r="S168" s="1164"/>
      <c r="T168" s="1164"/>
      <c r="U168" s="1164"/>
      <c r="V168" s="1164"/>
    </row>
    <row r="169" spans="2:27" ht="16.5" hidden="1" customHeight="1">
      <c r="B169" s="2162"/>
      <c r="C169" s="943" t="s">
        <v>720</v>
      </c>
      <c r="D169" s="915"/>
      <c r="E169" s="2395"/>
      <c r="F169" s="2398"/>
      <c r="G169" s="2398"/>
      <c r="H169" s="2398"/>
      <c r="I169" s="2398"/>
      <c r="J169" s="2398"/>
      <c r="K169" s="2398"/>
      <c r="L169" s="2398"/>
      <c r="M169" s="2398"/>
      <c r="N169" s="2398"/>
      <c r="O169" s="1048"/>
      <c r="P169" s="1164"/>
      <c r="Q169" s="1164"/>
      <c r="R169" s="1164"/>
      <c r="S169" s="1164"/>
      <c r="T169" s="1164"/>
      <c r="U169" s="1164"/>
      <c r="V169" s="1164"/>
    </row>
    <row r="170" spans="2:27" hidden="1">
      <c r="B170" s="2162"/>
      <c r="C170" s="947" t="s">
        <v>721</v>
      </c>
      <c r="D170" s="948"/>
      <c r="E170" s="2396"/>
      <c r="F170" s="2399"/>
      <c r="G170" s="2399"/>
      <c r="H170" s="2399"/>
      <c r="I170" s="2399"/>
      <c r="J170" s="2399"/>
      <c r="K170" s="2399"/>
      <c r="L170" s="2399"/>
      <c r="M170" s="2399"/>
      <c r="N170" s="2399"/>
      <c r="O170" s="1048"/>
      <c r="P170" s="1164"/>
      <c r="Q170" s="1164"/>
      <c r="R170" s="1164"/>
      <c r="S170" s="1164"/>
      <c r="T170" s="1164"/>
      <c r="U170" s="1164"/>
      <c r="V170" s="1164"/>
    </row>
    <row r="171" spans="2:27" hidden="1">
      <c r="B171" s="2162"/>
      <c r="C171" s="47"/>
      <c r="D171" s="47"/>
      <c r="E171" s="47"/>
      <c r="F171" s="47"/>
      <c r="G171" s="47"/>
      <c r="H171" s="47"/>
      <c r="I171" s="47"/>
      <c r="J171" s="47"/>
      <c r="K171" s="47"/>
      <c r="L171" s="47"/>
      <c r="M171" s="47"/>
      <c r="N171" s="47"/>
      <c r="O171" s="1048"/>
      <c r="P171" s="1164"/>
      <c r="Q171" s="1164"/>
      <c r="R171" s="1164"/>
      <c r="S171" s="1164"/>
      <c r="T171" s="1164"/>
      <c r="U171" s="1164"/>
      <c r="V171" s="1164"/>
    </row>
    <row r="172" spans="2:27" hidden="1">
      <c r="B172" s="2162"/>
      <c r="C172" s="49" t="s">
        <v>1693</v>
      </c>
      <c r="D172" s="915"/>
      <c r="E172" s="932"/>
      <c r="F172" s="933"/>
      <c r="G172" s="934"/>
      <c r="H172" s="934"/>
      <c r="I172" s="934"/>
      <c r="J172" s="934"/>
      <c r="K172" s="934"/>
      <c r="L172" s="934"/>
      <c r="M172" s="934"/>
      <c r="N172" s="47"/>
      <c r="O172" s="1047"/>
      <c r="P172" s="1164"/>
      <c r="Q172" s="1164"/>
      <c r="R172" s="1164"/>
      <c r="S172" s="1164"/>
      <c r="T172" s="1164"/>
      <c r="U172" s="1164"/>
      <c r="V172" s="1164"/>
    </row>
    <row r="173" spans="2:27" hidden="1">
      <c r="B173" s="2162"/>
      <c r="C173" s="937"/>
      <c r="D173" s="915"/>
      <c r="E173" s="932"/>
      <c r="F173" s="933"/>
      <c r="G173" s="934"/>
      <c r="H173" s="934"/>
      <c r="I173" s="934"/>
      <c r="J173" s="934"/>
      <c r="K173" s="934"/>
      <c r="L173" s="934"/>
      <c r="M173" s="934"/>
      <c r="N173" s="935" t="s">
        <v>2738</v>
      </c>
      <c r="O173" s="1047"/>
      <c r="P173" s="1164"/>
      <c r="Q173" s="1164"/>
      <c r="R173" s="1164"/>
      <c r="S173" s="1164"/>
      <c r="T173" s="1164"/>
      <c r="U173" s="1164"/>
      <c r="V173" s="1164"/>
    </row>
    <row r="174" spans="2:27" hidden="1">
      <c r="B174" s="2162"/>
      <c r="C174" s="1069" t="s">
        <v>144</v>
      </c>
      <c r="D174" s="1070"/>
      <c r="E174" s="971" t="s">
        <v>159</v>
      </c>
      <c r="F174" s="972">
        <v>2013</v>
      </c>
      <c r="G174" s="965">
        <v>2015</v>
      </c>
      <c r="H174" s="965">
        <v>2020</v>
      </c>
      <c r="I174" s="965">
        <v>2025</v>
      </c>
      <c r="J174" s="965">
        <v>2030</v>
      </c>
      <c r="K174" s="965">
        <v>2035</v>
      </c>
      <c r="L174" s="965">
        <v>2040</v>
      </c>
      <c r="M174" s="965">
        <v>2045</v>
      </c>
      <c r="N174" s="965">
        <v>2050</v>
      </c>
      <c r="O174" s="1047"/>
      <c r="P174" s="1164"/>
      <c r="Q174" s="1164"/>
      <c r="R174" s="1164"/>
      <c r="S174" s="1164"/>
      <c r="T174" s="1164"/>
      <c r="U174" s="1164"/>
      <c r="V174" s="1164"/>
    </row>
    <row r="175" spans="2:27" hidden="1">
      <c r="B175" s="2162"/>
      <c r="C175" s="967" t="s">
        <v>719</v>
      </c>
      <c r="D175" s="1070"/>
      <c r="E175" s="2394"/>
      <c r="F175" s="2397"/>
      <c r="G175" s="2397"/>
      <c r="H175" s="2397"/>
      <c r="I175" s="2397"/>
      <c r="J175" s="2397"/>
      <c r="K175" s="2397"/>
      <c r="L175" s="2397"/>
      <c r="M175" s="2397"/>
      <c r="N175" s="2397"/>
      <c r="O175" s="1047"/>
      <c r="P175" s="1164"/>
      <c r="Q175" s="1164"/>
      <c r="R175" s="1164"/>
      <c r="S175" s="1164"/>
      <c r="T175" s="1164"/>
      <c r="U175" s="1164"/>
      <c r="V175" s="1164"/>
    </row>
    <row r="176" spans="2:27" hidden="1">
      <c r="B176" s="2162"/>
      <c r="C176" s="943" t="s">
        <v>720</v>
      </c>
      <c r="D176" s="915"/>
      <c r="E176" s="2395"/>
      <c r="F176" s="2398"/>
      <c r="G176" s="2398"/>
      <c r="H176" s="2398"/>
      <c r="I176" s="2398"/>
      <c r="J176" s="2398"/>
      <c r="K176" s="2398"/>
      <c r="L176" s="2398"/>
      <c r="M176" s="2398"/>
      <c r="N176" s="2398"/>
      <c r="O176" s="1047"/>
      <c r="P176" s="1164"/>
      <c r="Q176" s="1164"/>
      <c r="R176" s="1164"/>
      <c r="S176" s="1164"/>
      <c r="T176" s="1164"/>
      <c r="U176" s="1164"/>
      <c r="V176" s="1164"/>
    </row>
    <row r="177" spans="1:99" ht="15.5" hidden="1">
      <c r="B177" s="2164"/>
      <c r="C177" s="947" t="s">
        <v>721</v>
      </c>
      <c r="D177" s="948"/>
      <c r="E177" s="2396"/>
      <c r="F177" s="2399"/>
      <c r="G177" s="2399"/>
      <c r="H177" s="2399"/>
      <c r="I177" s="2399"/>
      <c r="J177" s="2399"/>
      <c r="K177" s="2399"/>
      <c r="L177" s="2399"/>
      <c r="M177" s="2399"/>
      <c r="N177" s="2399"/>
      <c r="O177" s="67"/>
      <c r="P177" s="1164"/>
      <c r="Q177" s="1164"/>
      <c r="R177" s="1164"/>
      <c r="S177" s="1164"/>
      <c r="T177" s="1164"/>
      <c r="U177" s="1164"/>
      <c r="V177" s="1164"/>
    </row>
    <row r="178" spans="1:99" s="6" customFormat="1" ht="15" hidden="1">
      <c r="A178"/>
      <c r="B178" s="2165"/>
      <c r="C178" s="936"/>
      <c r="D178" s="936"/>
      <c r="E178" s="936"/>
      <c r="F178" s="936"/>
      <c r="G178" s="936"/>
      <c r="H178" s="936"/>
      <c r="I178" s="936"/>
      <c r="J178" s="936"/>
      <c r="K178" s="936"/>
      <c r="L178" s="936"/>
      <c r="M178" s="936"/>
      <c r="N178" s="936"/>
      <c r="O178" s="103"/>
      <c r="P178" s="1164"/>
      <c r="Q178" s="647"/>
      <c r="R178" s="647"/>
      <c r="S178" s="1164"/>
      <c r="T178" s="1164"/>
      <c r="U178" s="1164"/>
      <c r="V178" s="1164"/>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62"/>
      <c r="C179" s="936"/>
      <c r="D179" s="936"/>
      <c r="E179" s="936"/>
      <c r="F179" s="936"/>
      <c r="G179" s="936"/>
      <c r="H179" s="936"/>
      <c r="I179" s="936"/>
      <c r="J179" s="936"/>
      <c r="K179" s="936"/>
      <c r="L179" s="936"/>
      <c r="M179" s="936"/>
      <c r="N179" s="935" t="s">
        <v>2738</v>
      </c>
      <c r="O179" s="67"/>
      <c r="P179" s="1164"/>
      <c r="Q179" s="1164"/>
      <c r="R179" s="1164"/>
      <c r="S179" s="1164"/>
      <c r="T179" s="1164"/>
      <c r="U179" s="1164"/>
      <c r="V179" s="1164"/>
    </row>
    <row r="180" spans="1:99" hidden="1">
      <c r="B180" s="2162"/>
      <c r="C180" s="1069" t="s">
        <v>146</v>
      </c>
      <c r="D180" s="1070"/>
      <c r="E180" s="971" t="s">
        <v>159</v>
      </c>
      <c r="F180" s="972">
        <v>2013</v>
      </c>
      <c r="G180" s="965">
        <v>2015</v>
      </c>
      <c r="H180" s="965">
        <v>2020</v>
      </c>
      <c r="I180" s="965">
        <v>2025</v>
      </c>
      <c r="J180" s="965">
        <v>2030</v>
      </c>
      <c r="K180" s="965">
        <v>2035</v>
      </c>
      <c r="L180" s="965">
        <v>2040</v>
      </c>
      <c r="M180" s="965">
        <v>2045</v>
      </c>
      <c r="N180" s="965">
        <v>2050</v>
      </c>
      <c r="O180" s="67"/>
      <c r="P180" s="1164"/>
      <c r="Q180" s="1164"/>
      <c r="R180" s="1164"/>
      <c r="S180" s="1164"/>
      <c r="T180" s="1164"/>
      <c r="U180" s="1164"/>
      <c r="V180" s="1164"/>
    </row>
    <row r="181" spans="1:99" hidden="1">
      <c r="B181" s="2162"/>
      <c r="C181" s="967" t="s">
        <v>719</v>
      </c>
      <c r="D181" s="1070"/>
      <c r="E181" s="2394"/>
      <c r="F181" s="2397"/>
      <c r="G181" s="2397"/>
      <c r="H181" s="2397"/>
      <c r="I181" s="2397"/>
      <c r="J181" s="2397"/>
      <c r="K181" s="2397"/>
      <c r="L181" s="2397"/>
      <c r="M181" s="2397"/>
      <c r="N181" s="2397"/>
      <c r="O181" s="67"/>
      <c r="P181" s="1164"/>
      <c r="Q181" s="1164"/>
      <c r="R181" s="1164"/>
      <c r="S181" s="1164"/>
      <c r="T181" s="1164"/>
      <c r="U181" s="1164"/>
      <c r="V181" s="1164"/>
    </row>
    <row r="182" spans="1:99" hidden="1">
      <c r="B182" s="2162"/>
      <c r="C182" s="943" t="s">
        <v>720</v>
      </c>
      <c r="D182" s="915"/>
      <c r="E182" s="2395"/>
      <c r="F182" s="2398"/>
      <c r="G182" s="2398"/>
      <c r="H182" s="2398"/>
      <c r="I182" s="2398"/>
      <c r="J182" s="2398"/>
      <c r="K182" s="2398"/>
      <c r="L182" s="2398"/>
      <c r="M182" s="2398"/>
      <c r="N182" s="2398"/>
      <c r="O182" s="67"/>
      <c r="P182" s="1164"/>
      <c r="Q182" s="1164"/>
      <c r="R182" s="1164"/>
      <c r="S182" s="1164"/>
      <c r="T182" s="1164"/>
      <c r="U182" s="1164"/>
      <c r="V182" s="1164"/>
    </row>
    <row r="183" spans="1:99" hidden="1">
      <c r="B183" s="2162"/>
      <c r="C183" s="947" t="s">
        <v>721</v>
      </c>
      <c r="D183" s="948"/>
      <c r="E183" s="2396"/>
      <c r="F183" s="2399"/>
      <c r="G183" s="2399"/>
      <c r="H183" s="2399"/>
      <c r="I183" s="2399"/>
      <c r="J183" s="2399"/>
      <c r="K183" s="2399"/>
      <c r="L183" s="2399"/>
      <c r="M183" s="2399"/>
      <c r="N183" s="2399"/>
      <c r="O183" s="67"/>
      <c r="P183" s="1164"/>
      <c r="Q183" s="1164"/>
      <c r="R183" s="1164"/>
      <c r="S183" s="1164"/>
      <c r="T183" s="1164"/>
      <c r="U183" s="1164"/>
      <c r="V183" s="1164"/>
    </row>
    <row r="184" spans="1:99" hidden="1">
      <c r="B184" s="2162"/>
      <c r="C184" s="47"/>
      <c r="D184" s="47"/>
      <c r="E184" s="47" t="s">
        <v>5</v>
      </c>
      <c r="F184" s="47"/>
      <c r="G184" s="47"/>
      <c r="H184" s="47"/>
      <c r="I184" s="47"/>
      <c r="J184" s="47"/>
      <c r="K184" s="47"/>
      <c r="L184" s="47"/>
      <c r="M184" s="47"/>
      <c r="N184" s="47"/>
      <c r="O184" s="67"/>
      <c r="P184" s="1164"/>
      <c r="Q184" s="1164"/>
      <c r="R184" s="1164"/>
      <c r="S184" s="1164"/>
      <c r="T184" s="1164"/>
      <c r="U184" s="1164"/>
      <c r="V184" s="1164"/>
    </row>
    <row r="185" spans="1:99" hidden="1">
      <c r="B185" s="2162"/>
      <c r="C185" s="937"/>
      <c r="D185" s="915"/>
      <c r="E185" s="932"/>
      <c r="F185" s="933"/>
      <c r="G185" s="934"/>
      <c r="H185" s="934"/>
      <c r="I185" s="934"/>
      <c r="J185" s="934"/>
      <c r="K185" s="934"/>
      <c r="L185" s="934"/>
      <c r="M185" s="934"/>
      <c r="N185" s="935" t="s">
        <v>2738</v>
      </c>
      <c r="O185" s="67"/>
      <c r="P185" s="1164"/>
      <c r="Q185" s="1164"/>
      <c r="R185" s="1164"/>
      <c r="S185" s="1164"/>
      <c r="T185" s="1164"/>
      <c r="U185" s="1164"/>
      <c r="V185" s="1164"/>
    </row>
    <row r="186" spans="1:99" hidden="1">
      <c r="B186" s="2162"/>
      <c r="C186" s="1069" t="s">
        <v>1690</v>
      </c>
      <c r="D186" s="1070"/>
      <c r="E186" s="971" t="s">
        <v>159</v>
      </c>
      <c r="F186" s="972">
        <v>2013</v>
      </c>
      <c r="G186" s="965">
        <v>2015</v>
      </c>
      <c r="H186" s="965">
        <v>2020</v>
      </c>
      <c r="I186" s="965">
        <v>2025</v>
      </c>
      <c r="J186" s="965">
        <v>2030</v>
      </c>
      <c r="K186" s="965">
        <v>2035</v>
      </c>
      <c r="L186" s="965">
        <v>2040</v>
      </c>
      <c r="M186" s="965">
        <v>2045</v>
      </c>
      <c r="N186" s="965">
        <v>2050</v>
      </c>
      <c r="O186" s="67"/>
      <c r="P186" s="1164"/>
      <c r="Q186" s="1164"/>
      <c r="R186" s="1164"/>
      <c r="S186" s="1164"/>
      <c r="T186" s="1164"/>
      <c r="U186" s="1164"/>
      <c r="V186" s="1164"/>
    </row>
    <row r="187" spans="1:99" hidden="1">
      <c r="B187" s="2162"/>
      <c r="C187" s="967" t="s">
        <v>719</v>
      </c>
      <c r="D187" s="1070"/>
      <c r="E187" s="2394"/>
      <c r="F187" s="2397"/>
      <c r="G187" s="2397"/>
      <c r="H187" s="2397"/>
      <c r="I187" s="2397"/>
      <c r="J187" s="2397"/>
      <c r="K187" s="2397"/>
      <c r="L187" s="2397"/>
      <c r="M187" s="2397"/>
      <c r="N187" s="2397"/>
      <c r="O187" s="67"/>
      <c r="P187" s="1164"/>
      <c r="Q187" s="1164"/>
      <c r="R187" s="1164"/>
      <c r="S187" s="1164"/>
      <c r="T187" s="1164"/>
      <c r="U187" s="1164"/>
      <c r="V187" s="1164"/>
    </row>
    <row r="188" spans="1:99" hidden="1">
      <c r="B188" s="2162"/>
      <c r="C188" s="943" t="s">
        <v>720</v>
      </c>
      <c r="D188" s="915"/>
      <c r="E188" s="2395"/>
      <c r="F188" s="2398"/>
      <c r="G188" s="2398"/>
      <c r="H188" s="2398"/>
      <c r="I188" s="2398"/>
      <c r="J188" s="2398"/>
      <c r="K188" s="2398"/>
      <c r="L188" s="2398"/>
      <c r="M188" s="2398"/>
      <c r="N188" s="2398"/>
      <c r="O188" s="67"/>
      <c r="P188" s="1164"/>
      <c r="Q188" s="1164"/>
      <c r="R188" s="1164"/>
      <c r="S188" s="1164"/>
      <c r="T188" s="1164"/>
      <c r="U188" s="1164"/>
      <c r="V188" s="1164"/>
    </row>
    <row r="189" spans="1:99" hidden="1">
      <c r="B189" s="2162"/>
      <c r="C189" s="947" t="s">
        <v>721</v>
      </c>
      <c r="D189" s="948"/>
      <c r="E189" s="2396"/>
      <c r="F189" s="2399"/>
      <c r="G189" s="2399"/>
      <c r="H189" s="2399"/>
      <c r="I189" s="2399"/>
      <c r="J189" s="2399"/>
      <c r="K189" s="2399"/>
      <c r="L189" s="2399"/>
      <c r="M189" s="2399"/>
      <c r="N189" s="2399"/>
      <c r="O189" s="67"/>
      <c r="P189" s="1164"/>
      <c r="Q189" s="2161"/>
      <c r="R189" s="1164"/>
      <c r="S189" s="1164"/>
      <c r="T189" s="1164"/>
      <c r="U189" s="1164"/>
      <c r="V189" s="1164"/>
    </row>
    <row r="190" spans="1:99" hidden="1">
      <c r="B190" s="2162"/>
      <c r="C190" s="47"/>
      <c r="D190" s="47"/>
      <c r="E190" s="47"/>
      <c r="F190" s="47"/>
      <c r="G190" s="47"/>
      <c r="H190" s="47"/>
      <c r="I190" s="47"/>
      <c r="J190" s="47"/>
      <c r="K190" s="47"/>
      <c r="L190" s="47"/>
      <c r="M190" s="47"/>
      <c r="N190" s="47"/>
      <c r="O190" s="67"/>
      <c r="P190" s="1164"/>
      <c r="Q190" s="1164"/>
      <c r="R190" s="1164"/>
      <c r="S190" s="1164"/>
      <c r="T190" s="1164"/>
      <c r="U190" s="1164"/>
      <c r="V190" s="1164"/>
    </row>
    <row r="191" spans="1:99" hidden="1">
      <c r="B191" s="2162"/>
      <c r="C191" s="915"/>
      <c r="D191" s="932"/>
      <c r="E191" s="933"/>
      <c r="F191" s="933"/>
      <c r="G191" s="934"/>
      <c r="H191" s="934"/>
      <c r="I191" s="934"/>
      <c r="J191" s="934"/>
      <c r="K191" s="934"/>
      <c r="L191" s="934"/>
      <c r="M191" s="47"/>
      <c r="N191" s="935" t="s">
        <v>2739</v>
      </c>
      <c r="O191" s="67"/>
      <c r="P191" s="1164"/>
      <c r="Q191" s="1164"/>
      <c r="R191" s="1164"/>
      <c r="S191" s="1164"/>
      <c r="T191" s="1164"/>
      <c r="U191" s="1164"/>
      <c r="V191" s="1164"/>
    </row>
    <row r="192" spans="1:99" hidden="1">
      <c r="B192" s="2162"/>
      <c r="C192" s="2163" t="s">
        <v>1691</v>
      </c>
      <c r="D192" s="1070"/>
      <c r="E192" s="971" t="s">
        <v>159</v>
      </c>
      <c r="F192" s="972">
        <v>2013</v>
      </c>
      <c r="G192" s="965">
        <v>2015</v>
      </c>
      <c r="H192" s="965">
        <v>2020</v>
      </c>
      <c r="I192" s="965">
        <v>2025</v>
      </c>
      <c r="J192" s="965">
        <v>2030</v>
      </c>
      <c r="K192" s="965">
        <v>2035</v>
      </c>
      <c r="L192" s="965">
        <v>2040</v>
      </c>
      <c r="M192" s="965">
        <v>2045</v>
      </c>
      <c r="N192" s="965">
        <v>2050</v>
      </c>
      <c r="O192" s="67"/>
      <c r="P192" s="1164"/>
      <c r="Q192" s="1164"/>
      <c r="R192" s="1164"/>
      <c r="S192" s="1164"/>
      <c r="T192" s="1164"/>
      <c r="U192" s="1164"/>
      <c r="V192" s="1164"/>
    </row>
    <row r="193" spans="1:22" hidden="1">
      <c r="B193" s="2162"/>
      <c r="C193" s="967" t="s">
        <v>719</v>
      </c>
      <c r="D193" s="1070"/>
      <c r="E193" s="2394"/>
      <c r="F193" s="2397"/>
      <c r="G193" s="2397"/>
      <c r="H193" s="2397"/>
      <c r="I193" s="2397"/>
      <c r="J193" s="2397"/>
      <c r="K193" s="2397"/>
      <c r="L193" s="2397"/>
      <c r="M193" s="2397"/>
      <c r="N193" s="2397"/>
      <c r="O193" s="67"/>
      <c r="P193" s="1164"/>
      <c r="Q193" s="1164"/>
      <c r="R193" s="1164"/>
      <c r="S193" s="1164"/>
      <c r="T193" s="1164"/>
      <c r="U193" s="1164"/>
      <c r="V193" s="1164"/>
    </row>
    <row r="194" spans="1:22" hidden="1">
      <c r="B194" s="2162"/>
      <c r="C194" s="943" t="s">
        <v>720</v>
      </c>
      <c r="D194" s="915"/>
      <c r="E194" s="2395"/>
      <c r="F194" s="2398"/>
      <c r="G194" s="2398"/>
      <c r="H194" s="2398"/>
      <c r="I194" s="2398"/>
      <c r="J194" s="2398"/>
      <c r="K194" s="2398"/>
      <c r="L194" s="2398"/>
      <c r="M194" s="2398"/>
      <c r="N194" s="2398"/>
      <c r="O194" s="67"/>
      <c r="P194" s="1164"/>
      <c r="Q194" s="1164"/>
      <c r="R194" s="1164"/>
      <c r="S194" s="1164"/>
      <c r="T194" s="1164"/>
      <c r="U194" s="1164"/>
      <c r="V194" s="1164"/>
    </row>
    <row r="195" spans="1:22" hidden="1">
      <c r="B195" s="2162"/>
      <c r="C195" s="947" t="s">
        <v>721</v>
      </c>
      <c r="D195" s="948"/>
      <c r="E195" s="2396"/>
      <c r="F195" s="2399"/>
      <c r="G195" s="2399"/>
      <c r="H195" s="2399"/>
      <c r="I195" s="2399"/>
      <c r="J195" s="2399"/>
      <c r="K195" s="2399"/>
      <c r="L195" s="2399"/>
      <c r="M195" s="2399"/>
      <c r="N195" s="2399"/>
      <c r="O195" s="67"/>
      <c r="P195" s="1164"/>
      <c r="Q195" s="1164"/>
      <c r="R195" s="1164"/>
      <c r="S195" s="1164"/>
      <c r="T195" s="1164"/>
      <c r="U195" s="1164"/>
      <c r="V195" s="1164"/>
    </row>
    <row r="196" spans="1:22" hidden="1">
      <c r="B196" s="2162"/>
      <c r="C196" s="2166"/>
      <c r="D196" s="2167"/>
      <c r="E196" s="2168"/>
      <c r="F196" s="2169"/>
      <c r="G196" s="2170"/>
      <c r="H196" s="2170"/>
      <c r="I196" s="2170"/>
      <c r="J196" s="2170"/>
      <c r="K196" s="2170"/>
      <c r="L196" s="2170"/>
      <c r="M196" s="2170"/>
      <c r="N196" s="1072"/>
      <c r="O196" s="67"/>
      <c r="P196" s="1164"/>
      <c r="Q196" s="1164"/>
      <c r="R196" s="1164"/>
      <c r="S196" s="1164"/>
      <c r="T196" s="1164"/>
      <c r="U196" s="1164"/>
      <c r="V196" s="1164"/>
    </row>
    <row r="197" spans="1:22" hidden="1">
      <c r="B197" s="1163"/>
      <c r="C197" s="1065"/>
      <c r="D197" s="1065"/>
      <c r="E197" s="1065"/>
      <c r="F197" s="1065"/>
      <c r="G197" s="1065"/>
      <c r="H197" s="1065"/>
      <c r="I197" s="1065"/>
      <c r="J197" s="1065"/>
      <c r="K197" s="1065"/>
      <c r="L197" s="1065"/>
      <c r="M197" s="1065"/>
      <c r="N197" s="1065"/>
      <c r="O197" s="1100"/>
    </row>
    <row r="198" spans="1:22">
      <c r="B198" s="868"/>
      <c r="E198" s="2348" t="s">
        <v>5</v>
      </c>
    </row>
    <row r="200" spans="1:22" ht="23.5">
      <c r="A200" s="7"/>
      <c r="B200" s="869" t="s">
        <v>177</v>
      </c>
      <c r="C200" s="1272"/>
      <c r="D200" s="1272"/>
      <c r="E200" s="1272"/>
      <c r="F200" s="1272"/>
      <c r="G200" s="1272"/>
      <c r="H200" s="1272"/>
      <c r="I200" s="1272"/>
      <c r="J200" s="1272"/>
      <c r="K200" s="1272"/>
      <c r="L200" s="1272"/>
      <c r="M200" s="1272"/>
      <c r="N200" s="1272"/>
      <c r="O200" s="1273"/>
    </row>
    <row r="201" spans="1:22">
      <c r="B201" s="105"/>
      <c r="C201" s="67"/>
      <c r="D201" s="67"/>
      <c r="E201" s="67"/>
      <c r="F201" s="67"/>
      <c r="G201" s="67"/>
      <c r="H201" s="67"/>
      <c r="I201" s="67"/>
      <c r="J201" s="67"/>
      <c r="K201" s="67"/>
      <c r="L201" s="67"/>
      <c r="M201" s="67"/>
      <c r="N201" s="67"/>
      <c r="O201" s="876"/>
    </row>
    <row r="202" spans="1:22">
      <c r="B202" s="105"/>
      <c r="C202" s="49" t="s">
        <v>2658</v>
      </c>
      <c r="D202" s="67"/>
      <c r="E202" s="67"/>
      <c r="F202" s="67"/>
      <c r="G202" s="67"/>
      <c r="H202" s="67"/>
      <c r="I202" s="67"/>
      <c r="J202" s="67"/>
      <c r="K202" s="67"/>
      <c r="L202" s="67"/>
      <c r="M202" s="67"/>
      <c r="N202" s="51" t="str">
        <f>Preferences.PowerUnits</f>
        <v>GW</v>
      </c>
      <c r="O202" s="876"/>
    </row>
    <row r="203" spans="1:22">
      <c r="B203" s="105"/>
      <c r="C203" s="67"/>
      <c r="D203" s="67"/>
      <c r="E203" s="67"/>
      <c r="F203" s="67"/>
      <c r="G203" s="67"/>
      <c r="H203" s="67"/>
      <c r="I203" s="67"/>
      <c r="J203" s="67"/>
      <c r="K203" s="67"/>
      <c r="L203" s="67"/>
      <c r="M203" s="67"/>
      <c r="N203" s="67"/>
      <c r="O203" s="876"/>
    </row>
    <row r="204" spans="1:22">
      <c r="B204" s="105"/>
      <c r="C204" s="878" t="s">
        <v>131</v>
      </c>
      <c r="D204" s="878" t="s">
        <v>712</v>
      </c>
      <c r="E204" s="878" t="s">
        <v>30</v>
      </c>
      <c r="F204" s="87">
        <v>2013</v>
      </c>
      <c r="G204" s="2141">
        <v>2015</v>
      </c>
      <c r="H204" s="2141">
        <v>2020</v>
      </c>
      <c r="I204" s="2141">
        <v>2025</v>
      </c>
      <c r="J204" s="2141">
        <v>2030</v>
      </c>
      <c r="K204" s="2141">
        <v>2035</v>
      </c>
      <c r="L204" s="2141">
        <v>2040</v>
      </c>
      <c r="M204" s="2141">
        <v>2045</v>
      </c>
      <c r="N204" s="2141">
        <v>2050</v>
      </c>
      <c r="O204" s="876"/>
    </row>
    <row r="205" spans="1:22">
      <c r="B205" s="105"/>
      <c r="C205" s="65" t="s">
        <v>97</v>
      </c>
      <c r="D205" s="103" t="s">
        <v>2656</v>
      </c>
      <c r="E205" s="881" t="s">
        <v>64</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76"/>
    </row>
    <row r="206" spans="1:22" s="3383" customFormat="1">
      <c r="B206" s="105"/>
      <c r="C206" s="65" t="s">
        <v>97</v>
      </c>
      <c r="D206" s="103" t="s">
        <v>1412</v>
      </c>
      <c r="E206" s="103"/>
      <c r="F206" s="59">
        <f>F85+F46</f>
        <v>0.32599999999999996</v>
      </c>
      <c r="G206" s="59">
        <f>G85+G46</f>
        <v>0.31099999999999994</v>
      </c>
      <c r="H206" s="59">
        <f>H85+H46</f>
        <v>0.31099999999999994</v>
      </c>
      <c r="I206" s="59">
        <f>I85+I46</f>
        <v>0.31099999999999994</v>
      </c>
      <c r="J206" s="59">
        <f>J85+J46</f>
        <v>0.31099999999999994</v>
      </c>
      <c r="K206" s="59">
        <f>IF($E$7&lt;3, 0, K85+K46)</f>
        <v>0</v>
      </c>
      <c r="L206" s="59">
        <f>IF($E$7&lt;3, 0, L85+L46)</f>
        <v>0</v>
      </c>
      <c r="M206" s="59">
        <f>IF($E$7&lt;3, 0, M85+M46)</f>
        <v>0</v>
      </c>
      <c r="N206" s="59">
        <f>IF($E$7&lt;3, 0, N85+N46)</f>
        <v>0</v>
      </c>
      <c r="O206" s="876"/>
    </row>
    <row r="207" spans="1:22">
      <c r="B207" s="105"/>
      <c r="C207" s="917" t="s">
        <v>97</v>
      </c>
      <c r="D207" s="194" t="s">
        <v>147</v>
      </c>
      <c r="E207" s="194"/>
      <c r="F207" s="1148">
        <v>3.5000000000000003E-2</v>
      </c>
      <c r="G207" s="1149">
        <f>G28</f>
        <v>3.5000000000000003E-2</v>
      </c>
      <c r="H207" s="1149">
        <f t="shared" ref="H207:N207" si="20">H28</f>
        <v>3.5000000000000003E-2</v>
      </c>
      <c r="I207" s="1149">
        <f t="shared" si="20"/>
        <v>3.5000000000000003E-2</v>
      </c>
      <c r="J207" s="1149">
        <f t="shared" si="20"/>
        <v>3.5000000000000003E-2</v>
      </c>
      <c r="K207" s="1149">
        <f t="shared" si="20"/>
        <v>0</v>
      </c>
      <c r="L207" s="1149">
        <f t="shared" si="20"/>
        <v>0</v>
      </c>
      <c r="M207" s="1149">
        <f t="shared" si="20"/>
        <v>0</v>
      </c>
      <c r="N207" s="1149">
        <f t="shared" si="20"/>
        <v>0</v>
      </c>
      <c r="O207" s="876"/>
    </row>
    <row r="208" spans="1:22">
      <c r="B208" s="105"/>
      <c r="C208" s="67"/>
      <c r="D208" s="67"/>
      <c r="E208" s="67"/>
      <c r="F208" s="67"/>
      <c r="G208" s="67" t="s">
        <v>5</v>
      </c>
      <c r="H208" s="67"/>
      <c r="I208" s="67"/>
      <c r="J208" s="67"/>
      <c r="K208" s="67"/>
      <c r="L208" s="67"/>
      <c r="M208" s="67"/>
      <c r="N208" s="67"/>
      <c r="O208" s="876"/>
    </row>
    <row r="209" spans="2:15">
      <c r="B209" s="105"/>
      <c r="C209" s="49" t="s">
        <v>1694</v>
      </c>
      <c r="D209" s="67"/>
      <c r="E209" s="51"/>
      <c r="F209" s="67"/>
      <c r="G209" s="67"/>
      <c r="H209" s="67"/>
      <c r="I209" s="67"/>
      <c r="J209" s="67"/>
      <c r="K209" s="67"/>
      <c r="L209" s="67"/>
      <c r="M209" s="67"/>
      <c r="N209" s="67"/>
      <c r="O209" s="876"/>
    </row>
    <row r="210" spans="2:15">
      <c r="B210" s="105"/>
      <c r="C210" s="67"/>
      <c r="D210" s="67"/>
      <c r="E210" s="67"/>
      <c r="F210" s="67"/>
      <c r="G210" s="67"/>
      <c r="H210" s="67"/>
      <c r="I210" s="67"/>
      <c r="J210" s="67"/>
      <c r="K210" s="67"/>
      <c r="L210" s="67"/>
      <c r="M210" s="67"/>
      <c r="N210" s="67"/>
      <c r="O210" s="876"/>
    </row>
    <row r="211" spans="2:15" ht="15.5">
      <c r="B211" s="55"/>
      <c r="C211" s="878" t="s">
        <v>131</v>
      </c>
      <c r="D211" s="878" t="s">
        <v>712</v>
      </c>
      <c r="E211" s="878" t="s">
        <v>30</v>
      </c>
      <c r="F211" s="900">
        <v>2013</v>
      </c>
      <c r="G211" s="2141">
        <v>2015</v>
      </c>
      <c r="H211" s="2141">
        <v>2020</v>
      </c>
      <c r="I211" s="2141">
        <v>2025</v>
      </c>
      <c r="J211" s="2141">
        <v>2030</v>
      </c>
      <c r="K211" s="2141">
        <v>2035</v>
      </c>
      <c r="L211" s="2141">
        <v>2040</v>
      </c>
      <c r="M211" s="2141">
        <v>2045</v>
      </c>
      <c r="N211" s="2141">
        <v>2050</v>
      </c>
      <c r="O211" s="876"/>
    </row>
    <row r="212" spans="2:15" ht="15.5">
      <c r="B212" s="966"/>
      <c r="C212" s="65" t="s">
        <v>97</v>
      </c>
      <c r="D212" s="103" t="s">
        <v>2694</v>
      </c>
      <c r="E212" s="881"/>
      <c r="F212" s="1025">
        <f>F205+F206+F207</f>
        <v>1.216</v>
      </c>
      <c r="G212" s="1025">
        <f t="shared" ref="G212:N212" si="21">G205+G206+G207</f>
        <v>1.2009999999999998</v>
      </c>
      <c r="H212" s="1025">
        <f t="shared" si="21"/>
        <v>0.91600000000000004</v>
      </c>
      <c r="I212" s="1025">
        <f t="shared" si="21"/>
        <v>0.91600000000000004</v>
      </c>
      <c r="J212" s="1025">
        <f t="shared" si="21"/>
        <v>0.63100000000000012</v>
      </c>
      <c r="K212" s="1025">
        <f t="shared" si="21"/>
        <v>0</v>
      </c>
      <c r="L212" s="1025">
        <f t="shared" si="21"/>
        <v>0</v>
      </c>
      <c r="M212" s="1025">
        <f t="shared" si="21"/>
        <v>0</v>
      </c>
      <c r="N212" s="1025">
        <f t="shared" si="21"/>
        <v>0</v>
      </c>
      <c r="O212" s="884"/>
    </row>
    <row r="213" spans="2:15" ht="15.5">
      <c r="B213" s="966"/>
      <c r="C213" s="65" t="s">
        <v>98</v>
      </c>
      <c r="D213" s="103" t="s">
        <v>1679</v>
      </c>
      <c r="E213" s="103"/>
      <c r="F213" s="3454">
        <f>F86</f>
        <v>1.1000000000000001</v>
      </c>
      <c r="G213" s="3454">
        <f>G86</f>
        <v>0.91600000000000004</v>
      </c>
      <c r="H213" s="3454">
        <f t="shared" ref="H213:N213" si="22">H86</f>
        <v>0.32400000000000001</v>
      </c>
      <c r="I213" s="3454">
        <f t="shared" si="22"/>
        <v>0.32400000000000001</v>
      </c>
      <c r="J213" s="3454">
        <f t="shared" si="22"/>
        <v>0.32400000000000001</v>
      </c>
      <c r="K213" s="3454">
        <f t="shared" si="22"/>
        <v>0</v>
      </c>
      <c r="L213" s="3454">
        <f t="shared" si="22"/>
        <v>0</v>
      </c>
      <c r="M213" s="3454">
        <f t="shared" si="22"/>
        <v>0</v>
      </c>
      <c r="N213" s="60">
        <f t="shared" si="22"/>
        <v>0</v>
      </c>
      <c r="O213" s="884"/>
    </row>
    <row r="214" spans="2:15" ht="15.5">
      <c r="B214" s="966"/>
      <c r="C214" s="887" t="s">
        <v>99</v>
      </c>
      <c r="D214" s="888" t="s">
        <v>1695</v>
      </c>
      <c r="E214" s="888"/>
      <c r="F214" s="1178">
        <v>3.8</v>
      </c>
      <c r="G214" s="898" t="s">
        <v>1696</v>
      </c>
      <c r="H214" s="898" t="s">
        <v>1696</v>
      </c>
      <c r="I214" s="898" t="s">
        <v>1696</v>
      </c>
      <c r="J214" s="898" t="s">
        <v>1696</v>
      </c>
      <c r="K214" s="898" t="s">
        <v>1696</v>
      </c>
      <c r="L214" s="898" t="s">
        <v>1696</v>
      </c>
      <c r="M214" s="898" t="s">
        <v>1696</v>
      </c>
      <c r="N214" s="898" t="s">
        <v>1696</v>
      </c>
      <c r="O214" s="884"/>
    </row>
    <row r="215" spans="2:15">
      <c r="B215" s="45"/>
      <c r="C215" s="67"/>
      <c r="D215" s="195"/>
      <c r="E215" s="67"/>
      <c r="F215" s="67"/>
      <c r="G215" s="67"/>
      <c r="H215" s="67"/>
      <c r="I215" s="67"/>
      <c r="J215" s="67"/>
      <c r="K215" s="67"/>
      <c r="L215" s="67"/>
      <c r="M215" s="67"/>
      <c r="N215" s="67"/>
      <c r="O215" s="876"/>
    </row>
    <row r="216" spans="2:15">
      <c r="B216" s="45"/>
      <c r="C216" s="1464" t="s">
        <v>1697</v>
      </c>
      <c r="D216" s="67"/>
      <c r="E216" s="67"/>
      <c r="F216" s="67"/>
      <c r="G216" s="67"/>
      <c r="H216" s="67"/>
      <c r="I216" s="67"/>
      <c r="J216" s="67"/>
      <c r="K216" s="67"/>
      <c r="L216" s="67"/>
      <c r="M216" s="67"/>
      <c r="N216" s="51" t="s">
        <v>1698</v>
      </c>
      <c r="O216" s="876"/>
    </row>
    <row r="217" spans="2:15">
      <c r="B217" s="45"/>
      <c r="C217" s="195"/>
      <c r="D217" s="195"/>
      <c r="E217" s="67"/>
      <c r="F217" s="67"/>
      <c r="G217" s="67"/>
      <c r="H217" s="67"/>
      <c r="I217" s="67"/>
      <c r="J217" s="67"/>
      <c r="K217" s="67"/>
      <c r="L217" s="67"/>
      <c r="M217" s="67"/>
      <c r="N217" s="67"/>
      <c r="O217" s="876"/>
    </row>
    <row r="218" spans="2:15">
      <c r="B218" s="45"/>
      <c r="C218" s="878" t="s">
        <v>131</v>
      </c>
      <c r="D218" s="878" t="s">
        <v>712</v>
      </c>
      <c r="E218" s="878" t="s">
        <v>30</v>
      </c>
      <c r="F218" s="900">
        <v>2013</v>
      </c>
      <c r="G218" s="900">
        <v>2015</v>
      </c>
      <c r="H218" s="900">
        <v>2020</v>
      </c>
      <c r="I218" s="900">
        <v>2025</v>
      </c>
      <c r="J218" s="900">
        <v>2030</v>
      </c>
      <c r="K218" s="900">
        <v>2035</v>
      </c>
      <c r="L218" s="900">
        <v>2040</v>
      </c>
      <c r="M218" s="900">
        <v>2045</v>
      </c>
      <c r="N218" s="900">
        <v>2050</v>
      </c>
      <c r="O218" s="876"/>
    </row>
    <row r="219" spans="2:15">
      <c r="B219" s="45"/>
      <c r="C219" s="917" t="s">
        <v>97</v>
      </c>
      <c r="D219" s="194" t="s">
        <v>2657</v>
      </c>
      <c r="E219" s="194"/>
      <c r="F219" s="142">
        <f>((F207*$D$79)+(F205*$D$79)+(F206*$D$79))/F212</f>
        <v>0.80000000000000016</v>
      </c>
      <c r="G219" s="142">
        <f>((G207*$D$79)+(G205*$D$79)+(G206*$D$79))/G212</f>
        <v>0.80000000000000016</v>
      </c>
      <c r="H219" s="142">
        <f>((H207*$D$79)+(H205*$D$79)+(H206*$D$79))/H212</f>
        <v>0.8</v>
      </c>
      <c r="I219" s="142">
        <f>((I207*$D$79)+(I205*$D$79)+(I206*$D$79))/I212</f>
        <v>0.8</v>
      </c>
      <c r="J219" s="142">
        <f>((J207*$D$79)+(J205*$D$79)+(J206*$D$79))/J212</f>
        <v>0.8</v>
      </c>
      <c r="K219" s="142">
        <f>IF(K212=0, 0, ((K207*$D$79)+(K205*$D$79)+(K206*$D$79))/K212)</f>
        <v>0</v>
      </c>
      <c r="L219" s="142">
        <f>IF(L212=0, 0, ((L207*$D$79)+(L205*$D$79)+(L206*$D$79))/L212)</f>
        <v>0</v>
      </c>
      <c r="M219" s="142">
        <f>IF(M212=0, 0, ((M207*$D$79)+(M205*$D$79)+(M206*$D$79))/M212)</f>
        <v>0</v>
      </c>
      <c r="N219" s="142">
        <f>IF(N212=0, 0, ((N207*$D$79)+(N205*$D$79)+(N206*$D$79))/N212)</f>
        <v>0</v>
      </c>
      <c r="O219" s="876"/>
    </row>
    <row r="220" spans="2:15" s="4096" customFormat="1">
      <c r="B220" s="45"/>
      <c r="C220" s="65"/>
      <c r="D220" s="103"/>
      <c r="E220" s="103"/>
      <c r="F220" s="88"/>
      <c r="G220" s="88"/>
      <c r="H220" s="88"/>
      <c r="I220" s="88"/>
      <c r="J220" s="88"/>
      <c r="K220" s="88"/>
      <c r="L220" s="88"/>
      <c r="M220" s="88"/>
      <c r="N220" s="88"/>
      <c r="O220" s="876"/>
    </row>
    <row r="221" spans="2:15" s="4096" customFormat="1">
      <c r="B221" s="45"/>
      <c r="C221" s="3567" t="s">
        <v>63</v>
      </c>
      <c r="D221" s="103"/>
      <c r="E221" s="103"/>
      <c r="F221" s="88"/>
      <c r="G221" s="88"/>
      <c r="H221" s="88"/>
      <c r="I221" s="88"/>
      <c r="J221" s="88"/>
      <c r="K221" s="88"/>
      <c r="L221" s="88"/>
      <c r="M221" s="88"/>
      <c r="N221" s="88"/>
      <c r="O221" s="876"/>
    </row>
    <row r="222" spans="2:15" s="4096" customFormat="1">
      <c r="B222" s="45"/>
      <c r="C222" s="920" t="s">
        <v>64</v>
      </c>
      <c r="D222" s="924" t="s">
        <v>3373</v>
      </c>
      <c r="E222" s="103"/>
      <c r="F222" s="88"/>
      <c r="G222" s="88"/>
      <c r="H222" s="88"/>
      <c r="I222" s="88"/>
      <c r="J222" s="88"/>
      <c r="K222" s="88"/>
      <c r="L222" s="88"/>
      <c r="M222" s="88"/>
      <c r="N222" s="88"/>
      <c r="O222" s="876"/>
    </row>
    <row r="223" spans="2:15">
      <c r="B223" s="45"/>
      <c r="C223" s="67"/>
      <c r="D223" s="195"/>
      <c r="E223" s="67"/>
      <c r="F223" s="67"/>
      <c r="G223" s="67"/>
      <c r="H223" s="67"/>
      <c r="I223" s="67"/>
      <c r="J223" s="67"/>
      <c r="K223" s="67"/>
      <c r="L223" s="67"/>
      <c r="M223" s="67"/>
      <c r="N223" s="67"/>
      <c r="O223" s="876"/>
    </row>
    <row r="225" spans="1:114" s="6" customFormat="1" ht="15.5">
      <c r="A225"/>
      <c r="B225" s="1101" t="s">
        <v>206</v>
      </c>
      <c r="C225"/>
      <c r="D225"/>
      <c r="E225"/>
      <c r="F225"/>
      <c r="G225" s="391">
        <f>F205/SUM(F$205:F$207)</f>
        <v>0.703125</v>
      </c>
      <c r="H225" s="409">
        <f ca="1">G225*F$258</f>
        <v>14.549060500766466</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s="391">
        <f>F206/SUM(F$205:F$207)</f>
        <v>0.26809210526315785</v>
      </c>
      <c r="H226" s="409">
        <f ca="1">G226*F$258</f>
        <v>5.5473610798244062</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54">
        <v>1</v>
      </c>
      <c r="C227" s="3821" t="s">
        <v>2976</v>
      </c>
      <c r="D227"/>
      <c r="E227"/>
      <c r="F227"/>
      <c r="G227" s="391">
        <f>F207/SUM(F$205:F$207)</f>
        <v>2.8782894736842108E-2</v>
      </c>
      <c r="H227" s="409">
        <f ca="1">G227*F$258</f>
        <v>0.59557557605476774</v>
      </c>
      <c r="I227"/>
      <c r="J227"/>
      <c r="K227"/>
      <c r="L227"/>
      <c r="M227"/>
      <c r="N227"/>
      <c r="O227"/>
      <c r="P227"/>
      <c r="Q227" s="4329"/>
      <c r="R227" s="4329"/>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54">
        <v>2</v>
      </c>
      <c r="C228" t="s">
        <v>1699</v>
      </c>
    </row>
    <row r="229" spans="1:114">
      <c r="B229" s="372"/>
      <c r="C229" s="6"/>
      <c r="D229" s="6"/>
      <c r="E229" s="6"/>
      <c r="F229" s="6"/>
      <c r="G229" s="6"/>
      <c r="H229" s="6"/>
      <c r="I229" s="6"/>
      <c r="J229" s="6"/>
      <c r="K229" s="6"/>
      <c r="L229" s="6"/>
      <c r="M229" s="6"/>
      <c r="N229" s="6"/>
      <c r="O229" s="6"/>
    </row>
    <row r="230" spans="1:114">
      <c r="B230" s="372"/>
      <c r="C230" s="6"/>
      <c r="D230" s="6"/>
      <c r="E230" s="6"/>
      <c r="F230" s="2171">
        <v>2013</v>
      </c>
      <c r="G230" s="2171">
        <v>2015</v>
      </c>
      <c r="H230" s="2171">
        <v>2020</v>
      </c>
      <c r="I230" s="2171">
        <v>2025</v>
      </c>
      <c r="J230" s="2171">
        <v>2030</v>
      </c>
      <c r="K230" s="2171">
        <v>2035</v>
      </c>
      <c r="L230" s="2171">
        <v>2040</v>
      </c>
      <c r="M230" s="2171">
        <v>2045</v>
      </c>
      <c r="N230" s="2171">
        <v>2050</v>
      </c>
      <c r="O230" s="6"/>
    </row>
    <row r="231" spans="1:114">
      <c r="B231" s="372" t="s">
        <v>2701</v>
      </c>
      <c r="C231" s="6"/>
      <c r="D231" s="6"/>
      <c r="E231" s="6"/>
      <c r="F231" s="6"/>
      <c r="G231" s="6"/>
      <c r="H231" s="6"/>
      <c r="I231" s="6"/>
      <c r="J231" s="6"/>
      <c r="K231" s="6"/>
      <c r="L231" s="6"/>
      <c r="M231" s="6"/>
      <c r="N231" s="6"/>
      <c r="O231" s="6"/>
    </row>
    <row r="232" spans="1:114">
      <c r="B232" s="6"/>
      <c r="C232" s="372" t="s">
        <v>1700</v>
      </c>
      <c r="D232" s="6"/>
      <c r="E232" s="6" t="str">
        <f>Preferences.PowerUnits</f>
        <v>GW</v>
      </c>
      <c r="F232" s="628">
        <f>F$213</f>
        <v>1.1000000000000001</v>
      </c>
      <c r="G232" s="628">
        <f t="shared" ref="G232:N232" si="23">G$213</f>
        <v>0.91600000000000004</v>
      </c>
      <c r="H232" s="628">
        <f t="shared" si="23"/>
        <v>0.32400000000000001</v>
      </c>
      <c r="I232" s="628">
        <f t="shared" si="23"/>
        <v>0.32400000000000001</v>
      </c>
      <c r="J232" s="628">
        <f t="shared" si="23"/>
        <v>0.32400000000000001</v>
      </c>
      <c r="K232" s="628">
        <f t="shared" si="23"/>
        <v>0</v>
      </c>
      <c r="L232" s="628">
        <f t="shared" si="23"/>
        <v>0</v>
      </c>
      <c r="M232" s="628">
        <f t="shared" si="23"/>
        <v>0</v>
      </c>
      <c r="N232" s="628">
        <f t="shared" si="23"/>
        <v>0</v>
      </c>
      <c r="O232" s="6"/>
    </row>
    <row r="233" spans="1:114">
      <c r="B233" s="6" t="s">
        <v>218</v>
      </c>
      <c r="C233" s="6" t="s">
        <v>714</v>
      </c>
      <c r="D233" s="6"/>
      <c r="E233" s="6"/>
      <c r="F233" s="413">
        <f>F$74</f>
        <v>7.0000000000000007E-2</v>
      </c>
      <c r="G233" s="413">
        <f t="shared" ref="G233:N233" si="24">G$74</f>
        <v>0</v>
      </c>
      <c r="H233" s="413">
        <f t="shared" si="24"/>
        <v>0</v>
      </c>
      <c r="I233" s="413">
        <f t="shared" si="24"/>
        <v>0</v>
      </c>
      <c r="J233" s="413">
        <f t="shared" si="24"/>
        <v>0</v>
      </c>
      <c r="K233" s="413">
        <f t="shared" si="24"/>
        <v>0</v>
      </c>
      <c r="L233" s="413">
        <f t="shared" si="24"/>
        <v>0</v>
      </c>
      <c r="M233" s="413">
        <f t="shared" si="24"/>
        <v>0</v>
      </c>
      <c r="N233" s="413">
        <f t="shared" si="24"/>
        <v>0</v>
      </c>
      <c r="O233" s="6"/>
    </row>
    <row r="234" spans="1:114">
      <c r="B234" s="1104" t="s">
        <v>220</v>
      </c>
      <c r="C234" s="6" t="s">
        <v>853</v>
      </c>
      <c r="D234" s="6"/>
      <c r="E234" s="6"/>
      <c r="F234" s="2172">
        <f t="shared" ref="F234:N234" si="25">F232*F233</f>
        <v>7.7000000000000013E-2</v>
      </c>
      <c r="G234" s="2172">
        <f t="shared" si="25"/>
        <v>0</v>
      </c>
      <c r="H234" s="2172">
        <f t="shared" si="25"/>
        <v>0</v>
      </c>
      <c r="I234" s="2172">
        <f t="shared" si="25"/>
        <v>0</v>
      </c>
      <c r="J234" s="2172">
        <f t="shared" si="25"/>
        <v>0</v>
      </c>
      <c r="K234" s="2172">
        <f t="shared" si="25"/>
        <v>0</v>
      </c>
      <c r="L234" s="2172">
        <f t="shared" si="25"/>
        <v>0</v>
      </c>
      <c r="M234" s="2172">
        <f t="shared" si="25"/>
        <v>0</v>
      </c>
      <c r="N234" s="2172">
        <f t="shared" si="25"/>
        <v>0</v>
      </c>
      <c r="O234" s="6"/>
    </row>
    <row r="235" spans="1:114">
      <c r="B235" s="372"/>
      <c r="C235" s="372" t="s">
        <v>1701</v>
      </c>
      <c r="D235" s="6"/>
      <c r="E235" s="6" t="str">
        <f>Preferences.EnergyUnits</f>
        <v>TWh</v>
      </c>
      <c r="F235" s="1113">
        <f>F234*Preferences.Unit.Power*Unit.year/Preferences.Unit.Energy</f>
        <v>0.67498200000000008</v>
      </c>
      <c r="G235" s="1113">
        <f t="shared" ref="G235:N235" si="26">G234*Preferences.Unit.Power*Unit.year/Preferences.Unit.Energy</f>
        <v>0</v>
      </c>
      <c r="H235" s="1113">
        <f t="shared" si="26"/>
        <v>0</v>
      </c>
      <c r="I235" s="1113">
        <f t="shared" si="26"/>
        <v>0</v>
      </c>
      <c r="J235" s="1113">
        <f t="shared" si="26"/>
        <v>0</v>
      </c>
      <c r="K235" s="1113">
        <f t="shared" si="26"/>
        <v>0</v>
      </c>
      <c r="L235" s="1113">
        <f t="shared" si="26"/>
        <v>0</v>
      </c>
      <c r="M235" s="1113">
        <f t="shared" si="26"/>
        <v>0</v>
      </c>
      <c r="N235" s="1113">
        <f t="shared" si="26"/>
        <v>0</v>
      </c>
      <c r="O235" s="6"/>
    </row>
    <row r="236" spans="1:114">
      <c r="B236" s="1104" t="s">
        <v>809</v>
      </c>
      <c r="C236" s="6" t="s">
        <v>1702</v>
      </c>
      <c r="D236" s="6"/>
      <c r="E236" s="6"/>
      <c r="F236" s="404">
        <f t="shared" ref="F236:N236" si="27">F$61*F235</f>
        <v>0.13499640000000002</v>
      </c>
      <c r="G236" s="404">
        <f t="shared" si="27"/>
        <v>0</v>
      </c>
      <c r="H236" s="404">
        <f t="shared" si="27"/>
        <v>0</v>
      </c>
      <c r="I236" s="404">
        <f t="shared" si="27"/>
        <v>0</v>
      </c>
      <c r="J236" s="404">
        <f t="shared" si="27"/>
        <v>0</v>
      </c>
      <c r="K236" s="404">
        <f t="shared" si="27"/>
        <v>0</v>
      </c>
      <c r="L236" s="404">
        <f t="shared" si="27"/>
        <v>0</v>
      </c>
      <c r="M236" s="404">
        <f t="shared" si="27"/>
        <v>0</v>
      </c>
      <c r="N236" s="404">
        <f t="shared" si="27"/>
        <v>0</v>
      </c>
      <c r="O236" s="6"/>
    </row>
    <row r="237" spans="1:114">
      <c r="B237" s="1108" t="s">
        <v>220</v>
      </c>
      <c r="C237" s="372" t="s">
        <v>1703</v>
      </c>
      <c r="D237" s="6"/>
      <c r="E237" s="6"/>
      <c r="F237" s="1105">
        <f t="shared" ref="F237:N237" si="28">F235+F236</f>
        <v>0.8099784000000001</v>
      </c>
      <c r="G237" s="1105">
        <f t="shared" si="28"/>
        <v>0</v>
      </c>
      <c r="H237" s="1105">
        <f t="shared" si="28"/>
        <v>0</v>
      </c>
      <c r="I237" s="1105">
        <f t="shared" si="28"/>
        <v>0</v>
      </c>
      <c r="J237" s="1105">
        <f t="shared" si="28"/>
        <v>0</v>
      </c>
      <c r="K237" s="1105">
        <f t="shared" si="28"/>
        <v>0</v>
      </c>
      <c r="L237" s="1105">
        <f t="shared" si="28"/>
        <v>0</v>
      </c>
      <c r="M237" s="1105">
        <f t="shared" si="28"/>
        <v>0</v>
      </c>
      <c r="N237" s="1105">
        <f t="shared" si="28"/>
        <v>0</v>
      </c>
      <c r="O237" s="6"/>
    </row>
    <row r="238" spans="1:114">
      <c r="B238" s="831" t="s">
        <v>1704</v>
      </c>
      <c r="C238" s="6" t="s">
        <v>811</v>
      </c>
      <c r="D238" s="6"/>
      <c r="E238" s="6"/>
      <c r="F238" s="1111">
        <f t="shared" ref="F238:N238" si="29">F$68</f>
        <v>0.3</v>
      </c>
      <c r="G238" s="1111">
        <f t="shared" si="29"/>
        <v>0.3</v>
      </c>
      <c r="H238" s="1111">
        <f t="shared" si="29"/>
        <v>0.3</v>
      </c>
      <c r="I238" s="1111">
        <f t="shared" si="29"/>
        <v>0.3</v>
      </c>
      <c r="J238" s="1111">
        <f t="shared" si="29"/>
        <v>0.3</v>
      </c>
      <c r="K238" s="1111">
        <f t="shared" si="29"/>
        <v>0.3</v>
      </c>
      <c r="L238" s="1111">
        <f t="shared" si="29"/>
        <v>0.3</v>
      </c>
      <c r="M238" s="1111">
        <f t="shared" si="29"/>
        <v>0.3</v>
      </c>
      <c r="N238" s="1111">
        <f t="shared" si="29"/>
        <v>0.3</v>
      </c>
      <c r="O238" s="6"/>
    </row>
    <row r="239" spans="1:114" s="6" customFormat="1">
      <c r="A239"/>
      <c r="B239" s="1108" t="s">
        <v>220</v>
      </c>
      <c r="C239" s="372" t="s">
        <v>1705</v>
      </c>
      <c r="F239" s="364">
        <f t="shared" ref="F239:N239" si="30">F237/F238</f>
        <v>2.6999280000000003</v>
      </c>
      <c r="G239" s="364">
        <f t="shared" si="30"/>
        <v>0</v>
      </c>
      <c r="H239" s="364">
        <f t="shared" si="30"/>
        <v>0</v>
      </c>
      <c r="I239" s="364">
        <f t="shared" si="30"/>
        <v>0</v>
      </c>
      <c r="J239" s="364">
        <f t="shared" si="30"/>
        <v>0</v>
      </c>
      <c r="K239" s="364">
        <f t="shared" si="30"/>
        <v>0</v>
      </c>
      <c r="L239" s="364">
        <f t="shared" si="30"/>
        <v>0</v>
      </c>
      <c r="M239" s="364">
        <f t="shared" si="30"/>
        <v>0</v>
      </c>
      <c r="N239" s="364">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08"/>
      <c r="C240" s="372"/>
      <c r="F240" s="1113"/>
      <c r="G240" s="1113"/>
      <c r="H240" s="1113"/>
      <c r="I240" s="1113"/>
      <c r="J240" s="1113"/>
      <c r="K240" s="1113"/>
      <c r="L240" s="1113"/>
      <c r="M240" s="1113"/>
      <c r="N240" s="1113"/>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24" t="s">
        <v>1706</v>
      </c>
      <c r="F241" s="404"/>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0" customFormat="1">
      <c r="A242" s="39"/>
      <c r="B242" s="3554"/>
      <c r="C242" s="3554"/>
      <c r="D242" s="3554"/>
      <c r="E242" s="3554" t="str">
        <f>Preferences.EnergyUnits</f>
        <v>TWh</v>
      </c>
      <c r="F242" s="3556">
        <f ca="1">MAX(-SUM(I.a.Inputs[2013])-F$235,0)</f>
        <v>19.108232082973807</v>
      </c>
      <c r="G242" s="3556">
        <f ca="1">MAX(-SUM(I.a.Inputs[2015])-G$235,0)</f>
        <v>19.48990957229227</v>
      </c>
      <c r="H242" s="3556">
        <f ca="1">MAX(-SUM(I.a.Inputs[2020])-H$235,0)</f>
        <v>21.190560440738988</v>
      </c>
      <c r="I242" s="3556">
        <f ca="1">MAX(-SUM(I.a.Inputs[2025])-I$235,0)</f>
        <v>26.4279143924857</v>
      </c>
      <c r="J242" s="3556">
        <f ca="1">MAX(-SUM(I.a.Inputs[2030])-J$235,0)</f>
        <v>31.467683465113346</v>
      </c>
      <c r="K242" s="3556">
        <f ca="1">MAX(-SUM(I.a.Inputs[2035])-K$235,0)</f>
        <v>35.992545512642891</v>
      </c>
      <c r="L242" s="3556">
        <f ca="1">MAX(-SUM(I.a.Inputs[2040])-L$235,0)</f>
        <v>38.514360700900369</v>
      </c>
      <c r="M242" s="3556">
        <f ca="1">MAX(-SUM(I.a.Inputs[2045])-M$235,0)</f>
        <v>41.126281356346361</v>
      </c>
      <c r="N242" s="3556">
        <f ca="1">MAX(-SUM(I.a.Inputs[2050])-N$235,0)</f>
        <v>43.836146815041346</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72" t="s">
        <v>762</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72" t="s">
        <v>1707</v>
      </c>
      <c r="E245" s="6" t="str">
        <f>Preferences.PowerUnits</f>
        <v>GW</v>
      </c>
      <c r="F245" s="628">
        <f t="shared" ref="F245:N245" ca="1" si="31">IF(AND(F242=0,$E$7=1),0,F$212)</f>
        <v>1.216</v>
      </c>
      <c r="G245" s="628">
        <f t="shared" ca="1" si="31"/>
        <v>1.2009999999999998</v>
      </c>
      <c r="H245" s="628">
        <f t="shared" ca="1" si="31"/>
        <v>0.91600000000000004</v>
      </c>
      <c r="I245" s="628">
        <f t="shared" ca="1" si="31"/>
        <v>0.91600000000000004</v>
      </c>
      <c r="J245" s="628">
        <f t="shared" ca="1" si="31"/>
        <v>0.63100000000000012</v>
      </c>
      <c r="K245" s="628">
        <f t="shared" ca="1" si="31"/>
        <v>0</v>
      </c>
      <c r="L245" s="628">
        <f t="shared" ca="1" si="31"/>
        <v>0</v>
      </c>
      <c r="M245" s="628">
        <f t="shared" ca="1" si="31"/>
        <v>0</v>
      </c>
      <c r="N245" s="628">
        <f t="shared" ca="1" si="31"/>
        <v>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218</v>
      </c>
      <c r="C246" s="6" t="s">
        <v>714</v>
      </c>
      <c r="F246" s="413">
        <f>F219</f>
        <v>0.80000000000000016</v>
      </c>
      <c r="G246" s="413">
        <f t="shared" ref="G246:N246" si="32">G219</f>
        <v>0.80000000000000016</v>
      </c>
      <c r="H246" s="413">
        <f t="shared" si="32"/>
        <v>0.8</v>
      </c>
      <c r="I246" s="413">
        <f t="shared" si="32"/>
        <v>0.8</v>
      </c>
      <c r="J246" s="413">
        <f t="shared" si="32"/>
        <v>0.8</v>
      </c>
      <c r="K246" s="413">
        <f t="shared" si="32"/>
        <v>0</v>
      </c>
      <c r="L246" s="413">
        <f t="shared" si="32"/>
        <v>0</v>
      </c>
      <c r="M246" s="413">
        <f t="shared" si="32"/>
        <v>0</v>
      </c>
      <c r="N246" s="413">
        <f t="shared" si="32"/>
        <v>0</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04" t="s">
        <v>220</v>
      </c>
      <c r="C247" s="6" t="s">
        <v>729</v>
      </c>
      <c r="F247" s="2172">
        <f ca="1">F245*F246</f>
        <v>0.97280000000000022</v>
      </c>
      <c r="G247" s="2172">
        <f t="shared" ref="G247:M247" ca="1" si="33">G245*G246</f>
        <v>0.9608000000000001</v>
      </c>
      <c r="H247" s="2172">
        <f t="shared" ca="1" si="33"/>
        <v>0.73280000000000012</v>
      </c>
      <c r="I247" s="2172">
        <f t="shared" ca="1" si="33"/>
        <v>0.73280000000000012</v>
      </c>
      <c r="J247" s="2172">
        <f t="shared" ca="1" si="33"/>
        <v>0.50480000000000014</v>
      </c>
      <c r="K247" s="2172">
        <f t="shared" ca="1" si="33"/>
        <v>0</v>
      </c>
      <c r="L247" s="2172">
        <f t="shared" ca="1" si="33"/>
        <v>0</v>
      </c>
      <c r="M247" s="2172">
        <f t="shared" ca="1" si="33"/>
        <v>0</v>
      </c>
      <c r="N247" s="2172">
        <f ca="1">N245*N246</f>
        <v>0</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04"/>
      <c r="C248" s="831"/>
      <c r="F248" s="404"/>
      <c r="G248" s="404"/>
      <c r="H248" s="404"/>
      <c r="I248" s="404"/>
      <c r="J248" s="404"/>
      <c r="K248" s="404"/>
      <c r="L248" s="404"/>
      <c r="M248" s="404"/>
      <c r="N248" s="404"/>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04" t="s">
        <v>220</v>
      </c>
      <c r="C249" s="372" t="s">
        <v>729</v>
      </c>
      <c r="E249" s="6" t="str">
        <f>Preferences.EnergyUnits</f>
        <v>TWh</v>
      </c>
      <c r="F249" s="3562">
        <f ca="1">F247*Preferences.Unit.Power*Unit.year/Preferences.Unit.Energy</f>
        <v>8.5275648000000022</v>
      </c>
      <c r="G249" s="1113">
        <f t="shared" ref="G249:N249" ca="1" si="34">G247*Preferences.Unit.Power*Unit.year/Preferences.Unit.Energy</f>
        <v>8.4223728000000015</v>
      </c>
      <c r="H249" s="1113">
        <f t="shared" ca="1" si="34"/>
        <v>6.4237248000000005</v>
      </c>
      <c r="I249" s="1113">
        <f t="shared" ca="1" si="34"/>
        <v>6.4237248000000005</v>
      </c>
      <c r="J249" s="1113">
        <f t="shared" ca="1" si="34"/>
        <v>4.4250768000000011</v>
      </c>
      <c r="K249" s="1113">
        <f t="shared" ca="1" si="34"/>
        <v>0</v>
      </c>
      <c r="L249" s="1113">
        <f t="shared" ca="1" si="34"/>
        <v>0</v>
      </c>
      <c r="M249" s="1113">
        <f t="shared" ca="1" si="34"/>
        <v>0</v>
      </c>
      <c r="N249" s="1113">
        <f t="shared" ca="1" si="34"/>
        <v>0</v>
      </c>
      <c r="P249" s="2173"/>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04"/>
      <c r="C250" s="372"/>
      <c r="F250" s="1113"/>
      <c r="G250" s="1113"/>
      <c r="H250" s="1113"/>
      <c r="I250" s="1113"/>
      <c r="J250" s="1113"/>
      <c r="K250" s="1113"/>
      <c r="L250" s="1113"/>
      <c r="M250" s="1113"/>
      <c r="N250" s="1113"/>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0" customFormat="1">
      <c r="A251" s="39"/>
      <c r="C251" s="3554" t="s">
        <v>1706</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54" customFormat="1">
      <c r="A252" s="39"/>
      <c r="F252" s="3555">
        <f t="shared" ref="F252:N252" ca="1" si="35">F$242*F$92/(1+F$92)</f>
        <v>6.02679528834339</v>
      </c>
      <c r="G252" s="3555">
        <f t="shared" ca="1" si="35"/>
        <v>6.1471775447605541</v>
      </c>
      <c r="H252" s="3555">
        <f t="shared" ca="1" si="35"/>
        <v>6.6835680698790174</v>
      </c>
      <c r="I252" s="3555">
        <f t="shared" ca="1" si="35"/>
        <v>8.335445647182409</v>
      </c>
      <c r="J252" s="3555">
        <f t="shared" ca="1" si="35"/>
        <v>9.9250043446777756</v>
      </c>
      <c r="K252" s="3555">
        <f t="shared" ca="1" si="35"/>
        <v>11.352159779572975</v>
      </c>
      <c r="L252" s="3555">
        <f t="shared" ca="1" si="35"/>
        <v>12.147548061893735</v>
      </c>
      <c r="M252" s="3555">
        <f t="shared" ca="1" si="35"/>
        <v>12.971355886260437</v>
      </c>
      <c r="N252" s="3555">
        <f t="shared" ca="1" si="35"/>
        <v>13.826055803426492</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72" t="s">
        <v>1708</v>
      </c>
      <c r="D254" s="372"/>
      <c r="E254" s="372"/>
      <c r="F254" s="1105">
        <f t="shared" ref="F254:N254" ca="1" si="36">IF(MIN(F249,F252)=0,(F$207*$D$79*Preferences.Unit.Power*Unit.year/Preferences.Unit.Energy),MIN(F249,F252))</f>
        <v>6.02679528834339</v>
      </c>
      <c r="G254" s="1105">
        <f t="shared" ca="1" si="36"/>
        <v>6.1471775447605541</v>
      </c>
      <c r="H254" s="1105">
        <f t="shared" ca="1" si="36"/>
        <v>6.4237248000000005</v>
      </c>
      <c r="I254" s="1105">
        <f t="shared" ca="1" si="36"/>
        <v>6.4237248000000005</v>
      </c>
      <c r="J254" s="1105">
        <f t="shared" ca="1" si="36"/>
        <v>4.4250768000000011</v>
      </c>
      <c r="K254" s="3560">
        <f t="shared" ca="1" si="36"/>
        <v>0</v>
      </c>
      <c r="L254" s="3560">
        <f t="shared" ca="1" si="36"/>
        <v>0</v>
      </c>
      <c r="M254" s="3560">
        <f t="shared" ca="1" si="36"/>
        <v>0</v>
      </c>
      <c r="N254" s="3560">
        <f t="shared" ca="1" si="36"/>
        <v>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04" t="s">
        <v>809</v>
      </c>
      <c r="C255" s="6" t="s">
        <v>1702</v>
      </c>
      <c r="F255" s="404">
        <f t="shared" ref="F255:N255" ca="1" si="37">F$60*F254</f>
        <v>0.18080385865030169</v>
      </c>
      <c r="G255" s="404">
        <f t="shared" ca="1" si="37"/>
        <v>0.18441532634281663</v>
      </c>
      <c r="H255" s="404">
        <f t="shared" ca="1" si="37"/>
        <v>0.19271174400000002</v>
      </c>
      <c r="I255" s="404">
        <f t="shared" ca="1" si="37"/>
        <v>0.19271174400000002</v>
      </c>
      <c r="J255" s="404">
        <f t="shared" ca="1" si="37"/>
        <v>0.13275230400000004</v>
      </c>
      <c r="K255" s="404">
        <f t="shared" ca="1" si="37"/>
        <v>0</v>
      </c>
      <c r="L255" s="404">
        <f t="shared" ca="1" si="37"/>
        <v>0</v>
      </c>
      <c r="M255" s="404">
        <f t="shared" ca="1" si="37"/>
        <v>0</v>
      </c>
      <c r="N255" s="404">
        <f t="shared" ca="1" si="37"/>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04" t="s">
        <v>220</v>
      </c>
      <c r="C256" s="372" t="s">
        <v>1703</v>
      </c>
      <c r="F256" s="1105">
        <f t="shared" ref="F256:N256" ca="1" si="38">F254+F255</f>
        <v>6.207599146993692</v>
      </c>
      <c r="G256" s="1105">
        <f t="shared" ca="1" si="38"/>
        <v>6.3315928711033704</v>
      </c>
      <c r="H256" s="1105">
        <f t="shared" ca="1" si="38"/>
        <v>6.6164365440000008</v>
      </c>
      <c r="I256" s="1105">
        <f t="shared" ca="1" si="38"/>
        <v>6.6164365440000008</v>
      </c>
      <c r="J256" s="1105">
        <f t="shared" ca="1" si="38"/>
        <v>4.5578291040000014</v>
      </c>
      <c r="K256" s="1105">
        <f t="shared" ca="1" si="38"/>
        <v>0</v>
      </c>
      <c r="L256" s="1105">
        <f t="shared" ca="1" si="38"/>
        <v>0</v>
      </c>
      <c r="M256" s="1105">
        <f t="shared" ca="1" si="38"/>
        <v>0</v>
      </c>
      <c r="N256" s="1105">
        <f t="shared" ca="1" si="38"/>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31" t="s">
        <v>1704</v>
      </c>
      <c r="C257" s="6" t="s">
        <v>811</v>
      </c>
      <c r="F257" s="1111">
        <f t="shared" ref="F257:N257" si="39">F$67</f>
        <v>0.3</v>
      </c>
      <c r="G257" s="1111">
        <f t="shared" si="39"/>
        <v>0.3</v>
      </c>
      <c r="H257" s="1111">
        <f t="shared" si="39"/>
        <v>0.35</v>
      </c>
      <c r="I257" s="1111">
        <f t="shared" si="39"/>
        <v>0.35</v>
      </c>
      <c r="J257" s="1111">
        <f t="shared" si="39"/>
        <v>0.35</v>
      </c>
      <c r="K257" s="1111">
        <f t="shared" si="39"/>
        <v>0.35</v>
      </c>
      <c r="L257" s="1111">
        <f t="shared" si="39"/>
        <v>0.35</v>
      </c>
      <c r="M257" s="1111">
        <f t="shared" si="39"/>
        <v>0.35</v>
      </c>
      <c r="N257" s="1111">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04" t="s">
        <v>220</v>
      </c>
      <c r="C258" s="372" t="s">
        <v>2698</v>
      </c>
      <c r="F258" s="364">
        <f t="shared" ref="F258:N258" ca="1" si="40">F256/F257</f>
        <v>20.691997156645641</v>
      </c>
      <c r="G258" s="364">
        <f t="shared" ca="1" si="40"/>
        <v>21.10530957034457</v>
      </c>
      <c r="H258" s="364">
        <f t="shared" ca="1" si="40"/>
        <v>18.904104411428573</v>
      </c>
      <c r="I258" s="364">
        <f t="shared" ca="1" si="40"/>
        <v>18.904104411428573</v>
      </c>
      <c r="J258" s="364">
        <f t="shared" ca="1" si="40"/>
        <v>13.022368868571434</v>
      </c>
      <c r="K258" s="364">
        <f t="shared" ca="1" si="40"/>
        <v>0</v>
      </c>
      <c r="L258" s="364">
        <f t="shared" ca="1" si="40"/>
        <v>0</v>
      </c>
      <c r="M258" s="364">
        <f t="shared" ca="1" si="40"/>
        <v>0</v>
      </c>
      <c r="N258" s="364">
        <f t="shared" ca="1" si="40"/>
        <v>0</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04"/>
      <c r="N259" s="404"/>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72" t="s">
        <v>763</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72"/>
      <c r="C261" s="824" t="s">
        <v>1706</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54" customFormat="1">
      <c r="A262" s="39"/>
      <c r="E262" s="3554" t="str">
        <f>Preferences.EnergyUnits</f>
        <v>TWh</v>
      </c>
      <c r="F262" s="3557">
        <f t="shared" ref="F262:N262" ca="1" si="41">F$242-F$254</f>
        <v>13.081436794630417</v>
      </c>
      <c r="G262" s="3557">
        <f t="shared" ca="1" si="41"/>
        <v>13.342732027531715</v>
      </c>
      <c r="H262" s="3557">
        <f t="shared" ca="1" si="41"/>
        <v>14.766835640738988</v>
      </c>
      <c r="I262" s="3557">
        <f t="shared" ca="1" si="41"/>
        <v>20.004189592485702</v>
      </c>
      <c r="J262" s="3557">
        <f t="shared" ca="1" si="41"/>
        <v>27.042606665113347</v>
      </c>
      <c r="K262" s="3557">
        <f t="shared" ca="1" si="41"/>
        <v>35.992545512642891</v>
      </c>
      <c r="L262" s="3557">
        <f t="shared" ca="1" si="41"/>
        <v>38.514360700900369</v>
      </c>
      <c r="M262" s="3557">
        <f t="shared" ca="1" si="41"/>
        <v>41.126281356346361</v>
      </c>
      <c r="N262" s="3557">
        <f t="shared" ca="1" si="41"/>
        <v>43.836146815041346</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174"/>
      <c r="G263" s="2174"/>
      <c r="H263" s="2174"/>
      <c r="I263" s="2174"/>
      <c r="J263" s="2174"/>
      <c r="K263" s="2174"/>
      <c r="L263" s="2174"/>
      <c r="M263" s="2174"/>
      <c r="N263" s="2174"/>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72"/>
      <c r="C264" s="372" t="s">
        <v>1709</v>
      </c>
      <c r="D264" s="372"/>
      <c r="E264" s="372"/>
      <c r="F264" s="2175">
        <f ca="1">IF(F262&gt;0,F262,0)</f>
        <v>13.081436794630417</v>
      </c>
      <c r="G264" s="2175">
        <f t="shared" ref="G264:N264" ca="1" si="42">IF(G262&gt;0,G262,0)</f>
        <v>13.342732027531715</v>
      </c>
      <c r="H264" s="2175">
        <f t="shared" ca="1" si="42"/>
        <v>14.766835640738988</v>
      </c>
      <c r="I264" s="2175">
        <f t="shared" ca="1" si="42"/>
        <v>20.004189592485702</v>
      </c>
      <c r="J264" s="2175">
        <f t="shared" ca="1" si="42"/>
        <v>27.042606665113347</v>
      </c>
      <c r="K264" s="2175">
        <f t="shared" ca="1" si="42"/>
        <v>35.992545512642891</v>
      </c>
      <c r="L264" s="2175">
        <f t="shared" ca="1" si="42"/>
        <v>38.514360700900369</v>
      </c>
      <c r="M264" s="2175">
        <f t="shared" ca="1" si="42"/>
        <v>41.126281356346361</v>
      </c>
      <c r="N264" s="2175">
        <f t="shared" ca="1" si="42"/>
        <v>43.836146815041346</v>
      </c>
      <c r="O264" s="372"/>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04" t="s">
        <v>809</v>
      </c>
      <c r="C265" s="6" t="s">
        <v>1702</v>
      </c>
      <c r="F265" s="404">
        <f t="shared" ref="F265:N265" ca="1" si="43">F$62*F264</f>
        <v>0.2585048376778743</v>
      </c>
      <c r="G265" s="404">
        <f t="shared" ca="1" si="43"/>
        <v>0.26685464055063429</v>
      </c>
      <c r="H265" s="404">
        <f t="shared" ca="1" si="43"/>
        <v>0.29533671281477974</v>
      </c>
      <c r="I265" s="404">
        <f t="shared" ca="1" si="43"/>
        <v>0.40008379184971404</v>
      </c>
      <c r="J265" s="404">
        <f t="shared" ca="1" si="43"/>
        <v>0.540852133302267</v>
      </c>
      <c r="K265" s="404">
        <f t="shared" ca="1" si="43"/>
        <v>0.71985091025285786</v>
      </c>
      <c r="L265" s="404">
        <f t="shared" ca="1" si="43"/>
        <v>0.77028721401800737</v>
      </c>
      <c r="M265" s="404">
        <f t="shared" ca="1" si="43"/>
        <v>0.82252562712692723</v>
      </c>
      <c r="N265" s="404">
        <f t="shared" ca="1" si="43"/>
        <v>0.87672293630082698</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04" t="s">
        <v>220</v>
      </c>
      <c r="C266" s="372" t="s">
        <v>1703</v>
      </c>
      <c r="F266" s="1105">
        <f ca="1">F264+F265</f>
        <v>13.339941632308291</v>
      </c>
      <c r="G266" s="1105">
        <f t="shared" ref="G266:N266" ca="1" si="44">G264+G265</f>
        <v>13.609586668082351</v>
      </c>
      <c r="H266" s="1105">
        <f t="shared" ca="1" si="44"/>
        <v>15.062172353553768</v>
      </c>
      <c r="I266" s="1105">
        <f t="shared" ca="1" si="44"/>
        <v>20.404273384335415</v>
      </c>
      <c r="J266" s="1105">
        <f t="shared" ca="1" si="44"/>
        <v>27.583458798415613</v>
      </c>
      <c r="K266" s="1105">
        <f t="shared" ca="1" si="44"/>
        <v>36.71239642289575</v>
      </c>
      <c r="L266" s="1105">
        <f t="shared" ca="1" si="44"/>
        <v>39.284647914918374</v>
      </c>
      <c r="M266" s="1105">
        <f t="shared" ca="1" si="44"/>
        <v>41.94880698347329</v>
      </c>
      <c r="N266" s="1105">
        <f t="shared" ca="1" si="44"/>
        <v>44.712869751342176</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31" t="s">
        <v>1704</v>
      </c>
      <c r="C267" s="6" t="s">
        <v>1710</v>
      </c>
      <c r="F267" s="1111">
        <f>F$69</f>
        <v>0.55000000000000004</v>
      </c>
      <c r="G267" s="1111">
        <f t="shared" ref="G267:N267" si="45">G$69</f>
        <v>0.55000000000000004</v>
      </c>
      <c r="H267" s="1111">
        <f t="shared" si="45"/>
        <v>0.55000000000000004</v>
      </c>
      <c r="I267" s="1111">
        <f t="shared" si="45"/>
        <v>0.55000000000000004</v>
      </c>
      <c r="J267" s="1111">
        <f t="shared" si="45"/>
        <v>0.55000000000000004</v>
      </c>
      <c r="K267" s="1111">
        <f t="shared" si="45"/>
        <v>0.55000000000000004</v>
      </c>
      <c r="L267" s="1111">
        <f t="shared" si="45"/>
        <v>0.55000000000000004</v>
      </c>
      <c r="M267" s="1111">
        <f t="shared" si="45"/>
        <v>0.55000000000000004</v>
      </c>
      <c r="N267" s="1111">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04" t="s">
        <v>220</v>
      </c>
      <c r="C268" s="372" t="s">
        <v>1711</v>
      </c>
      <c r="F268" s="364">
        <f ca="1">F266/F267</f>
        <v>24.254439331469616</v>
      </c>
      <c r="G268" s="364">
        <f t="shared" ref="G268:N268" ca="1" si="46">G266/G267</f>
        <v>24.744703032876998</v>
      </c>
      <c r="H268" s="364">
        <f t="shared" ca="1" si="46"/>
        <v>27.385767915552304</v>
      </c>
      <c r="I268" s="364">
        <f t="shared" ca="1" si="46"/>
        <v>37.098678880609839</v>
      </c>
      <c r="J268" s="364">
        <f t="shared" ca="1" si="46"/>
        <v>50.151743269846563</v>
      </c>
      <c r="K268" s="364">
        <f t="shared" ca="1" si="46"/>
        <v>66.74981167799227</v>
      </c>
      <c r="L268" s="364">
        <f t="shared" ca="1" si="46"/>
        <v>71.426632572578853</v>
      </c>
      <c r="M268" s="364">
        <f t="shared" ca="1" si="46"/>
        <v>76.270558151769606</v>
      </c>
      <c r="N268" s="364">
        <f t="shared" ca="1" si="46"/>
        <v>81.296126820622135</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08"/>
      <c r="F269" s="1113"/>
      <c r="G269" s="1113"/>
      <c r="H269" s="1113"/>
      <c r="I269" s="1113"/>
      <c r="J269" s="1113"/>
      <c r="K269" s="1113"/>
      <c r="L269" s="1113"/>
      <c r="M269" s="1113"/>
      <c r="N269" s="1113"/>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72" t="s">
        <v>300</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250</v>
      </c>
      <c r="E271" s="6" t="s">
        <v>251</v>
      </c>
      <c r="F271" s="3731">
        <f ca="1">F$239*INDEX(EF[CO2],MATCH("V.04",EF[Vector],0))+F$268*INDEX(EF[CO2],MATCH("V.05",EF[Vector],0))+IF(F$206&gt;0,F$258*1.05*INDEX(EF[CO2],MATCH("V.03",EF[Vector],0)),F$258*INDEX(EF[CO2],MATCH("V.03",EF[Vector],0)))</f>
        <v>13.01324075376653</v>
      </c>
      <c r="G271" s="2137">
        <f ca="1">G$239*INDEX(EF[CO2],MATCH("V.04",EF[Vector],0))+G$268*INDEX(EF[CO2],MATCH("V.05",EF[Vector],0))+IF(G206&gt;0,G$258*1.05*INDEX(EF[CO2],MATCH("V.03",EF[Vector],0)),G$258*INDEX(EF[CO2],MATCH("V.03",EF[Vector],0)))</f>
        <v>12.547671831911057</v>
      </c>
      <c r="H271" s="2137">
        <f ca="1">H$239*INDEX(EF[CO2],MATCH("V.04",EF[Vector],0))+H$268*INDEX(EF[CO2],MATCH("V.05",EF[Vector],0))+IF(H206&gt;0,H$258*1.05*INDEX(EF[CO2],MATCH("V.03",EF[Vector],0)),H$258*INDEX(EF[CO2],MATCH("V.03",EF[Vector],0)))</f>
        <v>12.308018826892326</v>
      </c>
      <c r="I271" s="2137">
        <f ca="1">I$239*INDEX(EF[CO2],MATCH("V.04",EF[Vector],0))+I$268*INDEX(EF[CO2],MATCH("V.05",EF[Vector],0))+IF(I206&gt;0,I$258*1.05*INDEX(EF[CO2],MATCH("V.03",EF[Vector],0)),I$258*INDEX(EF[CO2],MATCH("V.03",EF[Vector],0)))</f>
        <v>14.296457615152061</v>
      </c>
      <c r="J271" s="2137">
        <f ca="1">J$239*INDEX(EF[CO2],MATCH("V.04",EF[Vector],0))+J$268*INDEX(EF[CO2],MATCH("V.05",EF[Vector],0))+IF(J206&gt;0,J$258*1.05*INDEX(EF[CO2],MATCH("V.03",EF[Vector],0)),J$258*INDEX(EF[CO2],MATCH("V.03",EF[Vector],0)))</f>
        <v>14.883600666941904</v>
      </c>
      <c r="K271" s="2137">
        <f ca="1">K$239*INDEX(EF[CO2],MATCH("V.04",EF[Vector],0))+K$268*INDEX(EF[CO2],MATCH("V.05",EF[Vector],0))+IF(K206&gt;0,K$258*1.05*INDEX(EF[CO2],MATCH("V.03",EF[Vector],0)),K$258*INDEX(EF[CO2],MATCH("V.03",EF[Vector],0)))</f>
        <v>13.66510154649259</v>
      </c>
      <c r="L271" s="2137">
        <f ca="1">L$239*INDEX(EF[CO2],MATCH("V.04",EF[Vector],0))+L$268*INDEX(EF[CO2],MATCH("V.05",EF[Vector],0))+IF(L206&gt;0,L$258*1.05*INDEX(EF[CO2],MATCH("V.03",EF[Vector],0)),L$258*INDEX(EF[CO2],MATCH("V.03",EF[Vector],0)))</f>
        <v>14.622545932217429</v>
      </c>
      <c r="M271" s="2137">
        <f ca="1">M$239*INDEX(EF[CO2],MATCH("V.04",EF[Vector],0))+M$268*INDEX(EF[CO2],MATCH("V.05",EF[Vector],0))+IF(M206&gt;0,M$258*1.05*INDEX(EF[CO2],MATCH("V.03",EF[Vector],0)),M$258*INDEX(EF[CO2],MATCH("V.03",EF[Vector],0)))</f>
        <v>15.614200189500055</v>
      </c>
      <c r="N271" s="2137">
        <f ca="1">N$239*INDEX(EF[CO2],MATCH("V.04",EF[Vector],0))+N$268*INDEX(EF[CO2],MATCH("V.05",EF[Vector],0))+IF(N206&gt;0,N$258*1.05*INDEX(EF[CO2],MATCH("V.03",EF[Vector],0)),N$258*INDEX(EF[CO2],MATCH("V.03",EF[Vector],0)))</f>
        <v>16.643040638069948</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24" customFormat="1">
      <c r="A272" s="39"/>
      <c r="B272" s="6"/>
      <c r="C272" s="6" t="s">
        <v>252</v>
      </c>
      <c r="D272" s="6"/>
      <c r="E272" s="6"/>
      <c r="F272" s="3731">
        <f ca="1">F$239*INDEX(EF[CH4],MATCH("V.04",EF[Vector],0))+F$268*INDEX(EF[CH4],MATCH("V.05",EF[Vector],0))+IF(F$206&gt;0,F$258*1.1*INDEX(EF[CH4],MATCH("V.03",EF[Vector],0)),F$258*INDEX(EF[CH4],MATCH("V.03",EF[Vector],0)))</f>
        <v>3.6505018223417594E-3</v>
      </c>
      <c r="G272" s="3731">
        <f ca="1">G$239*INDEX(EF[CH4],MATCH("V.04",EF[Vector],0))+G$268*INDEX(EF[CH4],MATCH("V.05",EF[Vector],0))+IF(G$206&gt;0,G$258*1.1*INDEX(EF[CH4],MATCH("V.03",EF[Vector],0)),G$258*INDEX(EF[CH4],MATCH("V.03",EF[Vector],0)))</f>
        <v>3.0992818299943993E-3</v>
      </c>
      <c r="H272" s="3731">
        <f ca="1">H$239*INDEX(EF[CH4],MATCH("V.04",EF[Vector],0))+H$268*INDEX(EF[CH4],MATCH("V.05",EF[Vector],0))+IF(H$206&gt;0,H$258*1.1*INDEX(EF[CH4],MATCH("V.03",EF[Vector],0)),H$258*INDEX(EF[CH4],MATCH("V.03",EF[Vector],0)))</f>
        <v>3.1708097804138344E-3</v>
      </c>
      <c r="I272" s="3731">
        <f ca="1">I$239*INDEX(EF[CH4],MATCH("V.04",EF[Vector],0))+I$268*INDEX(EF[CH4],MATCH("V.05",EF[Vector],0))+IF(I$206&gt;0,I$258*1.1*INDEX(EF[CH4],MATCH("V.03",EF[Vector],0)),I$258*INDEX(EF[CH4],MATCH("V.03",EF[Vector],0)))</f>
        <v>3.9051058493721844E-3</v>
      </c>
      <c r="J272" s="3731">
        <f ca="1">J$239*INDEX(EF[CH4],MATCH("V.04",EF[Vector],0))+J$268*INDEX(EF[CH4],MATCH("V.05",EF[Vector],0))+IF(J$206&gt;0,J$258*1.1*INDEX(EF[CH4],MATCH("V.03",EF[Vector],0)),J$258*INDEX(EF[CH4],MATCH("V.03",EF[Vector],0)))</f>
        <v>4.5495299277776811E-3</v>
      </c>
      <c r="K272" s="3731">
        <f ca="1">K$239*INDEX(EF[CH4],MATCH("V.04",EF[Vector],0))+K$268*INDEX(EF[CH4],MATCH("V.05",EF[Vector],0))+IF(K$206&gt;0,K$258*1.1*INDEX(EF[CH4],MATCH("V.03",EF[Vector],0)),K$258*INDEX(EF[CH4],MATCH("V.03",EF[Vector],0)))</f>
        <v>5.0462857628562159E-3</v>
      </c>
      <c r="L272" s="3731">
        <f ca="1">L$239*INDEX(EF[CH4],MATCH("V.04",EF[Vector],0))+L$268*INDEX(EF[CH4],MATCH("V.05",EF[Vector],0))+IF(L$206&gt;0,L$258*1.1*INDEX(EF[CH4],MATCH("V.03",EF[Vector],0)),L$258*INDEX(EF[CH4],MATCH("V.03",EF[Vector],0)))</f>
        <v>5.3998534224869617E-3</v>
      </c>
      <c r="M272" s="3731">
        <f ca="1">M$239*INDEX(EF[CH4],MATCH("V.04",EF[Vector],0))+M$268*INDEX(EF[CH4],MATCH("V.05",EF[Vector],0))+IF(M$206&gt;0,M$258*1.1*INDEX(EF[CH4],MATCH("V.03",EF[Vector],0)),M$258*INDEX(EF[CH4],MATCH("V.03",EF[Vector],0)))</f>
        <v>5.7660541962737824E-3</v>
      </c>
      <c r="N272" s="3731">
        <f ca="1">N$239*INDEX(EF[CH4],MATCH("V.04",EF[Vector],0))+N$268*INDEX(EF[CH4],MATCH("V.05",EF[Vector],0))+IF(N$206&gt;0,N$258*1.1*INDEX(EF[CH4],MATCH("V.03",EF[Vector],0)),N$258*INDEX(EF[CH4],MATCH("V.03",EF[Vector],0)))</f>
        <v>6.145987187639034E-3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253</v>
      </c>
      <c r="F273" s="2137">
        <f ca="1">F$239*INDEX(EF[N2O],MATCH("V.04",EF[Vector],0))+F$268*INDEX(EF[N2O],MATCH("V.05",EF[Vector],0))+IF(F$206&gt;0,F$258*1.1*INDEX(EF[N2O],MATCH("V.03",EF[Vector],0)),F$258*INDEX(EF[N2O],MATCH("V.03",EF[Vector],0)))</f>
        <v>9.3005687095917361E-2</v>
      </c>
      <c r="G273" s="2137">
        <f ca="1">G$239*INDEX(EF[N2O],MATCH("V.04",EF[Vector],0))+G$268*INDEX(EF[N2O],MATCH("V.05",EF[Vector],0))+IF(G$206&gt;0,G$258*1.1*INDEX(EF[N2O],MATCH("V.03",EF[Vector],0)),G$258*INDEX(EF[N2O],MATCH("V.03",EF[Vector],0)))</f>
        <v>9.3038195909880606E-2</v>
      </c>
      <c r="H273" s="2137">
        <f ca="1">H$239*INDEX(EF[N2O],MATCH("V.04",EF[Vector],0))+H$268*INDEX(EF[N2O],MATCH("V.05",EF[Vector],0))+IF(H$206&gt;0,H$258*1.1*INDEX(EF[N2O],MATCH("V.03",EF[Vector],0)),H$258*INDEX(EF[N2O],MATCH("V.03",EF[Vector],0)))</f>
        <v>0.10023463856962833</v>
      </c>
      <c r="I273" s="2137">
        <f ca="1">I$239*INDEX(EF[N2O],MATCH("V.04",EF[Vector],0))+I$268*INDEX(EF[N2O],MATCH("V.05",EF[Vector],0))+IF(I$206&gt;0,I$258*1.1*INDEX(EF[N2O],MATCH("V.03",EF[Vector],0)),I$258*INDEX(EF[N2O],MATCH("V.03",EF[Vector],0)))</f>
        <v>0.13166950361694055</v>
      </c>
      <c r="J273" s="2137">
        <f ca="1">J$239*INDEX(EF[N2O],MATCH("V.04",EF[Vector],0))+J$268*INDEX(EF[N2O],MATCH("V.05",EF[Vector],0))+IF(J$206&gt;0,J$258*1.1*INDEX(EF[N2O],MATCH("V.03",EF[Vector],0)),J$258*INDEX(EF[N2O],MATCH("V.03",EF[Vector],0)))</f>
        <v>0.17030423193006056</v>
      </c>
      <c r="K273" s="2137">
        <f ca="1">K$239*INDEX(EF[N2O],MATCH("V.04",EF[Vector],0))+K$268*INDEX(EF[N2O],MATCH("V.05",EF[Vector],0))+IF(K$206&gt;0,K$258*1.1*INDEX(EF[N2O],MATCH("V.03",EF[Vector],0)),K$258*INDEX(EF[N2O],MATCH("V.03",EF[Vector],0)))</f>
        <v>0.21602909051465419</v>
      </c>
      <c r="L273" s="2137">
        <f ca="1">L$239*INDEX(EF[N2O],MATCH("V.04",EF[Vector],0))+L$268*INDEX(EF[N2O],MATCH("V.05",EF[Vector],0))+IF(L$206&gt;0,L$258*1.1*INDEX(EF[N2O],MATCH("V.03",EF[Vector],0)),L$258*INDEX(EF[N2O],MATCH("V.03",EF[Vector],0)))</f>
        <v>0.2311651536578942</v>
      </c>
      <c r="M273" s="2137">
        <f ca="1">M$239*INDEX(EF[N2O],MATCH("V.04",EF[Vector],0))+M$268*INDEX(EF[N2O],MATCH("V.05",EF[Vector],0))+IF(M$206&gt;0,M$258*1.1*INDEX(EF[N2O],MATCH("V.03",EF[Vector],0)),M$258*INDEX(EF[N2O],MATCH("V.03",EF[Vector],0)))</f>
        <v>0.24684203440238714</v>
      </c>
      <c r="N273" s="2137">
        <f ca="1">N$239*INDEX(EF[N2O],MATCH("V.04",EF[Vector],0))+N$268*INDEX(EF[N2O],MATCH("V.05",EF[Vector],0))+IF(N$206&gt;0,N$258*1.1*INDEX(EF[N2O],MATCH("V.03",EF[Vector],0)),N$258*INDEX(EF[N2O],MATCH("V.03",EF[Vector],0)))</f>
        <v>0.26310678484226147</v>
      </c>
      <c r="O273" s="2137"/>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72" customFormat="1">
      <c r="A274" s="39"/>
      <c r="B274" s="6"/>
      <c r="C274" s="6"/>
      <c r="D274" s="6"/>
      <c r="E274" s="6"/>
      <c r="F274" s="404"/>
      <c r="G274" s="404" t="s">
        <v>5</v>
      </c>
      <c r="H274" s="404"/>
      <c r="I274" s="404"/>
      <c r="J274" s="404"/>
      <c r="K274" s="404"/>
      <c r="L274" s="404"/>
      <c r="M274" s="404"/>
      <c r="N274" s="404"/>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1712</v>
      </c>
      <c r="D275"/>
      <c r="E275"/>
      <c r="F275" s="2176">
        <v>2013</v>
      </c>
      <c r="G275" s="2176">
        <v>2015</v>
      </c>
      <c r="H275" s="2176">
        <v>2020</v>
      </c>
      <c r="I275" s="2176">
        <v>2025</v>
      </c>
      <c r="J275" s="2176">
        <v>2030</v>
      </c>
      <c r="K275" s="2176">
        <v>2035</v>
      </c>
      <c r="L275" s="2176">
        <v>2040</v>
      </c>
      <c r="M275" s="2176">
        <v>2045</v>
      </c>
      <c r="N275" s="2176">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47" t="s">
        <v>2699</v>
      </c>
      <c r="E276" s="2" t="s">
        <v>27</v>
      </c>
      <c r="F276" s="2091">
        <f t="shared" ref="F276:N276" ca="1" si="47">F258-F277</f>
        <v>19.704166658269365</v>
      </c>
      <c r="G276" s="2091">
        <f t="shared" ca="1" si="47"/>
        <v>19.683208506472113</v>
      </c>
      <c r="H276" s="2091">
        <f t="shared" ca="1" si="47"/>
        <v>17.199916943300831</v>
      </c>
      <c r="I276" s="2091">
        <f t="shared" ca="1" si="47"/>
        <v>16.861973009203652</v>
      </c>
      <c r="J276" s="2091">
        <f t="shared" ca="1" si="47"/>
        <v>10.526397739925685</v>
      </c>
      <c r="K276" s="2091">
        <f t="shared" ca="1" si="47"/>
        <v>0</v>
      </c>
      <c r="L276" s="2091">
        <f t="shared" ca="1" si="47"/>
        <v>0</v>
      </c>
      <c r="M276" s="2091">
        <f t="shared" ca="1" si="47"/>
        <v>0</v>
      </c>
      <c r="N276" s="2091">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0"/>
      <c r="D277" t="s">
        <v>1687</v>
      </c>
      <c r="E277"/>
      <c r="F277" s="3553">
        <f ca="1">F258*'Intermediate output'!AY253</f>
        <v>0.98783049837627546</v>
      </c>
      <c r="G277" s="3553">
        <f ca="1">G258*'Intermediate output'!AZ253</f>
        <v>1.4221010638724565</v>
      </c>
      <c r="H277" s="3553">
        <f ca="1">H258*'Intermediate output'!BA253</f>
        <v>1.7041874681277405</v>
      </c>
      <c r="I277" s="3553">
        <f ca="1">I258*'Intermediate output'!BB253</f>
        <v>2.0421314022249217</v>
      </c>
      <c r="J277" s="3553">
        <f ca="1">J258*'Intermediate output'!BC253</f>
        <v>2.4959711286457495</v>
      </c>
      <c r="K277" s="3553">
        <f ca="1">K258*'Intermediate output'!BD253</f>
        <v>0</v>
      </c>
      <c r="L277" s="3553">
        <f ca="1">L258*'Intermediate output'!BE253</f>
        <v>0</v>
      </c>
      <c r="M277" s="3553">
        <f ca="1">M258*'Intermediate output'!BF253</f>
        <v>0</v>
      </c>
      <c r="N277" s="3553">
        <f ca="1">N258*'Intermediate output'!BG253</f>
        <v>0</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88</v>
      </c>
      <c r="E278"/>
      <c r="F278" s="2091">
        <f t="shared" ref="F278:N279" si="48">-F338</f>
        <v>2.6999280000000003</v>
      </c>
      <c r="G278" s="2091">
        <f t="shared" si="48"/>
        <v>0</v>
      </c>
      <c r="H278" s="2091">
        <f t="shared" si="48"/>
        <v>0</v>
      </c>
      <c r="I278" s="2091">
        <f t="shared" si="48"/>
        <v>0</v>
      </c>
      <c r="J278" s="2091">
        <f t="shared" si="48"/>
        <v>0</v>
      </c>
      <c r="K278" s="2091">
        <f t="shared" si="48"/>
        <v>0</v>
      </c>
      <c r="L278" s="2091">
        <f t="shared" si="48"/>
        <v>0</v>
      </c>
      <c r="M278" s="2091">
        <f t="shared" si="48"/>
        <v>0</v>
      </c>
      <c r="N278" s="2091">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89</v>
      </c>
      <c r="E279"/>
      <c r="F279" s="2091">
        <f t="shared" ca="1" si="48"/>
        <v>24.254439331469616</v>
      </c>
      <c r="G279" s="2091">
        <f t="shared" ca="1" si="48"/>
        <v>24.744703032876998</v>
      </c>
      <c r="H279" s="2091">
        <f t="shared" ca="1" si="48"/>
        <v>27.385767915552304</v>
      </c>
      <c r="I279" s="2091">
        <f t="shared" ca="1" si="48"/>
        <v>37.098678880609839</v>
      </c>
      <c r="J279" s="2091">
        <f t="shared" ca="1" si="48"/>
        <v>50.151743269846563</v>
      </c>
      <c r="K279" s="2091">
        <f t="shared" ca="1" si="48"/>
        <v>66.74981167799227</v>
      </c>
      <c r="L279" s="2091">
        <f t="shared" ca="1" si="48"/>
        <v>71.426632572578853</v>
      </c>
      <c r="M279" s="2091">
        <f t="shared" ca="1" si="48"/>
        <v>76.270558151769606</v>
      </c>
      <c r="N279" s="2091">
        <f t="shared" ca="1" si="48"/>
        <v>81.296126820622135</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06" t="str">
        <f t="shared" ref="F280:N280" ca="1" si="49">IF(SUM(F276:F279,F337:F339)=0,"ok","error")</f>
        <v>ok</v>
      </c>
      <c r="G280" s="2406" t="str">
        <f t="shared" ca="1" si="49"/>
        <v>ok</v>
      </c>
      <c r="H280" s="2406" t="str">
        <f t="shared" ca="1" si="49"/>
        <v>ok</v>
      </c>
      <c r="I280" s="2406" t="str">
        <f t="shared" ca="1" si="49"/>
        <v>ok</v>
      </c>
      <c r="J280" s="2406" t="str">
        <f t="shared" ca="1" si="49"/>
        <v>ok</v>
      </c>
      <c r="K280" s="2406" t="str">
        <f t="shared" ca="1" si="49"/>
        <v>ok</v>
      </c>
      <c r="L280" s="2406" t="str">
        <f t="shared" ca="1" si="49"/>
        <v>ok</v>
      </c>
      <c r="M280" s="2406" t="str">
        <f t="shared" ca="1" si="49"/>
        <v>ok</v>
      </c>
      <c r="N280" s="2406"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177"/>
      <c r="G281" s="2177"/>
      <c r="H281" s="2177"/>
      <c r="I281" s="2177"/>
      <c r="J281" s="2177"/>
      <c r="K281" s="2177"/>
      <c r="L281" s="2177"/>
      <c r="M281" s="2177"/>
      <c r="N281" s="2177"/>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176"/>
      <c r="G282" s="2176"/>
      <c r="H282" s="2176"/>
      <c r="I282" s="2176"/>
      <c r="J282" s="2176"/>
      <c r="K282" s="2176"/>
      <c r="L282" s="2176"/>
      <c r="M282" s="2176"/>
      <c r="N282" s="2176"/>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257</v>
      </c>
      <c r="D283" t="s">
        <v>258</v>
      </c>
      <c r="E283" t="s">
        <v>831</v>
      </c>
      <c r="F283" s="1179">
        <f t="shared" ref="F283:N283" ca="1" si="50">SUMPRODUCT(F$276:F$279,F$106:F$109)</f>
        <v>0.54881157355561117</v>
      </c>
      <c r="G283" s="1179">
        <f t="shared" ca="1" si="50"/>
        <v>0.3705151745388755</v>
      </c>
      <c r="H283" s="1179">
        <f t="shared" ca="1" si="50"/>
        <v>0.3154011879903536</v>
      </c>
      <c r="I283" s="1179">
        <f t="shared" ca="1" si="50"/>
        <v>0.26154661134652346</v>
      </c>
      <c r="J283" s="1179">
        <f t="shared" ca="1" si="50"/>
        <v>0.27679624518023338</v>
      </c>
      <c r="K283" s="1179">
        <f t="shared" ca="1" si="50"/>
        <v>0.20674249050022073</v>
      </c>
      <c r="L283" s="1179">
        <f t="shared" ca="1" si="50"/>
        <v>0.22122788866186216</v>
      </c>
      <c r="M283" s="1179">
        <f t="shared" ca="1" si="50"/>
        <v>0.23623085590423717</v>
      </c>
      <c r="N283" s="1179">
        <f t="shared" ca="1" si="50"/>
        <v>0.25179642165879967</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259</v>
      </c>
      <c r="D284" t="s">
        <v>260</v>
      </c>
      <c r="E284"/>
      <c r="F284" s="2407">
        <f t="shared" ref="F284:N284" ca="1" si="51">SUMPRODUCT(F$276:F$279,F$114:F$117)</f>
        <v>17.694679316858025</v>
      </c>
      <c r="G284" s="2407">
        <f t="shared" ca="1" si="51"/>
        <v>11.734811823957862</v>
      </c>
      <c r="H284" s="2407">
        <f t="shared" ca="1" si="51"/>
        <v>8.2195070754181163</v>
      </c>
      <c r="I284" s="2407">
        <f t="shared" ca="1" si="51"/>
        <v>9.6620389865598106</v>
      </c>
      <c r="J284" s="2407">
        <f t="shared" ca="1" si="51"/>
        <v>9.799787652125886</v>
      </c>
      <c r="K284" s="2407">
        <f t="shared" ca="1" si="51"/>
        <v>8.4224533686336134</v>
      </c>
      <c r="L284" s="2407">
        <f t="shared" ca="1" si="51"/>
        <v>9.0125719758310332</v>
      </c>
      <c r="M284" s="2407">
        <f t="shared" ca="1" si="51"/>
        <v>9.6237757573289944</v>
      </c>
      <c r="N284" s="2407">
        <f t="shared" ca="1" si="51"/>
        <v>10.257899160829655</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261</v>
      </c>
      <c r="D285" t="s">
        <v>262</v>
      </c>
      <c r="E285"/>
      <c r="F285" s="2407">
        <f t="shared" ref="F285:N285" ca="1" si="52">SUMPRODUCT(F$276:F$279,F$122:F$125)</f>
        <v>9.669156194709478</v>
      </c>
      <c r="G285" s="2407">
        <f t="shared" ca="1" si="52"/>
        <v>5.1336774246203714</v>
      </c>
      <c r="H285" s="2407">
        <f t="shared" ca="1" si="52"/>
        <v>4.4061570350345098</v>
      </c>
      <c r="I285" s="2407">
        <f t="shared" ca="1" si="52"/>
        <v>4.2627916311706748</v>
      </c>
      <c r="J285" s="2407">
        <f t="shared" ca="1" si="52"/>
        <v>2.7685148873195708</v>
      </c>
      <c r="K285" s="2407">
        <f t="shared" ca="1" si="52"/>
        <v>0.15637079791283265</v>
      </c>
      <c r="L285" s="2407">
        <f t="shared" ca="1" si="52"/>
        <v>0.16732690695041111</v>
      </c>
      <c r="M285" s="2407">
        <f t="shared" ca="1" si="52"/>
        <v>0.17867448215410525</v>
      </c>
      <c r="N285" s="2407">
        <f t="shared" ca="1" si="52"/>
        <v>0.19044758177729565</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263</v>
      </c>
      <c r="D286" t="s">
        <v>264</v>
      </c>
      <c r="E286"/>
      <c r="F286" s="2407">
        <f t="shared" ref="F286:N286" ca="1" si="53">SUMPRODUCT(F$276:F$279,F$130:F$133)</f>
        <v>0.2246771055362905</v>
      </c>
      <c r="G286" s="2407">
        <f t="shared" ca="1" si="53"/>
        <v>0.25285910963487618</v>
      </c>
      <c r="H286" s="2407">
        <f t="shared" ca="1" si="53"/>
        <v>0.27740899716248213</v>
      </c>
      <c r="I286" s="2407">
        <f t="shared" ca="1" si="53"/>
        <v>0.3411100559768977</v>
      </c>
      <c r="J286" s="2407">
        <f t="shared" ca="1" si="53"/>
        <v>0.41187895591068846</v>
      </c>
      <c r="K286" s="2407">
        <f t="shared" ca="1" si="53"/>
        <v>0.28177657236970638</v>
      </c>
      <c r="L286" s="2407">
        <f t="shared" ca="1" si="53"/>
        <v>0.30151922823847377</v>
      </c>
      <c r="M286" s="2407">
        <f t="shared" ca="1" si="53"/>
        <v>0.32196729711247674</v>
      </c>
      <c r="N286" s="2407">
        <f t="shared" ca="1" si="53"/>
        <v>0.34318215117902001</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04"/>
      <c r="G288" s="404"/>
      <c r="H288" s="404"/>
      <c r="I288" s="404"/>
      <c r="J288" s="404"/>
      <c r="K288" s="404"/>
      <c r="L288" s="404"/>
      <c r="M288" s="404"/>
      <c r="N288" s="404"/>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72" t="s">
        <v>1713</v>
      </c>
      <c r="C289" s="1108"/>
      <c r="F289" s="1113"/>
      <c r="G289" s="1113"/>
      <c r="H289" s="1113"/>
      <c r="I289" s="1113"/>
      <c r="J289" s="1113"/>
      <c r="K289" s="1113"/>
      <c r="L289" s="1113"/>
      <c r="M289" s="1113"/>
      <c r="N289" s="1113"/>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08"/>
      <c r="F290" s="1113"/>
      <c r="G290" s="1113"/>
      <c r="H290" s="1113"/>
      <c r="I290" s="1113"/>
      <c r="J290" s="1113"/>
      <c r="K290" s="1113"/>
      <c r="L290" s="1113"/>
      <c r="M290" s="1113"/>
      <c r="N290" s="1113"/>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08"/>
      <c r="F291" s="1113"/>
      <c r="G291" s="1113"/>
      <c r="H291" s="1113"/>
      <c r="I291" s="1113"/>
      <c r="J291" s="1113"/>
      <c r="K291" s="1113"/>
      <c r="L291" s="1113"/>
      <c r="M291" s="1113"/>
      <c r="N291" s="1113"/>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144</v>
      </c>
      <c r="D292" s="4"/>
      <c r="E292" s="4" t="str">
        <f>Preferences.PowerUnits</f>
        <v>GW</v>
      </c>
      <c r="F292" s="1114">
        <f t="shared" ref="F292:N292" si="54">F$232</f>
        <v>1.1000000000000001</v>
      </c>
      <c r="G292" s="1114">
        <f t="shared" si="54"/>
        <v>0.91600000000000004</v>
      </c>
      <c r="H292" s="1114">
        <f t="shared" si="54"/>
        <v>0.32400000000000001</v>
      </c>
      <c r="I292" s="1114">
        <f t="shared" si="54"/>
        <v>0.32400000000000001</v>
      </c>
      <c r="J292" s="1114">
        <f t="shared" si="54"/>
        <v>0.32400000000000001</v>
      </c>
      <c r="K292" s="1114">
        <f t="shared" si="54"/>
        <v>0</v>
      </c>
      <c r="L292" s="1114">
        <f t="shared" si="54"/>
        <v>0</v>
      </c>
      <c r="M292" s="1114">
        <f t="shared" si="54"/>
        <v>0</v>
      </c>
      <c r="N292" s="1114">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2697</v>
      </c>
      <c r="D293" s="4"/>
      <c r="E293" s="4" t="str">
        <f>Preferences.PowerUnits</f>
        <v>GW</v>
      </c>
      <c r="F293" s="1114">
        <f ca="1">F245</f>
        <v>1.216</v>
      </c>
      <c r="G293" s="1114">
        <f t="shared" ref="G293:N293" ca="1" si="55">G245</f>
        <v>1.2009999999999998</v>
      </c>
      <c r="H293" s="1114">
        <f t="shared" ca="1" si="55"/>
        <v>0.91600000000000004</v>
      </c>
      <c r="I293" s="1114">
        <f t="shared" ca="1" si="55"/>
        <v>0.91600000000000004</v>
      </c>
      <c r="J293" s="1114">
        <f t="shared" ca="1" si="55"/>
        <v>0.63100000000000012</v>
      </c>
      <c r="K293" s="1114">
        <f t="shared" ca="1" si="55"/>
        <v>0</v>
      </c>
      <c r="L293" s="1114">
        <f t="shared" ca="1" si="55"/>
        <v>0</v>
      </c>
      <c r="M293" s="1114">
        <f t="shared" ca="1" si="55"/>
        <v>0</v>
      </c>
      <c r="N293" s="1114">
        <f t="shared" ca="1" si="55"/>
        <v>0</v>
      </c>
      <c r="P293" s="39"/>
      <c r="Q293" s="39"/>
      <c r="R293" s="39"/>
      <c r="S293" s="39"/>
      <c r="T293" s="39"/>
    </row>
    <row r="294" spans="1:114">
      <c r="B294" s="6"/>
      <c r="C294" s="4" t="s">
        <v>15</v>
      </c>
      <c r="D294" s="4"/>
      <c r="E294" s="4" t="str">
        <f>Preferences.PowerUnits</f>
        <v>GW</v>
      </c>
      <c r="F294" s="1114">
        <f t="shared" ref="F294:N294" ca="1" si="56">F264*Preferences.Unit.Energy/(Preferences.Unit.Power*Unit.year*F$75)</f>
        <v>3.7307314609372622</v>
      </c>
      <c r="G294" s="1114">
        <f ca="1">G264*Preferences.Unit.Energy/(Preferences.Unit.Power*Unit.year*G$75)</f>
        <v>3.8052509775073333</v>
      </c>
      <c r="H294" s="1114">
        <f t="shared" ca="1" si="56"/>
        <v>4.2113950606716246</v>
      </c>
      <c r="I294" s="1114">
        <f t="shared" ca="1" si="56"/>
        <v>5.7050506480965373</v>
      </c>
      <c r="J294" s="1114">
        <f t="shared" ca="1" si="56"/>
        <v>7.7123564525192059</v>
      </c>
      <c r="K294" s="1114">
        <f t="shared" ca="1" si="56"/>
        <v>10.264814485695553</v>
      </c>
      <c r="L294" s="1114">
        <f t="shared" ca="1" si="56"/>
        <v>10.984017995921848</v>
      </c>
      <c r="M294" s="1114">
        <f t="shared" ca="1" si="56"/>
        <v>11.728918935759285</v>
      </c>
      <c r="N294" s="1114">
        <f t="shared" ca="1" si="56"/>
        <v>12.50175302733326</v>
      </c>
      <c r="P294" s="39"/>
      <c r="Q294" s="39"/>
      <c r="R294" s="39"/>
      <c r="S294" s="39"/>
      <c r="T294" s="39"/>
    </row>
    <row r="295" spans="1:114">
      <c r="B295" s="6"/>
      <c r="C295" s="824"/>
      <c r="D295" s="824"/>
      <c r="E295" s="824"/>
      <c r="F295" s="2178"/>
      <c r="G295" s="2178"/>
      <c r="H295" s="2178"/>
      <c r="I295" s="2178"/>
      <c r="J295" s="2178"/>
      <c r="K295" s="2178"/>
      <c r="L295" s="2178"/>
      <c r="M295" s="2178"/>
      <c r="N295" s="2178"/>
      <c r="P295" s="39"/>
      <c r="Q295" s="39"/>
      <c r="R295" s="39"/>
      <c r="S295" s="39"/>
      <c r="T295" s="39"/>
    </row>
    <row r="296" spans="1:114">
      <c r="B296" t="s">
        <v>738</v>
      </c>
      <c r="C296" s="354"/>
      <c r="F296" s="2179">
        <v>2013</v>
      </c>
      <c r="G296" s="2179">
        <v>2015</v>
      </c>
      <c r="H296" s="2179">
        <v>2020</v>
      </c>
      <c r="I296" s="2179">
        <v>2025</v>
      </c>
      <c r="J296" s="2179">
        <v>2030</v>
      </c>
      <c r="K296" s="2179">
        <v>2035</v>
      </c>
      <c r="L296" s="2179">
        <v>2040</v>
      </c>
      <c r="M296" s="2179">
        <v>2045</v>
      </c>
      <c r="N296" s="2179">
        <v>2050</v>
      </c>
      <c r="P296" s="39"/>
      <c r="Q296" s="39"/>
      <c r="R296" s="39"/>
      <c r="S296" s="39"/>
      <c r="T296" s="39"/>
    </row>
    <row r="297" spans="1:114">
      <c r="C297" t="s">
        <v>1715</v>
      </c>
      <c r="E297" t="s">
        <v>277</v>
      </c>
      <c r="F297" s="983"/>
      <c r="G297" s="983">
        <f ca="1">(G294-F294)</f>
        <v>7.4519516570071165E-2</v>
      </c>
      <c r="H297" s="983">
        <f t="shared" ref="H297:N297" ca="1" si="57">(H294-G294)</f>
        <v>0.40614408316429129</v>
      </c>
      <c r="I297" s="983">
        <f t="shared" ca="1" si="57"/>
        <v>1.4936555874249127</v>
      </c>
      <c r="J297" s="983">
        <f t="shared" ca="1" si="57"/>
        <v>2.0073058044226686</v>
      </c>
      <c r="K297" s="983">
        <f t="shared" ca="1" si="57"/>
        <v>2.5524580331763467</v>
      </c>
      <c r="L297" s="983">
        <f t="shared" ca="1" si="57"/>
        <v>0.71920351022629525</v>
      </c>
      <c r="M297" s="983">
        <f t="shared" ca="1" si="57"/>
        <v>0.74490093983743755</v>
      </c>
      <c r="N297" s="983">
        <f t="shared" ca="1" si="57"/>
        <v>0.77283409157397465</v>
      </c>
      <c r="P297" s="39"/>
      <c r="Q297" s="39"/>
      <c r="R297" s="39"/>
      <c r="S297" s="39"/>
      <c r="T297" s="39"/>
    </row>
    <row r="298" spans="1:114" s="6" customFormat="1">
      <c r="A298"/>
      <c r="B298"/>
      <c r="C298" t="s">
        <v>1716</v>
      </c>
      <c r="D298"/>
      <c r="E298" t="s">
        <v>277</v>
      </c>
      <c r="F298"/>
      <c r="G298" s="984">
        <f ca="1">F294*3/20</f>
        <v>0.55960971914058932</v>
      </c>
      <c r="H298" s="984">
        <f t="shared" ref="H298:N298" ca="1" si="58">G294/4</f>
        <v>0.95131274437683333</v>
      </c>
      <c r="I298" s="984">
        <f t="shared" ca="1" si="58"/>
        <v>1.0528487651679062</v>
      </c>
      <c r="J298" s="984">
        <f t="shared" ca="1" si="58"/>
        <v>1.4262626620241343</v>
      </c>
      <c r="K298" s="984">
        <f t="shared" ca="1" si="58"/>
        <v>1.9280891131298015</v>
      </c>
      <c r="L298" s="984">
        <f t="shared" ca="1" si="58"/>
        <v>2.5662036214238881</v>
      </c>
      <c r="M298" s="984">
        <f t="shared" ca="1" si="58"/>
        <v>2.7460044989804619</v>
      </c>
      <c r="N298" s="984">
        <f t="shared" ca="1" si="58"/>
        <v>2.9322297339398213</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42" t="s">
        <v>1830</v>
      </c>
      <c r="D299"/>
      <c r="E299" t="s">
        <v>741</v>
      </c>
      <c r="F299" s="984">
        <f t="shared" ref="F299:N299" ca="1" si="59">F294/plantsize.I.a</f>
        <v>4.3634286092833481</v>
      </c>
      <c r="G299" s="984">
        <f ca="1">G294/plantsize.I.a</f>
        <v>4.4505859386050686</v>
      </c>
      <c r="H299" s="984">
        <f t="shared" ca="1" si="59"/>
        <v>4.9256082580954672</v>
      </c>
      <c r="I299" s="984">
        <f t="shared" ca="1" si="59"/>
        <v>6.6725738574228508</v>
      </c>
      <c r="J299" s="984">
        <f t="shared" ca="1" si="59"/>
        <v>9.0202999444669079</v>
      </c>
      <c r="K299" s="984">
        <f t="shared" ca="1" si="59"/>
        <v>12.005630977421699</v>
      </c>
      <c r="L299" s="984">
        <f t="shared" ca="1" si="59"/>
        <v>12.846804673592805</v>
      </c>
      <c r="M299" s="984">
        <f t="shared" ca="1" si="59"/>
        <v>13.718033842993316</v>
      </c>
      <c r="N299" s="984">
        <f t="shared" ca="1" si="59"/>
        <v>14.621933365302059</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1717</v>
      </c>
      <c r="D300"/>
      <c r="E300" t="s">
        <v>741</v>
      </c>
      <c r="F300" s="984"/>
      <c r="G300" s="984">
        <f t="shared" ref="G300:N300" ca="1" si="60">MAX((G297+G298)/plantsize.I.a,0)</f>
        <v>0.74167162071422277</v>
      </c>
      <c r="H300" s="984">
        <f t="shared" ca="1" si="60"/>
        <v>1.5876688041416662</v>
      </c>
      <c r="I300" s="984">
        <f t="shared" ca="1" si="60"/>
        <v>2.97836766385125</v>
      </c>
      <c r="J300" s="984">
        <f t="shared" ca="1" si="60"/>
        <v>4.0158695513997698</v>
      </c>
      <c r="K300" s="984">
        <f t="shared" ca="1" si="60"/>
        <v>5.2404060190715187</v>
      </c>
      <c r="L300" s="984">
        <f t="shared" ca="1" si="60"/>
        <v>3.8425814405265304</v>
      </c>
      <c r="M300" s="984">
        <f t="shared" ca="1" si="60"/>
        <v>4.0829303377987127</v>
      </c>
      <c r="N300" s="984">
        <f t="shared" ca="1" si="60"/>
        <v>4.3334079830570715</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42" t="s">
        <v>1831</v>
      </c>
      <c r="D301"/>
      <c r="E301" t="s">
        <v>743</v>
      </c>
      <c r="F301" s="983"/>
      <c r="G301" s="983">
        <f ca="1">G300/(G$230-F$230)</f>
        <v>0.37083581035711138</v>
      </c>
      <c r="H301" s="983">
        <f t="shared" ref="H301:N301" ca="1" si="61">H300/(H$230-G$230)</f>
        <v>0.31753376082833323</v>
      </c>
      <c r="I301" s="983">
        <f t="shared" ca="1" si="61"/>
        <v>0.59567353277025004</v>
      </c>
      <c r="J301" s="983">
        <f t="shared" ca="1" si="61"/>
        <v>0.803173910279954</v>
      </c>
      <c r="K301" s="983">
        <f t="shared" ca="1" si="61"/>
        <v>1.0480812038143037</v>
      </c>
      <c r="L301" s="983">
        <f t="shared" ca="1" si="61"/>
        <v>0.76851628810530603</v>
      </c>
      <c r="M301" s="983">
        <f t="shared" ca="1" si="61"/>
        <v>0.8165860675597425</v>
      </c>
      <c r="N301" s="983">
        <f t="shared" ca="1" si="61"/>
        <v>0.86668159661141431</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83"/>
      <c r="G302" s="983"/>
      <c r="H302" s="983"/>
      <c r="I302" s="983"/>
      <c r="J302" s="983"/>
      <c r="K302" s="983"/>
      <c r="L302" s="983"/>
      <c r="M302" s="983"/>
      <c r="N302" s="983"/>
      <c r="O302" s="983"/>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738</v>
      </c>
      <c r="C303" s="354"/>
      <c r="D303"/>
      <c r="E303"/>
      <c r="F303" s="2179">
        <v>2013</v>
      </c>
      <c r="G303" s="2179">
        <v>2015</v>
      </c>
      <c r="H303" s="2179">
        <v>2020</v>
      </c>
      <c r="I303" s="2179">
        <v>2025</v>
      </c>
      <c r="J303" s="2179">
        <v>2030</v>
      </c>
      <c r="K303" s="2179">
        <v>2035</v>
      </c>
      <c r="L303" s="2179">
        <v>2040</v>
      </c>
      <c r="M303" s="2179">
        <v>2045</v>
      </c>
      <c r="N303" s="2179">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47" t="s">
        <v>1830</v>
      </c>
      <c r="D304"/>
      <c r="E304" t="s">
        <v>741</v>
      </c>
      <c r="F304" s="2485">
        <f t="shared" ref="F304:N304" si="62">IF((F207/plantsize.I.a)&gt;0,F207/plantsize.I.a,0)</f>
        <v>4.0935672514619888E-2</v>
      </c>
      <c r="G304" s="2485">
        <f t="shared" si="62"/>
        <v>4.0935672514619888E-2</v>
      </c>
      <c r="H304" s="2485">
        <f t="shared" si="62"/>
        <v>4.0935672514619888E-2</v>
      </c>
      <c r="I304" s="2485">
        <f t="shared" si="62"/>
        <v>4.0935672514619888E-2</v>
      </c>
      <c r="J304" s="2485">
        <f t="shared" si="62"/>
        <v>4.0935672514619888E-2</v>
      </c>
      <c r="K304" s="2485">
        <f t="shared" si="62"/>
        <v>0</v>
      </c>
      <c r="L304" s="2485">
        <f t="shared" si="62"/>
        <v>0</v>
      </c>
      <c r="M304" s="2485">
        <f t="shared" si="62"/>
        <v>0</v>
      </c>
      <c r="N304" s="2485">
        <f t="shared" si="62"/>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83"/>
      <c r="G305" s="983"/>
      <c r="H305" s="983"/>
      <c r="I305" s="983"/>
      <c r="J305" s="983"/>
      <c r="K305" s="983"/>
      <c r="L305" s="983"/>
      <c r="M305" s="983"/>
      <c r="N305" s="983"/>
      <c r="O305" s="6"/>
    </row>
    <row r="306" spans="1:114">
      <c r="B306" t="s">
        <v>738</v>
      </c>
      <c r="C306" s="354"/>
      <c r="F306" s="2179">
        <v>2013</v>
      </c>
      <c r="G306" s="2179">
        <v>2015</v>
      </c>
      <c r="H306" s="2179">
        <v>2020</v>
      </c>
      <c r="I306" s="2179">
        <v>2025</v>
      </c>
      <c r="J306" s="2179">
        <v>2030</v>
      </c>
      <c r="K306" s="2179">
        <v>2035</v>
      </c>
      <c r="L306" s="2179">
        <v>2040</v>
      </c>
      <c r="M306" s="2179">
        <v>2045</v>
      </c>
      <c r="N306" s="2179">
        <v>2050</v>
      </c>
      <c r="O306" s="6"/>
    </row>
    <row r="307" spans="1:114">
      <c r="C307" t="s">
        <v>1718</v>
      </c>
      <c r="E307" t="s">
        <v>277</v>
      </c>
      <c r="F307" s="2460"/>
      <c r="G307" s="2384">
        <f t="shared" ref="G307:N307" si="63">G207-F207</f>
        <v>0</v>
      </c>
      <c r="H307" s="2384">
        <f t="shared" si="63"/>
        <v>0</v>
      </c>
      <c r="I307" s="2384">
        <f t="shared" si="63"/>
        <v>0</v>
      </c>
      <c r="J307" s="2486">
        <f t="shared" si="63"/>
        <v>0</v>
      </c>
      <c r="K307" s="2384">
        <f t="shared" si="63"/>
        <v>-3.5000000000000003E-2</v>
      </c>
      <c r="L307" s="2384">
        <f t="shared" si="63"/>
        <v>0</v>
      </c>
      <c r="M307" s="2384">
        <f t="shared" si="63"/>
        <v>0</v>
      </c>
      <c r="N307" s="2384">
        <f t="shared" si="63"/>
        <v>0</v>
      </c>
      <c r="O307" s="6"/>
    </row>
    <row r="308" spans="1:114">
      <c r="C308" s="3547" t="s">
        <v>2700</v>
      </c>
      <c r="E308" t="s">
        <v>741</v>
      </c>
      <c r="F308" s="2485">
        <f t="shared" ref="F308:N308" ca="1" si="64">IF(F245&gt;0,F207/0.05,0)</f>
        <v>0.70000000000000007</v>
      </c>
      <c r="G308" s="2485">
        <f t="shared" ca="1" si="64"/>
        <v>0.70000000000000007</v>
      </c>
      <c r="H308" s="2485">
        <f t="shared" ca="1" si="64"/>
        <v>0.70000000000000007</v>
      </c>
      <c r="I308" s="2485">
        <f t="shared" ca="1" si="64"/>
        <v>0.70000000000000007</v>
      </c>
      <c r="J308" s="2485">
        <f t="shared" ca="1" si="64"/>
        <v>0.70000000000000007</v>
      </c>
      <c r="K308" s="2485">
        <f t="shared" ca="1" si="64"/>
        <v>0</v>
      </c>
      <c r="L308" s="2485">
        <f t="shared" ca="1" si="64"/>
        <v>0</v>
      </c>
      <c r="M308" s="2485">
        <f t="shared" ca="1" si="64"/>
        <v>0</v>
      </c>
      <c r="N308" s="2485">
        <f t="shared" ca="1" si="64"/>
        <v>0</v>
      </c>
      <c r="O308" s="6"/>
    </row>
    <row r="309" spans="1:114">
      <c r="C309" t="s">
        <v>1719</v>
      </c>
      <c r="F309" s="2485"/>
      <c r="G309" s="2485"/>
      <c r="H309" s="2485"/>
      <c r="I309" s="2485"/>
      <c r="J309" s="2485"/>
      <c r="K309" s="2485"/>
      <c r="L309" s="2485"/>
      <c r="M309" s="2485">
        <f ca="1">H308</f>
        <v>0.70000000000000007</v>
      </c>
      <c r="N309" s="2485">
        <f ca="1">I308</f>
        <v>0.70000000000000007</v>
      </c>
      <c r="O309" s="6"/>
    </row>
    <row r="310" spans="1:114">
      <c r="C310" t="s">
        <v>1720</v>
      </c>
      <c r="F310" s="2485"/>
      <c r="G310" s="2485"/>
      <c r="H310" s="2485">
        <f t="shared" ref="H310:N310" ca="1" si="65">IF(H308-G308+H309&gt;H308,0,H308-G308+H309)</f>
        <v>0</v>
      </c>
      <c r="I310" s="2485">
        <f t="shared" ca="1" si="65"/>
        <v>0</v>
      </c>
      <c r="J310" s="2485">
        <f t="shared" ca="1" si="65"/>
        <v>0</v>
      </c>
      <c r="K310" s="2485">
        <f t="shared" ca="1" si="65"/>
        <v>-0.70000000000000007</v>
      </c>
      <c r="L310" s="2485">
        <f t="shared" ca="1" si="65"/>
        <v>0</v>
      </c>
      <c r="M310" s="2485">
        <f t="shared" ca="1" si="65"/>
        <v>0</v>
      </c>
      <c r="N310" s="2485">
        <f t="shared" ca="1" si="65"/>
        <v>0</v>
      </c>
      <c r="O310" s="6"/>
    </row>
    <row r="311" spans="1:114">
      <c r="C311" s="3548" t="s">
        <v>2706</v>
      </c>
      <c r="E311" t="s">
        <v>743</v>
      </c>
      <c r="F311" s="2486"/>
      <c r="G311" s="2486"/>
      <c r="H311" s="2486"/>
      <c r="I311" s="2486"/>
      <c r="J311" s="2486"/>
      <c r="K311" s="2486"/>
      <c r="L311" s="2486"/>
      <c r="M311" s="2486"/>
      <c r="N311" s="2486"/>
      <c r="O311" s="6"/>
    </row>
    <row r="312" spans="1:114">
      <c r="C312" s="6"/>
      <c r="F312" s="983"/>
      <c r="G312" s="983"/>
      <c r="H312" s="983"/>
      <c r="I312" s="983"/>
      <c r="J312" s="983"/>
      <c r="K312" s="983"/>
      <c r="L312" s="983"/>
      <c r="M312" s="983"/>
      <c r="N312" s="983"/>
      <c r="O312" s="6"/>
    </row>
    <row r="313" spans="1:114">
      <c r="B313" s="354" t="s">
        <v>2720</v>
      </c>
      <c r="C313" s="6"/>
      <c r="F313" s="983"/>
      <c r="G313" s="983"/>
      <c r="H313" s="983"/>
      <c r="I313" s="983"/>
      <c r="J313" s="983"/>
      <c r="K313" s="983"/>
      <c r="L313" s="983"/>
      <c r="M313" s="983"/>
      <c r="N313" s="983"/>
      <c r="O313" s="6"/>
    </row>
    <row r="314" spans="1:114" s="6" customFormat="1" hidden="1">
      <c r="A314"/>
      <c r="B314"/>
      <c r="D314"/>
      <c r="E314"/>
      <c r="F314" s="983"/>
      <c r="G314" s="983"/>
      <c r="H314" s="983"/>
      <c r="I314" s="983"/>
      <c r="J314" s="983"/>
      <c r="K314" s="983"/>
      <c r="L314" s="983"/>
      <c r="M314" s="983"/>
      <c r="N314" s="983"/>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290</v>
      </c>
      <c r="C315"/>
      <c r="D315"/>
      <c r="E315"/>
      <c r="F315" s="2179">
        <v>2013</v>
      </c>
      <c r="G315" s="2179">
        <v>2015</v>
      </c>
      <c r="H315" s="2179">
        <v>2020</v>
      </c>
      <c r="I315" s="2179">
        <v>2025</v>
      </c>
      <c r="J315" s="2179">
        <v>2030</v>
      </c>
      <c r="K315" s="2179">
        <v>2035</v>
      </c>
      <c r="L315" s="2179">
        <v>2040</v>
      </c>
      <c r="M315" s="2179">
        <v>2045</v>
      </c>
      <c r="N315" s="2179">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168</v>
      </c>
      <c r="D316"/>
      <c r="E316" s="3578" t="s">
        <v>2736</v>
      </c>
      <c r="F316" s="984"/>
      <c r="G316" s="984"/>
      <c r="H316" s="984"/>
      <c r="I316" s="984"/>
      <c r="J316" s="984"/>
      <c r="K316" s="984"/>
      <c r="L316" s="984"/>
      <c r="M316" s="984"/>
      <c r="N316" s="984"/>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172</v>
      </c>
      <c r="D317"/>
      <c r="E317" s="3578" t="s">
        <v>2736</v>
      </c>
      <c r="F317" s="984"/>
      <c r="G317" s="984"/>
      <c r="H317" s="984"/>
      <c r="I317" s="984"/>
      <c r="J317" s="984"/>
      <c r="K317" s="984"/>
      <c r="L317" s="984"/>
      <c r="M317" s="984"/>
      <c r="N317" s="984"/>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291</v>
      </c>
      <c r="D318"/>
      <c r="E318" s="3578" t="s">
        <v>2736</v>
      </c>
      <c r="F318" s="984"/>
      <c r="G318" s="984"/>
      <c r="H318" s="984"/>
      <c r="I318" s="984"/>
      <c r="J318" s="984"/>
      <c r="K318" s="984"/>
      <c r="L318" s="984"/>
      <c r="M318" s="984"/>
      <c r="N318" s="984"/>
      <c r="P318" s="647"/>
      <c r="Q318" s="647"/>
      <c r="R318" s="647"/>
      <c r="S318" s="647"/>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84"/>
      <c r="G319" s="984"/>
      <c r="H319" s="984"/>
      <c r="I319" s="984"/>
      <c r="J319" s="984"/>
      <c r="K319" s="984"/>
      <c r="L319" s="984"/>
      <c r="M319" s="984"/>
      <c r="N319" s="984"/>
      <c r="P319" s="1068"/>
      <c r="Q319" s="647"/>
      <c r="R319" s="647"/>
      <c r="S319" s="647"/>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292</v>
      </c>
      <c r="C320"/>
      <c r="D320"/>
      <c r="E320"/>
      <c r="F320" s="2179"/>
      <c r="G320" s="2179"/>
      <c r="H320" s="2179"/>
      <c r="I320" s="2179"/>
      <c r="J320" s="2179"/>
      <c r="K320" s="2179"/>
      <c r="L320" s="2179"/>
      <c r="M320" s="2179"/>
      <c r="N320" s="2179"/>
      <c r="O320"/>
      <c r="P320" s="1068"/>
      <c r="Q320" s="647"/>
      <c r="R320" s="647"/>
      <c r="S320" s="647"/>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168</v>
      </c>
      <c r="D321"/>
      <c r="E321" s="3578" t="s">
        <v>2736</v>
      </c>
      <c r="F321" s="984"/>
      <c r="G321" s="984"/>
      <c r="H321" s="984"/>
      <c r="I321" s="984"/>
      <c r="J321" s="984"/>
      <c r="K321" s="984"/>
      <c r="L321" s="984"/>
      <c r="M321" s="984"/>
      <c r="N321" s="984"/>
      <c r="O321"/>
      <c r="P321" s="1068"/>
      <c r="Q321" s="1068"/>
      <c r="R321" s="1068"/>
      <c r="S321" s="1068"/>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172</v>
      </c>
      <c r="D322"/>
      <c r="E322" s="3578" t="s">
        <v>2736</v>
      </c>
      <c r="F322" s="984"/>
      <c r="G322" s="984"/>
      <c r="H322" s="984"/>
      <c r="I322" s="984"/>
      <c r="J322" s="984"/>
      <c r="K322" s="984"/>
      <c r="L322" s="984"/>
      <c r="M322" s="984"/>
      <c r="N322" s="984"/>
      <c r="O322"/>
      <c r="P322" s="1068"/>
      <c r="Q322" s="1068"/>
      <c r="R322" s="1068"/>
      <c r="S322" s="1068"/>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291</v>
      </c>
      <c r="D323"/>
      <c r="E323" s="3578" t="s">
        <v>2736</v>
      </c>
      <c r="F323" s="984"/>
      <c r="G323" s="984"/>
      <c r="H323" s="984"/>
      <c r="I323" s="984"/>
      <c r="J323" s="984"/>
      <c r="K323" s="984"/>
      <c r="L323" s="984"/>
      <c r="M323" s="984"/>
      <c r="N323" s="984"/>
      <c r="O323"/>
      <c r="P323" s="1068"/>
      <c r="Q323" s="1068"/>
      <c r="R323" s="1068"/>
      <c r="S323" s="1068"/>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68"/>
      <c r="Q324" s="1068"/>
      <c r="R324" s="1068"/>
      <c r="S324" s="1068"/>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293</v>
      </c>
      <c r="C325"/>
      <c r="D325"/>
      <c r="E325"/>
      <c r="F325" s="2179"/>
      <c r="G325" s="2179"/>
      <c r="H325" s="2179"/>
      <c r="I325" s="2179"/>
      <c r="J325" s="2179"/>
      <c r="K325" s="2179"/>
      <c r="L325" s="2179"/>
      <c r="M325" s="2179"/>
      <c r="N325" s="2179"/>
      <c r="O325"/>
      <c r="P325" s="1068"/>
      <c r="Q325" s="1068"/>
      <c r="R325" s="1068"/>
      <c r="S325" s="1068"/>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168</v>
      </c>
      <c r="D326"/>
      <c r="E326" s="3578" t="s">
        <v>2736</v>
      </c>
      <c r="F326" s="984"/>
      <c r="G326" s="984"/>
      <c r="H326" s="984"/>
      <c r="I326" s="984"/>
      <c r="J326" s="984"/>
      <c r="K326" s="984"/>
      <c r="L326" s="984"/>
      <c r="M326" s="984"/>
      <c r="N326" s="984"/>
      <c r="O326"/>
      <c r="P326" s="1068"/>
      <c r="Q326" s="1068"/>
      <c r="R326" s="1068"/>
      <c r="S326" s="1068"/>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172</v>
      </c>
      <c r="D327"/>
      <c r="E327" s="3578" t="s">
        <v>2736</v>
      </c>
      <c r="F327" s="984"/>
      <c r="G327" s="984"/>
      <c r="H327" s="984"/>
      <c r="I327" s="984"/>
      <c r="J327" s="984"/>
      <c r="K327" s="984"/>
      <c r="L327" s="984"/>
      <c r="M327" s="984"/>
      <c r="N327" s="984"/>
      <c r="O327"/>
      <c r="P327" s="1068"/>
      <c r="Q327" s="1068"/>
      <c r="R327" s="1068"/>
      <c r="S327" s="1068"/>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291</v>
      </c>
      <c r="D328"/>
      <c r="E328" s="3578" t="s">
        <v>2736</v>
      </c>
      <c r="F328" s="984"/>
      <c r="G328" s="984"/>
      <c r="H328" s="984"/>
      <c r="I328" s="984"/>
      <c r="J328" s="984"/>
      <c r="K328" s="984"/>
      <c r="L328" s="984"/>
      <c r="M328" s="984"/>
      <c r="N328" s="984"/>
      <c r="O328"/>
      <c r="P328" s="1068"/>
      <c r="Q328" s="1068"/>
      <c r="R328" s="1068"/>
      <c r="S328" s="106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68"/>
      <c r="Q329" s="1068"/>
      <c r="R329" s="1068"/>
      <c r="S329" s="1068"/>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68"/>
      <c r="Q330" s="1068"/>
      <c r="R330" s="1068"/>
      <c r="S330" s="1068"/>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
      <c r="A331"/>
      <c r="B331" s="502" t="s">
        <v>296</v>
      </c>
      <c r="C331" s="503"/>
      <c r="D331" s="503"/>
      <c r="E331" s="503"/>
      <c r="F331" s="503"/>
      <c r="G331" s="503"/>
      <c r="H331" s="503"/>
      <c r="I331" s="503"/>
      <c r="J331" s="503"/>
      <c r="K331" s="503"/>
      <c r="L331" s="503"/>
      <c r="M331" s="503"/>
      <c r="N331" s="503"/>
      <c r="O331" s="503"/>
      <c r="P331" s="1068"/>
      <c r="Q331" s="1068"/>
      <c r="R331" s="1068"/>
      <c r="S331" s="1068"/>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05"/>
      <c r="C332" s="506"/>
      <c r="D332" s="506"/>
      <c r="E332" s="506"/>
      <c r="F332" s="506"/>
      <c r="G332" s="506"/>
      <c r="H332" s="506"/>
      <c r="I332" s="506"/>
      <c r="J332" s="506"/>
      <c r="K332" s="506"/>
      <c r="L332" s="506"/>
      <c r="M332" s="506"/>
      <c r="N332" s="506"/>
      <c r="O332" s="858"/>
      <c r="P332" s="2180"/>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05"/>
      <c r="C333" s="34" t="s">
        <v>746</v>
      </c>
      <c r="D333" s="506"/>
      <c r="E333" s="506"/>
      <c r="F333" s="506"/>
      <c r="G333" s="506"/>
      <c r="H333" s="506"/>
      <c r="I333" s="506"/>
      <c r="J333" s="506"/>
      <c r="K333" s="506"/>
      <c r="L333" s="506"/>
      <c r="M333" s="506"/>
      <c r="N333" s="507" t="str">
        <f>Preferences.EnergyUnits</f>
        <v>TWh</v>
      </c>
      <c r="O333" s="858"/>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05"/>
      <c r="C334" s="506"/>
      <c r="D334" s="506"/>
      <c r="E334" s="506"/>
      <c r="F334" s="506"/>
      <c r="G334" s="506"/>
      <c r="H334" s="506"/>
      <c r="I334" s="506"/>
      <c r="J334" s="506"/>
      <c r="K334" s="506"/>
      <c r="L334" s="506"/>
      <c r="M334" s="506"/>
      <c r="N334" s="506"/>
      <c r="O334" s="858"/>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5">
      <c r="A335"/>
      <c r="B335" s="15"/>
      <c r="C335" s="1712" t="s">
        <v>28</v>
      </c>
      <c r="D335" s="1712" t="s">
        <v>29</v>
      </c>
      <c r="E335" s="1712" t="s">
        <v>30</v>
      </c>
      <c r="F335" s="1712" t="s">
        <v>588</v>
      </c>
      <c r="G335" s="1712" t="s">
        <v>132</v>
      </c>
      <c r="H335" s="1712" t="s">
        <v>133</v>
      </c>
      <c r="I335" s="1712" t="s">
        <v>134</v>
      </c>
      <c r="J335" s="1712" t="s">
        <v>135</v>
      </c>
      <c r="K335" s="1712" t="s">
        <v>136</v>
      </c>
      <c r="L335" s="1712" t="s">
        <v>137</v>
      </c>
      <c r="M335" s="1712" t="s">
        <v>138</v>
      </c>
      <c r="N335" s="1712" t="s">
        <v>139</v>
      </c>
      <c r="O335" s="86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181"/>
      <c r="C336" s="716" t="s">
        <v>96</v>
      </c>
      <c r="D336" s="1716" t="str">
        <f>INDEX(Vectors[Description], MATCH(I.a.Outputs[Vector], Vectors[Code], 0))</f>
        <v>Electricity (supplied to grid)</v>
      </c>
      <c r="E336" s="716"/>
      <c r="F336" s="2188">
        <f t="shared" ref="F336:M336" ca="1" si="66">F$235+F$254+F$264</f>
        <v>19.783214082973807</v>
      </c>
      <c r="G336" s="2188">
        <f t="shared" ca="1" si="66"/>
        <v>19.48990957229227</v>
      </c>
      <c r="H336" s="2188">
        <f t="shared" ca="1" si="66"/>
        <v>21.190560440738988</v>
      </c>
      <c r="I336" s="2188">
        <f t="shared" ca="1" si="66"/>
        <v>26.427914392485704</v>
      </c>
      <c r="J336" s="2188">
        <f t="shared" ca="1" si="66"/>
        <v>31.467683465113346</v>
      </c>
      <c r="K336" s="2188">
        <f t="shared" ca="1" si="66"/>
        <v>35.992545512642891</v>
      </c>
      <c r="L336" s="2188">
        <f t="shared" ca="1" si="66"/>
        <v>38.514360700900369</v>
      </c>
      <c r="M336" s="2188">
        <f t="shared" ca="1" si="66"/>
        <v>41.126281356346361</v>
      </c>
      <c r="N336" s="2188">
        <f ca="1">N$235+N$254+N$264</f>
        <v>43.836146815041346</v>
      </c>
      <c r="O336" s="2182"/>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181"/>
      <c r="C337" s="716" t="s">
        <v>97</v>
      </c>
      <c r="D337" s="1716" t="str">
        <f>INDEX(Vectors[Description], MATCH(I.a.Outputs[Vector], Vectors[Code], 0))</f>
        <v>Solid hydrocarbons</v>
      </c>
      <c r="E337" s="716"/>
      <c r="F337" s="2188">
        <f t="shared" ref="F337:N337" ca="1" si="67">-F$258</f>
        <v>-20.691997156645641</v>
      </c>
      <c r="G337" s="2188">
        <f t="shared" ca="1" si="67"/>
        <v>-21.10530957034457</v>
      </c>
      <c r="H337" s="2188">
        <f t="shared" ca="1" si="67"/>
        <v>-18.904104411428573</v>
      </c>
      <c r="I337" s="2188">
        <f t="shared" ca="1" si="67"/>
        <v>-18.904104411428573</v>
      </c>
      <c r="J337" s="2188">
        <f t="shared" ca="1" si="67"/>
        <v>-13.022368868571434</v>
      </c>
      <c r="K337" s="2188">
        <f t="shared" ca="1" si="67"/>
        <v>0</v>
      </c>
      <c r="L337" s="2188">
        <f t="shared" ca="1" si="67"/>
        <v>0</v>
      </c>
      <c r="M337" s="2188">
        <f t="shared" ca="1" si="67"/>
        <v>0</v>
      </c>
      <c r="N337" s="2188">
        <f t="shared" ca="1" si="67"/>
        <v>0</v>
      </c>
      <c r="O337" s="2182"/>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181"/>
      <c r="C338" s="716" t="s">
        <v>98</v>
      </c>
      <c r="D338" s="1716" t="str">
        <f>INDEX(Vectors[Description], MATCH(I.a.Outputs[Vector], Vectors[Code], 0))</f>
        <v>Liquid hydrocarbons</v>
      </c>
      <c r="E338" s="716"/>
      <c r="F338" s="2188">
        <f t="shared" ref="F338:N338" si="68">-F$239</f>
        <v>-2.6999280000000003</v>
      </c>
      <c r="G338" s="2188">
        <f t="shared" si="68"/>
        <v>0</v>
      </c>
      <c r="H338" s="2188">
        <f t="shared" si="68"/>
        <v>0</v>
      </c>
      <c r="I338" s="2188">
        <f t="shared" si="68"/>
        <v>0</v>
      </c>
      <c r="J338" s="2188">
        <f t="shared" si="68"/>
        <v>0</v>
      </c>
      <c r="K338" s="2188">
        <f t="shared" si="68"/>
        <v>0</v>
      </c>
      <c r="L338" s="2188">
        <f t="shared" si="68"/>
        <v>0</v>
      </c>
      <c r="M338" s="2188">
        <f t="shared" si="68"/>
        <v>0</v>
      </c>
      <c r="N338" s="2188">
        <f t="shared" si="68"/>
        <v>0</v>
      </c>
      <c r="O338" s="2182"/>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181"/>
      <c r="C339" s="716" t="s">
        <v>99</v>
      </c>
      <c r="D339" s="1716" t="str">
        <f>INDEX(Vectors[Description], MATCH(I.a.Outputs[Vector], Vectors[Code], 0))</f>
        <v>Gaseous hydrocarbons</v>
      </c>
      <c r="E339" s="716"/>
      <c r="F339" s="2188">
        <f t="shared" ref="F339:N339" ca="1" si="69">-F$268</f>
        <v>-24.254439331469616</v>
      </c>
      <c r="G339" s="2188">
        <f t="shared" ca="1" si="69"/>
        <v>-24.744703032876998</v>
      </c>
      <c r="H339" s="2188">
        <f t="shared" ca="1" si="69"/>
        <v>-27.385767915552304</v>
      </c>
      <c r="I339" s="2188">
        <f t="shared" ca="1" si="69"/>
        <v>-37.098678880609839</v>
      </c>
      <c r="J339" s="2188">
        <f t="shared" ca="1" si="69"/>
        <v>-50.151743269846563</v>
      </c>
      <c r="K339" s="2188">
        <f t="shared" ca="1" si="69"/>
        <v>-66.74981167799227</v>
      </c>
      <c r="L339" s="2188">
        <f t="shared" ca="1" si="69"/>
        <v>-71.426632572578853</v>
      </c>
      <c r="M339" s="2188">
        <f t="shared" ca="1" si="69"/>
        <v>-76.270558151769606</v>
      </c>
      <c r="N339" s="2188">
        <f t="shared" ca="1" si="69"/>
        <v>-81.296126820622135</v>
      </c>
      <c r="O339" s="2182"/>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181"/>
      <c r="C340" s="716" t="s">
        <v>103</v>
      </c>
      <c r="D340" s="1716" t="str">
        <f>INDEX(Vectors[Description], MATCH(I.a.Outputs[Vector], Vectors[Code], 0))</f>
        <v>Conversion losses</v>
      </c>
      <c r="E340" s="716"/>
      <c r="F340" s="2188">
        <f t="shared" ref="F340:N340" ca="1" si="70">(F$258+F$268)-(F$256+F$266)+(F$239-F$237)</f>
        <v>27.288845308813272</v>
      </c>
      <c r="G340" s="2188">
        <f t="shared" ca="1" si="70"/>
        <v>25.90883306403585</v>
      </c>
      <c r="H340" s="2188">
        <f t="shared" ca="1" si="70"/>
        <v>24.611263429427108</v>
      </c>
      <c r="I340" s="2188">
        <f t="shared" ca="1" si="70"/>
        <v>28.982073363703002</v>
      </c>
      <c r="J340" s="2188">
        <f t="shared" ca="1" si="70"/>
        <v>31.032824236002384</v>
      </c>
      <c r="K340" s="2188">
        <f t="shared" ca="1" si="70"/>
        <v>30.037415255096519</v>
      </c>
      <c r="L340" s="2188">
        <f t="shared" ca="1" si="70"/>
        <v>32.14198465766048</v>
      </c>
      <c r="M340" s="2188">
        <f t="shared" ca="1" si="70"/>
        <v>34.321751168296316</v>
      </c>
      <c r="N340" s="2188">
        <f t="shared" ca="1" si="70"/>
        <v>36.583257069279959</v>
      </c>
      <c r="O340" s="2182"/>
    </row>
    <row r="341" spans="1:114">
      <c r="B341" s="2181"/>
      <c r="C341" s="716" t="s">
        <v>445</v>
      </c>
      <c r="D341" s="1716" t="str">
        <f>INDEX(Vectors[Description], MATCH(I.a.Outputs[Vector], Vectors[Code], 0))</f>
        <v>Distribution losses and own use</v>
      </c>
      <c r="E341" s="716"/>
      <c r="F341" s="2188">
        <f t="shared" ref="F341:N341" ca="1" si="71">F$236+F$255+F$265</f>
        <v>0.57430509632817595</v>
      </c>
      <c r="G341" s="2188">
        <f t="shared" ca="1" si="71"/>
        <v>0.45126996689345089</v>
      </c>
      <c r="H341" s="2188">
        <f t="shared" ca="1" si="71"/>
        <v>0.48804845681477976</v>
      </c>
      <c r="I341" s="2188">
        <f t="shared" ca="1" si="71"/>
        <v>0.59279553584971412</v>
      </c>
      <c r="J341" s="2188">
        <f t="shared" ca="1" si="71"/>
        <v>0.67360443730226705</v>
      </c>
      <c r="K341" s="2188">
        <f t="shared" ca="1" si="71"/>
        <v>0.71985091025285786</v>
      </c>
      <c r="L341" s="2188">
        <f t="shared" ca="1" si="71"/>
        <v>0.77028721401800737</v>
      </c>
      <c r="M341" s="2188">
        <f t="shared" ca="1" si="71"/>
        <v>0.82252562712692723</v>
      </c>
      <c r="N341" s="2188">
        <f t="shared" ca="1" si="71"/>
        <v>0.87672293630082698</v>
      </c>
      <c r="O341" s="2182"/>
    </row>
    <row r="342" spans="1:114">
      <c r="B342" s="2181"/>
      <c r="C342" s="508" t="s">
        <v>58</v>
      </c>
      <c r="D342" s="508"/>
      <c r="E342" s="508"/>
      <c r="F342" s="2400">
        <f ca="1">SUBTOTAL(109,I.a.Outputs[2013])</f>
        <v>-2.2204460492503131E-15</v>
      </c>
      <c r="G342" s="2400">
        <f ca="1">SUBTOTAL(109,I.a.Outputs[2015])</f>
        <v>2.1094237467877974E-15</v>
      </c>
      <c r="H342" s="2400">
        <f ca="1">SUBTOTAL(109,I.a.Outputs[2020])</f>
        <v>-9.4368957093138306E-16</v>
      </c>
      <c r="I342" s="2400">
        <f ca="1">SUBTOTAL(109,I.a.Outputs[2025])</f>
        <v>7.5495165674510645E-15</v>
      </c>
      <c r="J342" s="2400">
        <f ca="1">SUBTOTAL(109,I.a.Outputs[2030])</f>
        <v>0</v>
      </c>
      <c r="K342" s="2400">
        <f ca="1">SUBTOTAL(109,I.a.Outputs[2035])</f>
        <v>-1.1102230246251565E-15</v>
      </c>
      <c r="L342" s="2400">
        <f ca="1">SUBTOTAL(109,I.a.Outputs[2040])</f>
        <v>2.55351295663786E-15</v>
      </c>
      <c r="M342" s="2400">
        <f ca="1">SUBTOTAL(109,I.a.Outputs[2045])</f>
        <v>-1.5543122344752192E-15</v>
      </c>
      <c r="N342" s="2400">
        <f ca="1">SUBTOTAL(109,I.a.Outputs[2050])</f>
        <v>-2.7755575615628914E-15</v>
      </c>
      <c r="O342" s="2182"/>
    </row>
    <row r="343" spans="1:114">
      <c r="B343" s="2183"/>
      <c r="C343" s="860"/>
      <c r="D343" s="860"/>
      <c r="E343" s="860"/>
      <c r="F343" s="860"/>
      <c r="G343" s="860"/>
      <c r="H343" s="860"/>
      <c r="I343" s="860"/>
      <c r="J343" s="860"/>
      <c r="K343" s="860"/>
      <c r="L343" s="860"/>
      <c r="M343" s="860"/>
      <c r="N343" s="860"/>
      <c r="O343" s="2184">
        <v>0</v>
      </c>
    </row>
    <row r="345" spans="1:114" ht="15">
      <c r="B345" s="1118" t="s">
        <v>300</v>
      </c>
      <c r="C345" s="1119"/>
      <c r="D345" s="1120"/>
      <c r="E345" s="1120"/>
      <c r="F345" s="1120"/>
      <c r="G345" s="1120"/>
      <c r="H345" s="1120"/>
      <c r="I345" s="1120"/>
      <c r="J345" s="1120"/>
      <c r="K345" s="1120"/>
      <c r="L345" s="1120"/>
      <c r="M345" s="1120"/>
      <c r="N345" s="1120"/>
      <c r="O345" s="1121"/>
    </row>
    <row r="346" spans="1:114">
      <c r="B346" s="1122"/>
      <c r="C346" s="1123"/>
      <c r="D346" s="1123"/>
      <c r="E346" s="1123"/>
      <c r="F346" s="1123"/>
      <c r="G346" s="1123"/>
      <c r="H346" s="1123"/>
      <c r="I346" s="1123"/>
      <c r="J346" s="1123"/>
      <c r="K346" s="1123"/>
      <c r="L346" s="1123"/>
      <c r="M346" s="1123"/>
      <c r="N346" s="1123"/>
      <c r="O346" s="1124"/>
    </row>
    <row r="347" spans="1:114">
      <c r="B347" s="1125"/>
      <c r="C347" s="453" t="s">
        <v>832</v>
      </c>
      <c r="D347" s="1126"/>
      <c r="E347" s="1127"/>
      <c r="F347" s="1126"/>
      <c r="G347" s="1126"/>
      <c r="H347" s="1126"/>
      <c r="I347" s="1126"/>
      <c r="J347" s="1126"/>
      <c r="K347" s="1126"/>
      <c r="L347" s="1126"/>
      <c r="M347" s="1126"/>
      <c r="N347" s="1128" t="s">
        <v>833</v>
      </c>
      <c r="O347" s="1129"/>
    </row>
    <row r="348" spans="1:114">
      <c r="B348" s="1125"/>
      <c r="C348" s="1126"/>
      <c r="D348" s="1126"/>
      <c r="E348" s="1126"/>
      <c r="F348" s="1126"/>
      <c r="G348" s="1126"/>
      <c r="H348" s="1126"/>
      <c r="I348" s="1126"/>
      <c r="J348" s="1126"/>
      <c r="K348" s="1126"/>
      <c r="L348" s="1126"/>
      <c r="M348" s="1126"/>
      <c r="N348" s="1126"/>
      <c r="O348" s="1129"/>
    </row>
    <row r="349" spans="1:114" ht="15.5">
      <c r="B349" s="458"/>
      <c r="C349" s="1327" t="s">
        <v>302</v>
      </c>
      <c r="D349" s="1327" t="s">
        <v>303</v>
      </c>
      <c r="E349" s="1327" t="s">
        <v>30</v>
      </c>
      <c r="F349" s="1327" t="s">
        <v>588</v>
      </c>
      <c r="G349" s="1327" t="s">
        <v>132</v>
      </c>
      <c r="H349" s="1327" t="s">
        <v>133</v>
      </c>
      <c r="I349" s="1327" t="s">
        <v>134</v>
      </c>
      <c r="J349" s="1327" t="s">
        <v>135</v>
      </c>
      <c r="K349" s="1327" t="s">
        <v>136</v>
      </c>
      <c r="L349" s="1327" t="s">
        <v>137</v>
      </c>
      <c r="M349" s="1327" t="s">
        <v>138</v>
      </c>
      <c r="N349" s="1327" t="s">
        <v>139</v>
      </c>
      <c r="O349" s="1129"/>
    </row>
    <row r="350" spans="1:114" ht="15.5">
      <c r="B350" s="458"/>
      <c r="C350" s="1131" t="s">
        <v>250</v>
      </c>
      <c r="D350" s="1132" t="s">
        <v>304</v>
      </c>
      <c r="E350" s="1131"/>
      <c r="F350" s="2768">
        <f t="shared" ref="F350:N350" ca="1" si="72">F$271</f>
        <v>13.01324075376653</v>
      </c>
      <c r="G350" s="2768">
        <f t="shared" ca="1" si="72"/>
        <v>12.547671831911057</v>
      </c>
      <c r="H350" s="2768">
        <f t="shared" ca="1" si="72"/>
        <v>12.308018826892326</v>
      </c>
      <c r="I350" s="2768">
        <f t="shared" ca="1" si="72"/>
        <v>14.296457615152061</v>
      </c>
      <c r="J350" s="2768">
        <f t="shared" ca="1" si="72"/>
        <v>14.883600666941904</v>
      </c>
      <c r="K350" s="2768">
        <f t="shared" ca="1" si="72"/>
        <v>13.66510154649259</v>
      </c>
      <c r="L350" s="2768">
        <f t="shared" ca="1" si="72"/>
        <v>14.622545932217429</v>
      </c>
      <c r="M350" s="2768">
        <f t="shared" ca="1" si="72"/>
        <v>15.614200189500055</v>
      </c>
      <c r="N350" s="2768">
        <f t="shared" ca="1" si="72"/>
        <v>16.643040638069948</v>
      </c>
      <c r="O350" s="1129"/>
    </row>
    <row r="351" spans="1:114" ht="15.5">
      <c r="B351" s="458"/>
      <c r="C351" s="1131" t="s">
        <v>252</v>
      </c>
      <c r="D351" s="1132" t="s">
        <v>304</v>
      </c>
      <c r="E351" s="1131"/>
      <c r="F351" s="2768">
        <f t="shared" ref="F351:N351" ca="1" si="73">F$272</f>
        <v>3.6505018223417594E-3</v>
      </c>
      <c r="G351" s="2768">
        <f t="shared" ca="1" si="73"/>
        <v>3.0992818299943993E-3</v>
      </c>
      <c r="H351" s="2768">
        <f t="shared" ca="1" si="73"/>
        <v>3.1708097804138344E-3</v>
      </c>
      <c r="I351" s="2768">
        <f t="shared" ca="1" si="73"/>
        <v>3.9051058493721844E-3</v>
      </c>
      <c r="J351" s="2768">
        <f t="shared" ca="1" si="73"/>
        <v>4.5495299277776811E-3</v>
      </c>
      <c r="K351" s="2768">
        <f t="shared" ca="1" si="73"/>
        <v>5.0462857628562159E-3</v>
      </c>
      <c r="L351" s="2768">
        <f t="shared" ca="1" si="73"/>
        <v>5.3998534224869617E-3</v>
      </c>
      <c r="M351" s="2768">
        <f t="shared" ca="1" si="73"/>
        <v>5.7660541962737824E-3</v>
      </c>
      <c r="N351" s="2768">
        <f t="shared" ca="1" si="73"/>
        <v>6.145987187639034E-3</v>
      </c>
      <c r="O351" s="1129"/>
    </row>
    <row r="352" spans="1:114" ht="15.5">
      <c r="B352" s="458"/>
      <c r="C352" s="1131" t="s">
        <v>253</v>
      </c>
      <c r="D352" s="1132" t="s">
        <v>304</v>
      </c>
      <c r="E352" s="1131"/>
      <c r="F352" s="2768">
        <f t="shared" ref="F352:N352" ca="1" si="74">F$273</f>
        <v>9.3005687095917361E-2</v>
      </c>
      <c r="G352" s="2768">
        <f t="shared" ca="1" si="74"/>
        <v>9.3038195909880606E-2</v>
      </c>
      <c r="H352" s="2768">
        <f t="shared" ca="1" si="74"/>
        <v>0.10023463856962833</v>
      </c>
      <c r="I352" s="2768">
        <f t="shared" ca="1" si="74"/>
        <v>0.13166950361694055</v>
      </c>
      <c r="J352" s="2768">
        <f t="shared" ca="1" si="74"/>
        <v>0.17030423193006056</v>
      </c>
      <c r="K352" s="2768">
        <f t="shared" ca="1" si="74"/>
        <v>0.21602909051465419</v>
      </c>
      <c r="L352" s="2768">
        <f t="shared" ca="1" si="74"/>
        <v>0.2311651536578942</v>
      </c>
      <c r="M352" s="2768">
        <f t="shared" ca="1" si="74"/>
        <v>0.24684203440238714</v>
      </c>
      <c r="N352" s="2768">
        <f t="shared" ca="1" si="74"/>
        <v>0.26310678484226147</v>
      </c>
      <c r="O352" s="1129"/>
    </row>
    <row r="353" spans="2:15" ht="15.5">
      <c r="B353" s="458"/>
      <c r="C353" s="2401" t="s">
        <v>58</v>
      </c>
      <c r="D353" s="2401"/>
      <c r="E353" s="2401"/>
      <c r="F353" s="2402">
        <f ca="1">SUBTOTAL(109,I.a.Emissions[2013])</f>
        <v>13.10989694268479</v>
      </c>
      <c r="G353" s="2402">
        <f ca="1">SUBTOTAL(109,I.a.Emissions[2015])</f>
        <v>12.643809309650932</v>
      </c>
      <c r="H353" s="2402">
        <f ca="1">SUBTOTAL(109,I.a.Emissions[2020])</f>
        <v>12.411424275242368</v>
      </c>
      <c r="I353" s="2402">
        <f ca="1">SUBTOTAL(109,I.a.Emissions[2025])</f>
        <v>14.432032224618373</v>
      </c>
      <c r="J353" s="2402">
        <f ca="1">SUBTOTAL(109,I.a.Emissions[2030])</f>
        <v>15.058454428799742</v>
      </c>
      <c r="K353" s="2402">
        <f ca="1">SUBTOTAL(109,I.a.Emissions[2035])</f>
        <v>13.886176922770101</v>
      </c>
      <c r="L353" s="2402">
        <f ca="1">SUBTOTAL(109,I.a.Emissions[2040])</f>
        <v>14.85911093929781</v>
      </c>
      <c r="M353" s="2402">
        <f ca="1">SUBTOTAL(109,I.a.Emissions[2045])</f>
        <v>15.866808278098716</v>
      </c>
      <c r="N353" s="2402">
        <f ca="1">SUBTOTAL(109,I.a.Emissions[2050])</f>
        <v>16.912293410099849</v>
      </c>
      <c r="O353" s="1129"/>
    </row>
    <row r="354" spans="2:15">
      <c r="B354" s="468"/>
      <c r="C354" s="468"/>
      <c r="D354" s="468"/>
      <c r="E354" s="468"/>
      <c r="F354" s="468" t="s">
        <v>5</v>
      </c>
      <c r="G354" s="468"/>
      <c r="H354" s="468"/>
      <c r="I354" s="468"/>
      <c r="J354" s="468"/>
      <c r="K354" s="468"/>
      <c r="L354" s="468"/>
      <c r="M354" s="468"/>
      <c r="N354" s="468"/>
      <c r="O354" s="468"/>
    </row>
    <row r="355" spans="2:15">
      <c r="B355" s="468"/>
      <c r="C355" s="466" t="s">
        <v>834</v>
      </c>
      <c r="D355" s="1131"/>
      <c r="E355" s="1131"/>
      <c r="F355" s="1133"/>
      <c r="G355" s="1133"/>
      <c r="H355" s="1133"/>
      <c r="I355" s="1133"/>
      <c r="J355" s="1133"/>
      <c r="K355" s="1133"/>
      <c r="L355" s="1133"/>
      <c r="M355" s="1133"/>
      <c r="N355" s="1134" t="s">
        <v>831</v>
      </c>
      <c r="O355" s="468"/>
    </row>
    <row r="356" spans="2:15">
      <c r="B356" s="468"/>
      <c r="C356" s="468"/>
      <c r="D356" s="468"/>
      <c r="E356" s="468"/>
      <c r="F356" s="468"/>
      <c r="G356" s="468"/>
      <c r="H356" s="468"/>
      <c r="I356" s="468"/>
      <c r="J356" s="468"/>
      <c r="K356" s="468"/>
      <c r="L356" s="468"/>
      <c r="M356" s="468"/>
      <c r="N356" s="468"/>
      <c r="O356" s="468"/>
    </row>
    <row r="357" spans="2:15">
      <c r="B357" s="468"/>
      <c r="C357" s="2185" t="s">
        <v>28</v>
      </c>
      <c r="D357" s="2186" t="s">
        <v>29</v>
      </c>
      <c r="E357" s="2186" t="s">
        <v>303</v>
      </c>
      <c r="F357" s="2186" t="s">
        <v>588</v>
      </c>
      <c r="G357" s="2186" t="s">
        <v>132</v>
      </c>
      <c r="H357" s="2186" t="s">
        <v>133</v>
      </c>
      <c r="I357" s="2186" t="s">
        <v>134</v>
      </c>
      <c r="J357" s="2186" t="s">
        <v>135</v>
      </c>
      <c r="K357" s="2186" t="s">
        <v>136</v>
      </c>
      <c r="L357" s="2186" t="s">
        <v>137</v>
      </c>
      <c r="M357" s="2186" t="s">
        <v>138</v>
      </c>
      <c r="N357" s="2187" t="s">
        <v>139</v>
      </c>
      <c r="O357" s="468"/>
    </row>
    <row r="358" spans="2:15">
      <c r="B358" s="468"/>
      <c r="C358" s="3824" t="str">
        <f>INDEX(AirQualityVectors[Code],MATCH(D358,AirQualityVectors[Description],0))</f>
        <v>AQ.01</v>
      </c>
      <c r="D358" s="1136" t="s">
        <v>258</v>
      </c>
      <c r="E358" s="1137" t="s">
        <v>304</v>
      </c>
      <c r="F358" s="2403">
        <f t="shared" ref="F358:N361" ca="1" si="75">F283</f>
        <v>0.54881157355561117</v>
      </c>
      <c r="G358" s="2403">
        <f t="shared" ca="1" si="75"/>
        <v>0.3705151745388755</v>
      </c>
      <c r="H358" s="2403">
        <f t="shared" ca="1" si="75"/>
        <v>0.3154011879903536</v>
      </c>
      <c r="I358" s="2403">
        <f t="shared" ca="1" si="75"/>
        <v>0.26154661134652346</v>
      </c>
      <c r="J358" s="2403">
        <f t="shared" ca="1" si="75"/>
        <v>0.27679624518023338</v>
      </c>
      <c r="K358" s="2403">
        <f t="shared" ca="1" si="75"/>
        <v>0.20674249050022073</v>
      </c>
      <c r="L358" s="2403">
        <f t="shared" ca="1" si="75"/>
        <v>0.22122788866186216</v>
      </c>
      <c r="M358" s="2403">
        <f t="shared" ca="1" si="75"/>
        <v>0.23623085590423717</v>
      </c>
      <c r="N358" s="2403">
        <f t="shared" ca="1" si="75"/>
        <v>0.25179642165879967</v>
      </c>
      <c r="O358" s="468"/>
    </row>
    <row r="359" spans="2:15">
      <c r="B359" s="468"/>
      <c r="C359" s="3307" t="str">
        <f>INDEX(AirQualityVectors[Code],MATCH(D359,AirQualityVectors[Description],0))</f>
        <v>AQ.02</v>
      </c>
      <c r="D359" s="1135" t="s">
        <v>260</v>
      </c>
      <c r="E359" s="1139" t="s">
        <v>304</v>
      </c>
      <c r="F359" s="2404">
        <f t="shared" ca="1" si="75"/>
        <v>17.694679316858025</v>
      </c>
      <c r="G359" s="2404">
        <f t="shared" ca="1" si="75"/>
        <v>11.734811823957862</v>
      </c>
      <c r="H359" s="2404">
        <f t="shared" ca="1" si="75"/>
        <v>8.2195070754181163</v>
      </c>
      <c r="I359" s="2404">
        <f t="shared" ca="1" si="75"/>
        <v>9.6620389865598106</v>
      </c>
      <c r="J359" s="2404">
        <f t="shared" ca="1" si="75"/>
        <v>9.799787652125886</v>
      </c>
      <c r="K359" s="2404">
        <f t="shared" ca="1" si="75"/>
        <v>8.4224533686336134</v>
      </c>
      <c r="L359" s="2404">
        <f t="shared" ca="1" si="75"/>
        <v>9.0125719758310332</v>
      </c>
      <c r="M359" s="2404">
        <f t="shared" ca="1" si="75"/>
        <v>9.6237757573289944</v>
      </c>
      <c r="N359" s="2404">
        <f t="shared" ca="1" si="75"/>
        <v>10.257899160829655</v>
      </c>
      <c r="O359" s="468"/>
    </row>
    <row r="360" spans="2:15">
      <c r="B360" s="468"/>
      <c r="C360" s="3307" t="str">
        <f>INDEX(AirQualityVectors[Code],MATCH(D360,AirQualityVectors[Description],0))</f>
        <v>AQ.03</v>
      </c>
      <c r="D360" s="1135" t="s">
        <v>262</v>
      </c>
      <c r="E360" s="1139" t="s">
        <v>304</v>
      </c>
      <c r="F360" s="2404">
        <f t="shared" ca="1" si="75"/>
        <v>9.669156194709478</v>
      </c>
      <c r="G360" s="2404">
        <f t="shared" ca="1" si="75"/>
        <v>5.1336774246203714</v>
      </c>
      <c r="H360" s="2404">
        <f t="shared" ca="1" si="75"/>
        <v>4.4061570350345098</v>
      </c>
      <c r="I360" s="2404">
        <f t="shared" ca="1" si="75"/>
        <v>4.2627916311706748</v>
      </c>
      <c r="J360" s="2404">
        <f t="shared" ca="1" si="75"/>
        <v>2.7685148873195708</v>
      </c>
      <c r="K360" s="2404">
        <f t="shared" ca="1" si="75"/>
        <v>0.15637079791283265</v>
      </c>
      <c r="L360" s="2404">
        <f t="shared" ca="1" si="75"/>
        <v>0.16732690695041111</v>
      </c>
      <c r="M360" s="2404">
        <f t="shared" ca="1" si="75"/>
        <v>0.17867448215410525</v>
      </c>
      <c r="N360" s="2404">
        <f t="shared" ca="1" si="75"/>
        <v>0.19044758177729565</v>
      </c>
      <c r="O360" s="468"/>
    </row>
    <row r="361" spans="2:15">
      <c r="B361" s="468"/>
      <c r="C361" s="3308" t="str">
        <f>INDEX(AirQualityVectors[Code],MATCH(D361,AirQualityVectors[Description],0))</f>
        <v>AQ.04</v>
      </c>
      <c r="D361" s="1335" t="s">
        <v>264</v>
      </c>
      <c r="E361" s="1336" t="s">
        <v>304</v>
      </c>
      <c r="F361" s="2405">
        <f t="shared" ca="1" si="75"/>
        <v>0.2246771055362905</v>
      </c>
      <c r="G361" s="2405">
        <f t="shared" ca="1" si="75"/>
        <v>0.25285910963487618</v>
      </c>
      <c r="H361" s="2405">
        <f t="shared" ca="1" si="75"/>
        <v>0.27740899716248213</v>
      </c>
      <c r="I361" s="2405">
        <f t="shared" ca="1" si="75"/>
        <v>0.3411100559768977</v>
      </c>
      <c r="J361" s="2405">
        <f t="shared" ca="1" si="75"/>
        <v>0.41187895591068846</v>
      </c>
      <c r="K361" s="2405">
        <f t="shared" ca="1" si="75"/>
        <v>0.28177657236970638</v>
      </c>
      <c r="L361" s="2405">
        <f t="shared" ca="1" si="75"/>
        <v>0.30151922823847377</v>
      </c>
      <c r="M361" s="2405">
        <f t="shared" ca="1" si="75"/>
        <v>0.32196729711247674</v>
      </c>
      <c r="N361" s="2405">
        <f t="shared" ca="1" si="75"/>
        <v>0.34318215117902001</v>
      </c>
      <c r="O361" s="468"/>
    </row>
    <row r="362" spans="2:15" ht="15.5">
      <c r="B362" s="469"/>
      <c r="C362" s="1140"/>
      <c r="D362" s="1140"/>
      <c r="E362" s="1140"/>
      <c r="F362" s="1140"/>
      <c r="G362" s="1140"/>
      <c r="H362" s="1140"/>
      <c r="I362" s="1140"/>
      <c r="J362" s="1140"/>
      <c r="K362" s="1140"/>
      <c r="L362" s="1140"/>
      <c r="M362" s="1140"/>
      <c r="N362" s="1140"/>
      <c r="O362" s="1338"/>
    </row>
    <row r="364" spans="2:15" ht="15">
      <c r="B364" s="986" t="s">
        <v>310</v>
      </c>
      <c r="C364" s="987"/>
      <c r="D364" s="988"/>
      <c r="E364" s="988"/>
      <c r="F364" s="988"/>
      <c r="G364" s="988"/>
      <c r="H364" s="988"/>
      <c r="I364" s="988"/>
      <c r="J364" s="988"/>
      <c r="K364" s="988"/>
      <c r="L364" s="988"/>
      <c r="M364" s="988"/>
      <c r="N364" s="988"/>
      <c r="O364" s="989"/>
    </row>
    <row r="365" spans="2:15">
      <c r="B365" s="990"/>
      <c r="C365" s="991"/>
      <c r="D365" s="991"/>
      <c r="E365" s="991"/>
      <c r="F365" s="991"/>
      <c r="G365" s="991"/>
      <c r="H365" s="991"/>
      <c r="I365" s="991"/>
      <c r="J365" s="991"/>
      <c r="K365" s="991"/>
      <c r="L365" s="991"/>
      <c r="M365" s="991"/>
      <c r="N365" s="991"/>
      <c r="O365" s="992"/>
    </row>
    <row r="366" spans="2:15">
      <c r="B366" s="993"/>
      <c r="C366" s="479" t="s">
        <v>1721</v>
      </c>
      <c r="D366" s="994"/>
      <c r="E366" s="995"/>
      <c r="F366" s="994"/>
      <c r="G366" s="994"/>
      <c r="H366" s="994"/>
      <c r="I366" s="994"/>
      <c r="J366" s="994"/>
      <c r="K366" s="994"/>
      <c r="L366" s="994"/>
      <c r="M366" s="994"/>
      <c r="N366" s="995"/>
      <c r="O366" s="996"/>
    </row>
    <row r="367" spans="2:15">
      <c r="B367" s="993"/>
      <c r="C367" s="994"/>
      <c r="D367" s="994"/>
      <c r="E367" s="994"/>
      <c r="F367" s="994"/>
      <c r="G367" s="994"/>
      <c r="H367" s="994"/>
      <c r="I367" s="994"/>
      <c r="J367" s="994"/>
      <c r="K367" s="994"/>
      <c r="L367" s="994"/>
      <c r="M367" s="994"/>
      <c r="N367" s="994"/>
      <c r="O367" s="996"/>
    </row>
    <row r="368" spans="2:15" ht="15.5">
      <c r="B368" s="483"/>
      <c r="C368" s="997" t="s">
        <v>28</v>
      </c>
      <c r="D368" s="997" t="s">
        <v>312</v>
      </c>
      <c r="E368" s="997" t="s">
        <v>30</v>
      </c>
      <c r="F368" s="997" t="s">
        <v>588</v>
      </c>
      <c r="G368" s="997" t="s">
        <v>132</v>
      </c>
      <c r="H368" s="997" t="s">
        <v>133</v>
      </c>
      <c r="I368" s="997" t="s">
        <v>134</v>
      </c>
      <c r="J368" s="997" t="s">
        <v>135</v>
      </c>
      <c r="K368" s="997" t="s">
        <v>136</v>
      </c>
      <c r="L368" s="997" t="s">
        <v>137</v>
      </c>
      <c r="M368" s="997" t="s">
        <v>138</v>
      </c>
      <c r="N368" s="997" t="s">
        <v>139</v>
      </c>
      <c r="O368" s="996"/>
    </row>
    <row r="369" spans="1:15" ht="15.5">
      <c r="B369" s="483"/>
      <c r="C369" s="998" t="s">
        <v>748</v>
      </c>
      <c r="D369" s="3032" t="str">
        <f>INDEX(Vectors[Description], MATCH(I.a.Liquid.Info[Vector], Vectors[Code], 0))</f>
        <v xml:space="preserve">Installed Capacity </v>
      </c>
      <c r="E369" s="485" t="str">
        <f>Preferences.PowerUnits</f>
        <v>GW</v>
      </c>
      <c r="F369" s="2408">
        <f>F292</f>
        <v>1.1000000000000001</v>
      </c>
      <c r="G369" s="2408">
        <f t="shared" ref="G369:N369" si="76">G292</f>
        <v>0.91600000000000004</v>
      </c>
      <c r="H369" s="2408">
        <f t="shared" si="76"/>
        <v>0.32400000000000001</v>
      </c>
      <c r="I369" s="2408">
        <f t="shared" si="76"/>
        <v>0.32400000000000001</v>
      </c>
      <c r="J369" s="2408">
        <f t="shared" si="76"/>
        <v>0.32400000000000001</v>
      </c>
      <c r="K369" s="2408">
        <f t="shared" si="76"/>
        <v>0</v>
      </c>
      <c r="L369" s="2408">
        <f t="shared" si="76"/>
        <v>0</v>
      </c>
      <c r="M369" s="2408">
        <f t="shared" si="76"/>
        <v>0</v>
      </c>
      <c r="N369" s="2408">
        <f t="shared" si="76"/>
        <v>0</v>
      </c>
      <c r="O369" s="996"/>
    </row>
    <row r="370" spans="1:15" ht="15.5">
      <c r="B370" s="483"/>
      <c r="C370" s="998" t="s">
        <v>750</v>
      </c>
      <c r="D370" s="3032" t="str">
        <f>INDEX(Vectors[Description], MATCH(I.a.Liquid.Info[Vector], Vectors[Code], 0))</f>
        <v>Load factor</v>
      </c>
      <c r="E370" s="998" t="s">
        <v>42</v>
      </c>
      <c r="F370" s="2409">
        <f t="shared" ref="F370:N370" si="77">F74</f>
        <v>7.0000000000000007E-2</v>
      </c>
      <c r="G370" s="2409">
        <f t="shared" si="77"/>
        <v>0</v>
      </c>
      <c r="H370" s="2409">
        <f t="shared" si="77"/>
        <v>0</v>
      </c>
      <c r="I370" s="2409">
        <f t="shared" si="77"/>
        <v>0</v>
      </c>
      <c r="J370" s="2409">
        <f t="shared" si="77"/>
        <v>0</v>
      </c>
      <c r="K370" s="2409">
        <f t="shared" si="77"/>
        <v>0</v>
      </c>
      <c r="L370" s="2409">
        <f t="shared" si="77"/>
        <v>0</v>
      </c>
      <c r="M370" s="2409">
        <f t="shared" si="77"/>
        <v>0</v>
      </c>
      <c r="N370" s="2409">
        <f t="shared" si="77"/>
        <v>0</v>
      </c>
      <c r="O370" s="996"/>
    </row>
    <row r="371" spans="1:15" ht="15.5">
      <c r="B371" s="483"/>
      <c r="C371" s="998" t="s">
        <v>313</v>
      </c>
      <c r="D371" s="3634" t="str">
        <f>INDEX(Vectors[Description], MATCH(I.a.Liquid.Info[Vector], Vectors[Code], 0))</f>
        <v>Number of thermal power stations</v>
      </c>
      <c r="E371" s="998" t="s">
        <v>741</v>
      </c>
      <c r="F371" s="2410">
        <f>F369/$F$99</f>
        <v>4.4000000000000004</v>
      </c>
      <c r="G371" s="2410">
        <f t="shared" ref="G371:N371" si="78">G369/$F$99</f>
        <v>3.6640000000000001</v>
      </c>
      <c r="H371" s="2410">
        <f t="shared" si="78"/>
        <v>1.296</v>
      </c>
      <c r="I371" s="2410">
        <f t="shared" si="78"/>
        <v>1.296</v>
      </c>
      <c r="J371" s="2410">
        <f t="shared" si="78"/>
        <v>1.296</v>
      </c>
      <c r="K371" s="2410">
        <f t="shared" si="78"/>
        <v>0</v>
      </c>
      <c r="L371" s="2410">
        <f t="shared" si="78"/>
        <v>0</v>
      </c>
      <c r="M371" s="2410">
        <f t="shared" si="78"/>
        <v>0</v>
      </c>
      <c r="N371" s="2410">
        <f t="shared" si="78"/>
        <v>0</v>
      </c>
      <c r="O371" s="996"/>
    </row>
    <row r="372" spans="1:15" ht="15.5">
      <c r="B372" s="483"/>
      <c r="C372" s="994"/>
      <c r="D372" s="994"/>
      <c r="E372" s="994"/>
      <c r="F372" s="994"/>
      <c r="G372" s="994"/>
      <c r="H372" s="994"/>
      <c r="I372" s="994"/>
      <c r="J372" s="994"/>
      <c r="K372" s="994"/>
      <c r="L372" s="994"/>
      <c r="M372" s="994"/>
      <c r="N372" s="994"/>
      <c r="O372" s="996"/>
    </row>
    <row r="373" spans="1:15">
      <c r="B373" s="993"/>
      <c r="C373" s="479" t="s">
        <v>1722</v>
      </c>
      <c r="D373" s="994"/>
      <c r="E373" s="995"/>
      <c r="F373" s="994"/>
      <c r="G373" s="994"/>
      <c r="H373" s="994"/>
      <c r="I373" s="994"/>
      <c r="J373" s="994"/>
      <c r="K373" s="994"/>
      <c r="L373" s="994"/>
      <c r="M373" s="994"/>
      <c r="N373" s="995"/>
      <c r="O373" s="996"/>
    </row>
    <row r="374" spans="1:15">
      <c r="B374" s="993"/>
      <c r="C374" s="994"/>
      <c r="D374" s="994"/>
      <c r="E374" s="994"/>
      <c r="F374" s="994"/>
      <c r="G374" s="994"/>
      <c r="H374" s="994"/>
      <c r="I374" s="994"/>
      <c r="J374" s="994"/>
      <c r="K374" s="994"/>
      <c r="L374" s="994"/>
      <c r="M374" s="994"/>
      <c r="N374" s="994"/>
      <c r="O374" s="996"/>
    </row>
    <row r="375" spans="1:15" ht="15.5">
      <c r="B375" s="483"/>
      <c r="C375" s="997" t="s">
        <v>28</v>
      </c>
      <c r="D375" s="997" t="s">
        <v>312</v>
      </c>
      <c r="E375" s="997" t="s">
        <v>30</v>
      </c>
      <c r="F375" s="997" t="s">
        <v>588</v>
      </c>
      <c r="G375" s="997" t="s">
        <v>132</v>
      </c>
      <c r="H375" s="997" t="s">
        <v>133</v>
      </c>
      <c r="I375" s="997" t="s">
        <v>134</v>
      </c>
      <c r="J375" s="997" t="s">
        <v>135</v>
      </c>
      <c r="K375" s="997" t="s">
        <v>136</v>
      </c>
      <c r="L375" s="997" t="s">
        <v>137</v>
      </c>
      <c r="M375" s="997" t="s">
        <v>138</v>
      </c>
      <c r="N375" s="997" t="s">
        <v>139</v>
      </c>
      <c r="O375" s="996"/>
    </row>
    <row r="376" spans="1:15" ht="15.5">
      <c r="B376" s="483"/>
      <c r="C376" s="998" t="s">
        <v>748</v>
      </c>
      <c r="D376" s="3032" t="str">
        <f>INDEX(Vectors[Description], MATCH(I.a.Solid.Info[Vector], Vectors[Code], 0))</f>
        <v xml:space="preserve">Installed Capacity </v>
      </c>
      <c r="E376" s="485" t="str">
        <f>Preferences.PowerUnits</f>
        <v>GW</v>
      </c>
      <c r="F376" s="2408">
        <f ca="1">F293</f>
        <v>1.216</v>
      </c>
      <c r="G376" s="2408">
        <f t="shared" ref="G376:N376" ca="1" si="79">G293</f>
        <v>1.2009999999999998</v>
      </c>
      <c r="H376" s="2408">
        <f t="shared" ca="1" si="79"/>
        <v>0.91600000000000004</v>
      </c>
      <c r="I376" s="2408">
        <f t="shared" ca="1" si="79"/>
        <v>0.91600000000000004</v>
      </c>
      <c r="J376" s="2408">
        <f t="shared" ca="1" si="79"/>
        <v>0.63100000000000012</v>
      </c>
      <c r="K376" s="2408">
        <f t="shared" ca="1" si="79"/>
        <v>0</v>
      </c>
      <c r="L376" s="2408">
        <f t="shared" ca="1" si="79"/>
        <v>0</v>
      </c>
      <c r="M376" s="2408">
        <f t="shared" ca="1" si="79"/>
        <v>0</v>
      </c>
      <c r="N376" s="2408">
        <f t="shared" ca="1" si="79"/>
        <v>0</v>
      </c>
      <c r="O376" s="996"/>
    </row>
    <row r="377" spans="1:15" ht="15.5">
      <c r="B377" s="483"/>
      <c r="C377" s="998" t="s">
        <v>750</v>
      </c>
      <c r="D377" s="3032" t="str">
        <f>INDEX(Vectors[Description], MATCH(I.a.Solid.Info[Vector], Vectors[Code], 0))</f>
        <v>Load factor</v>
      </c>
      <c r="E377" s="998" t="s">
        <v>42</v>
      </c>
      <c r="F377" s="2409">
        <f>F219</f>
        <v>0.80000000000000016</v>
      </c>
      <c r="G377" s="2409">
        <f t="shared" ref="G377:N377" si="80">G219</f>
        <v>0.80000000000000016</v>
      </c>
      <c r="H377" s="2409">
        <f t="shared" si="80"/>
        <v>0.8</v>
      </c>
      <c r="I377" s="2409">
        <f t="shared" si="80"/>
        <v>0.8</v>
      </c>
      <c r="J377" s="2409">
        <f t="shared" si="80"/>
        <v>0.8</v>
      </c>
      <c r="K377" s="2409">
        <f t="shared" si="80"/>
        <v>0</v>
      </c>
      <c r="L377" s="2409">
        <f t="shared" si="80"/>
        <v>0</v>
      </c>
      <c r="M377" s="2409">
        <f t="shared" si="80"/>
        <v>0</v>
      </c>
      <c r="N377" s="2409">
        <f t="shared" si="80"/>
        <v>0</v>
      </c>
      <c r="O377" s="996"/>
    </row>
    <row r="378" spans="1:15" ht="15.5">
      <c r="B378" s="483"/>
      <c r="C378" s="998" t="s">
        <v>313</v>
      </c>
      <c r="D378" s="3634" t="str">
        <f>INDEX(Vectors[Description], MATCH(I.a.Solid.Info[Vector], Vectors[Code], 0))</f>
        <v>Number of thermal power stations</v>
      </c>
      <c r="E378" s="998" t="s">
        <v>741</v>
      </c>
      <c r="F378" s="2410">
        <f ca="1">F376/$F$97</f>
        <v>1.4222222222222223</v>
      </c>
      <c r="G378" s="2410">
        <f t="shared" ref="G378:N378" ca="1" si="81">G376/$F$97</f>
        <v>1.4046783625730992</v>
      </c>
      <c r="H378" s="2410">
        <f t="shared" ca="1" si="81"/>
        <v>1.0713450292397662</v>
      </c>
      <c r="I378" s="2410">
        <f t="shared" ca="1" si="81"/>
        <v>1.0713450292397662</v>
      </c>
      <c r="J378" s="2410">
        <f t="shared" ca="1" si="81"/>
        <v>0.7380116959064329</v>
      </c>
      <c r="K378" s="2410">
        <f t="shared" ca="1" si="81"/>
        <v>0</v>
      </c>
      <c r="L378" s="2410">
        <f t="shared" ca="1" si="81"/>
        <v>0</v>
      </c>
      <c r="M378" s="2410">
        <f t="shared" ca="1" si="81"/>
        <v>0</v>
      </c>
      <c r="N378" s="2410">
        <f t="shared" ca="1" si="81"/>
        <v>0</v>
      </c>
      <c r="O378" s="996"/>
    </row>
    <row r="379" spans="1:15" ht="15.5">
      <c r="B379" s="483"/>
      <c r="C379" s="994"/>
      <c r="D379" s="994"/>
      <c r="E379" s="994"/>
      <c r="F379" s="994"/>
      <c r="G379" s="994"/>
      <c r="H379" s="994"/>
      <c r="I379" s="994"/>
      <c r="J379" s="994"/>
      <c r="K379" s="994"/>
      <c r="L379" s="994"/>
      <c r="M379" s="994"/>
      <c r="N379" s="994"/>
      <c r="O379" s="996"/>
    </row>
    <row r="380" spans="1:15">
      <c r="B380" s="993"/>
      <c r="C380" s="479" t="s">
        <v>1723</v>
      </c>
      <c r="D380" s="994"/>
      <c r="E380" s="995"/>
      <c r="F380" s="994"/>
      <c r="G380" s="994"/>
      <c r="H380" s="994"/>
      <c r="I380" s="994"/>
      <c r="J380" s="994"/>
      <c r="K380" s="994"/>
      <c r="L380" s="994"/>
      <c r="M380" s="994"/>
      <c r="N380" s="995"/>
      <c r="O380" s="996"/>
    </row>
    <row r="381" spans="1:15">
      <c r="B381" s="993"/>
      <c r="C381" s="994"/>
      <c r="D381" s="994"/>
      <c r="E381" s="994"/>
      <c r="F381" s="994"/>
      <c r="G381" s="994"/>
      <c r="H381" s="994"/>
      <c r="I381" s="994"/>
      <c r="J381" s="994"/>
      <c r="K381" s="994"/>
      <c r="L381" s="994"/>
      <c r="M381" s="994"/>
      <c r="N381" s="994"/>
      <c r="O381" s="996"/>
    </row>
    <row r="382" spans="1:15" ht="15.5">
      <c r="B382" s="483"/>
      <c r="C382" s="997" t="s">
        <v>28</v>
      </c>
      <c r="D382" s="997" t="s">
        <v>312</v>
      </c>
      <c r="E382" s="997" t="s">
        <v>30</v>
      </c>
      <c r="F382" s="997" t="s">
        <v>588</v>
      </c>
      <c r="G382" s="997" t="s">
        <v>132</v>
      </c>
      <c r="H382" s="997" t="s">
        <v>133</v>
      </c>
      <c r="I382" s="997" t="s">
        <v>134</v>
      </c>
      <c r="J382" s="997" t="s">
        <v>135</v>
      </c>
      <c r="K382" s="997" t="s">
        <v>136</v>
      </c>
      <c r="L382" s="997" t="s">
        <v>137</v>
      </c>
      <c r="M382" s="997" t="s">
        <v>138</v>
      </c>
      <c r="N382" s="997" t="s">
        <v>139</v>
      </c>
      <c r="O382" s="996"/>
    </row>
    <row r="383" spans="1:15" ht="15.5">
      <c r="A383" s="39"/>
      <c r="B383" s="483"/>
      <c r="C383" s="998" t="s">
        <v>748</v>
      </c>
      <c r="D383" s="3032" t="str">
        <f>INDEX(Vectors[Description], MATCH(I.a.Gas.Info[Vector], Vectors[Code], 0))</f>
        <v xml:space="preserve">Installed Capacity </v>
      </c>
      <c r="E383" s="485" t="str">
        <f>Preferences.PowerUnits</f>
        <v>GW</v>
      </c>
      <c r="F383" s="2408">
        <f ca="1">F294</f>
        <v>3.7307314609372622</v>
      </c>
      <c r="G383" s="2408">
        <f t="shared" ref="G383:N383" ca="1" si="82">G294</f>
        <v>3.8052509775073333</v>
      </c>
      <c r="H383" s="2408">
        <f t="shared" ca="1" si="82"/>
        <v>4.2113950606716246</v>
      </c>
      <c r="I383" s="2408">
        <f t="shared" ca="1" si="82"/>
        <v>5.7050506480965373</v>
      </c>
      <c r="J383" s="2408">
        <f t="shared" ca="1" si="82"/>
        <v>7.7123564525192059</v>
      </c>
      <c r="K383" s="2408">
        <f t="shared" ca="1" si="82"/>
        <v>10.264814485695553</v>
      </c>
      <c r="L383" s="2408">
        <f t="shared" ca="1" si="82"/>
        <v>10.984017995921848</v>
      </c>
      <c r="M383" s="2408">
        <f t="shared" ca="1" si="82"/>
        <v>11.728918935759285</v>
      </c>
      <c r="N383" s="2408">
        <f t="shared" ca="1" si="82"/>
        <v>12.50175302733326</v>
      </c>
      <c r="O383" s="996"/>
    </row>
    <row r="384" spans="1:15" ht="15.5">
      <c r="B384" s="483"/>
      <c r="C384" s="998" t="s">
        <v>750</v>
      </c>
      <c r="D384" s="3032" t="str">
        <f>INDEX(Vectors[Description], MATCH(I.a.Gas.Info[Vector], Vectors[Code], 0))</f>
        <v>Load factor</v>
      </c>
      <c r="E384" s="998" t="s">
        <v>42</v>
      </c>
      <c r="F384" s="2409">
        <f t="shared" ref="F384:N384" si="83">F75</f>
        <v>0.4</v>
      </c>
      <c r="G384" s="2409">
        <f t="shared" si="83"/>
        <v>0.4</v>
      </c>
      <c r="H384" s="2409">
        <f t="shared" si="83"/>
        <v>0.4</v>
      </c>
      <c r="I384" s="2409">
        <f t="shared" si="83"/>
        <v>0.4</v>
      </c>
      <c r="J384" s="2409">
        <f t="shared" si="83"/>
        <v>0.4</v>
      </c>
      <c r="K384" s="2409">
        <f t="shared" si="83"/>
        <v>0.4</v>
      </c>
      <c r="L384" s="2409">
        <f t="shared" si="83"/>
        <v>0.4</v>
      </c>
      <c r="M384" s="2409">
        <f t="shared" si="83"/>
        <v>0.4</v>
      </c>
      <c r="N384" s="2409">
        <f t="shared" si="83"/>
        <v>0.4</v>
      </c>
      <c r="O384" s="996"/>
    </row>
    <row r="385" spans="2:15" ht="15.5">
      <c r="B385" s="483"/>
      <c r="C385" s="998" t="s">
        <v>313</v>
      </c>
      <c r="D385" s="3634" t="str">
        <f>INDEX(Vectors[Description], MATCH(I.a.Gas.Info[Vector], Vectors[Code], 0))</f>
        <v>Number of thermal power stations</v>
      </c>
      <c r="E385" s="998" t="s">
        <v>741</v>
      </c>
      <c r="F385" s="2410">
        <f ca="1">F383/$F$100</f>
        <v>7.4614629218745243</v>
      </c>
      <c r="G385" s="2410">
        <f t="shared" ref="G385:N385" ca="1" si="84">G383/$F$100</f>
        <v>7.6105019550146666</v>
      </c>
      <c r="H385" s="2410">
        <f t="shared" ca="1" si="84"/>
        <v>8.4227901213432492</v>
      </c>
      <c r="I385" s="2410">
        <f t="shared" ca="1" si="84"/>
        <v>11.410101296193075</v>
      </c>
      <c r="J385" s="2410">
        <f t="shared" ca="1" si="84"/>
        <v>15.424712905038412</v>
      </c>
      <c r="K385" s="2410">
        <f t="shared" ca="1" si="84"/>
        <v>20.529628971391105</v>
      </c>
      <c r="L385" s="2410">
        <f t="shared" ca="1" si="84"/>
        <v>21.968035991843696</v>
      </c>
      <c r="M385" s="2410">
        <f t="shared" ca="1" si="84"/>
        <v>23.457837871518571</v>
      </c>
      <c r="N385" s="2410">
        <f t="shared" ca="1" si="84"/>
        <v>25.00350605466652</v>
      </c>
      <c r="O385" s="996"/>
    </row>
    <row r="386" spans="2:15" ht="15.5">
      <c r="B386" s="483"/>
      <c r="C386" s="994"/>
      <c r="D386" s="994"/>
      <c r="E386" s="994"/>
      <c r="F386" s="994"/>
      <c r="G386" s="994"/>
      <c r="H386" s="994"/>
      <c r="I386" s="994"/>
      <c r="J386" s="994"/>
      <c r="K386" s="994"/>
      <c r="L386" s="994"/>
      <c r="M386" s="994"/>
      <c r="N386" s="994"/>
      <c r="O386" s="996"/>
    </row>
    <row r="387" spans="2:15">
      <c r="B387" s="993"/>
      <c r="C387" s="479" t="s">
        <v>1724</v>
      </c>
      <c r="D387" s="994"/>
      <c r="E387" s="995"/>
      <c r="F387" s="994"/>
      <c r="G387" s="994"/>
      <c r="H387" s="994"/>
      <c r="I387" s="994"/>
      <c r="J387" s="994"/>
      <c r="K387" s="994"/>
      <c r="L387" s="994"/>
      <c r="M387" s="994"/>
      <c r="N387" s="995"/>
      <c r="O387" s="996"/>
    </row>
    <row r="388" spans="2:15">
      <c r="B388" s="993"/>
      <c r="C388" s="994"/>
      <c r="D388" s="994"/>
      <c r="E388" s="994"/>
      <c r="F388" s="994"/>
      <c r="G388" s="994"/>
      <c r="H388" s="994"/>
      <c r="I388" s="994"/>
      <c r="J388" s="994"/>
      <c r="K388" s="994"/>
      <c r="L388" s="994"/>
      <c r="M388" s="994"/>
      <c r="N388" s="994"/>
      <c r="O388" s="996"/>
    </row>
    <row r="389" spans="2:15" ht="15.5">
      <c r="B389" s="483"/>
      <c r="C389" s="997" t="s">
        <v>28</v>
      </c>
      <c r="D389" s="997" t="s">
        <v>312</v>
      </c>
      <c r="E389" s="997" t="s">
        <v>30</v>
      </c>
      <c r="F389" s="997" t="s">
        <v>588</v>
      </c>
      <c r="G389" s="997" t="s">
        <v>132</v>
      </c>
      <c r="H389" s="997" t="s">
        <v>133</v>
      </c>
      <c r="I389" s="997" t="s">
        <v>134</v>
      </c>
      <c r="J389" s="997" t="s">
        <v>135</v>
      </c>
      <c r="K389" s="997" t="s">
        <v>136</v>
      </c>
      <c r="L389" s="997" t="s">
        <v>137</v>
      </c>
      <c r="M389" s="997" t="s">
        <v>138</v>
      </c>
      <c r="N389" s="997" t="s">
        <v>139</v>
      </c>
      <c r="O389" s="996"/>
    </row>
    <row r="390" spans="2:15" ht="15.5">
      <c r="B390" s="483"/>
      <c r="C390" s="998" t="s">
        <v>748</v>
      </c>
      <c r="D390" s="3032" t="str">
        <f>INDEX(Vectors[Description], MATCH(I.a.Info[Vector], Vectors[Code], 0))</f>
        <v xml:space="preserve">Installed Capacity </v>
      </c>
      <c r="E390" s="485" t="str">
        <f>Preferences.PowerUnits</f>
        <v>GW</v>
      </c>
      <c r="F390" s="2408">
        <f t="shared" ref="F390:N390" ca="1" si="85">SUM(F$292:F$294)</f>
        <v>6.046731460937262</v>
      </c>
      <c r="G390" s="2408">
        <f t="shared" ca="1" si="85"/>
        <v>5.9222509775073338</v>
      </c>
      <c r="H390" s="2408">
        <f t="shared" ca="1" si="85"/>
        <v>5.4513950606716248</v>
      </c>
      <c r="I390" s="2408">
        <f t="shared" ca="1" si="85"/>
        <v>6.9450506480965375</v>
      </c>
      <c r="J390" s="2408">
        <f t="shared" ca="1" si="85"/>
        <v>8.6673564525192059</v>
      </c>
      <c r="K390" s="2408">
        <f t="shared" ca="1" si="85"/>
        <v>10.264814485695553</v>
      </c>
      <c r="L390" s="2408">
        <f t="shared" ca="1" si="85"/>
        <v>10.984017995921848</v>
      </c>
      <c r="M390" s="2408">
        <f t="shared" ca="1" si="85"/>
        <v>11.728918935759285</v>
      </c>
      <c r="N390" s="2408">
        <f t="shared" ca="1" si="85"/>
        <v>12.50175302733326</v>
      </c>
      <c r="O390" s="996"/>
    </row>
    <row r="391" spans="2:15" ht="15.5">
      <c r="B391" s="483"/>
      <c r="C391" s="998" t="s">
        <v>313</v>
      </c>
      <c r="D391" s="3032" t="str">
        <f>INDEX(Vectors[Description], MATCH(I.a.Info[Vector], Vectors[Code], 0))</f>
        <v>Number of thermal power stations</v>
      </c>
      <c r="E391" s="998" t="s">
        <v>741</v>
      </c>
      <c r="F391" s="2411">
        <f ca="1">F390/$F$100</f>
        <v>12.093462921874524</v>
      </c>
      <c r="G391" s="2411">
        <f t="shared" ref="G391:N391" ca="1" si="86">G390/$F$100</f>
        <v>11.844501955014668</v>
      </c>
      <c r="H391" s="2411">
        <f t="shared" ca="1" si="86"/>
        <v>10.90279012134325</v>
      </c>
      <c r="I391" s="2411">
        <f t="shared" ca="1" si="86"/>
        <v>13.890101296193075</v>
      </c>
      <c r="J391" s="2411">
        <f t="shared" ca="1" si="86"/>
        <v>17.334712905038412</v>
      </c>
      <c r="K391" s="2411">
        <f t="shared" ca="1" si="86"/>
        <v>20.529628971391105</v>
      </c>
      <c r="L391" s="2411">
        <f t="shared" ca="1" si="86"/>
        <v>21.968035991843696</v>
      </c>
      <c r="M391" s="2411">
        <f t="shared" ca="1" si="86"/>
        <v>23.457837871518571</v>
      </c>
      <c r="N391" s="2411">
        <f t="shared" ca="1" si="86"/>
        <v>25.00350605466652</v>
      </c>
      <c r="O391" s="996"/>
    </row>
    <row r="392" spans="2:15" ht="15.5">
      <c r="B392" s="488"/>
      <c r="C392" s="1001"/>
      <c r="D392" s="1001"/>
      <c r="E392" s="1001"/>
      <c r="F392" s="1001"/>
      <c r="G392" s="1001"/>
      <c r="H392" s="1001"/>
      <c r="I392" s="1001"/>
      <c r="J392" s="1001"/>
      <c r="K392" s="1001"/>
      <c r="L392" s="1001"/>
      <c r="M392" s="1001"/>
      <c r="N392" s="1001"/>
      <c r="O392" s="1002"/>
    </row>
    <row r="394" spans="2:15" ht="15">
      <c r="B394" s="986" t="s">
        <v>2720</v>
      </c>
      <c r="C394" s="988"/>
      <c r="D394" s="988"/>
      <c r="E394" s="988"/>
      <c r="F394" s="988"/>
      <c r="G394" s="988"/>
      <c r="H394" s="988"/>
      <c r="I394" s="988"/>
      <c r="J394" s="988"/>
      <c r="K394" s="988"/>
      <c r="L394" s="988"/>
      <c r="M394" s="988"/>
      <c r="N394" s="988"/>
      <c r="O394" s="989"/>
    </row>
    <row r="395" spans="2:15" hidden="1">
      <c r="B395" s="993"/>
      <c r="C395" s="994"/>
      <c r="D395" s="994"/>
      <c r="E395" s="994"/>
      <c r="F395" s="994"/>
      <c r="G395" s="994"/>
      <c r="H395" s="994"/>
      <c r="I395" s="994"/>
      <c r="J395" s="994"/>
      <c r="K395" s="994"/>
      <c r="L395" s="994"/>
      <c r="M395" s="994"/>
      <c r="N395" s="994"/>
      <c r="O395" s="996"/>
    </row>
    <row r="396" spans="2:15" hidden="1">
      <c r="B396" s="993"/>
      <c r="C396" s="491" t="s">
        <v>751</v>
      </c>
      <c r="D396" s="1003"/>
      <c r="E396" s="1003"/>
      <c r="F396" s="1003"/>
      <c r="G396" s="1003"/>
      <c r="H396" s="1003"/>
      <c r="I396" s="1003"/>
      <c r="J396" s="1003"/>
      <c r="K396" s="1003"/>
      <c r="L396" s="1003"/>
      <c r="M396" s="1003"/>
      <c r="N396" s="1003"/>
      <c r="O396" s="996"/>
    </row>
    <row r="397" spans="2:15" hidden="1">
      <c r="B397" s="993"/>
      <c r="C397" s="994"/>
      <c r="D397" s="994"/>
      <c r="E397" s="994"/>
      <c r="F397" s="994"/>
      <c r="G397" s="994"/>
      <c r="H397" s="994"/>
      <c r="I397" s="994"/>
      <c r="J397" s="994"/>
      <c r="K397" s="994"/>
      <c r="L397" s="994"/>
      <c r="M397" s="994"/>
      <c r="N397" s="994"/>
      <c r="O397" s="996"/>
    </row>
    <row r="398" spans="2:15" ht="15.5" hidden="1">
      <c r="B398" s="483"/>
      <c r="C398" s="997" t="s">
        <v>28</v>
      </c>
      <c r="D398" s="997" t="s">
        <v>29</v>
      </c>
      <c r="E398" s="997" t="s">
        <v>30</v>
      </c>
      <c r="F398" s="997">
        <v>2013</v>
      </c>
      <c r="G398" s="997" t="s">
        <v>132</v>
      </c>
      <c r="H398" s="997" t="s">
        <v>133</v>
      </c>
      <c r="I398" s="997" t="s">
        <v>134</v>
      </c>
      <c r="J398" s="997" t="s">
        <v>135</v>
      </c>
      <c r="K398" s="997" t="s">
        <v>136</v>
      </c>
      <c r="L398" s="997" t="s">
        <v>137</v>
      </c>
      <c r="M398" s="997" t="s">
        <v>138</v>
      </c>
      <c r="N398" s="997" t="s">
        <v>139</v>
      </c>
      <c r="O398" s="1141"/>
    </row>
    <row r="399" spans="2:15" ht="15.5" hidden="1">
      <c r="B399" s="483"/>
      <c r="C399" s="998" t="s">
        <v>321</v>
      </c>
      <c r="D399" s="485" t="s">
        <v>322</v>
      </c>
      <c r="E399" s="485"/>
      <c r="F399" s="486">
        <v>0</v>
      </c>
      <c r="G399" s="486">
        <v>1684.5077716339026</v>
      </c>
      <c r="H399" s="486">
        <v>2573.0234467140226</v>
      </c>
      <c r="I399" s="486">
        <v>3541.888525141344</v>
      </c>
      <c r="J399" s="486">
        <v>3947.1301080505223</v>
      </c>
      <c r="K399" s="486">
        <v>4087.4418088093739</v>
      </c>
      <c r="L399" s="486">
        <v>10334.682181502976</v>
      </c>
      <c r="M399" s="486">
        <v>10632.572478433061</v>
      </c>
      <c r="N399" s="486">
        <v>10602.169049913689</v>
      </c>
      <c r="O399" s="1141"/>
    </row>
    <row r="400" spans="2:15" ht="15.5" hidden="1">
      <c r="B400" s="483"/>
      <c r="C400" s="998" t="s">
        <v>328</v>
      </c>
      <c r="D400" s="485" t="s">
        <v>329</v>
      </c>
      <c r="E400" s="485"/>
      <c r="F400" s="486">
        <v>6027.8230588355027</v>
      </c>
      <c r="G400" s="486">
        <v>5405.0646840009558</v>
      </c>
      <c r="H400" s="486">
        <v>5268.6534724799558</v>
      </c>
      <c r="I400" s="486">
        <v>5162.3951653065878</v>
      </c>
      <c r="J400" s="486">
        <v>5179.1028181733463</v>
      </c>
      <c r="K400" s="486">
        <v>5603.9969738383998</v>
      </c>
      <c r="L400" s="486">
        <v>6025.5904309018142</v>
      </c>
      <c r="M400" s="486">
        <v>6445.4469823380487</v>
      </c>
      <c r="N400" s="486">
        <v>6749.7594482619634</v>
      </c>
      <c r="O400" s="1141"/>
    </row>
    <row r="401" spans="2:15" ht="15.5" hidden="1">
      <c r="B401" s="483"/>
      <c r="C401" s="998" t="s">
        <v>752</v>
      </c>
      <c r="D401" s="485" t="s">
        <v>753</v>
      </c>
      <c r="E401" s="485"/>
      <c r="F401" s="486"/>
      <c r="G401" s="486"/>
      <c r="H401" s="486"/>
      <c r="I401" s="486"/>
      <c r="J401" s="486"/>
      <c r="K401" s="486"/>
      <c r="L401" s="486"/>
      <c r="M401" s="486"/>
      <c r="N401" s="486"/>
      <c r="O401" s="1141"/>
    </row>
    <row r="402" spans="2:15" ht="15.5" hidden="1">
      <c r="B402" s="483"/>
      <c r="C402" s="998" t="s">
        <v>323</v>
      </c>
      <c r="D402" s="485" t="s">
        <v>324</v>
      </c>
      <c r="E402" s="495"/>
      <c r="F402" s="497">
        <v>0</v>
      </c>
      <c r="G402" s="497">
        <v>1359.5538777415479</v>
      </c>
      <c r="H402" s="497">
        <v>1868.6675601824666</v>
      </c>
      <c r="I402" s="497">
        <v>2285.9863647387233</v>
      </c>
      <c r="J402" s="497">
        <v>2228.4528717915136</v>
      </c>
      <c r="K402" s="497">
        <v>2307.6694174696709</v>
      </c>
      <c r="L402" s="497">
        <v>4624.759792579971</v>
      </c>
      <c r="M402" s="497">
        <v>4714.6463543488944</v>
      </c>
      <c r="N402" s="497">
        <v>4619.1863287892556</v>
      </c>
      <c r="O402" s="1141"/>
    </row>
    <row r="403" spans="2:15" ht="15.5" hidden="1">
      <c r="B403" s="483"/>
      <c r="C403" s="998" t="s">
        <v>330</v>
      </c>
      <c r="D403" s="485" t="s">
        <v>331</v>
      </c>
      <c r="E403" s="495"/>
      <c r="F403" s="497">
        <v>3379.9321594542639</v>
      </c>
      <c r="G403" s="497">
        <v>2975.0773053682865</v>
      </c>
      <c r="H403" s="497">
        <v>2948.4164810771795</v>
      </c>
      <c r="I403" s="497">
        <v>2965.0541459937767</v>
      </c>
      <c r="J403" s="497">
        <v>3054.4089682039048</v>
      </c>
      <c r="K403" s="497">
        <v>3377.0771686999433</v>
      </c>
      <c r="L403" s="497">
        <v>3703.5043524769098</v>
      </c>
      <c r="M403" s="497">
        <v>4007.1407431949156</v>
      </c>
      <c r="N403" s="497">
        <v>4234.0259014779522</v>
      </c>
      <c r="O403" s="1141"/>
    </row>
    <row r="404" spans="2:15" ht="15.5" hidden="1">
      <c r="B404" s="483"/>
      <c r="C404" s="998" t="s">
        <v>754</v>
      </c>
      <c r="D404" s="485" t="s">
        <v>755</v>
      </c>
      <c r="E404" s="495"/>
      <c r="F404" s="497"/>
      <c r="G404" s="497"/>
      <c r="H404" s="497"/>
      <c r="I404" s="497"/>
      <c r="J404" s="497"/>
      <c r="K404" s="497"/>
      <c r="L404" s="497"/>
      <c r="M404" s="497"/>
      <c r="N404" s="497"/>
      <c r="O404" s="1141"/>
    </row>
    <row r="405" spans="2:15" hidden="1">
      <c r="B405" s="494"/>
      <c r="C405" s="998" t="s">
        <v>325</v>
      </c>
      <c r="D405" s="485" t="s">
        <v>326</v>
      </c>
      <c r="E405" s="485"/>
      <c r="F405" s="486">
        <v>0</v>
      </c>
      <c r="G405" s="486">
        <v>1046.6469991333361</v>
      </c>
      <c r="H405" s="486">
        <v>1570.0469688587702</v>
      </c>
      <c r="I405" s="486">
        <v>2121.7815111690743</v>
      </c>
      <c r="J405" s="486">
        <v>2320.5655030846474</v>
      </c>
      <c r="K405" s="486">
        <v>2357.5156586524154</v>
      </c>
      <c r="L405" s="486">
        <v>2474.3204158501271</v>
      </c>
      <c r="M405" s="486">
        <v>2590.7905088747434</v>
      </c>
      <c r="N405" s="486">
        <v>2522.2456986710527</v>
      </c>
      <c r="O405" s="1142"/>
    </row>
    <row r="406" spans="2:15" hidden="1">
      <c r="B406" s="494"/>
      <c r="C406" s="998" t="s">
        <v>332</v>
      </c>
      <c r="D406" s="485" t="s">
        <v>333</v>
      </c>
      <c r="E406" s="485"/>
      <c r="F406" s="486">
        <v>1421.1910154830273</v>
      </c>
      <c r="G406" s="486">
        <v>1234.8783905265675</v>
      </c>
      <c r="H406" s="486">
        <v>1214.7306506526199</v>
      </c>
      <c r="I406" s="486">
        <v>1207.6532540280496</v>
      </c>
      <c r="J406" s="486">
        <v>1228.9007416245647</v>
      </c>
      <c r="K406" s="486">
        <v>1343.6834141679999</v>
      </c>
      <c r="L406" s="486">
        <v>1454.6290607636352</v>
      </c>
      <c r="M406" s="486">
        <v>1565.1176269310656</v>
      </c>
      <c r="N406" s="486">
        <v>1645.19985480578</v>
      </c>
      <c r="O406" s="1142"/>
    </row>
    <row r="407" spans="2:15" hidden="1">
      <c r="B407" s="494"/>
      <c r="C407" s="998" t="s">
        <v>756</v>
      </c>
      <c r="D407" s="485" t="s">
        <v>757</v>
      </c>
      <c r="E407" s="485"/>
      <c r="F407" s="486"/>
      <c r="G407" s="486"/>
      <c r="H407" s="486"/>
      <c r="I407" s="486"/>
      <c r="J407" s="486"/>
      <c r="K407" s="486"/>
      <c r="L407" s="486"/>
      <c r="M407" s="486"/>
      <c r="N407" s="486"/>
      <c r="O407" s="1142"/>
    </row>
    <row r="408" spans="2:15" hidden="1">
      <c r="B408" s="1005"/>
      <c r="C408" s="1001"/>
      <c r="D408" s="1001"/>
      <c r="E408" s="1001"/>
      <c r="F408" s="1001"/>
      <c r="G408" s="1001"/>
      <c r="H408" s="1001"/>
      <c r="I408" s="1001"/>
      <c r="J408" s="1001"/>
      <c r="K408" s="1001"/>
      <c r="L408" s="1001"/>
      <c r="M408" s="1001"/>
      <c r="N408" s="1001"/>
      <c r="O408" s="1006"/>
    </row>
    <row r="420" spans="6:14">
      <c r="F420" s="374"/>
      <c r="G420" s="374"/>
      <c r="H420" s="374"/>
      <c r="I420" s="374"/>
      <c r="J420" s="374"/>
      <c r="K420" s="374"/>
      <c r="L420" s="374"/>
      <c r="M420" s="374"/>
      <c r="N420" s="374"/>
    </row>
    <row r="421" spans="6:14">
      <c r="F421" s="374"/>
      <c r="G421" s="374"/>
      <c r="H421" s="374"/>
      <c r="I421" s="374"/>
      <c r="J421" s="374"/>
      <c r="K421" s="374"/>
      <c r="L421" s="374"/>
      <c r="M421" s="374"/>
      <c r="N421" s="374"/>
    </row>
    <row r="422" spans="6:14">
      <c r="F422" s="374"/>
      <c r="G422" s="374"/>
      <c r="H422" s="374"/>
      <c r="I422" s="374"/>
      <c r="J422" s="374"/>
      <c r="K422" s="374"/>
      <c r="L422" s="374"/>
      <c r="M422" s="374"/>
      <c r="N422" s="374"/>
    </row>
    <row r="423" spans="6:14">
      <c r="F423" s="374"/>
      <c r="G423" s="374"/>
      <c r="H423" s="374"/>
      <c r="I423" s="374"/>
      <c r="J423" s="374"/>
      <c r="K423" s="374"/>
      <c r="L423" s="374"/>
      <c r="M423" s="374"/>
      <c r="N423" s="374"/>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sheetPr>
  <dimension ref="A1:DI353"/>
  <sheetViews>
    <sheetView showGridLines="0" topLeftCell="A68" zoomScale="80" zoomScaleNormal="80" workbookViewId="0">
      <selection activeCell="E8" sqref="E8"/>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4" customWidth="1"/>
    <col min="16" max="16" width="10.81640625" customWidth="1"/>
    <col min="20" max="20" width="9.81640625" customWidth="1"/>
    <col min="21" max="21" width="10.26953125" customWidth="1"/>
  </cols>
  <sheetData>
    <row r="1" spans="1:15" ht="20">
      <c r="A1" s="1007" t="s">
        <v>549</v>
      </c>
      <c r="B1" s="1007" t="s">
        <v>550</v>
      </c>
      <c r="C1" s="1007"/>
    </row>
    <row r="2" spans="1:15" s="6" customFormat="1" ht="15">
      <c r="A2" s="855" t="s">
        <v>544</v>
      </c>
      <c r="B2" s="855" t="s">
        <v>545</v>
      </c>
      <c r="C2" s="855"/>
      <c r="E2" s="5"/>
    </row>
    <row r="4" spans="1:15" ht="23.5">
      <c r="A4" s="7"/>
      <c r="B4" s="502" t="s">
        <v>352</v>
      </c>
      <c r="C4" s="856"/>
      <c r="D4" s="503"/>
      <c r="E4" s="504"/>
      <c r="F4" s="503"/>
      <c r="G4" s="503"/>
      <c r="H4" s="503"/>
      <c r="I4" s="503"/>
      <c r="J4" s="503"/>
      <c r="K4" s="503"/>
      <c r="L4" s="503"/>
      <c r="M4" s="503"/>
      <c r="N4" s="503"/>
      <c r="O4" s="857"/>
    </row>
    <row r="5" spans="1:15">
      <c r="B5" s="862"/>
      <c r="C5" s="12"/>
      <c r="D5" s="506"/>
      <c r="E5" s="507"/>
      <c r="F5" s="506"/>
      <c r="G5" s="506"/>
      <c r="H5" s="506"/>
      <c r="I5" s="506"/>
      <c r="J5" s="506"/>
      <c r="K5" s="506"/>
      <c r="L5" s="506"/>
      <c r="M5" s="506"/>
      <c r="N5" s="506"/>
      <c r="O5" s="858"/>
    </row>
    <row r="6" spans="1:15" ht="15.5">
      <c r="B6" s="1008"/>
      <c r="C6" s="506"/>
      <c r="D6" s="16" t="s">
        <v>7</v>
      </c>
      <c r="E6" s="16" t="s">
        <v>8</v>
      </c>
      <c r="F6" s="506"/>
      <c r="G6" s="506"/>
      <c r="H6" s="506"/>
      <c r="I6" s="506"/>
      <c r="J6" s="506"/>
      <c r="K6" s="506"/>
      <c r="L6" s="506"/>
      <c r="M6" s="506"/>
      <c r="N6" s="506"/>
      <c r="O6" s="858"/>
    </row>
    <row r="7" spans="1:15" ht="15.5">
      <c r="B7" s="1008"/>
      <c r="C7" s="506"/>
      <c r="D7" s="1009" t="s">
        <v>759</v>
      </c>
      <c r="E7" s="1010">
        <f>I.b.1.Scenario</f>
        <v>1</v>
      </c>
      <c r="F7" s="506"/>
      <c r="G7" s="506"/>
      <c r="H7" s="506"/>
      <c r="I7" s="506"/>
      <c r="J7" s="506"/>
      <c r="K7" s="506"/>
      <c r="L7" s="506"/>
      <c r="M7" s="506"/>
      <c r="N7" s="506"/>
      <c r="O7" s="858"/>
    </row>
    <row r="8" spans="1:15" ht="15.5">
      <c r="B8" s="1008"/>
      <c r="C8" s="506"/>
      <c r="D8" s="508" t="s">
        <v>760</v>
      </c>
      <c r="E8" s="508">
        <f>I.b.2.Scenario</f>
        <v>1</v>
      </c>
      <c r="F8" s="506"/>
      <c r="G8" s="506"/>
      <c r="H8" s="506"/>
      <c r="I8" s="506"/>
      <c r="J8" s="506"/>
      <c r="K8" s="506"/>
      <c r="L8" s="506"/>
      <c r="M8" s="506"/>
      <c r="N8" s="506"/>
      <c r="O8" s="858"/>
    </row>
    <row r="9" spans="1:15" ht="15.5">
      <c r="B9" s="1011"/>
      <c r="C9" s="443"/>
      <c r="D9" s="443"/>
      <c r="E9" s="443"/>
      <c r="F9" s="860"/>
      <c r="G9" s="860"/>
      <c r="H9" s="860"/>
      <c r="I9" s="860"/>
      <c r="J9" s="860"/>
      <c r="K9" s="860"/>
      <c r="L9" s="860"/>
      <c r="M9" s="860"/>
      <c r="N9" s="860"/>
      <c r="O9" s="861"/>
    </row>
    <row r="10" spans="1:15">
      <c r="B10" s="868"/>
      <c r="C10" t="s">
        <v>5</v>
      </c>
    </row>
    <row r="11" spans="1:15" s="6" customFormat="1" ht="23.5">
      <c r="A11" s="40"/>
      <c r="B11" s="869" t="s">
        <v>33</v>
      </c>
      <c r="C11" s="1012"/>
      <c r="D11" s="870"/>
      <c r="E11" s="870"/>
      <c r="F11" s="870"/>
      <c r="G11" s="870"/>
      <c r="H11" s="870"/>
      <c r="I11" s="870"/>
      <c r="J11" s="870"/>
      <c r="K11" s="870"/>
      <c r="L11" s="870"/>
      <c r="M11" s="870"/>
      <c r="N11" s="870"/>
      <c r="O11" s="871"/>
    </row>
    <row r="12" spans="1:15">
      <c r="B12" s="875"/>
      <c r="C12" s="67"/>
      <c r="D12" s="67"/>
      <c r="E12" s="67"/>
      <c r="F12" s="67"/>
      <c r="G12" s="67"/>
      <c r="H12" s="67"/>
      <c r="I12" s="67"/>
      <c r="J12" s="67"/>
      <c r="K12" s="67"/>
      <c r="L12" s="67"/>
      <c r="M12" s="67"/>
      <c r="N12" s="67"/>
      <c r="O12" s="876"/>
    </row>
    <row r="13" spans="1:15">
      <c r="B13" s="875"/>
      <c r="C13" s="49" t="s">
        <v>1726</v>
      </c>
      <c r="D13" s="67"/>
      <c r="E13" s="51"/>
      <c r="F13" s="67"/>
      <c r="G13" s="67"/>
      <c r="H13" s="67"/>
      <c r="I13" s="67"/>
      <c r="J13" s="67"/>
      <c r="K13" s="67"/>
      <c r="L13" s="67"/>
      <c r="M13" s="67"/>
      <c r="N13" s="51" t="str">
        <f>Preferences.PowerUnits &amp; " per annum, average, following period"</f>
        <v>GW per annum, average, following period</v>
      </c>
      <c r="O13" s="876"/>
    </row>
    <row r="14" spans="1:15">
      <c r="B14" s="875"/>
      <c r="C14" s="67"/>
      <c r="D14" s="67"/>
      <c r="E14" s="67"/>
      <c r="F14" s="67"/>
      <c r="G14" s="67"/>
      <c r="H14" s="67"/>
      <c r="I14" s="67"/>
      <c r="J14" s="67"/>
      <c r="K14" s="67"/>
      <c r="L14" s="67"/>
      <c r="M14" s="67"/>
      <c r="N14" s="67"/>
      <c r="O14" s="876"/>
    </row>
    <row r="15" spans="1:15" ht="15.5">
      <c r="B15" s="877"/>
      <c r="C15" s="878" t="s">
        <v>8</v>
      </c>
      <c r="D15" s="878" t="s">
        <v>71</v>
      </c>
      <c r="E15" s="878" t="s">
        <v>30</v>
      </c>
      <c r="F15" s="879">
        <v>2013</v>
      </c>
      <c r="G15" s="87">
        <v>2015</v>
      </c>
      <c r="H15" s="87">
        <v>2020</v>
      </c>
      <c r="I15" s="87">
        <v>2025</v>
      </c>
      <c r="J15" s="87">
        <v>2030</v>
      </c>
      <c r="K15" s="87">
        <v>2035</v>
      </c>
      <c r="L15" s="87">
        <v>2040</v>
      </c>
      <c r="M15" s="87">
        <v>2045</v>
      </c>
      <c r="N15" s="87">
        <v>2050</v>
      </c>
      <c r="O15" s="876"/>
    </row>
    <row r="16" spans="1:15" ht="15.5">
      <c r="B16" s="877"/>
      <c r="C16" s="65">
        <v>1</v>
      </c>
      <c r="D16" s="103"/>
      <c r="E16" s="881" t="s">
        <v>64</v>
      </c>
      <c r="F16" s="896">
        <v>0</v>
      </c>
      <c r="G16" s="59">
        <v>0</v>
      </c>
      <c r="H16" s="59">
        <v>0</v>
      </c>
      <c r="I16" s="59">
        <v>0</v>
      </c>
      <c r="J16" s="59">
        <f>(Unit.GW)*0</f>
        <v>0</v>
      </c>
      <c r="K16" s="59">
        <f>(Unit.GW)*0</f>
        <v>0</v>
      </c>
      <c r="L16" s="59">
        <f>(Unit.GW)*0</f>
        <v>0</v>
      </c>
      <c r="M16" s="59">
        <f>(Unit.GW)*0</f>
        <v>0</v>
      </c>
      <c r="N16" s="59">
        <v>0</v>
      </c>
      <c r="O16" s="876"/>
    </row>
    <row r="17" spans="2:17" ht="15.5">
      <c r="B17" s="877"/>
      <c r="C17" s="65">
        <v>2</v>
      </c>
      <c r="D17" s="103"/>
      <c r="E17" s="103"/>
      <c r="F17" s="896">
        <v>0</v>
      </c>
      <c r="G17" s="59">
        <v>0</v>
      </c>
      <c r="H17" s="60">
        <v>0</v>
      </c>
      <c r="I17" s="60">
        <v>0</v>
      </c>
      <c r="J17" s="60">
        <v>0</v>
      </c>
      <c r="K17" s="60">
        <v>0</v>
      </c>
      <c r="L17" s="60">
        <v>0</v>
      </c>
      <c r="M17" s="60">
        <f>(Unit.GW)*0.1</f>
        <v>0.1</v>
      </c>
      <c r="N17" s="60">
        <v>0</v>
      </c>
      <c r="O17" s="876"/>
    </row>
    <row r="18" spans="2:17" ht="15.5">
      <c r="B18" s="877"/>
      <c r="C18" s="65">
        <v>3</v>
      </c>
      <c r="D18" s="103"/>
      <c r="E18" s="103"/>
      <c r="F18" s="896">
        <v>0</v>
      </c>
      <c r="G18" s="59">
        <v>0</v>
      </c>
      <c r="H18" s="60">
        <v>0</v>
      </c>
      <c r="I18" s="60">
        <v>0</v>
      </c>
      <c r="J18" s="60">
        <v>0</v>
      </c>
      <c r="K18" s="60">
        <v>0</v>
      </c>
      <c r="L18" s="60">
        <f>(Unit.GW)*0.05</f>
        <v>0.05</v>
      </c>
      <c r="M18" s="60">
        <f>(Unit.GW)*0.1</f>
        <v>0.1</v>
      </c>
      <c r="N18" s="60">
        <v>0</v>
      </c>
      <c r="O18" s="876"/>
    </row>
    <row r="19" spans="2:17" ht="15.5">
      <c r="B19" s="877"/>
      <c r="C19" s="887">
        <v>4</v>
      </c>
      <c r="D19" s="194"/>
      <c r="E19" s="194"/>
      <c r="F19" s="1013">
        <v>0</v>
      </c>
      <c r="G19" s="1014">
        <v>0</v>
      </c>
      <c r="H19" s="124">
        <v>0</v>
      </c>
      <c r="I19" s="124">
        <v>0</v>
      </c>
      <c r="J19" s="60">
        <v>0</v>
      </c>
      <c r="K19" s="60">
        <f>(Unit.GW)*0.1</f>
        <v>0.1</v>
      </c>
      <c r="L19" s="60">
        <f>(Unit.GW)*0.15</f>
        <v>0.15</v>
      </c>
      <c r="M19" s="60">
        <f>(Unit.GW)*0.2</f>
        <v>0.2</v>
      </c>
      <c r="N19" s="124">
        <v>0</v>
      </c>
      <c r="O19" s="876"/>
    </row>
    <row r="20" spans="2:17" ht="15.5">
      <c r="B20" s="55"/>
      <c r="C20" s="1015" t="s">
        <v>37</v>
      </c>
      <c r="D20" s="892"/>
      <c r="E20" s="892"/>
      <c r="F20" s="893">
        <f t="shared" ref="F20:N20" si="0">(INDEX(F$16:F$19,ROUNDDOWN($E$7,0))*(1-MOD($E$7,1)))+(INDEX(F$16:F$19,ROUNDUP($E$7,0))*MOD($E$7,1))</f>
        <v>0</v>
      </c>
      <c r="G20" s="893">
        <f t="shared" si="0"/>
        <v>0</v>
      </c>
      <c r="H20" s="893">
        <f t="shared" si="0"/>
        <v>0</v>
      </c>
      <c r="I20" s="893">
        <f t="shared" si="0"/>
        <v>0</v>
      </c>
      <c r="J20" s="893">
        <f t="shared" si="0"/>
        <v>0</v>
      </c>
      <c r="K20" s="893">
        <f t="shared" si="0"/>
        <v>0</v>
      </c>
      <c r="L20" s="893">
        <f t="shared" si="0"/>
        <v>0</v>
      </c>
      <c r="M20" s="893">
        <f t="shared" si="0"/>
        <v>0</v>
      </c>
      <c r="N20" s="894">
        <f t="shared" si="0"/>
        <v>0</v>
      </c>
      <c r="O20" s="876"/>
    </row>
    <row r="21" spans="2:17">
      <c r="B21" s="875"/>
      <c r="C21" s="67"/>
      <c r="D21" s="67"/>
      <c r="E21" s="67"/>
      <c r="F21" s="67"/>
      <c r="G21" s="67"/>
      <c r="H21" s="67"/>
      <c r="I21" s="67" t="s">
        <v>5</v>
      </c>
      <c r="J21" s="67"/>
      <c r="K21" s="67"/>
      <c r="L21" s="67"/>
      <c r="M21" s="67"/>
      <c r="N21" s="67"/>
      <c r="O21" s="876"/>
    </row>
    <row r="22" spans="2:17">
      <c r="B22" s="875"/>
      <c r="C22" s="49" t="s">
        <v>761</v>
      </c>
      <c r="D22" s="67"/>
      <c r="E22" s="67"/>
      <c r="F22" s="67"/>
      <c r="G22" s="67"/>
      <c r="H22" s="67"/>
      <c r="I22" s="67"/>
      <c r="J22" s="67"/>
      <c r="K22" s="67"/>
      <c r="L22" s="67"/>
      <c r="M22" s="67"/>
      <c r="N22" s="51"/>
      <c r="O22" s="876"/>
    </row>
    <row r="23" spans="2:17">
      <c r="B23" s="875"/>
      <c r="C23" s="49"/>
      <c r="D23" s="67"/>
      <c r="E23" s="67"/>
      <c r="F23" s="67"/>
      <c r="G23" s="67"/>
      <c r="H23" s="67"/>
      <c r="I23" s="67"/>
      <c r="J23" s="67"/>
      <c r="K23" s="67"/>
      <c r="L23" s="67"/>
      <c r="M23" s="67"/>
      <c r="N23" s="51"/>
      <c r="O23" s="876"/>
      <c r="Q23" t="s">
        <v>5</v>
      </c>
    </row>
    <row r="24" spans="2:17" ht="29">
      <c r="B24" s="875"/>
      <c r="C24" s="1016"/>
      <c r="D24" s="1016"/>
      <c r="E24" s="1016"/>
      <c r="F24" s="1017" t="s">
        <v>762</v>
      </c>
      <c r="G24" s="1018" t="s">
        <v>763</v>
      </c>
      <c r="H24" s="67"/>
      <c r="I24" s="67"/>
      <c r="J24" s="67"/>
      <c r="K24" s="67"/>
      <c r="L24" s="67"/>
      <c r="M24" s="67"/>
      <c r="N24" s="67"/>
      <c r="O24" s="876"/>
    </row>
    <row r="25" spans="2:17" ht="15.5">
      <c r="B25" s="877"/>
      <c r="C25" s="1019" t="s">
        <v>8</v>
      </c>
      <c r="D25" s="1019" t="s">
        <v>71</v>
      </c>
      <c r="E25" s="1019" t="s">
        <v>30</v>
      </c>
      <c r="F25" s="1020" t="s">
        <v>97</v>
      </c>
      <c r="G25" s="1021" t="s">
        <v>99</v>
      </c>
      <c r="H25" s="67"/>
      <c r="I25" s="67"/>
      <c r="J25" s="67"/>
      <c r="K25" s="67"/>
      <c r="L25" s="67"/>
      <c r="M25" s="67"/>
      <c r="N25" s="67"/>
      <c r="O25" s="876"/>
    </row>
    <row r="26" spans="2:17" ht="15.5">
      <c r="B26" s="877"/>
      <c r="C26" s="65">
        <v>1</v>
      </c>
      <c r="D26" s="103"/>
      <c r="E26" s="881"/>
      <c r="F26" s="1022">
        <v>1</v>
      </c>
      <c r="G26" s="88">
        <v>0</v>
      </c>
      <c r="H26" s="67"/>
      <c r="I26" s="67"/>
      <c r="J26" s="67"/>
      <c r="K26" s="67"/>
      <c r="L26" s="67"/>
      <c r="M26" s="67"/>
      <c r="N26" s="67"/>
      <c r="O26" s="876"/>
    </row>
    <row r="27" spans="2:17" ht="15.5">
      <c r="B27" s="877"/>
      <c r="C27" s="65">
        <v>2</v>
      </c>
      <c r="D27" s="103"/>
      <c r="E27" s="103"/>
      <c r="F27" s="1022">
        <v>0.66666000000000003</v>
      </c>
      <c r="G27" s="185">
        <v>0.33333999999999997</v>
      </c>
      <c r="H27" s="67"/>
      <c r="I27" s="67"/>
      <c r="J27" s="103"/>
      <c r="K27" s="103"/>
      <c r="L27" s="59"/>
      <c r="M27" s="67"/>
      <c r="N27" s="67"/>
      <c r="O27" s="876"/>
    </row>
    <row r="28" spans="2:17" ht="15.5">
      <c r="B28" s="877"/>
      <c r="C28" s="65">
        <v>3</v>
      </c>
      <c r="D28" s="103"/>
      <c r="E28" s="103"/>
      <c r="F28" s="1022">
        <v>0.33333999999999997</v>
      </c>
      <c r="G28" s="185">
        <v>0.66666000000000003</v>
      </c>
      <c r="H28" s="67"/>
      <c r="I28" s="67"/>
      <c r="J28" s="103"/>
      <c r="K28" s="103"/>
      <c r="L28" s="59"/>
      <c r="M28" s="67"/>
      <c r="N28" s="67"/>
      <c r="O28" s="876"/>
    </row>
    <row r="29" spans="2:17" ht="15.5">
      <c r="B29" s="877"/>
      <c r="C29" s="887">
        <v>4</v>
      </c>
      <c r="D29" s="888"/>
      <c r="E29" s="888"/>
      <c r="F29" s="1023">
        <v>0</v>
      </c>
      <c r="G29" s="139">
        <v>1</v>
      </c>
      <c r="H29" s="67"/>
      <c r="I29" s="67"/>
      <c r="J29" s="67"/>
      <c r="K29" s="67"/>
      <c r="L29" s="67"/>
      <c r="M29" s="67"/>
      <c r="N29" s="67"/>
      <c r="O29" s="876"/>
    </row>
    <row r="30" spans="2:17" ht="15.5">
      <c r="B30" s="55"/>
      <c r="C30" s="1015" t="s">
        <v>37</v>
      </c>
      <c r="D30" s="892"/>
      <c r="E30" s="892"/>
      <c r="F30" s="97">
        <f>(INDEX(F$26:F$29,ROUNDDOWN($E$8,0))*(1-MOD($E$8,1)))+(INDEX(F$26:F$29,ROUNDUP($E$8,0))*MOD($E$8,1))</f>
        <v>1</v>
      </c>
      <c r="G30" s="1024">
        <f>(INDEX(G$26:G$29,ROUNDDOWN($E$8,0))*(1-MOD($E$8,1)))+(INDEX(G$26:G$29,ROUNDUP($E$8,0))*MOD($E$8,1))</f>
        <v>0</v>
      </c>
      <c r="H30" s="67"/>
      <c r="I30" s="67"/>
      <c r="J30" s="67"/>
      <c r="K30" s="67"/>
      <c r="L30" s="67"/>
      <c r="M30" s="67"/>
      <c r="N30" s="67"/>
      <c r="O30" s="67"/>
      <c r="P30" s="876"/>
    </row>
    <row r="31" spans="2:17" ht="15.5">
      <c r="B31" s="877"/>
      <c r="C31" s="65"/>
      <c r="D31" s="103"/>
      <c r="E31" s="103"/>
      <c r="F31" s="88"/>
      <c r="G31" s="67"/>
      <c r="H31" s="67"/>
      <c r="I31" s="67"/>
      <c r="J31" s="67"/>
      <c r="K31" s="67"/>
      <c r="L31" s="67"/>
      <c r="M31" s="67"/>
      <c r="N31" s="67"/>
      <c r="O31" s="876"/>
    </row>
    <row r="32" spans="2:17" ht="15.5">
      <c r="B32" s="877"/>
      <c r="C32" s="84" t="s">
        <v>764</v>
      </c>
      <c r="D32" s="103"/>
      <c r="E32" s="103"/>
      <c r="F32" s="88"/>
      <c r="G32" s="67"/>
      <c r="H32" s="67"/>
      <c r="I32" s="67"/>
      <c r="J32" s="67"/>
      <c r="K32" s="67"/>
      <c r="L32" s="67"/>
      <c r="M32" s="67"/>
      <c r="N32" s="67"/>
      <c r="O32" s="876"/>
    </row>
    <row r="33" spans="1:18" ht="15.5">
      <c r="B33" s="877"/>
      <c r="C33" s="84"/>
      <c r="D33" s="103"/>
      <c r="E33" s="103"/>
      <c r="F33" s="88"/>
      <c r="G33" s="67"/>
      <c r="H33" s="67"/>
      <c r="I33" s="67"/>
      <c r="J33" s="67"/>
      <c r="K33" s="67"/>
      <c r="L33" s="67"/>
      <c r="M33" s="67"/>
      <c r="N33" s="67"/>
      <c r="O33" s="876"/>
    </row>
    <row r="34" spans="1:18" ht="15.5">
      <c r="B34" s="877"/>
      <c r="C34" s="878" t="s">
        <v>8</v>
      </c>
      <c r="D34" s="878" t="s">
        <v>71</v>
      </c>
      <c r="E34" s="878" t="s">
        <v>30</v>
      </c>
      <c r="F34" s="879">
        <v>2013</v>
      </c>
      <c r="G34" s="87">
        <v>2015</v>
      </c>
      <c r="H34" s="87">
        <v>2020</v>
      </c>
      <c r="I34" s="87">
        <v>2025</v>
      </c>
      <c r="J34" s="87">
        <v>2030</v>
      </c>
      <c r="K34" s="87">
        <v>2035</v>
      </c>
      <c r="L34" s="87">
        <v>2040</v>
      </c>
      <c r="M34" s="87">
        <v>2045</v>
      </c>
      <c r="N34" s="87">
        <v>2050</v>
      </c>
      <c r="O34" s="67"/>
      <c r="P34" s="389"/>
      <c r="Q34" s="389"/>
      <c r="R34" s="389"/>
    </row>
    <row r="35" spans="1:18">
      <c r="B35" s="875"/>
      <c r="C35" s="65" t="s">
        <v>765</v>
      </c>
      <c r="D35" s="1025"/>
      <c r="E35" s="1025"/>
      <c r="F35" s="1026"/>
      <c r="G35" s="88"/>
      <c r="H35" s="88"/>
      <c r="I35" s="88">
        <v>0.7</v>
      </c>
      <c r="J35" s="88">
        <v>0.5</v>
      </c>
      <c r="K35" s="88">
        <v>0.3</v>
      </c>
      <c r="L35" s="88">
        <v>0.3</v>
      </c>
      <c r="M35" s="88">
        <v>0.3</v>
      </c>
      <c r="N35" s="88">
        <v>0.3</v>
      </c>
      <c r="O35" s="67"/>
      <c r="P35" s="389"/>
      <c r="Q35" s="389"/>
      <c r="R35" s="389"/>
    </row>
    <row r="36" spans="1:18">
      <c r="B36" s="875"/>
      <c r="C36" s="917" t="s">
        <v>766</v>
      </c>
      <c r="D36" s="1014"/>
      <c r="E36" s="1014"/>
      <c r="F36" s="1013"/>
      <c r="G36" s="164"/>
      <c r="H36" s="164"/>
      <c r="I36" s="164">
        <v>0.3</v>
      </c>
      <c r="J36" s="164">
        <v>0.5</v>
      </c>
      <c r="K36" s="164">
        <v>0.7</v>
      </c>
      <c r="L36" s="164">
        <v>0.7</v>
      </c>
      <c r="M36" s="164">
        <v>0.7</v>
      </c>
      <c r="N36" s="164">
        <v>0.7</v>
      </c>
      <c r="O36" s="67"/>
      <c r="P36" s="389"/>
      <c r="Q36" s="389"/>
      <c r="R36" s="389"/>
    </row>
    <row r="37" spans="1:18">
      <c r="B37" s="875"/>
      <c r="C37" s="67"/>
      <c r="D37" s="103"/>
      <c r="E37" s="59"/>
      <c r="F37" s="60"/>
      <c r="G37" s="60"/>
      <c r="H37" s="60"/>
      <c r="I37" s="60"/>
      <c r="J37" s="60"/>
      <c r="K37" s="60"/>
      <c r="L37" s="60"/>
      <c r="M37" s="60"/>
      <c r="N37" s="67"/>
      <c r="O37" s="67"/>
      <c r="P37" s="389"/>
      <c r="Q37" s="389"/>
      <c r="R37" s="389"/>
    </row>
    <row r="38" spans="1:18">
      <c r="B38" s="875"/>
      <c r="C38" s="3826" t="s">
        <v>63</v>
      </c>
      <c r="D38" s="103"/>
      <c r="E38" s="59"/>
      <c r="F38" s="60"/>
      <c r="G38" s="60"/>
      <c r="H38" s="60"/>
      <c r="I38" s="60"/>
      <c r="J38" s="60"/>
      <c r="K38" s="60"/>
      <c r="L38" s="60"/>
      <c r="M38" s="60"/>
      <c r="N38" s="67"/>
      <c r="O38" s="67"/>
      <c r="P38" s="389"/>
      <c r="Q38" s="389"/>
      <c r="R38" s="389"/>
    </row>
    <row r="39" spans="1:18">
      <c r="B39" s="875"/>
      <c r="C39" s="3827" t="s">
        <v>64</v>
      </c>
      <c r="D39" s="3828" t="s">
        <v>2991</v>
      </c>
      <c r="E39" s="67"/>
      <c r="F39" s="67"/>
      <c r="G39" s="67"/>
      <c r="H39" s="67"/>
      <c r="I39" s="67"/>
      <c r="J39" s="67"/>
      <c r="K39" s="67"/>
      <c r="L39" s="67"/>
      <c r="M39" s="67"/>
      <c r="N39" s="67"/>
      <c r="O39" s="67"/>
      <c r="P39" s="389"/>
      <c r="Q39" s="389"/>
      <c r="R39" s="389"/>
    </row>
    <row r="40" spans="1:18">
      <c r="B40" s="875"/>
      <c r="C40" s="3827"/>
      <c r="D40" s="3828" t="s">
        <v>2992</v>
      </c>
      <c r="E40" s="67"/>
      <c r="F40" s="67"/>
      <c r="G40" s="67"/>
      <c r="H40" s="67"/>
      <c r="I40" s="67"/>
      <c r="J40" s="67"/>
      <c r="K40" s="67"/>
      <c r="L40" s="67"/>
      <c r="M40" s="67"/>
      <c r="N40" s="67"/>
      <c r="O40" s="67"/>
      <c r="P40" s="389"/>
      <c r="Q40" s="389"/>
      <c r="R40" s="389"/>
    </row>
    <row r="41" spans="1:18">
      <c r="B41" s="868"/>
      <c r="P41" s="389"/>
      <c r="Q41" s="389"/>
      <c r="R41" s="389"/>
    </row>
    <row r="42" spans="1:18" s="6" customFormat="1" ht="23.5">
      <c r="A42" s="40"/>
      <c r="B42" s="869" t="s">
        <v>69</v>
      </c>
      <c r="C42" s="1012"/>
      <c r="D42" s="870"/>
      <c r="E42" s="870"/>
      <c r="F42" s="870"/>
      <c r="G42" s="870"/>
      <c r="H42" s="870"/>
      <c r="I42" s="870"/>
      <c r="J42" s="870"/>
      <c r="K42" s="870"/>
      <c r="L42" s="870"/>
      <c r="M42" s="870"/>
      <c r="N42" s="870"/>
      <c r="O42" s="870"/>
      <c r="P42" s="1027"/>
      <c r="Q42" s="1027"/>
      <c r="R42" s="1027"/>
    </row>
    <row r="43" spans="1:18">
      <c r="B43" s="105"/>
      <c r="C43" s="67"/>
      <c r="D43" s="67"/>
      <c r="E43" s="67"/>
      <c r="F43" s="906"/>
      <c r="G43" s="67"/>
      <c r="H43" s="67"/>
      <c r="I43" s="67"/>
      <c r="J43" s="67"/>
      <c r="K43" s="67"/>
      <c r="L43" s="67"/>
      <c r="M43" s="67"/>
      <c r="N43" s="67"/>
      <c r="O43" s="67"/>
      <c r="P43" s="389"/>
      <c r="Q43" s="389"/>
      <c r="R43" s="389"/>
    </row>
    <row r="44" spans="1:18">
      <c r="B44" s="105"/>
      <c r="C44" s="49" t="s">
        <v>767</v>
      </c>
      <c r="D44" s="67"/>
      <c r="E44" s="67"/>
      <c r="F44" s="906"/>
      <c r="G44" s="67"/>
      <c r="H44" s="67"/>
      <c r="I44" s="67"/>
      <c r="J44" s="67"/>
      <c r="K44" s="67"/>
      <c r="L44" s="67"/>
      <c r="M44" s="67"/>
      <c r="N44" s="51" t="str">
        <f>Preferences.PowerUnits</f>
        <v>GW</v>
      </c>
      <c r="O44" s="67"/>
      <c r="P44" s="389"/>
      <c r="Q44" s="389"/>
      <c r="R44" s="389"/>
    </row>
    <row r="45" spans="1:18">
      <c r="B45" s="105"/>
      <c r="C45" s="49"/>
      <c r="D45" s="67"/>
      <c r="E45" s="67"/>
      <c r="F45" s="1028"/>
      <c r="G45" s="67"/>
      <c r="H45" s="67"/>
      <c r="I45" s="67"/>
      <c r="J45" s="67"/>
      <c r="K45" s="67"/>
      <c r="L45" s="67"/>
      <c r="M45" s="67"/>
      <c r="N45" s="67"/>
      <c r="O45" s="67"/>
      <c r="P45" s="389"/>
      <c r="Q45" s="389"/>
      <c r="R45" s="389"/>
    </row>
    <row r="46" spans="1:18">
      <c r="B46" s="105"/>
      <c r="C46" s="1029" t="s">
        <v>131</v>
      </c>
      <c r="D46" s="1030"/>
      <c r="E46" s="1030"/>
      <c r="F46" s="1030">
        <v>2013</v>
      </c>
      <c r="G46" s="1029">
        <v>2015</v>
      </c>
      <c r="H46" s="1029">
        <v>2020</v>
      </c>
      <c r="I46" s="1029">
        <v>2025</v>
      </c>
      <c r="J46" s="1029">
        <v>2030</v>
      </c>
      <c r="K46" s="1029">
        <v>2035</v>
      </c>
      <c r="L46" s="1029">
        <v>2040</v>
      </c>
      <c r="M46" s="1029">
        <v>2045</v>
      </c>
      <c r="N46" s="1029">
        <v>2050</v>
      </c>
      <c r="O46" s="67"/>
      <c r="P46" s="389"/>
      <c r="Q46" s="389"/>
      <c r="R46" s="389"/>
    </row>
    <row r="47" spans="1:18">
      <c r="B47" s="105"/>
      <c r="C47" s="1031" t="s">
        <v>97</v>
      </c>
      <c r="D47" s="1032" t="s">
        <v>765</v>
      </c>
      <c r="E47" s="1032"/>
      <c r="F47" s="1033">
        <v>0</v>
      </c>
      <c r="G47" s="1034">
        <v>0</v>
      </c>
      <c r="H47" s="1034">
        <v>0</v>
      </c>
      <c r="I47" s="1034">
        <v>0</v>
      </c>
      <c r="J47" s="1034">
        <v>0</v>
      </c>
      <c r="K47" s="1034">
        <v>0</v>
      </c>
      <c r="L47" s="1034">
        <v>0</v>
      </c>
      <c r="M47" s="1034">
        <v>0</v>
      </c>
      <c r="N47" s="1034">
        <v>0</v>
      </c>
      <c r="O47" s="67"/>
      <c r="P47" s="389"/>
      <c r="Q47" s="389"/>
      <c r="R47" s="389"/>
    </row>
    <row r="48" spans="1:18">
      <c r="B48" s="105"/>
      <c r="C48" s="1031" t="s">
        <v>97</v>
      </c>
      <c r="D48" s="1032" t="s">
        <v>766</v>
      </c>
      <c r="E48" s="1032"/>
      <c r="F48" s="1033">
        <v>0</v>
      </c>
      <c r="G48" s="1034">
        <v>0</v>
      </c>
      <c r="H48" s="1034">
        <v>0</v>
      </c>
      <c r="I48" s="1034">
        <v>0</v>
      </c>
      <c r="J48" s="1034">
        <v>0</v>
      </c>
      <c r="K48" s="1034">
        <v>0</v>
      </c>
      <c r="L48" s="1034">
        <v>0</v>
      </c>
      <c r="M48" s="1034">
        <v>0</v>
      </c>
      <c r="N48" s="1034">
        <v>0</v>
      </c>
      <c r="O48" s="67"/>
      <c r="P48" s="389"/>
      <c r="Q48" s="389"/>
      <c r="R48" s="389"/>
    </row>
    <row r="49" spans="2:29">
      <c r="B49" s="105"/>
      <c r="C49" s="1035" t="s">
        <v>768</v>
      </c>
      <c r="D49" s="1036" t="s">
        <v>15</v>
      </c>
      <c r="E49" s="1036"/>
      <c r="F49" s="1037">
        <v>0</v>
      </c>
      <c r="G49" s="1038">
        <v>0</v>
      </c>
      <c r="H49" s="1038">
        <v>0</v>
      </c>
      <c r="I49" s="1038">
        <v>0</v>
      </c>
      <c r="J49" s="1038">
        <v>0</v>
      </c>
      <c r="K49" s="1038">
        <v>0</v>
      </c>
      <c r="L49" s="1038">
        <v>0</v>
      </c>
      <c r="M49" s="1038">
        <v>0</v>
      </c>
      <c r="N49" s="1038">
        <v>0</v>
      </c>
      <c r="O49" s="67"/>
      <c r="P49" s="389"/>
      <c r="Q49" s="389"/>
      <c r="R49" s="389"/>
    </row>
    <row r="50" spans="2:29">
      <c r="B50" s="105"/>
      <c r="C50" s="67"/>
      <c r="D50" s="67"/>
      <c r="E50" s="67"/>
      <c r="F50" s="67"/>
      <c r="G50" s="67"/>
      <c r="H50" s="67"/>
      <c r="I50" s="67"/>
      <c r="J50" s="67"/>
      <c r="K50" s="67"/>
      <c r="L50" s="67"/>
      <c r="M50" s="67"/>
      <c r="N50" s="67"/>
      <c r="O50" s="67"/>
      <c r="P50" s="389"/>
      <c r="Q50" s="389"/>
      <c r="R50" s="389"/>
    </row>
    <row r="51" spans="2:29">
      <c r="B51" s="130"/>
      <c r="C51" s="49" t="s">
        <v>769</v>
      </c>
      <c r="D51" s="67"/>
      <c r="E51" s="67"/>
      <c r="F51" s="67"/>
      <c r="G51" s="67"/>
      <c r="H51" s="67"/>
      <c r="I51" s="67"/>
      <c r="J51" s="67"/>
      <c r="K51" s="67"/>
      <c r="L51" s="67"/>
      <c r="M51" s="67"/>
      <c r="N51" s="1039" t="s">
        <v>770</v>
      </c>
      <c r="O51" s="67"/>
      <c r="P51" s="389"/>
      <c r="Q51" s="389"/>
      <c r="R51" s="389"/>
    </row>
    <row r="52" spans="2:29">
      <c r="B52" s="105"/>
      <c r="C52" s="67"/>
      <c r="D52" s="67"/>
      <c r="E52" s="67"/>
      <c r="F52" s="67"/>
      <c r="G52" s="67"/>
      <c r="H52" s="67"/>
      <c r="I52" s="67"/>
      <c r="J52" s="67"/>
      <c r="K52" s="67"/>
      <c r="L52" s="67"/>
      <c r="M52" s="67"/>
      <c r="N52" s="67"/>
      <c r="O52" s="67"/>
      <c r="P52" s="389"/>
      <c r="Q52" s="389"/>
      <c r="R52" s="389"/>
    </row>
    <row r="53" spans="2:29" ht="15.5">
      <c r="B53" s="55"/>
      <c r="C53" s="1040" t="s">
        <v>131</v>
      </c>
      <c r="D53" s="1040" t="s">
        <v>712</v>
      </c>
      <c r="E53" s="1040"/>
      <c r="F53" s="1041">
        <v>2013</v>
      </c>
      <c r="G53" s="1041">
        <v>2015</v>
      </c>
      <c r="H53" s="1041">
        <v>2020</v>
      </c>
      <c r="I53" s="1041">
        <v>2025</v>
      </c>
      <c r="J53" s="1041">
        <v>2030</v>
      </c>
      <c r="K53" s="1041">
        <v>2035</v>
      </c>
      <c r="L53" s="1041">
        <v>2040</v>
      </c>
      <c r="M53" s="1041">
        <v>2045</v>
      </c>
      <c r="N53" s="1041">
        <v>2050</v>
      </c>
      <c r="O53" s="67"/>
      <c r="P53" s="389"/>
      <c r="Q53" s="389"/>
      <c r="R53" s="389"/>
    </row>
    <row r="54" spans="2:29" ht="15.5">
      <c r="B54" s="55"/>
      <c r="C54" s="1042" t="s">
        <v>97</v>
      </c>
      <c r="D54" s="1043" t="s">
        <v>765</v>
      </c>
      <c r="E54" s="1044"/>
      <c r="F54" s="1045">
        <v>0</v>
      </c>
      <c r="G54" s="1045">
        <v>0</v>
      </c>
      <c r="H54" s="1045">
        <v>0</v>
      </c>
      <c r="I54" s="1045">
        <v>0.46</v>
      </c>
      <c r="J54" s="1045">
        <v>0.47</v>
      </c>
      <c r="K54" s="1045">
        <v>0.48</v>
      </c>
      <c r="L54" s="1045">
        <v>0.48</v>
      </c>
      <c r="M54" s="1045">
        <v>0.49</v>
      </c>
      <c r="N54" s="1045">
        <v>0.5</v>
      </c>
      <c r="O54" s="67"/>
      <c r="P54" s="389"/>
      <c r="Q54" s="389"/>
      <c r="R54" s="389"/>
    </row>
    <row r="55" spans="2:29" ht="15.5">
      <c r="B55" s="55"/>
      <c r="C55" s="1046" t="s">
        <v>97</v>
      </c>
      <c r="D55" s="1047" t="s">
        <v>766</v>
      </c>
      <c r="E55" s="1048"/>
      <c r="F55" s="1049">
        <v>0</v>
      </c>
      <c r="G55" s="1049">
        <v>0</v>
      </c>
      <c r="H55" s="1049">
        <v>0</v>
      </c>
      <c r="I55" s="1049">
        <v>0.46</v>
      </c>
      <c r="J55" s="1049">
        <v>0.47</v>
      </c>
      <c r="K55" s="1049">
        <v>0.48</v>
      </c>
      <c r="L55" s="1049">
        <v>0.48</v>
      </c>
      <c r="M55" s="1049">
        <v>0.49</v>
      </c>
      <c r="N55" s="1049">
        <v>0.5</v>
      </c>
      <c r="O55" s="67"/>
      <c r="P55" s="389"/>
      <c r="Q55" s="389"/>
      <c r="R55" s="389"/>
    </row>
    <row r="56" spans="2:29" s="6" customFormat="1" ht="15.5">
      <c r="B56" s="966"/>
      <c r="C56" s="1050" t="s">
        <v>99</v>
      </c>
      <c r="D56" s="1051" t="s">
        <v>15</v>
      </c>
      <c r="E56" s="1052"/>
      <c r="F56" s="1053">
        <v>0</v>
      </c>
      <c r="G56" s="1053">
        <v>0</v>
      </c>
      <c r="H56" s="1053">
        <v>0</v>
      </c>
      <c r="I56" s="1053">
        <v>0.6</v>
      </c>
      <c r="J56" s="1053">
        <v>0.61</v>
      </c>
      <c r="K56" s="1053">
        <v>0.62</v>
      </c>
      <c r="L56" s="1053">
        <v>0.63</v>
      </c>
      <c r="M56" s="1053">
        <v>0.64</v>
      </c>
      <c r="N56" s="1053">
        <v>0.65</v>
      </c>
      <c r="O56" s="103"/>
      <c r="P56" s="1027"/>
      <c r="Q56" s="389"/>
      <c r="R56" s="389"/>
      <c r="S56"/>
      <c r="T56"/>
      <c r="U56"/>
      <c r="V56"/>
      <c r="W56"/>
      <c r="X56"/>
      <c r="Y56"/>
      <c r="Z56"/>
      <c r="AA56"/>
      <c r="AB56"/>
      <c r="AC56"/>
    </row>
    <row r="57" spans="2:29">
      <c r="B57" s="105"/>
      <c r="C57" s="67"/>
      <c r="D57" s="67"/>
      <c r="E57" s="67"/>
      <c r="F57" s="67"/>
      <c r="G57" s="1054"/>
      <c r="H57" s="1054"/>
      <c r="I57" s="1054"/>
      <c r="J57" s="1054"/>
      <c r="K57" s="1054"/>
      <c r="L57" s="1054"/>
      <c r="M57" s="1054"/>
      <c r="N57" s="67"/>
      <c r="O57" s="67"/>
      <c r="P57" s="389"/>
      <c r="Q57" s="389"/>
      <c r="R57" s="389"/>
    </row>
    <row r="58" spans="2:29">
      <c r="B58" s="105"/>
      <c r="C58" s="49" t="s">
        <v>771</v>
      </c>
      <c r="D58" s="67"/>
      <c r="E58" s="67"/>
      <c r="F58" s="67"/>
      <c r="G58" s="1055"/>
      <c r="H58" s="1055"/>
      <c r="I58" s="1055"/>
      <c r="J58" s="1055"/>
      <c r="K58" s="1055"/>
      <c r="L58" s="1055"/>
      <c r="M58" s="1055"/>
      <c r="N58" s="1039" t="s">
        <v>772</v>
      </c>
      <c r="O58" s="67"/>
      <c r="P58" s="389"/>
      <c r="Q58" s="389"/>
      <c r="R58" s="389"/>
    </row>
    <row r="59" spans="2:29">
      <c r="B59" s="105"/>
      <c r="C59" s="67"/>
      <c r="D59" s="67"/>
      <c r="E59" s="67"/>
      <c r="F59" s="67"/>
      <c r="G59" s="67"/>
      <c r="H59" s="67"/>
      <c r="I59" s="67"/>
      <c r="J59" s="67"/>
      <c r="K59" s="67"/>
      <c r="L59" s="67"/>
      <c r="M59" s="67"/>
      <c r="N59" s="67"/>
      <c r="O59" s="67"/>
      <c r="P59" s="389"/>
      <c r="Q59" s="389"/>
      <c r="R59" s="389"/>
    </row>
    <row r="60" spans="2:29" ht="15.5">
      <c r="B60" s="55"/>
      <c r="C60" s="1040" t="s">
        <v>773</v>
      </c>
      <c r="D60" s="1040" t="s">
        <v>712</v>
      </c>
      <c r="E60" s="1040"/>
      <c r="F60" s="1041">
        <v>2013</v>
      </c>
      <c r="G60" s="1041">
        <v>2015</v>
      </c>
      <c r="H60" s="1041">
        <v>2020</v>
      </c>
      <c r="I60" s="1041">
        <v>2025</v>
      </c>
      <c r="J60" s="1041">
        <v>2030</v>
      </c>
      <c r="K60" s="1041">
        <v>2035</v>
      </c>
      <c r="L60" s="1041">
        <v>2040</v>
      </c>
      <c r="M60" s="1041">
        <v>2045</v>
      </c>
      <c r="N60" s="1041">
        <v>2050</v>
      </c>
      <c r="O60" s="67"/>
      <c r="P60" s="389"/>
      <c r="Q60" s="389"/>
      <c r="R60" s="389"/>
    </row>
    <row r="61" spans="2:29" ht="15.5">
      <c r="B61" s="55"/>
      <c r="C61" s="1042" t="s">
        <v>97</v>
      </c>
      <c r="D61" s="1043" t="s">
        <v>765</v>
      </c>
      <c r="E61" s="1044"/>
      <c r="F61" s="1045"/>
      <c r="G61" s="1045">
        <v>0</v>
      </c>
      <c r="H61" s="1045">
        <v>0</v>
      </c>
      <c r="I61" s="1045">
        <v>7.0000000000000007E-2</v>
      </c>
      <c r="J61" s="1045">
        <v>7.0000000000000007E-2</v>
      </c>
      <c r="K61" s="1045">
        <v>7.0000000000000007E-2</v>
      </c>
      <c r="L61" s="1045">
        <v>7.0000000000000007E-2</v>
      </c>
      <c r="M61" s="1045">
        <v>7.0000000000000007E-2</v>
      </c>
      <c r="N61" s="1045">
        <v>7.0000000000000007E-2</v>
      </c>
      <c r="O61" s="67"/>
      <c r="P61" s="389"/>
      <c r="Q61" s="389"/>
      <c r="R61" s="389"/>
    </row>
    <row r="62" spans="2:29" ht="15.5">
      <c r="B62" s="55"/>
      <c r="C62" s="1046" t="s">
        <v>97</v>
      </c>
      <c r="D62" s="1047" t="s">
        <v>766</v>
      </c>
      <c r="E62" s="1048"/>
      <c r="F62" s="1049"/>
      <c r="G62" s="1049">
        <v>0</v>
      </c>
      <c r="H62" s="1049">
        <v>0</v>
      </c>
      <c r="I62" s="1049">
        <v>0.05</v>
      </c>
      <c r="J62" s="1049">
        <v>0.05</v>
      </c>
      <c r="K62" s="1049">
        <v>0.05</v>
      </c>
      <c r="L62" s="1049">
        <v>0.05</v>
      </c>
      <c r="M62" s="1049">
        <v>0.05</v>
      </c>
      <c r="N62" s="1049">
        <v>0.05</v>
      </c>
      <c r="O62" s="67"/>
      <c r="P62" s="389"/>
      <c r="Q62" s="389"/>
      <c r="R62" s="389"/>
    </row>
    <row r="63" spans="2:29" ht="15.5">
      <c r="B63" s="55"/>
      <c r="C63" s="1050" t="s">
        <v>99</v>
      </c>
      <c r="D63" s="1051" t="s">
        <v>15</v>
      </c>
      <c r="E63" s="1052"/>
      <c r="F63" s="1053"/>
      <c r="G63" s="1053">
        <v>0</v>
      </c>
      <c r="H63" s="1053">
        <v>0</v>
      </c>
      <c r="I63" s="1053">
        <v>0.02</v>
      </c>
      <c r="J63" s="1053">
        <v>0.02</v>
      </c>
      <c r="K63" s="1053">
        <v>0.02</v>
      </c>
      <c r="L63" s="1053">
        <v>0.02</v>
      </c>
      <c r="M63" s="1053">
        <v>0.02</v>
      </c>
      <c r="N63" s="1053">
        <v>0.02</v>
      </c>
      <c r="O63" s="67"/>
      <c r="P63" s="389"/>
      <c r="Q63" s="389"/>
      <c r="R63" s="389"/>
    </row>
    <row r="64" spans="2:29" ht="15.5">
      <c r="B64" s="55"/>
      <c r="C64" s="65"/>
      <c r="D64" s="103"/>
      <c r="E64" s="103"/>
      <c r="F64" s="88"/>
      <c r="G64" s="1056"/>
      <c r="H64" s="1056"/>
      <c r="I64" s="1056"/>
      <c r="J64" s="1056"/>
      <c r="K64" s="1056"/>
      <c r="L64" s="1056"/>
      <c r="M64" s="1056"/>
      <c r="N64" s="185"/>
      <c r="O64" s="67"/>
      <c r="P64" s="389"/>
      <c r="Q64" s="389"/>
      <c r="R64" s="389"/>
    </row>
    <row r="65" spans="2:26" ht="15.5">
      <c r="B65" s="55"/>
      <c r="C65" s="49" t="s">
        <v>774</v>
      </c>
      <c r="D65" s="103"/>
      <c r="E65" s="103"/>
      <c r="F65" s="88"/>
      <c r="G65" s="1056"/>
      <c r="H65" s="1056"/>
      <c r="I65" s="1056"/>
      <c r="J65" s="1056"/>
      <c r="K65" s="1056"/>
      <c r="L65" s="1056"/>
      <c r="M65" s="1056"/>
      <c r="N65" s="1039" t="s">
        <v>772</v>
      </c>
      <c r="O65" s="67"/>
      <c r="P65" s="389"/>
      <c r="Q65" s="389"/>
      <c r="R65" s="389"/>
    </row>
    <row r="66" spans="2:26" ht="15.5">
      <c r="B66" s="55"/>
      <c r="C66" s="49"/>
      <c r="D66" s="103"/>
      <c r="E66" s="103"/>
      <c r="F66" s="88"/>
      <c r="G66" s="1056"/>
      <c r="H66" s="1056"/>
      <c r="I66" s="1056"/>
      <c r="J66" s="1056"/>
      <c r="K66" s="1056"/>
      <c r="L66" s="1056"/>
      <c r="M66" s="1056"/>
      <c r="N66" s="1039"/>
      <c r="O66" s="67"/>
      <c r="P66" s="389"/>
      <c r="Q66" s="389"/>
      <c r="R66" s="389"/>
    </row>
    <row r="67" spans="2:26" ht="15.5">
      <c r="B67" s="55"/>
      <c r="C67" s="1040" t="s">
        <v>131</v>
      </c>
      <c r="D67" s="1040" t="s">
        <v>712</v>
      </c>
      <c r="E67" s="1040"/>
      <c r="F67" s="1041">
        <v>2013</v>
      </c>
      <c r="G67" s="1041">
        <v>2015</v>
      </c>
      <c r="H67" s="1041">
        <v>2020</v>
      </c>
      <c r="I67" s="1041">
        <v>2025</v>
      </c>
      <c r="J67" s="1041">
        <v>2030</v>
      </c>
      <c r="K67" s="1041">
        <v>2035</v>
      </c>
      <c r="L67" s="1041">
        <v>2040</v>
      </c>
      <c r="M67" s="1041">
        <v>2045</v>
      </c>
      <c r="N67" s="1041">
        <v>2050</v>
      </c>
      <c r="O67" s="67"/>
      <c r="P67" s="389"/>
      <c r="Q67" s="389"/>
      <c r="R67" s="389"/>
    </row>
    <row r="68" spans="2:26" ht="15.5">
      <c r="B68" s="55"/>
      <c r="C68" s="1042" t="s">
        <v>97</v>
      </c>
      <c r="D68" s="1043" t="s">
        <v>765</v>
      </c>
      <c r="E68" s="1044"/>
      <c r="F68" s="1045"/>
      <c r="G68" s="1045">
        <v>0</v>
      </c>
      <c r="H68" s="1045">
        <v>0</v>
      </c>
      <c r="I68" s="1045">
        <v>0.158</v>
      </c>
      <c r="J68" s="1045">
        <v>0.155</v>
      </c>
      <c r="K68" s="1045">
        <v>0.153</v>
      </c>
      <c r="L68" s="1045">
        <v>0.151</v>
      </c>
      <c r="M68" s="1045">
        <v>0.14800000000000002</v>
      </c>
      <c r="N68" s="1045">
        <v>0.14600000000000002</v>
      </c>
      <c r="O68" s="67"/>
      <c r="P68" s="389"/>
      <c r="Q68" s="389"/>
      <c r="R68" s="389"/>
    </row>
    <row r="69" spans="2:26" ht="15.5">
      <c r="B69" s="55"/>
      <c r="C69" s="1046" t="s">
        <v>97</v>
      </c>
      <c r="D69" s="1047" t="s">
        <v>766</v>
      </c>
      <c r="E69" s="1048"/>
      <c r="F69" s="1049"/>
      <c r="G69" s="1049">
        <v>0</v>
      </c>
      <c r="H69" s="1049">
        <v>0</v>
      </c>
      <c r="I69" s="1049">
        <v>0.14000000000000001</v>
      </c>
      <c r="J69" s="1049">
        <v>0.13500000000000001</v>
      </c>
      <c r="K69" s="1049">
        <v>0.13300000000000001</v>
      </c>
      <c r="L69" s="1049">
        <v>0.13100000000000001</v>
      </c>
      <c r="M69" s="1049">
        <v>0.128</v>
      </c>
      <c r="N69" s="1049">
        <v>0.126</v>
      </c>
      <c r="O69" s="67"/>
      <c r="P69" s="389"/>
      <c r="Q69" s="389"/>
      <c r="R69" s="389"/>
    </row>
    <row r="70" spans="2:26">
      <c r="B70" s="105"/>
      <c r="C70" s="1050" t="s">
        <v>99</v>
      </c>
      <c r="D70" s="1051" t="s">
        <v>15</v>
      </c>
      <c r="E70" s="1052"/>
      <c r="F70" s="1053"/>
      <c r="G70" s="1053">
        <v>0</v>
      </c>
      <c r="H70" s="1053">
        <v>0</v>
      </c>
      <c r="I70" s="1053">
        <v>0.11299999999999999</v>
      </c>
      <c r="J70" s="1053">
        <v>0.10800000000000001</v>
      </c>
      <c r="K70" s="1053">
        <v>0.10700000000000001</v>
      </c>
      <c r="L70" s="1053">
        <v>0.10600000000000001</v>
      </c>
      <c r="M70" s="1053">
        <v>0.10500000000000001</v>
      </c>
      <c r="N70" s="1053">
        <v>0.1</v>
      </c>
      <c r="O70" s="67"/>
      <c r="P70" s="389"/>
      <c r="Q70" s="389"/>
      <c r="R70" s="389"/>
    </row>
    <row r="71" spans="2:26">
      <c r="B71" s="105"/>
      <c r="C71" s="65"/>
      <c r="D71" s="1057"/>
      <c r="E71" s="103"/>
      <c r="F71" s="89"/>
      <c r="G71" s="1058"/>
      <c r="H71" s="1058"/>
      <c r="I71" s="1059"/>
      <c r="J71" s="1058"/>
      <c r="K71" s="1058"/>
      <c r="L71" s="1058"/>
      <c r="M71" s="1058"/>
      <c r="N71" s="1060"/>
      <c r="O71" s="67"/>
      <c r="P71" s="389"/>
      <c r="Q71" s="389"/>
      <c r="R71" s="389"/>
    </row>
    <row r="72" spans="2:26">
      <c r="B72" s="130"/>
      <c r="C72" s="49" t="s">
        <v>775</v>
      </c>
      <c r="D72" s="67"/>
      <c r="E72" s="67"/>
      <c r="F72" s="67"/>
      <c r="G72" s="67"/>
      <c r="H72" s="67"/>
      <c r="I72" s="67"/>
      <c r="J72" s="67"/>
      <c r="K72" s="67"/>
      <c r="L72" s="67"/>
      <c r="M72" s="67"/>
      <c r="N72" s="67" t="s">
        <v>776</v>
      </c>
      <c r="O72" s="67"/>
      <c r="P72" s="389"/>
      <c r="Q72" s="389"/>
      <c r="R72" s="389"/>
    </row>
    <row r="73" spans="2:26">
      <c r="B73" s="105"/>
      <c r="C73" s="67"/>
      <c r="D73" s="67"/>
      <c r="E73" s="67"/>
      <c r="F73" s="67"/>
      <c r="G73" s="67"/>
      <c r="H73" s="67"/>
      <c r="I73" s="67"/>
      <c r="J73" s="67"/>
      <c r="K73" s="67"/>
      <c r="L73" s="67"/>
      <c r="M73" s="67"/>
      <c r="N73" s="67"/>
      <c r="O73" s="67"/>
      <c r="P73" s="389"/>
      <c r="Q73" s="389"/>
      <c r="R73" s="389"/>
    </row>
    <row r="74" spans="2:26" ht="15.5">
      <c r="B74" s="55"/>
      <c r="C74" s="1040" t="s">
        <v>131</v>
      </c>
      <c r="D74" s="1040" t="s">
        <v>712</v>
      </c>
      <c r="E74" s="1040"/>
      <c r="F74" s="1041">
        <v>2013</v>
      </c>
      <c r="G74" s="1041">
        <v>2015</v>
      </c>
      <c r="H74" s="1041">
        <v>2020</v>
      </c>
      <c r="I74" s="1041">
        <v>2025</v>
      </c>
      <c r="J74" s="1041">
        <v>2030</v>
      </c>
      <c r="K74" s="1041">
        <v>2035</v>
      </c>
      <c r="L74" s="1041">
        <v>2040</v>
      </c>
      <c r="M74" s="1041">
        <v>2045</v>
      </c>
      <c r="N74" s="1041">
        <v>2050</v>
      </c>
      <c r="O74" s="67"/>
      <c r="P74" s="389"/>
      <c r="Q74" s="389"/>
      <c r="R74" s="389"/>
    </row>
    <row r="75" spans="2:26" s="6" customFormat="1" ht="15.5">
      <c r="B75" s="966"/>
      <c r="C75" s="1042" t="s">
        <v>97</v>
      </c>
      <c r="D75" s="1043" t="s">
        <v>765</v>
      </c>
      <c r="E75" s="1044"/>
      <c r="F75" s="1045"/>
      <c r="G75" s="1045">
        <v>0</v>
      </c>
      <c r="H75" s="1045">
        <v>0</v>
      </c>
      <c r="I75" s="1045">
        <v>0</v>
      </c>
      <c r="J75" s="1045">
        <v>0.85</v>
      </c>
      <c r="K75" s="1045">
        <v>0.85</v>
      </c>
      <c r="L75" s="1045">
        <v>0.85</v>
      </c>
      <c r="M75" s="1045">
        <v>0.85</v>
      </c>
      <c r="N75" s="1045">
        <v>0.85</v>
      </c>
      <c r="O75" s="103"/>
      <c r="P75" s="1027"/>
      <c r="Q75" s="1027"/>
      <c r="R75" s="389"/>
      <c r="S75"/>
      <c r="T75"/>
      <c r="U75"/>
      <c r="V75"/>
      <c r="W75"/>
      <c r="X75"/>
      <c r="Y75"/>
      <c r="Z75"/>
    </row>
    <row r="76" spans="2:26" s="6" customFormat="1" ht="15.5">
      <c r="B76" s="966"/>
      <c r="C76" s="1046" t="s">
        <v>97</v>
      </c>
      <c r="D76" s="1047" t="s">
        <v>766</v>
      </c>
      <c r="E76" s="1048"/>
      <c r="F76" s="1049"/>
      <c r="G76" s="1049">
        <v>0</v>
      </c>
      <c r="H76" s="1049">
        <v>0</v>
      </c>
      <c r="I76" s="1049">
        <v>0</v>
      </c>
      <c r="J76" s="1049">
        <v>0.85</v>
      </c>
      <c r="K76" s="1049">
        <v>0.85</v>
      </c>
      <c r="L76" s="1049">
        <v>0.85</v>
      </c>
      <c r="M76" s="1049">
        <v>0.85</v>
      </c>
      <c r="N76" s="1049">
        <v>0.85</v>
      </c>
      <c r="O76" s="103"/>
      <c r="P76" s="1027"/>
      <c r="Q76" s="1027"/>
      <c r="R76" s="389"/>
      <c r="S76"/>
      <c r="T76"/>
      <c r="U76"/>
      <c r="V76"/>
      <c r="W76"/>
      <c r="X76"/>
      <c r="Y76"/>
      <c r="Z76"/>
    </row>
    <row r="77" spans="2:26" s="6" customFormat="1" ht="15.5">
      <c r="B77" s="966"/>
      <c r="C77" s="1050" t="s">
        <v>99</v>
      </c>
      <c r="D77" s="1051" t="s">
        <v>15</v>
      </c>
      <c r="E77" s="1052"/>
      <c r="F77" s="1053"/>
      <c r="G77" s="1053">
        <v>0</v>
      </c>
      <c r="H77" s="1053">
        <v>0</v>
      </c>
      <c r="I77" s="1053">
        <v>0</v>
      </c>
      <c r="J77" s="1053">
        <v>0.85</v>
      </c>
      <c r="K77" s="1053">
        <v>0.85</v>
      </c>
      <c r="L77" s="1053">
        <v>0.85</v>
      </c>
      <c r="M77" s="1053">
        <v>0.85</v>
      </c>
      <c r="N77" s="1053">
        <v>0.85</v>
      </c>
      <c r="O77" s="103"/>
      <c r="P77" s="1027"/>
      <c r="Q77" s="1027"/>
      <c r="R77" s="389"/>
      <c r="S77"/>
      <c r="T77"/>
      <c r="U77"/>
      <c r="V77"/>
      <c r="W77"/>
      <c r="X77"/>
      <c r="Y77"/>
      <c r="Z77"/>
    </row>
    <row r="78" spans="2:26">
      <c r="B78" s="105"/>
      <c r="C78" s="67"/>
      <c r="D78" s="67"/>
      <c r="E78" s="67"/>
      <c r="F78" s="67"/>
      <c r="G78" s="67"/>
      <c r="H78" s="67"/>
      <c r="I78" s="67"/>
      <c r="J78" s="67"/>
      <c r="K78" s="67"/>
      <c r="L78" s="67"/>
      <c r="M78" s="67"/>
      <c r="N78" s="67"/>
      <c r="O78" s="67"/>
      <c r="P78" s="389"/>
      <c r="Q78" s="389"/>
      <c r="R78" s="389"/>
    </row>
    <row r="79" spans="2:26">
      <c r="B79" s="105"/>
      <c r="C79" s="49" t="s">
        <v>777</v>
      </c>
      <c r="D79" s="67"/>
      <c r="E79" s="67"/>
      <c r="F79" s="67"/>
      <c r="G79" s="67"/>
      <c r="H79" s="67"/>
      <c r="I79" s="67"/>
      <c r="J79" s="67"/>
      <c r="K79" s="67"/>
      <c r="L79" s="67"/>
      <c r="M79" s="67"/>
      <c r="N79" s="67"/>
      <c r="O79" s="67"/>
      <c r="P79" s="389"/>
      <c r="Q79" s="389"/>
      <c r="R79" s="389"/>
    </row>
    <row r="80" spans="2:26">
      <c r="B80" s="105"/>
      <c r="C80" s="67"/>
      <c r="D80" s="67"/>
      <c r="E80" s="67"/>
      <c r="F80" s="67"/>
      <c r="G80" s="67"/>
      <c r="H80" s="67"/>
      <c r="I80" s="67"/>
      <c r="J80" s="67"/>
      <c r="K80" s="67"/>
      <c r="L80" s="67"/>
      <c r="M80" s="67"/>
      <c r="N80" s="67"/>
      <c r="O80" s="67"/>
      <c r="P80" s="389"/>
      <c r="Q80" s="389"/>
      <c r="R80" s="389"/>
    </row>
    <row r="81" spans="2:18" ht="15.5">
      <c r="B81" s="55"/>
      <c r="C81" s="878" t="s">
        <v>131</v>
      </c>
      <c r="D81" s="878" t="s">
        <v>712</v>
      </c>
      <c r="E81" s="878" t="s">
        <v>30</v>
      </c>
      <c r="F81" s="87">
        <v>2013</v>
      </c>
      <c r="G81" s="87">
        <v>2015</v>
      </c>
      <c r="H81" s="87">
        <v>2020</v>
      </c>
      <c r="I81" s="87">
        <v>2025</v>
      </c>
      <c r="J81" s="87">
        <v>2030</v>
      </c>
      <c r="K81" s="87">
        <v>2035</v>
      </c>
      <c r="L81" s="87">
        <v>2040</v>
      </c>
      <c r="M81" s="87">
        <v>2045</v>
      </c>
      <c r="N81" s="87">
        <v>2050</v>
      </c>
      <c r="O81" s="67"/>
      <c r="P81" s="389"/>
      <c r="Q81" s="389"/>
      <c r="R81" s="389"/>
    </row>
    <row r="82" spans="2:18" ht="15.5">
      <c r="B82" s="55"/>
      <c r="C82" s="887"/>
      <c r="D82" s="888"/>
      <c r="E82" s="888"/>
      <c r="F82" s="94">
        <v>0</v>
      </c>
      <c r="G82" s="93">
        <v>0</v>
      </c>
      <c r="H82" s="93">
        <v>0</v>
      </c>
      <c r="I82" s="93">
        <v>0.9</v>
      </c>
      <c r="J82" s="93">
        <v>0.9</v>
      </c>
      <c r="K82" s="93">
        <v>0.9</v>
      </c>
      <c r="L82" s="93">
        <v>0.9</v>
      </c>
      <c r="M82" s="93">
        <v>0.9</v>
      </c>
      <c r="N82" s="93">
        <v>0.9</v>
      </c>
      <c r="O82" s="67"/>
      <c r="P82" s="389"/>
      <c r="Q82" s="389"/>
      <c r="R82" s="389"/>
    </row>
    <row r="83" spans="2:18">
      <c r="B83" s="105"/>
      <c r="C83" s="67"/>
      <c r="D83" s="67"/>
      <c r="E83" s="67"/>
      <c r="F83" s="67"/>
      <c r="G83" s="67"/>
      <c r="H83" s="67"/>
      <c r="I83" s="67"/>
      <c r="J83" s="67"/>
      <c r="K83" s="67"/>
      <c r="L83" s="67"/>
      <c r="M83" s="67"/>
      <c r="N83" s="67"/>
      <c r="O83" s="67"/>
      <c r="P83" s="389"/>
      <c r="Q83" s="389"/>
      <c r="R83" s="389"/>
    </row>
    <row r="84" spans="2:18" ht="15.5">
      <c r="B84" s="55"/>
      <c r="C84" s="49" t="s">
        <v>778</v>
      </c>
      <c r="D84" s="67"/>
      <c r="E84" s="67"/>
      <c r="F84" s="67"/>
      <c r="G84" s="67"/>
      <c r="H84" s="67"/>
      <c r="I84" s="67"/>
      <c r="J84" s="67"/>
      <c r="K84" s="67"/>
      <c r="L84" s="67"/>
      <c r="M84" s="67"/>
      <c r="N84" s="67"/>
      <c r="O84" s="67"/>
      <c r="P84" s="389"/>
      <c r="Q84" s="389"/>
      <c r="R84" s="389"/>
    </row>
    <row r="85" spans="2:18" ht="15.5">
      <c r="B85" s="55"/>
      <c r="C85" s="67"/>
      <c r="D85" s="67"/>
      <c r="E85" s="67"/>
      <c r="F85" s="67"/>
      <c r="G85" s="67"/>
      <c r="H85" s="67"/>
      <c r="I85" s="67"/>
      <c r="J85" s="67"/>
      <c r="K85" s="67"/>
      <c r="L85" s="67"/>
      <c r="M85" s="67"/>
      <c r="N85" s="67"/>
      <c r="O85" s="67"/>
      <c r="P85" s="389"/>
      <c r="Q85" s="389"/>
      <c r="R85" s="389"/>
    </row>
    <row r="86" spans="2:18" ht="15.5">
      <c r="B86" s="55"/>
      <c r="C86" s="878"/>
      <c r="D86" s="878"/>
      <c r="E86" s="878"/>
      <c r="F86" s="87"/>
      <c r="G86" s="1152" t="s">
        <v>876</v>
      </c>
      <c r="H86" s="67"/>
      <c r="I86" s="911"/>
      <c r="J86" s="911"/>
      <c r="K86" s="911"/>
      <c r="L86" s="911"/>
      <c r="M86" s="911"/>
      <c r="N86" s="911"/>
      <c r="O86" s="67"/>
      <c r="P86" s="389"/>
      <c r="Q86" s="389"/>
      <c r="R86" s="389"/>
    </row>
    <row r="87" spans="2:18" ht="15.5">
      <c r="B87" s="55"/>
      <c r="C87" s="917"/>
      <c r="D87" s="194" t="s">
        <v>718</v>
      </c>
      <c r="E87" s="194"/>
      <c r="F87" s="1014">
        <f>0.5*Unit.GW</f>
        <v>0.5</v>
      </c>
      <c r="G87" s="1156" t="str">
        <f>Preferences.PowerUnits&amp;"peak"</f>
        <v>GWpeak</v>
      </c>
      <c r="H87" s="67"/>
      <c r="I87" s="59"/>
      <c r="J87" s="59"/>
      <c r="K87" s="59"/>
      <c r="L87" s="59"/>
      <c r="M87" s="59"/>
      <c r="N87" s="59"/>
      <c r="O87" s="67"/>
      <c r="P87" s="389"/>
      <c r="Q87" s="389"/>
      <c r="R87" s="389"/>
    </row>
    <row r="88" spans="2:18">
      <c r="B88" s="105"/>
      <c r="C88" s="67"/>
      <c r="D88" s="67"/>
      <c r="E88" s="67"/>
      <c r="F88" s="67"/>
      <c r="G88" s="67"/>
      <c r="H88" s="67"/>
      <c r="I88" s="67" t="s">
        <v>5</v>
      </c>
      <c r="J88" s="67"/>
      <c r="K88" s="67"/>
      <c r="L88" s="67"/>
      <c r="M88" s="67"/>
      <c r="N88" s="67"/>
      <c r="O88" s="67"/>
      <c r="P88" s="389"/>
      <c r="Q88" s="389"/>
      <c r="R88" s="389"/>
    </row>
    <row r="89" spans="2:18" ht="15.5">
      <c r="B89" s="55"/>
      <c r="C89" s="84" t="s">
        <v>779</v>
      </c>
      <c r="D89" s="103"/>
      <c r="E89" s="103"/>
      <c r="F89" s="167"/>
      <c r="G89" s="934"/>
      <c r="H89" s="67"/>
      <c r="I89" s="59"/>
      <c r="J89" s="59"/>
      <c r="K89" s="59"/>
      <c r="L89" s="59"/>
      <c r="M89" s="59"/>
      <c r="N89" s="2449" t="str">
        <f>"Kte/"&amp;Preferences.EnergyUnits</f>
        <v>Kte/TWh</v>
      </c>
      <c r="O89" s="67"/>
      <c r="P89" s="389"/>
      <c r="Q89" s="389"/>
      <c r="R89" s="389"/>
    </row>
    <row r="90" spans="2:18" ht="15.5">
      <c r="B90" s="55"/>
      <c r="C90" s="84"/>
      <c r="D90" s="103"/>
      <c r="E90" s="103"/>
      <c r="F90" s="167"/>
      <c r="G90" s="934"/>
      <c r="H90" s="67"/>
      <c r="I90" s="59"/>
      <c r="J90" s="59"/>
      <c r="K90" s="59"/>
      <c r="L90" s="59"/>
      <c r="M90" s="59"/>
      <c r="N90" s="59"/>
      <c r="O90" s="67"/>
      <c r="P90" s="389"/>
      <c r="Q90" s="389"/>
      <c r="R90" s="389"/>
    </row>
    <row r="91" spans="2:18" ht="15.5">
      <c r="B91" s="55"/>
      <c r="C91" s="878" t="s">
        <v>43</v>
      </c>
      <c r="D91" s="878" t="s">
        <v>130</v>
      </c>
      <c r="E91" s="878" t="s">
        <v>28</v>
      </c>
      <c r="F91" s="879">
        <v>2013</v>
      </c>
      <c r="G91" s="87" t="s">
        <v>132</v>
      </c>
      <c r="H91" s="87" t="s">
        <v>133</v>
      </c>
      <c r="I91" s="87" t="s">
        <v>134</v>
      </c>
      <c r="J91" s="87" t="s">
        <v>135</v>
      </c>
      <c r="K91" s="87" t="s">
        <v>136</v>
      </c>
      <c r="L91" s="87" t="s">
        <v>137</v>
      </c>
      <c r="M91" s="87" t="s">
        <v>138</v>
      </c>
      <c r="N91" s="87" t="s">
        <v>139</v>
      </c>
      <c r="O91" s="59"/>
      <c r="P91" s="389"/>
      <c r="Q91" s="389"/>
      <c r="R91" s="389"/>
    </row>
    <row r="92" spans="2:18" ht="15.5">
      <c r="B92" s="55"/>
      <c r="C92" s="65" t="s">
        <v>544</v>
      </c>
      <c r="D92" s="1025" t="s">
        <v>780</v>
      </c>
      <c r="E92" s="1025" t="s">
        <v>87</v>
      </c>
      <c r="F92" s="2412"/>
      <c r="G92" s="2412"/>
      <c r="H92" s="2412"/>
      <c r="I92" s="2412">
        <f t="shared" ref="I92:N92" si="1">0.00572952284099682*(1/Unit.TWh)</f>
        <v>5.7295228409968198E-3</v>
      </c>
      <c r="J92" s="2412">
        <f t="shared" si="1"/>
        <v>5.7295228409968198E-3</v>
      </c>
      <c r="K92" s="2412">
        <f t="shared" si="1"/>
        <v>5.7295228409968198E-3</v>
      </c>
      <c r="L92" s="2412">
        <f t="shared" si="1"/>
        <v>5.7295228409968198E-3</v>
      </c>
      <c r="M92" s="2412">
        <f t="shared" si="1"/>
        <v>5.7295228409968198E-3</v>
      </c>
      <c r="N92" s="2412">
        <f t="shared" si="1"/>
        <v>5.7295228409968198E-3</v>
      </c>
      <c r="O92" s="59"/>
      <c r="P92" s="389"/>
      <c r="Q92" s="389"/>
      <c r="R92" s="389"/>
    </row>
    <row r="93" spans="2:18" ht="15.5">
      <c r="B93" s="55"/>
      <c r="C93" s="917" t="s">
        <v>544</v>
      </c>
      <c r="D93" s="1014" t="s">
        <v>780</v>
      </c>
      <c r="E93" s="1014" t="s">
        <v>89</v>
      </c>
      <c r="F93" s="2413"/>
      <c r="G93" s="2413"/>
      <c r="H93" s="2413"/>
      <c r="I93" s="2413">
        <f>0.00309723515657493*(1/Unit.TWh)</f>
        <v>3.0972351565749299E-3</v>
      </c>
      <c r="J93" s="2413">
        <f>0.00309727451363559*(1/Unit.TWh)</f>
        <v>3.0972745136355899E-3</v>
      </c>
      <c r="K93" s="2413">
        <f>0.00309727451363559*(1/Unit.TWh)</f>
        <v>3.0972745136355899E-3</v>
      </c>
      <c r="L93" s="2413">
        <f>0.00309727451363559*(1/Unit.TWh)</f>
        <v>3.0972745136355899E-3</v>
      </c>
      <c r="M93" s="2413">
        <f>0.00309727451363559*(1/Unit.TWh)</f>
        <v>3.0972745136355899E-3</v>
      </c>
      <c r="N93" s="2413">
        <f>0.00309727451363559*(1/Unit.TWh)</f>
        <v>3.0972745136355899E-3</v>
      </c>
      <c r="O93" s="59"/>
      <c r="P93" s="389"/>
      <c r="Q93" s="389"/>
      <c r="R93" s="389"/>
    </row>
    <row r="94" spans="2:18" ht="15.5">
      <c r="B94" s="55"/>
      <c r="C94" s="65"/>
      <c r="D94" s="103"/>
      <c r="E94" s="103"/>
      <c r="F94" s="934"/>
      <c r="G94" s="934"/>
      <c r="H94" s="67"/>
      <c r="I94" s="2448"/>
      <c r="J94" s="2448"/>
      <c r="K94" s="2448"/>
      <c r="L94" s="2448"/>
      <c r="M94" s="2448"/>
      <c r="N94" s="2448"/>
      <c r="O94" s="59"/>
      <c r="P94" s="389"/>
      <c r="Q94" s="389"/>
      <c r="R94" s="389"/>
    </row>
    <row r="95" spans="2:18" ht="15.5">
      <c r="B95" s="55"/>
      <c r="C95" s="84" t="s">
        <v>781</v>
      </c>
      <c r="D95" s="103"/>
      <c r="E95" s="103"/>
      <c r="F95" s="934"/>
      <c r="G95" s="934"/>
      <c r="H95" s="67"/>
      <c r="I95" s="2448"/>
      <c r="J95" s="2448"/>
      <c r="K95" s="2448"/>
      <c r="L95" s="2448"/>
      <c r="M95" s="2448"/>
      <c r="N95" s="2449" t="str">
        <f>"Kte/"&amp;Preferences.EnergyUnits</f>
        <v>Kte/TWh</v>
      </c>
      <c r="O95" s="67"/>
      <c r="P95" s="389"/>
      <c r="Q95" s="389"/>
      <c r="R95" s="389"/>
    </row>
    <row r="96" spans="2:18" ht="15.5">
      <c r="B96" s="55"/>
      <c r="C96" s="84"/>
      <c r="D96" s="103"/>
      <c r="E96" s="103"/>
      <c r="F96" s="934"/>
      <c r="G96" s="934"/>
      <c r="H96" s="67"/>
      <c r="I96" s="2448"/>
      <c r="J96" s="2448"/>
      <c r="K96" s="2448"/>
      <c r="L96" s="2448"/>
      <c r="M96" s="2448"/>
      <c r="N96" s="2448"/>
      <c r="O96" s="67"/>
      <c r="P96" s="389"/>
      <c r="Q96" s="389"/>
      <c r="R96" s="389"/>
    </row>
    <row r="97" spans="2:18" ht="15.5">
      <c r="B97" s="55"/>
      <c r="C97" s="878" t="s">
        <v>43</v>
      </c>
      <c r="D97" s="878" t="s">
        <v>130</v>
      </c>
      <c r="E97" s="878" t="s">
        <v>28</v>
      </c>
      <c r="F97" s="87">
        <v>2013</v>
      </c>
      <c r="G97" s="87" t="s">
        <v>132</v>
      </c>
      <c r="H97" s="87" t="s">
        <v>133</v>
      </c>
      <c r="I97" s="87" t="s">
        <v>134</v>
      </c>
      <c r="J97" s="87" t="s">
        <v>135</v>
      </c>
      <c r="K97" s="87" t="s">
        <v>136</v>
      </c>
      <c r="L97" s="87" t="s">
        <v>137</v>
      </c>
      <c r="M97" s="87" t="s">
        <v>138</v>
      </c>
      <c r="N97" s="87" t="s">
        <v>139</v>
      </c>
      <c r="O97" s="67"/>
      <c r="P97" s="389"/>
      <c r="Q97" s="389"/>
      <c r="R97" s="389"/>
    </row>
    <row r="98" spans="2:18" ht="15.5">
      <c r="B98" s="55"/>
      <c r="C98" s="65" t="s">
        <v>544</v>
      </c>
      <c r="D98" s="1025" t="s">
        <v>780</v>
      </c>
      <c r="E98" s="1025" t="s">
        <v>87</v>
      </c>
      <c r="F98" s="2412"/>
      <c r="G98" s="2412"/>
      <c r="H98" s="2412"/>
      <c r="I98" s="2412">
        <f t="shared" ref="I98:N98" si="2">0.304410351798752*(1/Unit.TWh)</f>
        <v>0.30441035179875198</v>
      </c>
      <c r="J98" s="2412">
        <f t="shared" si="2"/>
        <v>0.30441035179875198</v>
      </c>
      <c r="K98" s="2412">
        <f t="shared" si="2"/>
        <v>0.30441035179875198</v>
      </c>
      <c r="L98" s="2412">
        <f t="shared" si="2"/>
        <v>0.30441035179875198</v>
      </c>
      <c r="M98" s="2412">
        <f t="shared" si="2"/>
        <v>0.30441035179875198</v>
      </c>
      <c r="N98" s="2412">
        <f t="shared" si="2"/>
        <v>0.30441035179875198</v>
      </c>
      <c r="O98" s="67"/>
      <c r="P98" s="389"/>
      <c r="Q98" s="389"/>
      <c r="R98" s="389"/>
    </row>
    <row r="99" spans="2:18" ht="15.5">
      <c r="B99" s="55"/>
      <c r="C99" s="917" t="s">
        <v>544</v>
      </c>
      <c r="D99" s="1014" t="s">
        <v>780</v>
      </c>
      <c r="E99" s="1014" t="s">
        <v>89</v>
      </c>
      <c r="F99" s="2413"/>
      <c r="G99" s="2413"/>
      <c r="H99" s="2413"/>
      <c r="I99" s="2413">
        <f t="shared" ref="I99:N99" si="3">0.126179432674123*(1/Unit.TWh)</f>
        <v>0.12617943267412299</v>
      </c>
      <c r="J99" s="2413">
        <f t="shared" si="3"/>
        <v>0.12617943267412299</v>
      </c>
      <c r="K99" s="2413">
        <f t="shared" si="3"/>
        <v>0.12617943267412299</v>
      </c>
      <c r="L99" s="2413">
        <f t="shared" si="3"/>
        <v>0.12617943267412299</v>
      </c>
      <c r="M99" s="2413">
        <f t="shared" si="3"/>
        <v>0.12617943267412299</v>
      </c>
      <c r="N99" s="2413">
        <f t="shared" si="3"/>
        <v>0.12617943267412299</v>
      </c>
      <c r="O99" s="59"/>
      <c r="P99" s="389"/>
      <c r="Q99" s="389"/>
      <c r="R99" s="389"/>
    </row>
    <row r="100" spans="2:18" ht="15.5">
      <c r="B100" s="55"/>
      <c r="C100" s="65"/>
      <c r="D100" s="103"/>
      <c r="E100" s="103"/>
      <c r="F100" s="934" t="s">
        <v>5</v>
      </c>
      <c r="G100" s="934"/>
      <c r="H100" s="67"/>
      <c r="I100" s="2448"/>
      <c r="J100" s="2448"/>
      <c r="K100" s="2448"/>
      <c r="L100" s="2448"/>
      <c r="M100" s="2448"/>
      <c r="N100" s="2448"/>
      <c r="O100" s="59"/>
      <c r="P100" s="389"/>
      <c r="Q100" s="389"/>
      <c r="R100" s="389"/>
    </row>
    <row r="101" spans="2:18" ht="15.5">
      <c r="B101" s="55"/>
      <c r="C101" s="84" t="s">
        <v>782</v>
      </c>
      <c r="D101" s="103"/>
      <c r="E101" s="103"/>
      <c r="F101" s="934"/>
      <c r="G101" s="934"/>
      <c r="H101" s="67"/>
      <c r="I101" s="2448"/>
      <c r="J101" s="2448"/>
      <c r="K101" s="2448"/>
      <c r="L101" s="2448"/>
      <c r="M101" s="2448"/>
      <c r="N101" s="2449" t="str">
        <f>"Kte/"&amp;Preferences.EnergyUnits</f>
        <v>Kte/TWh</v>
      </c>
      <c r="O101" s="59"/>
      <c r="P101" s="389"/>
      <c r="Q101" s="389"/>
      <c r="R101" s="389"/>
    </row>
    <row r="102" spans="2:18" ht="15.5">
      <c r="B102" s="55"/>
      <c r="C102" s="84"/>
      <c r="D102" s="103"/>
      <c r="E102" s="103"/>
      <c r="F102" s="934"/>
      <c r="G102" s="934"/>
      <c r="H102" s="67"/>
      <c r="I102" s="2448"/>
      <c r="J102" s="2448"/>
      <c r="K102" s="2448"/>
      <c r="L102" s="2448"/>
      <c r="M102" s="2448"/>
      <c r="N102" s="2448"/>
      <c r="O102" s="59"/>
      <c r="P102" s="389"/>
      <c r="Q102" s="389"/>
      <c r="R102" s="389"/>
    </row>
    <row r="103" spans="2:18" ht="15.5">
      <c r="B103" s="55"/>
      <c r="C103" s="878" t="s">
        <v>43</v>
      </c>
      <c r="D103" s="878" t="s">
        <v>130</v>
      </c>
      <c r="E103" s="878" t="s">
        <v>28</v>
      </c>
      <c r="F103" s="87">
        <v>2013</v>
      </c>
      <c r="G103" s="87" t="s">
        <v>132</v>
      </c>
      <c r="H103" s="87" t="s">
        <v>133</v>
      </c>
      <c r="I103" s="87" t="s">
        <v>134</v>
      </c>
      <c r="J103" s="87" t="s">
        <v>135</v>
      </c>
      <c r="K103" s="87" t="s">
        <v>136</v>
      </c>
      <c r="L103" s="87" t="s">
        <v>137</v>
      </c>
      <c r="M103" s="87" t="s">
        <v>138</v>
      </c>
      <c r="N103" s="87" t="s">
        <v>139</v>
      </c>
      <c r="O103" s="59"/>
      <c r="P103" s="389"/>
      <c r="Q103" s="389"/>
      <c r="R103" s="389"/>
    </row>
    <row r="104" spans="2:18" ht="15.5">
      <c r="B104" s="55"/>
      <c r="C104" s="65" t="s">
        <v>544</v>
      </c>
      <c r="D104" s="1025" t="s">
        <v>780</v>
      </c>
      <c r="E104" s="1025" t="s">
        <v>87</v>
      </c>
      <c r="F104" s="2412"/>
      <c r="G104" s="2412"/>
      <c r="H104" s="2412"/>
      <c r="I104" s="2412">
        <f t="shared" ref="I104:N104" si="4">0.304410351798752*(1/Unit.TWh)</f>
        <v>0.30441035179875198</v>
      </c>
      <c r="J104" s="2412">
        <f t="shared" si="4"/>
        <v>0.30441035179875198</v>
      </c>
      <c r="K104" s="2412">
        <f t="shared" si="4"/>
        <v>0.30441035179875198</v>
      </c>
      <c r="L104" s="2412">
        <f t="shared" si="4"/>
        <v>0.30441035179875198</v>
      </c>
      <c r="M104" s="2412">
        <f t="shared" si="4"/>
        <v>0.30441035179875198</v>
      </c>
      <c r="N104" s="2412">
        <f t="shared" si="4"/>
        <v>0.30441035179875198</v>
      </c>
      <c r="O104" s="67"/>
      <c r="P104" s="389"/>
      <c r="Q104" s="389"/>
      <c r="R104" s="389"/>
    </row>
    <row r="105" spans="2:18" ht="15.5">
      <c r="B105" s="55"/>
      <c r="C105" s="917" t="s">
        <v>544</v>
      </c>
      <c r="D105" s="1014" t="s">
        <v>780</v>
      </c>
      <c r="E105" s="1014" t="s">
        <v>89</v>
      </c>
      <c r="F105" s="2413"/>
      <c r="G105" s="2413"/>
      <c r="H105" s="2413"/>
      <c r="I105" s="2413">
        <f>0.00233778540323651*(1/Unit.TWh)</f>
        <v>2.3377854032365099E-3</v>
      </c>
      <c r="J105" s="2413">
        <f>0.00234264028589595*(1/Unit.TWh)</f>
        <v>2.3426402858959501E-3</v>
      </c>
      <c r="K105" s="2413">
        <f>0.00234264028589595*(1/Unit.TWh)</f>
        <v>2.3426402858959501E-3</v>
      </c>
      <c r="L105" s="2413">
        <f>0.00234264028589595*(1/Unit.TWh)</f>
        <v>2.3426402858959501E-3</v>
      </c>
      <c r="M105" s="2413">
        <f>0.00234264028589595*(1/Unit.TWh)</f>
        <v>2.3426402858959501E-3</v>
      </c>
      <c r="N105" s="2413">
        <f>0.00234264028589595*(1/Unit.TWh)</f>
        <v>2.3426402858959501E-3</v>
      </c>
      <c r="O105" s="67"/>
      <c r="P105" s="389"/>
      <c r="Q105" s="389"/>
      <c r="R105" s="389"/>
    </row>
    <row r="106" spans="2:18" ht="15.5">
      <c r="B106" s="55"/>
      <c r="C106" s="65"/>
      <c r="D106" s="103"/>
      <c r="E106" s="103"/>
      <c r="F106" s="934"/>
      <c r="G106" s="934"/>
      <c r="H106" s="67"/>
      <c r="I106" s="2448"/>
      <c r="J106" s="2448"/>
      <c r="K106" s="2448"/>
      <c r="L106" s="2448"/>
      <c r="M106" s="2448"/>
      <c r="N106" s="2448"/>
      <c r="O106" s="67"/>
      <c r="P106" s="389"/>
      <c r="Q106" s="389"/>
      <c r="R106" s="389"/>
    </row>
    <row r="107" spans="2:18" ht="15.5">
      <c r="B107" s="55"/>
      <c r="C107" s="84" t="s">
        <v>783</v>
      </c>
      <c r="D107" s="103"/>
      <c r="E107" s="103"/>
      <c r="F107" s="934"/>
      <c r="G107" s="934"/>
      <c r="H107" s="67"/>
      <c r="I107" s="2448"/>
      <c r="J107" s="2448"/>
      <c r="K107" s="2448"/>
      <c r="L107" s="2448"/>
      <c r="M107" s="2448"/>
      <c r="N107" s="2449" t="str">
        <f>"Kte/"&amp;Preferences.EnergyUnits</f>
        <v>Kte/TWh</v>
      </c>
      <c r="O107" s="59"/>
      <c r="P107" s="389"/>
      <c r="Q107" s="389"/>
      <c r="R107" s="389"/>
    </row>
    <row r="108" spans="2:18" ht="15.5">
      <c r="B108" s="55"/>
      <c r="C108" s="84"/>
      <c r="D108" s="103"/>
      <c r="E108" s="103"/>
      <c r="F108" s="934"/>
      <c r="G108" s="934"/>
      <c r="H108" s="67"/>
      <c r="I108" s="2448"/>
      <c r="J108" s="2448"/>
      <c r="K108" s="2448"/>
      <c r="L108" s="2448"/>
      <c r="M108" s="2448"/>
      <c r="N108" s="2448"/>
      <c r="O108" s="59"/>
      <c r="P108" s="389"/>
      <c r="Q108" s="389"/>
      <c r="R108" s="389"/>
    </row>
    <row r="109" spans="2:18" ht="15.5">
      <c r="B109" s="55"/>
      <c r="C109" s="878" t="s">
        <v>43</v>
      </c>
      <c r="D109" s="878" t="s">
        <v>130</v>
      </c>
      <c r="E109" s="878" t="s">
        <v>28</v>
      </c>
      <c r="F109" s="87">
        <v>2013</v>
      </c>
      <c r="G109" s="87" t="s">
        <v>132</v>
      </c>
      <c r="H109" s="87" t="s">
        <v>133</v>
      </c>
      <c r="I109" s="87" t="s">
        <v>134</v>
      </c>
      <c r="J109" s="87" t="s">
        <v>135</v>
      </c>
      <c r="K109" s="87" t="s">
        <v>136</v>
      </c>
      <c r="L109" s="87" t="s">
        <v>137</v>
      </c>
      <c r="M109" s="87" t="s">
        <v>138</v>
      </c>
      <c r="N109" s="87" t="s">
        <v>139</v>
      </c>
      <c r="O109" s="59"/>
      <c r="P109" s="389"/>
      <c r="Q109" s="389"/>
      <c r="R109" s="389"/>
    </row>
    <row r="110" spans="2:18" ht="15.5">
      <c r="B110" s="55"/>
      <c r="C110" s="65" t="s">
        <v>544</v>
      </c>
      <c r="D110" s="1025" t="s">
        <v>780</v>
      </c>
      <c r="E110" s="1025" t="s">
        <v>87</v>
      </c>
      <c r="F110" s="2412"/>
      <c r="G110" s="2412"/>
      <c r="H110" s="2412"/>
      <c r="I110" s="2412">
        <f>0.00251660725789183*(1/Unit.TWh)</f>
        <v>2.51660725789183E-3</v>
      </c>
      <c r="J110" s="2412">
        <f>0.0025207932619345*(1/Unit.TWh)</f>
        <v>2.5207932619345E-3</v>
      </c>
      <c r="K110" s="2412">
        <f>0.0025207932619345*(1/Unit.TWh)</f>
        <v>2.5207932619345E-3</v>
      </c>
      <c r="L110" s="2412">
        <f>0.0025207932619345*(1/Unit.TWh)</f>
        <v>2.5207932619345E-3</v>
      </c>
      <c r="M110" s="2412">
        <f>0.0025207932619345*(1/Unit.TWh)</f>
        <v>2.5207932619345E-3</v>
      </c>
      <c r="N110" s="2412">
        <f>0.0025207932619345*(1/Unit.TWh)</f>
        <v>2.5207932619345E-3</v>
      </c>
      <c r="O110" s="59"/>
      <c r="P110" s="389"/>
      <c r="Q110" s="389"/>
      <c r="R110" s="389"/>
    </row>
    <row r="111" spans="2:18" ht="15.5">
      <c r="B111" s="55"/>
      <c r="C111" s="917" t="s">
        <v>544</v>
      </c>
      <c r="D111" s="1014" t="s">
        <v>780</v>
      </c>
      <c r="E111" s="1014" t="s">
        <v>89</v>
      </c>
      <c r="F111" s="2413"/>
      <c r="G111" s="2413"/>
      <c r="H111" s="2413"/>
      <c r="I111" s="2413">
        <f>0.00422151168074551*(1/Unit.TWh)</f>
        <v>4.2215116807455101E-3</v>
      </c>
      <c r="J111" s="2413">
        <f>0.00422138378051199*(1/Unit.TWh)</f>
        <v>4.2213837805119897E-3</v>
      </c>
      <c r="K111" s="2413">
        <f>0.00422138378051199*(1/Unit.TWh)</f>
        <v>4.2213837805119897E-3</v>
      </c>
      <c r="L111" s="2413">
        <f>0.00422138378051199*(1/Unit.TWh)</f>
        <v>4.2213837805119897E-3</v>
      </c>
      <c r="M111" s="2413">
        <f>0.00422138378051199*(1/Unit.TWh)</f>
        <v>4.2213837805119897E-3</v>
      </c>
      <c r="N111" s="2413">
        <f>0.00422138378051199*(1/Unit.TWh)</f>
        <v>4.2213837805119897E-3</v>
      </c>
      <c r="O111" s="59"/>
      <c r="P111" s="389"/>
      <c r="Q111" s="389"/>
      <c r="R111" s="389"/>
    </row>
    <row r="112" spans="2:18" ht="15.5">
      <c r="B112" s="55"/>
      <c r="C112" s="47"/>
      <c r="D112" s="47"/>
      <c r="E112" s="67"/>
      <c r="F112" s="59" t="s">
        <v>5</v>
      </c>
      <c r="G112" s="60"/>
      <c r="H112" s="60"/>
      <c r="I112" s="60"/>
      <c r="J112" s="60"/>
      <c r="K112" s="60"/>
      <c r="L112" s="60"/>
      <c r="M112" s="60"/>
      <c r="N112" s="60"/>
      <c r="O112" s="59"/>
      <c r="P112" s="389"/>
      <c r="Q112" s="389"/>
      <c r="R112" s="389"/>
    </row>
    <row r="113" spans="1:49" ht="15.5">
      <c r="B113" s="55"/>
      <c r="C113" s="67"/>
      <c r="D113" s="195"/>
      <c r="E113" s="67"/>
      <c r="F113" s="59"/>
      <c r="G113" s="60"/>
      <c r="H113" s="60"/>
      <c r="I113" s="60"/>
      <c r="J113" s="60"/>
      <c r="K113" s="60"/>
      <c r="L113" s="60"/>
      <c r="M113" s="60"/>
      <c r="N113" s="60"/>
      <c r="O113" s="59"/>
      <c r="P113" s="389"/>
      <c r="Q113" s="389"/>
      <c r="R113" s="389"/>
    </row>
    <row r="114" spans="1:49" ht="15.5">
      <c r="B114" s="55"/>
      <c r="C114" s="3826" t="s">
        <v>63</v>
      </c>
      <c r="D114" s="195"/>
      <c r="E114" s="67"/>
      <c r="F114" s="67"/>
      <c r="G114" s="67"/>
      <c r="H114" s="67"/>
      <c r="I114" s="67"/>
      <c r="J114" s="67"/>
      <c r="K114" s="67"/>
      <c r="L114" s="67"/>
      <c r="M114" s="67"/>
      <c r="N114" s="67"/>
      <c r="O114" s="67"/>
      <c r="P114" s="389"/>
      <c r="Q114" s="389"/>
      <c r="R114" s="389"/>
    </row>
    <row r="115" spans="1:49" ht="15.5">
      <c r="B115" s="55"/>
      <c r="C115" s="3827" t="s">
        <v>64</v>
      </c>
      <c r="D115" s="3828" t="s">
        <v>1727</v>
      </c>
      <c r="E115" s="67"/>
      <c r="F115" s="67"/>
      <c r="G115" s="67"/>
      <c r="H115" s="67"/>
      <c r="I115" s="67"/>
      <c r="J115" s="67"/>
      <c r="K115" s="67"/>
      <c r="L115" s="67"/>
      <c r="M115" s="67"/>
      <c r="N115" s="67"/>
      <c r="O115" s="59"/>
      <c r="P115" s="389"/>
      <c r="Q115" s="389"/>
      <c r="R115" s="389"/>
    </row>
    <row r="116" spans="1:49" ht="15.5">
      <c r="B116" s="55"/>
      <c r="C116" s="3827" t="s">
        <v>66</v>
      </c>
      <c r="D116" s="3829" t="s">
        <v>1835</v>
      </c>
      <c r="E116" s="67"/>
      <c r="F116" s="67"/>
      <c r="G116" s="67"/>
      <c r="H116" s="67"/>
      <c r="I116" s="67"/>
      <c r="J116" s="67"/>
      <c r="K116" s="67"/>
      <c r="L116" s="67"/>
      <c r="M116" s="67"/>
      <c r="N116" s="67"/>
      <c r="O116" s="59"/>
      <c r="P116" s="389"/>
      <c r="Q116" s="389"/>
      <c r="R116" s="389"/>
    </row>
    <row r="117" spans="1:49" ht="15.5">
      <c r="B117" s="55"/>
      <c r="C117" s="3827"/>
      <c r="D117" s="3830" t="s">
        <v>784</v>
      </c>
      <c r="E117" s="67"/>
      <c r="F117" s="67"/>
      <c r="G117" s="67"/>
      <c r="H117" s="67"/>
      <c r="I117" s="67"/>
      <c r="J117" s="67"/>
      <c r="K117" s="67"/>
      <c r="L117" s="67"/>
      <c r="M117" s="67"/>
      <c r="N117" s="67"/>
      <c r="O117" s="59"/>
      <c r="P117" s="389"/>
      <c r="Q117" s="389"/>
      <c r="R117" s="389"/>
    </row>
    <row r="118" spans="1:49" ht="15.5">
      <c r="B118" s="55"/>
      <c r="C118" s="3827"/>
      <c r="D118" s="3830" t="s">
        <v>785</v>
      </c>
      <c r="E118" s="67"/>
      <c r="F118" s="67"/>
      <c r="G118" s="67"/>
      <c r="H118" s="67"/>
      <c r="I118" s="67"/>
      <c r="J118" s="67"/>
      <c r="K118" s="67"/>
      <c r="L118" s="67"/>
      <c r="M118" s="67"/>
      <c r="N118" s="67"/>
      <c r="O118" s="59"/>
      <c r="P118" s="389"/>
      <c r="Q118" s="389"/>
      <c r="R118" s="389"/>
    </row>
    <row r="119" spans="1:49" ht="15.5">
      <c r="B119" s="55"/>
      <c r="C119" s="3827" t="s">
        <v>105</v>
      </c>
      <c r="D119" s="3829" t="s">
        <v>1836</v>
      </c>
      <c r="E119" s="67"/>
      <c r="F119" s="67"/>
      <c r="G119" s="67"/>
      <c r="H119" s="67"/>
      <c r="I119" s="67"/>
      <c r="J119" s="67"/>
      <c r="K119" s="67"/>
      <c r="L119" s="67"/>
      <c r="M119" s="67"/>
      <c r="N119" s="67"/>
      <c r="O119" s="59"/>
      <c r="P119" s="389"/>
      <c r="Q119" s="389"/>
      <c r="R119" s="389"/>
    </row>
    <row r="120" spans="1:49" ht="15.5">
      <c r="B120" s="55"/>
      <c r="C120" s="3827" t="s">
        <v>79</v>
      </c>
      <c r="D120" s="3829" t="s">
        <v>786</v>
      </c>
      <c r="E120" s="67"/>
      <c r="F120" s="67"/>
      <c r="G120" s="67"/>
      <c r="H120" s="67"/>
      <c r="I120" s="67"/>
      <c r="J120" s="67"/>
      <c r="K120" s="67"/>
      <c r="L120" s="67"/>
      <c r="M120" s="67"/>
      <c r="N120" s="67"/>
      <c r="O120" s="59"/>
      <c r="P120" s="389"/>
      <c r="Q120" s="389"/>
      <c r="R120" s="389"/>
    </row>
    <row r="121" spans="1:49">
      <c r="B121" s="45"/>
      <c r="C121" s="3827"/>
      <c r="D121" s="3831" t="s">
        <v>787</v>
      </c>
      <c r="E121" s="67"/>
      <c r="F121" s="67"/>
      <c r="G121" s="67"/>
      <c r="H121" s="67"/>
      <c r="I121" s="67"/>
      <c r="J121" s="67"/>
      <c r="K121" s="67"/>
      <c r="L121" s="67"/>
      <c r="M121" s="67"/>
      <c r="N121" s="67"/>
      <c r="O121" s="67"/>
      <c r="P121" s="389"/>
      <c r="Q121" s="389"/>
      <c r="R121" s="389"/>
    </row>
    <row r="122" spans="1:49">
      <c r="B122" s="45"/>
      <c r="C122" s="3827"/>
      <c r="D122" s="3831" t="s">
        <v>788</v>
      </c>
      <c r="E122" s="67"/>
      <c r="F122" s="67"/>
      <c r="G122" s="67"/>
      <c r="H122" s="67"/>
      <c r="I122" s="67"/>
      <c r="J122" s="67"/>
      <c r="K122" s="67"/>
      <c r="L122" s="67"/>
      <c r="M122" s="67"/>
      <c r="N122" s="67"/>
      <c r="O122" s="67"/>
      <c r="P122" s="389"/>
      <c r="Q122" s="389"/>
      <c r="R122" s="389"/>
    </row>
    <row r="123" spans="1:49">
      <c r="B123" s="45"/>
      <c r="C123" s="3827"/>
      <c r="D123" s="3831" t="s">
        <v>1837</v>
      </c>
      <c r="E123" s="67"/>
      <c r="F123" s="67"/>
      <c r="G123" s="67"/>
      <c r="H123" s="67"/>
      <c r="I123" s="67"/>
      <c r="J123" s="67"/>
      <c r="K123" s="67"/>
      <c r="L123" s="67"/>
      <c r="M123" s="67"/>
      <c r="N123" s="67"/>
      <c r="O123" s="67"/>
      <c r="P123" s="389"/>
      <c r="Q123" s="389"/>
      <c r="R123" s="389"/>
    </row>
    <row r="124" spans="1:49">
      <c r="B124" s="45"/>
      <c r="C124" s="3827"/>
      <c r="D124" s="3831" t="s">
        <v>789</v>
      </c>
      <c r="E124" s="67"/>
      <c r="F124" s="67"/>
      <c r="G124" s="67"/>
      <c r="H124" s="67"/>
      <c r="I124" s="67"/>
      <c r="J124" s="67"/>
      <c r="K124" s="67"/>
      <c r="L124" s="67"/>
      <c r="M124" s="67"/>
      <c r="N124" s="67"/>
      <c r="O124" s="67"/>
      <c r="P124" s="389"/>
      <c r="Q124" s="389"/>
      <c r="R124" s="389"/>
    </row>
    <row r="125" spans="1:49">
      <c r="B125" s="45"/>
      <c r="C125" s="1064" t="s">
        <v>155</v>
      </c>
      <c r="D125" s="3829" t="s">
        <v>790</v>
      </c>
      <c r="E125" s="67"/>
      <c r="F125" s="67"/>
      <c r="G125" s="67"/>
      <c r="H125" s="67"/>
      <c r="I125" s="67"/>
      <c r="J125" s="67"/>
      <c r="K125" s="67"/>
      <c r="L125" s="67"/>
      <c r="M125" s="67"/>
      <c r="N125" s="67"/>
      <c r="O125" s="67"/>
      <c r="P125" s="389"/>
      <c r="Q125" s="389"/>
      <c r="R125" s="389"/>
    </row>
    <row r="126" spans="1:49">
      <c r="B126" s="45"/>
      <c r="C126" s="1065"/>
      <c r="D126" s="1065"/>
      <c r="E126" s="1065"/>
      <c r="F126" s="1065"/>
      <c r="G126" s="1065"/>
      <c r="H126" s="1065"/>
      <c r="I126" s="1065"/>
      <c r="J126" s="1065"/>
      <c r="K126" s="1065"/>
      <c r="L126" s="1065"/>
      <c r="M126" s="1065"/>
      <c r="N126" s="1065"/>
      <c r="O126" s="67"/>
      <c r="P126" s="389"/>
      <c r="Q126" s="389"/>
      <c r="R126" s="389"/>
    </row>
    <row r="127" spans="1:49">
      <c r="B127" s="868"/>
      <c r="P127" s="39"/>
    </row>
    <row r="128" spans="1:49" ht="23.5">
      <c r="A128" s="1066"/>
      <c r="B128" s="869" t="s">
        <v>2719</v>
      </c>
      <c r="C128" s="870"/>
      <c r="D128" s="870"/>
      <c r="E128" s="870"/>
      <c r="F128" s="870"/>
      <c r="G128" s="870"/>
      <c r="H128" s="870"/>
      <c r="I128" s="870"/>
      <c r="J128" s="870"/>
      <c r="K128" s="870"/>
      <c r="L128" s="870"/>
      <c r="M128" s="870"/>
      <c r="N128" s="870"/>
      <c r="O128" s="870"/>
      <c r="P128" s="647"/>
      <c r="Q128" s="647"/>
      <c r="R128" s="647"/>
      <c r="S128" s="647"/>
      <c r="T128" s="647"/>
      <c r="U128" s="647"/>
      <c r="V128" s="647"/>
      <c r="W128" s="647"/>
      <c r="X128" s="647"/>
      <c r="Y128" s="647"/>
      <c r="Z128" s="647"/>
      <c r="AA128" s="647"/>
      <c r="AB128" s="647"/>
      <c r="AC128" s="647"/>
      <c r="AD128" s="647"/>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66"/>
      <c r="B129" s="1067"/>
      <c r="C129" s="103"/>
      <c r="D129" s="103"/>
      <c r="E129" s="103"/>
      <c r="F129" s="103"/>
      <c r="G129" s="103"/>
      <c r="H129" s="103"/>
      <c r="I129" s="103"/>
      <c r="J129" s="103"/>
      <c r="K129" s="103"/>
      <c r="L129" s="103"/>
      <c r="M129" s="103"/>
      <c r="N129" s="103"/>
      <c r="O129" s="103"/>
      <c r="P129" s="647"/>
      <c r="Q129" s="647"/>
      <c r="R129" s="647"/>
      <c r="S129" s="647"/>
      <c r="T129" s="647"/>
      <c r="U129" s="647"/>
      <c r="V129" s="647"/>
      <c r="W129" s="647"/>
      <c r="X129" s="647"/>
      <c r="Y129" s="647"/>
      <c r="Z129" s="647"/>
      <c r="AA129" s="647"/>
      <c r="AB129" s="647"/>
      <c r="AC129" s="647"/>
      <c r="AD129" s="647"/>
      <c r="AE129" s="850"/>
      <c r="AF129" s="850"/>
      <c r="AG129" s="850"/>
      <c r="AH129" s="850"/>
      <c r="AI129" s="850"/>
      <c r="AJ129" s="850"/>
      <c r="AK129" s="850"/>
      <c r="AL129" s="850"/>
      <c r="AM129" s="850"/>
      <c r="AN129" s="850"/>
      <c r="AO129" s="850"/>
      <c r="AP129" s="850"/>
      <c r="AQ129" s="850"/>
      <c r="AR129" s="850"/>
      <c r="AS129" s="850"/>
      <c r="AT129" s="850"/>
      <c r="AU129" s="850"/>
      <c r="AV129" s="850"/>
      <c r="AW129" s="850"/>
    </row>
    <row r="130" spans="1:113" ht="16.5" hidden="1" customHeight="1">
      <c r="A130" s="39"/>
      <c r="B130" s="928"/>
      <c r="C130" s="49" t="s">
        <v>792</v>
      </c>
      <c r="D130" s="915"/>
      <c r="E130" s="932"/>
      <c r="F130" s="933"/>
      <c r="G130" s="934"/>
      <c r="H130" s="934"/>
      <c r="I130" s="934"/>
      <c r="J130" s="934"/>
      <c r="K130" s="934"/>
      <c r="L130" s="934"/>
      <c r="M130" s="934"/>
      <c r="N130" s="935" t="s">
        <v>2740</v>
      </c>
      <c r="O130" s="930"/>
      <c r="P130" s="647"/>
      <c r="Q130" s="647"/>
      <c r="R130" s="647"/>
      <c r="S130" s="647"/>
      <c r="T130" s="647"/>
      <c r="U130" s="647"/>
      <c r="V130" s="647"/>
      <c r="W130" s="647"/>
      <c r="X130" s="647"/>
      <c r="Y130" s="647"/>
      <c r="Z130" s="647"/>
      <c r="AA130" s="647"/>
      <c r="AB130" s="647"/>
      <c r="AC130" s="647"/>
      <c r="AD130" s="1068"/>
    </row>
    <row r="131" spans="1:113" ht="4.5" hidden="1" customHeight="1">
      <c r="A131" s="39"/>
      <c r="B131" s="928"/>
      <c r="C131" s="937"/>
      <c r="D131" s="915"/>
      <c r="E131" s="932"/>
      <c r="F131" s="933"/>
      <c r="G131" s="934"/>
      <c r="H131" s="934"/>
      <c r="I131" s="934"/>
      <c r="J131" s="934"/>
      <c r="K131" s="934"/>
      <c r="L131" s="934"/>
      <c r="M131" s="934"/>
      <c r="N131" s="67"/>
      <c r="O131" s="930"/>
      <c r="P131" s="647"/>
      <c r="Q131" s="647"/>
      <c r="R131" s="647"/>
      <c r="S131" s="647"/>
      <c r="T131" s="647"/>
      <c r="U131" s="647"/>
      <c r="V131" s="647"/>
      <c r="W131" s="647"/>
      <c r="X131" s="647"/>
      <c r="Y131" s="647"/>
      <c r="Z131" s="647"/>
      <c r="AA131" s="647"/>
      <c r="AB131" s="647"/>
      <c r="AC131" s="647"/>
      <c r="AD131" s="1068"/>
    </row>
    <row r="132" spans="1:113" ht="16.5" hidden="1" customHeight="1">
      <c r="B132" s="928"/>
      <c r="C132" s="1069" t="s">
        <v>793</v>
      </c>
      <c r="D132" s="1070"/>
      <c r="E132" s="971" t="s">
        <v>159</v>
      </c>
      <c r="F132" s="972">
        <v>2013</v>
      </c>
      <c r="G132" s="965">
        <v>2015</v>
      </c>
      <c r="H132" s="965">
        <v>2020</v>
      </c>
      <c r="I132" s="965">
        <v>2025</v>
      </c>
      <c r="J132" s="965">
        <v>2030</v>
      </c>
      <c r="K132" s="965">
        <v>2035</v>
      </c>
      <c r="L132" s="965">
        <v>2040</v>
      </c>
      <c r="M132" s="965">
        <v>2045</v>
      </c>
      <c r="N132" s="965">
        <v>2050</v>
      </c>
      <c r="O132" s="930"/>
      <c r="P132" s="647"/>
      <c r="Q132" s="647"/>
      <c r="R132" s="647"/>
      <c r="S132" s="647"/>
      <c r="T132" s="647"/>
      <c r="U132" s="647"/>
      <c r="V132" s="647"/>
      <c r="W132" s="647"/>
      <c r="X132" s="647"/>
      <c r="Y132" s="647"/>
      <c r="Z132" s="647"/>
      <c r="AA132" s="647"/>
      <c r="AB132" s="647"/>
      <c r="AC132" s="647"/>
      <c r="AD132" s="1068"/>
    </row>
    <row r="133" spans="1:113" ht="16.5" hidden="1" customHeight="1">
      <c r="B133" s="928"/>
      <c r="C133" s="967" t="s">
        <v>719</v>
      </c>
      <c r="D133" s="1070"/>
      <c r="E133" s="957"/>
      <c r="F133" s="1071"/>
      <c r="G133" s="1071"/>
      <c r="H133" s="1071"/>
      <c r="I133" s="1071"/>
      <c r="J133" s="1071"/>
      <c r="K133" s="1071"/>
      <c r="L133" s="1071"/>
      <c r="M133" s="1071"/>
      <c r="N133" s="1071"/>
      <c r="O133" s="930"/>
      <c r="P133" s="647"/>
      <c r="Q133" s="647"/>
      <c r="R133" s="647"/>
      <c r="S133" s="647"/>
      <c r="T133" s="647"/>
      <c r="U133" s="647"/>
      <c r="V133" s="647"/>
      <c r="W133" s="647"/>
      <c r="X133" s="647"/>
      <c r="Y133" s="647"/>
      <c r="Z133" s="647"/>
      <c r="AA133" s="647"/>
      <c r="AB133" s="647"/>
      <c r="AC133" s="647"/>
      <c r="AD133" s="1068"/>
    </row>
    <row r="134" spans="1:113" ht="16.5" hidden="1" customHeight="1">
      <c r="B134" s="928"/>
      <c r="C134" s="943" t="s">
        <v>720</v>
      </c>
      <c r="D134" s="915"/>
      <c r="E134" s="944"/>
      <c r="F134" s="945"/>
      <c r="G134" s="945"/>
      <c r="H134" s="945"/>
      <c r="I134" s="945"/>
      <c r="J134" s="945"/>
      <c r="K134" s="945"/>
      <c r="L134" s="945"/>
      <c r="M134" s="945"/>
      <c r="N134" s="945"/>
      <c r="O134" s="930"/>
      <c r="P134" s="647"/>
      <c r="Q134" s="647"/>
      <c r="R134" s="647"/>
      <c r="S134" s="647"/>
      <c r="T134" s="647"/>
      <c r="U134" s="647"/>
      <c r="V134" s="647"/>
      <c r="W134" s="647"/>
      <c r="X134" s="647"/>
      <c r="Y134" s="647"/>
      <c r="Z134" s="647"/>
      <c r="AA134" s="647"/>
      <c r="AB134" s="647"/>
      <c r="AC134" s="647"/>
      <c r="AD134" s="1068"/>
    </row>
    <row r="135" spans="1:113" ht="16.5" hidden="1" customHeight="1">
      <c r="B135" s="928"/>
      <c r="C135" s="947" t="s">
        <v>721</v>
      </c>
      <c r="D135" s="948"/>
      <c r="E135" s="949"/>
      <c r="F135" s="950"/>
      <c r="G135" s="950"/>
      <c r="H135" s="950"/>
      <c r="I135" s="950"/>
      <c r="J135" s="950"/>
      <c r="K135" s="950"/>
      <c r="L135" s="950"/>
      <c r="M135" s="950"/>
      <c r="N135" s="950"/>
      <c r="O135" s="930"/>
      <c r="P135" s="647"/>
      <c r="Q135" s="647"/>
      <c r="R135" s="647"/>
      <c r="S135" s="647"/>
      <c r="T135" s="647"/>
      <c r="U135" s="647"/>
      <c r="V135" s="647"/>
      <c r="W135" s="647"/>
      <c r="X135" s="647"/>
      <c r="Y135" s="647"/>
      <c r="Z135" s="647"/>
      <c r="AA135" s="647"/>
      <c r="AB135" s="647"/>
      <c r="AC135" s="647"/>
      <c r="AD135" s="1068"/>
    </row>
    <row r="136" spans="1:113" ht="16.5" hidden="1" customHeight="1">
      <c r="B136" s="928"/>
      <c r="C136" s="937"/>
      <c r="D136" s="915"/>
      <c r="E136" s="932"/>
      <c r="F136" s="933"/>
      <c r="G136" s="934"/>
      <c r="H136" s="934"/>
      <c r="I136" s="934"/>
      <c r="J136" s="934"/>
      <c r="K136" s="934"/>
      <c r="L136" s="934"/>
      <c r="M136" s="934"/>
      <c r="N136" s="935"/>
      <c r="O136" s="930"/>
      <c r="P136" s="647"/>
      <c r="Q136" s="647"/>
      <c r="R136" s="647"/>
      <c r="S136" s="647"/>
      <c r="T136" s="647"/>
      <c r="U136" s="647"/>
      <c r="V136" s="647"/>
      <c r="W136" s="647"/>
      <c r="X136" s="647"/>
      <c r="Y136" s="647"/>
      <c r="Z136" s="647"/>
      <c r="AA136" s="647"/>
      <c r="AB136" s="647"/>
      <c r="AC136" s="647"/>
      <c r="AD136" s="1068"/>
    </row>
    <row r="137" spans="1:113" s="6" customFormat="1" ht="16.5" hidden="1" customHeight="1">
      <c r="A137"/>
      <c r="B137" s="946"/>
      <c r="C137" s="1069" t="s">
        <v>794</v>
      </c>
      <c r="D137" s="1070"/>
      <c r="E137" s="971"/>
      <c r="F137" s="972"/>
      <c r="G137" s="965"/>
      <c r="H137" s="965"/>
      <c r="I137" s="965"/>
      <c r="J137" s="965"/>
      <c r="K137" s="965"/>
      <c r="L137" s="965"/>
      <c r="M137" s="965"/>
      <c r="N137" s="965"/>
      <c r="O137" s="1048"/>
      <c r="P137" s="647"/>
      <c r="Q137" s="647"/>
      <c r="R137" s="647"/>
      <c r="S137" s="647"/>
      <c r="T137" s="647"/>
      <c r="U137" s="647"/>
      <c r="V137" s="647"/>
      <c r="W137" s="647"/>
      <c r="X137" s="647"/>
      <c r="Y137" s="647"/>
      <c r="Z137" s="647"/>
      <c r="AA137" s="647"/>
      <c r="AB137" s="647"/>
      <c r="AC137" s="647"/>
      <c r="AD137" s="1068"/>
      <c r="AE137"/>
      <c r="AF137"/>
      <c r="AG137"/>
      <c r="AH137"/>
      <c r="AI137"/>
      <c r="AJ137"/>
      <c r="AK137"/>
      <c r="AL137"/>
      <c r="AM137"/>
      <c r="AN137"/>
      <c r="AO137"/>
      <c r="AP137"/>
      <c r="AQ137"/>
      <c r="AR137"/>
      <c r="AS137"/>
      <c r="AT137"/>
      <c r="AU137"/>
      <c r="AV137"/>
      <c r="AW137"/>
    </row>
    <row r="138" spans="1:113" s="6" customFormat="1" ht="16.5" hidden="1" customHeight="1">
      <c r="A138"/>
      <c r="B138" s="946"/>
      <c r="C138" s="967" t="s">
        <v>719</v>
      </c>
      <c r="D138" s="1070"/>
      <c r="E138" s="957"/>
      <c r="F138" s="1071"/>
      <c r="G138" s="1071"/>
      <c r="H138" s="1071"/>
      <c r="I138" s="1071"/>
      <c r="J138" s="1071"/>
      <c r="K138" s="1071"/>
      <c r="L138" s="1071"/>
      <c r="M138" s="1071"/>
      <c r="N138" s="1071"/>
      <c r="O138" s="1048"/>
      <c r="P138" s="647"/>
      <c r="Q138" s="647"/>
      <c r="R138" s="647"/>
      <c r="S138" s="647"/>
      <c r="T138" s="647"/>
      <c r="U138" s="647"/>
      <c r="V138" s="647"/>
      <c r="W138" s="647"/>
      <c r="X138" s="647"/>
      <c r="Y138" s="647"/>
      <c r="Z138" s="647"/>
      <c r="AA138" s="647"/>
      <c r="AB138" s="647"/>
      <c r="AC138" s="647"/>
      <c r="AD138" s="106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51"/>
      <c r="C139" s="943" t="s">
        <v>720</v>
      </c>
      <c r="D139" s="915"/>
      <c r="E139" s="944"/>
      <c r="F139" s="945"/>
      <c r="G139" s="945"/>
      <c r="H139" s="945"/>
      <c r="I139" s="945"/>
      <c r="J139" s="945"/>
      <c r="K139" s="945"/>
      <c r="L139" s="945"/>
      <c r="M139" s="945"/>
      <c r="N139" s="945"/>
      <c r="O139" s="1072"/>
      <c r="P139" s="647"/>
      <c r="Q139" s="647"/>
      <c r="R139" s="647"/>
      <c r="S139" s="647"/>
      <c r="T139" s="647"/>
      <c r="U139" s="647"/>
      <c r="V139" s="647"/>
      <c r="W139" s="647"/>
      <c r="X139" s="647"/>
      <c r="Y139" s="647"/>
      <c r="Z139" s="647"/>
      <c r="AA139" s="647"/>
      <c r="AB139" s="647"/>
      <c r="AC139" s="647"/>
      <c r="AD139" s="1068"/>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51"/>
      <c r="C140" s="947" t="s">
        <v>721</v>
      </c>
      <c r="D140" s="948"/>
      <c r="E140" s="949"/>
      <c r="F140" s="950"/>
      <c r="G140" s="950"/>
      <c r="H140" s="950"/>
      <c r="I140" s="950"/>
      <c r="J140" s="950"/>
      <c r="K140" s="950"/>
      <c r="L140" s="950"/>
      <c r="M140" s="950"/>
      <c r="N140" s="950"/>
      <c r="O140" s="1072"/>
      <c r="P140" s="647"/>
      <c r="Q140" s="647"/>
      <c r="R140" s="647"/>
      <c r="S140" s="647"/>
      <c r="T140" s="647"/>
      <c r="U140" s="647"/>
      <c r="V140" s="647"/>
      <c r="W140" s="647"/>
      <c r="X140" s="647"/>
      <c r="Y140" s="647"/>
      <c r="Z140" s="647"/>
      <c r="AA140" s="647"/>
      <c r="AB140" s="647"/>
      <c r="AC140" s="647"/>
      <c r="AD140" s="1068"/>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51"/>
      <c r="C141" s="937"/>
      <c r="D141" s="915"/>
      <c r="E141" s="932"/>
      <c r="F141" s="933"/>
      <c r="G141" s="934"/>
      <c r="H141" s="934"/>
      <c r="I141" s="934"/>
      <c r="J141" s="934"/>
      <c r="K141" s="934"/>
      <c r="L141" s="934"/>
      <c r="M141" s="934"/>
      <c r="N141" s="67"/>
      <c r="O141" s="1072"/>
      <c r="P141" s="647"/>
      <c r="Q141" s="647"/>
      <c r="R141" s="647"/>
      <c r="S141" s="647"/>
      <c r="T141" s="647"/>
      <c r="U141" s="647"/>
      <c r="V141" s="647"/>
      <c r="W141" s="647"/>
      <c r="X141" s="647"/>
      <c r="Y141" s="647"/>
      <c r="Z141" s="647"/>
      <c r="AA141" s="647"/>
      <c r="AB141" s="647"/>
      <c r="AC141" s="647"/>
      <c r="AD141" s="1068"/>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51"/>
      <c r="C142" s="49" t="s">
        <v>795</v>
      </c>
      <c r="D142" s="915"/>
      <c r="E142" s="932"/>
      <c r="F142" s="933"/>
      <c r="G142" s="934"/>
      <c r="H142" s="934"/>
      <c r="I142" s="934"/>
      <c r="J142" s="934"/>
      <c r="K142" s="934"/>
      <c r="L142" s="934"/>
      <c r="M142" s="934"/>
      <c r="N142" s="935"/>
      <c r="O142" s="1072"/>
      <c r="P142" s="647"/>
      <c r="Q142" s="647"/>
      <c r="R142" s="647"/>
      <c r="S142" s="647"/>
      <c r="T142" s="647"/>
      <c r="U142" s="647"/>
      <c r="V142" s="647"/>
      <c r="W142" s="647"/>
      <c r="X142" s="647"/>
      <c r="Y142" s="647"/>
      <c r="Z142" s="647"/>
      <c r="AA142" s="647"/>
      <c r="AB142" s="647"/>
      <c r="AC142" s="647"/>
      <c r="AD142" s="1068"/>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51"/>
      <c r="C143" s="937"/>
      <c r="D143" s="915"/>
      <c r="E143" s="932"/>
      <c r="F143" s="933"/>
      <c r="G143" s="934"/>
      <c r="H143" s="934"/>
      <c r="I143" s="934"/>
      <c r="J143" s="934"/>
      <c r="K143" s="934"/>
      <c r="L143" s="934"/>
      <c r="M143" s="934"/>
      <c r="N143" s="67"/>
      <c r="O143" s="1072"/>
      <c r="P143" s="647"/>
      <c r="Q143" s="647"/>
      <c r="R143" s="647"/>
      <c r="S143" s="647"/>
      <c r="T143" s="647"/>
      <c r="U143" s="647"/>
      <c r="V143" s="647"/>
      <c r="W143" s="647"/>
      <c r="X143" s="647"/>
      <c r="Y143" s="647"/>
      <c r="Z143" s="647"/>
      <c r="AA143" s="647"/>
      <c r="AB143" s="647"/>
      <c r="AC143" s="647"/>
      <c r="AD143" s="1068"/>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51"/>
      <c r="C144" s="1069" t="s">
        <v>793</v>
      </c>
      <c r="D144" s="1070"/>
      <c r="E144" s="971"/>
      <c r="F144" s="972"/>
      <c r="G144" s="965"/>
      <c r="H144" s="965"/>
      <c r="I144" s="965"/>
      <c r="J144" s="965"/>
      <c r="K144" s="965"/>
      <c r="L144" s="965"/>
      <c r="M144" s="965"/>
      <c r="N144" s="965"/>
      <c r="O144" s="1072"/>
      <c r="P144" s="647"/>
      <c r="Q144" s="647"/>
      <c r="R144" s="647"/>
      <c r="S144" s="647"/>
      <c r="T144" s="647"/>
      <c r="U144" s="647"/>
      <c r="V144" s="647"/>
      <c r="W144" s="647"/>
      <c r="X144" s="647"/>
      <c r="Y144" s="647"/>
      <c r="Z144" s="647"/>
      <c r="AA144" s="647"/>
      <c r="AB144" s="647"/>
      <c r="AC144" s="647"/>
      <c r="AD144" s="1068"/>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51"/>
      <c r="C145" s="967" t="s">
        <v>719</v>
      </c>
      <c r="D145" s="1070"/>
      <c r="E145" s="957"/>
      <c r="F145" s="1071"/>
      <c r="G145" s="1071"/>
      <c r="H145" s="1071"/>
      <c r="I145" s="1071"/>
      <c r="J145" s="1071"/>
      <c r="K145" s="1071"/>
      <c r="L145" s="1071"/>
      <c r="M145" s="1071"/>
      <c r="N145" s="1071"/>
      <c r="O145" s="1072"/>
      <c r="P145" s="647"/>
      <c r="Q145" s="647"/>
      <c r="R145" s="647"/>
      <c r="S145" s="647"/>
      <c r="T145" s="647"/>
      <c r="U145" s="647"/>
      <c r="V145" s="647"/>
      <c r="W145" s="647"/>
      <c r="X145" s="647"/>
      <c r="Y145" s="647"/>
      <c r="Z145" s="647"/>
      <c r="AA145" s="647"/>
      <c r="AB145" s="647"/>
      <c r="AC145" s="647"/>
      <c r="AD145" s="1068"/>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51"/>
      <c r="C146" s="943" t="s">
        <v>720</v>
      </c>
      <c r="D146" s="915"/>
      <c r="E146" s="944"/>
      <c r="F146" s="945"/>
      <c r="G146" s="945"/>
      <c r="H146" s="945"/>
      <c r="I146" s="945"/>
      <c r="J146" s="945"/>
      <c r="K146" s="945"/>
      <c r="L146" s="945"/>
      <c r="M146" s="945"/>
      <c r="N146" s="945"/>
      <c r="O146" s="1072"/>
      <c r="P146" s="647"/>
      <c r="Q146" s="647"/>
      <c r="R146" s="647"/>
      <c r="S146" s="647"/>
      <c r="T146" s="647"/>
      <c r="U146" s="647"/>
      <c r="V146" s="647"/>
      <c r="W146" s="647"/>
      <c r="X146" s="647"/>
      <c r="Y146" s="647"/>
      <c r="Z146" s="647"/>
      <c r="AA146" s="647"/>
      <c r="AB146" s="647"/>
      <c r="AC146" s="647"/>
      <c r="AD146" s="1068"/>
    </row>
    <row r="147" spans="1:113" ht="16.5" hidden="1" customHeight="1">
      <c r="B147" s="951"/>
      <c r="C147" s="947" t="s">
        <v>721</v>
      </c>
      <c r="D147" s="948"/>
      <c r="E147" s="949"/>
      <c r="F147" s="950"/>
      <c r="G147" s="950"/>
      <c r="H147" s="950"/>
      <c r="I147" s="950"/>
      <c r="J147" s="950"/>
      <c r="K147" s="950"/>
      <c r="L147" s="950"/>
      <c r="M147" s="950"/>
      <c r="N147" s="950"/>
      <c r="O147" s="1072"/>
      <c r="P147" s="647"/>
      <c r="Q147" s="647"/>
      <c r="R147" s="647"/>
      <c r="S147" s="647"/>
      <c r="T147" s="647"/>
      <c r="U147" s="647"/>
      <c r="V147" s="647"/>
      <c r="W147" s="647"/>
      <c r="X147" s="647"/>
      <c r="Y147" s="647"/>
      <c r="Z147" s="647"/>
      <c r="AA147" s="647"/>
      <c r="AB147" s="647"/>
      <c r="AC147" s="647"/>
      <c r="AD147" s="1068"/>
    </row>
    <row r="148" spans="1:113" ht="16.5" hidden="1" customHeight="1">
      <c r="B148" s="951"/>
      <c r="C148" s="47"/>
      <c r="D148" s="47"/>
      <c r="E148" s="47"/>
      <c r="F148" s="47"/>
      <c r="G148" s="47"/>
      <c r="H148" s="47"/>
      <c r="I148" s="47"/>
      <c r="J148" s="47"/>
      <c r="K148" s="47"/>
      <c r="L148" s="47"/>
      <c r="M148" s="47"/>
      <c r="N148" s="935"/>
      <c r="O148" s="1072"/>
      <c r="P148" s="647"/>
      <c r="Q148" s="647"/>
      <c r="R148" s="647"/>
      <c r="S148" s="647"/>
      <c r="T148" s="647"/>
      <c r="U148" s="647"/>
      <c r="V148" s="647"/>
      <c r="W148" s="647"/>
      <c r="X148" s="647"/>
      <c r="Y148" s="647"/>
      <c r="Z148" s="647"/>
      <c r="AA148" s="647"/>
      <c r="AB148" s="647"/>
      <c r="AC148" s="647"/>
      <c r="AD148" s="1068"/>
    </row>
    <row r="149" spans="1:113" ht="16.5" hidden="1" customHeight="1">
      <c r="B149" s="951"/>
      <c r="C149" s="1069" t="s">
        <v>794</v>
      </c>
      <c r="D149" s="1070"/>
      <c r="E149" s="971"/>
      <c r="F149" s="972"/>
      <c r="G149" s="965"/>
      <c r="H149" s="965"/>
      <c r="I149" s="965"/>
      <c r="J149" s="965"/>
      <c r="K149" s="965"/>
      <c r="L149" s="965"/>
      <c r="M149" s="965"/>
      <c r="N149" s="965"/>
      <c r="O149" s="1072"/>
      <c r="P149" s="647"/>
      <c r="Q149" s="647"/>
      <c r="R149" s="647"/>
      <c r="S149" s="647"/>
      <c r="T149" s="647"/>
      <c r="U149" s="647"/>
      <c r="V149" s="647"/>
      <c r="W149" s="647"/>
      <c r="X149" s="647"/>
      <c r="Y149" s="647"/>
      <c r="Z149" s="647"/>
      <c r="AA149" s="647"/>
      <c r="AB149" s="647"/>
      <c r="AC149" s="647"/>
      <c r="AD149" s="1068"/>
    </row>
    <row r="150" spans="1:113" ht="16.5" hidden="1" customHeight="1">
      <c r="B150" s="951"/>
      <c r="C150" s="967" t="s">
        <v>719</v>
      </c>
      <c r="D150" s="1070"/>
      <c r="E150" s="957"/>
      <c r="F150" s="1071"/>
      <c r="G150" s="1071"/>
      <c r="H150" s="1071"/>
      <c r="I150" s="1071"/>
      <c r="J150" s="1071"/>
      <c r="K150" s="1071"/>
      <c r="L150" s="1071"/>
      <c r="M150" s="1071"/>
      <c r="N150" s="1071"/>
      <c r="O150" s="1072"/>
      <c r="P150" s="647"/>
      <c r="Q150" s="647"/>
      <c r="R150" s="647"/>
      <c r="S150" s="647"/>
      <c r="T150" s="647"/>
      <c r="U150" s="647"/>
      <c r="V150" s="647"/>
      <c r="W150" s="647"/>
      <c r="X150" s="647"/>
      <c r="Y150" s="647"/>
      <c r="Z150" s="647"/>
      <c r="AA150" s="647"/>
      <c r="AB150" s="647"/>
      <c r="AC150" s="647"/>
      <c r="AD150" s="1068"/>
    </row>
    <row r="151" spans="1:113" ht="16.5" hidden="1" customHeight="1">
      <c r="B151" s="951"/>
      <c r="C151" s="943" t="s">
        <v>720</v>
      </c>
      <c r="D151" s="915"/>
      <c r="E151" s="944"/>
      <c r="F151" s="945"/>
      <c r="G151" s="945"/>
      <c r="H151" s="945"/>
      <c r="I151" s="945"/>
      <c r="J151" s="945"/>
      <c r="K151" s="945"/>
      <c r="L151" s="945"/>
      <c r="M151" s="945"/>
      <c r="N151" s="945"/>
      <c r="O151" s="1072"/>
      <c r="P151" s="647"/>
      <c r="Q151" s="647"/>
      <c r="R151" s="647"/>
      <c r="S151" s="647"/>
      <c r="T151" s="647"/>
      <c r="U151" s="647"/>
      <c r="V151" s="647"/>
      <c r="W151" s="647"/>
      <c r="X151" s="647"/>
      <c r="Y151" s="647"/>
      <c r="Z151" s="647"/>
      <c r="AA151" s="647"/>
      <c r="AB151" s="647"/>
      <c r="AC151" s="647"/>
      <c r="AD151" s="1068"/>
    </row>
    <row r="152" spans="1:113" ht="16.5" hidden="1" customHeight="1">
      <c r="B152" s="951"/>
      <c r="C152" s="947" t="s">
        <v>721</v>
      </c>
      <c r="D152" s="948"/>
      <c r="E152" s="949"/>
      <c r="F152" s="950"/>
      <c r="G152" s="950"/>
      <c r="H152" s="950"/>
      <c r="I152" s="950"/>
      <c r="J152" s="950"/>
      <c r="K152" s="950"/>
      <c r="L152" s="950"/>
      <c r="M152" s="950"/>
      <c r="N152" s="950"/>
      <c r="O152" s="1072"/>
      <c r="P152" s="647"/>
      <c r="Q152" s="647"/>
      <c r="R152" s="647"/>
      <c r="S152" s="647"/>
      <c r="T152" s="647"/>
      <c r="U152" s="647"/>
      <c r="V152" s="647"/>
      <c r="W152" s="647"/>
      <c r="X152" s="647"/>
      <c r="Y152" s="647"/>
      <c r="Z152" s="647"/>
      <c r="AA152" s="647"/>
      <c r="AB152" s="647"/>
      <c r="AC152" s="647"/>
      <c r="AD152" s="1068"/>
    </row>
    <row r="153" spans="1:113" ht="15" hidden="1" customHeight="1">
      <c r="B153" s="951"/>
      <c r="C153" s="47"/>
      <c r="D153" s="47"/>
      <c r="E153" s="47"/>
      <c r="F153" s="47"/>
      <c r="G153" s="47"/>
      <c r="H153" s="47"/>
      <c r="I153" s="47"/>
      <c r="J153" s="47"/>
      <c r="K153" s="47"/>
      <c r="L153" s="47"/>
      <c r="M153" s="47"/>
      <c r="N153" s="47"/>
      <c r="O153" s="1072"/>
      <c r="P153" s="647"/>
      <c r="Q153" s="647"/>
      <c r="R153" s="647"/>
      <c r="S153" s="647"/>
      <c r="T153" s="647"/>
      <c r="U153" s="647"/>
      <c r="V153" s="647"/>
      <c r="W153" s="647"/>
      <c r="X153" s="647"/>
      <c r="Y153" s="647"/>
      <c r="Z153" s="647"/>
      <c r="AA153" s="647"/>
      <c r="AB153" s="647"/>
      <c r="AC153" s="647"/>
      <c r="AD153" s="1068"/>
    </row>
    <row r="154" spans="1:113">
      <c r="A154" s="39"/>
      <c r="B154" s="1073"/>
      <c r="C154" s="39"/>
      <c r="D154" s="39"/>
      <c r="E154" s="39"/>
      <c r="F154" s="39"/>
      <c r="G154" s="39"/>
      <c r="H154" s="39"/>
      <c r="I154" s="39"/>
      <c r="J154" s="39"/>
      <c r="K154" s="39"/>
      <c r="L154" s="39"/>
      <c r="M154" s="39"/>
      <c r="N154" s="39"/>
      <c r="O154" s="1074"/>
      <c r="P154" s="1068"/>
      <c r="Q154" s="1075"/>
      <c r="R154" s="510"/>
      <c r="S154" s="1076"/>
      <c r="T154" s="1077"/>
      <c r="U154" s="1077"/>
      <c r="V154" s="1078"/>
      <c r="W154" s="1074"/>
      <c r="X154" s="1074"/>
      <c r="Y154" s="1074"/>
      <c r="Z154" s="1074"/>
      <c r="AA154" s="1074"/>
      <c r="AB154" s="1074"/>
      <c r="AC154" s="1074"/>
      <c r="AD154" s="1068"/>
    </row>
    <row r="155" spans="1:113" ht="15">
      <c r="A155" s="39"/>
      <c r="B155" s="869" t="s">
        <v>177</v>
      </c>
      <c r="C155" s="870"/>
      <c r="D155" s="870"/>
      <c r="E155" s="870"/>
      <c r="F155" s="870"/>
      <c r="G155" s="870"/>
      <c r="H155" s="870"/>
      <c r="I155" s="870"/>
      <c r="J155" s="870"/>
      <c r="K155" s="870"/>
      <c r="L155" s="870"/>
      <c r="M155" s="870"/>
      <c r="N155" s="870"/>
      <c r="O155" s="871"/>
      <c r="P155" s="6"/>
      <c r="Q155" s="1079"/>
      <c r="R155" s="510"/>
      <c r="S155" s="1076"/>
      <c r="T155" s="1077"/>
      <c r="U155" s="1077"/>
      <c r="V155" s="1078"/>
      <c r="W155" s="1074"/>
      <c r="X155" s="1074"/>
      <c r="Y155" s="1074"/>
      <c r="Z155" s="1074"/>
      <c r="AA155" s="1074"/>
      <c r="AB155" s="1074"/>
      <c r="AC155" s="1074"/>
      <c r="AD155" s="1068"/>
    </row>
    <row r="156" spans="1:113">
      <c r="A156" s="39"/>
      <c r="B156" s="1080"/>
      <c r="C156" s="1048"/>
      <c r="D156" s="1048"/>
      <c r="E156" s="1048"/>
      <c r="F156" s="1048"/>
      <c r="G156" s="1048"/>
      <c r="H156" s="1048"/>
      <c r="I156" s="1048"/>
      <c r="J156" s="1048"/>
      <c r="K156" s="1048"/>
      <c r="L156" s="1048"/>
      <c r="M156" s="1048"/>
      <c r="N156" s="1048"/>
      <c r="O156" s="1081"/>
      <c r="P156" s="6"/>
      <c r="Q156" s="1075"/>
      <c r="R156" s="510"/>
      <c r="S156" s="1076"/>
      <c r="T156" s="1077"/>
      <c r="U156" s="1077"/>
      <c r="V156" s="1078"/>
      <c r="W156" s="1074"/>
      <c r="X156" s="1074"/>
      <c r="Y156" s="1074"/>
      <c r="Z156" s="1074"/>
      <c r="AA156" s="1074"/>
      <c r="AB156" s="1074"/>
      <c r="AC156" s="1074"/>
      <c r="AD156" s="1068"/>
    </row>
    <row r="157" spans="1:113" ht="16.5" customHeight="1">
      <c r="A157" s="39"/>
      <c r="B157" s="105"/>
      <c r="C157" s="49" t="s">
        <v>796</v>
      </c>
      <c r="D157" s="67"/>
      <c r="E157" s="67"/>
      <c r="F157" s="67"/>
      <c r="G157" s="67"/>
      <c r="H157" s="67"/>
      <c r="I157" s="67"/>
      <c r="J157" s="67"/>
      <c r="K157" s="67"/>
      <c r="L157" s="67"/>
      <c r="M157" s="67"/>
      <c r="N157" s="67"/>
      <c r="O157" s="876"/>
      <c r="Q157" s="1075"/>
      <c r="R157" s="510"/>
      <c r="S157" s="1076"/>
      <c r="T157" s="207"/>
      <c r="U157" s="1082"/>
      <c r="V157" s="1082"/>
      <c r="W157" s="1082"/>
      <c r="X157" s="1082"/>
      <c r="Y157" s="1082"/>
      <c r="Z157" s="1082"/>
      <c r="AA157" s="1082"/>
      <c r="AB157" s="1082"/>
      <c r="AC157" s="1082"/>
      <c r="AD157" s="1068"/>
    </row>
    <row r="158" spans="1:113" ht="4.5" customHeight="1">
      <c r="A158" s="39"/>
      <c r="B158" s="105"/>
      <c r="C158" s="49"/>
      <c r="D158" s="67"/>
      <c r="E158" s="67"/>
      <c r="F158" s="67"/>
      <c r="G158" s="67"/>
      <c r="H158" s="67"/>
      <c r="I158" s="67"/>
      <c r="J158" s="67"/>
      <c r="K158" s="67"/>
      <c r="L158" s="67"/>
      <c r="M158" s="67"/>
      <c r="N158" s="67"/>
      <c r="O158" s="876"/>
      <c r="Q158" s="4330"/>
      <c r="R158" s="510"/>
      <c r="S158" s="1076"/>
      <c r="T158" s="1077"/>
      <c r="U158" s="1077"/>
      <c r="V158" s="1078"/>
      <c r="W158" s="1078"/>
      <c r="X158" s="1078"/>
      <c r="Y158" s="1078"/>
      <c r="Z158" s="1078"/>
      <c r="AA158" s="1078"/>
      <c r="AB158" s="1078"/>
      <c r="AC158" s="1074"/>
      <c r="AD158" s="1068"/>
    </row>
    <row r="159" spans="1:113" ht="16.5" customHeight="1">
      <c r="A159" s="39"/>
      <c r="B159" s="105"/>
      <c r="C159" s="878" t="s">
        <v>8</v>
      </c>
      <c r="D159" s="878" t="s">
        <v>71</v>
      </c>
      <c r="E159" s="878" t="s">
        <v>30</v>
      </c>
      <c r="F159" s="879">
        <v>2013</v>
      </c>
      <c r="G159" s="87">
        <v>2015</v>
      </c>
      <c r="H159" s="87">
        <v>2020</v>
      </c>
      <c r="I159" s="87">
        <v>2025</v>
      </c>
      <c r="J159" s="87">
        <v>2030</v>
      </c>
      <c r="K159" s="87">
        <v>2035</v>
      </c>
      <c r="L159" s="87">
        <v>2040</v>
      </c>
      <c r="M159" s="87">
        <v>2045</v>
      </c>
      <c r="N159" s="87">
        <v>2050</v>
      </c>
      <c r="O159" s="876"/>
      <c r="Q159" s="4330"/>
      <c r="R159" s="510"/>
      <c r="S159" s="1076"/>
      <c r="T159" s="1077"/>
      <c r="U159" s="1077"/>
      <c r="V159" s="1078"/>
      <c r="W159" s="1078"/>
      <c r="X159" s="1078"/>
      <c r="Y159" s="1078"/>
      <c r="Z159" s="1078"/>
      <c r="AA159" s="1078"/>
      <c r="AB159" s="1078"/>
      <c r="AC159" s="1074"/>
      <c r="AD159" s="1068"/>
    </row>
    <row r="160" spans="1:113" ht="16.5" customHeight="1">
      <c r="A160" s="39"/>
      <c r="B160" s="105"/>
      <c r="C160" s="1083" t="s">
        <v>97</v>
      </c>
      <c r="D160" s="1084" t="s">
        <v>765</v>
      </c>
      <c r="E160" s="1025"/>
      <c r="F160" s="1025"/>
      <c r="G160" s="1025"/>
      <c r="H160" s="1025"/>
      <c r="I160" s="1085">
        <f t="shared" ref="I160:N161" si="5">$F$30*I35</f>
        <v>0.7</v>
      </c>
      <c r="J160" s="1085">
        <f t="shared" si="5"/>
        <v>0.5</v>
      </c>
      <c r="K160" s="1085">
        <f t="shared" si="5"/>
        <v>0.3</v>
      </c>
      <c r="L160" s="1085">
        <f t="shared" si="5"/>
        <v>0.3</v>
      </c>
      <c r="M160" s="1085">
        <f t="shared" si="5"/>
        <v>0.3</v>
      </c>
      <c r="N160" s="1085">
        <f t="shared" si="5"/>
        <v>0.3</v>
      </c>
      <c r="O160" s="876"/>
      <c r="Q160" s="4330"/>
      <c r="R160" s="510"/>
      <c r="S160" s="1076"/>
      <c r="T160" s="1077"/>
      <c r="U160" s="1077"/>
      <c r="V160" s="1078"/>
      <c r="W160" s="1078"/>
      <c r="X160" s="1078"/>
      <c r="Y160" s="1078"/>
      <c r="Z160" s="1078"/>
      <c r="AA160" s="1078"/>
      <c r="AB160" s="1078"/>
      <c r="AC160" s="1074"/>
      <c r="AD160" s="1068"/>
    </row>
    <row r="161" spans="1:49">
      <c r="A161" s="39"/>
      <c r="B161" s="105"/>
      <c r="C161" s="65" t="s">
        <v>97</v>
      </c>
      <c r="D161" s="1032" t="s">
        <v>766</v>
      </c>
      <c r="E161" s="59"/>
      <c r="F161" s="59"/>
      <c r="G161" s="59"/>
      <c r="H161" s="59"/>
      <c r="I161" s="1086">
        <f t="shared" si="5"/>
        <v>0.3</v>
      </c>
      <c r="J161" s="1086">
        <f t="shared" si="5"/>
        <v>0.5</v>
      </c>
      <c r="K161" s="1086">
        <f t="shared" si="5"/>
        <v>0.7</v>
      </c>
      <c r="L161" s="1086">
        <f t="shared" si="5"/>
        <v>0.7</v>
      </c>
      <c r="M161" s="1086">
        <f t="shared" si="5"/>
        <v>0.7</v>
      </c>
      <c r="N161" s="1086">
        <f t="shared" si="5"/>
        <v>0.7</v>
      </c>
      <c r="O161" s="876"/>
      <c r="Q161" s="4330"/>
      <c r="R161" s="510"/>
      <c r="S161" s="1076"/>
      <c r="T161" s="1077"/>
      <c r="U161" s="1077"/>
      <c r="V161" s="1078"/>
      <c r="W161" s="1078"/>
      <c r="X161" s="1078"/>
      <c r="Y161" s="1078"/>
      <c r="Z161" s="1078"/>
      <c r="AA161" s="1078"/>
      <c r="AB161" s="1078"/>
      <c r="AC161" s="1074"/>
      <c r="AD161" s="1068"/>
    </row>
    <row r="162" spans="1:49">
      <c r="A162" s="39"/>
      <c r="B162" s="105"/>
      <c r="C162" s="917" t="s">
        <v>99</v>
      </c>
      <c r="D162" s="1036" t="s">
        <v>15</v>
      </c>
      <c r="E162" s="969"/>
      <c r="F162" s="969"/>
      <c r="G162" s="969"/>
      <c r="H162" s="969"/>
      <c r="I162" s="1087">
        <f t="shared" ref="I162:N162" si="6">$G$30</f>
        <v>0</v>
      </c>
      <c r="J162" s="1087">
        <f t="shared" si="6"/>
        <v>0</v>
      </c>
      <c r="K162" s="1087">
        <f t="shared" si="6"/>
        <v>0</v>
      </c>
      <c r="L162" s="1087">
        <f t="shared" si="6"/>
        <v>0</v>
      </c>
      <c r="M162" s="1087">
        <f t="shared" si="6"/>
        <v>0</v>
      </c>
      <c r="N162" s="1087">
        <f t="shared" si="6"/>
        <v>0</v>
      </c>
      <c r="O162" s="876"/>
      <c r="Q162" s="1088"/>
      <c r="R162" s="510"/>
      <c r="S162" s="1076"/>
      <c r="T162" s="1077"/>
      <c r="U162" s="1077"/>
      <c r="V162" s="1078"/>
      <c r="W162" s="1078"/>
      <c r="X162" s="1078"/>
      <c r="Y162" s="1078"/>
      <c r="Z162" s="1078"/>
      <c r="AA162" s="1078"/>
      <c r="AB162" s="1078"/>
      <c r="AC162" s="1074"/>
      <c r="AD162" s="1068"/>
    </row>
    <row r="163" spans="1:49">
      <c r="A163" s="39"/>
      <c r="B163" s="105"/>
      <c r="C163" s="67"/>
      <c r="D163" s="67"/>
      <c r="E163" s="67"/>
      <c r="F163" s="67"/>
      <c r="G163" s="1089"/>
      <c r="H163" s="1089"/>
      <c r="I163" s="1089"/>
      <c r="J163" s="1089"/>
      <c r="K163" s="1089"/>
      <c r="L163" s="1089"/>
      <c r="M163" s="1089"/>
      <c r="N163" s="1089"/>
      <c r="O163" s="876"/>
      <c r="Q163" s="1075"/>
      <c r="R163" s="510"/>
      <c r="S163" s="1076"/>
      <c r="T163" s="207"/>
      <c r="U163" s="1082"/>
      <c r="V163" s="1082"/>
      <c r="W163" s="1082"/>
      <c r="X163" s="1082"/>
      <c r="Y163" s="1082"/>
      <c r="Z163" s="1082"/>
      <c r="AA163" s="1082"/>
      <c r="AB163" s="1082"/>
      <c r="AC163" s="1082"/>
      <c r="AD163" s="1068"/>
    </row>
    <row r="164" spans="1:49">
      <c r="A164" s="39"/>
      <c r="B164" s="105"/>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76"/>
      <c r="Q164" s="4330"/>
      <c r="R164" s="510"/>
      <c r="S164" s="1076"/>
      <c r="T164" s="1077"/>
      <c r="U164" s="1077"/>
      <c r="V164" s="1077"/>
      <c r="W164" s="1077"/>
      <c r="X164" s="1077"/>
      <c r="Y164" s="1077"/>
      <c r="Z164" s="1077"/>
      <c r="AA164" s="1077"/>
      <c r="AB164" s="1077"/>
      <c r="AC164" s="1077"/>
      <c r="AD164" s="1068"/>
    </row>
    <row r="165" spans="1:49">
      <c r="A165" s="39"/>
      <c r="B165" s="105"/>
      <c r="C165" s="67"/>
      <c r="D165" s="67"/>
      <c r="E165" s="67"/>
      <c r="F165" s="67"/>
      <c r="G165" s="67"/>
      <c r="H165" s="67"/>
      <c r="I165" s="67"/>
      <c r="J165" s="67"/>
      <c r="K165" s="67"/>
      <c r="L165" s="67"/>
      <c r="M165" s="67"/>
      <c r="N165" s="67"/>
      <c r="O165" s="876"/>
      <c r="Q165" s="4330"/>
      <c r="R165" s="510"/>
      <c r="S165" s="1076"/>
      <c r="T165" s="1077"/>
      <c r="U165" s="1077"/>
      <c r="V165" s="1077"/>
      <c r="W165" s="1077"/>
      <c r="X165" s="1077"/>
      <c r="Y165" s="1077"/>
      <c r="Z165" s="1077"/>
      <c r="AA165" s="1077"/>
      <c r="AB165" s="1077"/>
      <c r="AC165" s="1077"/>
      <c r="AD165" s="1068"/>
    </row>
    <row r="166" spans="1:49" ht="15.5">
      <c r="A166" s="39"/>
      <c r="B166" s="55"/>
      <c r="C166" s="878" t="s">
        <v>131</v>
      </c>
      <c r="D166" s="878" t="s">
        <v>712</v>
      </c>
      <c r="E166" s="878" t="s">
        <v>30</v>
      </c>
      <c r="F166" s="87">
        <v>2013</v>
      </c>
      <c r="G166" s="87">
        <v>2015</v>
      </c>
      <c r="H166" s="87">
        <v>2020</v>
      </c>
      <c r="I166" s="87">
        <v>2025</v>
      </c>
      <c r="J166" s="87">
        <v>2030</v>
      </c>
      <c r="K166" s="87">
        <v>2035</v>
      </c>
      <c r="L166" s="87">
        <v>2040</v>
      </c>
      <c r="M166" s="87">
        <v>2045</v>
      </c>
      <c r="N166" s="87">
        <v>2050</v>
      </c>
      <c r="O166" s="876"/>
      <c r="Q166" s="4330"/>
      <c r="R166" s="510"/>
      <c r="S166" s="1076"/>
      <c r="T166" s="1077"/>
      <c r="U166" s="1077"/>
      <c r="V166" s="1077"/>
      <c r="W166" s="1077"/>
      <c r="X166" s="1077"/>
      <c r="Y166" s="1077"/>
      <c r="Z166" s="1077"/>
      <c r="AA166" s="1077"/>
      <c r="AB166" s="1077"/>
      <c r="AC166" s="1077"/>
      <c r="AD166" s="1068"/>
    </row>
    <row r="167" spans="1:49" ht="15.5">
      <c r="A167" s="39"/>
      <c r="B167" s="55"/>
      <c r="C167" s="1083" t="s">
        <v>97</v>
      </c>
      <c r="D167" s="1084" t="s">
        <v>765</v>
      </c>
      <c r="E167" s="1090"/>
      <c r="F167" s="1091"/>
      <c r="G167" s="1092">
        <f t="shared" ref="G167:N169" si="7">F167+G47-F47+(F160*F$20*(G$166-F$166))</f>
        <v>0</v>
      </c>
      <c r="H167" s="1092">
        <f t="shared" si="7"/>
        <v>0</v>
      </c>
      <c r="I167" s="1092">
        <f t="shared" si="7"/>
        <v>0</v>
      </c>
      <c r="J167" s="1092">
        <f t="shared" si="7"/>
        <v>0</v>
      </c>
      <c r="K167" s="1092">
        <f t="shared" si="7"/>
        <v>0</v>
      </c>
      <c r="L167" s="1092">
        <f t="shared" si="7"/>
        <v>0</v>
      </c>
      <c r="M167" s="1092">
        <f t="shared" si="7"/>
        <v>0</v>
      </c>
      <c r="N167" s="1092">
        <f t="shared" si="7"/>
        <v>0</v>
      </c>
      <c r="O167" s="876"/>
      <c r="Q167" s="4330"/>
      <c r="R167" s="510"/>
      <c r="S167" s="1076"/>
      <c r="T167" s="1077"/>
      <c r="U167" s="1077"/>
      <c r="V167" s="1077"/>
      <c r="W167" s="1077"/>
      <c r="X167" s="1077"/>
      <c r="Y167" s="1077"/>
      <c r="Z167" s="1077"/>
      <c r="AA167" s="1077"/>
      <c r="AB167" s="1077"/>
      <c r="AC167" s="1077"/>
      <c r="AD167" s="1068"/>
    </row>
    <row r="168" spans="1:49" ht="15.5">
      <c r="A168" s="39"/>
      <c r="B168" s="55"/>
      <c r="C168" s="65" t="s">
        <v>97</v>
      </c>
      <c r="D168" s="1032" t="s">
        <v>766</v>
      </c>
      <c r="E168" s="914"/>
      <c r="F168" s="911"/>
      <c r="G168" s="1093">
        <f t="shared" si="7"/>
        <v>0</v>
      </c>
      <c r="H168" s="1093">
        <f t="shared" si="7"/>
        <v>0</v>
      </c>
      <c r="I168" s="1093">
        <f t="shared" si="7"/>
        <v>0</v>
      </c>
      <c r="J168" s="1093">
        <f t="shared" si="7"/>
        <v>0</v>
      </c>
      <c r="K168" s="1093">
        <f t="shared" si="7"/>
        <v>0</v>
      </c>
      <c r="L168" s="1093">
        <f t="shared" si="7"/>
        <v>0</v>
      </c>
      <c r="M168" s="1093">
        <f t="shared" si="7"/>
        <v>0</v>
      </c>
      <c r="N168" s="1093">
        <f t="shared" si="7"/>
        <v>0</v>
      </c>
      <c r="O168" s="876"/>
      <c r="Q168" s="1088"/>
      <c r="R168" s="510"/>
      <c r="S168" s="1076"/>
      <c r="T168" s="1077"/>
      <c r="U168" s="1077"/>
      <c r="V168" s="1078"/>
      <c r="W168" s="1078"/>
      <c r="X168" s="1078"/>
      <c r="Y168" s="1078"/>
      <c r="Z168" s="1078"/>
      <c r="AA168" s="1078"/>
      <c r="AB168" s="1078"/>
      <c r="AC168" s="1074"/>
      <c r="AD168" s="1068"/>
    </row>
    <row r="169" spans="1:49" ht="15.5">
      <c r="A169" s="39"/>
      <c r="B169" s="55"/>
      <c r="C169" s="65" t="s">
        <v>99</v>
      </c>
      <c r="D169" s="1032" t="s">
        <v>15</v>
      </c>
      <c r="E169" s="915"/>
      <c r="F169" s="944"/>
      <c r="G169" s="1093">
        <f t="shared" si="7"/>
        <v>0</v>
      </c>
      <c r="H169" s="1093">
        <f t="shared" si="7"/>
        <v>0</v>
      </c>
      <c r="I169" s="1093">
        <f t="shared" si="7"/>
        <v>0</v>
      </c>
      <c r="J169" s="1093">
        <f t="shared" si="7"/>
        <v>0</v>
      </c>
      <c r="K169" s="1093">
        <f t="shared" si="7"/>
        <v>0</v>
      </c>
      <c r="L169" s="1093">
        <f t="shared" si="7"/>
        <v>0</v>
      </c>
      <c r="M169" s="1093">
        <f t="shared" si="7"/>
        <v>0</v>
      </c>
      <c r="N169" s="1093">
        <f t="shared" si="7"/>
        <v>0</v>
      </c>
      <c r="O169" s="876"/>
      <c r="Q169" s="1068"/>
      <c r="R169" s="1068"/>
      <c r="S169" s="1068"/>
      <c r="T169" s="1068"/>
      <c r="U169" s="1068"/>
      <c r="V169" s="1074"/>
      <c r="W169" s="1074"/>
      <c r="X169" s="1074"/>
      <c r="Y169" s="1074"/>
      <c r="Z169" s="1074"/>
      <c r="AA169" s="1074"/>
      <c r="AB169" s="1074"/>
      <c r="AC169" s="1074"/>
      <c r="AD169" s="1068"/>
    </row>
    <row r="170" spans="1:49" ht="15.5">
      <c r="A170" s="39"/>
      <c r="B170" s="55"/>
      <c r="C170" s="952"/>
      <c r="D170" s="1094" t="s">
        <v>58</v>
      </c>
      <c r="E170" s="1094"/>
      <c r="F170" s="1094"/>
      <c r="G170" s="1095">
        <f t="shared" ref="G170:N170" si="8">SUM(G167:G169)</f>
        <v>0</v>
      </c>
      <c r="H170" s="1095">
        <f t="shared" si="8"/>
        <v>0</v>
      </c>
      <c r="I170" s="1095">
        <f t="shared" si="8"/>
        <v>0</v>
      </c>
      <c r="J170" s="1095">
        <f t="shared" si="8"/>
        <v>0</v>
      </c>
      <c r="K170" s="1095">
        <f t="shared" si="8"/>
        <v>0</v>
      </c>
      <c r="L170" s="1095">
        <f t="shared" si="8"/>
        <v>0</v>
      </c>
      <c r="M170" s="1095">
        <f t="shared" si="8"/>
        <v>0</v>
      </c>
      <c r="N170" s="1095">
        <f t="shared" si="8"/>
        <v>0</v>
      </c>
      <c r="O170" s="876"/>
      <c r="Q170" s="1068"/>
      <c r="R170" s="1068"/>
      <c r="S170" s="1068"/>
      <c r="T170" s="1068"/>
      <c r="U170" s="1068"/>
      <c r="V170" s="1074"/>
      <c r="W170" s="1074"/>
      <c r="X170" s="1074"/>
      <c r="Y170" s="1074"/>
      <c r="Z170" s="1074"/>
      <c r="AA170" s="1074"/>
      <c r="AB170" s="1074"/>
      <c r="AC170" s="1074"/>
      <c r="AD170" s="1068"/>
    </row>
    <row r="171" spans="1:49" ht="15.5">
      <c r="A171" s="39"/>
      <c r="B171" s="55"/>
      <c r="C171" s="65"/>
      <c r="D171" s="67"/>
      <c r="E171" s="67"/>
      <c r="F171" s="67"/>
      <c r="G171" s="1096"/>
      <c r="H171" s="1096"/>
      <c r="I171" s="1096"/>
      <c r="J171" s="1096"/>
      <c r="K171" s="1096"/>
      <c r="L171" s="1096"/>
      <c r="M171" s="1096"/>
      <c r="N171" s="1096"/>
      <c r="O171" s="876"/>
      <c r="Q171" s="1068"/>
      <c r="R171" s="1068"/>
      <c r="S171" s="1068"/>
      <c r="T171" s="1068"/>
      <c r="U171" s="1068"/>
      <c r="V171" s="1074"/>
      <c r="W171" s="1074"/>
      <c r="X171" s="1074"/>
      <c r="Y171" s="1074"/>
      <c r="Z171" s="1074"/>
      <c r="AA171" s="1074"/>
      <c r="AB171" s="1074"/>
      <c r="AC171" s="1074"/>
      <c r="AD171" s="1068"/>
    </row>
    <row r="172" spans="1:49">
      <c r="A172" s="39"/>
      <c r="B172" s="875"/>
      <c r="C172" s="49" t="s">
        <v>797</v>
      </c>
      <c r="D172" s="67"/>
      <c r="E172" s="67"/>
      <c r="F172" s="67"/>
      <c r="G172" s="67" t="s">
        <v>5</v>
      </c>
      <c r="H172" s="67"/>
      <c r="I172" s="67"/>
      <c r="J172" s="67"/>
      <c r="K172" s="67"/>
      <c r="L172" s="67"/>
      <c r="M172" s="67"/>
      <c r="N172" s="67"/>
      <c r="O172" s="876"/>
      <c r="Q172" s="1068"/>
      <c r="R172" s="1068"/>
      <c r="S172" s="1068"/>
      <c r="T172" s="1068"/>
      <c r="U172" s="1068"/>
      <c r="V172" s="1068"/>
      <c r="W172" s="1068"/>
      <c r="X172" s="1068"/>
      <c r="Y172" s="1068"/>
      <c r="Z172" s="1068"/>
      <c r="AA172" s="1068"/>
      <c r="AB172" s="1068"/>
      <c r="AC172" s="1068"/>
      <c r="AD172" s="1068"/>
    </row>
    <row r="173" spans="1:49">
      <c r="B173" s="875"/>
      <c r="C173" s="67"/>
      <c r="D173" s="67"/>
      <c r="E173" s="67"/>
      <c r="F173" s="67"/>
      <c r="G173" s="67"/>
      <c r="H173" s="67"/>
      <c r="I173" s="67"/>
      <c r="J173" s="67"/>
      <c r="K173" s="67"/>
      <c r="L173" s="67"/>
      <c r="M173" s="67"/>
      <c r="N173" s="67"/>
      <c r="O173" s="876"/>
    </row>
    <row r="174" spans="1:49" ht="23.5">
      <c r="A174" s="40"/>
      <c r="B174" s="877"/>
      <c r="C174" s="878" t="s">
        <v>131</v>
      </c>
      <c r="D174" s="878" t="s">
        <v>712</v>
      </c>
      <c r="E174" s="878" t="s">
        <v>30</v>
      </c>
      <c r="F174" s="899">
        <v>2013</v>
      </c>
      <c r="G174" s="900" t="s">
        <v>132</v>
      </c>
      <c r="H174" s="900" t="s">
        <v>133</v>
      </c>
      <c r="I174" s="900" t="s">
        <v>134</v>
      </c>
      <c r="J174" s="900" t="s">
        <v>135</v>
      </c>
      <c r="K174" s="900" t="s">
        <v>136</v>
      </c>
      <c r="L174" s="900" t="s">
        <v>137</v>
      </c>
      <c r="M174" s="900" t="s">
        <v>138</v>
      </c>
      <c r="N174" s="900" t="s">
        <v>139</v>
      </c>
      <c r="O174" s="876"/>
      <c r="AG174" s="6"/>
      <c r="AH174" s="6"/>
      <c r="AI174" s="6"/>
      <c r="AJ174" s="6"/>
      <c r="AK174" s="6"/>
      <c r="AL174" s="6"/>
      <c r="AM174" s="6"/>
      <c r="AN174" s="6"/>
      <c r="AO174" s="6"/>
      <c r="AP174" s="6"/>
      <c r="AQ174" s="6"/>
      <c r="AR174" s="6"/>
      <c r="AS174" s="6"/>
      <c r="AT174" s="6"/>
      <c r="AU174" s="6"/>
      <c r="AV174" s="6"/>
      <c r="AW174" s="6"/>
    </row>
    <row r="175" spans="1:49" ht="23.5">
      <c r="A175" s="40"/>
      <c r="B175" s="877"/>
      <c r="C175" s="887"/>
      <c r="D175" s="888" t="s">
        <v>798</v>
      </c>
      <c r="E175" s="888"/>
      <c r="F175" s="909">
        <v>0</v>
      </c>
      <c r="G175" s="93">
        <v>0</v>
      </c>
      <c r="H175" s="93">
        <v>0</v>
      </c>
      <c r="I175" s="93">
        <v>0</v>
      </c>
      <c r="J175" s="93">
        <f>SUMPRODUCT(J$160:J$162,J$75:J$77)</f>
        <v>0.85</v>
      </c>
      <c r="K175" s="93">
        <f>SUMPRODUCT(K$160:K$162,K$75:K$77)</f>
        <v>0.85</v>
      </c>
      <c r="L175" s="93">
        <f>SUMPRODUCT(L$160:L$162,L$75:L$77)</f>
        <v>0.85</v>
      </c>
      <c r="M175" s="93">
        <f>SUMPRODUCT(M$160:M$162,M$75:M$77)</f>
        <v>0.85</v>
      </c>
      <c r="N175" s="93">
        <f>SUMPRODUCT(N$160:N$162,N$75:N$77)</f>
        <v>0.85</v>
      </c>
      <c r="O175" s="876"/>
      <c r="AG175" s="6"/>
      <c r="AH175" s="6"/>
      <c r="AI175" s="6"/>
      <c r="AJ175" s="6"/>
      <c r="AK175" s="6"/>
      <c r="AL175" s="6"/>
      <c r="AM175" s="6"/>
      <c r="AN175" s="6"/>
      <c r="AO175" s="6"/>
      <c r="AP175" s="6"/>
      <c r="AQ175" s="6"/>
      <c r="AR175" s="6"/>
      <c r="AS175" s="6"/>
      <c r="AT175" s="6"/>
      <c r="AU175" s="6"/>
      <c r="AV175" s="6"/>
      <c r="AW175" s="6"/>
    </row>
    <row r="176" spans="1:49" ht="15.5">
      <c r="B176" s="1097"/>
      <c r="C176" s="1098"/>
      <c r="D176" s="1065"/>
      <c r="E176" s="1065"/>
      <c r="F176" s="1065"/>
      <c r="G176" s="1099"/>
      <c r="H176" s="1099"/>
      <c r="I176" s="1099"/>
      <c r="J176" s="1099"/>
      <c r="K176" s="1099"/>
      <c r="L176" s="1099"/>
      <c r="M176" s="1099"/>
      <c r="N176" s="1099"/>
      <c r="O176" s="1100"/>
    </row>
    <row r="178" spans="1:49" ht="15.5">
      <c r="B178" s="1101" t="s">
        <v>206</v>
      </c>
    </row>
    <row r="179" spans="1:49" ht="15.5">
      <c r="B179" s="1101"/>
    </row>
    <row r="180" spans="1:49">
      <c r="B180" s="354" t="s">
        <v>799</v>
      </c>
      <c r="C180" s="6"/>
      <c r="D180" s="6"/>
      <c r="E180" s="6"/>
      <c r="F180" s="6"/>
      <c r="G180" s="6"/>
      <c r="H180" s="6"/>
      <c r="I180" s="6"/>
      <c r="J180" s="6"/>
      <c r="K180" s="6"/>
      <c r="L180" s="6"/>
      <c r="M180" s="6"/>
      <c r="N180" s="6"/>
    </row>
    <row r="181" spans="1:49">
      <c r="B181" s="354" t="s">
        <v>800</v>
      </c>
      <c r="C181" s="6"/>
      <c r="D181" s="6"/>
      <c r="E181" s="6"/>
      <c r="F181" s="6"/>
      <c r="G181" s="6"/>
      <c r="H181" s="6"/>
      <c r="I181" s="6"/>
      <c r="J181" s="6"/>
      <c r="K181" s="6"/>
      <c r="L181" s="6"/>
      <c r="M181" s="6"/>
      <c r="N181" s="6"/>
    </row>
    <row r="182" spans="1:49" s="6" customFormat="1">
      <c r="A182"/>
      <c r="B182" s="372" t="s">
        <v>801</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72" t="s">
        <v>802</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72" t="s">
        <v>803</v>
      </c>
      <c r="C184" s="6"/>
      <c r="D184" s="6"/>
      <c r="E184" s="6"/>
      <c r="F184" s="6"/>
      <c r="G184" s="6"/>
      <c r="H184" s="6"/>
      <c r="I184" s="6"/>
      <c r="J184" s="6"/>
      <c r="K184" s="6"/>
      <c r="L184" s="6"/>
      <c r="M184" s="6"/>
      <c r="N184" s="6"/>
    </row>
    <row r="185" spans="1:49">
      <c r="B185" s="372"/>
      <c r="C185" s="6"/>
      <c r="D185" s="6"/>
      <c r="E185" s="6"/>
      <c r="F185" s="6"/>
      <c r="G185" s="6"/>
      <c r="H185" s="6"/>
      <c r="I185" s="6"/>
      <c r="J185" s="6"/>
      <c r="K185" s="6"/>
      <c r="L185" s="6"/>
      <c r="M185" s="6"/>
      <c r="N185" s="6"/>
    </row>
    <row r="186" spans="1:49">
      <c r="B186" s="372" t="s">
        <v>804</v>
      </c>
      <c r="C186" s="6"/>
      <c r="D186" s="6"/>
      <c r="E186" s="6"/>
      <c r="F186" s="6"/>
      <c r="G186" s="6"/>
      <c r="H186" s="6"/>
      <c r="I186" s="6"/>
      <c r="J186" s="6"/>
      <c r="K186" s="6"/>
      <c r="L186" s="6"/>
      <c r="M186" s="6"/>
      <c r="N186" s="6"/>
    </row>
    <row r="187" spans="1:49">
      <c r="B187" s="6"/>
      <c r="C187" s="6" t="s">
        <v>97</v>
      </c>
      <c r="D187" s="6" t="s">
        <v>765</v>
      </c>
      <c r="E187" s="6"/>
      <c r="F187" s="297">
        <v>2013</v>
      </c>
      <c r="G187" s="297">
        <v>2015</v>
      </c>
      <c r="H187" s="297">
        <v>2020</v>
      </c>
      <c r="I187" s="297">
        <v>2025</v>
      </c>
      <c r="J187" s="297">
        <v>2030</v>
      </c>
      <c r="K187" s="297">
        <v>2035</v>
      </c>
      <c r="L187" s="297">
        <v>2040</v>
      </c>
      <c r="M187" s="297">
        <v>2045</v>
      </c>
      <c r="N187" s="297">
        <v>2050</v>
      </c>
      <c r="S187" s="409"/>
    </row>
    <row r="188" spans="1:49">
      <c r="B188" s="6"/>
      <c r="C188" s="6" t="s">
        <v>726</v>
      </c>
      <c r="D188" s="6"/>
      <c r="E188" s="6" t="str">
        <f>Preferences.PowerUnits</f>
        <v>GW</v>
      </c>
      <c r="F188" s="628">
        <f t="shared" ref="F188:N188" si="9">F167</f>
        <v>0</v>
      </c>
      <c r="G188" s="1102">
        <f t="shared" si="9"/>
        <v>0</v>
      </c>
      <c r="H188" s="1102">
        <f t="shared" si="9"/>
        <v>0</v>
      </c>
      <c r="I188" s="1102">
        <f t="shared" si="9"/>
        <v>0</v>
      </c>
      <c r="J188" s="1102">
        <f t="shared" si="9"/>
        <v>0</v>
      </c>
      <c r="K188" s="1102">
        <f t="shared" si="9"/>
        <v>0</v>
      </c>
      <c r="L188" s="1102">
        <f t="shared" si="9"/>
        <v>0</v>
      </c>
      <c r="M188" s="1102">
        <f t="shared" si="9"/>
        <v>0</v>
      </c>
      <c r="N188" s="1102">
        <f t="shared" si="9"/>
        <v>0</v>
      </c>
      <c r="S188" s="409"/>
    </row>
    <row r="189" spans="1:49">
      <c r="B189" s="6" t="s">
        <v>805</v>
      </c>
      <c r="C189" s="6" t="s">
        <v>806</v>
      </c>
      <c r="D189" s="6"/>
      <c r="E189" s="6"/>
      <c r="F189" s="628">
        <f t="shared" ref="F189:N189" si="10">F188*-F$68</f>
        <v>0</v>
      </c>
      <c r="G189" s="1102">
        <f t="shared" si="10"/>
        <v>0</v>
      </c>
      <c r="H189" s="1102">
        <f t="shared" si="10"/>
        <v>0</v>
      </c>
      <c r="I189" s="1102">
        <f t="shared" si="10"/>
        <v>0</v>
      </c>
      <c r="J189" s="1102">
        <f t="shared" si="10"/>
        <v>0</v>
      </c>
      <c r="K189" s="1102">
        <f t="shared" si="10"/>
        <v>0</v>
      </c>
      <c r="L189" s="1102">
        <f t="shared" si="10"/>
        <v>0</v>
      </c>
      <c r="M189" s="1102">
        <f t="shared" si="10"/>
        <v>0</v>
      </c>
      <c r="N189" s="1102">
        <f t="shared" si="10"/>
        <v>0</v>
      </c>
      <c r="P189" s="628"/>
    </row>
    <row r="190" spans="1:49">
      <c r="B190" s="6" t="s">
        <v>218</v>
      </c>
      <c r="C190" s="6" t="s">
        <v>714</v>
      </c>
      <c r="D190" s="6"/>
      <c r="E190" s="6"/>
      <c r="F190" s="413">
        <f t="shared" ref="F190:N190" si="11">F$75</f>
        <v>0</v>
      </c>
      <c r="G190" s="413">
        <f t="shared" si="11"/>
        <v>0</v>
      </c>
      <c r="H190" s="413">
        <f t="shared" si="11"/>
        <v>0</v>
      </c>
      <c r="I190" s="413">
        <f t="shared" si="11"/>
        <v>0</v>
      </c>
      <c r="J190" s="413">
        <f t="shared" si="11"/>
        <v>0.85</v>
      </c>
      <c r="K190" s="413">
        <f t="shared" si="11"/>
        <v>0.85</v>
      </c>
      <c r="L190" s="413">
        <f t="shared" si="11"/>
        <v>0.85</v>
      </c>
      <c r="M190" s="413">
        <f t="shared" si="11"/>
        <v>0.85</v>
      </c>
      <c r="N190" s="413">
        <f t="shared" si="11"/>
        <v>0.85</v>
      </c>
      <c r="O190" s="413"/>
      <c r="P190" s="1103"/>
    </row>
    <row r="191" spans="1:49">
      <c r="B191" s="1104" t="s">
        <v>220</v>
      </c>
      <c r="C191" s="6" t="s">
        <v>807</v>
      </c>
      <c r="D191" s="6"/>
      <c r="E191" s="6"/>
      <c r="F191" s="587">
        <f t="shared" ref="F191:N191" si="12">(F188+F189)*F190</f>
        <v>0</v>
      </c>
      <c r="G191" s="587">
        <f t="shared" si="12"/>
        <v>0</v>
      </c>
      <c r="H191" s="587">
        <f t="shared" si="12"/>
        <v>0</v>
      </c>
      <c r="I191" s="587">
        <f t="shared" si="12"/>
        <v>0</v>
      </c>
      <c r="J191" s="587">
        <f t="shared" si="12"/>
        <v>0</v>
      </c>
      <c r="K191" s="587">
        <f t="shared" si="12"/>
        <v>0</v>
      </c>
      <c r="L191" s="587">
        <f t="shared" si="12"/>
        <v>0</v>
      </c>
      <c r="M191" s="587">
        <f t="shared" si="12"/>
        <v>0</v>
      </c>
      <c r="N191" s="587">
        <f t="shared" si="12"/>
        <v>0</v>
      </c>
      <c r="O191" s="587"/>
    </row>
    <row r="192" spans="1:49">
      <c r="B192" s="6"/>
      <c r="C192" s="1104"/>
      <c r="D192" s="6"/>
      <c r="E192" s="6"/>
      <c r="F192" s="587"/>
      <c r="G192" s="587"/>
      <c r="H192" s="587"/>
      <c r="I192" s="587"/>
      <c r="J192" s="587"/>
      <c r="K192" s="587"/>
      <c r="L192" s="587"/>
      <c r="M192" s="587"/>
      <c r="N192" s="587"/>
    </row>
    <row r="193" spans="2:17">
      <c r="B193" s="6"/>
      <c r="C193" s="372" t="s">
        <v>808</v>
      </c>
      <c r="D193" s="6"/>
      <c r="E193" s="6" t="str">
        <f>Preferences.EnergyUnits</f>
        <v>TWh</v>
      </c>
      <c r="F193" s="2450">
        <f t="shared" ref="F193:N193" si="13">F191*Preferences.Unit.Power*Unit.year/Preferences.Unit.Energy</f>
        <v>0</v>
      </c>
      <c r="G193" s="2450">
        <f t="shared" si="13"/>
        <v>0</v>
      </c>
      <c r="H193" s="2451">
        <f t="shared" si="13"/>
        <v>0</v>
      </c>
      <c r="I193" s="2451">
        <f t="shared" si="13"/>
        <v>0</v>
      </c>
      <c r="J193" s="2451">
        <f t="shared" si="13"/>
        <v>0</v>
      </c>
      <c r="K193" s="2451">
        <f t="shared" si="13"/>
        <v>0</v>
      </c>
      <c r="L193" s="2451">
        <f t="shared" si="13"/>
        <v>0</v>
      </c>
      <c r="M193" s="2451">
        <f t="shared" si="13"/>
        <v>0</v>
      </c>
      <c r="N193" s="2451">
        <f t="shared" si="13"/>
        <v>0</v>
      </c>
      <c r="O193" s="1105"/>
      <c r="P193" s="1105"/>
    </row>
    <row r="194" spans="2:17">
      <c r="B194" s="6"/>
      <c r="C194" s="372"/>
      <c r="D194" s="6"/>
      <c r="E194" s="6"/>
      <c r="F194" s="1105"/>
      <c r="G194" s="1105"/>
      <c r="H194" s="1105"/>
      <c r="I194" s="1105"/>
      <c r="J194" s="1105"/>
      <c r="K194" s="1105"/>
      <c r="L194" s="1105"/>
      <c r="M194" s="1105"/>
      <c r="N194" s="1105"/>
      <c r="O194" s="1105"/>
      <c r="P194" s="1105"/>
      <c r="Q194" s="1107"/>
    </row>
    <row r="195" spans="2:17">
      <c r="B195" s="1104" t="s">
        <v>809</v>
      </c>
      <c r="C195" s="6" t="s">
        <v>806</v>
      </c>
      <c r="D195" s="6"/>
      <c r="E195" s="6"/>
      <c r="F195" s="404">
        <f t="shared" ref="F195:N195" si="14">F196*F$68</f>
        <v>0</v>
      </c>
      <c r="G195" s="404">
        <f t="shared" si="14"/>
        <v>0</v>
      </c>
      <c r="H195" s="404">
        <f t="shared" si="14"/>
        <v>0</v>
      </c>
      <c r="I195" s="404">
        <f t="shared" si="14"/>
        <v>0</v>
      </c>
      <c r="J195" s="404">
        <f t="shared" si="14"/>
        <v>0</v>
      </c>
      <c r="K195" s="404">
        <f t="shared" si="14"/>
        <v>0</v>
      </c>
      <c r="L195" s="404">
        <f t="shared" si="14"/>
        <v>0</v>
      </c>
      <c r="M195" s="404">
        <f t="shared" si="14"/>
        <v>0</v>
      </c>
      <c r="N195" s="404">
        <f t="shared" si="14"/>
        <v>0</v>
      </c>
      <c r="O195" s="404"/>
      <c r="P195" s="404"/>
    </row>
    <row r="196" spans="2:17">
      <c r="B196" s="1108" t="s">
        <v>220</v>
      </c>
      <c r="C196" s="372" t="s">
        <v>810</v>
      </c>
      <c r="D196" s="6"/>
      <c r="E196" s="6"/>
      <c r="F196" s="1105">
        <f t="shared" ref="F196:N196" si="15">F193/(1-F$68)</f>
        <v>0</v>
      </c>
      <c r="G196" s="1106">
        <f t="shared" si="15"/>
        <v>0</v>
      </c>
      <c r="H196" s="1106">
        <f t="shared" si="15"/>
        <v>0</v>
      </c>
      <c r="I196" s="1106">
        <f t="shared" si="15"/>
        <v>0</v>
      </c>
      <c r="J196" s="1106">
        <f t="shared" si="15"/>
        <v>0</v>
      </c>
      <c r="K196" s="1106">
        <f t="shared" si="15"/>
        <v>0</v>
      </c>
      <c r="L196" s="1106">
        <f t="shared" si="15"/>
        <v>0</v>
      </c>
      <c r="M196" s="1106">
        <f t="shared" si="15"/>
        <v>0</v>
      </c>
      <c r="N196" s="1106">
        <f t="shared" si="15"/>
        <v>0</v>
      </c>
      <c r="O196" s="1109"/>
      <c r="P196" s="1110"/>
    </row>
    <row r="197" spans="2:17">
      <c r="B197" s="6" t="s">
        <v>218</v>
      </c>
      <c r="C197" s="6" t="s">
        <v>811</v>
      </c>
      <c r="D197" s="6"/>
      <c r="E197" s="6"/>
      <c r="F197" s="1111">
        <f t="shared" ref="F197:N197" si="16">F$54</f>
        <v>0</v>
      </c>
      <c r="G197" s="1111">
        <f t="shared" si="16"/>
        <v>0</v>
      </c>
      <c r="H197" s="1111">
        <f t="shared" si="16"/>
        <v>0</v>
      </c>
      <c r="I197" s="1111">
        <f t="shared" si="16"/>
        <v>0.46</v>
      </c>
      <c r="J197" s="1111">
        <f t="shared" si="16"/>
        <v>0.47</v>
      </c>
      <c r="K197" s="1111">
        <f t="shared" si="16"/>
        <v>0.48</v>
      </c>
      <c r="L197" s="1111">
        <f t="shared" si="16"/>
        <v>0.48</v>
      </c>
      <c r="M197" s="1111">
        <f t="shared" si="16"/>
        <v>0.49</v>
      </c>
      <c r="N197" s="1111">
        <f t="shared" si="16"/>
        <v>0.5</v>
      </c>
    </row>
    <row r="198" spans="2:17">
      <c r="B198" s="1108" t="s">
        <v>220</v>
      </c>
      <c r="C198" s="372" t="s">
        <v>812</v>
      </c>
      <c r="D198" s="6"/>
      <c r="E198" s="6"/>
      <c r="F198" s="364">
        <v>0</v>
      </c>
      <c r="G198" s="364">
        <v>0</v>
      </c>
      <c r="H198" s="364">
        <v>0</v>
      </c>
      <c r="I198" s="364">
        <f t="shared" ref="I198:N198" si="17">I196/I197</f>
        <v>0</v>
      </c>
      <c r="J198" s="364">
        <f t="shared" si="17"/>
        <v>0</v>
      </c>
      <c r="K198" s="364">
        <f t="shared" si="17"/>
        <v>0</v>
      </c>
      <c r="L198" s="364">
        <f t="shared" si="17"/>
        <v>0</v>
      </c>
      <c r="M198" s="364">
        <f t="shared" si="17"/>
        <v>0</v>
      </c>
      <c r="N198" s="364">
        <f t="shared" si="17"/>
        <v>0</v>
      </c>
    </row>
    <row r="199" spans="2:17">
      <c r="E199" s="2416"/>
    </row>
    <row r="200" spans="2:17">
      <c r="E200" s="2416"/>
    </row>
    <row r="201" spans="2:17">
      <c r="B201" s="372" t="s">
        <v>813</v>
      </c>
      <c r="C201" s="6"/>
      <c r="D201" s="6"/>
      <c r="E201" s="6"/>
      <c r="F201" s="6"/>
      <c r="G201" s="6"/>
      <c r="H201" s="6"/>
      <c r="I201" s="6"/>
      <c r="J201" s="6"/>
      <c r="K201" s="6"/>
      <c r="L201" s="6"/>
      <c r="M201" s="6"/>
      <c r="N201" s="6"/>
      <c r="O201" s="6"/>
      <c r="P201" s="6"/>
    </row>
    <row r="202" spans="2:17">
      <c r="B202" s="6"/>
      <c r="C202" s="6" t="s">
        <v>97</v>
      </c>
      <c r="D202" s="6" t="s">
        <v>766</v>
      </c>
      <c r="E202" s="6"/>
      <c r="F202" s="6"/>
      <c r="G202" s="6"/>
      <c r="H202" s="6"/>
      <c r="I202" s="6"/>
      <c r="J202" s="6"/>
      <c r="K202" s="6"/>
      <c r="L202" s="6"/>
      <c r="M202" s="6"/>
      <c r="N202" s="6"/>
      <c r="O202" s="6"/>
      <c r="P202" s="6"/>
    </row>
    <row r="203" spans="2:17">
      <c r="B203" s="6"/>
      <c r="C203" s="6" t="s">
        <v>726</v>
      </c>
      <c r="D203" s="6"/>
      <c r="E203" s="6" t="str">
        <f>Preferences.PowerUnits</f>
        <v>GW</v>
      </c>
      <c r="F203" s="628">
        <f t="shared" ref="F203:N203" si="18">F168</f>
        <v>0</v>
      </c>
      <c r="G203" s="628">
        <f t="shared" si="18"/>
        <v>0</v>
      </c>
      <c r="H203" s="628">
        <f t="shared" si="18"/>
        <v>0</v>
      </c>
      <c r="I203" s="628">
        <f t="shared" si="18"/>
        <v>0</v>
      </c>
      <c r="J203" s="628">
        <f t="shared" si="18"/>
        <v>0</v>
      </c>
      <c r="K203" s="628">
        <f t="shared" si="18"/>
        <v>0</v>
      </c>
      <c r="L203" s="628">
        <f t="shared" si="18"/>
        <v>0</v>
      </c>
      <c r="M203" s="628">
        <f t="shared" si="18"/>
        <v>0</v>
      </c>
      <c r="N203" s="628">
        <f t="shared" si="18"/>
        <v>0</v>
      </c>
      <c r="O203" s="6"/>
      <c r="P203" s="6"/>
    </row>
    <row r="204" spans="2:17">
      <c r="B204" s="6" t="s">
        <v>805</v>
      </c>
      <c r="C204" s="6" t="s">
        <v>806</v>
      </c>
      <c r="D204" s="6"/>
      <c r="E204" s="6"/>
      <c r="F204" s="628">
        <f>F205*-F$69</f>
        <v>0</v>
      </c>
      <c r="G204" s="628">
        <f t="shared" ref="G204:N204" si="19">G203*-G$69</f>
        <v>0</v>
      </c>
      <c r="H204" s="628">
        <f t="shared" si="19"/>
        <v>0</v>
      </c>
      <c r="I204" s="628">
        <f t="shared" si="19"/>
        <v>0</v>
      </c>
      <c r="J204" s="628">
        <f t="shared" si="19"/>
        <v>0</v>
      </c>
      <c r="K204" s="628">
        <f t="shared" si="19"/>
        <v>0</v>
      </c>
      <c r="L204" s="628">
        <f t="shared" si="19"/>
        <v>0</v>
      </c>
      <c r="M204" s="628">
        <f t="shared" si="19"/>
        <v>0</v>
      </c>
      <c r="N204" s="628">
        <f t="shared" si="19"/>
        <v>0</v>
      </c>
      <c r="O204" s="6"/>
      <c r="P204" s="6"/>
    </row>
    <row r="205" spans="2:17">
      <c r="B205" s="6" t="s">
        <v>218</v>
      </c>
      <c r="C205" s="6" t="s">
        <v>714</v>
      </c>
      <c r="D205" s="6"/>
      <c r="E205" s="6"/>
      <c r="F205" s="413">
        <f t="shared" ref="F205:N205" si="20">F$76</f>
        <v>0</v>
      </c>
      <c r="G205" s="413">
        <f t="shared" si="20"/>
        <v>0</v>
      </c>
      <c r="H205" s="413">
        <f t="shared" si="20"/>
        <v>0</v>
      </c>
      <c r="I205" s="413">
        <f t="shared" si="20"/>
        <v>0</v>
      </c>
      <c r="J205" s="413">
        <f t="shared" si="20"/>
        <v>0.85</v>
      </c>
      <c r="K205" s="413">
        <f t="shared" si="20"/>
        <v>0.85</v>
      </c>
      <c r="L205" s="413">
        <f t="shared" si="20"/>
        <v>0.85</v>
      </c>
      <c r="M205" s="413">
        <f t="shared" si="20"/>
        <v>0.85</v>
      </c>
      <c r="N205" s="413">
        <f t="shared" si="20"/>
        <v>0.85</v>
      </c>
      <c r="O205" s="6"/>
      <c r="P205" s="6"/>
    </row>
    <row r="206" spans="2:17">
      <c r="B206" s="1104" t="s">
        <v>220</v>
      </c>
      <c r="C206" s="6" t="s">
        <v>807</v>
      </c>
      <c r="D206" s="6"/>
      <c r="E206" s="6"/>
      <c r="F206" s="587">
        <f t="shared" ref="F206:N206" si="21">(F203+F204)*F205</f>
        <v>0</v>
      </c>
      <c r="G206" s="587">
        <f t="shared" si="21"/>
        <v>0</v>
      </c>
      <c r="H206" s="587">
        <f t="shared" si="21"/>
        <v>0</v>
      </c>
      <c r="I206" s="587">
        <f t="shared" si="21"/>
        <v>0</v>
      </c>
      <c r="J206" s="587">
        <f t="shared" si="21"/>
        <v>0</v>
      </c>
      <c r="K206" s="587">
        <f t="shared" si="21"/>
        <v>0</v>
      </c>
      <c r="L206" s="587">
        <f t="shared" si="21"/>
        <v>0</v>
      </c>
      <c r="M206" s="587">
        <f t="shared" si="21"/>
        <v>0</v>
      </c>
      <c r="N206" s="587">
        <f t="shared" si="21"/>
        <v>0</v>
      </c>
      <c r="O206" s="6"/>
      <c r="P206" s="6"/>
    </row>
    <row r="207" spans="2:17">
      <c r="B207" s="6"/>
      <c r="C207" s="1104"/>
      <c r="D207" s="6"/>
      <c r="E207" s="6"/>
      <c r="F207" s="587"/>
      <c r="G207" s="587"/>
      <c r="H207" s="587"/>
      <c r="I207" s="587"/>
      <c r="J207" s="587"/>
      <c r="K207" s="587"/>
      <c r="L207" s="587"/>
      <c r="M207" s="587"/>
      <c r="N207" s="587"/>
      <c r="O207" s="6"/>
      <c r="P207" s="6"/>
    </row>
    <row r="208" spans="2:17">
      <c r="B208" s="6"/>
      <c r="C208" s="372" t="s">
        <v>808</v>
      </c>
      <c r="D208" s="6"/>
      <c r="E208" s="6" t="str">
        <f>Preferences.EnergyUnits</f>
        <v>TWh</v>
      </c>
      <c r="F208" s="1105">
        <f>F206*Preferences.Unit.Power*Unit.year/Preferences.Unit.Energy</f>
        <v>0</v>
      </c>
      <c r="G208" s="1105">
        <f t="shared" ref="G208:N208" si="22">G206*Preferences.Unit.Power*Unit.year/Preferences.Unit.Energy</f>
        <v>0</v>
      </c>
      <c r="H208" s="1105">
        <f t="shared" si="22"/>
        <v>0</v>
      </c>
      <c r="I208" s="1105">
        <f t="shared" si="22"/>
        <v>0</v>
      </c>
      <c r="J208" s="1105">
        <f t="shared" si="22"/>
        <v>0</v>
      </c>
      <c r="K208" s="1105">
        <f t="shared" si="22"/>
        <v>0</v>
      </c>
      <c r="L208" s="1105">
        <f t="shared" si="22"/>
        <v>0</v>
      </c>
      <c r="M208" s="1105">
        <f t="shared" si="22"/>
        <v>0</v>
      </c>
      <c r="N208" s="1105">
        <f t="shared" si="22"/>
        <v>0</v>
      </c>
      <c r="O208" s="1105"/>
      <c r="P208" s="6"/>
    </row>
    <row r="209" spans="1:49">
      <c r="B209" s="6"/>
      <c r="C209" s="6"/>
      <c r="D209" s="6"/>
      <c r="E209" s="6"/>
      <c r="F209" s="6"/>
      <c r="G209" s="6"/>
      <c r="H209" s="6"/>
      <c r="I209" s="6"/>
      <c r="J209" s="6"/>
      <c r="K209" s="6"/>
      <c r="L209" s="6"/>
      <c r="M209" s="6"/>
      <c r="N209" s="6"/>
      <c r="O209" s="6"/>
      <c r="P209" s="6"/>
    </row>
    <row r="210" spans="1:49">
      <c r="B210" s="1104" t="s">
        <v>809</v>
      </c>
      <c r="C210" s="6" t="s">
        <v>806</v>
      </c>
      <c r="D210" s="6"/>
      <c r="E210" s="6"/>
      <c r="F210" s="404">
        <f t="shared" ref="F210:N210" si="23">F211*F$69</f>
        <v>0</v>
      </c>
      <c r="G210" s="404">
        <f t="shared" si="23"/>
        <v>0</v>
      </c>
      <c r="H210" s="404">
        <f t="shared" si="23"/>
        <v>0</v>
      </c>
      <c r="I210" s="404">
        <f t="shared" si="23"/>
        <v>0</v>
      </c>
      <c r="J210" s="404">
        <f t="shared" si="23"/>
        <v>0</v>
      </c>
      <c r="K210" s="404">
        <f t="shared" si="23"/>
        <v>0</v>
      </c>
      <c r="L210" s="404">
        <f t="shared" si="23"/>
        <v>0</v>
      </c>
      <c r="M210" s="404">
        <f t="shared" si="23"/>
        <v>0</v>
      </c>
      <c r="N210" s="404">
        <f t="shared" si="23"/>
        <v>0</v>
      </c>
      <c r="O210" s="6"/>
      <c r="P210" s="6"/>
    </row>
    <row r="211" spans="1:49">
      <c r="B211" s="1108" t="s">
        <v>220</v>
      </c>
      <c r="C211" s="372" t="s">
        <v>810</v>
      </c>
      <c r="D211" s="6"/>
      <c r="E211" s="6"/>
      <c r="F211" s="1105">
        <f t="shared" ref="F211:N211" si="24">F208/(1-F69)</f>
        <v>0</v>
      </c>
      <c r="G211" s="1105">
        <f t="shared" si="24"/>
        <v>0</v>
      </c>
      <c r="H211" s="1105">
        <f t="shared" si="24"/>
        <v>0</v>
      </c>
      <c r="I211" s="1105">
        <f t="shared" si="24"/>
        <v>0</v>
      </c>
      <c r="J211" s="1105">
        <f t="shared" si="24"/>
        <v>0</v>
      </c>
      <c r="K211" s="1105">
        <f t="shared" si="24"/>
        <v>0</v>
      </c>
      <c r="L211" s="1105">
        <f t="shared" si="24"/>
        <v>0</v>
      </c>
      <c r="M211" s="1105">
        <f t="shared" si="24"/>
        <v>0</v>
      </c>
      <c r="N211" s="1105">
        <f t="shared" si="24"/>
        <v>0</v>
      </c>
      <c r="O211" s="1112"/>
      <c r="P211" s="6"/>
    </row>
    <row r="212" spans="1:49">
      <c r="B212" s="6" t="s">
        <v>218</v>
      </c>
      <c r="C212" s="6" t="s">
        <v>811</v>
      </c>
      <c r="D212" s="6"/>
      <c r="E212" s="6"/>
      <c r="F212" s="1111">
        <f t="shared" ref="F212:N212" si="25">F55</f>
        <v>0</v>
      </c>
      <c r="G212" s="1111">
        <f t="shared" si="25"/>
        <v>0</v>
      </c>
      <c r="H212" s="1111">
        <f t="shared" si="25"/>
        <v>0</v>
      </c>
      <c r="I212" s="1111">
        <f t="shared" si="25"/>
        <v>0.46</v>
      </c>
      <c r="J212" s="1111">
        <f t="shared" si="25"/>
        <v>0.47</v>
      </c>
      <c r="K212" s="1111">
        <f t="shared" si="25"/>
        <v>0.48</v>
      </c>
      <c r="L212" s="1111">
        <f t="shared" si="25"/>
        <v>0.48</v>
      </c>
      <c r="M212" s="1111">
        <f t="shared" si="25"/>
        <v>0.49</v>
      </c>
      <c r="N212" s="1111">
        <f t="shared" si="25"/>
        <v>0.5</v>
      </c>
      <c r="O212" s="6"/>
      <c r="P212" s="6"/>
    </row>
    <row r="213" spans="1:49">
      <c r="B213" s="1108" t="s">
        <v>220</v>
      </c>
      <c r="C213" s="372" t="s">
        <v>812</v>
      </c>
      <c r="D213" s="6"/>
      <c r="E213" s="6"/>
      <c r="F213" s="364"/>
      <c r="G213" s="364"/>
      <c r="H213" s="364"/>
      <c r="I213" s="364">
        <f t="shared" ref="I213:N213" si="26">I211/I212</f>
        <v>0</v>
      </c>
      <c r="J213" s="364">
        <f t="shared" si="26"/>
        <v>0</v>
      </c>
      <c r="K213" s="364">
        <f t="shared" si="26"/>
        <v>0</v>
      </c>
      <c r="L213" s="364">
        <f t="shared" si="26"/>
        <v>0</v>
      </c>
      <c r="M213" s="364">
        <f t="shared" si="26"/>
        <v>0</v>
      </c>
      <c r="N213" s="364">
        <f t="shared" si="26"/>
        <v>0</v>
      </c>
      <c r="O213" s="6"/>
      <c r="P213" s="413"/>
    </row>
    <row r="214" spans="1:49">
      <c r="B214" s="6"/>
      <c r="C214" s="1104"/>
      <c r="D214" s="6"/>
      <c r="E214" s="6"/>
      <c r="F214" s="587"/>
      <c r="G214" s="587"/>
      <c r="H214" s="587"/>
      <c r="I214" s="587"/>
      <c r="J214" s="587"/>
      <c r="K214" s="587"/>
      <c r="L214" s="587"/>
      <c r="M214" s="587"/>
      <c r="N214" s="587"/>
      <c r="O214" s="6"/>
      <c r="P214" s="6"/>
      <c r="Q214" s="404"/>
    </row>
    <row r="215" spans="1:49">
      <c r="B215" s="372" t="s">
        <v>814</v>
      </c>
      <c r="C215" s="6"/>
      <c r="D215" s="6"/>
      <c r="E215" s="6"/>
      <c r="F215" s="6"/>
      <c r="G215" s="6"/>
      <c r="H215" s="6"/>
      <c r="I215" s="6"/>
      <c r="J215" s="6"/>
      <c r="K215" s="6"/>
      <c r="L215" s="6"/>
      <c r="M215" s="6"/>
      <c r="N215" s="6"/>
      <c r="O215" s="6"/>
      <c r="P215" s="6"/>
    </row>
    <row r="216" spans="1:49">
      <c r="B216" s="6"/>
      <c r="C216" s="6" t="s">
        <v>99</v>
      </c>
      <c r="D216" s="6"/>
      <c r="E216" s="6"/>
      <c r="F216" s="6"/>
      <c r="G216" s="6"/>
      <c r="H216" s="6"/>
      <c r="I216" s="6"/>
      <c r="J216" s="6"/>
      <c r="K216" s="6"/>
      <c r="L216" s="6"/>
      <c r="M216" s="6"/>
      <c r="N216" s="6"/>
      <c r="O216" s="6"/>
      <c r="P216" s="6"/>
    </row>
    <row r="217" spans="1:49">
      <c r="B217" s="6"/>
      <c r="C217" s="6" t="s">
        <v>726</v>
      </c>
      <c r="D217" s="6"/>
      <c r="E217" s="6" t="str">
        <f>Preferences.PowerUnits</f>
        <v>GW</v>
      </c>
      <c r="F217" s="628">
        <f t="shared" ref="F217:N217" si="27">F169</f>
        <v>0</v>
      </c>
      <c r="G217" s="628">
        <f t="shared" si="27"/>
        <v>0</v>
      </c>
      <c r="H217" s="628">
        <f t="shared" si="27"/>
        <v>0</v>
      </c>
      <c r="I217" s="628">
        <f t="shared" si="27"/>
        <v>0</v>
      </c>
      <c r="J217" s="628">
        <f t="shared" si="27"/>
        <v>0</v>
      </c>
      <c r="K217" s="628">
        <f t="shared" si="27"/>
        <v>0</v>
      </c>
      <c r="L217" s="628">
        <f t="shared" si="27"/>
        <v>0</v>
      </c>
      <c r="M217" s="628">
        <f t="shared" si="27"/>
        <v>0</v>
      </c>
      <c r="N217" s="628">
        <f t="shared" si="27"/>
        <v>0</v>
      </c>
      <c r="O217" s="6"/>
      <c r="P217" s="6"/>
    </row>
    <row r="218" spans="1:49">
      <c r="B218" s="6" t="s">
        <v>805</v>
      </c>
      <c r="C218" s="6" t="s">
        <v>815</v>
      </c>
      <c r="D218" s="6"/>
      <c r="E218" s="6"/>
      <c r="F218" s="628">
        <f t="shared" ref="F218:M218" si="28">F217*-F$70</f>
        <v>0</v>
      </c>
      <c r="G218" s="628">
        <f t="shared" si="28"/>
        <v>0</v>
      </c>
      <c r="H218" s="628">
        <f t="shared" si="28"/>
        <v>0</v>
      </c>
      <c r="I218" s="628">
        <f t="shared" si="28"/>
        <v>0</v>
      </c>
      <c r="J218" s="628">
        <f t="shared" si="28"/>
        <v>0</v>
      </c>
      <c r="K218" s="628">
        <f t="shared" si="28"/>
        <v>0</v>
      </c>
      <c r="L218" s="628">
        <f t="shared" si="28"/>
        <v>0</v>
      </c>
      <c r="M218" s="628">
        <f t="shared" si="28"/>
        <v>0</v>
      </c>
      <c r="N218" s="628">
        <f>N217*-N$70</f>
        <v>0</v>
      </c>
      <c r="O218" s="6"/>
      <c r="P218" s="6"/>
    </row>
    <row r="219" spans="1:49">
      <c r="B219" s="6" t="s">
        <v>218</v>
      </c>
      <c r="C219" s="6" t="s">
        <v>714</v>
      </c>
      <c r="D219" s="6"/>
      <c r="E219" s="6"/>
      <c r="F219" s="413">
        <f t="shared" ref="F219:N219" si="29">F$77</f>
        <v>0</v>
      </c>
      <c r="G219" s="413">
        <f t="shared" si="29"/>
        <v>0</v>
      </c>
      <c r="H219" s="413">
        <f t="shared" si="29"/>
        <v>0</v>
      </c>
      <c r="I219" s="413">
        <f t="shared" si="29"/>
        <v>0</v>
      </c>
      <c r="J219" s="413">
        <f t="shared" si="29"/>
        <v>0.85</v>
      </c>
      <c r="K219" s="413">
        <f t="shared" si="29"/>
        <v>0.85</v>
      </c>
      <c r="L219" s="413">
        <f t="shared" si="29"/>
        <v>0.85</v>
      </c>
      <c r="M219" s="413">
        <f t="shared" si="29"/>
        <v>0.85</v>
      </c>
      <c r="N219" s="413">
        <f t="shared" si="29"/>
        <v>0.85</v>
      </c>
      <c r="O219" s="6"/>
      <c r="P219" s="6"/>
    </row>
    <row r="220" spans="1:49">
      <c r="A220" s="6"/>
      <c r="B220" s="1104" t="s">
        <v>220</v>
      </c>
      <c r="C220" s="6" t="s">
        <v>807</v>
      </c>
      <c r="D220" s="6"/>
      <c r="E220" s="6"/>
      <c r="F220" s="587">
        <f>(F217+F218)*F219</f>
        <v>0</v>
      </c>
      <c r="G220" s="587">
        <f t="shared" ref="G220:M220" si="30">(G217+G218)*G219</f>
        <v>0</v>
      </c>
      <c r="H220" s="587">
        <f t="shared" si="30"/>
        <v>0</v>
      </c>
      <c r="I220" s="587">
        <f t="shared" si="30"/>
        <v>0</v>
      </c>
      <c r="J220" s="587">
        <f t="shared" si="30"/>
        <v>0</v>
      </c>
      <c r="K220" s="587">
        <f t="shared" si="30"/>
        <v>0</v>
      </c>
      <c r="L220" s="587">
        <f t="shared" si="30"/>
        <v>0</v>
      </c>
      <c r="M220" s="587">
        <f t="shared" si="30"/>
        <v>0</v>
      </c>
      <c r="N220" s="587">
        <f>(N217+N218)*N219</f>
        <v>0</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72" t="s">
        <v>808</v>
      </c>
      <c r="D222" s="6"/>
      <c r="E222" s="6" t="str">
        <f>Preferences.EnergyUnits</f>
        <v>TWh</v>
      </c>
      <c r="F222" s="1105">
        <f>F220*Preferences.Unit.Power*Unit.year/Preferences.Unit.Energy</f>
        <v>0</v>
      </c>
      <c r="G222" s="1105">
        <f t="shared" ref="G222:N222" si="31">G220*Preferences.Unit.Power*Unit.year/Preferences.Unit.Energy</f>
        <v>0</v>
      </c>
      <c r="H222" s="1105">
        <f t="shared" si="31"/>
        <v>0</v>
      </c>
      <c r="I222" s="1105">
        <f t="shared" si="31"/>
        <v>0</v>
      </c>
      <c r="J222" s="1105">
        <f t="shared" si="31"/>
        <v>0</v>
      </c>
      <c r="K222" s="1105">
        <f t="shared" si="31"/>
        <v>0</v>
      </c>
      <c r="L222" s="1105">
        <f t="shared" si="31"/>
        <v>0</v>
      </c>
      <c r="M222" s="1105">
        <f t="shared" si="31"/>
        <v>0</v>
      </c>
      <c r="N222" s="1105">
        <f t="shared" si="31"/>
        <v>0</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04" t="s">
        <v>809</v>
      </c>
      <c r="C224" s="6" t="s">
        <v>806</v>
      </c>
      <c r="D224" s="6"/>
      <c r="E224" s="6"/>
      <c r="F224" s="404">
        <f t="shared" ref="F224:N224" si="32">F225*F$70</f>
        <v>0</v>
      </c>
      <c r="G224" s="404">
        <f t="shared" si="32"/>
        <v>0</v>
      </c>
      <c r="H224" s="404">
        <f t="shared" si="32"/>
        <v>0</v>
      </c>
      <c r="I224" s="404">
        <f t="shared" si="32"/>
        <v>0</v>
      </c>
      <c r="J224" s="404">
        <f t="shared" si="32"/>
        <v>0</v>
      </c>
      <c r="K224" s="404">
        <f t="shared" si="32"/>
        <v>0</v>
      </c>
      <c r="L224" s="404">
        <f t="shared" si="32"/>
        <v>0</v>
      </c>
      <c r="M224" s="404">
        <f t="shared" si="32"/>
        <v>0</v>
      </c>
      <c r="N224" s="404">
        <f t="shared" si="32"/>
        <v>0</v>
      </c>
      <c r="O224" s="824"/>
      <c r="P224" s="824"/>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08" t="s">
        <v>220</v>
      </c>
      <c r="C225" s="372" t="s">
        <v>810</v>
      </c>
      <c r="D225" s="6"/>
      <c r="E225" s="6"/>
      <c r="F225" s="1105">
        <f t="shared" ref="F225:N225" si="33">F222/(1-F70)</f>
        <v>0</v>
      </c>
      <c r="G225" s="1105">
        <f t="shared" si="33"/>
        <v>0</v>
      </c>
      <c r="H225" s="1105">
        <f t="shared" si="33"/>
        <v>0</v>
      </c>
      <c r="I225" s="1105">
        <f t="shared" si="33"/>
        <v>0</v>
      </c>
      <c r="J225" s="1105">
        <f t="shared" si="33"/>
        <v>0</v>
      </c>
      <c r="K225" s="1105">
        <f t="shared" si="33"/>
        <v>0</v>
      </c>
      <c r="L225" s="1105">
        <f t="shared" si="33"/>
        <v>0</v>
      </c>
      <c r="M225" s="1105">
        <f t="shared" si="33"/>
        <v>0</v>
      </c>
      <c r="N225" s="1105">
        <f t="shared" si="33"/>
        <v>0</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218</v>
      </c>
      <c r="C226" s="6" t="s">
        <v>811</v>
      </c>
      <c r="D226" s="6"/>
      <c r="E226" s="6"/>
      <c r="F226" s="1111">
        <f t="shared" ref="F226:N226" si="34">F56</f>
        <v>0</v>
      </c>
      <c r="G226" s="1111">
        <f t="shared" si="34"/>
        <v>0</v>
      </c>
      <c r="H226" s="1111">
        <f t="shared" si="34"/>
        <v>0</v>
      </c>
      <c r="I226" s="1111">
        <f t="shared" si="34"/>
        <v>0.6</v>
      </c>
      <c r="J226" s="1111">
        <f t="shared" si="34"/>
        <v>0.61</v>
      </c>
      <c r="K226" s="1111">
        <f t="shared" si="34"/>
        <v>0.62</v>
      </c>
      <c r="L226" s="1111">
        <f t="shared" si="34"/>
        <v>0.63</v>
      </c>
      <c r="M226" s="1111">
        <f t="shared" si="34"/>
        <v>0.64</v>
      </c>
      <c r="N226" s="1111">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08" t="s">
        <v>220</v>
      </c>
      <c r="C227" s="372" t="s">
        <v>816</v>
      </c>
      <c r="D227" s="6"/>
      <c r="E227" s="6"/>
      <c r="F227" s="364"/>
      <c r="G227" s="364"/>
      <c r="H227" s="364"/>
      <c r="I227" s="364">
        <f t="shared" ref="I227:N227" si="35">I225/I226</f>
        <v>0</v>
      </c>
      <c r="J227" s="364">
        <f t="shared" si="35"/>
        <v>0</v>
      </c>
      <c r="K227" s="364">
        <f t="shared" si="35"/>
        <v>0</v>
      </c>
      <c r="L227" s="364">
        <f t="shared" si="35"/>
        <v>0</v>
      </c>
      <c r="M227" s="364">
        <f t="shared" si="35"/>
        <v>0</v>
      </c>
      <c r="N227" s="364">
        <f t="shared" si="35"/>
        <v>0</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08"/>
      <c r="C228" s="372"/>
      <c r="F228" s="1113"/>
      <c r="G228" s="1113"/>
      <c r="H228" s="1113"/>
      <c r="I228" s="1113"/>
      <c r="J228" s="1113"/>
      <c r="K228" s="1113"/>
      <c r="L228" s="1113"/>
      <c r="M228" s="1113"/>
      <c r="N228" s="1113"/>
    </row>
    <row r="229" spans="1:49" s="6" customFormat="1">
      <c r="B229" s="1108"/>
      <c r="C229" s="372" t="s">
        <v>817</v>
      </c>
      <c r="E229" s="6" t="str">
        <f>Preferences.PowerUnits</f>
        <v>GW</v>
      </c>
      <c r="F229" s="1113">
        <f t="shared" ref="F229:N229" si="36">F217+F203+F188</f>
        <v>0</v>
      </c>
      <c r="G229" s="1113">
        <f t="shared" si="36"/>
        <v>0</v>
      </c>
      <c r="H229" s="1113">
        <f t="shared" si="36"/>
        <v>0</v>
      </c>
      <c r="I229" s="1113">
        <f t="shared" si="36"/>
        <v>0</v>
      </c>
      <c r="J229" s="1113">
        <f t="shared" si="36"/>
        <v>0</v>
      </c>
      <c r="K229" s="1113">
        <f t="shared" si="36"/>
        <v>0</v>
      </c>
      <c r="L229" s="1113">
        <f t="shared" si="36"/>
        <v>0</v>
      </c>
      <c r="M229" s="1113">
        <f t="shared" si="36"/>
        <v>0</v>
      </c>
      <c r="N229" s="1113">
        <f t="shared" si="36"/>
        <v>0</v>
      </c>
    </row>
    <row r="230" spans="1:49" s="6" customFormat="1">
      <c r="B230" s="1108"/>
      <c r="C230" s="372"/>
      <c r="E230" s="6" t="s">
        <v>5</v>
      </c>
      <c r="F230" s="1113"/>
      <c r="G230" s="1113"/>
      <c r="H230" s="1113"/>
      <c r="I230" s="1113"/>
      <c r="J230" s="1113"/>
      <c r="K230" s="1113"/>
      <c r="L230" s="1113"/>
      <c r="M230" s="1113"/>
      <c r="N230" s="1113"/>
    </row>
    <row r="231" spans="1:49" s="6" customFormat="1">
      <c r="B231" t="s">
        <v>738</v>
      </c>
      <c r="C231" s="354"/>
      <c r="D231"/>
      <c r="E231"/>
      <c r="F231" s="357"/>
      <c r="G231" s="357"/>
      <c r="H231" s="357"/>
      <c r="I231" s="357"/>
      <c r="J231" s="357"/>
      <c r="K231" s="357"/>
      <c r="L231" s="357"/>
      <c r="M231" s="357"/>
      <c r="N231" s="357"/>
    </row>
    <row r="232" spans="1:49" s="6" customFormat="1">
      <c r="B232" s="354" t="s">
        <v>818</v>
      </c>
      <c r="C232" s="354"/>
      <c r="D232"/>
      <c r="E232"/>
      <c r="F232" s="297">
        <v>2013</v>
      </c>
      <c r="G232" s="297">
        <v>2015</v>
      </c>
      <c r="H232" s="297">
        <v>2020</v>
      </c>
      <c r="I232" s="297">
        <v>2025</v>
      </c>
      <c r="J232" s="297">
        <v>2030</v>
      </c>
      <c r="K232" s="297">
        <v>2035</v>
      </c>
      <c r="L232" s="297">
        <v>2040</v>
      </c>
      <c r="M232" s="297">
        <v>2045</v>
      </c>
      <c r="N232" s="297">
        <v>2050</v>
      </c>
    </row>
    <row r="233" spans="1:49" s="6" customFormat="1">
      <c r="B233"/>
      <c r="C233" s="2416" t="s">
        <v>1830</v>
      </c>
      <c r="D233"/>
      <c r="E233" t="s">
        <v>741</v>
      </c>
      <c r="F233" s="984">
        <f>F188/$F$87</f>
        <v>0</v>
      </c>
      <c r="G233" s="984">
        <f t="shared" ref="G233:N233" si="37">G188/$F$87</f>
        <v>0</v>
      </c>
      <c r="H233" s="984">
        <f t="shared" si="37"/>
        <v>0</v>
      </c>
      <c r="I233" s="984">
        <f t="shared" si="37"/>
        <v>0</v>
      </c>
      <c r="J233" s="984">
        <f t="shared" si="37"/>
        <v>0</v>
      </c>
      <c r="K233" s="984">
        <f t="shared" si="37"/>
        <v>0</v>
      </c>
      <c r="L233" s="984">
        <f>L188/$F$87</f>
        <v>0</v>
      </c>
      <c r="M233" s="984">
        <f t="shared" si="37"/>
        <v>0</v>
      </c>
      <c r="N233" s="984">
        <f t="shared" si="37"/>
        <v>0</v>
      </c>
    </row>
    <row r="234" spans="1:49" s="6" customFormat="1">
      <c r="B234"/>
      <c r="C234" t="s">
        <v>819</v>
      </c>
      <c r="D234"/>
      <c r="E234"/>
      <c r="F234" s="984"/>
      <c r="G234" s="984"/>
      <c r="H234" s="984"/>
      <c r="I234" s="984"/>
      <c r="J234" s="984"/>
      <c r="K234" s="984"/>
      <c r="L234" s="984"/>
      <c r="M234" s="984"/>
      <c r="N234" s="984"/>
    </row>
    <row r="235" spans="1:49" s="6" customFormat="1">
      <c r="B235"/>
      <c r="C235" t="s">
        <v>820</v>
      </c>
      <c r="D235"/>
      <c r="E235"/>
      <c r="F235" s="984"/>
      <c r="G235" s="984"/>
      <c r="H235" s="984"/>
      <c r="I235" s="984"/>
      <c r="J235" s="984"/>
      <c r="K235" s="984"/>
      <c r="L235" s="984"/>
      <c r="M235" s="984"/>
      <c r="N235" s="984"/>
    </row>
    <row r="236" spans="1:49" s="6" customFormat="1">
      <c r="B236"/>
      <c r="C236" t="str">
        <f>"Approximate build rate of "&amp;$F$87/Unit.GW&amp;" GW locations"</f>
        <v>Approximate build rate of 0.5 GW locations</v>
      </c>
      <c r="D236"/>
      <c r="E236" t="s">
        <v>743</v>
      </c>
      <c r="F236" s="983">
        <f>F167</f>
        <v>0</v>
      </c>
      <c r="G236" s="983">
        <f t="shared" ref="G236:N236" si="38">((G167-F167)/5)/$F$87</f>
        <v>0</v>
      </c>
      <c r="H236" s="983">
        <f t="shared" si="38"/>
        <v>0</v>
      </c>
      <c r="I236" s="983">
        <f t="shared" si="38"/>
        <v>0</v>
      </c>
      <c r="J236" s="983">
        <f t="shared" si="38"/>
        <v>0</v>
      </c>
      <c r="K236" s="983">
        <f t="shared" si="38"/>
        <v>0</v>
      </c>
      <c r="L236" s="983">
        <f t="shared" si="38"/>
        <v>0</v>
      </c>
      <c r="M236" s="983">
        <f t="shared" si="38"/>
        <v>0</v>
      </c>
      <c r="N236" s="983">
        <f t="shared" si="38"/>
        <v>0</v>
      </c>
      <c r="O236" s="983"/>
    </row>
    <row r="237" spans="1:49" s="6" customFormat="1">
      <c r="B237"/>
      <c r="C237"/>
      <c r="D237"/>
      <c r="E237"/>
      <c r="F237" s="983"/>
      <c r="G237" s="983"/>
      <c r="H237" s="983"/>
      <c r="I237" s="983"/>
      <c r="J237" s="983"/>
      <c r="K237" s="983"/>
      <c r="L237" s="983"/>
      <c r="M237" s="983"/>
      <c r="N237" s="983"/>
    </row>
    <row r="238" spans="1:49" s="6" customFormat="1">
      <c r="B238" s="354" t="s">
        <v>821</v>
      </c>
      <c r="C238" s="354"/>
      <c r="D238"/>
      <c r="E238"/>
      <c r="F238" s="357"/>
      <c r="G238" s="357"/>
      <c r="H238" s="357"/>
      <c r="I238" s="357"/>
      <c r="J238" s="357"/>
      <c r="K238" s="357"/>
      <c r="L238" s="357"/>
      <c r="M238" s="357"/>
      <c r="N238" s="357"/>
    </row>
    <row r="239" spans="1:49" s="6" customFormat="1">
      <c r="B239"/>
      <c r="C239" s="2416" t="s">
        <v>1830</v>
      </c>
      <c r="D239"/>
      <c r="E239" t="s">
        <v>741</v>
      </c>
      <c r="F239" s="984">
        <f>F203/$F$87</f>
        <v>0</v>
      </c>
      <c r="G239" s="984">
        <f t="shared" ref="G239:N239" si="39">G203/$F$87</f>
        <v>0</v>
      </c>
      <c r="H239" s="984">
        <f t="shared" si="39"/>
        <v>0</v>
      </c>
      <c r="I239" s="984">
        <f t="shared" si="39"/>
        <v>0</v>
      </c>
      <c r="J239" s="984">
        <f t="shared" si="39"/>
        <v>0</v>
      </c>
      <c r="K239" s="984">
        <f t="shared" si="39"/>
        <v>0</v>
      </c>
      <c r="L239" s="984">
        <f t="shared" si="39"/>
        <v>0</v>
      </c>
      <c r="M239" s="984">
        <f t="shared" si="39"/>
        <v>0</v>
      </c>
      <c r="N239" s="984">
        <f t="shared" si="39"/>
        <v>0</v>
      </c>
    </row>
    <row r="240" spans="1:49" s="6" customFormat="1">
      <c r="B240"/>
      <c r="C240" t="s">
        <v>819</v>
      </c>
      <c r="D240"/>
      <c r="E240"/>
      <c r="F240" s="984"/>
      <c r="G240" s="984"/>
      <c r="H240" s="984"/>
      <c r="I240" s="984"/>
      <c r="J240" s="984"/>
      <c r="K240" s="984"/>
      <c r="L240" s="984"/>
      <c r="M240" s="984"/>
      <c r="N240" s="984"/>
    </row>
    <row r="241" spans="1:49" s="6" customFormat="1">
      <c r="B241"/>
      <c r="C241" t="s">
        <v>820</v>
      </c>
      <c r="D241"/>
      <c r="E241"/>
      <c r="F241" s="984"/>
      <c r="G241" s="984"/>
      <c r="H241" s="984"/>
      <c r="I241" s="984"/>
      <c r="J241" s="984"/>
      <c r="K241" s="984"/>
      <c r="L241" s="984"/>
      <c r="M241" s="984"/>
      <c r="N241" s="984"/>
    </row>
    <row r="242" spans="1:49" s="6" customFormat="1">
      <c r="B242"/>
      <c r="C242" s="2416" t="s">
        <v>1838</v>
      </c>
      <c r="D242"/>
      <c r="E242" t="s">
        <v>743</v>
      </c>
      <c r="F242" s="983">
        <f>F168</f>
        <v>0</v>
      </c>
      <c r="G242" s="983">
        <f t="shared" ref="G242:N242" si="40">((G168-F168)/5)/$F$87</f>
        <v>0</v>
      </c>
      <c r="H242" s="983">
        <f t="shared" si="40"/>
        <v>0</v>
      </c>
      <c r="I242" s="983">
        <f t="shared" si="40"/>
        <v>0</v>
      </c>
      <c r="J242" s="983">
        <f t="shared" si="40"/>
        <v>0</v>
      </c>
      <c r="K242" s="983">
        <f t="shared" si="40"/>
        <v>0</v>
      </c>
      <c r="L242" s="983">
        <f t="shared" si="40"/>
        <v>0</v>
      </c>
      <c r="M242" s="983">
        <f t="shared" si="40"/>
        <v>0</v>
      </c>
      <c r="N242" s="983">
        <f t="shared" si="40"/>
        <v>0</v>
      </c>
    </row>
    <row r="243" spans="1:49" s="6" customFormat="1">
      <c r="A243" s="824"/>
      <c r="B243"/>
      <c r="C243"/>
      <c r="D243"/>
      <c r="E243"/>
      <c r="F243" s="983"/>
      <c r="G243" s="983"/>
      <c r="H243" s="983"/>
      <c r="I243" s="983"/>
      <c r="J243" s="983"/>
      <c r="K243" s="983"/>
      <c r="L243" s="983"/>
      <c r="M243" s="983"/>
      <c r="N243" s="98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row>
    <row r="244" spans="1:49" s="6" customFormat="1">
      <c r="B244" s="354" t="s">
        <v>822</v>
      </c>
      <c r="C244" s="354"/>
      <c r="D244"/>
      <c r="E244"/>
      <c r="F244" s="357"/>
      <c r="G244" s="357"/>
      <c r="H244" s="357"/>
      <c r="I244" s="357"/>
      <c r="J244" s="357"/>
      <c r="K244" s="357"/>
      <c r="L244" s="357"/>
      <c r="M244" s="357"/>
      <c r="N244" s="357"/>
    </row>
    <row r="245" spans="1:49" s="6" customFormat="1">
      <c r="B245"/>
      <c r="C245" s="2416" t="s">
        <v>1830</v>
      </c>
      <c r="D245"/>
      <c r="E245" t="s">
        <v>741</v>
      </c>
      <c r="F245" s="984">
        <f>F217/$F$87</f>
        <v>0</v>
      </c>
      <c r="G245" s="984">
        <f>G217/$F$87</f>
        <v>0</v>
      </c>
      <c r="H245" s="984">
        <f t="shared" ref="H245:N245" si="41">H217/$F$87</f>
        <v>0</v>
      </c>
      <c r="I245" s="984">
        <f t="shared" si="41"/>
        <v>0</v>
      </c>
      <c r="J245" s="984">
        <f t="shared" si="41"/>
        <v>0</v>
      </c>
      <c r="K245" s="984">
        <f t="shared" si="41"/>
        <v>0</v>
      </c>
      <c r="L245" s="984">
        <f t="shared" si="41"/>
        <v>0</v>
      </c>
      <c r="M245" s="984">
        <f t="shared" si="41"/>
        <v>0</v>
      </c>
      <c r="N245" s="984">
        <f t="shared" si="41"/>
        <v>0</v>
      </c>
    </row>
    <row r="246" spans="1:49" s="6" customFormat="1">
      <c r="B246"/>
      <c r="C246" t="s">
        <v>819</v>
      </c>
      <c r="D246"/>
      <c r="E246"/>
      <c r="F246" s="984"/>
      <c r="G246" s="984"/>
      <c r="H246" s="984"/>
      <c r="I246" s="984"/>
      <c r="J246" s="984"/>
      <c r="K246" s="984"/>
      <c r="L246" s="984"/>
      <c r="M246" s="984"/>
      <c r="N246" s="984"/>
    </row>
    <row r="247" spans="1:49" s="6" customFormat="1">
      <c r="B247"/>
      <c r="C247" t="s">
        <v>820</v>
      </c>
      <c r="D247"/>
      <c r="E247"/>
      <c r="F247" s="984"/>
      <c r="G247" s="984"/>
      <c r="H247" s="984"/>
      <c r="I247" s="984"/>
      <c r="J247" s="984"/>
      <c r="K247" s="984"/>
      <c r="L247" s="984"/>
      <c r="M247" s="984"/>
      <c r="N247" s="984"/>
    </row>
    <row r="248" spans="1:49" s="6" customFormat="1">
      <c r="B248"/>
      <c r="C248" s="2416" t="s">
        <v>1838</v>
      </c>
      <c r="D248"/>
      <c r="E248" t="s">
        <v>743</v>
      </c>
      <c r="F248" s="983">
        <f>F169</f>
        <v>0</v>
      </c>
      <c r="G248" s="983">
        <f>((G169-F169)/5)/$F$87</f>
        <v>0</v>
      </c>
      <c r="H248" s="983">
        <f t="shared" ref="H248:N248" si="42">((H169-G169)/5)/$F$87</f>
        <v>0</v>
      </c>
      <c r="I248" s="983">
        <f t="shared" si="42"/>
        <v>0</v>
      </c>
      <c r="J248" s="983">
        <f t="shared" si="42"/>
        <v>0</v>
      </c>
      <c r="K248" s="983">
        <f t="shared" si="42"/>
        <v>0</v>
      </c>
      <c r="L248" s="983">
        <f t="shared" si="42"/>
        <v>0</v>
      </c>
      <c r="M248" s="983">
        <f t="shared" si="42"/>
        <v>0</v>
      </c>
      <c r="N248" s="983">
        <f t="shared" si="42"/>
        <v>0</v>
      </c>
    </row>
    <row r="249" spans="1:49" s="6" customFormat="1">
      <c r="B249"/>
      <c r="C249"/>
      <c r="D249"/>
      <c r="E249"/>
      <c r="F249" s="984"/>
      <c r="G249" s="984"/>
      <c r="H249" s="984"/>
      <c r="I249" s="984"/>
      <c r="J249" s="984"/>
      <c r="K249" s="984"/>
      <c r="L249" s="984"/>
      <c r="M249" s="984"/>
      <c r="N249" s="984"/>
    </row>
    <row r="250" spans="1:49" s="6" customFormat="1">
      <c r="B250" s="372" t="s">
        <v>2721</v>
      </c>
      <c r="C250" s="372"/>
      <c r="F250" s="1113"/>
      <c r="G250" s="1113"/>
      <c r="H250" s="1113"/>
      <c r="I250" s="1113"/>
      <c r="J250" s="1113"/>
      <c r="K250" s="1113"/>
      <c r="L250" s="1113"/>
      <c r="M250" s="1113"/>
      <c r="N250" s="1113"/>
    </row>
    <row r="251" spans="1:49" s="824" customFormat="1" hidden="1">
      <c r="A251" s="6"/>
      <c r="B251" s="372"/>
      <c r="C251" s="372"/>
      <c r="D251" s="6"/>
      <c r="E251" s="6"/>
      <c r="F251" s="1113"/>
      <c r="G251" s="1113"/>
      <c r="H251" s="1113"/>
      <c r="I251" s="1113"/>
      <c r="J251" s="1113"/>
      <c r="K251" s="1113"/>
      <c r="L251" s="1113"/>
      <c r="M251" s="1113"/>
      <c r="N251" s="1113"/>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290</v>
      </c>
      <c r="C252"/>
      <c r="D252"/>
      <c r="E252"/>
      <c r="F252" s="984"/>
      <c r="G252" s="984"/>
      <c r="H252" s="984"/>
      <c r="I252" s="984"/>
      <c r="J252" s="984"/>
      <c r="K252" s="984"/>
      <c r="L252" s="984"/>
      <c r="M252" s="984"/>
      <c r="N252" s="984"/>
    </row>
    <row r="253" spans="1:49" s="6" customFormat="1" hidden="1">
      <c r="B253"/>
      <c r="C253" t="s">
        <v>168</v>
      </c>
      <c r="D253"/>
      <c r="E253" s="3578" t="s">
        <v>2736</v>
      </c>
      <c r="F253" s="984"/>
      <c r="G253" s="984"/>
      <c r="H253" s="984"/>
      <c r="I253" s="984"/>
      <c r="J253" s="984"/>
      <c r="K253" s="984"/>
      <c r="L253" s="984"/>
      <c r="M253" s="984"/>
      <c r="N253" s="984"/>
    </row>
    <row r="254" spans="1:49" s="6" customFormat="1" hidden="1">
      <c r="B254"/>
      <c r="C254" t="s">
        <v>172</v>
      </c>
      <c r="D254"/>
      <c r="E254" s="3578" t="s">
        <v>2736</v>
      </c>
      <c r="F254" s="984"/>
      <c r="G254" s="984"/>
      <c r="H254" s="984"/>
      <c r="I254" s="984"/>
      <c r="J254" s="984"/>
      <c r="K254" s="984"/>
      <c r="L254" s="984"/>
      <c r="M254" s="984"/>
      <c r="N254" s="984"/>
    </row>
    <row r="255" spans="1:49" s="6" customFormat="1" hidden="1">
      <c r="B255"/>
      <c r="C255" t="s">
        <v>291</v>
      </c>
      <c r="D255"/>
      <c r="E255" s="3578" t="s">
        <v>2736</v>
      </c>
      <c r="F255" s="984"/>
      <c r="G255" s="984"/>
      <c r="H255" s="984"/>
      <c r="I255" s="984"/>
      <c r="J255" s="984"/>
      <c r="K255" s="984"/>
      <c r="L255" s="984"/>
      <c r="M255" s="984"/>
      <c r="N255" s="984"/>
    </row>
    <row r="256" spans="1:49" s="6" customFormat="1" hidden="1">
      <c r="B256"/>
      <c r="C256"/>
      <c r="D256"/>
      <c r="E256"/>
      <c r="F256" s="984"/>
      <c r="G256" s="984"/>
      <c r="H256" s="984"/>
      <c r="I256" s="984"/>
      <c r="J256" s="984"/>
      <c r="K256" s="984"/>
      <c r="L256" s="984"/>
      <c r="M256" s="984"/>
      <c r="N256" s="984"/>
    </row>
    <row r="257" spans="1:15" s="6" customFormat="1" hidden="1">
      <c r="B257" t="s">
        <v>292</v>
      </c>
      <c r="C257"/>
      <c r="D257"/>
      <c r="E257"/>
      <c r="F257" s="984"/>
      <c r="G257" s="984"/>
      <c r="H257" s="984"/>
      <c r="I257" s="984"/>
      <c r="J257" s="984"/>
      <c r="K257" s="984"/>
      <c r="L257" s="984"/>
      <c r="M257" s="984"/>
      <c r="N257" s="984"/>
    </row>
    <row r="258" spans="1:15" s="6" customFormat="1" hidden="1">
      <c r="B258"/>
      <c r="C258" t="s">
        <v>168</v>
      </c>
      <c r="D258"/>
      <c r="E258" s="3578" t="s">
        <v>2736</v>
      </c>
      <c r="F258" s="984"/>
      <c r="G258" s="984"/>
      <c r="H258" s="984"/>
      <c r="I258" s="984"/>
      <c r="J258" s="984"/>
      <c r="K258" s="984"/>
      <c r="L258" s="984"/>
      <c r="M258" s="984"/>
      <c r="N258" s="984"/>
    </row>
    <row r="259" spans="1:15" s="6" customFormat="1" hidden="1">
      <c r="B259"/>
      <c r="C259" t="s">
        <v>172</v>
      </c>
      <c r="D259"/>
      <c r="E259" s="3578" t="s">
        <v>2736</v>
      </c>
      <c r="F259" s="984"/>
      <c r="G259" s="984"/>
      <c r="H259" s="984"/>
      <c r="I259" s="984"/>
      <c r="J259" s="984"/>
      <c r="K259" s="984"/>
      <c r="L259" s="984"/>
      <c r="M259" s="984"/>
      <c r="N259" s="984"/>
    </row>
    <row r="260" spans="1:15" s="6" customFormat="1" hidden="1">
      <c r="B260"/>
      <c r="C260" t="s">
        <v>291</v>
      </c>
      <c r="D260"/>
      <c r="E260" s="3578" t="s">
        <v>2736</v>
      </c>
      <c r="F260" s="984"/>
      <c r="G260" s="984"/>
      <c r="H260" s="984"/>
      <c r="I260" s="984"/>
      <c r="J260" s="984"/>
      <c r="K260" s="984"/>
      <c r="L260" s="984"/>
      <c r="M260" s="984"/>
      <c r="N260" s="984"/>
    </row>
    <row r="261" spans="1:15" s="6" customFormat="1" hidden="1">
      <c r="B261"/>
      <c r="C261"/>
      <c r="D261"/>
      <c r="E261"/>
      <c r="F261" s="984"/>
      <c r="G261" s="984"/>
      <c r="H261" s="984"/>
      <c r="I261" s="984"/>
      <c r="J261" s="984"/>
      <c r="K261" s="984"/>
      <c r="L261" s="984"/>
      <c r="M261" s="984"/>
      <c r="N261" s="984"/>
    </row>
    <row r="262" spans="1:15" s="6" customFormat="1" hidden="1">
      <c r="B262" t="s">
        <v>293</v>
      </c>
      <c r="C262"/>
      <c r="D262"/>
      <c r="E262"/>
      <c r="F262" s="297"/>
      <c r="G262" s="297"/>
      <c r="H262" s="297"/>
      <c r="I262" s="297"/>
      <c r="J262" s="297"/>
      <c r="K262" s="297"/>
      <c r="L262" s="297"/>
      <c r="M262" s="297"/>
      <c r="N262" s="297"/>
    </row>
    <row r="263" spans="1:15" s="6" customFormat="1" hidden="1">
      <c r="B263"/>
      <c r="C263" t="s">
        <v>168</v>
      </c>
      <c r="D263"/>
      <c r="E263" s="3578" t="s">
        <v>2736</v>
      </c>
      <c r="F263" s="984"/>
      <c r="G263" s="984"/>
      <c r="H263" s="984"/>
      <c r="I263" s="984"/>
      <c r="J263" s="984"/>
      <c r="K263" s="984"/>
      <c r="L263" s="984"/>
      <c r="M263" s="984"/>
      <c r="N263" s="984"/>
    </row>
    <row r="264" spans="1:15" s="6" customFormat="1" hidden="1">
      <c r="B264"/>
      <c r="C264" t="s">
        <v>172</v>
      </c>
      <c r="D264"/>
      <c r="E264" s="3578" t="s">
        <v>2736</v>
      </c>
      <c r="F264" s="984"/>
      <c r="G264" s="984"/>
      <c r="H264" s="984"/>
      <c r="I264" s="984"/>
      <c r="J264" s="984"/>
      <c r="K264" s="984"/>
      <c r="L264" s="984"/>
      <c r="M264" s="984"/>
      <c r="N264" s="984"/>
    </row>
    <row r="265" spans="1:15" s="6" customFormat="1" hidden="1">
      <c r="B265"/>
      <c r="C265" t="s">
        <v>291</v>
      </c>
      <c r="D265"/>
      <c r="E265" s="3578" t="s">
        <v>2736</v>
      </c>
      <c r="F265" s="984"/>
      <c r="G265" s="984"/>
      <c r="H265" s="984"/>
      <c r="I265" s="984"/>
      <c r="J265" s="984"/>
      <c r="K265" s="984"/>
      <c r="L265" s="984"/>
      <c r="M265" s="984"/>
      <c r="N265" s="984"/>
    </row>
    <row r="266" spans="1:15" s="6" customFormat="1" hidden="1">
      <c r="B266" s="1108"/>
      <c r="C266" s="372"/>
      <c r="F266" s="1113"/>
      <c r="G266" s="1113"/>
      <c r="H266" s="1113"/>
      <c r="I266" s="1113"/>
      <c r="J266" s="1113"/>
      <c r="K266" s="1113"/>
      <c r="L266" s="1113"/>
      <c r="M266" s="1113"/>
      <c r="N266" s="1113"/>
    </row>
    <row r="267" spans="1:15" s="6" customFormat="1">
      <c r="B267" s="372" t="s">
        <v>803</v>
      </c>
      <c r="C267" s="372"/>
      <c r="F267" s="1113" t="s">
        <v>5</v>
      </c>
      <c r="G267" s="1113"/>
      <c r="H267" s="1113"/>
      <c r="I267" s="1113"/>
      <c r="J267" s="1113"/>
      <c r="K267" s="1113"/>
      <c r="L267" s="1113"/>
      <c r="M267" s="1113"/>
      <c r="N267" s="1113"/>
    </row>
    <row r="268" spans="1:15" s="6" customFormat="1">
      <c r="B268" s="372"/>
      <c r="C268" s="372"/>
      <c r="F268" s="1113"/>
      <c r="G268" s="1113"/>
      <c r="H268" s="1113"/>
      <c r="I268" s="1113"/>
      <c r="J268" s="1113"/>
      <c r="K268" s="1113"/>
      <c r="L268" s="1113"/>
      <c r="M268" s="1113"/>
      <c r="N268" s="1113"/>
    </row>
    <row r="269" spans="1:15" s="6" customFormat="1">
      <c r="B269" s="4" t="s">
        <v>823</v>
      </c>
      <c r="C269" s="1108"/>
      <c r="F269" s="297">
        <v>2013</v>
      </c>
      <c r="G269" s="297">
        <v>2015</v>
      </c>
      <c r="H269" s="297">
        <v>2020</v>
      </c>
      <c r="I269" s="297">
        <v>2025</v>
      </c>
      <c r="J269" s="297">
        <v>2030</v>
      </c>
      <c r="K269" s="297">
        <v>2035</v>
      </c>
      <c r="L269" s="297">
        <v>2040</v>
      </c>
      <c r="M269" s="297">
        <v>2045</v>
      </c>
      <c r="N269" s="297">
        <v>2050</v>
      </c>
    </row>
    <row r="270" spans="1:15" s="6" customFormat="1">
      <c r="A270"/>
      <c r="C270" s="4" t="s">
        <v>250</v>
      </c>
      <c r="E270" s="6" t="s">
        <v>251</v>
      </c>
      <c r="F270" s="2414">
        <f>(F$198+F$213)*INDEX(EF[CO2], MATCH("V.03", EF[Vector], 0))</f>
        <v>0</v>
      </c>
      <c r="G270" s="2414">
        <f>(G$198+G$213)*INDEX(EF[CO2], MATCH("V.03", EF[Vector], 0))</f>
        <v>0</v>
      </c>
      <c r="H270" s="2414">
        <f>(H$198+H$213)*INDEX(EF[CO2], MATCH("V.03", EF[Vector], 0))</f>
        <v>0</v>
      </c>
      <c r="I270" s="2414">
        <f>(I$198+I$213)*INDEX(EF[CO2], MATCH("V.03", EF[Vector], 0))</f>
        <v>0</v>
      </c>
      <c r="J270" s="2414">
        <f>(J$198+J$213)*INDEX(EF[CO2], MATCH("V.03", EF[Vector], 0))</f>
        <v>0</v>
      </c>
      <c r="K270" s="2414">
        <f>(K$198+K$213)*INDEX(EF[CO2], MATCH("V.03", EF[Vector], 0))</f>
        <v>0</v>
      </c>
      <c r="L270" s="2414">
        <f>(L$198+L$213)*INDEX(EF[CO2], MATCH("V.03", EF[Vector], 0))</f>
        <v>0</v>
      </c>
      <c r="M270" s="2414">
        <f>(M$198+M$213)*INDEX(EF[CO2], MATCH("V.03", EF[Vector], 0))</f>
        <v>0</v>
      </c>
      <c r="N270" s="2414">
        <f>(N$198+N$213)*INDEX(EF[CO2], MATCH("V.03", EF[Vector], 0))</f>
        <v>0</v>
      </c>
    </row>
    <row r="271" spans="1:15" s="6" customFormat="1">
      <c r="A271"/>
      <c r="C271" s="4" t="s">
        <v>252</v>
      </c>
      <c r="E271" s="6" t="s">
        <v>251</v>
      </c>
      <c r="F271" s="2414">
        <f>(F$198+F$213)*INDEX(EF[CH4], MATCH("V.03", EF[Vector], 0))</f>
        <v>0</v>
      </c>
      <c r="G271" s="2414">
        <f>(G$198+G$213)*INDEX(EF[CH4], MATCH("V.03", EF[Vector], 0))</f>
        <v>0</v>
      </c>
      <c r="H271" s="2414">
        <f>(H$198+H$213)*INDEX(EF[CH4], MATCH("V.03", EF[Vector], 0))</f>
        <v>0</v>
      </c>
      <c r="I271" s="2414">
        <f>(I$198+I$213)*INDEX(EF[CH4], MATCH("V.03", EF[Vector], 0))</f>
        <v>0</v>
      </c>
      <c r="J271" s="2414">
        <f>(J$198+J$213)*INDEX(EF[CH4], MATCH("V.03", EF[Vector], 0))</f>
        <v>0</v>
      </c>
      <c r="K271" s="2414">
        <f>(K$198+K$213)*INDEX(EF[CH4], MATCH("V.03", EF[Vector], 0))</f>
        <v>0</v>
      </c>
      <c r="L271" s="2414">
        <f>(L$198+L$213)*INDEX(EF[CH4], MATCH("V.03", EF[Vector], 0))</f>
        <v>0</v>
      </c>
      <c r="M271" s="2414">
        <f>(M$198+M$213)*INDEX(EF[CH4], MATCH("V.03", EF[Vector], 0))</f>
        <v>0</v>
      </c>
      <c r="N271" s="2414">
        <f>(N$198+N$213)*INDEX(EF[CH4], MATCH("V.03", EF[Vector], 0))</f>
        <v>0</v>
      </c>
    </row>
    <row r="272" spans="1:15" s="6" customFormat="1">
      <c r="A272"/>
      <c r="C272" s="4" t="s">
        <v>253</v>
      </c>
      <c r="E272" s="6" t="s">
        <v>251</v>
      </c>
      <c r="F272" s="2414">
        <f>(F$198+F$213)*INDEX(EF[N2O], MATCH("V.03", EF[Vector], 0))</f>
        <v>0</v>
      </c>
      <c r="G272" s="2414">
        <f>(G$198+G$213)*INDEX(EF[N2O], MATCH("V.03", EF[Vector], 0))</f>
        <v>0</v>
      </c>
      <c r="H272" s="2414">
        <f>(H$198+H$213)*INDEX(EF[N2O], MATCH("V.03", EF[Vector], 0))</f>
        <v>0</v>
      </c>
      <c r="I272" s="2414">
        <f>(I$198+I$213)*INDEX(EF[N2O], MATCH("V.03", EF[Vector], 0))</f>
        <v>0</v>
      </c>
      <c r="J272" s="2414">
        <f>(J$198+J$213)*INDEX(EF[N2O], MATCH("V.03", EF[Vector], 0))</f>
        <v>0</v>
      </c>
      <c r="K272" s="2414">
        <f>(K$198+K$213)*INDEX(EF[N2O], MATCH("V.03", EF[Vector], 0))</f>
        <v>0</v>
      </c>
      <c r="L272" s="2414">
        <f>(L$198+L$213)*INDEX(EF[N2O], MATCH("V.03", EF[Vector], 0))</f>
        <v>0</v>
      </c>
      <c r="M272" s="2414">
        <f>(M$198+M$213)*INDEX(EF[N2O], MATCH("V.03", EF[Vector], 0))</f>
        <v>0</v>
      </c>
      <c r="N272" s="2414">
        <f>(N$198+N$213)*INDEX(EF[N2O], MATCH("V.03", EF[Vector], 0))</f>
        <v>0</v>
      </c>
      <c r="O272" s="2414"/>
    </row>
    <row r="273" spans="1:14" s="6" customFormat="1">
      <c r="C273" s="1108"/>
      <c r="F273" s="1113"/>
      <c r="G273" s="1113"/>
      <c r="H273" s="1113"/>
      <c r="I273" s="1113"/>
      <c r="J273" s="1113"/>
      <c r="K273" s="1113"/>
      <c r="L273" s="1113"/>
      <c r="M273" s="1113"/>
      <c r="N273" s="1113"/>
    </row>
    <row r="274" spans="1:14" s="6" customFormat="1">
      <c r="B274" s="4" t="s">
        <v>824</v>
      </c>
      <c r="C274" s="1108"/>
      <c r="F274" s="1113"/>
      <c r="G274" s="1113" t="s">
        <v>5</v>
      </c>
      <c r="H274" s="1113"/>
      <c r="I274" s="1113"/>
      <c r="J274" s="1113"/>
      <c r="K274" s="1113"/>
      <c r="L274" s="1113"/>
      <c r="M274" s="1113"/>
      <c r="N274" s="1113"/>
    </row>
    <row r="275" spans="1:14" s="6" customFormat="1">
      <c r="A275"/>
      <c r="C275" s="4" t="s">
        <v>250</v>
      </c>
      <c r="E275" s="6" t="s">
        <v>251</v>
      </c>
      <c r="F275" s="2414">
        <f>(F$227)*INDEX(EF[CO2], MATCH("V.05", EF[Vector], 0))</f>
        <v>0</v>
      </c>
      <c r="G275" s="2414">
        <f>(G$227)*INDEX(EF[CO2], MATCH("V.05", EF[Vector], 0))</f>
        <v>0</v>
      </c>
      <c r="H275" s="2414">
        <f>(H$227)*INDEX(EF[CO2], MATCH("V.05", EF[Vector], 0))</f>
        <v>0</v>
      </c>
      <c r="I275" s="2414">
        <f>(I$227)*INDEX(EF[CO2], MATCH("V.05", EF[Vector], 0))</f>
        <v>0</v>
      </c>
      <c r="J275" s="2414">
        <f>(J$227)*INDEX(EF[CO2], MATCH("V.05", EF[Vector], 0))</f>
        <v>0</v>
      </c>
      <c r="K275" s="2414">
        <f>(K$227)*INDEX(EF[CO2], MATCH("V.05", EF[Vector], 0))</f>
        <v>0</v>
      </c>
      <c r="L275" s="2414">
        <f>(L$227)*INDEX(EF[CO2], MATCH("V.05", EF[Vector], 0))</f>
        <v>0</v>
      </c>
      <c r="M275" s="2414">
        <f>(M$227)*INDEX(EF[CO2], MATCH("V.05", EF[Vector], 0))</f>
        <v>0</v>
      </c>
      <c r="N275" s="2414">
        <f>(N$227)*INDEX(EF[CO2], MATCH("V.05", EF[Vector], 0))</f>
        <v>0</v>
      </c>
    </row>
    <row r="276" spans="1:14" s="6" customFormat="1">
      <c r="A276"/>
      <c r="C276" s="4" t="s">
        <v>252</v>
      </c>
      <c r="E276" s="6" t="s">
        <v>251</v>
      </c>
      <c r="F276" s="2414">
        <f>F$227*INDEX(EF[CH4], MATCH("V.05", EF[Vector], 0))</f>
        <v>0</v>
      </c>
      <c r="G276" s="2414">
        <f>G$227*INDEX(EF[CH4], MATCH("V.05", EF[Vector], 0))</f>
        <v>0</v>
      </c>
      <c r="H276" s="2414">
        <f>H$227*INDEX(EF[CH4], MATCH("V.05", EF[Vector], 0))</f>
        <v>0</v>
      </c>
      <c r="I276" s="2414">
        <f>I$227*INDEX(EF[CH4], MATCH("V.05", EF[Vector], 0))</f>
        <v>0</v>
      </c>
      <c r="J276" s="2414">
        <f>J$227*INDEX(EF[CH4], MATCH("V.05", EF[Vector], 0))</f>
        <v>0</v>
      </c>
      <c r="K276" s="2414">
        <f>K$227*INDEX(EF[CH4], MATCH("V.05", EF[Vector], 0))</f>
        <v>0</v>
      </c>
      <c r="L276" s="2414">
        <f>L$227*INDEX(EF[CH4], MATCH("V.05", EF[Vector], 0))</f>
        <v>0</v>
      </c>
      <c r="M276" s="2414">
        <f>M$227*INDEX(EF[CH4], MATCH("V.05", EF[Vector], 0))</f>
        <v>0</v>
      </c>
      <c r="N276" s="2414">
        <f>N$227*INDEX(EF[CH4], MATCH("V.05", EF[Vector], 0))</f>
        <v>0</v>
      </c>
    </row>
    <row r="277" spans="1:14" s="6" customFormat="1">
      <c r="A277"/>
      <c r="C277" s="4" t="s">
        <v>253</v>
      </c>
      <c r="E277" s="6" t="s">
        <v>251</v>
      </c>
      <c r="F277" s="2414">
        <f>F$227*INDEX(EF[N2O], MATCH("V.05",EF[Vector], 0))</f>
        <v>0</v>
      </c>
      <c r="G277" s="2414">
        <f>G$227*INDEX(EF[N2O], MATCH("V.05",EF[Vector], 0))</f>
        <v>0</v>
      </c>
      <c r="H277" s="2414">
        <f>H$227*INDEX(EF[N2O], MATCH("V.05",EF[Vector], 0))</f>
        <v>0</v>
      </c>
      <c r="I277" s="2414">
        <f>I$227*INDEX(EF[N2O], MATCH("V.05",EF[Vector], 0))</f>
        <v>0</v>
      </c>
      <c r="J277" s="2414">
        <f>J$227*INDEX(EF[N2O], MATCH("V.05",EF[Vector], 0))</f>
        <v>0</v>
      </c>
      <c r="K277" s="2414">
        <f>K$227*INDEX(EF[N2O], MATCH("V.05",EF[Vector], 0))</f>
        <v>0</v>
      </c>
      <c r="L277" s="2414">
        <f>L$227*INDEX(EF[N2O], MATCH("V.05",EF[Vector], 0))</f>
        <v>0</v>
      </c>
      <c r="M277" s="2414">
        <f>M$227*INDEX(EF[N2O], MATCH("V.05",EF[Vector], 0))</f>
        <v>0</v>
      </c>
      <c r="N277" s="2414">
        <f>N$227*INDEX(EF[N2O], MATCH("V.05",EF[Vector], 0))</f>
        <v>0</v>
      </c>
    </row>
    <row r="278" spans="1:14" s="6" customFormat="1">
      <c r="C278" s="4"/>
      <c r="F278" s="1114"/>
      <c r="G278" s="1114"/>
      <c r="H278" s="1114"/>
      <c r="I278" s="1114"/>
      <c r="J278" s="1114"/>
      <c r="K278" s="1114"/>
      <c r="L278" s="1114"/>
      <c r="M278" s="1114"/>
      <c r="N278" s="1114"/>
    </row>
    <row r="279" spans="1:14" s="6" customFormat="1">
      <c r="B279" s="4" t="s">
        <v>825</v>
      </c>
      <c r="C279" s="1108"/>
      <c r="F279" s="1113"/>
      <c r="G279" s="1113"/>
      <c r="H279" s="1113"/>
      <c r="I279" s="1113"/>
      <c r="J279" s="1113"/>
      <c r="K279" s="1113"/>
      <c r="L279" s="1113"/>
      <c r="M279" s="1113"/>
      <c r="N279" s="1113"/>
    </row>
    <row r="280" spans="1:14" s="6" customFormat="1">
      <c r="C280" s="4" t="s">
        <v>250</v>
      </c>
      <c r="E280" s="6" t="s">
        <v>251</v>
      </c>
      <c r="F280" s="1114">
        <f t="shared" ref="F280:M280" si="43">(F275+F270)*F$82</f>
        <v>0</v>
      </c>
      <c r="G280" s="1114">
        <f t="shared" si="43"/>
        <v>0</v>
      </c>
      <c r="H280" s="1114">
        <f t="shared" si="43"/>
        <v>0</v>
      </c>
      <c r="I280" s="1114">
        <f t="shared" si="43"/>
        <v>0</v>
      </c>
      <c r="J280" s="1114">
        <f t="shared" si="43"/>
        <v>0</v>
      </c>
      <c r="K280" s="1114">
        <f t="shared" si="43"/>
        <v>0</v>
      </c>
      <c r="L280" s="1114">
        <f t="shared" si="43"/>
        <v>0</v>
      </c>
      <c r="M280" s="1114">
        <f t="shared" si="43"/>
        <v>0</v>
      </c>
      <c r="N280" s="1114">
        <f>(N275+N270)*N$82</f>
        <v>0</v>
      </c>
    </row>
    <row r="281" spans="1:14" s="6" customFormat="1"/>
    <row r="282" spans="1:14" s="6" customFormat="1">
      <c r="B282" s="6" t="s">
        <v>826</v>
      </c>
    </row>
    <row r="283" spans="1:14" s="6" customFormat="1">
      <c r="C283" s="6" t="s">
        <v>97</v>
      </c>
      <c r="D283" s="6" t="s">
        <v>16</v>
      </c>
      <c r="F283" s="1115">
        <f>-F303</f>
        <v>0</v>
      </c>
      <c r="G283" s="1115">
        <f t="shared" ref="G283:N284" si="44">-G303</f>
        <v>0</v>
      </c>
      <c r="H283" s="1116">
        <f t="shared" si="44"/>
        <v>0</v>
      </c>
      <c r="I283" s="1116">
        <f t="shared" si="44"/>
        <v>0</v>
      </c>
      <c r="J283" s="1116">
        <f t="shared" si="44"/>
        <v>0</v>
      </c>
      <c r="K283" s="1116">
        <f t="shared" si="44"/>
        <v>0</v>
      </c>
      <c r="L283" s="1116">
        <f t="shared" si="44"/>
        <v>0</v>
      </c>
      <c r="M283" s="1116">
        <f t="shared" si="44"/>
        <v>0</v>
      </c>
      <c r="N283" s="1116">
        <f t="shared" si="44"/>
        <v>0</v>
      </c>
    </row>
    <row r="284" spans="1:14" s="6" customFormat="1">
      <c r="C284" s="6" t="s">
        <v>99</v>
      </c>
      <c r="D284" s="6" t="s">
        <v>15</v>
      </c>
      <c r="F284" s="1115">
        <f>-F304</f>
        <v>0</v>
      </c>
      <c r="G284" s="1115">
        <f t="shared" si="44"/>
        <v>0</v>
      </c>
      <c r="H284" s="1116">
        <f t="shared" si="44"/>
        <v>0</v>
      </c>
      <c r="I284" s="1116">
        <f t="shared" si="44"/>
        <v>0</v>
      </c>
      <c r="J284" s="1116">
        <f t="shared" si="44"/>
        <v>0</v>
      </c>
      <c r="K284" s="1116">
        <f t="shared" si="44"/>
        <v>0</v>
      </c>
      <c r="L284" s="1116">
        <f t="shared" si="44"/>
        <v>0</v>
      </c>
      <c r="M284" s="1116">
        <f t="shared" si="44"/>
        <v>0</v>
      </c>
      <c r="N284" s="1116">
        <f t="shared" si="44"/>
        <v>0</v>
      </c>
    </row>
    <row r="285" spans="1:14" s="6" customFormat="1">
      <c r="F285" s="1115"/>
      <c r="G285" s="1116"/>
      <c r="H285" s="1116"/>
      <c r="I285" s="1116"/>
      <c r="J285" s="1116"/>
      <c r="K285" s="1116"/>
      <c r="L285" s="1116"/>
      <c r="M285" s="1116"/>
      <c r="N285" s="1116"/>
    </row>
    <row r="286" spans="1:14" s="6" customFormat="1">
      <c r="A286"/>
      <c r="C286" s="824" t="s">
        <v>827</v>
      </c>
      <c r="D286" s="6" t="s">
        <v>146</v>
      </c>
      <c r="F286" s="415">
        <f ca="1">F283*(1-'Intermediate output'!AY253)</f>
        <v>0</v>
      </c>
      <c r="G286" s="415">
        <f ca="1">G283*(1-'Intermediate output'!AZ253)</f>
        <v>0</v>
      </c>
      <c r="H286" s="415">
        <f ca="1">H283*(1-'Intermediate output'!BA253)</f>
        <v>0</v>
      </c>
      <c r="I286" s="415">
        <f ca="1">I283*(1-'Intermediate output'!BB253)</f>
        <v>0</v>
      </c>
      <c r="J286" s="415">
        <f ca="1">J283*(1-'Intermediate output'!BC253)</f>
        <v>0</v>
      </c>
      <c r="K286" s="415">
        <f ca="1">K283*(1-'Intermediate output'!BD253)</f>
        <v>0</v>
      </c>
      <c r="L286" s="415">
        <f ca="1">L283*(1-'Intermediate output'!BE253)</f>
        <v>0</v>
      </c>
      <c r="M286" s="415">
        <f ca="1">M283*(1-'Intermediate output'!BF253)</f>
        <v>0</v>
      </c>
      <c r="N286" s="415">
        <f ca="1">N283*(1-'Intermediate output'!BG253)</f>
        <v>0</v>
      </c>
    </row>
    <row r="287" spans="1:14" s="6" customFormat="1">
      <c r="A287"/>
      <c r="D287" s="6" t="s">
        <v>147</v>
      </c>
      <c r="F287" s="415">
        <f ca="1">F283*'Intermediate output'!AY253</f>
        <v>0</v>
      </c>
      <c r="G287" s="415">
        <f ca="1">G283*'Intermediate output'!AZ253</f>
        <v>0</v>
      </c>
      <c r="H287" s="415">
        <f ca="1">H283*'Intermediate output'!BA253</f>
        <v>0</v>
      </c>
      <c r="I287" s="415">
        <f ca="1">I283*'Intermediate output'!BB253</f>
        <v>0</v>
      </c>
      <c r="J287" s="415">
        <f ca="1">J283*'Intermediate output'!BC253</f>
        <v>0</v>
      </c>
      <c r="K287" s="415">
        <f ca="1">K283*'Intermediate output'!BD253</f>
        <v>0</v>
      </c>
      <c r="L287" s="415">
        <f ca="1">L283*'Intermediate output'!BE253</f>
        <v>0</v>
      </c>
      <c r="M287" s="415">
        <f ca="1">M283*'Intermediate output'!BF253</f>
        <v>0</v>
      </c>
      <c r="N287" s="415">
        <f ca="1">N283*'Intermediate output'!BG253</f>
        <v>0</v>
      </c>
    </row>
    <row r="288" spans="1:14" s="6" customFormat="1">
      <c r="A288"/>
      <c r="D288" s="6" t="s">
        <v>828</v>
      </c>
      <c r="F288" s="415">
        <f ca="1">F$284*(1-'Intermediate output'!AY$255)</f>
        <v>0</v>
      </c>
      <c r="G288" s="415">
        <f ca="1">G$284*(1-'Intermediate output'!AZ$255)</f>
        <v>0</v>
      </c>
      <c r="H288" s="415">
        <f ca="1">H$284*(1-'Intermediate output'!BA$255)</f>
        <v>0</v>
      </c>
      <c r="I288" s="415">
        <f ca="1">I$284*(1-'Intermediate output'!BB$255)</f>
        <v>0</v>
      </c>
      <c r="J288" s="415">
        <f ca="1">J$284*(1-'Intermediate output'!BC$255)</f>
        <v>0</v>
      </c>
      <c r="K288" s="415">
        <f ca="1">K$284*(1-'Intermediate output'!BD$255)</f>
        <v>0</v>
      </c>
      <c r="L288" s="415">
        <f ca="1">L$284*(1-'Intermediate output'!BE$255)</f>
        <v>0</v>
      </c>
      <c r="M288" s="415">
        <f ca="1">M$284*(1-'Intermediate output'!BF$255)</f>
        <v>0</v>
      </c>
      <c r="N288" s="415">
        <f ca="1">N$284*(1-'Intermediate output'!BG$255)</f>
        <v>0</v>
      </c>
    </row>
    <row r="289" spans="1:25" s="6" customFormat="1">
      <c r="A289"/>
      <c r="D289" s="6" t="s">
        <v>829</v>
      </c>
      <c r="F289" s="415">
        <f ca="1">F$284*'Intermediate output'!AY$255</f>
        <v>0</v>
      </c>
      <c r="G289" s="415">
        <f ca="1">G$284*'Intermediate output'!AZ$255</f>
        <v>0</v>
      </c>
      <c r="H289" s="415">
        <f ca="1">H$284*'Intermediate output'!BA$255</f>
        <v>0</v>
      </c>
      <c r="I289" s="415">
        <f ca="1">I$284*'Intermediate output'!BB$255</f>
        <v>0</v>
      </c>
      <c r="J289" s="415">
        <f ca="1">J$284*'Intermediate output'!BC$255</f>
        <v>0</v>
      </c>
      <c r="K289" s="415">
        <f ca="1">K$284*'Intermediate output'!BD$255</f>
        <v>0</v>
      </c>
      <c r="L289" s="415">
        <f ca="1">L$284*'Intermediate output'!BE$255</f>
        <v>0</v>
      </c>
      <c r="M289" s="415">
        <f ca="1">M$284*'Intermediate output'!BF$255</f>
        <v>0</v>
      </c>
      <c r="N289" s="415">
        <f ca="1">N$284*'Intermediate output'!BG$255</f>
        <v>0</v>
      </c>
    </row>
    <row r="290" spans="1:25" s="6" customFormat="1">
      <c r="G290" s="1116"/>
      <c r="H290" s="1116"/>
      <c r="I290" s="1116"/>
      <c r="J290" s="1116"/>
      <c r="K290" s="1116"/>
      <c r="L290" s="1116"/>
      <c r="M290" s="1116"/>
      <c r="N290" s="1116"/>
    </row>
    <row r="291" spans="1:25" s="6" customFormat="1">
      <c r="B291" s="6" t="s">
        <v>830</v>
      </c>
      <c r="F291" s="297">
        <v>2013</v>
      </c>
      <c r="G291" s="297">
        <v>2015</v>
      </c>
      <c r="H291" s="297">
        <v>2020</v>
      </c>
      <c r="I291" s="297">
        <v>2025</v>
      </c>
      <c r="J291" s="297">
        <v>2030</v>
      </c>
      <c r="K291" s="297">
        <v>2035</v>
      </c>
      <c r="L291" s="297">
        <v>2040</v>
      </c>
      <c r="M291" s="297">
        <v>2045</v>
      </c>
      <c r="N291" s="297">
        <v>2050</v>
      </c>
    </row>
    <row r="292" spans="1:25" s="6" customFormat="1">
      <c r="C292" s="6" t="str">
        <f>INDEX(AirQualityVectors[Code],MATCH(D292,AirQualityVectors[Description],0))</f>
        <v>AQ.01</v>
      </c>
      <c r="D292" s="6" t="s">
        <v>258</v>
      </c>
      <c r="E292" s="6" t="s">
        <v>831</v>
      </c>
      <c r="F292" s="2415">
        <f ca="1">(F$286*F$92)+(F$287*F$92*Constants!$F$35)+(F$288*F$93)+(F$289*F$93*Constants!$F$37)</f>
        <v>0</v>
      </c>
      <c r="G292" s="2415">
        <f ca="1">(G$286*G$92)+(G$287*G$92*Constants!$F$35)+(G$288*G$93)+(G$289*G$93*Constants!$F$37)</f>
        <v>0</v>
      </c>
      <c r="H292" s="2415">
        <f ca="1">(H$286*H$92)+(H$287*H$92*Constants!$F$35)+(H$288*H$93)+(H$289*H$93*Constants!$F$37)</f>
        <v>0</v>
      </c>
      <c r="I292" s="2415">
        <f ca="1">(I$286*I$92)+(I$287*I$92*Constants!$F$35)+(I$288*I$93)+(I$289*I$93*Constants!$F$37)</f>
        <v>0</v>
      </c>
      <c r="J292" s="2415">
        <f ca="1">(J$286*J$92)+(J$287*J$92*Constants!$F$35)+(J$288*J$93)+(J$289*J$93*Constants!$F$37)</f>
        <v>0</v>
      </c>
      <c r="K292" s="2415">
        <f ca="1">(K$286*K$92)+(K$287*K$92*Constants!$F$35)+(K$288*K$93)+(K$289*K$93*Constants!$F$37)</f>
        <v>0</v>
      </c>
      <c r="L292" s="2415">
        <f ca="1">(L$286*L$92)+(L$287*L$92*Constants!$F$35)+(L$288*L$93)+(L$289*L$93*Constants!$F$37)</f>
        <v>0</v>
      </c>
      <c r="M292" s="2415">
        <f ca="1">(M$286*M$92)+(M$287*M$92*Constants!$F$35)+(M$288*M$93)+(M$289*M$93*Constants!$F$37)</f>
        <v>0</v>
      </c>
      <c r="N292" s="2415">
        <f ca="1">(N$286*N$92)+(N$287*N$92*Constants!$F$35)+(N$288*N$93)+(N$289*N$93*Constants!$F$37)</f>
        <v>0</v>
      </c>
      <c r="P292" s="415" t="s">
        <v>1839</v>
      </c>
      <c r="Q292" s="415"/>
      <c r="R292" s="415"/>
      <c r="S292" s="415"/>
      <c r="T292" s="415"/>
      <c r="U292" s="415"/>
      <c r="V292" s="415"/>
      <c r="W292" s="415"/>
      <c r="X292" s="415"/>
      <c r="Y292" s="415"/>
    </row>
    <row r="293" spans="1:25" s="6" customFormat="1">
      <c r="C293" s="6" t="str">
        <f>INDEX(AirQualityVectors[Code],MATCH(D293,AirQualityVectors[Description],0))</f>
        <v>AQ.02</v>
      </c>
      <c r="D293" s="6" t="s">
        <v>260</v>
      </c>
      <c r="F293" s="2415">
        <f ca="1">(F$286*F$98)+(F$287*F$98*Constants!$G$35)+(F$288*F$99)+(F$289*F$99*Constants!$G$37)</f>
        <v>0</v>
      </c>
      <c r="G293" s="2415">
        <f ca="1">(G$286*G$98)+(G$287*G$98*Constants!$G$35)+(G$288*G$99)+(G$289*G$99*Constants!$G$37)</f>
        <v>0</v>
      </c>
      <c r="H293" s="2415">
        <f ca="1">(H$286*H$98)+(H$287*H$98*Constants!$G$35)+(H$288*H$99)+(H$289*H$99*Constants!$G$37)</f>
        <v>0</v>
      </c>
      <c r="I293" s="2415">
        <f ca="1">(I$286*I$98)+(I$287*I$98*Constants!$G$35)+(I$288*I$99)+(I$289*I$99*Constants!$G$37)</f>
        <v>0</v>
      </c>
      <c r="J293" s="2415">
        <f ca="1">(J$286*J$98)+(J$287*J$98*Constants!$G$35)+(J$288*J$99)+(J$289*J$99*Constants!$G$37)</f>
        <v>0</v>
      </c>
      <c r="K293" s="2415">
        <f ca="1">(K$286*K$98)+(K$287*K$98*Constants!$G$35)+(K$288*K$99)+(K$289*K$99*Constants!$G$37)</f>
        <v>0</v>
      </c>
      <c r="L293" s="2415">
        <f ca="1">(L$286*L$98)+(L$287*L$98*Constants!$G$35)+(L$288*L$99)+(L$289*L$99*Constants!$G$37)</f>
        <v>0</v>
      </c>
      <c r="M293" s="2415">
        <f ca="1">(M$286*M$98)+(M$287*M$98*Constants!$G$35)+(M$288*M$99)+(M$289*M$99*Constants!$G$37)</f>
        <v>0</v>
      </c>
      <c r="N293" s="2415">
        <f ca="1">(N$286*N$98)+(N$287*N$98*Constants!$G$35)+(N$288*N$99)+(N$289*N$99*Constants!$G$37)</f>
        <v>0</v>
      </c>
      <c r="P293" s="415" t="s">
        <v>1839</v>
      </c>
      <c r="Q293" s="415"/>
      <c r="R293" s="415"/>
      <c r="S293" s="415"/>
      <c r="T293" s="415"/>
      <c r="U293" s="415"/>
      <c r="V293" s="415"/>
      <c r="W293" s="415"/>
      <c r="X293" s="415"/>
      <c r="Y293" s="415"/>
    </row>
    <row r="294" spans="1:25" s="6" customFormat="1">
      <c r="C294" s="6" t="str">
        <f>INDEX(AirQualityVectors[Code],MATCH(D294,AirQualityVectors[Description],0))</f>
        <v>AQ.03</v>
      </c>
      <c r="D294" s="6" t="s">
        <v>262</v>
      </c>
      <c r="F294" s="2415">
        <f ca="1">(F$286*F$104)+(F$287*F$104*Constants!$H$35)+(F$288*F$105)+(F$289*F$105*Constants!$H$37)</f>
        <v>0</v>
      </c>
      <c r="G294" s="2415">
        <f ca="1">(G$286*G$104)+(G$287*G$104*Constants!$H$35)+(G$288*G$105)+(G$289*G$105*Constants!$H$37)</f>
        <v>0</v>
      </c>
      <c r="H294" s="2415">
        <f ca="1">(H$286*H$104)+(H$287*H$104*Constants!$H$35)+(H$288*H$105)+(H$289*H$105*Constants!$H$37)</f>
        <v>0</v>
      </c>
      <c r="I294" s="2415">
        <f ca="1">(I$286*I$104)+(I$287*I$104*Constants!$H$35)+(I$288*I$105)+(I$289*I$105*Constants!$H$37)</f>
        <v>0</v>
      </c>
      <c r="J294" s="2415">
        <f ca="1">(J$286*J$104)+(J$287*J$104*Constants!$H$35)+(J$288*J$105)+(J$289*J$105*Constants!$H$37)</f>
        <v>0</v>
      </c>
      <c r="K294" s="2415">
        <f ca="1">(K$286*K$104)+(K$287*K$104*Constants!$H$35)+(K$288*K$105)+(K$289*K$105*Constants!$H$37)</f>
        <v>0</v>
      </c>
      <c r="L294" s="2415">
        <f ca="1">(L$286*L$104)+(L$287*L$104*Constants!$H$35)+(L$288*L$105)+(L$289*L$105*Constants!$H$37)</f>
        <v>0</v>
      </c>
      <c r="M294" s="2415">
        <f ca="1">(M$286*M$104)+(M$287*M$104*Constants!$H$35)+(M$288*M$105)+(M$289*M$105*Constants!$H$37)</f>
        <v>0</v>
      </c>
      <c r="N294" s="2415">
        <f ca="1">(N$286*N$104)+(N$287*N$104*Constants!$H$35)+(N$288*N$105)+(N$289*N$105*Constants!$H$37)</f>
        <v>0</v>
      </c>
      <c r="P294" s="415" t="s">
        <v>1839</v>
      </c>
      <c r="Q294" s="415"/>
      <c r="R294" s="415"/>
      <c r="S294" s="415"/>
      <c r="T294" s="415"/>
      <c r="U294" s="415"/>
      <c r="V294" s="415"/>
      <c r="W294" s="415"/>
      <c r="X294" s="415"/>
      <c r="Y294" s="415"/>
    </row>
    <row r="295" spans="1:25" s="6" customFormat="1">
      <c r="C295" s="6" t="str">
        <f>INDEX(AirQualityVectors[Code],MATCH(D295,AirQualityVectors[Description],0))</f>
        <v>AQ.04</v>
      </c>
      <c r="D295" s="6" t="s">
        <v>264</v>
      </c>
      <c r="F295" s="2415">
        <f ca="1">(F$286*F$110)+(F$287*F$110*Constants!$I$35)+(F$288*F$111)+(F$289*F$111*Constants!$I$37)</f>
        <v>0</v>
      </c>
      <c r="G295" s="2415">
        <f ca="1">(G$286*G$110)+(G$287*G$110*Constants!$I$35)+(G$288*G$111)+(G$289*G$111*Constants!$I$37)</f>
        <v>0</v>
      </c>
      <c r="H295" s="2415">
        <f ca="1">(H$286*H$110)+(H$287*H$110*Constants!$I$35)+(H$288*H$111)+(H$289*H$111*Constants!$I$37)</f>
        <v>0</v>
      </c>
      <c r="I295" s="2415">
        <f ca="1">(I$286*I$110)+(I$287*I$110*Constants!$I$35)+(I$288*I$111)+(I$289*I$111*Constants!$I$37)</f>
        <v>0</v>
      </c>
      <c r="J295" s="2415">
        <f ca="1">(J$286*J$110)+(J$287*J$110*Constants!$I$35)+(J$288*J$111)+(J$289*J$111*Constants!$I$37)</f>
        <v>0</v>
      </c>
      <c r="K295" s="2415">
        <f ca="1">(K$286*K$110)+(K$287*K$110*Constants!$I$35)+(K$288*K$111)+(K$289*K$111*Constants!$I$37)</f>
        <v>0</v>
      </c>
      <c r="L295" s="2415">
        <f ca="1">(L$286*L$110)+(L$287*L$110*Constants!$I$35)+(L$288*L$111)+(L$289*L$111*Constants!$I$37)</f>
        <v>0</v>
      </c>
      <c r="M295" s="2415">
        <f ca="1">(M$286*M$110)+(M$287*M$110*Constants!$I$35)+(M$288*M$111)+(M$289*M$111*Constants!$I$37)</f>
        <v>0</v>
      </c>
      <c r="N295" s="2415">
        <f ca="1">(N$286*N$110)+(N$287*N$110*Constants!$I$35)+(N$288*N$111)+(N$289*N$111*Constants!$I$37)</f>
        <v>0</v>
      </c>
      <c r="P295" s="415" t="s">
        <v>1839</v>
      </c>
      <c r="Q295" s="415"/>
      <c r="R295" s="415"/>
      <c r="S295" s="415"/>
      <c r="T295" s="415"/>
      <c r="U295" s="415"/>
      <c r="V295" s="415"/>
      <c r="W295" s="415"/>
      <c r="X295" s="415"/>
      <c r="Y295" s="415"/>
    </row>
    <row r="296" spans="1:25" s="6" customFormat="1">
      <c r="B296"/>
      <c r="C296"/>
      <c r="D296"/>
      <c r="E296"/>
      <c r="F296"/>
      <c r="G296"/>
      <c r="H296"/>
      <c r="I296"/>
      <c r="J296"/>
      <c r="K296"/>
      <c r="L296"/>
      <c r="M296"/>
      <c r="N296"/>
      <c r="O296" s="2416" t="s">
        <v>5</v>
      </c>
      <c r="P296"/>
    </row>
    <row r="297" spans="1:25" s="6" customFormat="1" ht="15">
      <c r="B297" s="502" t="s">
        <v>296</v>
      </c>
      <c r="C297" s="856"/>
      <c r="D297" s="503"/>
      <c r="E297" s="503"/>
      <c r="F297" s="503"/>
      <c r="G297" s="503"/>
      <c r="H297" s="503"/>
      <c r="I297" s="503"/>
      <c r="J297" s="503"/>
      <c r="K297" s="503"/>
      <c r="L297" s="503"/>
      <c r="M297" s="503"/>
      <c r="N297" s="503"/>
      <c r="O297" s="857"/>
      <c r="P297"/>
    </row>
    <row r="298" spans="1:25" s="6" customFormat="1">
      <c r="B298" s="862"/>
      <c r="C298" s="506"/>
      <c r="D298" s="506"/>
      <c r="E298" s="506"/>
      <c r="F298" s="506"/>
      <c r="G298" s="506"/>
      <c r="H298" s="506"/>
      <c r="I298" s="506"/>
      <c r="J298" s="506"/>
      <c r="K298" s="506"/>
      <c r="L298" s="506"/>
      <c r="M298" s="506"/>
      <c r="N298" s="506"/>
      <c r="O298" s="858"/>
      <c r="P298"/>
    </row>
    <row r="299" spans="1:25" s="6" customFormat="1">
      <c r="B299" s="862"/>
      <c r="C299" s="34" t="s">
        <v>746</v>
      </c>
      <c r="D299" s="506"/>
      <c r="E299" s="507"/>
      <c r="F299" s="506"/>
      <c r="G299" s="506"/>
      <c r="H299" s="506"/>
      <c r="I299" s="506"/>
      <c r="J299" s="506"/>
      <c r="K299" s="506"/>
      <c r="L299" s="506"/>
      <c r="M299" s="506"/>
      <c r="N299" s="1117" t="str">
        <f>Preferences.EnergyUnits</f>
        <v>TWh</v>
      </c>
      <c r="O299" s="858"/>
      <c r="P299"/>
    </row>
    <row r="300" spans="1:25" s="6" customFormat="1">
      <c r="B300" s="862"/>
      <c r="C300" s="506"/>
      <c r="D300" s="506"/>
      <c r="E300" s="506"/>
      <c r="F300" s="506"/>
      <c r="G300" s="506"/>
      <c r="H300" s="506"/>
      <c r="I300" s="506"/>
      <c r="J300" s="506"/>
      <c r="K300" s="506"/>
      <c r="L300" s="506"/>
      <c r="M300" s="506"/>
      <c r="N300" s="506"/>
      <c r="O300" s="858"/>
      <c r="P300"/>
    </row>
    <row r="301" spans="1:25" s="6" customFormat="1" ht="15.5">
      <c r="B301" s="1008"/>
      <c r="C301" s="1712" t="s">
        <v>28</v>
      </c>
      <c r="D301" s="1712" t="s">
        <v>29</v>
      </c>
      <c r="E301" s="1712" t="s">
        <v>30</v>
      </c>
      <c r="F301" s="1712" t="s">
        <v>588</v>
      </c>
      <c r="G301" s="1712" t="s">
        <v>132</v>
      </c>
      <c r="H301" s="1712" t="s">
        <v>133</v>
      </c>
      <c r="I301" s="1712" t="s">
        <v>134</v>
      </c>
      <c r="J301" s="1712" t="s">
        <v>135</v>
      </c>
      <c r="K301" s="1712" t="s">
        <v>136</v>
      </c>
      <c r="L301" s="1712" t="s">
        <v>137</v>
      </c>
      <c r="M301" s="1712" t="s">
        <v>138</v>
      </c>
      <c r="N301" s="1712" t="s">
        <v>139</v>
      </c>
      <c r="O301" s="858"/>
      <c r="P301"/>
    </row>
    <row r="302" spans="1:25" s="6" customFormat="1" ht="15.5">
      <c r="B302" s="1008"/>
      <c r="C302" s="716" t="s">
        <v>96</v>
      </c>
      <c r="D302" s="2457" t="str">
        <f>INDEX(Vectors[Description], MATCH(I.b.Outputs[Vector], Vectors[Code], 0))</f>
        <v>Electricity (supplied to grid)</v>
      </c>
      <c r="E302" s="716"/>
      <c r="F302" s="717">
        <f>F$208+F$222+F$193</f>
        <v>0</v>
      </c>
      <c r="G302" s="1713">
        <f t="shared" ref="G302:N302" si="45">G$208+G$222+G$193</f>
        <v>0</v>
      </c>
      <c r="H302" s="1713">
        <f t="shared" si="45"/>
        <v>0</v>
      </c>
      <c r="I302" s="1713">
        <f t="shared" si="45"/>
        <v>0</v>
      </c>
      <c r="J302" s="1713">
        <f t="shared" si="45"/>
        <v>0</v>
      </c>
      <c r="K302" s="1713">
        <f t="shared" si="45"/>
        <v>0</v>
      </c>
      <c r="L302" s="1713">
        <f t="shared" si="45"/>
        <v>0</v>
      </c>
      <c r="M302" s="1713">
        <f t="shared" si="45"/>
        <v>0</v>
      </c>
      <c r="N302" s="1714">
        <f t="shared" si="45"/>
        <v>0</v>
      </c>
      <c r="O302" s="858"/>
      <c r="P302"/>
    </row>
    <row r="303" spans="1:25" s="6" customFormat="1" ht="15.5">
      <c r="B303" s="1008"/>
      <c r="C303" s="716" t="s">
        <v>97</v>
      </c>
      <c r="D303" s="2457" t="str">
        <f>INDEX(Vectors[Description], MATCH(I.b.Outputs[Vector], Vectors[Code], 0))</f>
        <v>Solid hydrocarbons</v>
      </c>
      <c r="E303" s="716"/>
      <c r="F303" s="717">
        <f t="shared" ref="F303:N303" si="46">-F$213-F$198</f>
        <v>0</v>
      </c>
      <c r="G303" s="1713">
        <f t="shared" si="46"/>
        <v>0</v>
      </c>
      <c r="H303" s="1713">
        <f t="shared" si="46"/>
        <v>0</v>
      </c>
      <c r="I303" s="1713">
        <f t="shared" si="46"/>
        <v>0</v>
      </c>
      <c r="J303" s="1713">
        <f t="shared" si="46"/>
        <v>0</v>
      </c>
      <c r="K303" s="1713">
        <f t="shared" si="46"/>
        <v>0</v>
      </c>
      <c r="L303" s="1713">
        <f t="shared" si="46"/>
        <v>0</v>
      </c>
      <c r="M303" s="1713">
        <f t="shared" si="46"/>
        <v>0</v>
      </c>
      <c r="N303" s="1713">
        <f t="shared" si="46"/>
        <v>0</v>
      </c>
      <c r="O303" s="858"/>
      <c r="P303"/>
    </row>
    <row r="304" spans="1:25" s="6" customFormat="1" ht="15.5">
      <c r="B304" s="1008"/>
      <c r="C304" s="716" t="s">
        <v>99</v>
      </c>
      <c r="D304" s="2457" t="str">
        <f>INDEX(Vectors[Description], MATCH(I.b.Outputs[Vector], Vectors[Code], 0))</f>
        <v>Gaseous hydrocarbons</v>
      </c>
      <c r="E304" s="716"/>
      <c r="F304" s="717">
        <f t="shared" ref="F304:N304" si="47">-F$227</f>
        <v>0</v>
      </c>
      <c r="G304" s="1713">
        <f t="shared" si="47"/>
        <v>0</v>
      </c>
      <c r="H304" s="1713">
        <f t="shared" si="47"/>
        <v>0</v>
      </c>
      <c r="I304" s="1713">
        <f t="shared" si="47"/>
        <v>0</v>
      </c>
      <c r="J304" s="1713">
        <f t="shared" si="47"/>
        <v>0</v>
      </c>
      <c r="K304" s="1713">
        <f t="shared" si="47"/>
        <v>0</v>
      </c>
      <c r="L304" s="1713">
        <f t="shared" si="47"/>
        <v>0</v>
      </c>
      <c r="M304" s="1713">
        <f t="shared" si="47"/>
        <v>0</v>
      </c>
      <c r="N304" s="1713">
        <f t="shared" si="47"/>
        <v>0</v>
      </c>
      <c r="O304" s="858"/>
      <c r="P304"/>
    </row>
    <row r="305" spans="1:49" s="6" customFormat="1" ht="15.5">
      <c r="B305" s="1008"/>
      <c r="C305" s="716" t="s">
        <v>103</v>
      </c>
      <c r="D305" s="2457" t="str">
        <f>INDEX(Vectors[Description], MATCH(I.b.Outputs[Vector], Vectors[Code], 0))</f>
        <v>Conversion losses</v>
      </c>
      <c r="E305" s="716"/>
      <c r="F305" s="717">
        <f t="shared" ref="F305:N305" si="48">(F$213-F$211)+(F$227-F$225)+(F$198-F$196)</f>
        <v>0</v>
      </c>
      <c r="G305" s="1713">
        <f t="shared" si="48"/>
        <v>0</v>
      </c>
      <c r="H305" s="1713">
        <f t="shared" si="48"/>
        <v>0</v>
      </c>
      <c r="I305" s="1713">
        <f t="shared" si="48"/>
        <v>0</v>
      </c>
      <c r="J305" s="1713">
        <f t="shared" si="48"/>
        <v>0</v>
      </c>
      <c r="K305" s="1713">
        <f t="shared" si="48"/>
        <v>0</v>
      </c>
      <c r="L305" s="1713">
        <f t="shared" si="48"/>
        <v>0</v>
      </c>
      <c r="M305" s="1713">
        <f t="shared" si="48"/>
        <v>0</v>
      </c>
      <c r="N305" s="1713">
        <f t="shared" si="48"/>
        <v>0</v>
      </c>
      <c r="O305" s="858"/>
      <c r="P305"/>
    </row>
    <row r="306" spans="1:49" s="6" customFormat="1" ht="15.5">
      <c r="B306" s="1008"/>
      <c r="C306" s="716" t="s">
        <v>445</v>
      </c>
      <c r="D306" s="2457" t="str">
        <f>INDEX(Vectors[Description], MATCH(I.b.Outputs[Vector], Vectors[Code], 0))</f>
        <v>Distribution losses and own use</v>
      </c>
      <c r="E306" s="716"/>
      <c r="F306" s="717">
        <f t="shared" ref="F306:N306" si="49">F$210+F$224+F$195</f>
        <v>0</v>
      </c>
      <c r="G306" s="1713">
        <f t="shared" si="49"/>
        <v>0</v>
      </c>
      <c r="H306" s="1713">
        <f t="shared" si="49"/>
        <v>0</v>
      </c>
      <c r="I306" s="1713">
        <f t="shared" si="49"/>
        <v>0</v>
      </c>
      <c r="J306" s="1713">
        <f t="shared" si="49"/>
        <v>0</v>
      </c>
      <c r="K306" s="1713">
        <f t="shared" si="49"/>
        <v>0</v>
      </c>
      <c r="L306" s="1713">
        <f t="shared" si="49"/>
        <v>0</v>
      </c>
      <c r="M306" s="1713">
        <f t="shared" si="49"/>
        <v>0</v>
      </c>
      <c r="N306" s="1713">
        <f t="shared" si="49"/>
        <v>0</v>
      </c>
      <c r="O306" s="858"/>
      <c r="P306"/>
    </row>
    <row r="307" spans="1:49" s="6" customFormat="1" ht="15.5">
      <c r="B307" s="1008"/>
      <c r="C307" s="2433" t="s">
        <v>58</v>
      </c>
      <c r="D307" s="2433"/>
      <c r="E307" s="2433"/>
      <c r="F307" s="2434">
        <f>SUBTOTAL(109,I.b.Outputs[2013])</f>
        <v>0</v>
      </c>
      <c r="G307" s="2434">
        <f>SUBTOTAL(109,I.b.Outputs[2015])</f>
        <v>0</v>
      </c>
      <c r="H307" s="2434">
        <f>SUBTOTAL(109,I.b.Outputs[2020])</f>
        <v>0</v>
      </c>
      <c r="I307" s="2434">
        <f>SUBTOTAL(109,I.b.Outputs[2025])</f>
        <v>0</v>
      </c>
      <c r="J307" s="2434">
        <f>SUBTOTAL(109,I.b.Outputs[2030])</f>
        <v>0</v>
      </c>
      <c r="K307" s="2434">
        <f>SUBTOTAL(109,I.b.Outputs[2035])</f>
        <v>0</v>
      </c>
      <c r="L307" s="2434">
        <f>SUBTOTAL(109,I.b.Outputs[2040])</f>
        <v>0</v>
      </c>
      <c r="M307" s="2434">
        <f>SUBTOTAL(109,I.b.Outputs[2045])</f>
        <v>0</v>
      </c>
      <c r="N307" s="2434">
        <f>SUBTOTAL(109,I.b.Outputs[2050])</f>
        <v>0</v>
      </c>
      <c r="O307" s="858"/>
      <c r="P307"/>
    </row>
    <row r="308" spans="1:49" s="6" customFormat="1" ht="15.5">
      <c r="B308" s="1008"/>
      <c r="C308" s="443"/>
      <c r="D308" s="443" t="s">
        <v>5</v>
      </c>
      <c r="E308" s="443"/>
      <c r="F308" s="443"/>
      <c r="G308" s="443"/>
      <c r="H308" s="443"/>
      <c r="I308" s="443"/>
      <c r="J308" s="443"/>
      <c r="K308" s="443"/>
      <c r="L308" s="443"/>
      <c r="M308" s="443"/>
      <c r="N308" s="443"/>
      <c r="O308" s="858"/>
      <c r="P308" s="2416" t="s">
        <v>5</v>
      </c>
    </row>
    <row r="309" spans="1:49" s="6" customFormat="1">
      <c r="B309" s="6" t="s">
        <v>5</v>
      </c>
      <c r="C309"/>
      <c r="D309"/>
      <c r="E309"/>
      <c r="F309"/>
      <c r="G309"/>
      <c r="H309"/>
      <c r="I309"/>
      <c r="J309"/>
      <c r="K309"/>
      <c r="L309"/>
      <c r="M309"/>
      <c r="N309"/>
      <c r="P309"/>
    </row>
    <row r="310" spans="1:49" s="6" customFormat="1" ht="15">
      <c r="B310" s="1118" t="s">
        <v>300</v>
      </c>
      <c r="C310" s="1119"/>
      <c r="D310" s="1120"/>
      <c r="E310" s="1120"/>
      <c r="F310" s="1120"/>
      <c r="G310" s="1120"/>
      <c r="H310" s="1120"/>
      <c r="I310" s="1120"/>
      <c r="J310" s="1120"/>
      <c r="K310" s="1120"/>
      <c r="L310" s="1120"/>
      <c r="M310" s="1120"/>
      <c r="N310" s="1120"/>
      <c r="O310" s="1121"/>
      <c r="P310"/>
    </row>
    <row r="311" spans="1:49" s="6" customFormat="1">
      <c r="B311" s="1122"/>
      <c r="C311" s="1123"/>
      <c r="D311" s="1123"/>
      <c r="E311" s="1123"/>
      <c r="F311" s="1123"/>
      <c r="G311" s="1123"/>
      <c r="H311" s="1123"/>
      <c r="I311" s="1123"/>
      <c r="J311" s="1123"/>
      <c r="K311" s="1123"/>
      <c r="L311" s="1123"/>
      <c r="M311" s="1123"/>
      <c r="N311" s="1123"/>
      <c r="O311" s="1124"/>
      <c r="P311"/>
    </row>
    <row r="312" spans="1:49" s="6" customFormat="1">
      <c r="B312" s="1125"/>
      <c r="C312" s="453" t="s">
        <v>832</v>
      </c>
      <c r="D312" s="1126"/>
      <c r="E312" s="1127"/>
      <c r="F312" s="1126"/>
      <c r="G312" s="1126"/>
      <c r="H312" s="1126"/>
      <c r="I312" s="1126"/>
      <c r="J312" s="1126"/>
      <c r="K312" s="1126"/>
      <c r="L312" s="1126"/>
      <c r="M312" s="1126"/>
      <c r="N312" s="1128" t="s">
        <v>833</v>
      </c>
      <c r="O312" s="1129"/>
      <c r="P312"/>
    </row>
    <row r="313" spans="1:49" s="6" customFormat="1">
      <c r="B313" s="1125"/>
      <c r="C313" s="1126"/>
      <c r="D313" s="1126"/>
      <c r="E313" s="1126"/>
      <c r="F313" s="1126"/>
      <c r="G313" s="1126"/>
      <c r="H313" s="1126"/>
      <c r="I313" s="1126"/>
      <c r="J313" s="1126"/>
      <c r="K313" s="1126"/>
      <c r="L313" s="1126"/>
      <c r="M313" s="1126"/>
      <c r="N313" s="1126"/>
      <c r="O313" s="1129"/>
      <c r="P313"/>
    </row>
    <row r="314" spans="1:49" s="6" customFormat="1" ht="15.5">
      <c r="A314"/>
      <c r="B314" s="458"/>
      <c r="C314" s="1130" t="s">
        <v>302</v>
      </c>
      <c r="D314" s="1130" t="s">
        <v>303</v>
      </c>
      <c r="E314" s="1130" t="s">
        <v>30</v>
      </c>
      <c r="F314" s="1130" t="s">
        <v>588</v>
      </c>
      <c r="G314" s="1130" t="s">
        <v>132</v>
      </c>
      <c r="H314" s="1130" t="s">
        <v>133</v>
      </c>
      <c r="I314" s="1130" t="s">
        <v>134</v>
      </c>
      <c r="J314" s="1130" t="s">
        <v>135</v>
      </c>
      <c r="K314" s="1130" t="s">
        <v>136</v>
      </c>
      <c r="L314" s="1130" t="s">
        <v>137</v>
      </c>
      <c r="M314" s="1130" t="s">
        <v>138</v>
      </c>
      <c r="N314" s="1130" t="s">
        <v>139</v>
      </c>
      <c r="O314" s="1129"/>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5">
      <c r="A315" s="7"/>
      <c r="B315" s="458"/>
      <c r="C315" s="1131" t="s">
        <v>250</v>
      </c>
      <c r="D315" s="1132" t="s">
        <v>304</v>
      </c>
      <c r="E315" s="1132" t="str">
        <f>INDEX(IPCC[Sector_description], MATCH(I.b.Emissions[IPCC Sector], IPCC[Sector_code], 0))</f>
        <v>Fuel Combustion</v>
      </c>
      <c r="F315" s="2443">
        <f t="shared" ref="F315:N315" si="50">F$275+F$270</f>
        <v>0</v>
      </c>
      <c r="G315" s="2443">
        <f t="shared" si="50"/>
        <v>0</v>
      </c>
      <c r="H315" s="2443">
        <f t="shared" si="50"/>
        <v>0</v>
      </c>
      <c r="I315" s="2443">
        <f t="shared" si="50"/>
        <v>0</v>
      </c>
      <c r="J315" s="2443">
        <f t="shared" si="50"/>
        <v>0</v>
      </c>
      <c r="K315" s="2443">
        <f t="shared" si="50"/>
        <v>0</v>
      </c>
      <c r="L315" s="2443">
        <f t="shared" si="50"/>
        <v>0</v>
      </c>
      <c r="M315" s="2443">
        <f t="shared" si="50"/>
        <v>0</v>
      </c>
      <c r="N315" s="2443">
        <f t="shared" si="50"/>
        <v>0</v>
      </c>
      <c r="O315" s="1129"/>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5">
      <c r="A316"/>
      <c r="B316" s="458"/>
      <c r="C316" s="1131" t="s">
        <v>252</v>
      </c>
      <c r="D316" s="1132" t="s">
        <v>304</v>
      </c>
      <c r="E316" s="1132" t="str">
        <f>INDEX(IPCC[Sector_description], MATCH(I.b.Emissions[IPCC Sector], IPCC[Sector_code], 0))</f>
        <v>Fuel Combustion</v>
      </c>
      <c r="F316" s="2443">
        <f>F$276</f>
        <v>0</v>
      </c>
      <c r="G316" s="2443">
        <f>G$276</f>
        <v>0</v>
      </c>
      <c r="H316" s="2443">
        <f t="shared" ref="H316:N316" si="51">H$276+H$271</f>
        <v>0</v>
      </c>
      <c r="I316" s="2443">
        <f t="shared" si="51"/>
        <v>0</v>
      </c>
      <c r="J316" s="2443">
        <f t="shared" si="51"/>
        <v>0</v>
      </c>
      <c r="K316" s="2443">
        <f t="shared" si="51"/>
        <v>0</v>
      </c>
      <c r="L316" s="2443">
        <f t="shared" si="51"/>
        <v>0</v>
      </c>
      <c r="M316" s="2443">
        <f t="shared" si="51"/>
        <v>0</v>
      </c>
      <c r="N316" s="2443">
        <f t="shared" si="51"/>
        <v>0</v>
      </c>
      <c r="O316" s="1129"/>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5">
      <c r="A317"/>
      <c r="B317" s="458"/>
      <c r="C317" s="1131" t="s">
        <v>253</v>
      </c>
      <c r="D317" s="1132" t="s">
        <v>304</v>
      </c>
      <c r="E317" s="1132" t="str">
        <f>INDEX(IPCC[Sector_description], MATCH(I.b.Emissions[IPCC Sector], IPCC[Sector_code], 0))</f>
        <v>Fuel Combustion</v>
      </c>
      <c r="F317" s="2443">
        <f>F$277</f>
        <v>0</v>
      </c>
      <c r="G317" s="2443">
        <f>G$277</f>
        <v>0</v>
      </c>
      <c r="H317" s="2443">
        <f t="shared" ref="H317:N317" si="52">H$277+H$272</f>
        <v>0</v>
      </c>
      <c r="I317" s="2443">
        <f t="shared" si="52"/>
        <v>0</v>
      </c>
      <c r="J317" s="2443">
        <f t="shared" si="52"/>
        <v>0</v>
      </c>
      <c r="K317" s="2443">
        <f t="shared" si="52"/>
        <v>0</v>
      </c>
      <c r="L317" s="2443">
        <f t="shared" si="52"/>
        <v>0</v>
      </c>
      <c r="M317" s="2443">
        <f t="shared" si="52"/>
        <v>0</v>
      </c>
      <c r="N317" s="2443">
        <f t="shared" si="52"/>
        <v>0</v>
      </c>
      <c r="O317" s="1129"/>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5">
      <c r="A318"/>
      <c r="B318" s="458"/>
      <c r="C318" s="1131" t="s">
        <v>250</v>
      </c>
      <c r="D318" s="1132" t="s">
        <v>450</v>
      </c>
      <c r="E318" s="1132" t="str">
        <f>INDEX(IPCC[Sector_description], MATCH(I.b.Emissions[IPCC Sector], IPCC[Sector_code], 0))</f>
        <v>Carbon capture</v>
      </c>
      <c r="F318" s="2443">
        <f>-F280</f>
        <v>0</v>
      </c>
      <c r="G318" s="2443">
        <f t="shared" ref="G318:N318" si="53">-G280</f>
        <v>0</v>
      </c>
      <c r="H318" s="2443">
        <f t="shared" si="53"/>
        <v>0</v>
      </c>
      <c r="I318" s="2443">
        <f t="shared" si="53"/>
        <v>0</v>
      </c>
      <c r="J318" s="2443">
        <f t="shared" si="53"/>
        <v>0</v>
      </c>
      <c r="K318" s="2443">
        <f t="shared" si="53"/>
        <v>0</v>
      </c>
      <c r="L318" s="2443">
        <f t="shared" si="53"/>
        <v>0</v>
      </c>
      <c r="M318" s="2443">
        <f t="shared" si="53"/>
        <v>0</v>
      </c>
      <c r="N318" s="2443">
        <f t="shared" si="53"/>
        <v>0</v>
      </c>
      <c r="O318" s="1129"/>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5">
      <c r="A319" s="434"/>
      <c r="B319" s="458"/>
      <c r="C319" s="2436" t="s">
        <v>58</v>
      </c>
      <c r="D319" s="2436"/>
      <c r="E319" s="2436"/>
      <c r="F319" s="2437">
        <f>SUBTOTAL(109,I.b.Emissions[2013])</f>
        <v>0</v>
      </c>
      <c r="G319" s="2437">
        <f>SUBTOTAL(109,I.b.Emissions[2015])</f>
        <v>0</v>
      </c>
      <c r="H319" s="2437">
        <f>SUBTOTAL(109,I.b.Emissions[2020])</f>
        <v>0</v>
      </c>
      <c r="I319" s="2437">
        <f>SUBTOTAL(109,I.b.Emissions[2025])</f>
        <v>0</v>
      </c>
      <c r="J319" s="2437">
        <f>SUBTOTAL(109,I.b.Emissions[2030])</f>
        <v>0</v>
      </c>
      <c r="K319" s="2437">
        <f>SUBTOTAL(109,I.b.Emissions[2035])</f>
        <v>0</v>
      </c>
      <c r="L319" s="2437">
        <f>SUBTOTAL(109,I.b.Emissions[2040])</f>
        <v>0</v>
      </c>
      <c r="M319" s="2437">
        <f>SUBTOTAL(109,I.b.Emissions[2045])</f>
        <v>0</v>
      </c>
      <c r="N319" s="2437">
        <f>SUBTOTAL(109,I.b.Emissions[2050])</f>
        <v>0</v>
      </c>
      <c r="O319" s="112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5">
      <c r="A320" s="434"/>
      <c r="B320" s="458"/>
      <c r="C320" s="1131"/>
      <c r="D320" s="1131"/>
      <c r="E320" s="1131"/>
      <c r="F320" s="1133"/>
      <c r="G320" s="1133"/>
      <c r="H320" s="1133"/>
      <c r="I320" s="1133"/>
      <c r="J320" s="1133"/>
      <c r="K320" s="1133"/>
      <c r="L320" s="1133"/>
      <c r="M320" s="1133"/>
      <c r="N320" s="1133"/>
      <c r="O320" s="1129"/>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5">
      <c r="A321" s="434"/>
      <c r="B321" s="458"/>
      <c r="C321" s="466" t="s">
        <v>834</v>
      </c>
      <c r="D321" s="1131"/>
      <c r="E321" s="1131" t="s">
        <v>5</v>
      </c>
      <c r="F321" s="1133"/>
      <c r="G321" s="1133"/>
      <c r="H321" s="1133"/>
      <c r="I321" s="1133"/>
      <c r="J321" s="1133"/>
      <c r="K321" s="1133"/>
      <c r="L321" s="1133"/>
      <c r="M321" s="1133"/>
      <c r="N321" s="1134" t="s">
        <v>831</v>
      </c>
      <c r="O321" s="1129"/>
    </row>
    <row r="322" spans="1:20" ht="15.5">
      <c r="A322" s="434"/>
      <c r="B322" s="458"/>
      <c r="C322" s="1131"/>
      <c r="D322" s="1131"/>
      <c r="E322" s="1131"/>
      <c r="F322" s="1133"/>
      <c r="G322" s="1133"/>
      <c r="H322" s="1133"/>
      <c r="I322" s="1133"/>
      <c r="J322" s="1133"/>
      <c r="K322" s="1133"/>
      <c r="L322" s="1133"/>
      <c r="M322" s="1133"/>
      <c r="N322" s="1133"/>
      <c r="O322" s="1129"/>
      <c r="T322" s="1138"/>
    </row>
    <row r="323" spans="1:20" ht="15.5">
      <c r="A323" s="434"/>
      <c r="B323" s="458"/>
      <c r="C323" s="2185" t="s">
        <v>28</v>
      </c>
      <c r="D323" s="2186" t="s">
        <v>29</v>
      </c>
      <c r="E323" s="2186" t="s">
        <v>303</v>
      </c>
      <c r="F323" s="2186" t="s">
        <v>588</v>
      </c>
      <c r="G323" s="2186" t="s">
        <v>132</v>
      </c>
      <c r="H323" s="2186" t="s">
        <v>133</v>
      </c>
      <c r="I323" s="2186" t="s">
        <v>134</v>
      </c>
      <c r="J323" s="2186" t="s">
        <v>135</v>
      </c>
      <c r="K323" s="2186" t="s">
        <v>136</v>
      </c>
      <c r="L323" s="2186" t="s">
        <v>137</v>
      </c>
      <c r="M323" s="2186" t="s">
        <v>138</v>
      </c>
      <c r="N323" s="2187" t="s">
        <v>139</v>
      </c>
      <c r="O323" s="1129"/>
    </row>
    <row r="324" spans="1:20" ht="15.5">
      <c r="A324" s="434"/>
      <c r="B324" s="458"/>
      <c r="C324" s="1135" t="str">
        <f>INDEX(AirQualityVectors[Code],MATCH(D324,AirQualityVectors[Description],0))</f>
        <v>AQ.01</v>
      </c>
      <c r="D324" s="1136" t="s">
        <v>258</v>
      </c>
      <c r="E324" s="1137" t="s">
        <v>450</v>
      </c>
      <c r="F324" s="2403">
        <f t="shared" ref="F324:N327" ca="1" si="54">F292</f>
        <v>0</v>
      </c>
      <c r="G324" s="2403">
        <f t="shared" ca="1" si="54"/>
        <v>0</v>
      </c>
      <c r="H324" s="2452">
        <f t="shared" ca="1" si="54"/>
        <v>0</v>
      </c>
      <c r="I324" s="2452">
        <f t="shared" ca="1" si="54"/>
        <v>0</v>
      </c>
      <c r="J324" s="2452">
        <f t="shared" ca="1" si="54"/>
        <v>0</v>
      </c>
      <c r="K324" s="2452">
        <f t="shared" ca="1" si="54"/>
        <v>0</v>
      </c>
      <c r="L324" s="2452">
        <f t="shared" ca="1" si="54"/>
        <v>0</v>
      </c>
      <c r="M324" s="2452">
        <f t="shared" ca="1" si="54"/>
        <v>0</v>
      </c>
      <c r="N324" s="2452">
        <f t="shared" ca="1" si="54"/>
        <v>0</v>
      </c>
      <c r="O324" s="1129"/>
    </row>
    <row r="325" spans="1:20" ht="15.5">
      <c r="A325" s="434"/>
      <c r="B325" s="458"/>
      <c r="C325" s="2455" t="str">
        <f>INDEX(AirQualityVectors[Code],MATCH(D325,AirQualityVectors[Description],0))</f>
        <v>AQ.02</v>
      </c>
      <c r="D325" s="1135" t="s">
        <v>260</v>
      </c>
      <c r="E325" s="1139" t="s">
        <v>450</v>
      </c>
      <c r="F325" s="2404">
        <f t="shared" ca="1" si="54"/>
        <v>0</v>
      </c>
      <c r="G325" s="2404">
        <f t="shared" ca="1" si="54"/>
        <v>0</v>
      </c>
      <c r="H325" s="2453">
        <f t="shared" ca="1" si="54"/>
        <v>0</v>
      </c>
      <c r="I325" s="2453">
        <f t="shared" ca="1" si="54"/>
        <v>0</v>
      </c>
      <c r="J325" s="2453">
        <f t="shared" ca="1" si="54"/>
        <v>0</v>
      </c>
      <c r="K325" s="2453">
        <f t="shared" ca="1" si="54"/>
        <v>0</v>
      </c>
      <c r="L325" s="2453">
        <f t="shared" ca="1" si="54"/>
        <v>0</v>
      </c>
      <c r="M325" s="2453">
        <f t="shared" ca="1" si="54"/>
        <v>0</v>
      </c>
      <c r="N325" s="2453">
        <f t="shared" ca="1" si="54"/>
        <v>0</v>
      </c>
      <c r="O325" s="1129"/>
    </row>
    <row r="326" spans="1:20" ht="15.5">
      <c r="B326" s="458"/>
      <c r="C326" s="2455" t="str">
        <f>INDEX(AirQualityVectors[Code],MATCH(D326,AirQualityVectors[Description],0))</f>
        <v>AQ.03</v>
      </c>
      <c r="D326" s="1135" t="s">
        <v>262</v>
      </c>
      <c r="E326" s="1139" t="s">
        <v>450</v>
      </c>
      <c r="F326" s="2404">
        <f t="shared" ca="1" si="54"/>
        <v>0</v>
      </c>
      <c r="G326" s="2404">
        <f t="shared" ca="1" si="54"/>
        <v>0</v>
      </c>
      <c r="H326" s="2453">
        <f t="shared" ca="1" si="54"/>
        <v>0</v>
      </c>
      <c r="I326" s="2453">
        <f t="shared" ca="1" si="54"/>
        <v>0</v>
      </c>
      <c r="J326" s="2453">
        <f t="shared" ca="1" si="54"/>
        <v>0</v>
      </c>
      <c r="K326" s="2453">
        <f t="shared" ca="1" si="54"/>
        <v>0</v>
      </c>
      <c r="L326" s="2453">
        <f t="shared" ca="1" si="54"/>
        <v>0</v>
      </c>
      <c r="M326" s="2453">
        <f t="shared" ca="1" si="54"/>
        <v>0</v>
      </c>
      <c r="N326" s="2453">
        <f t="shared" ca="1" si="54"/>
        <v>0</v>
      </c>
      <c r="O326" s="1129"/>
    </row>
    <row r="327" spans="1:20" ht="23.5">
      <c r="A327" s="7"/>
      <c r="B327" s="458"/>
      <c r="C327" s="2456" t="str">
        <f>INDEX(AirQualityVectors[Code],MATCH(D327,AirQualityVectors[Description],0))</f>
        <v>AQ.04</v>
      </c>
      <c r="D327" s="1335" t="s">
        <v>264</v>
      </c>
      <c r="E327" s="1336" t="s">
        <v>450</v>
      </c>
      <c r="F327" s="2405">
        <f t="shared" ca="1" si="54"/>
        <v>0</v>
      </c>
      <c r="G327" s="2405">
        <f t="shared" ca="1" si="54"/>
        <v>0</v>
      </c>
      <c r="H327" s="2454">
        <f t="shared" ca="1" si="54"/>
        <v>0</v>
      </c>
      <c r="I327" s="2454">
        <f t="shared" ca="1" si="54"/>
        <v>0</v>
      </c>
      <c r="J327" s="2454">
        <f t="shared" ca="1" si="54"/>
        <v>0</v>
      </c>
      <c r="K327" s="2454">
        <f t="shared" ca="1" si="54"/>
        <v>0</v>
      </c>
      <c r="L327" s="2454">
        <f t="shared" ca="1" si="54"/>
        <v>0</v>
      </c>
      <c r="M327" s="2454">
        <f t="shared" ca="1" si="54"/>
        <v>0</v>
      </c>
      <c r="N327" s="2454">
        <f t="shared" ca="1" si="54"/>
        <v>0</v>
      </c>
      <c r="O327" s="1129"/>
    </row>
    <row r="328" spans="1:20" ht="15.5">
      <c r="B328" s="458"/>
      <c r="C328" s="1140"/>
      <c r="D328" s="1140"/>
      <c r="E328" s="1140"/>
      <c r="F328" s="1140"/>
      <c r="G328" s="1140"/>
      <c r="H328" s="1140"/>
      <c r="I328" s="1140"/>
      <c r="J328" s="1140"/>
      <c r="K328" s="1140"/>
      <c r="L328" s="1140"/>
      <c r="M328" s="1140"/>
      <c r="N328" s="1140"/>
      <c r="O328" s="1129"/>
    </row>
    <row r="329" spans="1:20">
      <c r="A329" s="2416" t="s">
        <v>5</v>
      </c>
    </row>
    <row r="330" spans="1:20" ht="15">
      <c r="B330" s="986" t="s">
        <v>310</v>
      </c>
      <c r="C330" s="987"/>
      <c r="D330" s="988"/>
      <c r="E330" s="988"/>
      <c r="F330" s="988"/>
      <c r="G330" s="988"/>
      <c r="H330" s="988"/>
      <c r="I330" s="988"/>
      <c r="J330" s="988"/>
      <c r="K330" s="988"/>
      <c r="L330" s="988"/>
      <c r="M330" s="988"/>
      <c r="N330" s="988"/>
      <c r="O330" s="989"/>
    </row>
    <row r="331" spans="1:20">
      <c r="B331" s="990"/>
      <c r="C331" s="991"/>
      <c r="D331" s="991"/>
      <c r="E331" s="991"/>
      <c r="F331" s="991"/>
      <c r="G331" s="991"/>
      <c r="H331" s="991"/>
      <c r="I331" s="991"/>
      <c r="J331" s="991"/>
      <c r="K331" s="991"/>
      <c r="L331" s="991"/>
      <c r="M331" s="991"/>
      <c r="N331" s="991"/>
      <c r="O331" s="992"/>
    </row>
    <row r="332" spans="1:20">
      <c r="B332" s="993"/>
      <c r="C332" s="479" t="s">
        <v>311</v>
      </c>
      <c r="D332" s="994"/>
      <c r="E332" s="995"/>
      <c r="F332" s="994"/>
      <c r="G332" s="994"/>
      <c r="H332" s="994"/>
      <c r="I332" s="994"/>
      <c r="J332" s="994"/>
      <c r="K332" s="994"/>
      <c r="L332" s="994"/>
      <c r="M332" s="994"/>
      <c r="N332" s="995"/>
      <c r="O332" s="996"/>
    </row>
    <row r="333" spans="1:20">
      <c r="B333" s="993"/>
      <c r="C333" s="994"/>
      <c r="D333" s="994"/>
      <c r="E333" s="994"/>
      <c r="F333" s="994"/>
      <c r="G333" s="994"/>
      <c r="H333" s="994"/>
      <c r="I333" s="994"/>
      <c r="J333" s="994"/>
      <c r="K333" s="994"/>
      <c r="L333" s="994"/>
      <c r="M333" s="994"/>
      <c r="N333" s="994"/>
      <c r="O333" s="996"/>
    </row>
    <row r="334" spans="1:20" ht="15.5">
      <c r="B334" s="483"/>
      <c r="C334" s="997" t="s">
        <v>28</v>
      </c>
      <c r="D334" s="997" t="s">
        <v>312</v>
      </c>
      <c r="E334" s="997" t="s">
        <v>30</v>
      </c>
      <c r="F334" s="997" t="s">
        <v>588</v>
      </c>
      <c r="G334" s="997" t="s">
        <v>132</v>
      </c>
      <c r="H334" s="997" t="s">
        <v>133</v>
      </c>
      <c r="I334" s="997" t="s">
        <v>134</v>
      </c>
      <c r="J334" s="997" t="s">
        <v>135</v>
      </c>
      <c r="K334" s="997" t="s">
        <v>136</v>
      </c>
      <c r="L334" s="997" t="s">
        <v>137</v>
      </c>
      <c r="M334" s="997" t="s">
        <v>138</v>
      </c>
      <c r="N334" s="997" t="s">
        <v>139</v>
      </c>
      <c r="O334" s="996"/>
    </row>
    <row r="335" spans="1:20" ht="15.5">
      <c r="B335" s="483"/>
      <c r="C335" s="998" t="s">
        <v>748</v>
      </c>
      <c r="D335" s="485" t="str">
        <f>INDEX(Vectors[Description], MATCH(I.b.Info[Vector], Vectors[Code], 0))</f>
        <v xml:space="preserve">Installed Capacity </v>
      </c>
      <c r="E335" s="485" t="str">
        <f>Preferences.PowerUnits</f>
        <v>GW</v>
      </c>
      <c r="F335" s="999">
        <f t="shared" ref="F335:N335" si="55">F170</f>
        <v>0</v>
      </c>
      <c r="G335" s="999">
        <f t="shared" si="55"/>
        <v>0</v>
      </c>
      <c r="H335" s="999">
        <f t="shared" si="55"/>
        <v>0</v>
      </c>
      <c r="I335" s="999">
        <f t="shared" si="55"/>
        <v>0</v>
      </c>
      <c r="J335" s="999">
        <f t="shared" si="55"/>
        <v>0</v>
      </c>
      <c r="K335" s="999">
        <f t="shared" si="55"/>
        <v>0</v>
      </c>
      <c r="L335" s="999">
        <f t="shared" si="55"/>
        <v>0</v>
      </c>
      <c r="M335" s="999">
        <f t="shared" si="55"/>
        <v>0</v>
      </c>
      <c r="N335" s="999">
        <f t="shared" si="55"/>
        <v>0</v>
      </c>
      <c r="O335" s="996"/>
    </row>
    <row r="336" spans="1:20" ht="15.5">
      <c r="B336" s="483"/>
      <c r="C336" s="998" t="s">
        <v>750</v>
      </c>
      <c r="D336" s="485" t="str">
        <f>INDEX(Vectors[Description], MATCH(I.b.Info[Vector], Vectors[Code], 0))</f>
        <v>Load factor</v>
      </c>
      <c r="E336" s="998" t="s">
        <v>42</v>
      </c>
      <c r="F336" s="1000">
        <f t="shared" ref="F336:N336" si="56">F175</f>
        <v>0</v>
      </c>
      <c r="G336" s="1000">
        <f t="shared" si="56"/>
        <v>0</v>
      </c>
      <c r="H336" s="1000">
        <f t="shared" si="56"/>
        <v>0</v>
      </c>
      <c r="I336" s="1000">
        <f t="shared" si="56"/>
        <v>0</v>
      </c>
      <c r="J336" s="1000">
        <f t="shared" si="56"/>
        <v>0.85</v>
      </c>
      <c r="K336" s="1000">
        <f t="shared" si="56"/>
        <v>0.85</v>
      </c>
      <c r="L336" s="1000">
        <f t="shared" si="56"/>
        <v>0.85</v>
      </c>
      <c r="M336" s="1000">
        <f t="shared" si="56"/>
        <v>0.85</v>
      </c>
      <c r="N336" s="1000">
        <f t="shared" si="56"/>
        <v>0.85</v>
      </c>
      <c r="O336" s="996"/>
    </row>
    <row r="337" spans="2:21" ht="15.5">
      <c r="B337" s="483"/>
      <c r="C337" s="998" t="s">
        <v>313</v>
      </c>
      <c r="D337" s="1344" t="str">
        <f>$F$87&amp;" GW CCS power stations"</f>
        <v>0.5 GW CCS power stations</v>
      </c>
      <c r="E337" s="998" t="s">
        <v>741</v>
      </c>
      <c r="F337" s="487">
        <f t="shared" ref="F337:N337" si="57">F335/$F$87</f>
        <v>0</v>
      </c>
      <c r="G337" s="487">
        <f t="shared" si="57"/>
        <v>0</v>
      </c>
      <c r="H337" s="487">
        <f t="shared" si="57"/>
        <v>0</v>
      </c>
      <c r="I337" s="487">
        <f t="shared" si="57"/>
        <v>0</v>
      </c>
      <c r="J337" s="487">
        <f t="shared" si="57"/>
        <v>0</v>
      </c>
      <c r="K337" s="487">
        <f t="shared" si="57"/>
        <v>0</v>
      </c>
      <c r="L337" s="487">
        <f t="shared" si="57"/>
        <v>0</v>
      </c>
      <c r="M337" s="487">
        <f t="shared" si="57"/>
        <v>0</v>
      </c>
      <c r="N337" s="487">
        <f t="shared" si="57"/>
        <v>0</v>
      </c>
      <c r="O337" s="996"/>
    </row>
    <row r="338" spans="2:21" ht="15.5">
      <c r="B338" s="488"/>
      <c r="C338" s="1001"/>
      <c r="D338" s="1001"/>
      <c r="E338" s="1001"/>
      <c r="F338" s="1001"/>
      <c r="G338" s="1001"/>
      <c r="H338" s="1001"/>
      <c r="I338" s="1001"/>
      <c r="J338" s="1001"/>
      <c r="K338" s="1001"/>
      <c r="L338" s="1001"/>
      <c r="M338" s="1001"/>
      <c r="N338" s="1001"/>
      <c r="O338" s="1002"/>
    </row>
    <row r="340" spans="2:21" ht="15">
      <c r="B340" s="986" t="s">
        <v>2720</v>
      </c>
      <c r="C340" s="988"/>
      <c r="D340" s="988"/>
      <c r="E340" s="988"/>
      <c r="F340" s="988"/>
      <c r="G340" s="988"/>
      <c r="H340" s="988"/>
      <c r="I340" s="988"/>
      <c r="J340" s="988"/>
      <c r="K340" s="988"/>
      <c r="L340" s="988"/>
      <c r="M340" s="988"/>
      <c r="N340" s="988"/>
      <c r="O340" s="989"/>
    </row>
    <row r="341" spans="2:21" hidden="1">
      <c r="B341" s="993"/>
      <c r="C341" s="994"/>
      <c r="D341" s="994"/>
      <c r="E341" s="994"/>
      <c r="F341" s="994"/>
      <c r="G341" s="994"/>
      <c r="H341" s="994"/>
      <c r="I341" s="994"/>
      <c r="J341" s="994"/>
      <c r="K341" s="994"/>
      <c r="L341" s="994"/>
      <c r="M341" s="994"/>
      <c r="N341" s="994"/>
      <c r="O341" s="996"/>
    </row>
    <row r="342" spans="2:21" hidden="1">
      <c r="B342" s="993"/>
      <c r="C342" s="491" t="s">
        <v>751</v>
      </c>
      <c r="D342" s="1003"/>
      <c r="E342" s="1003"/>
      <c r="F342" s="1003"/>
      <c r="G342" s="1003"/>
      <c r="H342" s="1003"/>
      <c r="I342" s="1003"/>
      <c r="J342" s="1003"/>
      <c r="K342" s="1003"/>
      <c r="L342" s="1003"/>
      <c r="M342" s="1003"/>
      <c r="N342" s="1004" t="s">
        <v>2736</v>
      </c>
      <c r="O342" s="996"/>
    </row>
    <row r="343" spans="2:21" hidden="1">
      <c r="B343" s="993"/>
      <c r="C343" s="994"/>
      <c r="D343" s="994"/>
      <c r="E343" s="994"/>
      <c r="F343" s="994"/>
      <c r="G343" s="994"/>
      <c r="H343" s="994"/>
      <c r="I343" s="994"/>
      <c r="J343" s="994"/>
      <c r="K343" s="994"/>
      <c r="L343" s="994"/>
      <c r="M343" s="994"/>
      <c r="N343" s="994"/>
      <c r="O343" s="996"/>
    </row>
    <row r="344" spans="2:21" ht="15.5" hidden="1">
      <c r="B344" s="483"/>
      <c r="C344" s="997" t="s">
        <v>28</v>
      </c>
      <c r="D344" s="997" t="s">
        <v>29</v>
      </c>
      <c r="E344" s="997" t="s">
        <v>30</v>
      </c>
      <c r="F344" s="997">
        <v>2013</v>
      </c>
      <c r="G344" s="997" t="s">
        <v>132</v>
      </c>
      <c r="H344" s="997" t="s">
        <v>133</v>
      </c>
      <c r="I344" s="997" t="s">
        <v>134</v>
      </c>
      <c r="J344" s="997" t="s">
        <v>135</v>
      </c>
      <c r="K344" s="997" t="s">
        <v>136</v>
      </c>
      <c r="L344" s="997" t="s">
        <v>137</v>
      </c>
      <c r="M344" s="997" t="s">
        <v>138</v>
      </c>
      <c r="N344" s="997" t="s">
        <v>139</v>
      </c>
      <c r="O344" s="1141"/>
    </row>
    <row r="345" spans="2:21" ht="15.5" hidden="1">
      <c r="B345" s="483"/>
      <c r="C345" s="998" t="s">
        <v>321</v>
      </c>
      <c r="D345" s="485" t="s">
        <v>322</v>
      </c>
      <c r="E345" s="485"/>
      <c r="F345" s="486"/>
      <c r="G345" s="486"/>
      <c r="H345" s="486"/>
      <c r="I345" s="486"/>
      <c r="J345" s="486"/>
      <c r="K345" s="486"/>
      <c r="L345" s="486"/>
      <c r="M345" s="486"/>
      <c r="N345" s="486"/>
      <c r="O345" s="1141"/>
    </row>
    <row r="346" spans="2:21" ht="15.5" hidden="1">
      <c r="B346" s="483"/>
      <c r="C346" s="998" t="s">
        <v>328</v>
      </c>
      <c r="D346" s="485" t="s">
        <v>329</v>
      </c>
      <c r="E346" s="485"/>
      <c r="F346" s="486"/>
      <c r="G346" s="486"/>
      <c r="H346" s="486"/>
      <c r="I346" s="486"/>
      <c r="J346" s="486"/>
      <c r="K346" s="486"/>
      <c r="L346" s="486"/>
      <c r="M346" s="486"/>
      <c r="N346" s="486"/>
      <c r="O346" s="1141"/>
    </row>
    <row r="347" spans="2:21" ht="15.5" hidden="1">
      <c r="B347" s="483"/>
      <c r="C347" s="998" t="s">
        <v>323</v>
      </c>
      <c r="D347" s="485" t="s">
        <v>324</v>
      </c>
      <c r="E347" s="485"/>
      <c r="F347" s="486"/>
      <c r="G347" s="486"/>
      <c r="H347" s="486"/>
      <c r="I347" s="486"/>
      <c r="J347" s="486"/>
      <c r="K347" s="486"/>
      <c r="L347" s="486"/>
      <c r="M347" s="486"/>
      <c r="N347" s="486"/>
      <c r="O347" s="1141"/>
      <c r="R347" s="1143"/>
      <c r="S347" s="1144"/>
      <c r="T347" s="1143"/>
      <c r="U347" s="1143"/>
    </row>
    <row r="348" spans="2:21" ht="15.5" hidden="1">
      <c r="B348" s="483"/>
      <c r="C348" s="998" t="s">
        <v>330</v>
      </c>
      <c r="D348" s="485" t="s">
        <v>331</v>
      </c>
      <c r="E348" s="485"/>
      <c r="F348" s="486"/>
      <c r="G348" s="486"/>
      <c r="H348" s="486"/>
      <c r="I348" s="486"/>
      <c r="J348" s="486"/>
      <c r="K348" s="486"/>
      <c r="L348" s="486"/>
      <c r="M348" s="486"/>
      <c r="N348" s="486"/>
      <c r="O348" s="1141"/>
      <c r="S348" s="6"/>
    </row>
    <row r="349" spans="2:21" hidden="1">
      <c r="B349" s="494"/>
      <c r="C349" s="998" t="s">
        <v>325</v>
      </c>
      <c r="D349" s="485" t="s">
        <v>326</v>
      </c>
      <c r="E349" s="485"/>
      <c r="F349" s="486"/>
      <c r="G349" s="486"/>
      <c r="H349" s="486"/>
      <c r="I349" s="486"/>
      <c r="J349" s="486"/>
      <c r="K349" s="486"/>
      <c r="L349" s="486"/>
      <c r="M349" s="486"/>
      <c r="N349" s="486"/>
      <c r="O349" s="1142"/>
      <c r="S349" s="6"/>
    </row>
    <row r="350" spans="2:21" hidden="1">
      <c r="B350" s="494"/>
      <c r="C350" s="998" t="s">
        <v>332</v>
      </c>
      <c r="D350" s="485" t="s">
        <v>333</v>
      </c>
      <c r="E350" s="485"/>
      <c r="F350" s="486"/>
      <c r="G350" s="486"/>
      <c r="H350" s="486"/>
      <c r="I350" s="486"/>
      <c r="J350" s="486"/>
      <c r="K350" s="486"/>
      <c r="L350" s="486"/>
      <c r="M350" s="486"/>
      <c r="N350" s="486"/>
      <c r="O350" s="1142"/>
      <c r="S350" s="6"/>
    </row>
    <row r="351" spans="2:21" hidden="1">
      <c r="B351" s="1005"/>
      <c r="C351" s="1001"/>
      <c r="D351" s="1001"/>
      <c r="E351" s="1001"/>
      <c r="F351" s="1001"/>
      <c r="G351" s="1001"/>
      <c r="H351" s="1001"/>
      <c r="I351" s="1001"/>
      <c r="J351" s="1001"/>
      <c r="K351" s="1001"/>
      <c r="L351" s="1001"/>
      <c r="M351" s="1001"/>
      <c r="N351" s="1001"/>
      <c r="O351" s="1006"/>
    </row>
    <row r="353" spans="4:4">
      <c r="D353" s="2416"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A1:CA198"/>
  <sheetViews>
    <sheetView showGridLines="0"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10.7265625" customWidth="1"/>
    <col min="16" max="16" width="10.81640625" customWidth="1"/>
  </cols>
  <sheetData>
    <row r="1" spans="1:15" ht="20">
      <c r="A1" s="854" t="s">
        <v>541</v>
      </c>
      <c r="B1" s="854" t="s">
        <v>542</v>
      </c>
      <c r="C1" s="854"/>
    </row>
    <row r="2" spans="1:15" s="6" customFormat="1" ht="15">
      <c r="A2" s="855" t="s">
        <v>539</v>
      </c>
      <c r="B2" s="855" t="s">
        <v>540</v>
      </c>
      <c r="C2" s="855"/>
      <c r="E2" s="5"/>
    </row>
    <row r="4" spans="1:15" ht="23.5">
      <c r="A4" s="7"/>
      <c r="B4" s="502" t="s">
        <v>352</v>
      </c>
      <c r="C4" s="856"/>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II.a.Scenario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10" spans="1:15" ht="23.5">
      <c r="A10" s="7"/>
      <c r="B10" s="502" t="s">
        <v>708</v>
      </c>
      <c r="C10" s="503"/>
      <c r="D10" s="503"/>
      <c r="E10" s="503"/>
      <c r="F10" s="503"/>
      <c r="G10" s="503"/>
      <c r="H10" s="503"/>
      <c r="I10" s="503"/>
      <c r="J10" s="503"/>
      <c r="K10" s="503"/>
      <c r="L10" s="503"/>
      <c r="M10" s="503"/>
      <c r="N10" s="503"/>
      <c r="O10" s="857"/>
    </row>
    <row r="11" spans="1:15">
      <c r="B11" s="862"/>
      <c r="C11" s="506"/>
      <c r="D11" s="506"/>
      <c r="E11" s="506"/>
      <c r="F11" s="506"/>
      <c r="G11" s="506"/>
      <c r="H11" s="506"/>
      <c r="I11" s="506"/>
      <c r="J11" s="506"/>
      <c r="K11" s="506"/>
      <c r="L11" s="506"/>
      <c r="M11" s="506"/>
      <c r="N11" s="506"/>
      <c r="O11" s="858"/>
    </row>
    <row r="12" spans="1:15">
      <c r="B12" s="862"/>
      <c r="C12" s="34" t="s">
        <v>709</v>
      </c>
      <c r="D12" s="506"/>
      <c r="E12" s="507"/>
      <c r="F12" s="506"/>
      <c r="G12" s="506"/>
      <c r="H12" s="506"/>
      <c r="I12" s="506"/>
      <c r="J12" s="506"/>
      <c r="K12" s="506"/>
      <c r="L12" s="506"/>
      <c r="M12" s="506"/>
      <c r="N12" s="507" t="str">
        <f>Preferences.EnergyUnits</f>
        <v>TWh</v>
      </c>
      <c r="O12" s="858"/>
    </row>
    <row r="13" spans="1:15">
      <c r="B13" s="862"/>
      <c r="C13" s="12"/>
      <c r="D13" s="506"/>
      <c r="E13" s="507"/>
      <c r="F13" s="506"/>
      <c r="G13" s="506"/>
      <c r="H13" s="506"/>
      <c r="I13" s="506"/>
      <c r="J13" s="506"/>
      <c r="K13" s="506"/>
      <c r="L13" s="506"/>
      <c r="M13" s="506"/>
      <c r="N13" s="506"/>
      <c r="O13" s="858"/>
    </row>
    <row r="14" spans="1:15" s="6" customFormat="1" ht="15.5">
      <c r="A14" s="3"/>
      <c r="B14" s="863"/>
      <c r="C14" s="1712" t="s">
        <v>28</v>
      </c>
      <c r="D14" s="1712" t="s">
        <v>29</v>
      </c>
      <c r="E14" s="1712" t="s">
        <v>30</v>
      </c>
      <c r="F14" s="1712" t="s">
        <v>588</v>
      </c>
      <c r="G14" s="1712" t="s">
        <v>132</v>
      </c>
      <c r="H14" s="1712" t="s">
        <v>133</v>
      </c>
      <c r="I14" s="1712" t="s">
        <v>134</v>
      </c>
      <c r="J14" s="1712" t="s">
        <v>135</v>
      </c>
      <c r="K14" s="1712" t="s">
        <v>136</v>
      </c>
      <c r="L14" s="1712" t="s">
        <v>137</v>
      </c>
      <c r="M14" s="1712" t="s">
        <v>138</v>
      </c>
      <c r="N14" s="1712" t="s">
        <v>139</v>
      </c>
      <c r="O14" s="865"/>
    </row>
    <row r="15" spans="1:15" s="6" customFormat="1" ht="15.5">
      <c r="A15" s="3"/>
      <c r="B15" s="863"/>
      <c r="C15" s="716" t="s">
        <v>95</v>
      </c>
      <c r="D15" s="716" t="s">
        <v>85</v>
      </c>
      <c r="E15" s="716"/>
      <c r="F15" s="2139">
        <f ca="1">INDEX(INDIRECT("'"&amp;II.a.Inputs[#Headers]&amp;"'!Year.Matrix"), MATCH("Subtotal."&amp;$A$2, INDIRECT("'"&amp;II.a.Inputs[#Headers]&amp;"'!Year.Modules"), 0), MATCH(II.a.Inputs[Vector], INDIRECT("'"&amp;II.a.Inputs[#Headers]&amp;"'!Year.Vectors"), 0))</f>
        <v>-24.08816123287685</v>
      </c>
      <c r="G15" s="2139">
        <f ca="1">INDEX(INDIRECT("'"&amp;II.a.Inputs[#Headers]&amp;"'!Year.Matrix"), MATCH("Subtotal."&amp;$A$2, INDIRECT("'"&amp;II.a.Inputs[#Headers]&amp;"'!Year.Modules"), 0), MATCH(II.a.Inputs[Vector], INDIRECT("'"&amp;II.a.Inputs[#Headers]&amp;"'!Year.Vectors"), 0))</f>
        <v>-24.811521893199025</v>
      </c>
      <c r="H15" s="2139">
        <f ca="1">INDEX(INDIRECT("'"&amp;II.a.Inputs[#Headers]&amp;"'!Year.Matrix"), MATCH("Subtotal."&amp;$A$2, INDIRECT("'"&amp;II.a.Inputs[#Headers]&amp;"'!Year.Modules"), 0), MATCH(II.a.Inputs[Vector], INDIRECT("'"&amp;II.a.Inputs[#Headers]&amp;"'!Year.Vectors"), 0))</f>
        <v>-26.31138768996038</v>
      </c>
      <c r="I15" s="2139">
        <f ca="1">INDEX(INDIRECT("'"&amp;II.a.Inputs[#Headers]&amp;"'!Year.Matrix"), MATCH("Subtotal."&amp;$A$2, INDIRECT("'"&amp;II.a.Inputs[#Headers]&amp;"'!Year.Modules"), 0), MATCH(II.a.Inputs[Vector], INDIRECT("'"&amp;II.a.Inputs[#Headers]&amp;"'!Year.Vectors"), 0))</f>
        <v>-28.055451795581007</v>
      </c>
      <c r="J15" s="2139">
        <f ca="1">INDEX(INDIRECT("'"&amp;II.a.Inputs[#Headers]&amp;"'!Year.Matrix"), MATCH("Subtotal."&amp;$A$2, INDIRECT("'"&amp;II.a.Inputs[#Headers]&amp;"'!Year.Modules"), 0), MATCH(II.a.Inputs[Vector], INDIRECT("'"&amp;II.a.Inputs[#Headers]&amp;"'!Year.Vectors"), 0))</f>
        <v>-29.856802850034068</v>
      </c>
      <c r="K15" s="2139">
        <f ca="1">INDEX(INDIRECT("'"&amp;II.a.Inputs[#Headers]&amp;"'!Year.Matrix"), MATCH("Subtotal."&amp;$A$2, INDIRECT("'"&amp;II.a.Inputs[#Headers]&amp;"'!Year.Modules"), 0), MATCH(II.a.Inputs[Vector], INDIRECT("'"&amp;II.a.Inputs[#Headers]&amp;"'!Year.Vectors"), 0))</f>
        <v>-31.827880936203822</v>
      </c>
      <c r="L15" s="2139">
        <f ca="1">INDEX(INDIRECT("'"&amp;II.a.Inputs[#Headers]&amp;"'!Year.Matrix"), MATCH("Subtotal."&amp;$A$2, INDIRECT("'"&amp;II.a.Inputs[#Headers]&amp;"'!Year.Modules"), 0), MATCH(II.a.Inputs[Vector], INDIRECT("'"&amp;II.a.Inputs[#Headers]&amp;"'!Year.Vectors"), 0))</f>
        <v>-33.94707664991239</v>
      </c>
      <c r="M15" s="2139">
        <f ca="1">INDEX(INDIRECT("'"&amp;II.a.Inputs[#Headers]&amp;"'!Year.Matrix"), MATCH("Subtotal."&amp;$A$2, INDIRECT("'"&amp;II.a.Inputs[#Headers]&amp;"'!Year.Modules"), 0), MATCH(II.a.Inputs[Vector], INDIRECT("'"&amp;II.a.Inputs[#Headers]&amp;"'!Year.Vectors"), 0))</f>
        <v>-36.162871893616611</v>
      </c>
      <c r="N15" s="2139">
        <f ca="1">INDEX(INDIRECT("'"&amp;II.a.Inputs[#Headers]&amp;"'!Year.Matrix"), MATCH("Subtotal."&amp;$A$2, INDIRECT("'"&amp;II.a.Inputs[#Headers]&amp;"'!Year.Modules"), 0), MATCH(II.a.Inputs[Vector], INDIRECT("'"&amp;II.a.Inputs[#Headers]&amp;"'!Year.Vectors"), 0))</f>
        <v>-38.38831997780612</v>
      </c>
      <c r="O15" s="865"/>
    </row>
    <row r="16" spans="1:15" s="6" customFormat="1" ht="15.5">
      <c r="A16" s="3"/>
      <c r="B16" s="863"/>
      <c r="C16" s="716" t="s">
        <v>96</v>
      </c>
      <c r="D16" s="716" t="s">
        <v>86</v>
      </c>
      <c r="E16" s="716"/>
      <c r="F16" s="2140">
        <f ca="1">INDEX(INDIRECT("'"&amp;II.a.Inputs[#Headers]&amp;"'!Year.Matrix"), MATCH("Subtotal."&amp;$A$2, INDIRECT("'"&amp;II.a.Inputs[#Headers]&amp;"'!Year.Modules"), 0), MATCH(II.a.Inputs[Vector], INDIRECT("'"&amp;II.a.Inputs[#Headers]&amp;"'!Year.Vectors"), 0))</f>
        <v>4.3049471499030432</v>
      </c>
      <c r="G16" s="2140">
        <f ca="1">INDEX(INDIRECT("'"&amp;II.a.Inputs[#Headers]&amp;"'!Year.Matrix"), MATCH("Subtotal."&amp;$A$2, INDIRECT("'"&amp;II.a.Inputs[#Headers]&amp;"'!Year.Modules"), 0), MATCH(II.a.Inputs[Vector], INDIRECT("'"&amp;II.a.Inputs[#Headers]&amp;"'!Year.Vectors"), 0))</f>
        <v>5.3216123209067536</v>
      </c>
      <c r="H16" s="2140">
        <f ca="1">INDEX(INDIRECT("'"&amp;II.a.Inputs[#Headers]&amp;"'!Year.Matrix"), MATCH("Subtotal."&amp;$A$2, INDIRECT("'"&amp;II.a.Inputs[#Headers]&amp;"'!Year.Modules"), 0), MATCH(II.a.Inputs[Vector], INDIRECT("'"&amp;II.a.Inputs[#Headers]&amp;"'!Year.Vectors"), 0))</f>
        <v>5.1208272492213931</v>
      </c>
      <c r="I16" s="2140">
        <f ca="1">INDEX(INDIRECT("'"&amp;II.a.Inputs[#Headers]&amp;"'!Year.Matrix"), MATCH("Subtotal."&amp;$A$2, INDIRECT("'"&amp;II.a.Inputs[#Headers]&amp;"'!Year.Modules"), 0), MATCH(II.a.Inputs[Vector], INDIRECT("'"&amp;II.a.Inputs[#Headers]&amp;"'!Year.Vectors"), 0))</f>
        <v>1.6275374030953058</v>
      </c>
      <c r="J16" s="2140">
        <f ca="1">INDEX(INDIRECT("'"&amp;II.a.Inputs[#Headers]&amp;"'!Year.Matrix"), MATCH("Subtotal."&amp;$A$2, INDIRECT("'"&amp;II.a.Inputs[#Headers]&amp;"'!Year.Modules"), 0), MATCH(II.a.Inputs[Vector], INDIRECT("'"&amp;II.a.Inputs[#Headers]&amp;"'!Year.Vectors"), 0))</f>
        <v>-1.6108806150792794</v>
      </c>
      <c r="K16" s="2140">
        <f ca="1">INDEX(INDIRECT("'"&amp;II.a.Inputs[#Headers]&amp;"'!Year.Matrix"), MATCH("Subtotal."&amp;$A$2, INDIRECT("'"&amp;II.a.Inputs[#Headers]&amp;"'!Year.Modules"), 0), MATCH(II.a.Inputs[Vector], INDIRECT("'"&amp;II.a.Inputs[#Headers]&amp;"'!Year.Vectors"), 0))</f>
        <v>-4.1646645764390726</v>
      </c>
      <c r="L16" s="2140">
        <f ca="1">INDEX(INDIRECT("'"&amp;II.a.Inputs[#Headers]&amp;"'!Year.Matrix"), MATCH("Subtotal."&amp;$A$2, INDIRECT("'"&amp;II.a.Inputs[#Headers]&amp;"'!Year.Modules"), 0), MATCH(II.a.Inputs[Vector], INDIRECT("'"&amp;II.a.Inputs[#Headers]&amp;"'!Year.Vectors"), 0))</f>
        <v>-4.5672840509879826</v>
      </c>
      <c r="M16" s="2140">
        <f ca="1">INDEX(INDIRECT("'"&amp;II.a.Inputs[#Headers]&amp;"'!Year.Matrix"), MATCH("Subtotal."&amp;$A$2, INDIRECT("'"&amp;II.a.Inputs[#Headers]&amp;"'!Year.Modules"), 0), MATCH(II.a.Inputs[Vector], INDIRECT("'"&amp;II.a.Inputs[#Headers]&amp;"'!Year.Vectors"), 0))</f>
        <v>-4.9634094627297518</v>
      </c>
      <c r="N16" s="2140">
        <f ca="1">INDEX(INDIRECT("'"&amp;II.a.Inputs[#Headers]&amp;"'!Year.Matrix"), MATCH("Subtotal."&amp;$A$2, INDIRECT("'"&amp;II.a.Inputs[#Headers]&amp;"'!Year.Modules"), 0), MATCH(II.a.Inputs[Vector], INDIRECT("'"&amp;II.a.Inputs[#Headers]&amp;"'!Year.Vectors"), 0))</f>
        <v>-5.4478268372352225</v>
      </c>
      <c r="O16" s="866"/>
    </row>
    <row r="17" spans="1:15">
      <c r="B17" s="867"/>
      <c r="C17" s="860"/>
      <c r="D17" s="860"/>
      <c r="E17" s="860"/>
      <c r="F17" s="860"/>
      <c r="G17" s="860"/>
      <c r="H17" s="860"/>
      <c r="I17" s="860"/>
      <c r="J17" s="860"/>
      <c r="K17" s="860"/>
      <c r="L17" s="860"/>
      <c r="M17" s="860"/>
      <c r="N17" s="860"/>
      <c r="O17" s="861"/>
    </row>
    <row r="18" spans="1:15">
      <c r="B18" s="868"/>
    </row>
    <row r="19" spans="1:15" ht="23.5">
      <c r="A19" s="7"/>
      <c r="B19" s="869" t="s">
        <v>33</v>
      </c>
      <c r="C19" s="870"/>
      <c r="D19" s="870"/>
      <c r="E19" s="870"/>
      <c r="F19" s="870"/>
      <c r="G19" s="870"/>
      <c r="H19" s="870"/>
      <c r="I19" s="870"/>
      <c r="J19" s="870"/>
      <c r="K19" s="870"/>
      <c r="L19" s="870"/>
      <c r="M19" s="870"/>
      <c r="N19" s="870"/>
      <c r="O19" s="871"/>
    </row>
    <row r="20" spans="1:15">
      <c r="B20" s="872"/>
      <c r="C20" s="873"/>
      <c r="D20" s="873"/>
      <c r="E20" s="873"/>
      <c r="F20" s="873"/>
      <c r="G20" s="873"/>
      <c r="H20" s="873"/>
      <c r="I20" s="873"/>
      <c r="J20" s="873"/>
      <c r="K20" s="873"/>
      <c r="L20" s="873"/>
      <c r="M20" s="873"/>
      <c r="N20" s="873"/>
      <c r="O20" s="874"/>
    </row>
    <row r="21" spans="1:15">
      <c r="B21" s="875"/>
      <c r="C21" s="49" t="s">
        <v>2977</v>
      </c>
      <c r="D21" s="67"/>
      <c r="E21" s="51"/>
      <c r="F21" s="67"/>
      <c r="G21" s="67"/>
      <c r="H21" s="67"/>
      <c r="I21" s="67"/>
      <c r="J21" s="67"/>
      <c r="K21" s="67"/>
      <c r="L21" s="67"/>
      <c r="M21" s="67"/>
      <c r="N21" s="51" t="str">
        <f>Preferences.PowerUnits &amp; " per annum, for subsequent period"</f>
        <v>GW per annum, for subsequent period</v>
      </c>
      <c r="O21" s="876"/>
    </row>
    <row r="22" spans="1:15">
      <c r="B22" s="875"/>
      <c r="C22" s="67"/>
      <c r="D22" s="67"/>
      <c r="E22" s="67"/>
      <c r="F22" s="67"/>
      <c r="G22" s="67"/>
      <c r="H22" s="67"/>
      <c r="I22" s="67"/>
      <c r="J22" s="67"/>
      <c r="K22" s="67"/>
      <c r="L22" s="67"/>
      <c r="M22" s="67"/>
      <c r="N22" s="67"/>
      <c r="O22" s="876"/>
    </row>
    <row r="23" spans="1:15" ht="15.5">
      <c r="B23" s="877"/>
      <c r="C23" s="878" t="s">
        <v>8</v>
      </c>
      <c r="D23" s="878" t="s">
        <v>71</v>
      </c>
      <c r="E23" s="878" t="s">
        <v>30</v>
      </c>
      <c r="F23" s="879">
        <v>2013</v>
      </c>
      <c r="G23" s="87">
        <v>2015</v>
      </c>
      <c r="H23" s="87">
        <v>2020</v>
      </c>
      <c r="I23" s="87">
        <v>2025</v>
      </c>
      <c r="J23" s="87">
        <v>2030</v>
      </c>
      <c r="K23" s="87">
        <v>2035</v>
      </c>
      <c r="L23" s="87">
        <v>2040</v>
      </c>
      <c r="M23" s="87">
        <v>2045</v>
      </c>
      <c r="N23" s="87">
        <v>2050</v>
      </c>
      <c r="O23" s="876"/>
    </row>
    <row r="24" spans="1:15" ht="15.5">
      <c r="B24" s="880"/>
      <c r="C24" s="65">
        <v>1</v>
      </c>
      <c r="D24" s="103"/>
      <c r="E24" s="881"/>
      <c r="F24" s="882">
        <v>0</v>
      </c>
      <c r="G24" s="883">
        <v>0</v>
      </c>
      <c r="H24" s="883">
        <v>0</v>
      </c>
      <c r="I24" s="883">
        <v>0</v>
      </c>
      <c r="J24" s="883">
        <v>0</v>
      </c>
      <c r="K24" s="883">
        <v>0</v>
      </c>
      <c r="L24" s="883">
        <v>0</v>
      </c>
      <c r="M24" s="883">
        <v>0</v>
      </c>
      <c r="N24" s="883">
        <v>0</v>
      </c>
      <c r="O24" s="884"/>
    </row>
    <row r="25" spans="1:15" ht="15.5">
      <c r="B25" s="877"/>
      <c r="C25" s="65">
        <v>2</v>
      </c>
      <c r="D25" s="103"/>
      <c r="E25" s="103"/>
      <c r="F25" s="885">
        <v>0</v>
      </c>
      <c r="G25" s="886">
        <v>0</v>
      </c>
      <c r="H25" s="886">
        <v>0</v>
      </c>
      <c r="I25" s="886">
        <v>0</v>
      </c>
      <c r="J25" s="886">
        <v>0</v>
      </c>
      <c r="K25" s="886">
        <v>0</v>
      </c>
      <c r="L25" s="886">
        <v>0</v>
      </c>
      <c r="M25" s="886">
        <v>0</v>
      </c>
      <c r="N25" s="886">
        <v>0</v>
      </c>
      <c r="O25" s="876"/>
    </row>
    <row r="26" spans="1:15" ht="15.5">
      <c r="B26" s="877"/>
      <c r="C26" s="65">
        <v>3</v>
      </c>
      <c r="D26" s="103"/>
      <c r="E26" s="103"/>
      <c r="F26" s="885">
        <v>0</v>
      </c>
      <c r="G26" s="886">
        <v>0</v>
      </c>
      <c r="H26" s="886">
        <v>0</v>
      </c>
      <c r="I26" s="886">
        <v>0</v>
      </c>
      <c r="J26" s="886">
        <v>0</v>
      </c>
      <c r="K26" s="886">
        <v>0</v>
      </c>
      <c r="L26" s="886">
        <v>0</v>
      </c>
      <c r="M26" s="886">
        <v>0</v>
      </c>
      <c r="N26" s="886">
        <v>0</v>
      </c>
      <c r="O26" s="876"/>
    </row>
    <row r="27" spans="1:15" ht="15.5">
      <c r="B27" s="877"/>
      <c r="C27" s="887">
        <v>4</v>
      </c>
      <c r="D27" s="888"/>
      <c r="E27" s="888"/>
      <c r="F27" s="889">
        <v>0</v>
      </c>
      <c r="G27" s="890">
        <v>0</v>
      </c>
      <c r="H27" s="890">
        <v>0</v>
      </c>
      <c r="I27" s="890">
        <f>(Unit.GW)*0.2</f>
        <v>0.2</v>
      </c>
      <c r="J27" s="890">
        <v>0</v>
      </c>
      <c r="K27" s="890">
        <v>0</v>
      </c>
      <c r="L27" s="890">
        <v>0</v>
      </c>
      <c r="M27" s="890">
        <v>0</v>
      </c>
      <c r="N27" s="890">
        <v>0</v>
      </c>
      <c r="O27" s="876"/>
    </row>
    <row r="28" spans="1:15" ht="15.5">
      <c r="B28" s="55"/>
      <c r="C28" s="891" t="s">
        <v>37</v>
      </c>
      <c r="D28" s="892"/>
      <c r="E28" s="892"/>
      <c r="F28" s="893">
        <f>(INDEX(F$24:F$27,ROUNDDOWN($E$7,0))*(1-MOD($E$7,1)))+(INDEX(F$24:F$27,ROUNDUP($E$7,0))*MOD($E$7,1))</f>
        <v>0</v>
      </c>
      <c r="G28" s="893">
        <f t="shared" ref="G28:N28" si="0">(INDEX(G$24:G$27,ROUNDDOWN($E$7,0))*(1-MOD($E$7,1)))+(INDEX(G$24:G$27,ROUNDUP($E$7,0))*MOD($E$7,1))</f>
        <v>0</v>
      </c>
      <c r="H28" s="893">
        <f t="shared" si="0"/>
        <v>0</v>
      </c>
      <c r="I28" s="893">
        <f t="shared" si="0"/>
        <v>0</v>
      </c>
      <c r="J28" s="893">
        <f t="shared" si="0"/>
        <v>0</v>
      </c>
      <c r="K28" s="893">
        <f t="shared" si="0"/>
        <v>0</v>
      </c>
      <c r="L28" s="893">
        <f t="shared" si="0"/>
        <v>0</v>
      </c>
      <c r="M28" s="893">
        <f t="shared" si="0"/>
        <v>0</v>
      </c>
      <c r="N28" s="894">
        <f t="shared" si="0"/>
        <v>0</v>
      </c>
      <c r="O28" s="876"/>
    </row>
    <row r="29" spans="1:15">
      <c r="B29" s="895"/>
      <c r="C29" s="67"/>
      <c r="D29" s="195"/>
      <c r="E29" s="67"/>
      <c r="F29" s="67"/>
      <c r="G29" s="67"/>
      <c r="H29" s="67"/>
      <c r="I29" s="67"/>
      <c r="J29" s="67"/>
      <c r="K29" s="67"/>
      <c r="L29" s="67"/>
      <c r="M29" s="67"/>
      <c r="N29" s="67"/>
      <c r="O29" s="876"/>
    </row>
    <row r="30" spans="1:15">
      <c r="B30" s="895"/>
      <c r="C30" s="49" t="s">
        <v>710</v>
      </c>
      <c r="D30" s="67"/>
      <c r="E30" s="51"/>
      <c r="F30" s="67"/>
      <c r="G30" s="67"/>
      <c r="H30" s="67"/>
      <c r="I30" s="67"/>
      <c r="J30" s="67"/>
      <c r="K30" s="67"/>
      <c r="L30" s="67"/>
      <c r="M30" s="67"/>
      <c r="N30" s="51" t="str">
        <f>Preferences.PowerUnits &amp; " per annum, for subsequent period"</f>
        <v>GW per annum, for subsequent period</v>
      </c>
      <c r="O30" s="876"/>
    </row>
    <row r="31" spans="1:15">
      <c r="B31" s="895"/>
      <c r="C31" s="67"/>
      <c r="D31" s="67"/>
      <c r="E31" s="67"/>
      <c r="F31" s="67"/>
      <c r="G31" s="67"/>
      <c r="H31" s="67"/>
      <c r="I31" s="67"/>
      <c r="J31" s="67"/>
      <c r="K31" s="67"/>
      <c r="L31" s="67"/>
      <c r="M31" s="67"/>
      <c r="N31" s="67"/>
      <c r="O31" s="876"/>
    </row>
    <row r="32" spans="1:15" ht="15.5">
      <c r="B32" s="877"/>
      <c r="C32" s="878" t="s">
        <v>8</v>
      </c>
      <c r="D32" s="878" t="s">
        <v>71</v>
      </c>
      <c r="E32" s="878" t="s">
        <v>30</v>
      </c>
      <c r="F32" s="879">
        <v>2013</v>
      </c>
      <c r="G32" s="87">
        <v>2015</v>
      </c>
      <c r="H32" s="87">
        <v>2020</v>
      </c>
      <c r="I32" s="87">
        <v>2025</v>
      </c>
      <c r="J32" s="87">
        <v>2030</v>
      </c>
      <c r="K32" s="87">
        <v>2035</v>
      </c>
      <c r="L32" s="87">
        <v>2040</v>
      </c>
      <c r="M32" s="87">
        <v>2045</v>
      </c>
      <c r="N32" s="87">
        <v>2050</v>
      </c>
      <c r="O32" s="876"/>
    </row>
    <row r="33" spans="1:15" ht="15.5">
      <c r="B33" s="877"/>
      <c r="C33" s="65">
        <v>1</v>
      </c>
      <c r="D33" s="103"/>
      <c r="E33" s="881"/>
      <c r="F33" s="896">
        <v>0</v>
      </c>
      <c r="G33" s="59">
        <v>0</v>
      </c>
      <c r="H33" s="59">
        <v>0</v>
      </c>
      <c r="I33" s="59">
        <v>0</v>
      </c>
      <c r="J33" s="59">
        <v>0</v>
      </c>
      <c r="K33" s="59">
        <v>0</v>
      </c>
      <c r="L33" s="59">
        <v>0</v>
      </c>
      <c r="M33" s="59">
        <v>0</v>
      </c>
      <c r="N33" s="59"/>
      <c r="O33" s="876"/>
    </row>
    <row r="34" spans="1:15" ht="15.5">
      <c r="B34" s="877"/>
      <c r="C34" s="65">
        <v>2</v>
      </c>
      <c r="D34" s="103"/>
      <c r="E34" s="103"/>
      <c r="F34" s="118">
        <v>0</v>
      </c>
      <c r="G34" s="60">
        <v>0</v>
      </c>
      <c r="H34" s="60">
        <v>0</v>
      </c>
      <c r="I34" s="60">
        <v>0</v>
      </c>
      <c r="J34" s="60">
        <v>0</v>
      </c>
      <c r="K34" s="60">
        <v>0</v>
      </c>
      <c r="L34" s="60">
        <v>0</v>
      </c>
      <c r="M34" s="60">
        <v>0</v>
      </c>
      <c r="N34" s="60"/>
      <c r="O34" s="876"/>
    </row>
    <row r="35" spans="1:15" ht="15.5">
      <c r="B35" s="877"/>
      <c r="C35" s="65">
        <v>3</v>
      </c>
      <c r="D35" s="103"/>
      <c r="E35" s="103"/>
      <c r="F35" s="118">
        <v>0</v>
      </c>
      <c r="G35" s="60">
        <v>0</v>
      </c>
      <c r="H35" s="60">
        <v>0</v>
      </c>
      <c r="I35" s="60">
        <v>0</v>
      </c>
      <c r="J35" s="60">
        <v>0</v>
      </c>
      <c r="K35" s="60">
        <v>0</v>
      </c>
      <c r="L35" s="60">
        <v>0</v>
      </c>
      <c r="M35" s="60">
        <v>0</v>
      </c>
      <c r="N35" s="60"/>
      <c r="O35" s="876"/>
    </row>
    <row r="36" spans="1:15" ht="15.5">
      <c r="B36" s="877"/>
      <c r="C36" s="887">
        <v>4</v>
      </c>
      <c r="D36" s="888"/>
      <c r="E36" s="888"/>
      <c r="F36" s="897">
        <v>0</v>
      </c>
      <c r="G36" s="898">
        <v>0</v>
      </c>
      <c r="H36" s="898">
        <v>0</v>
      </c>
      <c r="I36" s="898">
        <v>0</v>
      </c>
      <c r="J36" s="898">
        <v>0</v>
      </c>
      <c r="K36" s="898">
        <v>0</v>
      </c>
      <c r="L36" s="898">
        <v>0</v>
      </c>
      <c r="M36" s="898">
        <v>0</v>
      </c>
      <c r="N36" s="898"/>
      <c r="O36" s="876"/>
    </row>
    <row r="37" spans="1:15" ht="15.5">
      <c r="B37" s="55"/>
      <c r="C37" s="891" t="s">
        <v>37</v>
      </c>
      <c r="D37" s="892"/>
      <c r="E37" s="892"/>
      <c r="F37" s="893">
        <f>(INDEX(F$33:F$36,ROUNDDOWN($E$7,0))*(1-MOD($E$7,1)))+(INDEX(F$33:F$36,ROUNDUP($E$7,0))*MOD($E$7,1))</f>
        <v>0</v>
      </c>
      <c r="G37" s="893">
        <f t="shared" ref="G37:N37" si="1">(INDEX(G$33:G$36,ROUNDDOWN($E$7,0))*(1-MOD($E$7,1)))+(INDEX(G$33:G$36,ROUNDUP($E$7,0))*MOD($E$7,1))</f>
        <v>0</v>
      </c>
      <c r="H37" s="893">
        <f t="shared" si="1"/>
        <v>0</v>
      </c>
      <c r="I37" s="893">
        <f t="shared" si="1"/>
        <v>0</v>
      </c>
      <c r="J37" s="893">
        <f t="shared" si="1"/>
        <v>0</v>
      </c>
      <c r="K37" s="893">
        <f t="shared" si="1"/>
        <v>0</v>
      </c>
      <c r="L37" s="893">
        <f t="shared" si="1"/>
        <v>0</v>
      </c>
      <c r="M37" s="893">
        <f t="shared" si="1"/>
        <v>0</v>
      </c>
      <c r="N37" s="894">
        <f t="shared" si="1"/>
        <v>0</v>
      </c>
      <c r="O37" s="876"/>
    </row>
    <row r="38" spans="1:15" s="3821" customFormat="1" ht="15.5">
      <c r="B38" s="55"/>
      <c r="C38" s="104"/>
      <c r="D38" s="103"/>
      <c r="E38" s="103"/>
      <c r="F38" s="883"/>
      <c r="G38" s="883"/>
      <c r="H38" s="883"/>
      <c r="I38" s="883"/>
      <c r="J38" s="883"/>
      <c r="K38" s="883"/>
      <c r="L38" s="883"/>
      <c r="M38" s="883"/>
      <c r="N38" s="60"/>
      <c r="O38" s="876"/>
    </row>
    <row r="39" spans="1:15" s="3821" customFormat="1" ht="15.5">
      <c r="B39" s="55"/>
      <c r="C39" s="3835" t="s">
        <v>63</v>
      </c>
      <c r="D39" s="103"/>
      <c r="E39" s="103"/>
      <c r="F39" s="883"/>
      <c r="G39" s="883"/>
      <c r="H39" s="883"/>
      <c r="I39" s="883"/>
      <c r="J39" s="883"/>
      <c r="K39" s="883"/>
      <c r="L39" s="883"/>
      <c r="M39" s="883"/>
      <c r="N39" s="60"/>
      <c r="O39" s="876"/>
    </row>
    <row r="40" spans="1:15" s="3821" customFormat="1" ht="15.5">
      <c r="B40" s="55"/>
      <c r="C40" s="3834" t="s">
        <v>64</v>
      </c>
      <c r="D40" s="2248" t="s">
        <v>2979</v>
      </c>
      <c r="E40" s="103"/>
      <c r="F40" s="883"/>
      <c r="G40" s="883"/>
      <c r="H40" s="883"/>
      <c r="I40" s="883"/>
      <c r="J40" s="883"/>
      <c r="K40" s="883"/>
      <c r="L40" s="883"/>
      <c r="M40" s="883"/>
      <c r="N40" s="60"/>
      <c r="O40" s="876"/>
    </row>
    <row r="41" spans="1:15">
      <c r="B41" s="895"/>
      <c r="C41" s="3834"/>
      <c r="D41" s="2248" t="s">
        <v>2978</v>
      </c>
      <c r="E41" s="103"/>
      <c r="F41" s="59"/>
      <c r="G41" s="60"/>
      <c r="H41" s="60"/>
      <c r="I41" s="60"/>
      <c r="J41" s="60"/>
      <c r="K41" s="60"/>
      <c r="L41" s="60"/>
      <c r="M41" s="60"/>
      <c r="N41" s="60"/>
      <c r="O41" s="876"/>
    </row>
    <row r="42" spans="1:15">
      <c r="B42" s="868"/>
    </row>
    <row r="43" spans="1:15" s="6" customFormat="1" ht="23.5">
      <c r="A43" s="40"/>
      <c r="B43" s="869" t="s">
        <v>69</v>
      </c>
      <c r="C43" s="870"/>
      <c r="D43" s="870"/>
      <c r="E43" s="870"/>
      <c r="F43" s="870"/>
      <c r="G43" s="870"/>
      <c r="H43" s="870"/>
      <c r="I43" s="870"/>
      <c r="J43" s="870"/>
      <c r="K43" s="870"/>
      <c r="L43" s="870"/>
      <c r="M43" s="870"/>
      <c r="N43" s="870"/>
      <c r="O43" s="871"/>
    </row>
    <row r="44" spans="1:15">
      <c r="B44" s="875"/>
      <c r="C44" s="67"/>
      <c r="D44" s="67"/>
      <c r="E44" s="67"/>
      <c r="F44" s="67"/>
      <c r="G44" s="67"/>
      <c r="H44" s="67"/>
      <c r="I44" s="67"/>
      <c r="J44" s="67"/>
      <c r="K44" s="67"/>
      <c r="L44" s="67"/>
      <c r="M44" s="67"/>
      <c r="N44" s="67"/>
      <c r="O44" s="876"/>
    </row>
    <row r="45" spans="1:15">
      <c r="B45" s="875"/>
      <c r="C45" s="49" t="s">
        <v>711</v>
      </c>
      <c r="D45" s="67"/>
      <c r="E45" s="67"/>
      <c r="F45" s="67"/>
      <c r="G45" s="67"/>
      <c r="H45" s="67"/>
      <c r="I45" s="67"/>
      <c r="J45" s="67"/>
      <c r="K45" s="67"/>
      <c r="L45" s="67"/>
      <c r="M45" s="67"/>
      <c r="N45" s="67"/>
      <c r="O45" s="876"/>
    </row>
    <row r="46" spans="1:15">
      <c r="B46" s="875"/>
      <c r="C46" s="67"/>
      <c r="D46" s="67"/>
      <c r="E46" s="67"/>
      <c r="F46" s="67"/>
      <c r="G46" s="67"/>
      <c r="H46" s="67"/>
      <c r="I46" s="67"/>
      <c r="J46" s="67"/>
      <c r="K46" s="67"/>
      <c r="L46" s="67"/>
      <c r="M46" s="67"/>
      <c r="N46" s="67"/>
      <c r="O46" s="876"/>
    </row>
    <row r="47" spans="1:15" ht="15.5">
      <c r="B47" s="877"/>
      <c r="C47" s="878" t="s">
        <v>131</v>
      </c>
      <c r="D47" s="878" t="s">
        <v>712</v>
      </c>
      <c r="E47" s="878" t="s">
        <v>30</v>
      </c>
      <c r="F47" s="899">
        <v>2013</v>
      </c>
      <c r="G47" s="900" t="s">
        <v>132</v>
      </c>
      <c r="H47" s="900" t="s">
        <v>133</v>
      </c>
      <c r="I47" s="900" t="s">
        <v>134</v>
      </c>
      <c r="J47" s="900" t="s">
        <v>135</v>
      </c>
      <c r="K47" s="900" t="s">
        <v>136</v>
      </c>
      <c r="L47" s="900" t="s">
        <v>137</v>
      </c>
      <c r="M47" s="900" t="s">
        <v>138</v>
      </c>
      <c r="N47" s="900" t="s">
        <v>139</v>
      </c>
      <c r="O47" s="876"/>
    </row>
    <row r="48" spans="1:15" ht="15.5">
      <c r="B48" s="877"/>
      <c r="C48" s="901" t="s">
        <v>436</v>
      </c>
      <c r="D48" s="901" t="s">
        <v>387</v>
      </c>
      <c r="E48" s="902"/>
      <c r="F48" s="903">
        <v>0.10095299999999999</v>
      </c>
      <c r="G48" s="904">
        <v>0.1</v>
      </c>
      <c r="H48" s="904">
        <v>0.1</v>
      </c>
      <c r="I48" s="904">
        <v>0.1</v>
      </c>
      <c r="J48" s="904">
        <v>0.1</v>
      </c>
      <c r="K48" s="904">
        <v>0.1</v>
      </c>
      <c r="L48" s="904">
        <v>0.1</v>
      </c>
      <c r="M48" s="904">
        <v>0.1</v>
      </c>
      <c r="N48" s="904">
        <v>0.1</v>
      </c>
      <c r="O48" s="876"/>
    </row>
    <row r="49" spans="2:15">
      <c r="B49" s="875"/>
      <c r="C49" s="67"/>
      <c r="D49" s="67"/>
      <c r="E49" s="67"/>
      <c r="F49" s="67"/>
      <c r="G49" s="67"/>
      <c r="H49" s="67"/>
      <c r="I49" s="67"/>
      <c r="J49" s="67"/>
      <c r="K49" s="67"/>
      <c r="L49" s="67"/>
      <c r="M49" s="67"/>
      <c r="N49" s="67"/>
      <c r="O49" s="876"/>
    </row>
    <row r="50" spans="2:15">
      <c r="B50" s="905"/>
      <c r="C50" s="49" t="s">
        <v>713</v>
      </c>
      <c r="D50" s="67"/>
      <c r="E50" s="67"/>
      <c r="F50" s="906"/>
      <c r="G50" s="67"/>
      <c r="H50" s="67"/>
      <c r="I50" s="67"/>
      <c r="J50" s="67"/>
      <c r="K50" s="67"/>
      <c r="L50" s="67"/>
      <c r="M50" s="67"/>
      <c r="N50" s="67"/>
      <c r="O50" s="876"/>
    </row>
    <row r="51" spans="2:15">
      <c r="B51" s="875"/>
      <c r="C51" s="67"/>
      <c r="D51" s="67"/>
      <c r="E51" s="67"/>
      <c r="F51" s="906"/>
      <c r="G51" s="67"/>
      <c r="H51" s="67"/>
      <c r="I51" s="67"/>
      <c r="J51" s="67"/>
      <c r="K51" s="67"/>
      <c r="L51" s="67"/>
      <c r="M51" s="67"/>
      <c r="N51" s="67"/>
      <c r="O51" s="876"/>
    </row>
    <row r="52" spans="2:15" ht="15.5">
      <c r="B52" s="877"/>
      <c r="C52" s="878" t="s">
        <v>131</v>
      </c>
      <c r="D52" s="878" t="s">
        <v>712</v>
      </c>
      <c r="E52" s="878" t="s">
        <v>30</v>
      </c>
      <c r="F52" s="899">
        <v>2013</v>
      </c>
      <c r="G52" s="900" t="s">
        <v>132</v>
      </c>
      <c r="H52" s="900" t="s">
        <v>133</v>
      </c>
      <c r="I52" s="900" t="s">
        <v>134</v>
      </c>
      <c r="J52" s="900" t="s">
        <v>135</v>
      </c>
      <c r="K52" s="900" t="s">
        <v>136</v>
      </c>
      <c r="L52" s="900" t="s">
        <v>137</v>
      </c>
      <c r="M52" s="900" t="s">
        <v>138</v>
      </c>
      <c r="N52" s="900" t="s">
        <v>139</v>
      </c>
      <c r="O52" s="876"/>
    </row>
    <row r="53" spans="2:15" s="6" customFormat="1" ht="15.5">
      <c r="B53" s="880"/>
      <c r="C53" s="907" t="s">
        <v>436</v>
      </c>
      <c r="D53" s="908" t="s">
        <v>387</v>
      </c>
      <c r="E53" s="908" t="s">
        <v>64</v>
      </c>
      <c r="F53" s="909">
        <v>0.38600000000000001</v>
      </c>
      <c r="G53" s="910">
        <v>0.36</v>
      </c>
      <c r="H53" s="910">
        <v>0.36</v>
      </c>
      <c r="I53" s="910">
        <v>0.36</v>
      </c>
      <c r="J53" s="910">
        <v>0.36</v>
      </c>
      <c r="K53" s="910">
        <v>0.36</v>
      </c>
      <c r="L53" s="910">
        <v>0.36</v>
      </c>
      <c r="M53" s="910">
        <v>0.36</v>
      </c>
      <c r="N53" s="910">
        <v>0.36</v>
      </c>
      <c r="O53" s="884"/>
    </row>
    <row r="54" spans="2:15">
      <c r="B54" s="875"/>
      <c r="C54" s="67"/>
      <c r="D54" s="67"/>
      <c r="E54" s="67"/>
      <c r="F54" s="67"/>
      <c r="G54" s="67"/>
      <c r="H54" s="67"/>
      <c r="I54" s="67"/>
      <c r="J54" s="67"/>
      <c r="K54" s="67"/>
      <c r="L54" s="67"/>
      <c r="M54" s="67"/>
      <c r="N54" s="67"/>
      <c r="O54" s="876"/>
    </row>
    <row r="55" spans="2:15">
      <c r="B55" s="875"/>
      <c r="C55" s="49" t="s">
        <v>714</v>
      </c>
      <c r="D55" s="67"/>
      <c r="E55" s="67"/>
      <c r="F55" s="67"/>
      <c r="G55" s="67"/>
      <c r="H55" s="67"/>
      <c r="I55" s="67"/>
      <c r="J55" s="67"/>
      <c r="K55" s="67"/>
      <c r="L55" s="67"/>
      <c r="M55" s="67"/>
      <c r="N55" s="67"/>
      <c r="O55" s="876"/>
    </row>
    <row r="56" spans="2:15">
      <c r="B56" s="875"/>
      <c r="C56" s="67"/>
      <c r="D56" s="67"/>
      <c r="E56" s="67"/>
      <c r="F56" s="67"/>
      <c r="G56" s="67"/>
      <c r="H56" s="67"/>
      <c r="I56" s="67"/>
      <c r="J56" s="67"/>
      <c r="K56" s="67"/>
      <c r="L56" s="67"/>
      <c r="M56" s="67"/>
      <c r="N56" s="67"/>
      <c r="O56" s="876"/>
    </row>
    <row r="57" spans="2:15" ht="15.5">
      <c r="B57" s="877"/>
      <c r="C57" s="878" t="s">
        <v>131</v>
      </c>
      <c r="D57" s="878" t="s">
        <v>712</v>
      </c>
      <c r="E57" s="878" t="s">
        <v>30</v>
      </c>
      <c r="F57" s="899">
        <v>2013</v>
      </c>
      <c r="G57" s="900" t="s">
        <v>132</v>
      </c>
      <c r="H57" s="900" t="s">
        <v>133</v>
      </c>
      <c r="I57" s="900" t="s">
        <v>134</v>
      </c>
      <c r="J57" s="900" t="s">
        <v>135</v>
      </c>
      <c r="K57" s="900" t="s">
        <v>136</v>
      </c>
      <c r="L57" s="900" t="s">
        <v>137</v>
      </c>
      <c r="M57" s="900" t="s">
        <v>138</v>
      </c>
      <c r="N57" s="900" t="s">
        <v>139</v>
      </c>
      <c r="O57" s="876"/>
    </row>
    <row r="58" spans="2:15" ht="15.5">
      <c r="B58" s="877"/>
      <c r="C58" s="887" t="s">
        <v>436</v>
      </c>
      <c r="D58" s="888" t="s">
        <v>387</v>
      </c>
      <c r="E58" s="888" t="s">
        <v>64</v>
      </c>
      <c r="F58" s="909">
        <v>0.59599999999999997</v>
      </c>
      <c r="G58" s="93">
        <v>0.7</v>
      </c>
      <c r="H58" s="93">
        <v>0.8</v>
      </c>
      <c r="I58" s="93">
        <v>0.8</v>
      </c>
      <c r="J58" s="93">
        <v>0.8</v>
      </c>
      <c r="K58" s="93">
        <v>0.8</v>
      </c>
      <c r="L58" s="93">
        <v>0.8</v>
      </c>
      <c r="M58" s="93">
        <v>0.8</v>
      </c>
      <c r="N58" s="93">
        <v>0.8</v>
      </c>
      <c r="O58" s="876"/>
    </row>
    <row r="59" spans="2:15">
      <c r="B59" s="875"/>
      <c r="C59" s="67"/>
      <c r="D59" s="67"/>
      <c r="E59" s="67"/>
      <c r="F59" s="67"/>
      <c r="G59" s="67"/>
      <c r="H59" s="67"/>
      <c r="I59" s="67"/>
      <c r="J59" s="67"/>
      <c r="K59" s="67"/>
      <c r="L59" s="67"/>
      <c r="M59" s="67"/>
      <c r="N59" s="67"/>
      <c r="O59" s="876"/>
    </row>
    <row r="60" spans="2:15">
      <c r="B60" s="875"/>
      <c r="C60" s="49" t="s">
        <v>1840</v>
      </c>
      <c r="D60" s="67"/>
      <c r="E60" s="51"/>
      <c r="F60" s="51" t="s">
        <v>277</v>
      </c>
      <c r="G60" s="67"/>
      <c r="H60" s="67"/>
      <c r="I60" s="67"/>
      <c r="J60" s="67"/>
      <c r="K60" s="67"/>
      <c r="L60" s="67"/>
      <c r="M60" s="67"/>
      <c r="N60" s="51"/>
      <c r="O60" s="876"/>
    </row>
    <row r="61" spans="2:15">
      <c r="B61" s="875"/>
      <c r="C61" s="67"/>
      <c r="D61" s="67"/>
      <c r="E61" s="67"/>
      <c r="F61" s="67"/>
      <c r="G61" s="67"/>
      <c r="H61" s="67"/>
      <c r="I61" s="67"/>
      <c r="J61" s="67"/>
      <c r="K61" s="67"/>
      <c r="L61" s="67"/>
      <c r="M61" s="67"/>
      <c r="N61" s="67"/>
      <c r="O61" s="876"/>
    </row>
    <row r="62" spans="2:15" ht="15.5">
      <c r="B62" s="877"/>
      <c r="C62" s="878" t="s">
        <v>131</v>
      </c>
      <c r="D62" s="878" t="s">
        <v>712</v>
      </c>
      <c r="E62" s="878" t="s">
        <v>30</v>
      </c>
      <c r="F62" s="900">
        <v>2013</v>
      </c>
      <c r="G62" s="911"/>
      <c r="H62" s="911"/>
      <c r="I62" s="911"/>
      <c r="J62" s="911"/>
      <c r="K62" s="911"/>
      <c r="L62" s="911"/>
      <c r="M62" s="911"/>
      <c r="N62" s="911"/>
      <c r="O62" s="876"/>
    </row>
    <row r="63" spans="2:15" ht="15.5">
      <c r="B63" s="877"/>
      <c r="C63" s="907" t="s">
        <v>436</v>
      </c>
      <c r="D63" s="888" t="s">
        <v>387</v>
      </c>
      <c r="E63" s="908"/>
      <c r="F63" s="912">
        <v>0</v>
      </c>
      <c r="G63" s="883"/>
      <c r="H63" s="883"/>
      <c r="I63" s="883"/>
      <c r="J63" s="883"/>
      <c r="K63" s="883"/>
      <c r="L63" s="883"/>
      <c r="M63" s="883"/>
      <c r="N63" s="883"/>
      <c r="O63" s="876"/>
    </row>
    <row r="64" spans="2:15">
      <c r="B64" s="875"/>
      <c r="C64" s="67"/>
      <c r="D64" s="67"/>
      <c r="E64" s="67"/>
      <c r="F64" s="67"/>
      <c r="G64" s="67"/>
      <c r="H64" s="67"/>
      <c r="I64" s="67"/>
      <c r="J64" s="67"/>
      <c r="K64" s="67"/>
      <c r="L64" s="67"/>
      <c r="M64" s="67"/>
      <c r="N64" s="67"/>
      <c r="O64" s="876"/>
    </row>
    <row r="65" spans="1:17">
      <c r="B65" s="875"/>
      <c r="C65" s="49" t="s">
        <v>715</v>
      </c>
      <c r="D65" s="67"/>
      <c r="E65" s="51"/>
      <c r="F65" s="67"/>
      <c r="G65" s="67"/>
      <c r="H65" s="67"/>
      <c r="I65" s="67"/>
      <c r="J65" s="67"/>
      <c r="K65" s="67"/>
      <c r="L65" s="67"/>
      <c r="M65" s="67"/>
      <c r="N65" s="51" t="str">
        <f>Preferences.PowerUnits &amp; " per annum, following period"</f>
        <v>GW per annum, following period</v>
      </c>
      <c r="O65" s="876"/>
    </row>
    <row r="66" spans="1:17">
      <c r="B66" s="875"/>
      <c r="C66" s="67"/>
      <c r="D66" s="67"/>
      <c r="E66" s="67"/>
      <c r="F66" s="67"/>
      <c r="G66" s="67"/>
      <c r="H66" s="67"/>
      <c r="I66" s="67"/>
      <c r="J66" s="67"/>
      <c r="K66" s="67"/>
      <c r="L66" s="67"/>
      <c r="M66" s="67"/>
      <c r="N66" s="67"/>
      <c r="O66" s="876"/>
    </row>
    <row r="67" spans="1:17" ht="15.5">
      <c r="B67" s="877"/>
      <c r="C67" s="878" t="s">
        <v>131</v>
      </c>
      <c r="D67" s="878" t="s">
        <v>712</v>
      </c>
      <c r="E67" s="878" t="s">
        <v>30</v>
      </c>
      <c r="F67" s="87">
        <v>2013</v>
      </c>
      <c r="G67" s="87">
        <v>2015</v>
      </c>
      <c r="H67" s="87">
        <v>2020</v>
      </c>
      <c r="I67" s="87">
        <v>2025</v>
      </c>
      <c r="J67" s="87">
        <v>2030</v>
      </c>
      <c r="K67" s="87">
        <v>2035</v>
      </c>
      <c r="L67" s="87">
        <v>2040</v>
      </c>
      <c r="M67" s="87">
        <v>2045</v>
      </c>
      <c r="N67" s="87">
        <v>2050</v>
      </c>
      <c r="O67" s="876"/>
    </row>
    <row r="68" spans="1:17" ht="15.5">
      <c r="B68" s="877"/>
      <c r="C68" s="907" t="s">
        <v>436</v>
      </c>
      <c r="D68" s="908" t="s">
        <v>387</v>
      </c>
      <c r="E68" s="908"/>
      <c r="F68" s="912">
        <v>0</v>
      </c>
      <c r="G68" s="912">
        <v>0</v>
      </c>
      <c r="H68" s="912">
        <v>0</v>
      </c>
      <c r="I68" s="912">
        <v>0</v>
      </c>
      <c r="J68" s="912">
        <v>0</v>
      </c>
      <c r="K68" s="912">
        <v>0</v>
      </c>
      <c r="L68" s="912">
        <v>0</v>
      </c>
      <c r="M68" s="912">
        <v>0</v>
      </c>
      <c r="N68" s="912"/>
      <c r="O68" s="876"/>
    </row>
    <row r="69" spans="1:17">
      <c r="B69" s="875"/>
      <c r="C69" s="67"/>
      <c r="D69" s="67"/>
      <c r="E69" s="67"/>
      <c r="F69" s="67"/>
      <c r="G69" s="67"/>
      <c r="H69" s="67"/>
      <c r="I69" s="67"/>
      <c r="J69" s="67"/>
      <c r="K69" s="67"/>
      <c r="L69" s="67"/>
      <c r="M69" s="67"/>
      <c r="N69" s="67"/>
      <c r="O69" s="876"/>
    </row>
    <row r="70" spans="1:17" ht="15.5">
      <c r="B70" s="55"/>
      <c r="C70" s="49" t="s">
        <v>716</v>
      </c>
      <c r="D70" s="67"/>
      <c r="E70" s="67"/>
      <c r="F70" s="67"/>
      <c r="G70" s="67"/>
      <c r="H70" s="67"/>
      <c r="I70" s="67"/>
      <c r="J70" s="67"/>
      <c r="K70" s="67"/>
      <c r="L70" s="67"/>
      <c r="M70" s="67"/>
      <c r="N70" s="67"/>
      <c r="O70" s="876"/>
    </row>
    <row r="71" spans="1:17" ht="15.5">
      <c r="B71" s="55"/>
      <c r="C71" s="67"/>
      <c r="D71" s="67"/>
      <c r="E71" s="67"/>
      <c r="F71" s="67"/>
      <c r="G71" s="67"/>
      <c r="H71" s="67"/>
      <c r="I71" s="67"/>
      <c r="J71" s="67"/>
      <c r="K71" s="67"/>
      <c r="L71" s="67"/>
      <c r="M71" s="67"/>
      <c r="N71" s="67"/>
      <c r="O71" s="876"/>
    </row>
    <row r="72" spans="1:17" ht="15.5">
      <c r="B72" s="55"/>
      <c r="C72" s="878"/>
      <c r="D72" s="878"/>
      <c r="E72" s="878"/>
      <c r="F72" s="913"/>
      <c r="G72" s="1152"/>
      <c r="H72" s="67"/>
      <c r="I72" s="911"/>
      <c r="J72" s="911"/>
      <c r="K72" s="911"/>
      <c r="L72" s="911"/>
      <c r="M72" s="911"/>
      <c r="N72" s="911"/>
      <c r="O72" s="876"/>
    </row>
    <row r="73" spans="1:17" ht="15.5">
      <c r="B73" s="55"/>
      <c r="C73" s="914"/>
      <c r="D73" s="915" t="s">
        <v>717</v>
      </c>
      <c r="E73" s="914"/>
      <c r="F73" s="916">
        <v>60</v>
      </c>
      <c r="G73" s="1216" t="s">
        <v>1843</v>
      </c>
      <c r="H73" s="67"/>
      <c r="I73" s="911"/>
      <c r="J73" s="911"/>
      <c r="K73" s="911"/>
      <c r="L73" s="911"/>
      <c r="M73" s="911"/>
      <c r="N73" s="911"/>
      <c r="O73" s="876"/>
    </row>
    <row r="74" spans="1:17" ht="15.5">
      <c r="B74" s="55"/>
      <c r="C74" s="917"/>
      <c r="D74" s="194" t="s">
        <v>718</v>
      </c>
      <c r="E74" s="194"/>
      <c r="F74" s="343">
        <f>Unit.GW*1</f>
        <v>1</v>
      </c>
      <c r="G74" s="1156" t="str">
        <f>Preferences.PowerUnits&amp;"peak"</f>
        <v>GWpeak</v>
      </c>
      <c r="H74" s="67"/>
      <c r="I74" s="59"/>
      <c r="J74" s="59"/>
      <c r="K74" s="59"/>
      <c r="L74" s="59"/>
      <c r="M74" s="59"/>
      <c r="N74" s="59"/>
      <c r="O74" s="876"/>
    </row>
    <row r="75" spans="1:17">
      <c r="B75" s="105"/>
      <c r="C75" s="67"/>
      <c r="D75" s="67"/>
      <c r="E75" s="67"/>
      <c r="F75" s="67"/>
      <c r="G75" s="67" t="s">
        <v>5</v>
      </c>
      <c r="H75" s="67"/>
      <c r="I75" s="67"/>
      <c r="J75" s="67"/>
      <c r="K75" s="67"/>
      <c r="L75" s="67"/>
      <c r="M75" s="67"/>
      <c r="N75" s="67"/>
      <c r="O75" s="876"/>
    </row>
    <row r="76" spans="1:17">
      <c r="B76" s="895"/>
      <c r="C76" s="3826" t="s">
        <v>63</v>
      </c>
      <c r="D76" s="67"/>
      <c r="E76" s="67"/>
      <c r="F76" s="67"/>
      <c r="G76" s="67"/>
      <c r="H76" s="67"/>
      <c r="I76" s="67"/>
      <c r="J76" s="67"/>
      <c r="K76" s="67"/>
      <c r="L76" s="67"/>
      <c r="M76" s="67"/>
      <c r="N76" s="67"/>
      <c r="O76" s="876"/>
    </row>
    <row r="77" spans="1:17" s="918" customFormat="1" ht="13">
      <c r="B77" s="919"/>
      <c r="C77" s="920" t="s">
        <v>64</v>
      </c>
      <c r="D77" s="921" t="s">
        <v>3178</v>
      </c>
      <c r="E77" s="922"/>
      <c r="F77" s="922"/>
      <c r="G77" s="922"/>
      <c r="H77" s="922"/>
      <c r="I77" s="922"/>
      <c r="J77" s="922"/>
      <c r="K77" s="922"/>
      <c r="L77" s="922"/>
      <c r="M77" s="922"/>
      <c r="N77" s="922"/>
      <c r="O77" s="923"/>
    </row>
    <row r="78" spans="1:17" s="918" customFormat="1" ht="13">
      <c r="B78" s="919"/>
      <c r="C78" s="920"/>
      <c r="D78" s="924" t="s">
        <v>2970</v>
      </c>
      <c r="E78" s="922"/>
      <c r="F78" s="922"/>
      <c r="G78" s="922"/>
      <c r="H78" s="922"/>
      <c r="I78" s="922"/>
      <c r="J78" s="922"/>
      <c r="K78" s="922"/>
      <c r="L78" s="922"/>
      <c r="M78" s="922"/>
      <c r="N78" s="922"/>
      <c r="O78" s="923"/>
    </row>
    <row r="79" spans="1:17" s="918" customFormat="1">
      <c r="B79" s="919"/>
      <c r="C79" s="104"/>
      <c r="D79" s="924"/>
      <c r="E79" s="922"/>
      <c r="F79" s="922"/>
      <c r="G79" s="922"/>
      <c r="H79" s="922"/>
      <c r="I79" s="922"/>
      <c r="J79" s="922"/>
      <c r="K79" s="922"/>
      <c r="L79" s="922"/>
      <c r="M79" s="922"/>
      <c r="N79" s="922"/>
      <c r="O79" s="923"/>
    </row>
    <row r="80" spans="1:17">
      <c r="A80" s="389"/>
      <c r="B80" s="389"/>
      <c r="C80" s="389"/>
      <c r="D80" s="389"/>
      <c r="E80" s="389"/>
      <c r="F80" s="389"/>
      <c r="G80" s="389"/>
      <c r="H80" s="389"/>
      <c r="I80" s="389"/>
      <c r="J80" s="389"/>
      <c r="K80" s="389"/>
      <c r="L80" s="389"/>
      <c r="M80" s="389"/>
      <c r="N80" s="389"/>
      <c r="O80" s="389"/>
      <c r="P80" s="389"/>
      <c r="Q80" s="389"/>
    </row>
    <row r="81" spans="1:79" s="6" customFormat="1" ht="23.5">
      <c r="A81" s="40"/>
      <c r="B81" s="925" t="s">
        <v>2719</v>
      </c>
      <c r="C81" s="926"/>
      <c r="D81" s="926"/>
      <c r="E81" s="926"/>
      <c r="F81" s="926"/>
      <c r="G81" s="926"/>
      <c r="H81" s="926"/>
      <c r="I81" s="926"/>
      <c r="J81" s="926"/>
      <c r="K81" s="926"/>
      <c r="L81" s="926"/>
      <c r="M81" s="926"/>
      <c r="N81" s="927"/>
      <c r="O81" s="927"/>
    </row>
    <row r="82" spans="1:79" s="6" customFormat="1" ht="15" hidden="1" customHeight="1">
      <c r="A82"/>
      <c r="B82" s="928"/>
      <c r="C82" s="929"/>
      <c r="D82" s="930"/>
      <c r="E82" s="930"/>
      <c r="F82" s="930"/>
      <c r="G82" s="930"/>
      <c r="H82" s="930"/>
      <c r="I82" s="930"/>
      <c r="J82" s="930"/>
      <c r="K82" s="930"/>
      <c r="L82" s="930"/>
      <c r="M82" s="931"/>
      <c r="N82" s="931"/>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28"/>
      <c r="C83" s="930"/>
      <c r="D83" s="930"/>
      <c r="E83" s="930"/>
      <c r="F83" s="930"/>
      <c r="G83" s="930"/>
      <c r="H83" s="930"/>
      <c r="I83" s="930"/>
      <c r="J83" s="930"/>
      <c r="K83" s="930"/>
      <c r="L83" s="930"/>
      <c r="M83" s="931"/>
      <c r="N83" s="931"/>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28"/>
      <c r="C84" s="49" t="s">
        <v>1841</v>
      </c>
      <c r="D84" s="915"/>
      <c r="E84" s="932"/>
      <c r="F84" s="933"/>
      <c r="G84" s="934"/>
      <c r="H84" s="934"/>
      <c r="I84" s="934"/>
      <c r="J84" s="934"/>
      <c r="K84" s="934"/>
      <c r="L84" s="934"/>
      <c r="M84" s="934"/>
      <c r="N84" s="935" t="s">
        <v>2741</v>
      </c>
      <c r="O84" s="936"/>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28"/>
      <c r="C85" s="937"/>
      <c r="D85" s="915"/>
      <c r="E85" s="932"/>
      <c r="F85" s="933"/>
      <c r="G85" s="934"/>
      <c r="H85" s="934"/>
      <c r="I85" s="934"/>
      <c r="J85" s="934"/>
      <c r="K85" s="934"/>
      <c r="L85" s="934"/>
      <c r="M85" s="934"/>
      <c r="N85" s="67"/>
      <c r="O85" s="93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28"/>
      <c r="C86" s="938"/>
      <c r="D86" s="939"/>
      <c r="E86" s="940" t="s">
        <v>159</v>
      </c>
      <c r="F86" s="941">
        <v>2013</v>
      </c>
      <c r="G86" s="942">
        <v>2015</v>
      </c>
      <c r="H86" s="942">
        <v>2020</v>
      </c>
      <c r="I86" s="942">
        <v>2025</v>
      </c>
      <c r="J86" s="942">
        <v>2030</v>
      </c>
      <c r="K86" s="942">
        <v>2035</v>
      </c>
      <c r="L86" s="942">
        <v>2040</v>
      </c>
      <c r="M86" s="942">
        <v>2045</v>
      </c>
      <c r="N86" s="942">
        <v>2050</v>
      </c>
      <c r="O86" s="93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28"/>
      <c r="C87" s="943" t="s">
        <v>719</v>
      </c>
      <c r="D87" s="915"/>
      <c r="E87" s="944"/>
      <c r="F87" s="945"/>
      <c r="G87" s="945"/>
      <c r="H87" s="945"/>
      <c r="I87" s="945"/>
      <c r="J87" s="945"/>
      <c r="K87" s="945"/>
      <c r="L87" s="945"/>
      <c r="M87" s="945"/>
      <c r="N87" s="945"/>
      <c r="O87" s="93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28"/>
      <c r="C88" s="943" t="s">
        <v>720</v>
      </c>
      <c r="D88" s="915"/>
      <c r="E88" s="944"/>
      <c r="F88" s="945"/>
      <c r="G88" s="945"/>
      <c r="H88" s="945"/>
      <c r="I88" s="945"/>
      <c r="J88" s="945"/>
      <c r="K88" s="945"/>
      <c r="L88" s="945"/>
      <c r="M88" s="945"/>
      <c r="N88" s="945"/>
      <c r="O88" s="93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46"/>
      <c r="C89" s="947" t="s">
        <v>721</v>
      </c>
      <c r="D89" s="948"/>
      <c r="E89" s="949"/>
      <c r="F89" s="950"/>
      <c r="G89" s="950"/>
      <c r="H89" s="950"/>
      <c r="I89" s="950"/>
      <c r="J89" s="950"/>
      <c r="K89" s="950"/>
      <c r="L89" s="950"/>
      <c r="M89" s="950"/>
      <c r="N89" s="950"/>
      <c r="O89" s="93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46"/>
      <c r="C90" s="937"/>
      <c r="D90" s="915"/>
      <c r="E90" s="932"/>
      <c r="F90" s="933"/>
      <c r="G90" s="934"/>
      <c r="H90" s="934"/>
      <c r="I90" s="934"/>
      <c r="J90" s="934"/>
      <c r="K90" s="934"/>
      <c r="L90" s="934"/>
      <c r="M90" s="934"/>
      <c r="N90" s="67"/>
      <c r="O90" s="93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51"/>
      <c r="C91" s="49" t="s">
        <v>1842</v>
      </c>
      <c r="D91" s="915"/>
      <c r="E91" s="932" t="s">
        <v>5</v>
      </c>
      <c r="F91" s="933"/>
      <c r="G91" s="934"/>
      <c r="H91" s="934"/>
      <c r="I91" s="934"/>
      <c r="J91" s="934"/>
      <c r="K91" s="934"/>
      <c r="L91" s="934"/>
      <c r="M91" s="934"/>
      <c r="N91" s="935" t="s">
        <v>2741</v>
      </c>
      <c r="O91" s="47"/>
    </row>
    <row r="92" spans="1:79" ht="4.5" hidden="1" customHeight="1">
      <c r="B92" s="951"/>
      <c r="C92" s="937"/>
      <c r="D92" s="915"/>
      <c r="E92" s="932"/>
      <c r="F92" s="933"/>
      <c r="G92" s="934"/>
      <c r="H92" s="934"/>
      <c r="I92" s="934"/>
      <c r="J92" s="934"/>
      <c r="K92" s="934"/>
      <c r="L92" s="934"/>
      <c r="M92" s="934"/>
      <c r="N92" s="67"/>
      <c r="O92" s="47"/>
    </row>
    <row r="93" spans="1:79" ht="15" hidden="1" customHeight="1">
      <c r="B93" s="951"/>
      <c r="C93" s="952"/>
      <c r="D93" s="953"/>
      <c r="E93" s="954" t="s">
        <v>159</v>
      </c>
      <c r="F93" s="955">
        <v>2013</v>
      </c>
      <c r="G93" s="956">
        <v>2015</v>
      </c>
      <c r="H93" s="956">
        <v>2020</v>
      </c>
      <c r="I93" s="956">
        <v>2025</v>
      </c>
      <c r="J93" s="956">
        <v>2030</v>
      </c>
      <c r="K93" s="956">
        <v>2035</v>
      </c>
      <c r="L93" s="956">
        <v>2040</v>
      </c>
      <c r="M93" s="956">
        <v>2045</v>
      </c>
      <c r="N93" s="956">
        <v>2050</v>
      </c>
      <c r="O93" s="47"/>
    </row>
    <row r="94" spans="1:79" ht="15.75" hidden="1" customHeight="1">
      <c r="B94" s="951"/>
      <c r="C94" s="943" t="s">
        <v>719</v>
      </c>
      <c r="D94" s="915"/>
      <c r="E94" s="944"/>
      <c r="F94" s="945"/>
      <c r="G94" s="945"/>
      <c r="H94" s="945"/>
      <c r="I94" s="945"/>
      <c r="J94" s="945"/>
      <c r="K94" s="945"/>
      <c r="L94" s="945"/>
      <c r="M94" s="945"/>
      <c r="N94" s="945"/>
      <c r="O94" s="47"/>
    </row>
    <row r="95" spans="1:79" ht="15.75" hidden="1" customHeight="1">
      <c r="B95" s="951"/>
      <c r="C95" s="943" t="s">
        <v>720</v>
      </c>
      <c r="D95" s="915"/>
      <c r="E95" s="944"/>
      <c r="F95" s="945"/>
      <c r="G95" s="945"/>
      <c r="H95" s="945"/>
      <c r="I95" s="945"/>
      <c r="J95" s="945"/>
      <c r="K95" s="945"/>
      <c r="L95" s="945"/>
      <c r="M95" s="945"/>
      <c r="N95" s="945"/>
      <c r="O95" s="47"/>
    </row>
    <row r="96" spans="1:79" ht="15.75" hidden="1" customHeight="1">
      <c r="B96" s="951"/>
      <c r="C96" s="947" t="s">
        <v>721</v>
      </c>
      <c r="D96" s="948"/>
      <c r="E96" s="949"/>
      <c r="F96" s="950"/>
      <c r="G96" s="950"/>
      <c r="H96" s="950"/>
      <c r="I96" s="950"/>
      <c r="J96" s="950"/>
      <c r="K96" s="950"/>
      <c r="L96" s="950"/>
      <c r="M96" s="950"/>
      <c r="N96" s="950"/>
      <c r="O96" s="47"/>
    </row>
    <row r="97" spans="2:15" ht="15" hidden="1" customHeight="1">
      <c r="B97" s="105"/>
      <c r="C97" s="47"/>
      <c r="D97" s="47"/>
      <c r="E97" s="47"/>
      <c r="F97" s="47"/>
      <c r="G97" s="47"/>
      <c r="H97" s="47"/>
      <c r="I97" s="47"/>
      <c r="J97" s="47"/>
      <c r="K97" s="47"/>
      <c r="L97" s="47"/>
      <c r="M97" s="47"/>
      <c r="N97" s="47"/>
      <c r="O97" s="47"/>
    </row>
    <row r="98" spans="2:15" ht="15" hidden="1" customHeight="1">
      <c r="B98" s="105"/>
      <c r="C98" s="961" t="s">
        <v>722</v>
      </c>
      <c r="D98" s="47"/>
      <c r="E98" s="47"/>
      <c r="F98" s="47"/>
      <c r="G98" s="47"/>
      <c r="H98" s="47"/>
      <c r="I98" s="47"/>
      <c r="J98" s="47"/>
      <c r="K98" s="47"/>
      <c r="L98" s="47"/>
      <c r="M98" s="47"/>
      <c r="N98" s="962" t="s">
        <v>2742</v>
      </c>
      <c r="O98" s="47"/>
    </row>
    <row r="99" spans="2:15" ht="15" hidden="1" customHeight="1">
      <c r="B99" s="105"/>
      <c r="C99" s="47"/>
      <c r="D99" s="47"/>
      <c r="E99" s="47"/>
      <c r="F99" s="47"/>
      <c r="G99" s="47"/>
      <c r="H99" s="47"/>
      <c r="I99" s="47"/>
      <c r="J99" s="47"/>
      <c r="K99" s="47"/>
      <c r="L99" s="47"/>
      <c r="M99" s="47"/>
      <c r="N99" s="47"/>
      <c r="O99" s="47"/>
    </row>
    <row r="100" spans="2:15" ht="15.75" hidden="1" customHeight="1">
      <c r="B100" s="55"/>
      <c r="C100" s="963"/>
      <c r="D100" s="964"/>
      <c r="E100" s="971" t="s">
        <v>159</v>
      </c>
      <c r="F100" s="972">
        <v>2013</v>
      </c>
      <c r="G100" s="965">
        <v>2015</v>
      </c>
      <c r="H100" s="965">
        <v>2020</v>
      </c>
      <c r="I100" s="965">
        <v>2025</v>
      </c>
      <c r="J100" s="965">
        <v>2030</v>
      </c>
      <c r="K100" s="965">
        <v>2035</v>
      </c>
      <c r="L100" s="965">
        <v>2040</v>
      </c>
      <c r="M100" s="965">
        <v>2045</v>
      </c>
      <c r="N100" s="965">
        <v>2050</v>
      </c>
      <c r="O100" s="47"/>
    </row>
    <row r="101" spans="2:15" s="6" customFormat="1" ht="15.75" hidden="1" customHeight="1">
      <c r="B101" s="966"/>
      <c r="C101" s="967" t="s">
        <v>719</v>
      </c>
      <c r="D101" s="968"/>
      <c r="E101" s="2458"/>
      <c r="F101" s="2459"/>
      <c r="G101" s="2459"/>
      <c r="H101" s="2459"/>
      <c r="I101" s="2459"/>
      <c r="J101" s="2459"/>
      <c r="K101" s="2459"/>
      <c r="L101" s="2459"/>
      <c r="M101" s="2459"/>
      <c r="N101" s="2459"/>
      <c r="O101" s="936"/>
    </row>
    <row r="102" spans="2:15" ht="15" hidden="1" customHeight="1">
      <c r="B102" s="45"/>
      <c r="C102" s="943" t="s">
        <v>720</v>
      </c>
      <c r="D102" s="67"/>
      <c r="E102" s="944"/>
      <c r="F102" s="945"/>
      <c r="G102" s="945"/>
      <c r="H102" s="945"/>
      <c r="I102" s="945"/>
      <c r="J102" s="945"/>
      <c r="K102" s="945"/>
      <c r="L102" s="945"/>
      <c r="M102" s="945"/>
      <c r="N102" s="945"/>
      <c r="O102" s="47"/>
    </row>
    <row r="103" spans="2:15" ht="15" hidden="1" customHeight="1">
      <c r="B103" s="46"/>
      <c r="C103" s="947" t="s">
        <v>721</v>
      </c>
      <c r="D103" s="969"/>
      <c r="E103" s="949"/>
      <c r="F103" s="950"/>
      <c r="G103" s="950"/>
      <c r="H103" s="950"/>
      <c r="I103" s="950"/>
      <c r="J103" s="950"/>
      <c r="K103" s="950"/>
      <c r="L103" s="950"/>
      <c r="M103" s="950"/>
      <c r="N103" s="950"/>
      <c r="O103" s="47"/>
    </row>
    <row r="104" spans="2:15" ht="15" hidden="1" customHeight="1">
      <c r="B104" s="46"/>
      <c r="C104" s="943"/>
      <c r="D104" s="67"/>
      <c r="E104" s="944"/>
      <c r="F104" s="67"/>
      <c r="G104" s="67"/>
      <c r="H104" s="67"/>
      <c r="I104" s="67"/>
      <c r="J104" s="67"/>
      <c r="K104" s="67"/>
      <c r="L104" s="67"/>
      <c r="M104" s="67"/>
      <c r="N104" s="67"/>
      <c r="O104" s="47"/>
    </row>
    <row r="105" spans="2:15" ht="15" hidden="1" customHeight="1">
      <c r="B105" s="47"/>
      <c r="C105" s="961" t="s">
        <v>723</v>
      </c>
      <c r="D105" s="47"/>
      <c r="E105" s="47"/>
      <c r="F105" s="47"/>
      <c r="G105" s="47"/>
      <c r="H105" s="47"/>
      <c r="I105" s="47"/>
      <c r="J105" s="47"/>
      <c r="K105" s="47"/>
      <c r="L105" s="47"/>
      <c r="M105" s="47"/>
      <c r="N105" s="962" t="s">
        <v>2742</v>
      </c>
      <c r="O105" s="47"/>
    </row>
    <row r="106" spans="2:15" ht="15" hidden="1" customHeight="1">
      <c r="B106" s="47"/>
      <c r="C106" s="47"/>
      <c r="D106" s="47"/>
      <c r="E106" s="47"/>
      <c r="F106" s="47"/>
      <c r="G106" s="47"/>
      <c r="H106" s="47"/>
      <c r="I106" s="47"/>
      <c r="J106" s="47"/>
      <c r="K106" s="47"/>
      <c r="L106" s="47"/>
      <c r="M106" s="47"/>
      <c r="N106" s="962"/>
      <c r="O106" s="47"/>
    </row>
    <row r="107" spans="2:15" ht="15" hidden="1" customHeight="1">
      <c r="B107" s="47"/>
      <c r="C107" s="963"/>
      <c r="D107" s="964"/>
      <c r="E107" s="971" t="s">
        <v>159</v>
      </c>
      <c r="F107" s="972">
        <v>2013</v>
      </c>
      <c r="G107" s="965">
        <v>2015</v>
      </c>
      <c r="H107" s="965">
        <v>2020</v>
      </c>
      <c r="I107" s="965">
        <v>2025</v>
      </c>
      <c r="J107" s="965">
        <v>2030</v>
      </c>
      <c r="K107" s="965">
        <v>2035</v>
      </c>
      <c r="L107" s="965">
        <v>2040</v>
      </c>
      <c r="M107" s="965">
        <v>2045</v>
      </c>
      <c r="N107" s="965">
        <v>2050</v>
      </c>
      <c r="O107" s="47"/>
    </row>
    <row r="108" spans="2:15" ht="15" hidden="1" customHeight="1">
      <c r="B108" s="105"/>
      <c r="C108" s="967" t="s">
        <v>719</v>
      </c>
      <c r="D108" s="968"/>
      <c r="E108" s="2458"/>
      <c r="F108" s="2459"/>
      <c r="G108" s="2459"/>
      <c r="H108" s="2459"/>
      <c r="I108" s="2459"/>
      <c r="J108" s="2459"/>
      <c r="K108" s="2459"/>
      <c r="L108" s="2459"/>
      <c r="M108" s="2459"/>
      <c r="N108" s="2459"/>
      <c r="O108" s="47"/>
    </row>
    <row r="109" spans="2:15" ht="15" hidden="1" customHeight="1">
      <c r="B109" s="47"/>
      <c r="C109" s="943" t="s">
        <v>720</v>
      </c>
      <c r="D109" s="67"/>
      <c r="E109" s="944"/>
      <c r="F109" s="945"/>
      <c r="G109" s="945"/>
      <c r="H109" s="945"/>
      <c r="I109" s="945"/>
      <c r="J109" s="945"/>
      <c r="K109" s="945"/>
      <c r="L109" s="945"/>
      <c r="M109" s="945"/>
      <c r="N109" s="945"/>
      <c r="O109" s="47"/>
    </row>
    <row r="110" spans="2:15" ht="15.75" hidden="1" customHeight="1" thickBot="1">
      <c r="B110" s="47"/>
      <c r="C110" s="974" t="s">
        <v>721</v>
      </c>
      <c r="D110" s="975"/>
      <c r="E110" s="949"/>
      <c r="F110" s="950"/>
      <c r="G110" s="950"/>
      <c r="H110" s="950"/>
      <c r="I110" s="950"/>
      <c r="J110" s="950"/>
      <c r="K110" s="950"/>
      <c r="L110" s="950"/>
      <c r="M110" s="950"/>
      <c r="N110" s="950"/>
      <c r="O110" s="47"/>
    </row>
    <row r="111" spans="2:15" ht="15" hidden="1" customHeight="1">
      <c r="B111" s="47"/>
      <c r="C111" s="47"/>
      <c r="D111" s="47"/>
      <c r="E111" s="47"/>
      <c r="F111" s="47"/>
      <c r="G111" s="47"/>
      <c r="H111" s="47"/>
      <c r="I111" s="47"/>
      <c r="J111" s="47"/>
      <c r="K111" s="47"/>
      <c r="L111" s="47"/>
      <c r="M111" s="47"/>
      <c r="N111" s="47"/>
      <c r="O111" s="47"/>
    </row>
    <row r="112" spans="2:15">
      <c r="B112" s="868"/>
    </row>
    <row r="113" spans="1:15" ht="15">
      <c r="B113" s="869" t="s">
        <v>177</v>
      </c>
      <c r="C113" s="870"/>
      <c r="D113" s="870"/>
      <c r="E113" s="870"/>
      <c r="F113" s="870"/>
      <c r="G113" s="870"/>
      <c r="H113" s="870"/>
      <c r="I113" s="870"/>
      <c r="J113" s="870"/>
      <c r="K113" s="870"/>
      <c r="L113" s="870"/>
      <c r="M113" s="870"/>
      <c r="N113" s="870"/>
      <c r="O113" s="871"/>
    </row>
    <row r="114" spans="1:15">
      <c r="B114" s="872"/>
      <c r="C114" s="873"/>
      <c r="D114" s="873"/>
      <c r="E114" s="873"/>
      <c r="F114" s="873"/>
      <c r="G114" s="873"/>
      <c r="H114" s="873"/>
      <c r="I114" s="873"/>
      <c r="J114" s="873"/>
      <c r="K114" s="873"/>
      <c r="L114" s="873"/>
      <c r="M114" s="873"/>
      <c r="N114" s="873"/>
      <c r="O114" s="874"/>
    </row>
    <row r="115" spans="1:15">
      <c r="B115" s="875"/>
      <c r="C115" s="49" t="s">
        <v>724</v>
      </c>
      <c r="D115" s="67"/>
      <c r="E115" s="51"/>
      <c r="F115" s="67"/>
      <c r="G115" s="67"/>
      <c r="H115" s="67"/>
      <c r="I115" s="67"/>
      <c r="J115" s="67"/>
      <c r="K115" s="67"/>
      <c r="L115" s="67"/>
      <c r="M115" s="67"/>
      <c r="N115" s="51" t="str">
        <f>Preferences.PowerUnits</f>
        <v>GW</v>
      </c>
      <c r="O115" s="876"/>
    </row>
    <row r="116" spans="1:15" ht="23.5">
      <c r="A116" s="7"/>
      <c r="B116" s="875"/>
      <c r="C116" s="67"/>
      <c r="D116" s="67"/>
      <c r="E116" s="67"/>
      <c r="F116" s="67"/>
      <c r="G116" s="67"/>
      <c r="H116" s="67"/>
      <c r="I116" s="67"/>
      <c r="J116" s="67"/>
      <c r="K116" s="67"/>
      <c r="L116" s="67"/>
      <c r="M116" s="67"/>
      <c r="N116" s="67"/>
      <c r="O116" s="876"/>
    </row>
    <row r="117" spans="1:15" ht="15.5">
      <c r="B117" s="877"/>
      <c r="C117" s="878" t="s">
        <v>131</v>
      </c>
      <c r="D117" s="878" t="s">
        <v>712</v>
      </c>
      <c r="E117" s="976"/>
      <c r="F117" s="977">
        <v>2013</v>
      </c>
      <c r="G117" s="87">
        <v>2015</v>
      </c>
      <c r="H117" s="87">
        <v>2020</v>
      </c>
      <c r="I117" s="87">
        <v>2025</v>
      </c>
      <c r="J117" s="87">
        <v>2030</v>
      </c>
      <c r="K117" s="87">
        <v>2035</v>
      </c>
      <c r="L117" s="87">
        <v>2040</v>
      </c>
      <c r="M117" s="87">
        <v>2045</v>
      </c>
      <c r="N117" s="87">
        <v>2050</v>
      </c>
      <c r="O117" s="876"/>
    </row>
    <row r="118" spans="1:15" ht="15.5">
      <c r="B118" s="880"/>
      <c r="C118" s="907" t="s">
        <v>436</v>
      </c>
      <c r="D118" s="908" t="s">
        <v>387</v>
      </c>
      <c r="E118" s="908"/>
      <c r="F118" s="978">
        <f>$F$63</f>
        <v>0</v>
      </c>
      <c r="G118" s="912">
        <f t="shared" ref="G118:N118" si="2">F118+(G$117-F$117)*(F28+F37)+(G$117-F$117)*F$68</f>
        <v>0</v>
      </c>
      <c r="H118" s="912">
        <f t="shared" si="2"/>
        <v>0</v>
      </c>
      <c r="I118" s="912">
        <f t="shared" si="2"/>
        <v>0</v>
      </c>
      <c r="J118" s="912">
        <f t="shared" si="2"/>
        <v>0</v>
      </c>
      <c r="K118" s="912">
        <f t="shared" si="2"/>
        <v>0</v>
      </c>
      <c r="L118" s="912">
        <f t="shared" si="2"/>
        <v>0</v>
      </c>
      <c r="M118" s="912">
        <f t="shared" si="2"/>
        <v>0</v>
      </c>
      <c r="N118" s="912">
        <f t="shared" si="2"/>
        <v>0</v>
      </c>
      <c r="O118" s="884"/>
    </row>
    <row r="119" spans="1:15">
      <c r="B119" s="895"/>
      <c r="C119" s="67"/>
      <c r="D119" s="195"/>
      <c r="E119" s="67"/>
      <c r="F119" s="67"/>
      <c r="G119" s="67"/>
      <c r="H119" s="67"/>
      <c r="I119" s="67"/>
      <c r="J119" s="67"/>
      <c r="K119" s="67"/>
      <c r="L119" s="67"/>
      <c r="M119" s="67"/>
      <c r="N119" s="67"/>
      <c r="O119" s="876"/>
    </row>
    <row r="120" spans="1:15">
      <c r="B120" s="868"/>
    </row>
    <row r="121" spans="1:15">
      <c r="C121" t="s">
        <v>725</v>
      </c>
      <c r="D121" s="979"/>
      <c r="F121" s="354">
        <v>2013</v>
      </c>
      <c r="G121" s="354">
        <v>2015</v>
      </c>
      <c r="H121" s="354">
        <v>2020</v>
      </c>
      <c r="I121" s="354">
        <v>2025</v>
      </c>
      <c r="J121" s="354">
        <v>2030</v>
      </c>
      <c r="K121" s="354">
        <v>2035</v>
      </c>
      <c r="L121" s="354">
        <v>2040</v>
      </c>
      <c r="M121" s="354">
        <v>2045</v>
      </c>
      <c r="N121" s="354">
        <v>2050</v>
      </c>
    </row>
    <row r="122" spans="1:15">
      <c r="C122" s="354" t="s">
        <v>726</v>
      </c>
      <c r="E122" s="2416" t="str">
        <f>Preferences.PowerUnits</f>
        <v>GW</v>
      </c>
      <c r="F122" s="365">
        <f t="shared" ref="F122:N122" si="3">F$118</f>
        <v>0</v>
      </c>
      <c r="G122" s="365">
        <f t="shared" si="3"/>
        <v>0</v>
      </c>
      <c r="H122" s="365">
        <f t="shared" si="3"/>
        <v>0</v>
      </c>
      <c r="I122" s="365">
        <f t="shared" si="3"/>
        <v>0</v>
      </c>
      <c r="J122" s="365">
        <f t="shared" si="3"/>
        <v>0</v>
      </c>
      <c r="K122" s="365">
        <f t="shared" si="3"/>
        <v>0</v>
      </c>
      <c r="L122" s="365">
        <f t="shared" si="3"/>
        <v>0</v>
      </c>
      <c r="M122" s="365">
        <f t="shared" si="3"/>
        <v>0</v>
      </c>
      <c r="N122" s="365">
        <f t="shared" si="3"/>
        <v>0</v>
      </c>
    </row>
    <row r="123" spans="1:15">
      <c r="C123" t="s">
        <v>727</v>
      </c>
      <c r="E123" s="2416"/>
      <c r="F123" s="980">
        <f t="shared" ref="F123:N123" si="4">F$58</f>
        <v>0.59599999999999997</v>
      </c>
      <c r="G123" s="980">
        <f t="shared" si="4"/>
        <v>0.7</v>
      </c>
      <c r="H123" s="980">
        <f t="shared" si="4"/>
        <v>0.8</v>
      </c>
      <c r="I123" s="980">
        <f t="shared" si="4"/>
        <v>0.8</v>
      </c>
      <c r="J123" s="980">
        <f t="shared" si="4"/>
        <v>0.8</v>
      </c>
      <c r="K123" s="980">
        <f t="shared" si="4"/>
        <v>0.8</v>
      </c>
      <c r="L123" s="980">
        <f t="shared" si="4"/>
        <v>0.8</v>
      </c>
      <c r="M123" s="980">
        <f t="shared" si="4"/>
        <v>0.8</v>
      </c>
      <c r="N123" s="980">
        <f t="shared" si="4"/>
        <v>0.8</v>
      </c>
    </row>
    <row r="124" spans="1:15">
      <c r="C124" s="979" t="s">
        <v>728</v>
      </c>
      <c r="E124" s="2416"/>
      <c r="F124" s="357">
        <f>F122*F123</f>
        <v>0</v>
      </c>
      <c r="G124" s="357">
        <f t="shared" ref="G124:N124" si="5">G122*G123</f>
        <v>0</v>
      </c>
      <c r="H124" s="357">
        <f t="shared" si="5"/>
        <v>0</v>
      </c>
      <c r="I124" s="357">
        <f t="shared" si="5"/>
        <v>0</v>
      </c>
      <c r="J124" s="357">
        <f t="shared" si="5"/>
        <v>0</v>
      </c>
      <c r="K124" s="357">
        <f t="shared" si="5"/>
        <v>0</v>
      </c>
      <c r="L124" s="357">
        <f t="shared" si="5"/>
        <v>0</v>
      </c>
      <c r="M124" s="357">
        <f t="shared" si="5"/>
        <v>0</v>
      </c>
      <c r="N124" s="357">
        <f t="shared" si="5"/>
        <v>0</v>
      </c>
      <c r="O124" s="714"/>
    </row>
    <row r="125" spans="1:15">
      <c r="C125" s="354" t="s">
        <v>729</v>
      </c>
      <c r="E125" s="2416" t="str">
        <f>Preferences.EnergyUnits</f>
        <v>TWh</v>
      </c>
      <c r="F125" s="2460">
        <f t="shared" ref="F125:N125" si="6">F$124*Preferences.Unit.Power*Unit.year/Preferences.Unit.Energy</f>
        <v>0</v>
      </c>
      <c r="G125" s="2460">
        <f t="shared" si="6"/>
        <v>0</v>
      </c>
      <c r="H125" s="2460">
        <f t="shared" si="6"/>
        <v>0</v>
      </c>
      <c r="I125" s="2460">
        <f t="shared" si="6"/>
        <v>0</v>
      </c>
      <c r="J125" s="2460">
        <f t="shared" si="6"/>
        <v>0</v>
      </c>
      <c r="K125" s="2460">
        <f t="shared" si="6"/>
        <v>0</v>
      </c>
      <c r="L125" s="2460">
        <f t="shared" si="6"/>
        <v>0</v>
      </c>
      <c r="M125" s="2460">
        <f t="shared" si="6"/>
        <v>0</v>
      </c>
      <c r="N125" s="2460">
        <f t="shared" si="6"/>
        <v>0</v>
      </c>
    </row>
    <row r="126" spans="1:15">
      <c r="C126" s="979"/>
      <c r="E126" s="2416"/>
      <c r="F126" s="357"/>
    </row>
    <row r="127" spans="1:15">
      <c r="B127" s="405"/>
      <c r="C127" s="405" t="s">
        <v>730</v>
      </c>
      <c r="D127" s="405"/>
      <c r="E127" s="405" t="str">
        <f>Preferences.EnergyUnits</f>
        <v>TWh</v>
      </c>
      <c r="F127" s="3511">
        <f ca="1">-SUM(II.a.Inputs[2013])</f>
        <v>19.783214082973807</v>
      </c>
      <c r="G127" s="3511">
        <f ca="1">-SUM(II.a.Inputs[2015])</f>
        <v>19.48990957229227</v>
      </c>
      <c r="H127" s="3511">
        <f ca="1">-SUM(II.a.Inputs[2020])</f>
        <v>21.190560440738988</v>
      </c>
      <c r="I127" s="3511">
        <f ca="1">-SUM(II.a.Inputs[2025])</f>
        <v>26.4279143924857</v>
      </c>
      <c r="J127" s="3511">
        <f ca="1">-SUM(II.a.Inputs[2030])</f>
        <v>31.467683465113346</v>
      </c>
      <c r="K127" s="3511">
        <f ca="1">-SUM(II.a.Inputs[2035])</f>
        <v>35.992545512642891</v>
      </c>
      <c r="L127" s="3511">
        <f ca="1">-SUM(II.a.Inputs[2040])</f>
        <v>38.514360700900369</v>
      </c>
      <c r="M127" s="3511">
        <f ca="1">-SUM(II.a.Inputs[2045])</f>
        <v>41.126281356346361</v>
      </c>
      <c r="N127" s="3511">
        <f ca="1">-SUM(II.a.Inputs[2050])</f>
        <v>43.836146815041346</v>
      </c>
      <c r="O127" s="365"/>
    </row>
    <row r="128" spans="1:15">
      <c r="B128" s="405"/>
      <c r="C128" s="824" t="s">
        <v>731</v>
      </c>
      <c r="D128" s="405"/>
      <c r="E128" s="405"/>
      <c r="F128" s="981">
        <f t="shared" ref="F128:N128" ca="1" si="7">MAX(MIN(F$127,F$125),0)</f>
        <v>0</v>
      </c>
      <c r="G128" s="981">
        <f t="shared" ca="1" si="7"/>
        <v>0</v>
      </c>
      <c r="H128" s="981">
        <f t="shared" ca="1" si="7"/>
        <v>0</v>
      </c>
      <c r="I128" s="981">
        <f t="shared" ca="1" si="7"/>
        <v>0</v>
      </c>
      <c r="J128" s="981">
        <f t="shared" ca="1" si="7"/>
        <v>0</v>
      </c>
      <c r="K128" s="981">
        <f t="shared" ca="1" si="7"/>
        <v>0</v>
      </c>
      <c r="L128" s="981">
        <f t="shared" ca="1" si="7"/>
        <v>0</v>
      </c>
      <c r="M128" s="981">
        <f t="shared" ca="1" si="7"/>
        <v>0</v>
      </c>
      <c r="N128" s="981">
        <f t="shared" ca="1" si="7"/>
        <v>0</v>
      </c>
    </row>
    <row r="129" spans="1:15">
      <c r="E129" s="2416"/>
      <c r="F129" s="365"/>
      <c r="O129" s="981"/>
    </row>
    <row r="130" spans="1:15">
      <c r="A130" s="405"/>
      <c r="C130" s="354" t="s">
        <v>732</v>
      </c>
      <c r="E130" s="2416"/>
      <c r="F130" s="357">
        <f>F125</f>
        <v>0</v>
      </c>
      <c r="G130" s="357">
        <f t="shared" ref="G130:N130" si="8">G125</f>
        <v>0</v>
      </c>
      <c r="H130" s="357">
        <f t="shared" si="8"/>
        <v>0</v>
      </c>
      <c r="I130" s="357">
        <f t="shared" si="8"/>
        <v>0</v>
      </c>
      <c r="J130" s="357">
        <f t="shared" si="8"/>
        <v>0</v>
      </c>
      <c r="K130" s="357">
        <f t="shared" si="8"/>
        <v>0</v>
      </c>
      <c r="L130" s="357">
        <f t="shared" si="8"/>
        <v>0</v>
      </c>
      <c r="M130" s="357">
        <f t="shared" si="8"/>
        <v>0</v>
      </c>
      <c r="N130" s="357">
        <f t="shared" si="8"/>
        <v>0</v>
      </c>
      <c r="O130" s="405" t="s">
        <v>733</v>
      </c>
    </row>
    <row r="131" spans="1:15">
      <c r="A131" s="405"/>
      <c r="C131" s="982" t="s">
        <v>734</v>
      </c>
      <c r="E131" s="2416"/>
      <c r="F131" s="365">
        <f t="shared" ref="F131:N131" si="9">F$48*F130</f>
        <v>0</v>
      </c>
      <c r="G131" s="365">
        <f t="shared" si="9"/>
        <v>0</v>
      </c>
      <c r="H131" s="365">
        <f t="shared" si="9"/>
        <v>0</v>
      </c>
      <c r="I131" s="365">
        <f t="shared" si="9"/>
        <v>0</v>
      </c>
      <c r="J131" s="365">
        <f t="shared" si="9"/>
        <v>0</v>
      </c>
      <c r="K131" s="365">
        <f t="shared" si="9"/>
        <v>0</v>
      </c>
      <c r="L131" s="365">
        <f t="shared" si="9"/>
        <v>0</v>
      </c>
      <c r="M131" s="365">
        <f t="shared" si="9"/>
        <v>0</v>
      </c>
      <c r="N131" s="365">
        <f t="shared" si="9"/>
        <v>0</v>
      </c>
    </row>
    <row r="132" spans="1:15">
      <c r="C132" s="979" t="s">
        <v>735</v>
      </c>
      <c r="E132" s="2416"/>
      <c r="F132" s="357">
        <f>F130+F131</f>
        <v>0</v>
      </c>
      <c r="G132" s="357">
        <f t="shared" ref="G132:N132" si="10">G130+G131</f>
        <v>0</v>
      </c>
      <c r="H132" s="357">
        <f t="shared" si="10"/>
        <v>0</v>
      </c>
      <c r="I132" s="357">
        <f t="shared" si="10"/>
        <v>0</v>
      </c>
      <c r="J132" s="357">
        <f t="shared" si="10"/>
        <v>0</v>
      </c>
      <c r="K132" s="357">
        <f t="shared" si="10"/>
        <v>0</v>
      </c>
      <c r="L132" s="357">
        <f t="shared" si="10"/>
        <v>0</v>
      </c>
      <c r="M132" s="357">
        <f t="shared" si="10"/>
        <v>0</v>
      </c>
      <c r="N132" s="357">
        <f t="shared" si="10"/>
        <v>0</v>
      </c>
      <c r="O132" s="714"/>
    </row>
    <row r="133" spans="1:15">
      <c r="C133" t="s">
        <v>736</v>
      </c>
      <c r="E133" s="2416"/>
      <c r="F133" s="980">
        <f t="shared" ref="F133:N133" si="11">F$53</f>
        <v>0.38600000000000001</v>
      </c>
      <c r="G133" s="980">
        <f t="shared" si="11"/>
        <v>0.36</v>
      </c>
      <c r="H133" s="980">
        <f t="shared" si="11"/>
        <v>0.36</v>
      </c>
      <c r="I133" s="980">
        <f t="shared" si="11"/>
        <v>0.36</v>
      </c>
      <c r="J133" s="980">
        <f t="shared" si="11"/>
        <v>0.36</v>
      </c>
      <c r="K133" s="980">
        <f t="shared" si="11"/>
        <v>0.36</v>
      </c>
      <c r="L133" s="980">
        <f t="shared" si="11"/>
        <v>0.36</v>
      </c>
      <c r="M133" s="980">
        <f t="shared" si="11"/>
        <v>0.36</v>
      </c>
      <c r="N133" s="980">
        <f t="shared" si="11"/>
        <v>0.36</v>
      </c>
    </row>
    <row r="134" spans="1:15">
      <c r="C134" s="979" t="s">
        <v>737</v>
      </c>
      <c r="E134" s="2416"/>
      <c r="F134" s="357">
        <f>F132/F133</f>
        <v>0</v>
      </c>
      <c r="G134" s="357">
        <f t="shared" ref="G134:N134" si="12">G132/G133</f>
        <v>0</v>
      </c>
      <c r="H134" s="357">
        <f t="shared" si="12"/>
        <v>0</v>
      </c>
      <c r="I134" s="357">
        <f t="shared" si="12"/>
        <v>0</v>
      </c>
      <c r="J134" s="357">
        <f t="shared" si="12"/>
        <v>0</v>
      </c>
      <c r="K134" s="357">
        <f t="shared" si="12"/>
        <v>0</v>
      </c>
      <c r="L134" s="357">
        <f t="shared" si="12"/>
        <v>0</v>
      </c>
      <c r="M134" s="357">
        <f t="shared" si="12"/>
        <v>0</v>
      </c>
      <c r="N134" s="357">
        <f t="shared" si="12"/>
        <v>0</v>
      </c>
      <c r="O134" s="714"/>
    </row>
    <row r="135" spans="1:15">
      <c r="C135" s="979"/>
      <c r="E135" s="2416"/>
      <c r="F135" s="357"/>
      <c r="G135" s="357"/>
      <c r="H135" s="357"/>
      <c r="I135" s="357"/>
      <c r="J135" s="357"/>
      <c r="K135" s="357"/>
      <c r="L135" s="357"/>
      <c r="M135" s="357"/>
      <c r="N135" s="357"/>
    </row>
    <row r="136" spans="1:15">
      <c r="B136" t="s">
        <v>738</v>
      </c>
      <c r="C136" s="354"/>
      <c r="E136" s="2416"/>
      <c r="F136" s="357"/>
      <c r="G136" s="357"/>
      <c r="H136" s="357"/>
      <c r="I136" s="357"/>
      <c r="J136" s="357"/>
      <c r="K136" s="357"/>
      <c r="L136" s="357"/>
      <c r="M136" s="357"/>
      <c r="N136" s="357"/>
      <c r="O136" s="714"/>
    </row>
    <row r="137" spans="1:15">
      <c r="C137" t="s">
        <v>739</v>
      </c>
      <c r="E137" s="2416" t="str">
        <f>Preferences.PowerUnits</f>
        <v>GW</v>
      </c>
      <c r="F137" s="983"/>
      <c r="G137" s="983">
        <f t="shared" ref="G137:N137" si="13">F28</f>
        <v>0</v>
      </c>
      <c r="H137" s="983">
        <f t="shared" si="13"/>
        <v>0</v>
      </c>
      <c r="I137" s="983">
        <f t="shared" si="13"/>
        <v>0</v>
      </c>
      <c r="J137" s="983">
        <f t="shared" si="13"/>
        <v>0</v>
      </c>
      <c r="K137" s="983">
        <f t="shared" si="13"/>
        <v>0</v>
      </c>
      <c r="L137" s="983">
        <f t="shared" si="13"/>
        <v>0</v>
      </c>
      <c r="M137" s="983">
        <f t="shared" si="13"/>
        <v>0</v>
      </c>
      <c r="N137" s="983">
        <f t="shared" si="13"/>
        <v>0</v>
      </c>
    </row>
    <row r="138" spans="1:15">
      <c r="C138" t="s">
        <v>740</v>
      </c>
      <c r="E138" t="s">
        <v>741</v>
      </c>
      <c r="F138" s="984">
        <f t="shared" ref="F138:N138" si="14">F122/$F$74</f>
        <v>0</v>
      </c>
      <c r="G138" s="984">
        <f t="shared" si="14"/>
        <v>0</v>
      </c>
      <c r="H138" s="984">
        <f t="shared" si="14"/>
        <v>0</v>
      </c>
      <c r="I138" s="984">
        <f t="shared" si="14"/>
        <v>0</v>
      </c>
      <c r="J138" s="984">
        <f>J122/$F$74</f>
        <v>0</v>
      </c>
      <c r="K138" s="984">
        <f t="shared" si="14"/>
        <v>0</v>
      </c>
      <c r="L138" s="984">
        <f t="shared" si="14"/>
        <v>0</v>
      </c>
      <c r="M138" s="984">
        <f t="shared" si="14"/>
        <v>0</v>
      </c>
      <c r="N138" s="984">
        <f t="shared" si="14"/>
        <v>0</v>
      </c>
      <c r="O138" s="373"/>
    </row>
    <row r="139" spans="1:15">
      <c r="C139" t="s">
        <v>742</v>
      </c>
      <c r="E139" t="s">
        <v>743</v>
      </c>
      <c r="F139" s="983">
        <f>F137/plantsize.II.a</f>
        <v>0</v>
      </c>
      <c r="G139" s="983">
        <f t="shared" ref="G139:N139" si="15">G137/plantsize.II.a</f>
        <v>0</v>
      </c>
      <c r="H139" s="983">
        <f t="shared" si="15"/>
        <v>0</v>
      </c>
      <c r="I139" s="983">
        <f t="shared" si="15"/>
        <v>0</v>
      </c>
      <c r="J139" s="983">
        <f t="shared" si="15"/>
        <v>0</v>
      </c>
      <c r="K139" s="983">
        <f t="shared" si="15"/>
        <v>0</v>
      </c>
      <c r="L139" s="983">
        <f t="shared" si="15"/>
        <v>0</v>
      </c>
      <c r="M139" s="983">
        <f t="shared" si="15"/>
        <v>0</v>
      </c>
      <c r="N139" s="983">
        <f t="shared" si="15"/>
        <v>0</v>
      </c>
      <c r="O139" s="983"/>
    </row>
    <row r="140" spans="1:15">
      <c r="F140" s="984" t="s">
        <v>5</v>
      </c>
      <c r="G140" s="984"/>
      <c r="H140" s="984"/>
      <c r="I140" s="984"/>
      <c r="J140" s="984"/>
      <c r="K140" s="984"/>
      <c r="L140" s="984"/>
      <c r="M140" s="984"/>
      <c r="N140" s="984"/>
      <c r="O140" s="985"/>
    </row>
    <row r="141" spans="1:15">
      <c r="B141" s="3578" t="s">
        <v>2722</v>
      </c>
      <c r="F141" s="984" t="s">
        <v>5</v>
      </c>
      <c r="G141" s="984"/>
      <c r="H141" s="984"/>
      <c r="I141" s="984"/>
      <c r="J141" s="984"/>
      <c r="K141" s="984"/>
      <c r="L141" s="984"/>
      <c r="M141" s="984"/>
      <c r="N141" s="984"/>
      <c r="O141" s="983"/>
    </row>
    <row r="142" spans="1:15" s="405" customFormat="1" hidden="1">
      <c r="B142"/>
      <c r="C142" t="s">
        <v>168</v>
      </c>
      <c r="D142"/>
      <c r="E142" s="3578" t="s">
        <v>2736</v>
      </c>
      <c r="F142" s="984"/>
      <c r="G142" s="984"/>
      <c r="H142" s="984"/>
      <c r="I142" s="984"/>
      <c r="J142" s="984"/>
      <c r="K142" s="984"/>
      <c r="L142" s="984"/>
      <c r="M142" s="984"/>
      <c r="N142" s="984"/>
    </row>
    <row r="143" spans="1:15" s="405" customFormat="1" hidden="1">
      <c r="B143"/>
      <c r="C143" t="s">
        <v>172</v>
      </c>
      <c r="D143"/>
      <c r="E143" s="3578" t="s">
        <v>2736</v>
      </c>
      <c r="F143" s="984"/>
      <c r="G143" s="984"/>
      <c r="H143" s="984"/>
      <c r="I143" s="984"/>
      <c r="J143" s="984"/>
      <c r="K143" s="984"/>
      <c r="L143" s="984"/>
      <c r="M143" s="984"/>
      <c r="N143" s="984"/>
    </row>
    <row r="144" spans="1:15" hidden="1">
      <c r="C144" s="2" t="s">
        <v>744</v>
      </c>
      <c r="E144" s="3578" t="s">
        <v>2736</v>
      </c>
      <c r="F144" s="984"/>
      <c r="G144" s="984"/>
      <c r="H144" s="984"/>
      <c r="I144" s="984"/>
      <c r="J144" s="984"/>
      <c r="K144" s="984"/>
      <c r="L144" s="984"/>
      <c r="M144" s="984"/>
      <c r="N144" s="984"/>
    </row>
    <row r="145" spans="1:15" hidden="1">
      <c r="C145" t="s">
        <v>291</v>
      </c>
      <c r="E145" s="3578" t="s">
        <v>2736</v>
      </c>
      <c r="F145" s="984"/>
      <c r="G145" s="984"/>
      <c r="H145" s="984"/>
      <c r="I145" s="984"/>
      <c r="J145" s="984"/>
      <c r="K145" s="984"/>
      <c r="L145" s="984"/>
      <c r="M145" s="984"/>
      <c r="N145" s="984"/>
    </row>
    <row r="146" spans="1:15" hidden="1">
      <c r="B146" s="984"/>
    </row>
    <row r="147" spans="1:15" hidden="1">
      <c r="B147" t="s">
        <v>292</v>
      </c>
      <c r="F147" s="984"/>
      <c r="G147" s="984"/>
      <c r="H147" s="984"/>
      <c r="I147" s="984"/>
      <c r="J147" s="984"/>
      <c r="K147" s="984"/>
      <c r="L147" s="984"/>
      <c r="M147" s="984"/>
      <c r="N147" s="984"/>
      <c r="O147" s="984"/>
    </row>
    <row r="148" spans="1:15" hidden="1">
      <c r="C148" t="s">
        <v>168</v>
      </c>
      <c r="E148" s="3578" t="s">
        <v>2736</v>
      </c>
      <c r="F148" s="984"/>
      <c r="G148" s="984"/>
      <c r="H148" s="984"/>
      <c r="I148" s="984"/>
      <c r="J148" s="984"/>
      <c r="K148" s="984"/>
      <c r="L148" s="984"/>
      <c r="M148" s="984"/>
      <c r="N148" s="984"/>
      <c r="O148" s="984"/>
    </row>
    <row r="149" spans="1:15" hidden="1">
      <c r="C149" t="s">
        <v>172</v>
      </c>
      <c r="E149" s="3578" t="s">
        <v>2736</v>
      </c>
      <c r="F149" s="984"/>
      <c r="G149" s="984"/>
      <c r="H149" s="984"/>
      <c r="I149" s="984"/>
      <c r="J149" s="984"/>
      <c r="K149" s="984"/>
      <c r="L149" s="984"/>
      <c r="M149" s="984"/>
      <c r="N149" s="984"/>
      <c r="O149" s="984"/>
    </row>
    <row r="150" spans="1:15" hidden="1">
      <c r="C150" s="2" t="s">
        <v>744</v>
      </c>
      <c r="E150" s="3578" t="s">
        <v>2736</v>
      </c>
      <c r="F150" s="984"/>
      <c r="G150" s="984"/>
      <c r="H150" s="984"/>
      <c r="I150" s="984"/>
      <c r="J150" s="984"/>
      <c r="K150" s="984"/>
      <c r="L150" s="984"/>
      <c r="M150" s="984"/>
      <c r="N150" s="984"/>
      <c r="O150" s="984"/>
    </row>
    <row r="151" spans="1:15" hidden="1">
      <c r="C151" t="s">
        <v>291</v>
      </c>
      <c r="E151" s="3578" t="s">
        <v>2736</v>
      </c>
      <c r="F151" s="984"/>
      <c r="G151" s="984"/>
      <c r="H151" s="984"/>
      <c r="I151" s="984"/>
      <c r="J151" s="984"/>
      <c r="K151" s="984"/>
      <c r="L151" s="984"/>
      <c r="M151" s="984"/>
      <c r="N151" s="984"/>
      <c r="O151" s="984"/>
    </row>
    <row r="152" spans="1:15" hidden="1">
      <c r="B152" s="984"/>
      <c r="O152" s="984"/>
    </row>
    <row r="153" spans="1:15" hidden="1">
      <c r="B153" t="s">
        <v>293</v>
      </c>
      <c r="F153" s="984"/>
      <c r="G153" s="984"/>
      <c r="H153" s="984"/>
      <c r="I153" s="984"/>
      <c r="J153" s="984"/>
      <c r="K153" s="984"/>
      <c r="L153" s="984"/>
      <c r="M153" s="984"/>
      <c r="N153" s="984"/>
      <c r="O153" s="985"/>
    </row>
    <row r="154" spans="1:15" hidden="1">
      <c r="C154" t="s">
        <v>168</v>
      </c>
      <c r="E154" s="3578" t="s">
        <v>2736</v>
      </c>
      <c r="F154" s="984"/>
      <c r="G154" s="984"/>
      <c r="H154" s="984"/>
      <c r="I154" s="984"/>
      <c r="J154" s="984"/>
      <c r="K154" s="984"/>
      <c r="L154" s="984"/>
      <c r="M154" s="984"/>
      <c r="N154" s="984"/>
      <c r="O154" s="374"/>
    </row>
    <row r="155" spans="1:15" hidden="1">
      <c r="C155" t="s">
        <v>172</v>
      </c>
      <c r="E155" s="3578" t="s">
        <v>2736</v>
      </c>
      <c r="F155" s="984"/>
      <c r="G155" s="984"/>
      <c r="H155" s="984"/>
      <c r="I155" s="984"/>
      <c r="J155" s="984"/>
      <c r="K155" s="984"/>
      <c r="L155" s="984"/>
      <c r="M155" s="984"/>
      <c r="N155" s="984"/>
    </row>
    <row r="156" spans="1:15" hidden="1">
      <c r="A156" t="s">
        <v>745</v>
      </c>
      <c r="C156" s="2" t="s">
        <v>744</v>
      </c>
      <c r="E156" s="3578" t="s">
        <v>2736</v>
      </c>
      <c r="F156" s="984"/>
      <c r="G156" s="984"/>
      <c r="H156" s="984"/>
      <c r="I156" s="984"/>
      <c r="J156" s="984"/>
      <c r="K156" s="984"/>
      <c r="L156" s="984"/>
      <c r="M156" s="984"/>
      <c r="N156" s="984"/>
      <c r="O156" s="984"/>
    </row>
    <row r="157" spans="1:15" hidden="1">
      <c r="C157" t="s">
        <v>291</v>
      </c>
      <c r="E157" s="3578" t="s">
        <v>2736</v>
      </c>
      <c r="F157" s="984"/>
      <c r="G157" s="984"/>
      <c r="H157" s="984"/>
      <c r="I157" s="984"/>
      <c r="J157" s="984"/>
      <c r="K157" s="984"/>
      <c r="L157" s="984"/>
      <c r="M157" s="984"/>
      <c r="N157" s="984"/>
      <c r="O157" s="984"/>
    </row>
    <row r="158" spans="1:15">
      <c r="F158" s="984"/>
      <c r="G158" s="984"/>
      <c r="H158" s="984"/>
      <c r="I158" s="984"/>
      <c r="J158" s="984"/>
      <c r="K158" s="984"/>
      <c r="L158" s="984"/>
      <c r="M158" s="984"/>
      <c r="N158" s="984"/>
    </row>
    <row r="159" spans="1:15" ht="15">
      <c r="B159" s="502" t="s">
        <v>296</v>
      </c>
      <c r="C159" s="503"/>
      <c r="D159" s="503"/>
      <c r="E159" s="503"/>
      <c r="F159" s="503"/>
      <c r="G159" s="503"/>
      <c r="H159" s="503"/>
      <c r="I159" s="503"/>
      <c r="J159" s="503"/>
      <c r="K159" s="503"/>
      <c r="L159" s="503"/>
      <c r="M159" s="503"/>
      <c r="N159" s="503"/>
      <c r="O159" s="857"/>
    </row>
    <row r="160" spans="1:15">
      <c r="B160" s="505"/>
      <c r="C160" s="506"/>
      <c r="D160" s="506"/>
      <c r="E160" s="506"/>
      <c r="F160" s="506"/>
      <c r="G160" s="506"/>
      <c r="H160" s="506"/>
      <c r="I160" s="506"/>
      <c r="J160" s="506"/>
      <c r="K160" s="506"/>
      <c r="L160" s="506"/>
      <c r="M160" s="506"/>
      <c r="N160" s="506"/>
      <c r="O160" s="858"/>
    </row>
    <row r="161" spans="1:16">
      <c r="B161" s="505"/>
      <c r="C161" s="34" t="s">
        <v>746</v>
      </c>
      <c r="D161" s="506"/>
      <c r="E161" s="507"/>
      <c r="F161" s="506"/>
      <c r="G161" s="506"/>
      <c r="H161" s="506"/>
      <c r="I161" s="506"/>
      <c r="J161" s="506"/>
      <c r="K161" s="506"/>
      <c r="L161" s="506"/>
      <c r="M161" s="506"/>
      <c r="N161" s="507" t="str">
        <f>Preferences.EnergyUnits</f>
        <v>TWh</v>
      </c>
      <c r="O161" s="858"/>
    </row>
    <row r="162" spans="1:16" ht="23.5">
      <c r="A162" s="7"/>
      <c r="B162" s="505"/>
      <c r="C162" s="506"/>
      <c r="D162" s="506"/>
      <c r="E162" s="506"/>
      <c r="F162" s="506"/>
      <c r="G162" s="506"/>
      <c r="H162" s="506"/>
      <c r="I162" s="506"/>
      <c r="J162" s="506"/>
      <c r="K162" s="506"/>
      <c r="L162" s="506"/>
      <c r="M162" s="506"/>
      <c r="N162" s="506"/>
      <c r="O162" s="858"/>
    </row>
    <row r="163" spans="1:16" ht="15.5">
      <c r="B163" s="15"/>
      <c r="C163" s="1712" t="s">
        <v>28</v>
      </c>
      <c r="D163" s="1712" t="s">
        <v>29</v>
      </c>
      <c r="E163" s="1712" t="s">
        <v>30</v>
      </c>
      <c r="F163" s="1712" t="s">
        <v>588</v>
      </c>
      <c r="G163" s="1712" t="s">
        <v>132</v>
      </c>
      <c r="H163" s="1712" t="s">
        <v>133</v>
      </c>
      <c r="I163" s="1712" t="s">
        <v>134</v>
      </c>
      <c r="J163" s="1712" t="s">
        <v>135</v>
      </c>
      <c r="K163" s="1712" t="s">
        <v>136</v>
      </c>
      <c r="L163" s="1712" t="s">
        <v>137</v>
      </c>
      <c r="M163" s="1712" t="s">
        <v>138</v>
      </c>
      <c r="N163" s="1712" t="s">
        <v>139</v>
      </c>
      <c r="O163" s="858"/>
    </row>
    <row r="164" spans="1:16" ht="15.5">
      <c r="B164" s="15"/>
      <c r="C164" s="716" t="s">
        <v>95</v>
      </c>
      <c r="D164" s="2457" t="str">
        <f>INDEX(Vectors[Description], MATCH(II.a.Outputs[Vector], Vectors[Code], 0))</f>
        <v>Electricity (delivered to end user)</v>
      </c>
      <c r="E164" s="716"/>
      <c r="F164" s="717">
        <v>0</v>
      </c>
      <c r="G164" s="717">
        <v>0</v>
      </c>
      <c r="H164" s="717">
        <v>0</v>
      </c>
      <c r="I164" s="717">
        <v>0</v>
      </c>
      <c r="J164" s="717">
        <v>0</v>
      </c>
      <c r="K164" s="717">
        <v>0</v>
      </c>
      <c r="L164" s="717">
        <v>0</v>
      </c>
      <c r="M164" s="717">
        <v>0</v>
      </c>
      <c r="N164" s="717">
        <v>0</v>
      </c>
      <c r="O164" s="858"/>
    </row>
    <row r="165" spans="1:16" ht="15.5">
      <c r="B165" s="15"/>
      <c r="C165" s="716" t="s">
        <v>96</v>
      </c>
      <c r="D165" s="2457" t="str">
        <f>INDEX(Vectors[Description], MATCH(II.a.Outputs[Vector], Vectors[Code], 0))</f>
        <v>Electricity (supplied to grid)</v>
      </c>
      <c r="E165" s="716"/>
      <c r="F165" s="717">
        <f t="shared" ref="F165:N165" si="16">F$130</f>
        <v>0</v>
      </c>
      <c r="G165" s="717">
        <f t="shared" si="16"/>
        <v>0</v>
      </c>
      <c r="H165" s="717">
        <f t="shared" si="16"/>
        <v>0</v>
      </c>
      <c r="I165" s="717">
        <f t="shared" si="16"/>
        <v>0</v>
      </c>
      <c r="J165" s="717">
        <f t="shared" si="16"/>
        <v>0</v>
      </c>
      <c r="K165" s="717">
        <f t="shared" si="16"/>
        <v>0</v>
      </c>
      <c r="L165" s="717">
        <f t="shared" si="16"/>
        <v>0</v>
      </c>
      <c r="M165" s="717">
        <f t="shared" si="16"/>
        <v>0</v>
      </c>
      <c r="N165" s="717">
        <f t="shared" si="16"/>
        <v>0</v>
      </c>
      <c r="O165" s="858"/>
    </row>
    <row r="166" spans="1:16" ht="15.5">
      <c r="A166" s="434"/>
      <c r="B166" s="15"/>
      <c r="C166" s="716" t="s">
        <v>436</v>
      </c>
      <c r="D166" s="2457" t="str">
        <f>INDEX(Vectors[Description], MATCH(II.a.Outputs[Vector], Vectors[Code], 0))</f>
        <v>Nuclear fission</v>
      </c>
      <c r="E166" s="716"/>
      <c r="F166" s="717">
        <f t="shared" ref="F166:N166" si="17">-F$134</f>
        <v>0</v>
      </c>
      <c r="G166" s="717">
        <f t="shared" si="17"/>
        <v>0</v>
      </c>
      <c r="H166" s="717">
        <f t="shared" si="17"/>
        <v>0</v>
      </c>
      <c r="I166" s="717">
        <f t="shared" si="17"/>
        <v>0</v>
      </c>
      <c r="J166" s="717">
        <f t="shared" si="17"/>
        <v>0</v>
      </c>
      <c r="K166" s="717">
        <f t="shared" si="17"/>
        <v>0</v>
      </c>
      <c r="L166" s="717">
        <f t="shared" si="17"/>
        <v>0</v>
      </c>
      <c r="M166" s="717">
        <f t="shared" si="17"/>
        <v>0</v>
      </c>
      <c r="N166" s="717">
        <f t="shared" si="17"/>
        <v>0</v>
      </c>
      <c r="O166" s="858"/>
    </row>
    <row r="167" spans="1:16" ht="15.5">
      <c r="A167" s="434"/>
      <c r="B167" s="15"/>
      <c r="C167" s="716" t="s">
        <v>103</v>
      </c>
      <c r="D167" s="2457" t="str">
        <f>INDEX(Vectors[Description], MATCH(II.a.Outputs[Vector], Vectors[Code], 0))</f>
        <v>Conversion losses</v>
      </c>
      <c r="E167" s="716"/>
      <c r="F167" s="717">
        <f t="shared" ref="F167:N167" si="18">(F$134-F$132)</f>
        <v>0</v>
      </c>
      <c r="G167" s="717">
        <f t="shared" si="18"/>
        <v>0</v>
      </c>
      <c r="H167" s="717">
        <f t="shared" si="18"/>
        <v>0</v>
      </c>
      <c r="I167" s="717">
        <f t="shared" si="18"/>
        <v>0</v>
      </c>
      <c r="J167" s="717">
        <f t="shared" si="18"/>
        <v>0</v>
      </c>
      <c r="K167" s="717">
        <f t="shared" si="18"/>
        <v>0</v>
      </c>
      <c r="L167" s="717">
        <f t="shared" si="18"/>
        <v>0</v>
      </c>
      <c r="M167" s="717">
        <f t="shared" si="18"/>
        <v>0</v>
      </c>
      <c r="N167" s="717">
        <f t="shared" si="18"/>
        <v>0</v>
      </c>
      <c r="O167" s="858"/>
    </row>
    <row r="168" spans="1:16" ht="15.5">
      <c r="A168" s="434"/>
      <c r="B168" s="15"/>
      <c r="C168" s="716" t="s">
        <v>445</v>
      </c>
      <c r="D168" s="2457" t="str">
        <f>INDEX(Vectors[Description], MATCH(II.a.Outputs[Vector], Vectors[Code], 0))</f>
        <v>Distribution losses and own use</v>
      </c>
      <c r="E168" s="716"/>
      <c r="F168" s="717">
        <f t="shared" ref="F168:N168" si="19">F$131</f>
        <v>0</v>
      </c>
      <c r="G168" s="717">
        <f t="shared" si="19"/>
        <v>0</v>
      </c>
      <c r="H168" s="717">
        <f t="shared" si="19"/>
        <v>0</v>
      </c>
      <c r="I168" s="717">
        <f t="shared" si="19"/>
        <v>0</v>
      </c>
      <c r="J168" s="717">
        <f t="shared" si="19"/>
        <v>0</v>
      </c>
      <c r="K168" s="717">
        <f t="shared" si="19"/>
        <v>0</v>
      </c>
      <c r="L168" s="717">
        <f t="shared" si="19"/>
        <v>0</v>
      </c>
      <c r="M168" s="717">
        <f t="shared" si="19"/>
        <v>0</v>
      </c>
      <c r="N168" s="717">
        <f t="shared" si="19"/>
        <v>0</v>
      </c>
      <c r="O168" s="858"/>
    </row>
    <row r="169" spans="1:16" ht="15.5">
      <c r="A169" s="434"/>
      <c r="B169" s="15"/>
      <c r="C169" s="2433" t="s">
        <v>58</v>
      </c>
      <c r="D169" s="2433"/>
      <c r="E169" s="2433"/>
      <c r="F169" s="2434">
        <f>SUBTOTAL(109,II.a.Outputs[2013])</f>
        <v>0</v>
      </c>
      <c r="G169" s="2434">
        <f>SUBTOTAL(109,II.a.Outputs[2015])</f>
        <v>0</v>
      </c>
      <c r="H169" s="2434">
        <f>SUBTOTAL(109,II.a.Outputs[2020])</f>
        <v>0</v>
      </c>
      <c r="I169" s="2434">
        <f>SUBTOTAL(109,II.a.Outputs[2025])</f>
        <v>0</v>
      </c>
      <c r="J169" s="2434">
        <f>SUBTOTAL(109,II.a.Outputs[2030])</f>
        <v>0</v>
      </c>
      <c r="K169" s="2434">
        <f>SUBTOTAL(109,II.a.Outputs[2035])</f>
        <v>0</v>
      </c>
      <c r="L169" s="2434">
        <f>SUBTOTAL(109,II.a.Outputs[2040])</f>
        <v>0</v>
      </c>
      <c r="M169" s="2434">
        <f>SUBTOTAL(109,II.a.Outputs[2045])</f>
        <v>0</v>
      </c>
      <c r="N169" s="2434">
        <f>SUBTOTAL(109,II.a.Outputs[2050])</f>
        <v>0</v>
      </c>
      <c r="O169" s="858"/>
    </row>
    <row r="170" spans="1:16" ht="15.5">
      <c r="A170" s="434"/>
      <c r="B170" s="15"/>
      <c r="C170" s="443" t="s">
        <v>5</v>
      </c>
      <c r="D170" s="443"/>
      <c r="E170" s="443" t="s">
        <v>5</v>
      </c>
      <c r="F170" s="443"/>
      <c r="G170" s="443"/>
      <c r="H170" s="443"/>
      <c r="I170" s="443"/>
      <c r="J170" s="443"/>
      <c r="K170" s="443"/>
      <c r="L170" s="443"/>
      <c r="M170" s="443"/>
      <c r="N170" s="443"/>
      <c r="O170" s="858"/>
      <c r="P170" s="2416" t="s">
        <v>5</v>
      </c>
    </row>
    <row r="171" spans="1:16" ht="15.5">
      <c r="A171" s="434"/>
    </row>
    <row r="172" spans="1:16" ht="15.5">
      <c r="A172" s="434"/>
      <c r="B172" s="986" t="s">
        <v>310</v>
      </c>
      <c r="C172" s="987"/>
      <c r="D172" s="988"/>
      <c r="E172" s="988"/>
      <c r="F172" s="988"/>
      <c r="G172" s="988"/>
      <c r="H172" s="988"/>
      <c r="I172" s="988"/>
      <c r="J172" s="988"/>
      <c r="K172" s="988"/>
      <c r="L172" s="988"/>
      <c r="M172" s="988"/>
      <c r="N172" s="988"/>
      <c r="O172" s="989"/>
    </row>
    <row r="173" spans="1:16">
      <c r="B173" s="990"/>
      <c r="C173" s="991"/>
      <c r="D173" s="991"/>
      <c r="E173" s="991"/>
      <c r="F173" s="991"/>
      <c r="G173" s="991"/>
      <c r="H173" s="991"/>
      <c r="I173" s="991"/>
      <c r="J173" s="991"/>
      <c r="K173" s="991"/>
      <c r="L173" s="991"/>
      <c r="M173" s="991"/>
      <c r="N173" s="991"/>
      <c r="O173" s="992"/>
    </row>
    <row r="174" spans="1:16">
      <c r="B174" s="993"/>
      <c r="C174" s="479" t="s">
        <v>311</v>
      </c>
      <c r="D174" s="994"/>
      <c r="E174" s="995"/>
      <c r="F174" s="994"/>
      <c r="G174" s="994"/>
      <c r="H174" s="994"/>
      <c r="I174" s="994"/>
      <c r="J174" s="994"/>
      <c r="K174" s="994"/>
      <c r="L174" s="994"/>
      <c r="M174" s="994"/>
      <c r="N174" s="995"/>
      <c r="O174" s="996"/>
    </row>
    <row r="175" spans="1:16">
      <c r="B175" s="993"/>
      <c r="C175" s="994"/>
      <c r="D175" s="994"/>
      <c r="E175" s="994"/>
      <c r="F175" s="994"/>
      <c r="G175" s="994"/>
      <c r="H175" s="994"/>
      <c r="I175" s="994"/>
      <c r="J175" s="994"/>
      <c r="K175" s="994"/>
      <c r="L175" s="994"/>
      <c r="M175" s="994"/>
      <c r="N175" s="994"/>
      <c r="O175" s="996"/>
    </row>
    <row r="176" spans="1:16" ht="15.5">
      <c r="B176" s="483"/>
      <c r="C176" s="997" t="s">
        <v>28</v>
      </c>
      <c r="D176" s="997" t="s">
        <v>312</v>
      </c>
      <c r="E176" s="997" t="s">
        <v>30</v>
      </c>
      <c r="F176" s="997" t="s">
        <v>588</v>
      </c>
      <c r="G176" s="997" t="s">
        <v>132</v>
      </c>
      <c r="H176" s="997" t="s">
        <v>133</v>
      </c>
      <c r="I176" s="997" t="s">
        <v>134</v>
      </c>
      <c r="J176" s="997" t="s">
        <v>135</v>
      </c>
      <c r="K176" s="997" t="s">
        <v>136</v>
      </c>
      <c r="L176" s="997" t="s">
        <v>137</v>
      </c>
      <c r="M176" s="997" t="s">
        <v>138</v>
      </c>
      <c r="N176" s="997" t="s">
        <v>139</v>
      </c>
      <c r="O176" s="996"/>
    </row>
    <row r="177" spans="2:15" ht="15.5">
      <c r="B177" s="483"/>
      <c r="C177" s="998" t="s">
        <v>748</v>
      </c>
      <c r="D177" s="485" t="str">
        <f>INDEX(Vectors[Description], MATCH(II.a.info[Vector], Vectors[Code], 0))</f>
        <v xml:space="preserve">Installed Capacity </v>
      </c>
      <c r="E177" s="485" t="str">
        <f>Preferences.PowerUnits</f>
        <v>GW</v>
      </c>
      <c r="F177" s="999">
        <f t="shared" ref="F177:N177" si="20">F118</f>
        <v>0</v>
      </c>
      <c r="G177" s="999">
        <f t="shared" si="20"/>
        <v>0</v>
      </c>
      <c r="H177" s="999">
        <f t="shared" si="20"/>
        <v>0</v>
      </c>
      <c r="I177" s="999">
        <f t="shared" si="20"/>
        <v>0</v>
      </c>
      <c r="J177" s="999">
        <f t="shared" si="20"/>
        <v>0</v>
      </c>
      <c r="K177" s="999">
        <f t="shared" si="20"/>
        <v>0</v>
      </c>
      <c r="L177" s="999">
        <f t="shared" si="20"/>
        <v>0</v>
      </c>
      <c r="M177" s="999">
        <f t="shared" si="20"/>
        <v>0</v>
      </c>
      <c r="N177" s="999">
        <f t="shared" si="20"/>
        <v>0</v>
      </c>
      <c r="O177" s="996"/>
    </row>
    <row r="178" spans="2:15" ht="15.5">
      <c r="B178" s="483"/>
      <c r="C178" s="998" t="s">
        <v>750</v>
      </c>
      <c r="D178" s="485" t="str">
        <f>INDEX(Vectors[Description], MATCH(II.a.info[Vector], Vectors[Code], 0))</f>
        <v>Load factor</v>
      </c>
      <c r="E178" s="998" t="s">
        <v>42</v>
      </c>
      <c r="F178" s="1000">
        <f t="shared" ref="F178:N178" si="21">F58</f>
        <v>0.59599999999999997</v>
      </c>
      <c r="G178" s="1000">
        <f t="shared" si="21"/>
        <v>0.7</v>
      </c>
      <c r="H178" s="1000">
        <f t="shared" si="21"/>
        <v>0.8</v>
      </c>
      <c r="I178" s="1000">
        <f t="shared" si="21"/>
        <v>0.8</v>
      </c>
      <c r="J178" s="1000">
        <f t="shared" si="21"/>
        <v>0.8</v>
      </c>
      <c r="K178" s="1000">
        <f t="shared" si="21"/>
        <v>0.8</v>
      </c>
      <c r="L178" s="1000">
        <f t="shared" si="21"/>
        <v>0.8</v>
      </c>
      <c r="M178" s="1000">
        <f t="shared" si="21"/>
        <v>0.8</v>
      </c>
      <c r="N178" s="1000">
        <f t="shared" si="21"/>
        <v>0.8</v>
      </c>
      <c r="O178" s="996"/>
    </row>
    <row r="179" spans="2:15" ht="15.5">
      <c r="B179" s="483"/>
      <c r="C179" s="998" t="s">
        <v>313</v>
      </c>
      <c r="D179" s="485" t="str">
        <f>$F$74&amp;" GW nuclear power station complexes"</f>
        <v>1 GW nuclear power station complexes</v>
      </c>
      <c r="E179" s="998" t="s">
        <v>741</v>
      </c>
      <c r="F179" s="487">
        <f t="shared" ref="F179:N179" si="22">F177/$F$74</f>
        <v>0</v>
      </c>
      <c r="G179" s="487">
        <f t="shared" si="22"/>
        <v>0</v>
      </c>
      <c r="H179" s="487">
        <f t="shared" si="22"/>
        <v>0</v>
      </c>
      <c r="I179" s="487">
        <f t="shared" si="22"/>
        <v>0</v>
      </c>
      <c r="J179" s="487">
        <f t="shared" si="22"/>
        <v>0</v>
      </c>
      <c r="K179" s="487">
        <f t="shared" si="22"/>
        <v>0</v>
      </c>
      <c r="L179" s="487">
        <f t="shared" si="22"/>
        <v>0</v>
      </c>
      <c r="M179" s="487">
        <f t="shared" si="22"/>
        <v>0</v>
      </c>
      <c r="N179" s="487">
        <f t="shared" si="22"/>
        <v>0</v>
      </c>
      <c r="O179" s="996"/>
    </row>
    <row r="180" spans="2:15" ht="15.5">
      <c r="B180" s="488"/>
      <c r="C180" s="1001"/>
      <c r="D180" s="1001"/>
      <c r="E180" s="1001"/>
      <c r="F180" s="1001"/>
      <c r="G180" s="1001"/>
      <c r="H180" s="1001"/>
      <c r="I180" s="1001"/>
      <c r="J180" s="1001"/>
      <c r="K180" s="1001"/>
      <c r="L180" s="1001"/>
      <c r="M180" s="1001"/>
      <c r="N180" s="1001"/>
      <c r="O180" s="1002"/>
    </row>
    <row r="182" spans="2:15" ht="15">
      <c r="B182" s="986" t="s">
        <v>2720</v>
      </c>
      <c r="C182" s="988"/>
      <c r="D182" s="988"/>
      <c r="E182" s="988"/>
      <c r="F182" s="988"/>
      <c r="G182" s="988"/>
      <c r="H182" s="988"/>
      <c r="I182" s="988"/>
      <c r="J182" s="988"/>
      <c r="K182" s="988"/>
      <c r="L182" s="988"/>
      <c r="M182" s="988"/>
      <c r="N182" s="988"/>
      <c r="O182" s="989"/>
    </row>
    <row r="183" spans="2:15" hidden="1">
      <c r="B183" s="993"/>
      <c r="C183" s="994"/>
      <c r="D183" s="994"/>
      <c r="E183" s="994"/>
      <c r="F183" s="994"/>
      <c r="G183" s="994"/>
      <c r="H183" s="994"/>
      <c r="I183" s="994"/>
      <c r="J183" s="994"/>
      <c r="K183" s="994"/>
      <c r="L183" s="994"/>
      <c r="M183" s="994"/>
      <c r="N183" s="994"/>
      <c r="O183" s="996"/>
    </row>
    <row r="184" spans="2:15" hidden="1">
      <c r="B184" s="993"/>
      <c r="C184" s="491" t="s">
        <v>751</v>
      </c>
      <c r="D184" s="1003"/>
      <c r="E184" s="1003"/>
      <c r="F184" s="1003"/>
      <c r="G184" s="1003"/>
      <c r="H184" s="1003"/>
      <c r="I184" s="1003"/>
      <c r="J184" s="1003"/>
      <c r="K184" s="1003"/>
      <c r="L184" s="1003"/>
      <c r="M184" s="1003"/>
      <c r="N184" s="1004" t="s">
        <v>2736</v>
      </c>
      <c r="O184" s="996"/>
    </row>
    <row r="185" spans="2:15" ht="15.5" hidden="1">
      <c r="B185" s="483"/>
      <c r="C185" s="994"/>
      <c r="D185" s="994"/>
      <c r="E185" s="994"/>
      <c r="F185" s="994"/>
      <c r="G185" s="994"/>
      <c r="H185" s="994"/>
      <c r="I185" s="994"/>
      <c r="J185" s="994"/>
      <c r="K185" s="994"/>
      <c r="L185" s="994"/>
      <c r="M185" s="994"/>
      <c r="N185" s="994"/>
      <c r="O185" s="996"/>
    </row>
    <row r="186" spans="2:15" ht="15.5" hidden="1">
      <c r="B186" s="483"/>
      <c r="C186" s="997" t="s">
        <v>28</v>
      </c>
      <c r="D186" s="997" t="s">
        <v>29</v>
      </c>
      <c r="E186" s="997" t="s">
        <v>30</v>
      </c>
      <c r="F186" s="997">
        <v>2013</v>
      </c>
      <c r="G186" s="997" t="s">
        <v>132</v>
      </c>
      <c r="H186" s="997" t="s">
        <v>133</v>
      </c>
      <c r="I186" s="997" t="s">
        <v>134</v>
      </c>
      <c r="J186" s="997" t="s">
        <v>135</v>
      </c>
      <c r="K186" s="997" t="s">
        <v>136</v>
      </c>
      <c r="L186" s="997" t="s">
        <v>137</v>
      </c>
      <c r="M186" s="997" t="s">
        <v>138</v>
      </c>
      <c r="N186" s="997" t="s">
        <v>139</v>
      </c>
      <c r="O186" s="996"/>
    </row>
    <row r="187" spans="2:15" ht="15.5" hidden="1">
      <c r="B187" s="483"/>
      <c r="C187" s="998" t="s">
        <v>321</v>
      </c>
      <c r="D187" s="485" t="s">
        <v>322</v>
      </c>
      <c r="E187" s="485"/>
      <c r="F187" s="486"/>
      <c r="G187" s="486"/>
      <c r="H187" s="486"/>
      <c r="I187" s="486"/>
      <c r="J187" s="486"/>
      <c r="K187" s="486"/>
      <c r="L187" s="486"/>
      <c r="M187" s="486"/>
      <c r="N187" s="486"/>
      <c r="O187" s="996"/>
    </row>
    <row r="188" spans="2:15" ht="15.5" hidden="1">
      <c r="B188" s="483"/>
      <c r="C188" s="998" t="s">
        <v>328</v>
      </c>
      <c r="D188" s="485" t="s">
        <v>329</v>
      </c>
      <c r="E188" s="485"/>
      <c r="F188" s="486"/>
      <c r="G188" s="486"/>
      <c r="H188" s="486"/>
      <c r="I188" s="486"/>
      <c r="J188" s="486"/>
      <c r="K188" s="486"/>
      <c r="L188" s="486"/>
      <c r="M188" s="486"/>
      <c r="N188" s="486"/>
      <c r="O188" s="996"/>
    </row>
    <row r="189" spans="2:15" ht="15.5" hidden="1">
      <c r="B189" s="483"/>
      <c r="C189" s="998" t="s">
        <v>752</v>
      </c>
      <c r="D189" s="485" t="s">
        <v>753</v>
      </c>
      <c r="E189" s="485"/>
      <c r="F189" s="486"/>
      <c r="G189" s="486"/>
      <c r="H189" s="486"/>
      <c r="I189" s="486"/>
      <c r="J189" s="486"/>
      <c r="K189" s="486"/>
      <c r="L189" s="486"/>
      <c r="M189" s="486"/>
      <c r="N189" s="486"/>
      <c r="O189" s="996"/>
    </row>
    <row r="190" spans="2:15" ht="15.5" hidden="1">
      <c r="B190" s="483"/>
      <c r="C190" s="998" t="s">
        <v>323</v>
      </c>
      <c r="D190" s="485" t="s">
        <v>324</v>
      </c>
      <c r="E190" s="485"/>
      <c r="F190" s="486"/>
      <c r="G190" s="486"/>
      <c r="H190" s="486"/>
      <c r="I190" s="486"/>
      <c r="J190" s="486"/>
      <c r="K190" s="486"/>
      <c r="L190" s="486"/>
      <c r="M190" s="486"/>
      <c r="N190" s="486"/>
      <c r="O190" s="996"/>
    </row>
    <row r="191" spans="2:15" ht="15.5" hidden="1">
      <c r="B191" s="483"/>
      <c r="C191" s="998" t="s">
        <v>330</v>
      </c>
      <c r="D191" s="485" t="s">
        <v>331</v>
      </c>
      <c r="E191" s="485"/>
      <c r="F191" s="486"/>
      <c r="G191" s="486"/>
      <c r="H191" s="486"/>
      <c r="I191" s="486"/>
      <c r="J191" s="486"/>
      <c r="K191" s="486"/>
      <c r="L191" s="486"/>
      <c r="M191" s="486"/>
      <c r="N191" s="486"/>
      <c r="O191" s="996"/>
    </row>
    <row r="192" spans="2:15" hidden="1">
      <c r="B192" s="494"/>
      <c r="C192" s="998" t="s">
        <v>754</v>
      </c>
      <c r="D192" s="485" t="s">
        <v>755</v>
      </c>
      <c r="E192" s="485"/>
      <c r="F192" s="486"/>
      <c r="G192" s="486"/>
      <c r="H192" s="486"/>
      <c r="I192" s="486"/>
      <c r="J192" s="486"/>
      <c r="K192" s="486"/>
      <c r="L192" s="486"/>
      <c r="M192" s="486"/>
      <c r="N192" s="486"/>
      <c r="O192" s="996"/>
    </row>
    <row r="193" spans="2:15" hidden="1">
      <c r="B193" s="494"/>
      <c r="C193" s="998" t="s">
        <v>325</v>
      </c>
      <c r="D193" s="485" t="s">
        <v>326</v>
      </c>
      <c r="E193" s="485"/>
      <c r="F193" s="486"/>
      <c r="G193" s="486"/>
      <c r="H193" s="486"/>
      <c r="I193" s="486"/>
      <c r="J193" s="486"/>
      <c r="K193" s="486"/>
      <c r="L193" s="486"/>
      <c r="M193" s="486"/>
      <c r="N193" s="486"/>
      <c r="O193" s="996"/>
    </row>
    <row r="194" spans="2:15" hidden="1">
      <c r="B194" s="494"/>
      <c r="C194" s="998" t="s">
        <v>332</v>
      </c>
      <c r="D194" s="485" t="s">
        <v>333</v>
      </c>
      <c r="E194" s="485"/>
      <c r="F194" s="486"/>
      <c r="G194" s="486"/>
      <c r="H194" s="486"/>
      <c r="I194" s="486"/>
      <c r="J194" s="486"/>
      <c r="K194" s="486"/>
      <c r="L194" s="486"/>
      <c r="M194" s="486"/>
      <c r="N194" s="486"/>
      <c r="O194" s="996"/>
    </row>
    <row r="195" spans="2:15" hidden="1">
      <c r="B195" s="1005"/>
      <c r="C195" s="998" t="s">
        <v>756</v>
      </c>
      <c r="D195" s="485" t="s">
        <v>757</v>
      </c>
      <c r="E195" s="485"/>
      <c r="F195" s="486"/>
      <c r="G195" s="486"/>
      <c r="H195" s="486"/>
      <c r="I195" s="486"/>
      <c r="J195" s="486"/>
      <c r="K195" s="486"/>
      <c r="L195" s="486"/>
      <c r="M195" s="486"/>
      <c r="N195" s="486"/>
      <c r="O195" s="996"/>
    </row>
    <row r="196" spans="2:15" hidden="1">
      <c r="B196" s="1005"/>
      <c r="C196" s="1001"/>
      <c r="D196" s="1001"/>
      <c r="E196" s="1001"/>
      <c r="F196" s="1001"/>
      <c r="G196" s="1001"/>
      <c r="H196" s="1001"/>
      <c r="I196" s="1001"/>
      <c r="J196" s="1001"/>
      <c r="K196" s="1001"/>
      <c r="L196" s="1001"/>
      <c r="M196" s="1001"/>
      <c r="N196" s="1001"/>
      <c r="O196" s="1006"/>
    </row>
    <row r="198" spans="2:15">
      <c r="B198" s="2416"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sheetPr>
  <dimension ref="A1:BS160"/>
  <sheetViews>
    <sheetView showGridLines="0" topLeftCell="C84"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5" ht="20">
      <c r="A1" s="854" t="s">
        <v>523</v>
      </c>
      <c r="B1" s="854" t="s">
        <v>524</v>
      </c>
      <c r="C1" s="854"/>
    </row>
    <row r="2" spans="1:15" s="6" customFormat="1" ht="15">
      <c r="A2" s="855" t="s">
        <v>511</v>
      </c>
      <c r="B2" s="855" t="s">
        <v>512</v>
      </c>
      <c r="C2" s="855"/>
      <c r="E2" s="5"/>
      <c r="G2" s="6" t="s">
        <v>5</v>
      </c>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III.a.1.Scenario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9" spans="1:15">
      <c r="E9" t="s">
        <v>5</v>
      </c>
    </row>
    <row r="10" spans="1:15" ht="23.5">
      <c r="A10" s="7"/>
      <c r="B10" s="869" t="s">
        <v>33</v>
      </c>
      <c r="C10" s="870"/>
      <c r="D10" s="870"/>
      <c r="E10" s="870"/>
      <c r="F10" s="870"/>
      <c r="G10" s="870"/>
      <c r="H10" s="870"/>
      <c r="I10" s="870"/>
      <c r="J10" s="870"/>
      <c r="K10" s="870"/>
      <c r="L10" s="870"/>
      <c r="M10" s="870"/>
      <c r="N10" s="870"/>
      <c r="O10" s="871"/>
    </row>
    <row r="11" spans="1:15">
      <c r="B11" s="105"/>
      <c r="C11" s="67"/>
      <c r="D11" s="67"/>
      <c r="E11" s="67"/>
      <c r="F11" s="67"/>
      <c r="G11" s="67"/>
      <c r="H11" s="67"/>
      <c r="I11" s="67"/>
      <c r="J11" s="67"/>
      <c r="K11" s="67"/>
      <c r="L11" s="67"/>
      <c r="M11" s="67"/>
      <c r="N11" s="67"/>
      <c r="O11" s="876"/>
    </row>
    <row r="12" spans="1:15">
      <c r="B12" s="105"/>
      <c r="C12" s="49" t="s">
        <v>2980</v>
      </c>
      <c r="D12" s="67"/>
      <c r="E12" s="51"/>
      <c r="F12" s="67"/>
      <c r="G12" s="67"/>
      <c r="H12" s="67"/>
      <c r="I12" s="67"/>
      <c r="J12" s="67"/>
      <c r="K12" s="67"/>
      <c r="L12" s="67"/>
      <c r="M12" s="67"/>
      <c r="N12" s="51" t="str">
        <f>Preferences.PowerUnits &amp; " per annum, for subsequent period; nameplate capacity"</f>
        <v>GW per annum, for subsequent period; nameplate capacity</v>
      </c>
      <c r="O12" s="876"/>
    </row>
    <row r="13" spans="1:15">
      <c r="B13" s="105"/>
      <c r="C13" s="67"/>
      <c r="D13" s="67"/>
      <c r="E13" s="67"/>
      <c r="F13" s="67"/>
      <c r="G13" s="67"/>
      <c r="H13" s="67"/>
      <c r="I13" s="67"/>
      <c r="J13" s="67"/>
      <c r="K13" s="67"/>
      <c r="L13" s="67"/>
      <c r="M13" s="67"/>
      <c r="N13" s="67"/>
      <c r="O13" s="876"/>
    </row>
    <row r="14" spans="1:15" ht="15.5">
      <c r="B14" s="55"/>
      <c r="C14" s="878" t="s">
        <v>8</v>
      </c>
      <c r="D14" s="878" t="s">
        <v>71</v>
      </c>
      <c r="E14" s="878" t="s">
        <v>30</v>
      </c>
      <c r="F14" s="900">
        <v>2013</v>
      </c>
      <c r="G14" s="900">
        <v>2015</v>
      </c>
      <c r="H14" s="900">
        <v>2020</v>
      </c>
      <c r="I14" s="900">
        <v>2025</v>
      </c>
      <c r="J14" s="900">
        <v>2030</v>
      </c>
      <c r="K14" s="900">
        <v>2035</v>
      </c>
      <c r="L14" s="900">
        <v>2040</v>
      </c>
      <c r="M14" s="900">
        <v>2045</v>
      </c>
      <c r="N14" s="900">
        <v>2050</v>
      </c>
      <c r="O14" s="876"/>
    </row>
    <row r="15" spans="1:15" ht="15.5">
      <c r="B15" s="966"/>
      <c r="C15" s="103">
        <v>1</v>
      </c>
      <c r="D15" s="103"/>
      <c r="E15" s="881"/>
      <c r="F15" s="883">
        <f>(Unit.GW)*0.17</f>
        <v>0.17</v>
      </c>
      <c r="G15" s="883">
        <v>0</v>
      </c>
      <c r="H15" s="883">
        <v>0</v>
      </c>
      <c r="I15" s="883">
        <v>0</v>
      </c>
      <c r="J15" s="883">
        <v>0</v>
      </c>
      <c r="K15" s="883">
        <v>0</v>
      </c>
      <c r="L15" s="883">
        <v>0</v>
      </c>
      <c r="M15" s="883">
        <v>0</v>
      </c>
      <c r="N15" s="59"/>
      <c r="O15" s="884"/>
    </row>
    <row r="16" spans="1:15" ht="15.5">
      <c r="B16" s="55"/>
      <c r="C16" s="103">
        <v>2</v>
      </c>
      <c r="D16" s="103"/>
      <c r="E16" s="103"/>
      <c r="F16" s="883">
        <f>(Unit.GW)*0.17</f>
        <v>0.17</v>
      </c>
      <c r="G16" s="886">
        <f>(Unit.GW)*0.27</f>
        <v>0.27</v>
      </c>
      <c r="H16" s="886">
        <f t="shared" ref="H16:M16" si="0">(Unit.GW)*0.3</f>
        <v>0.3</v>
      </c>
      <c r="I16" s="886">
        <f t="shared" si="0"/>
        <v>0.3</v>
      </c>
      <c r="J16" s="886">
        <f t="shared" si="0"/>
        <v>0.3</v>
      </c>
      <c r="K16" s="886">
        <f t="shared" si="0"/>
        <v>0.3</v>
      </c>
      <c r="L16" s="886">
        <f t="shared" si="0"/>
        <v>0.3</v>
      </c>
      <c r="M16" s="886">
        <f t="shared" si="0"/>
        <v>0.3</v>
      </c>
      <c r="N16" s="60"/>
      <c r="O16" s="876"/>
    </row>
    <row r="17" spans="2:15" ht="15.5">
      <c r="B17" s="55"/>
      <c r="C17" s="103">
        <v>3</v>
      </c>
      <c r="D17" s="103"/>
      <c r="E17" s="103"/>
      <c r="F17" s="883">
        <f>(Unit.GW)*0.17</f>
        <v>0.17</v>
      </c>
      <c r="G17" s="886">
        <f>(Unit.GW)*0.27</f>
        <v>0.27</v>
      </c>
      <c r="H17" s="886">
        <f>(Unit.GW)*0.3</f>
        <v>0.3</v>
      </c>
      <c r="I17" s="886">
        <f>(Unit.GW)*0.5</f>
        <v>0.5</v>
      </c>
      <c r="J17" s="886">
        <f>(Unit.GW)*0.8</f>
        <v>0.8</v>
      </c>
      <c r="K17" s="886">
        <f>(Unit.GW)*0.8</f>
        <v>0.8</v>
      </c>
      <c r="L17" s="886">
        <f>(Unit.GW)*0.8</f>
        <v>0.8</v>
      </c>
      <c r="M17" s="886">
        <f>(Unit.GW)*0.8</f>
        <v>0.8</v>
      </c>
      <c r="N17" s="60"/>
      <c r="O17" s="876"/>
    </row>
    <row r="18" spans="2:15" ht="15.5">
      <c r="B18" s="55"/>
      <c r="C18" s="888">
        <v>4</v>
      </c>
      <c r="D18" s="888"/>
      <c r="E18" s="888"/>
      <c r="F18" s="883">
        <f>(Unit.GW)*0.17</f>
        <v>0.17</v>
      </c>
      <c r="G18" s="886">
        <f>(Unit.GW)*0.27</f>
        <v>0.27</v>
      </c>
      <c r="H18" s="886">
        <f>(Unit.GW)*0.5</f>
        <v>0.5</v>
      </c>
      <c r="I18" s="890">
        <f>(Unit.GW)*0.8</f>
        <v>0.8</v>
      </c>
      <c r="J18" s="890">
        <f>(Unit.GW)*1</f>
        <v>1</v>
      </c>
      <c r="K18" s="890">
        <f>(Unit.GW)*1</f>
        <v>1</v>
      </c>
      <c r="L18" s="890">
        <f>(Unit.GW)*1</f>
        <v>1</v>
      </c>
      <c r="M18" s="890">
        <f>(Unit.GW)*1</f>
        <v>1</v>
      </c>
      <c r="N18" s="898"/>
      <c r="O18" s="876"/>
    </row>
    <row r="19" spans="2:15" ht="15.5">
      <c r="B19" s="55"/>
      <c r="C19" s="1186" t="s">
        <v>37</v>
      </c>
      <c r="D19" s="892"/>
      <c r="E19" s="892"/>
      <c r="F19" s="893">
        <f>(INDEX(F$15:F$18,ROUNDDOWN($E$7,0))*(1-MOD($E$7,1)))+(INDEX(F$15:F$18,ROUNDUP($E$7,0))*MOD($E$7,1))</f>
        <v>0.17</v>
      </c>
      <c r="G19" s="893">
        <f t="shared" ref="G19:N19" si="1">(INDEX(G$15:G$18,ROUNDDOWN($E$7,0))*(1-MOD($E$7,1)))+(INDEX(G$15:G$18,ROUNDUP($E$7,0))*MOD($E$7,1))</f>
        <v>0</v>
      </c>
      <c r="H19" s="893">
        <f t="shared" si="1"/>
        <v>0</v>
      </c>
      <c r="I19" s="893">
        <f t="shared" si="1"/>
        <v>0</v>
      </c>
      <c r="J19" s="893">
        <f t="shared" si="1"/>
        <v>0</v>
      </c>
      <c r="K19" s="893">
        <f t="shared" si="1"/>
        <v>0</v>
      </c>
      <c r="L19" s="893">
        <f t="shared" si="1"/>
        <v>0</v>
      </c>
      <c r="M19" s="893">
        <f t="shared" si="1"/>
        <v>0</v>
      </c>
      <c r="N19" s="893">
        <f t="shared" si="1"/>
        <v>0</v>
      </c>
      <c r="O19" s="876"/>
    </row>
    <row r="20" spans="2:15">
      <c r="B20" s="45"/>
      <c r="C20" s="67"/>
      <c r="D20" s="67"/>
      <c r="E20" s="67"/>
      <c r="F20" s="67"/>
      <c r="G20" s="67"/>
      <c r="H20" s="67"/>
      <c r="I20" s="67"/>
      <c r="J20" s="67"/>
      <c r="K20" s="67"/>
      <c r="L20" s="67"/>
      <c r="M20" s="67"/>
      <c r="N20" s="67"/>
      <c r="O20" s="876"/>
    </row>
    <row r="21" spans="2:15">
      <c r="B21" s="45"/>
      <c r="C21" s="49" t="s">
        <v>2981</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76"/>
    </row>
    <row r="22" spans="2:15">
      <c r="B22" s="45"/>
      <c r="C22" s="67"/>
      <c r="D22" s="67"/>
      <c r="E22" s="67"/>
      <c r="F22" s="67"/>
      <c r="G22" s="67"/>
      <c r="H22" s="67"/>
      <c r="I22" s="67"/>
      <c r="J22" s="67"/>
      <c r="K22" s="67"/>
      <c r="L22" s="67"/>
      <c r="M22" s="67"/>
      <c r="N22" s="67"/>
      <c r="O22" s="876"/>
    </row>
    <row r="23" spans="2:15" ht="15.5">
      <c r="B23" s="55"/>
      <c r="C23" s="878" t="s">
        <v>8</v>
      </c>
      <c r="D23" s="878" t="s">
        <v>71</v>
      </c>
      <c r="E23" s="878" t="s">
        <v>30</v>
      </c>
      <c r="F23" s="900">
        <v>2013</v>
      </c>
      <c r="G23" s="900">
        <v>2015</v>
      </c>
      <c r="H23" s="900">
        <v>2020</v>
      </c>
      <c r="I23" s="900">
        <v>2025</v>
      </c>
      <c r="J23" s="900">
        <v>2030</v>
      </c>
      <c r="K23" s="900">
        <v>2035</v>
      </c>
      <c r="L23" s="900">
        <v>2040</v>
      </c>
      <c r="M23" s="900">
        <v>2045</v>
      </c>
      <c r="N23" s="900">
        <v>2050</v>
      </c>
      <c r="O23" s="876"/>
    </row>
    <row r="24" spans="2:15" ht="15.5">
      <c r="B24" s="55"/>
      <c r="C24" s="103">
        <v>1</v>
      </c>
      <c r="D24" s="103"/>
      <c r="E24" s="881"/>
      <c r="F24" s="883">
        <v>0</v>
      </c>
      <c r="G24" s="883">
        <v>0</v>
      </c>
      <c r="H24" s="883">
        <f>(Unit.GW)*-0.17</f>
        <v>-0.17</v>
      </c>
      <c r="I24" s="883">
        <f>(Unit.GW)*-0.17</f>
        <v>-0.17</v>
      </c>
      <c r="J24" s="883">
        <f>(Unit.GW)*-0.085</f>
        <v>-8.5000000000000006E-2</v>
      </c>
      <c r="K24" s="883">
        <v>0</v>
      </c>
      <c r="L24" s="883">
        <v>0</v>
      </c>
      <c r="M24" s="883">
        <v>0</v>
      </c>
      <c r="N24" s="59"/>
      <c r="O24" s="876"/>
    </row>
    <row r="25" spans="2:15" ht="15.5">
      <c r="B25" s="55"/>
      <c r="C25" s="103">
        <v>2</v>
      </c>
      <c r="D25" s="103"/>
      <c r="E25" s="103"/>
      <c r="F25" s="883">
        <v>0</v>
      </c>
      <c r="G25" s="886">
        <v>0</v>
      </c>
      <c r="H25" s="883">
        <f>(Unit.GW)*-0.17</f>
        <v>-0.17</v>
      </c>
      <c r="I25" s="886">
        <f>(Unit.GW)*-0.3</f>
        <v>-0.3</v>
      </c>
      <c r="J25" s="886">
        <f>(Unit.GW)*-0.3</f>
        <v>-0.3</v>
      </c>
      <c r="K25" s="886">
        <f>(Unit.GW)*-0.3</f>
        <v>-0.3</v>
      </c>
      <c r="L25" s="886">
        <f>(Unit.GW)*-0.3</f>
        <v>-0.3</v>
      </c>
      <c r="M25" s="886">
        <f>(Unit.GW)*-0.3</f>
        <v>-0.3</v>
      </c>
      <c r="N25" s="60"/>
      <c r="O25" s="876"/>
    </row>
    <row r="26" spans="2:15" ht="15.5">
      <c r="B26" s="55"/>
      <c r="C26" s="103">
        <v>3</v>
      </c>
      <c r="D26" s="103"/>
      <c r="E26" s="103"/>
      <c r="F26" s="883">
        <v>0</v>
      </c>
      <c r="G26" s="886">
        <v>0</v>
      </c>
      <c r="H26" s="883">
        <f>(Unit.GW)*-0.17</f>
        <v>-0.17</v>
      </c>
      <c r="I26" s="886">
        <f>(Unit.GW)*-0.3</f>
        <v>-0.3</v>
      </c>
      <c r="J26" s="886">
        <f>(Unit.GW)*-0.5</f>
        <v>-0.5</v>
      </c>
      <c r="K26" s="886">
        <f>(Unit.GW)*-0.8</f>
        <v>-0.8</v>
      </c>
      <c r="L26" s="886">
        <f>(Unit.GW)*-0.8</f>
        <v>-0.8</v>
      </c>
      <c r="M26" s="886">
        <f>(Unit.GW)*-0.8</f>
        <v>-0.8</v>
      </c>
      <c r="N26" s="60"/>
      <c r="O26" s="876"/>
    </row>
    <row r="27" spans="2:15" ht="15.5">
      <c r="B27" s="55"/>
      <c r="C27" s="888">
        <v>4</v>
      </c>
      <c r="D27" s="888"/>
      <c r="E27" s="888"/>
      <c r="F27" s="1147">
        <v>0</v>
      </c>
      <c r="G27" s="890">
        <v>0</v>
      </c>
      <c r="H27" s="883">
        <f>(Unit.GW)*-0.17</f>
        <v>-0.17</v>
      </c>
      <c r="I27" s="886">
        <f>(Unit.GW)*-0.3</f>
        <v>-0.3</v>
      </c>
      <c r="J27" s="890">
        <f>(Unit.GW)*-0.8</f>
        <v>-0.8</v>
      </c>
      <c r="K27" s="890">
        <f>(Unit.GW)*-1</f>
        <v>-1</v>
      </c>
      <c r="L27" s="890">
        <f>(Unit.GW)*-1</f>
        <v>-1</v>
      </c>
      <c r="M27" s="890">
        <f>(Unit.GW)*-1</f>
        <v>-1</v>
      </c>
      <c r="N27" s="898"/>
      <c r="O27" s="876"/>
    </row>
    <row r="28" spans="2:15" ht="15.5">
      <c r="B28" s="55"/>
      <c r="C28" s="1186" t="s">
        <v>37</v>
      </c>
      <c r="D28" s="892"/>
      <c r="E28" s="892"/>
      <c r="F28" s="893">
        <f>(INDEX(F$24:F$27,ROUNDDOWN($E$7,0))*(1-MOD($E$7,1)))+(INDEX(F$24:F$27,ROUNDUP($E$7,0))*MOD($E$7,1))</f>
        <v>0</v>
      </c>
      <c r="G28" s="893">
        <f t="shared" ref="G28:N28" si="2">(INDEX(G$24:G$27,ROUNDDOWN($E$7,0))*(1-MOD($E$7,1)))+(INDEX(G$24:G$27,ROUNDUP($E$7,0))*MOD($E$7,1))</f>
        <v>0</v>
      </c>
      <c r="H28" s="893">
        <f t="shared" si="2"/>
        <v>-0.17</v>
      </c>
      <c r="I28" s="893">
        <f t="shared" si="2"/>
        <v>-0.17</v>
      </c>
      <c r="J28" s="893">
        <f t="shared" si="2"/>
        <v>-8.5000000000000006E-2</v>
      </c>
      <c r="K28" s="893">
        <f t="shared" si="2"/>
        <v>0</v>
      </c>
      <c r="L28" s="893">
        <f t="shared" si="2"/>
        <v>0</v>
      </c>
      <c r="M28" s="893">
        <f t="shared" si="2"/>
        <v>0</v>
      </c>
      <c r="N28" s="893">
        <f t="shared" si="2"/>
        <v>0</v>
      </c>
      <c r="O28" s="876"/>
    </row>
    <row r="29" spans="2:15">
      <c r="B29" s="45"/>
      <c r="C29" s="103"/>
      <c r="D29" s="103"/>
      <c r="E29" s="103"/>
      <c r="F29" s="167"/>
      <c r="G29" s="160"/>
      <c r="H29" s="160"/>
      <c r="I29" s="160"/>
      <c r="J29" s="160"/>
      <c r="K29" s="160"/>
      <c r="L29" s="160"/>
      <c r="M29" s="160" t="s">
        <v>5</v>
      </c>
      <c r="N29" s="160"/>
      <c r="O29" s="876"/>
    </row>
    <row r="30" spans="2:15" s="3821" customFormat="1">
      <c r="B30" s="45"/>
      <c r="C30" s="103"/>
      <c r="D30" s="103"/>
      <c r="E30" s="103"/>
      <c r="F30" s="167"/>
      <c r="G30" s="160"/>
      <c r="H30" s="160"/>
      <c r="I30" s="160"/>
      <c r="J30" s="160"/>
      <c r="K30" s="160"/>
      <c r="L30" s="160"/>
      <c r="M30" s="160"/>
      <c r="N30" s="160"/>
      <c r="O30" s="876"/>
    </row>
    <row r="31" spans="2:15" s="3821" customFormat="1">
      <c r="B31" s="45"/>
      <c r="C31" s="3826" t="s">
        <v>63</v>
      </c>
      <c r="D31" s="67"/>
      <c r="E31" s="103"/>
      <c r="F31" s="167"/>
      <c r="G31" s="160"/>
      <c r="H31" s="160"/>
      <c r="I31" s="160"/>
      <c r="J31" s="160"/>
      <c r="K31" s="160"/>
      <c r="L31" s="160"/>
      <c r="M31" s="160"/>
      <c r="N31" s="160"/>
      <c r="O31" s="876"/>
    </row>
    <row r="32" spans="2:15" s="3821" customFormat="1">
      <c r="B32" s="45"/>
      <c r="C32" s="3827" t="s">
        <v>64</v>
      </c>
      <c r="D32" s="3828" t="s">
        <v>2983</v>
      </c>
      <c r="E32" s="103"/>
      <c r="F32" s="167"/>
      <c r="G32" s="160"/>
      <c r="H32" s="160"/>
      <c r="I32" s="160"/>
      <c r="J32" s="160"/>
      <c r="K32" s="160"/>
      <c r="L32" s="160"/>
      <c r="M32" s="160"/>
      <c r="N32" s="160"/>
      <c r="O32" s="876"/>
    </row>
    <row r="33" spans="1:71" s="3821" customFormat="1">
      <c r="B33" s="45"/>
      <c r="C33" s="3832"/>
      <c r="D33" s="2211" t="s">
        <v>2993</v>
      </c>
      <c r="E33" s="103"/>
      <c r="F33" s="167"/>
      <c r="G33" s="160"/>
      <c r="H33" s="160"/>
      <c r="I33" s="160"/>
      <c r="J33" s="160"/>
      <c r="K33" s="160"/>
      <c r="L33" s="160"/>
      <c r="M33" s="160"/>
      <c r="N33" s="160"/>
      <c r="O33" s="876"/>
    </row>
    <row r="34" spans="1:71" s="3821" customFormat="1">
      <c r="B34" s="45"/>
      <c r="C34" s="3832"/>
      <c r="D34" s="2211" t="s">
        <v>2984</v>
      </c>
      <c r="E34" s="103"/>
      <c r="F34" s="167"/>
      <c r="G34" s="160"/>
      <c r="H34" s="160"/>
      <c r="I34" s="160"/>
      <c r="J34" s="160"/>
      <c r="K34" s="160"/>
      <c r="L34" s="160"/>
      <c r="M34" s="160"/>
      <c r="N34" s="160"/>
      <c r="O34" s="876"/>
    </row>
    <row r="35" spans="1:71" s="3821" customFormat="1">
      <c r="B35" s="45"/>
      <c r="C35" s="3832"/>
      <c r="D35" s="2211" t="s">
        <v>2982</v>
      </c>
      <c r="E35" s="103"/>
      <c r="F35" s="167"/>
      <c r="G35" s="160"/>
      <c r="H35" s="160"/>
      <c r="I35" s="160"/>
      <c r="J35" s="160"/>
      <c r="K35" s="160"/>
      <c r="L35" s="160"/>
      <c r="M35" s="160"/>
      <c r="N35" s="160"/>
      <c r="O35" s="876"/>
    </row>
    <row r="36" spans="1:71" s="3821" customFormat="1">
      <c r="B36" s="45"/>
      <c r="C36" s="3832" t="s">
        <v>66</v>
      </c>
      <c r="D36" s="2211" t="s">
        <v>2985</v>
      </c>
      <c r="E36" s="103"/>
      <c r="F36" s="167"/>
      <c r="G36" s="160"/>
      <c r="H36" s="160"/>
      <c r="I36" s="160"/>
      <c r="J36" s="160"/>
      <c r="K36" s="160"/>
      <c r="L36" s="160"/>
      <c r="M36" s="160"/>
      <c r="N36" s="160"/>
      <c r="O36" s="876"/>
    </row>
    <row r="37" spans="1:71" s="3821" customFormat="1">
      <c r="B37" s="45"/>
      <c r="C37" s="3832"/>
      <c r="D37" s="2211"/>
      <c r="E37" s="103"/>
      <c r="F37" s="167"/>
      <c r="G37" s="160"/>
      <c r="H37" s="160"/>
      <c r="I37" s="160"/>
      <c r="J37" s="160"/>
      <c r="K37" s="160"/>
      <c r="L37" s="160"/>
      <c r="M37" s="160"/>
      <c r="N37" s="160"/>
      <c r="O37" s="876"/>
    </row>
    <row r="38" spans="1:71">
      <c r="B38" s="106"/>
      <c r="C38" s="1065"/>
      <c r="D38" s="1065"/>
      <c r="E38" s="1065"/>
      <c r="F38" s="1065"/>
      <c r="G38" s="1065"/>
      <c r="H38" s="1065"/>
      <c r="I38" s="1065"/>
      <c r="J38" s="1065"/>
      <c r="K38" s="1065"/>
      <c r="L38" s="1065"/>
      <c r="M38" s="1065"/>
      <c r="N38" s="1065"/>
      <c r="O38" s="1100"/>
    </row>
    <row r="40" spans="1:71" s="6" customFormat="1" ht="23.5">
      <c r="A40" s="40"/>
      <c r="B40" s="869" t="s">
        <v>69</v>
      </c>
      <c r="C40" s="870"/>
      <c r="D40" s="870"/>
      <c r="E40" s="870"/>
      <c r="F40" s="870"/>
      <c r="G40" s="870"/>
      <c r="H40" s="870"/>
      <c r="I40" s="870"/>
      <c r="J40" s="870"/>
      <c r="K40" s="870"/>
      <c r="L40" s="870"/>
      <c r="M40" s="870"/>
      <c r="N40" s="870"/>
      <c r="O40" s="871"/>
    </row>
    <row r="41" spans="1:71">
      <c r="B41" s="105"/>
      <c r="C41" s="67"/>
      <c r="D41" s="67"/>
      <c r="E41" s="67"/>
      <c r="F41" s="67"/>
      <c r="G41" s="67"/>
      <c r="H41" s="67"/>
      <c r="I41" s="67"/>
      <c r="J41" s="67"/>
      <c r="K41" s="67"/>
      <c r="L41" s="67"/>
      <c r="M41" s="67"/>
      <c r="N41" s="67"/>
      <c r="O41" s="876"/>
      <c r="BS41" t="s">
        <v>5</v>
      </c>
    </row>
    <row r="42" spans="1:71">
      <c r="B42" s="105"/>
      <c r="C42" s="49" t="s">
        <v>838</v>
      </c>
      <c r="D42" s="67"/>
      <c r="E42" s="51"/>
      <c r="F42" s="67"/>
      <c r="G42" s="67"/>
      <c r="H42" s="67"/>
      <c r="I42" s="67"/>
      <c r="J42" s="67"/>
      <c r="K42" s="67"/>
      <c r="L42" s="67"/>
      <c r="M42" s="67"/>
      <c r="N42" s="51" t="str">
        <f>Preferences.PowerUnits</f>
        <v>GW</v>
      </c>
      <c r="O42" s="876"/>
    </row>
    <row r="43" spans="1:71">
      <c r="B43" s="105"/>
      <c r="C43" s="67"/>
      <c r="D43" s="67"/>
      <c r="E43" s="67"/>
      <c r="F43" s="67"/>
      <c r="G43" s="67"/>
      <c r="H43" s="67"/>
      <c r="I43" s="67"/>
      <c r="J43" s="67"/>
      <c r="K43" s="67"/>
      <c r="L43" s="67"/>
      <c r="M43" s="67"/>
      <c r="N43" s="67"/>
      <c r="O43" s="876"/>
    </row>
    <row r="44" spans="1:71" ht="15.5">
      <c r="B44" s="55"/>
      <c r="C44" s="878" t="s">
        <v>131</v>
      </c>
      <c r="D44" s="878" t="s">
        <v>712</v>
      </c>
      <c r="E44" s="878" t="s">
        <v>30</v>
      </c>
      <c r="F44" s="900">
        <v>2013</v>
      </c>
      <c r="G44" s="900">
        <v>2015</v>
      </c>
      <c r="H44" s="900">
        <v>2020</v>
      </c>
      <c r="I44" s="900">
        <v>2025</v>
      </c>
      <c r="J44" s="900">
        <v>2030</v>
      </c>
      <c r="K44" s="900">
        <v>2035</v>
      </c>
      <c r="L44" s="900">
        <v>2040</v>
      </c>
      <c r="M44" s="900">
        <v>2045</v>
      </c>
      <c r="N44" s="900">
        <v>2050</v>
      </c>
      <c r="O44" s="876"/>
    </row>
    <row r="45" spans="1:71" s="6" customFormat="1" ht="15.5">
      <c r="B45" s="966"/>
      <c r="C45" s="194" t="s">
        <v>438</v>
      </c>
      <c r="D45" s="194" t="s">
        <v>512</v>
      </c>
      <c r="E45" s="194" t="s">
        <v>64</v>
      </c>
      <c r="F45" s="1014">
        <f>(Unit.GW)*1.8</f>
        <v>1.8</v>
      </c>
      <c r="G45" s="1014"/>
      <c r="H45" s="1014"/>
      <c r="I45" s="1014"/>
      <c r="J45" s="1014"/>
      <c r="K45" s="1014"/>
      <c r="L45" s="1014"/>
      <c r="M45" s="1014"/>
      <c r="N45" s="1014"/>
      <c r="O45" s="884"/>
    </row>
    <row r="46" spans="1:71">
      <c r="B46" s="45"/>
      <c r="C46" s="67"/>
      <c r="D46" s="67"/>
      <c r="E46" s="67"/>
      <c r="F46" s="67"/>
      <c r="G46" s="67"/>
      <c r="H46" s="67"/>
      <c r="I46" s="67"/>
      <c r="J46" s="67"/>
      <c r="K46" s="67"/>
      <c r="L46" s="67"/>
      <c r="M46" s="67"/>
      <c r="N46" s="67"/>
      <c r="O46" s="876"/>
    </row>
    <row r="47" spans="1:71">
      <c r="B47" s="105"/>
      <c r="C47" s="49" t="s">
        <v>839</v>
      </c>
      <c r="D47" s="67"/>
      <c r="E47" s="67"/>
      <c r="F47" s="67"/>
      <c r="G47" s="67"/>
      <c r="H47" s="67"/>
      <c r="I47" s="67"/>
      <c r="J47" s="67"/>
      <c r="K47" s="67"/>
      <c r="L47" s="67"/>
      <c r="M47" s="67"/>
      <c r="N47" s="67"/>
      <c r="O47" s="876"/>
    </row>
    <row r="48" spans="1:71">
      <c r="B48" s="105"/>
      <c r="C48" s="67"/>
      <c r="D48" s="67"/>
      <c r="E48" s="67"/>
      <c r="F48" s="67"/>
      <c r="G48" s="67"/>
      <c r="H48" s="67"/>
      <c r="I48" s="67"/>
      <c r="J48" s="67"/>
      <c r="K48" s="67"/>
      <c r="L48" s="67"/>
      <c r="M48" s="67"/>
      <c r="N48" s="67"/>
      <c r="O48" s="876"/>
    </row>
    <row r="49" spans="2:15" ht="15.5">
      <c r="B49" s="55"/>
      <c r="C49" s="878" t="s">
        <v>131</v>
      </c>
      <c r="D49" s="878" t="s">
        <v>712</v>
      </c>
      <c r="E49" s="878" t="s">
        <v>30</v>
      </c>
      <c r="F49" s="900">
        <v>2013</v>
      </c>
      <c r="G49" s="900">
        <v>2015</v>
      </c>
      <c r="H49" s="900">
        <v>2020</v>
      </c>
      <c r="I49" s="900">
        <v>2025</v>
      </c>
      <c r="J49" s="900">
        <v>2030</v>
      </c>
      <c r="K49" s="900">
        <v>2035</v>
      </c>
      <c r="L49" s="900">
        <v>2040</v>
      </c>
      <c r="M49" s="900">
        <v>2045</v>
      </c>
      <c r="N49" s="900">
        <v>2050</v>
      </c>
      <c r="O49" s="876"/>
    </row>
    <row r="50" spans="2:15" ht="15.5">
      <c r="B50" s="55"/>
      <c r="C50" s="194" t="s">
        <v>438</v>
      </c>
      <c r="D50" s="194" t="s">
        <v>512</v>
      </c>
      <c r="E50" s="194" t="s">
        <v>66</v>
      </c>
      <c r="F50" s="153">
        <v>0.28000000000000003</v>
      </c>
      <c r="G50" s="153">
        <v>0.29499999999999998</v>
      </c>
      <c r="H50" s="153">
        <v>0.29499999999999998</v>
      </c>
      <c r="I50" s="153">
        <v>0.29499999999999998</v>
      </c>
      <c r="J50" s="153">
        <v>0.29499999999999998</v>
      </c>
      <c r="K50" s="153">
        <v>0.29499999999999998</v>
      </c>
      <c r="L50" s="153">
        <v>0.29499999999999998</v>
      </c>
      <c r="M50" s="153">
        <v>0.29499999999999998</v>
      </c>
      <c r="N50" s="153">
        <v>0.29499999999999998</v>
      </c>
      <c r="O50" s="876"/>
    </row>
    <row r="51" spans="2:15" ht="15.5">
      <c r="B51" s="55"/>
      <c r="C51" s="103"/>
      <c r="D51" s="103"/>
      <c r="E51" s="103"/>
      <c r="F51" s="296"/>
      <c r="G51" s="88"/>
      <c r="H51" s="88"/>
      <c r="I51" s="88"/>
      <c r="J51" s="88"/>
      <c r="K51" s="88"/>
      <c r="L51" s="88"/>
      <c r="M51" s="88"/>
      <c r="N51" s="88"/>
      <c r="O51" s="876"/>
    </row>
    <row r="52" spans="2:15" ht="15.5">
      <c r="B52" s="55"/>
      <c r="C52" s="49" t="s">
        <v>716</v>
      </c>
      <c r="D52" s="67"/>
      <c r="E52" s="67"/>
      <c r="F52" s="67"/>
      <c r="G52" s="67"/>
      <c r="H52" s="67"/>
      <c r="I52" s="67"/>
      <c r="J52" s="67"/>
      <c r="K52" s="67"/>
      <c r="L52" s="67"/>
      <c r="M52" s="67"/>
      <c r="N52" s="67"/>
      <c r="O52" s="876"/>
    </row>
    <row r="53" spans="2:15" ht="15.5">
      <c r="B53" s="55"/>
      <c r="C53" s="67"/>
      <c r="D53" s="67"/>
      <c r="E53" s="67"/>
      <c r="F53" s="67"/>
      <c r="G53" s="67"/>
      <c r="H53" s="67"/>
      <c r="I53" s="67"/>
      <c r="J53" s="67"/>
      <c r="K53" s="67"/>
      <c r="L53" s="67"/>
      <c r="M53" s="67"/>
      <c r="N53" s="67"/>
      <c r="O53" s="876"/>
    </row>
    <row r="54" spans="2:15" ht="15.5">
      <c r="B54" s="55"/>
      <c r="C54" s="878"/>
      <c r="D54" s="878"/>
      <c r="E54" s="878"/>
      <c r="F54" s="900"/>
      <c r="G54" s="1152" t="s">
        <v>876</v>
      </c>
      <c r="H54" s="67"/>
      <c r="I54" s="1188"/>
      <c r="J54" s="1188"/>
      <c r="K54" s="1188"/>
      <c r="L54" s="1188"/>
      <c r="M54" s="1188"/>
      <c r="N54" s="1188"/>
      <c r="O54" s="876"/>
    </row>
    <row r="55" spans="2:15" ht="15.5">
      <c r="B55" s="55"/>
      <c r="C55" s="914"/>
      <c r="D55" s="915" t="s">
        <v>840</v>
      </c>
      <c r="E55" s="914"/>
      <c r="F55" s="932">
        <f>2.5*(Unit.MW)</f>
        <v>2.5000000000000001E-3</v>
      </c>
      <c r="G55" s="1213" t="str">
        <f>Preferences.PowerUnits&amp;"peak"</f>
        <v>GWpeak</v>
      </c>
      <c r="H55" s="67"/>
      <c r="I55" s="1188"/>
      <c r="J55" s="1188"/>
      <c r="K55" s="1188"/>
      <c r="L55" s="1188"/>
      <c r="M55" s="1188"/>
      <c r="N55" s="1188"/>
      <c r="O55" s="876"/>
    </row>
    <row r="56" spans="2:15" ht="15.5">
      <c r="B56" s="55"/>
      <c r="C56" s="194"/>
      <c r="D56" s="194" t="s">
        <v>862</v>
      </c>
      <c r="E56" s="194" t="s">
        <v>105</v>
      </c>
      <c r="F56" s="1155">
        <f>(9)*Unit.W*Conversion.to.annual.energy/Unit.m2</f>
        <v>7.8894000000000006E-2</v>
      </c>
      <c r="G56" s="1156" t="str">
        <f>Preferences.EnergyUnits&amp;"/"&amp;Preferences.AreaUnits</f>
        <v>TWh/km^2</v>
      </c>
      <c r="H56" s="67"/>
      <c r="I56" s="59"/>
      <c r="J56" s="59"/>
      <c r="K56" s="59"/>
      <c r="L56" s="59"/>
      <c r="M56" s="59"/>
      <c r="N56" s="59"/>
      <c r="O56" s="876"/>
    </row>
    <row r="57" spans="2:15" ht="15.5">
      <c r="B57" s="55"/>
      <c r="C57" s="103"/>
      <c r="D57" s="103"/>
      <c r="E57" s="133"/>
      <c r="F57" s="1062"/>
      <c r="G57" s="934"/>
      <c r="H57" s="67"/>
      <c r="I57" s="59"/>
      <c r="J57" s="59"/>
      <c r="K57" s="59"/>
      <c r="L57" s="59"/>
      <c r="M57" s="59"/>
      <c r="N57" s="59"/>
      <c r="O57" s="876"/>
    </row>
    <row r="58" spans="2:15" ht="15.5">
      <c r="B58" s="55"/>
      <c r="C58" s="47"/>
      <c r="D58" s="47"/>
      <c r="E58" s="47"/>
      <c r="F58" s="47"/>
      <c r="G58" s="1189"/>
      <c r="H58" s="67"/>
      <c r="I58" s="59"/>
      <c r="J58" s="59"/>
      <c r="K58" s="59"/>
      <c r="L58" s="59"/>
      <c r="M58" s="59"/>
      <c r="N58" s="59"/>
      <c r="O58" s="876"/>
    </row>
    <row r="59" spans="2:15" ht="15.5">
      <c r="B59" s="55"/>
      <c r="C59" s="3826" t="s">
        <v>63</v>
      </c>
      <c r="D59" s="67"/>
      <c r="E59" s="47"/>
      <c r="F59" s="47"/>
      <c r="G59" s="934" t="s">
        <v>5</v>
      </c>
      <c r="H59" s="67"/>
      <c r="I59" s="59"/>
      <c r="J59" s="59"/>
      <c r="K59" s="59"/>
      <c r="L59" s="59"/>
      <c r="M59" s="59"/>
      <c r="N59" s="59"/>
      <c r="O59" s="876"/>
    </row>
    <row r="60" spans="2:15" ht="15.5">
      <c r="B60" s="55"/>
      <c r="C60" s="3827" t="s">
        <v>64</v>
      </c>
      <c r="D60" s="3828" t="s">
        <v>2986</v>
      </c>
      <c r="E60" s="47"/>
      <c r="F60" s="47"/>
      <c r="G60" s="934"/>
      <c r="H60" s="67"/>
      <c r="I60" s="59"/>
      <c r="J60" s="59"/>
      <c r="K60" s="59"/>
      <c r="L60" s="59"/>
      <c r="M60" s="59"/>
      <c r="N60" s="59"/>
      <c r="O60" s="876"/>
    </row>
    <row r="61" spans="2:15" ht="15.5">
      <c r="B61" s="55"/>
      <c r="C61" s="3832"/>
      <c r="D61" s="2211" t="s">
        <v>2987</v>
      </c>
      <c r="E61" s="47"/>
      <c r="F61" s="47"/>
      <c r="G61" s="934"/>
      <c r="H61" s="67"/>
      <c r="I61" s="59"/>
      <c r="J61" s="59"/>
      <c r="K61" s="59"/>
      <c r="L61" s="59"/>
      <c r="M61" s="59"/>
      <c r="N61" s="59"/>
      <c r="O61" s="876"/>
    </row>
    <row r="62" spans="2:15" ht="15.5">
      <c r="B62" s="55"/>
      <c r="C62" s="3832" t="s">
        <v>66</v>
      </c>
      <c r="D62" s="2211" t="s">
        <v>842</v>
      </c>
      <c r="E62" s="103"/>
      <c r="F62" s="1062"/>
      <c r="G62" s="934"/>
      <c r="H62" s="67"/>
      <c r="I62" s="59"/>
      <c r="J62" s="59"/>
      <c r="K62" s="59"/>
      <c r="L62" s="59"/>
      <c r="M62" s="59"/>
      <c r="N62" s="59"/>
      <c r="O62" s="876"/>
    </row>
    <row r="63" spans="2:15">
      <c r="B63" s="105"/>
      <c r="C63" s="3832"/>
      <c r="D63" s="2211" t="s">
        <v>863</v>
      </c>
      <c r="E63" s="67"/>
      <c r="F63" s="67"/>
      <c r="G63" s="67"/>
      <c r="H63" s="67"/>
      <c r="I63" s="67"/>
      <c r="J63" s="67"/>
      <c r="K63" s="67"/>
      <c r="L63" s="67"/>
      <c r="M63" s="67"/>
      <c r="N63" s="67"/>
      <c r="O63" s="876"/>
    </row>
    <row r="64" spans="2:15">
      <c r="B64" s="105"/>
      <c r="C64" s="3832"/>
      <c r="D64" s="2211" t="s">
        <v>2988</v>
      </c>
      <c r="E64" s="67"/>
      <c r="F64" s="67"/>
      <c r="G64" s="67"/>
      <c r="H64" s="67"/>
      <c r="I64" s="67"/>
      <c r="J64" s="67"/>
      <c r="K64" s="67"/>
      <c r="L64" s="67"/>
      <c r="M64" s="67"/>
      <c r="N64" s="67"/>
      <c r="O64" s="876"/>
    </row>
    <row r="65" spans="1:19" s="918" customFormat="1" ht="13">
      <c r="B65" s="1160"/>
      <c r="C65" s="3832" t="s">
        <v>105</v>
      </c>
      <c r="D65" s="2211" t="s">
        <v>3209</v>
      </c>
      <c r="E65" s="922"/>
      <c r="F65" s="922"/>
      <c r="G65" s="922"/>
      <c r="H65" s="922"/>
      <c r="I65" s="922"/>
      <c r="J65" s="922"/>
      <c r="K65" s="922"/>
      <c r="L65" s="922"/>
      <c r="M65" s="922"/>
      <c r="N65" s="922"/>
      <c r="O65" s="923"/>
    </row>
    <row r="66" spans="1:19">
      <c r="B66" s="1163"/>
      <c r="C66" s="1065"/>
      <c r="D66" s="1065"/>
      <c r="E66" s="1065"/>
      <c r="F66" s="1065"/>
      <c r="G66" s="1065"/>
      <c r="H66" s="1065"/>
      <c r="I66" s="1065"/>
      <c r="J66" s="1065"/>
      <c r="K66" s="1065"/>
      <c r="L66" s="1065"/>
      <c r="M66" s="1065"/>
      <c r="N66" s="1065"/>
      <c r="O66" s="1100"/>
    </row>
    <row r="68" spans="1:19" s="6" customFormat="1" ht="23.5">
      <c r="A68" s="40"/>
      <c r="B68" s="869" t="s">
        <v>2719</v>
      </c>
      <c r="C68" s="870"/>
      <c r="D68" s="870"/>
      <c r="E68" s="870"/>
      <c r="F68" s="870"/>
      <c r="G68" s="870"/>
      <c r="H68" s="870"/>
      <c r="I68" s="870"/>
      <c r="J68" s="870"/>
      <c r="K68" s="870"/>
      <c r="L68" s="870"/>
      <c r="M68" s="870"/>
      <c r="N68" s="870"/>
      <c r="O68" s="871"/>
    </row>
    <row r="69" spans="1:19" hidden="1">
      <c r="B69" s="872"/>
      <c r="C69" s="873"/>
      <c r="D69" s="873"/>
      <c r="E69" s="873"/>
      <c r="F69" s="873"/>
      <c r="G69" s="873"/>
      <c r="H69" s="873"/>
      <c r="I69" s="873"/>
      <c r="J69" s="873"/>
      <c r="K69" s="873"/>
      <c r="L69" s="873"/>
      <c r="M69" s="873"/>
      <c r="N69" s="873"/>
      <c r="O69" s="873"/>
      <c r="P69" s="1068"/>
      <c r="Q69" s="1068"/>
      <c r="R69" s="1068"/>
      <c r="S69" s="1068"/>
    </row>
    <row r="70" spans="1:19" hidden="1">
      <c r="B70" s="105"/>
      <c r="C70" s="49" t="s">
        <v>864</v>
      </c>
      <c r="D70" s="915"/>
      <c r="E70" s="932"/>
      <c r="F70" s="933"/>
      <c r="G70" s="934"/>
      <c r="H70" s="934"/>
      <c r="I70" s="934"/>
      <c r="J70" s="934"/>
      <c r="K70" s="934"/>
      <c r="L70" s="934"/>
      <c r="M70" s="934"/>
      <c r="N70" s="935" t="s">
        <v>2743</v>
      </c>
      <c r="O70" s="67"/>
      <c r="P70" s="1068"/>
      <c r="Q70" s="1068"/>
      <c r="R70" s="1068"/>
      <c r="S70" s="1068"/>
    </row>
    <row r="71" spans="1:19" hidden="1">
      <c r="B71" s="105"/>
      <c r="C71" s="1158"/>
      <c r="D71" s="915"/>
      <c r="E71" s="932"/>
      <c r="F71" s="933"/>
      <c r="G71" s="934"/>
      <c r="H71" s="934"/>
      <c r="I71" s="934"/>
      <c r="J71" s="934"/>
      <c r="K71" s="934"/>
      <c r="L71" s="934"/>
      <c r="M71" s="934"/>
      <c r="N71" s="67"/>
      <c r="O71" s="67"/>
      <c r="P71" s="1068"/>
      <c r="Q71" s="1068"/>
      <c r="R71" s="1068"/>
      <c r="S71" s="1068"/>
    </row>
    <row r="72" spans="1:19" hidden="1">
      <c r="B72" s="105"/>
      <c r="C72" s="1191"/>
      <c r="D72" s="1070"/>
      <c r="E72" s="971" t="s">
        <v>159</v>
      </c>
      <c r="F72" s="1192">
        <v>2013</v>
      </c>
      <c r="G72" s="942">
        <v>2015</v>
      </c>
      <c r="H72" s="942">
        <v>2020</v>
      </c>
      <c r="I72" s="942">
        <v>2025</v>
      </c>
      <c r="J72" s="942">
        <v>2030</v>
      </c>
      <c r="K72" s="942">
        <v>2035</v>
      </c>
      <c r="L72" s="942">
        <v>2040</v>
      </c>
      <c r="M72" s="942">
        <v>2045</v>
      </c>
      <c r="N72" s="942">
        <v>2050</v>
      </c>
      <c r="O72" s="67"/>
      <c r="P72" s="1068"/>
      <c r="Q72" s="1068"/>
      <c r="R72" s="1068"/>
      <c r="S72" s="1068"/>
    </row>
    <row r="73" spans="1:19" hidden="1">
      <c r="B73" s="105"/>
      <c r="C73" s="1193" t="s">
        <v>719</v>
      </c>
      <c r="D73" s="1070"/>
      <c r="E73" s="958"/>
      <c r="F73" s="958"/>
      <c r="G73" s="933"/>
      <c r="H73" s="933"/>
      <c r="I73" s="933"/>
      <c r="J73" s="933"/>
      <c r="K73" s="933"/>
      <c r="L73" s="933"/>
      <c r="M73" s="933"/>
      <c r="N73" s="933"/>
      <c r="O73" s="67"/>
      <c r="P73" s="1068"/>
      <c r="Q73" s="1068"/>
      <c r="R73" s="1068"/>
      <c r="S73" s="1068"/>
    </row>
    <row r="74" spans="1:19" hidden="1">
      <c r="B74" s="105"/>
      <c r="C74" s="1193" t="s">
        <v>720</v>
      </c>
      <c r="D74" s="915"/>
      <c r="E74" s="933"/>
      <c r="F74" s="933"/>
      <c r="G74" s="933"/>
      <c r="H74" s="933"/>
      <c r="I74" s="933"/>
      <c r="J74" s="933"/>
      <c r="K74" s="933"/>
      <c r="L74" s="933"/>
      <c r="M74" s="933"/>
      <c r="N74" s="933"/>
      <c r="O74" s="67"/>
      <c r="P74" s="1068"/>
      <c r="Q74" s="1173"/>
      <c r="R74" s="1068"/>
      <c r="S74" s="1068"/>
    </row>
    <row r="75" spans="1:19" hidden="1">
      <c r="B75" s="105"/>
      <c r="C75" s="1194" t="s">
        <v>721</v>
      </c>
      <c r="D75" s="948"/>
      <c r="E75" s="960"/>
      <c r="F75" s="960"/>
      <c r="G75" s="960"/>
      <c r="H75" s="960"/>
      <c r="I75" s="960"/>
      <c r="J75" s="960"/>
      <c r="K75" s="960"/>
      <c r="L75" s="960"/>
      <c r="M75" s="960"/>
      <c r="N75" s="960"/>
      <c r="O75" s="67"/>
      <c r="P75" s="1068"/>
      <c r="Q75" s="1068"/>
      <c r="R75" s="1068"/>
      <c r="S75" s="1068"/>
    </row>
    <row r="76" spans="1:19" hidden="1">
      <c r="B76" s="105"/>
      <c r="C76" s="1158"/>
      <c r="D76" s="915"/>
      <c r="E76" s="932"/>
      <c r="F76" s="933"/>
      <c r="G76" s="934"/>
      <c r="H76" s="934"/>
      <c r="I76" s="934"/>
      <c r="J76" s="934"/>
      <c r="K76" s="934"/>
      <c r="L76" s="934"/>
      <c r="M76" s="934"/>
      <c r="N76" s="67"/>
      <c r="O76" s="67"/>
      <c r="P76" s="1068"/>
      <c r="Q76" s="1068"/>
      <c r="R76" s="1068"/>
      <c r="S76" s="1068"/>
    </row>
    <row r="77" spans="1:19" hidden="1">
      <c r="B77" s="105"/>
      <c r="C77" s="49" t="s">
        <v>865</v>
      </c>
      <c r="D77" s="915"/>
      <c r="E77" s="932"/>
      <c r="F77" s="933"/>
      <c r="G77" s="934"/>
      <c r="H77" s="934"/>
      <c r="I77" s="934"/>
      <c r="J77" s="934"/>
      <c r="K77" s="934"/>
      <c r="L77" s="934"/>
      <c r="M77" s="934"/>
      <c r="N77" s="935" t="s">
        <v>2743</v>
      </c>
      <c r="O77" s="67"/>
      <c r="P77" s="1068"/>
      <c r="Q77" s="1068"/>
      <c r="R77" s="1068"/>
      <c r="S77" s="1068"/>
    </row>
    <row r="78" spans="1:19" hidden="1">
      <c r="B78" s="105"/>
      <c r="C78" s="1158"/>
      <c r="D78" s="915"/>
      <c r="E78" s="932"/>
      <c r="F78" s="933"/>
      <c r="G78" s="934"/>
      <c r="H78" s="934"/>
      <c r="I78" s="934"/>
      <c r="J78" s="934"/>
      <c r="K78" s="934"/>
      <c r="L78" s="934"/>
      <c r="M78" s="934"/>
      <c r="N78" s="67"/>
      <c r="O78" s="67"/>
      <c r="P78" s="1068"/>
      <c r="Q78" s="1068"/>
      <c r="R78" s="1068"/>
      <c r="S78" s="1068"/>
    </row>
    <row r="79" spans="1:19" hidden="1">
      <c r="B79" s="105"/>
      <c r="C79" s="1191"/>
      <c r="D79" s="1070"/>
      <c r="E79" s="971" t="s">
        <v>159</v>
      </c>
      <c r="F79" s="1192">
        <v>2013</v>
      </c>
      <c r="G79" s="942">
        <v>2015</v>
      </c>
      <c r="H79" s="942">
        <v>2020</v>
      </c>
      <c r="I79" s="942">
        <v>2025</v>
      </c>
      <c r="J79" s="942">
        <v>2030</v>
      </c>
      <c r="K79" s="942">
        <v>2035</v>
      </c>
      <c r="L79" s="942">
        <v>2040</v>
      </c>
      <c r="M79" s="942">
        <v>2045</v>
      </c>
      <c r="N79" s="942">
        <v>2050</v>
      </c>
      <c r="O79" s="67"/>
      <c r="P79" s="1068"/>
      <c r="Q79" s="1068"/>
      <c r="R79" s="1068"/>
      <c r="S79" s="1068"/>
    </row>
    <row r="80" spans="1:19" hidden="1">
      <c r="B80" s="105"/>
      <c r="C80" s="1193" t="s">
        <v>719</v>
      </c>
      <c r="D80" s="1070"/>
      <c r="E80" s="957"/>
      <c r="F80" s="958"/>
      <c r="G80" s="933"/>
      <c r="H80" s="933"/>
      <c r="I80" s="933"/>
      <c r="J80" s="933"/>
      <c r="K80" s="933"/>
      <c r="L80" s="933"/>
      <c r="M80" s="933"/>
      <c r="N80" s="933"/>
      <c r="O80" s="67"/>
      <c r="P80" s="1068"/>
      <c r="Q80" s="1068"/>
      <c r="R80" s="1068"/>
      <c r="S80" s="1068"/>
    </row>
    <row r="81" spans="1:19" hidden="1">
      <c r="B81" s="105"/>
      <c r="C81" s="1193" t="s">
        <v>720</v>
      </c>
      <c r="D81" s="915"/>
      <c r="E81" s="944"/>
      <c r="F81" s="933"/>
      <c r="G81" s="933"/>
      <c r="H81" s="933"/>
      <c r="I81" s="933"/>
      <c r="J81" s="933"/>
      <c r="K81" s="933"/>
      <c r="L81" s="933"/>
      <c r="M81" s="933"/>
      <c r="N81" s="933"/>
      <c r="O81" s="67"/>
      <c r="P81" s="1068"/>
      <c r="Q81" s="1173"/>
      <c r="R81" s="1068"/>
      <c r="S81" s="1068"/>
    </row>
    <row r="82" spans="1:19" hidden="1">
      <c r="B82" s="105"/>
      <c r="C82" s="1194" t="s">
        <v>721</v>
      </c>
      <c r="D82" s="948"/>
      <c r="E82" s="949"/>
      <c r="F82" s="960"/>
      <c r="G82" s="960"/>
      <c r="H82" s="960"/>
      <c r="I82" s="960"/>
      <c r="J82" s="960"/>
      <c r="K82" s="960"/>
      <c r="L82" s="960"/>
      <c r="M82" s="960"/>
      <c r="N82" s="960"/>
      <c r="O82" s="67"/>
      <c r="P82" s="1068"/>
      <c r="Q82" s="1068"/>
      <c r="R82" s="1068"/>
      <c r="S82" s="1068"/>
    </row>
    <row r="83" spans="1:19" hidden="1">
      <c r="B83" s="47"/>
      <c r="C83" s="47"/>
      <c r="D83" s="67"/>
      <c r="E83" s="934"/>
      <c r="F83" s="67"/>
      <c r="G83" s="67"/>
      <c r="H83" s="67"/>
      <c r="I83" s="1176"/>
      <c r="J83" s="1176"/>
      <c r="K83" s="47"/>
      <c r="L83" s="47"/>
      <c r="M83" s="47"/>
      <c r="N83" s="47"/>
      <c r="O83" s="47"/>
    </row>
    <row r="85" spans="1:19" ht="23.5">
      <c r="A85" s="7"/>
      <c r="B85" s="869" t="s">
        <v>177</v>
      </c>
      <c r="C85" s="870"/>
      <c r="D85" s="870"/>
      <c r="E85" s="870"/>
      <c r="F85" s="870"/>
      <c r="G85" s="870"/>
      <c r="H85" s="870"/>
      <c r="I85" s="870"/>
      <c r="J85" s="870"/>
      <c r="K85" s="870"/>
      <c r="L85" s="870"/>
      <c r="M85" s="870"/>
      <c r="N85" s="870"/>
      <c r="O85" s="871"/>
    </row>
    <row r="86" spans="1:19">
      <c r="B86" s="105"/>
      <c r="C86" s="67"/>
      <c r="D86" s="67"/>
      <c r="E86" s="67"/>
      <c r="F86" s="67"/>
      <c r="G86" s="67"/>
      <c r="H86" s="67"/>
      <c r="I86" s="67"/>
      <c r="J86" s="67"/>
      <c r="K86" s="67"/>
      <c r="L86" s="67"/>
      <c r="M86" s="67"/>
      <c r="N86" s="67"/>
      <c r="O86" s="876"/>
    </row>
    <row r="87" spans="1:19">
      <c r="B87" s="105"/>
      <c r="C87" s="49" t="s">
        <v>851</v>
      </c>
      <c r="D87" s="67"/>
      <c r="E87" s="51"/>
      <c r="F87" s="67"/>
      <c r="G87" s="67"/>
      <c r="H87" s="67"/>
      <c r="I87" s="67"/>
      <c r="J87" s="67"/>
      <c r="K87" s="67"/>
      <c r="L87" s="67"/>
      <c r="M87" s="67"/>
      <c r="N87" s="51" t="str">
        <f>Preferences.PowerUnits</f>
        <v>GW</v>
      </c>
      <c r="O87" s="876"/>
    </row>
    <row r="88" spans="1:19">
      <c r="B88" s="105"/>
      <c r="C88" s="67"/>
      <c r="D88" s="67"/>
      <c r="E88" s="67"/>
      <c r="F88" s="67"/>
      <c r="G88" s="67"/>
      <c r="H88" s="67"/>
      <c r="I88" s="67"/>
      <c r="J88" s="67"/>
      <c r="K88" s="67"/>
      <c r="L88" s="67"/>
      <c r="M88" s="67"/>
      <c r="N88" s="67"/>
      <c r="O88" s="876"/>
    </row>
    <row r="89" spans="1:19" ht="15.5">
      <c r="B89" s="55"/>
      <c r="C89" s="878" t="s">
        <v>131</v>
      </c>
      <c r="D89" s="878" t="s">
        <v>71</v>
      </c>
      <c r="E89" s="878" t="s">
        <v>30</v>
      </c>
      <c r="F89" s="900">
        <v>2013</v>
      </c>
      <c r="G89" s="900">
        <v>2015</v>
      </c>
      <c r="H89" s="900">
        <v>2020</v>
      </c>
      <c r="I89" s="900">
        <v>2025</v>
      </c>
      <c r="J89" s="900">
        <v>2030</v>
      </c>
      <c r="K89" s="900">
        <v>2035</v>
      </c>
      <c r="L89" s="900">
        <v>2040</v>
      </c>
      <c r="M89" s="900">
        <v>2045</v>
      </c>
      <c r="N89" s="900">
        <v>2050</v>
      </c>
      <c r="O89" s="876"/>
    </row>
    <row r="90" spans="1:19" ht="15.5">
      <c r="B90" s="966"/>
      <c r="C90" s="194" t="s">
        <v>438</v>
      </c>
      <c r="D90" s="194" t="s">
        <v>512</v>
      </c>
      <c r="E90" s="908"/>
      <c r="F90" s="1014">
        <f>F$45</f>
        <v>1.8</v>
      </c>
      <c r="G90" s="143">
        <f t="shared" ref="G90:N90" si="3">F90+((G$89-F$89)*(F19+F28))</f>
        <v>2.14</v>
      </c>
      <c r="H90" s="1014">
        <f t="shared" si="3"/>
        <v>2.14</v>
      </c>
      <c r="I90" s="1014">
        <f t="shared" si="3"/>
        <v>1.29</v>
      </c>
      <c r="J90" s="1014">
        <f t="shared" si="3"/>
        <v>0.43999999999999995</v>
      </c>
      <c r="K90" s="1014">
        <f t="shared" si="3"/>
        <v>1.4999999999999902E-2</v>
      </c>
      <c r="L90" s="1014">
        <f t="shared" si="3"/>
        <v>1.4999999999999902E-2</v>
      </c>
      <c r="M90" s="1014">
        <f t="shared" si="3"/>
        <v>1.4999999999999902E-2</v>
      </c>
      <c r="N90" s="1014">
        <f t="shared" si="3"/>
        <v>1.4999999999999902E-2</v>
      </c>
      <c r="O90" s="1014"/>
    </row>
    <row r="91" spans="1:19">
      <c r="B91" s="45"/>
      <c r="C91" s="103"/>
      <c r="D91" s="103"/>
      <c r="E91" s="103"/>
      <c r="F91" s="167"/>
      <c r="G91" s="160"/>
      <c r="H91" s="160"/>
      <c r="I91" s="160"/>
      <c r="J91" s="160"/>
      <c r="K91" s="160"/>
      <c r="L91" s="160"/>
      <c r="M91" s="160"/>
      <c r="N91" s="160"/>
      <c r="O91" s="876"/>
      <c r="R91" t="s">
        <v>5</v>
      </c>
    </row>
    <row r="92" spans="1:19">
      <c r="C92" t="s">
        <v>5</v>
      </c>
    </row>
    <row r="93" spans="1:19">
      <c r="B93" s="2" t="s">
        <v>512</v>
      </c>
      <c r="C93" s="979"/>
      <c r="F93" s="354">
        <v>2013</v>
      </c>
      <c r="G93" s="354">
        <v>2015</v>
      </c>
      <c r="H93" s="354">
        <v>2020</v>
      </c>
      <c r="I93" s="354">
        <v>2025</v>
      </c>
      <c r="J93" s="354">
        <v>2030</v>
      </c>
      <c r="K93" s="354">
        <v>2035</v>
      </c>
      <c r="L93" s="354">
        <v>2040</v>
      </c>
      <c r="M93" s="354">
        <v>2045</v>
      </c>
      <c r="N93" s="354">
        <v>2050</v>
      </c>
    </row>
    <row r="94" spans="1:19">
      <c r="C94" s="354" t="s">
        <v>852</v>
      </c>
      <c r="E94" s="2416" t="str">
        <f>Preferences.PowerUnits</f>
        <v>GW</v>
      </c>
      <c r="F94" s="365">
        <f t="shared" ref="F94:N94" si="4">F$90</f>
        <v>1.8</v>
      </c>
      <c r="G94" s="365">
        <f t="shared" si="4"/>
        <v>2.14</v>
      </c>
      <c r="H94" s="365">
        <f t="shared" si="4"/>
        <v>2.14</v>
      </c>
      <c r="I94" s="365">
        <f t="shared" si="4"/>
        <v>1.29</v>
      </c>
      <c r="J94" s="365">
        <f t="shared" si="4"/>
        <v>0.43999999999999995</v>
      </c>
      <c r="K94" s="365">
        <f t="shared" si="4"/>
        <v>1.4999999999999902E-2</v>
      </c>
      <c r="L94" s="365">
        <f t="shared" si="4"/>
        <v>1.4999999999999902E-2</v>
      </c>
      <c r="M94" s="365">
        <f t="shared" si="4"/>
        <v>1.4999999999999902E-2</v>
      </c>
      <c r="N94" s="365">
        <f t="shared" si="4"/>
        <v>1.4999999999999902E-2</v>
      </c>
    </row>
    <row r="95" spans="1:19">
      <c r="B95" t="s">
        <v>218</v>
      </c>
      <c r="C95" t="s">
        <v>839</v>
      </c>
      <c r="E95" s="2416"/>
      <c r="F95" s="980">
        <f>F$50</f>
        <v>0.28000000000000003</v>
      </c>
      <c r="G95" s="980">
        <f t="shared" ref="G95:N95" si="5">G$50</f>
        <v>0.29499999999999998</v>
      </c>
      <c r="H95" s="980">
        <f t="shared" si="5"/>
        <v>0.29499999999999998</v>
      </c>
      <c r="I95" s="980">
        <f t="shared" si="5"/>
        <v>0.29499999999999998</v>
      </c>
      <c r="J95" s="980">
        <f t="shared" si="5"/>
        <v>0.29499999999999998</v>
      </c>
      <c r="K95" s="980">
        <f t="shared" si="5"/>
        <v>0.29499999999999998</v>
      </c>
      <c r="L95" s="980">
        <f t="shared" si="5"/>
        <v>0.29499999999999998</v>
      </c>
      <c r="M95" s="980">
        <f t="shared" si="5"/>
        <v>0.29499999999999998</v>
      </c>
      <c r="N95" s="980">
        <f t="shared" si="5"/>
        <v>0.29499999999999998</v>
      </c>
    </row>
    <row r="96" spans="1:19">
      <c r="B96" s="979" t="s">
        <v>220</v>
      </c>
      <c r="C96" s="354" t="s">
        <v>853</v>
      </c>
      <c r="E96" s="2416"/>
      <c r="F96" s="357">
        <f t="shared" ref="F96:N96" si="6">F94*F95</f>
        <v>0.50400000000000011</v>
      </c>
      <c r="G96" s="357">
        <f t="shared" si="6"/>
        <v>0.63129999999999997</v>
      </c>
      <c r="H96" s="357">
        <f t="shared" si="6"/>
        <v>0.63129999999999997</v>
      </c>
      <c r="I96" s="357">
        <f t="shared" si="6"/>
        <v>0.38055</v>
      </c>
      <c r="J96" s="357">
        <f t="shared" si="6"/>
        <v>0.12979999999999997</v>
      </c>
      <c r="K96" s="357">
        <f t="shared" si="6"/>
        <v>4.4249999999999706E-3</v>
      </c>
      <c r="L96" s="357">
        <f t="shared" si="6"/>
        <v>4.4249999999999706E-3</v>
      </c>
      <c r="M96" s="357">
        <f t="shared" si="6"/>
        <v>4.4249999999999706E-3</v>
      </c>
      <c r="N96" s="357">
        <f t="shared" si="6"/>
        <v>4.4249999999999706E-3</v>
      </c>
    </row>
    <row r="97" spans="1:16">
      <c r="A97" s="39"/>
      <c r="C97" s="354" t="s">
        <v>854</v>
      </c>
      <c r="E97" s="2416" t="str">
        <f>Preferences.EnergyUnits</f>
        <v>TWh</v>
      </c>
      <c r="F97" s="2460">
        <f t="shared" ref="F97:N97" si="7">F96*Preferences.Unit.Power*Unit.year/Preferences.Unit.Energy</f>
        <v>4.4180640000000011</v>
      </c>
      <c r="G97" s="2460">
        <f t="shared" si="7"/>
        <v>5.5339757999999994</v>
      </c>
      <c r="H97" s="2460">
        <f t="shared" si="7"/>
        <v>5.5339757999999994</v>
      </c>
      <c r="I97" s="2460">
        <f t="shared" si="7"/>
        <v>3.3359012999999997</v>
      </c>
      <c r="J97" s="2460">
        <f t="shared" si="7"/>
        <v>1.1378267999999998</v>
      </c>
      <c r="K97" s="2460">
        <f t="shared" si="7"/>
        <v>3.8789549999999742E-2</v>
      </c>
      <c r="L97" s="2460">
        <f t="shared" si="7"/>
        <v>3.8789549999999742E-2</v>
      </c>
      <c r="M97" s="2460">
        <f t="shared" si="7"/>
        <v>3.8789549999999742E-2</v>
      </c>
      <c r="N97" s="2460">
        <f t="shared" si="7"/>
        <v>3.8789549999999742E-2</v>
      </c>
      <c r="P97" s="357"/>
    </row>
    <row r="98" spans="1:16">
      <c r="C98" s="354"/>
      <c r="F98" s="357"/>
      <c r="G98" s="357"/>
      <c r="H98" s="357"/>
      <c r="I98" s="357"/>
      <c r="J98" s="357"/>
      <c r="K98" s="357"/>
      <c r="L98" s="357"/>
      <c r="M98" s="357"/>
      <c r="N98" s="357"/>
    </row>
    <row r="99" spans="1:16">
      <c r="B99" t="s">
        <v>738</v>
      </c>
      <c r="C99" s="354"/>
      <c r="F99" s="357"/>
      <c r="G99" s="357"/>
      <c r="H99" s="357"/>
      <c r="I99" s="357"/>
      <c r="J99" s="357"/>
      <c r="K99" s="357"/>
      <c r="L99" s="357"/>
      <c r="M99" s="357"/>
      <c r="N99" s="357"/>
    </row>
    <row r="100" spans="1:16">
      <c r="C100" t="s">
        <v>866</v>
      </c>
      <c r="E100" t="s">
        <v>741</v>
      </c>
      <c r="F100" s="984">
        <f>F94/$F$55</f>
        <v>720</v>
      </c>
      <c r="G100" s="984">
        <f t="shared" ref="G100:N100" si="8">G94/$F$55</f>
        <v>856</v>
      </c>
      <c r="H100" s="984">
        <f t="shared" si="8"/>
        <v>856</v>
      </c>
      <c r="I100" s="984">
        <f t="shared" si="8"/>
        <v>516</v>
      </c>
      <c r="J100" s="984">
        <f t="shared" si="8"/>
        <v>175.99999999999997</v>
      </c>
      <c r="K100" s="984">
        <f t="shared" si="8"/>
        <v>5.9999999999999609</v>
      </c>
      <c r="L100" s="984">
        <f t="shared" si="8"/>
        <v>5.9999999999999609</v>
      </c>
      <c r="M100" s="984">
        <f t="shared" si="8"/>
        <v>5.9999999999999609</v>
      </c>
      <c r="N100" s="984">
        <f t="shared" si="8"/>
        <v>5.9999999999999609</v>
      </c>
    </row>
    <row r="101" spans="1:16">
      <c r="C101" t="s">
        <v>867</v>
      </c>
      <c r="E101" t="s">
        <v>743</v>
      </c>
      <c r="G101" s="984">
        <f>F19/$F$55</f>
        <v>68</v>
      </c>
      <c r="H101" s="984">
        <f t="shared" ref="H101:N101" si="9">G19/$F$55</f>
        <v>0</v>
      </c>
      <c r="I101" s="984">
        <f t="shared" si="9"/>
        <v>0</v>
      </c>
      <c r="J101" s="984">
        <f t="shared" si="9"/>
        <v>0</v>
      </c>
      <c r="K101" s="984">
        <f t="shared" si="9"/>
        <v>0</v>
      </c>
      <c r="L101" s="984">
        <f t="shared" si="9"/>
        <v>0</v>
      </c>
      <c r="M101" s="984">
        <f t="shared" si="9"/>
        <v>0</v>
      </c>
      <c r="N101" s="984">
        <f t="shared" si="9"/>
        <v>0</v>
      </c>
    </row>
    <row r="102" spans="1:16">
      <c r="C102" t="s">
        <v>857</v>
      </c>
      <c r="E102" s="2416" t="str">
        <f>Preferences.AreaUnits</f>
        <v>km^2</v>
      </c>
      <c r="F102" s="984">
        <f t="shared" ref="F102:N102" si="10">F97/$F$56</f>
        <v>56.000000000000007</v>
      </c>
      <c r="G102" s="984">
        <f t="shared" si="10"/>
        <v>70.144444444444431</v>
      </c>
      <c r="H102" s="984">
        <f t="shared" si="10"/>
        <v>70.144444444444431</v>
      </c>
      <c r="I102" s="984">
        <f t="shared" si="10"/>
        <v>42.283333333333324</v>
      </c>
      <c r="J102" s="984">
        <f t="shared" si="10"/>
        <v>14.422222222222219</v>
      </c>
      <c r="K102" s="984">
        <f t="shared" si="10"/>
        <v>0.49166666666666337</v>
      </c>
      <c r="L102" s="984">
        <f t="shared" si="10"/>
        <v>0.49166666666666337</v>
      </c>
      <c r="M102" s="984">
        <f t="shared" si="10"/>
        <v>0.49166666666666337</v>
      </c>
      <c r="N102" s="984">
        <f t="shared" si="10"/>
        <v>0.49166666666666337</v>
      </c>
    </row>
    <row r="103" spans="1:16">
      <c r="C103" s="354"/>
      <c r="F103" s="357"/>
      <c r="G103" s="357"/>
      <c r="H103" s="357"/>
      <c r="I103" s="357"/>
      <c r="J103" s="357"/>
      <c r="K103" s="357"/>
      <c r="L103" s="357"/>
      <c r="M103" s="357"/>
      <c r="N103" s="357"/>
    </row>
    <row r="104" spans="1:16">
      <c r="B104" s="3578" t="s">
        <v>2722</v>
      </c>
      <c r="F104" s="984"/>
      <c r="G104" s="984"/>
      <c r="H104" s="984"/>
      <c r="I104" s="984"/>
      <c r="J104" s="984"/>
      <c r="K104" s="984"/>
      <c r="L104" s="984"/>
      <c r="M104" s="984"/>
      <c r="N104" s="984"/>
      <c r="O104" s="983"/>
    </row>
    <row r="105" spans="1:16" hidden="1">
      <c r="C105" t="s">
        <v>168</v>
      </c>
      <c r="E105" s="3578" t="s">
        <v>2736</v>
      </c>
      <c r="F105" s="984">
        <f t="shared" ref="F105:N105" si="11">F101*F$73</f>
        <v>0</v>
      </c>
      <c r="G105" s="984">
        <f t="shared" si="11"/>
        <v>0</v>
      </c>
      <c r="H105" s="984">
        <f t="shared" si="11"/>
        <v>0</v>
      </c>
      <c r="I105" s="984">
        <f t="shared" si="11"/>
        <v>0</v>
      </c>
      <c r="J105" s="984">
        <f t="shared" si="11"/>
        <v>0</v>
      </c>
      <c r="K105" s="984">
        <f t="shared" si="11"/>
        <v>0</v>
      </c>
      <c r="L105" s="984">
        <f t="shared" si="11"/>
        <v>0</v>
      </c>
      <c r="M105" s="984">
        <f t="shared" si="11"/>
        <v>0</v>
      </c>
      <c r="N105" s="984">
        <f t="shared" si="11"/>
        <v>0</v>
      </c>
      <c r="O105" s="983"/>
    </row>
    <row r="106" spans="1:16" hidden="1">
      <c r="C106" t="s">
        <v>172</v>
      </c>
      <c r="E106" s="3578" t="s">
        <v>2736</v>
      </c>
      <c r="F106" s="984">
        <f t="shared" ref="F106:N106" si="12">F100*F80</f>
        <v>0</v>
      </c>
      <c r="G106" s="984">
        <f t="shared" si="12"/>
        <v>0</v>
      </c>
      <c r="H106" s="984">
        <f t="shared" si="12"/>
        <v>0</v>
      </c>
      <c r="I106" s="984">
        <f t="shared" si="12"/>
        <v>0</v>
      </c>
      <c r="J106" s="984">
        <f t="shared" si="12"/>
        <v>0</v>
      </c>
      <c r="K106" s="984">
        <f t="shared" si="12"/>
        <v>0</v>
      </c>
      <c r="L106" s="984">
        <f t="shared" si="12"/>
        <v>0</v>
      </c>
      <c r="M106" s="984">
        <f t="shared" si="12"/>
        <v>0</v>
      </c>
      <c r="N106" s="984">
        <f t="shared" si="12"/>
        <v>0</v>
      </c>
      <c r="O106" s="983"/>
    </row>
    <row r="107" spans="1:16" hidden="1">
      <c r="C107" t="s">
        <v>291</v>
      </c>
      <c r="E107" s="3578" t="s">
        <v>2736</v>
      </c>
      <c r="F107" s="984">
        <f t="shared" ref="F107:N107" si="13">SUM(F105:F106)</f>
        <v>0</v>
      </c>
      <c r="G107" s="984">
        <f t="shared" si="13"/>
        <v>0</v>
      </c>
      <c r="H107" s="984">
        <f t="shared" si="13"/>
        <v>0</v>
      </c>
      <c r="I107" s="984">
        <f t="shared" si="13"/>
        <v>0</v>
      </c>
      <c r="J107" s="984">
        <f t="shared" si="13"/>
        <v>0</v>
      </c>
      <c r="K107" s="984">
        <f t="shared" si="13"/>
        <v>0</v>
      </c>
      <c r="L107" s="984">
        <f t="shared" si="13"/>
        <v>0</v>
      </c>
      <c r="M107" s="984">
        <f t="shared" si="13"/>
        <v>0</v>
      </c>
      <c r="N107" s="984">
        <f t="shared" si="13"/>
        <v>0</v>
      </c>
      <c r="O107" s="983"/>
    </row>
    <row r="108" spans="1:16" hidden="1">
      <c r="C108" s="354"/>
      <c r="F108" s="357"/>
      <c r="G108" s="357"/>
      <c r="H108" s="357"/>
      <c r="I108" s="357"/>
      <c r="J108" s="357"/>
      <c r="K108" s="357"/>
      <c r="L108" s="357"/>
      <c r="M108" s="357"/>
      <c r="N108" s="357"/>
    </row>
    <row r="109" spans="1:16" hidden="1">
      <c r="B109" t="s">
        <v>292</v>
      </c>
      <c r="F109" s="984"/>
      <c r="G109" s="984"/>
      <c r="H109" s="984"/>
      <c r="I109" s="984"/>
      <c r="J109" s="984"/>
      <c r="K109" s="984"/>
      <c r="L109" s="984"/>
      <c r="M109" s="984"/>
      <c r="N109" s="984"/>
      <c r="O109" s="983"/>
    </row>
    <row r="110" spans="1:16" hidden="1">
      <c r="C110" t="s">
        <v>168</v>
      </c>
      <c r="E110" s="3578" t="s">
        <v>2736</v>
      </c>
      <c r="F110" s="984">
        <f>F101*F$74</f>
        <v>0</v>
      </c>
      <c r="G110" s="984">
        <f t="shared" ref="G110:N110" si="14">G101*G$74</f>
        <v>0</v>
      </c>
      <c r="H110" s="984">
        <f t="shared" si="14"/>
        <v>0</v>
      </c>
      <c r="I110" s="984">
        <f t="shared" si="14"/>
        <v>0</v>
      </c>
      <c r="J110" s="984">
        <f t="shared" si="14"/>
        <v>0</v>
      </c>
      <c r="K110" s="984">
        <f t="shared" si="14"/>
        <v>0</v>
      </c>
      <c r="L110" s="984">
        <f t="shared" si="14"/>
        <v>0</v>
      </c>
      <c r="M110" s="984">
        <f t="shared" si="14"/>
        <v>0</v>
      </c>
      <c r="N110" s="984">
        <f t="shared" si="14"/>
        <v>0</v>
      </c>
      <c r="O110" s="983"/>
    </row>
    <row r="111" spans="1:16" hidden="1">
      <c r="C111" t="s">
        <v>172</v>
      </c>
      <c r="E111" s="3578" t="s">
        <v>2736</v>
      </c>
      <c r="F111" s="984">
        <f t="shared" ref="F111:N111" si="15">F100*F81</f>
        <v>0</v>
      </c>
      <c r="G111" s="984">
        <f t="shared" si="15"/>
        <v>0</v>
      </c>
      <c r="H111" s="984">
        <f t="shared" si="15"/>
        <v>0</v>
      </c>
      <c r="I111" s="984">
        <f t="shared" si="15"/>
        <v>0</v>
      </c>
      <c r="J111" s="984">
        <f t="shared" si="15"/>
        <v>0</v>
      </c>
      <c r="K111" s="984">
        <f t="shared" si="15"/>
        <v>0</v>
      </c>
      <c r="L111" s="984">
        <f t="shared" si="15"/>
        <v>0</v>
      </c>
      <c r="M111" s="984">
        <f t="shared" si="15"/>
        <v>0</v>
      </c>
      <c r="N111" s="984">
        <f t="shared" si="15"/>
        <v>0</v>
      </c>
      <c r="O111" s="983"/>
    </row>
    <row r="112" spans="1:16" hidden="1">
      <c r="C112" t="s">
        <v>291</v>
      </c>
      <c r="E112" s="3578" t="s">
        <v>2736</v>
      </c>
      <c r="F112" s="984">
        <f t="shared" ref="F112:N112" si="16">SUM(F110:F111)</f>
        <v>0</v>
      </c>
      <c r="G112" s="984">
        <f t="shared" si="16"/>
        <v>0</v>
      </c>
      <c r="H112" s="984">
        <f t="shared" si="16"/>
        <v>0</v>
      </c>
      <c r="I112" s="984">
        <f t="shared" si="16"/>
        <v>0</v>
      </c>
      <c r="J112" s="984">
        <f t="shared" si="16"/>
        <v>0</v>
      </c>
      <c r="K112" s="984">
        <f t="shared" si="16"/>
        <v>0</v>
      </c>
      <c r="L112" s="984">
        <f t="shared" si="16"/>
        <v>0</v>
      </c>
      <c r="M112" s="984">
        <f t="shared" si="16"/>
        <v>0</v>
      </c>
      <c r="N112" s="984">
        <f t="shared" si="16"/>
        <v>0</v>
      </c>
      <c r="O112" s="983"/>
    </row>
    <row r="113" spans="1:22" hidden="1">
      <c r="F113" s="984"/>
      <c r="G113" s="984"/>
      <c r="H113" s="984"/>
      <c r="I113" s="984"/>
      <c r="J113" s="984"/>
      <c r="K113" s="984"/>
      <c r="L113" s="984"/>
      <c r="M113" s="984"/>
      <c r="N113" s="984"/>
      <c r="O113" s="983"/>
    </row>
    <row r="114" spans="1:22" hidden="1">
      <c r="B114" t="s">
        <v>293</v>
      </c>
      <c r="F114" s="984"/>
      <c r="G114" s="984"/>
      <c r="H114" s="984"/>
      <c r="I114" s="984"/>
      <c r="J114" s="984"/>
      <c r="K114" s="984"/>
      <c r="L114" s="984"/>
      <c r="M114" s="984"/>
      <c r="N114" s="984"/>
      <c r="O114" s="983"/>
    </row>
    <row r="115" spans="1:22" hidden="1">
      <c r="C115" t="s">
        <v>168</v>
      </c>
      <c r="E115" s="3578" t="s">
        <v>2736</v>
      </c>
      <c r="F115" s="984">
        <f t="shared" ref="F115:N115" si="17">F101*F$75</f>
        <v>0</v>
      </c>
      <c r="G115" s="984">
        <f t="shared" si="17"/>
        <v>0</v>
      </c>
      <c r="H115" s="984">
        <f t="shared" si="17"/>
        <v>0</v>
      </c>
      <c r="I115" s="984">
        <f t="shared" si="17"/>
        <v>0</v>
      </c>
      <c r="J115" s="984">
        <f t="shared" si="17"/>
        <v>0</v>
      </c>
      <c r="K115" s="984">
        <f t="shared" si="17"/>
        <v>0</v>
      </c>
      <c r="L115" s="984">
        <f t="shared" si="17"/>
        <v>0</v>
      </c>
      <c r="M115" s="984">
        <f t="shared" si="17"/>
        <v>0</v>
      </c>
      <c r="N115" s="984">
        <f t="shared" si="17"/>
        <v>0</v>
      </c>
      <c r="O115" s="983"/>
    </row>
    <row r="116" spans="1:22" hidden="1">
      <c r="C116" t="s">
        <v>172</v>
      </c>
      <c r="E116" s="3578" t="s">
        <v>2736</v>
      </c>
      <c r="F116" s="984">
        <f t="shared" ref="F116:N116" si="18">F100*F82</f>
        <v>0</v>
      </c>
      <c r="G116" s="984">
        <f t="shared" si="18"/>
        <v>0</v>
      </c>
      <c r="H116" s="984">
        <f t="shared" si="18"/>
        <v>0</v>
      </c>
      <c r="I116" s="984">
        <f t="shared" si="18"/>
        <v>0</v>
      </c>
      <c r="J116" s="984">
        <f t="shared" si="18"/>
        <v>0</v>
      </c>
      <c r="K116" s="984">
        <f t="shared" si="18"/>
        <v>0</v>
      </c>
      <c r="L116" s="984">
        <f t="shared" si="18"/>
        <v>0</v>
      </c>
      <c r="M116" s="984">
        <f t="shared" si="18"/>
        <v>0</v>
      </c>
      <c r="N116" s="984">
        <f t="shared" si="18"/>
        <v>0</v>
      </c>
      <c r="O116" s="983"/>
    </row>
    <row r="117" spans="1:22" hidden="1">
      <c r="C117" t="s">
        <v>291</v>
      </c>
      <c r="E117" s="3578" t="s">
        <v>2736</v>
      </c>
      <c r="F117" s="984">
        <f t="shared" ref="F117:N117" si="19">SUM(F115:F116)</f>
        <v>0</v>
      </c>
      <c r="G117" s="984">
        <f t="shared" si="19"/>
        <v>0</v>
      </c>
      <c r="H117" s="984">
        <f t="shared" si="19"/>
        <v>0</v>
      </c>
      <c r="I117" s="984">
        <f t="shared" si="19"/>
        <v>0</v>
      </c>
      <c r="J117" s="984">
        <f t="shared" si="19"/>
        <v>0</v>
      </c>
      <c r="K117" s="984">
        <f t="shared" si="19"/>
        <v>0</v>
      </c>
      <c r="L117" s="984">
        <f t="shared" si="19"/>
        <v>0</v>
      </c>
      <c r="M117" s="984">
        <f t="shared" si="19"/>
        <v>0</v>
      </c>
      <c r="N117" s="984">
        <f t="shared" si="19"/>
        <v>0</v>
      </c>
      <c r="O117" s="983"/>
    </row>
    <row r="119" spans="1:22" ht="23.5">
      <c r="A119" s="7"/>
      <c r="B119" s="502" t="s">
        <v>296</v>
      </c>
      <c r="C119" s="503"/>
      <c r="D119" s="503"/>
      <c r="E119" s="503"/>
      <c r="F119" s="503"/>
      <c r="G119" s="503"/>
      <c r="H119" s="503"/>
      <c r="I119" s="503"/>
      <c r="J119" s="503"/>
      <c r="K119" s="503"/>
      <c r="L119" s="503"/>
      <c r="M119" s="503"/>
      <c r="N119" s="503"/>
      <c r="O119" s="857"/>
    </row>
    <row r="120" spans="1:22">
      <c r="B120" s="505"/>
      <c r="C120" s="506"/>
      <c r="D120" s="506"/>
      <c r="E120" s="506"/>
      <c r="F120" s="506"/>
      <c r="G120" s="506"/>
      <c r="H120" s="506"/>
      <c r="I120" s="506"/>
      <c r="J120" s="506"/>
      <c r="K120" s="506"/>
      <c r="L120" s="506"/>
      <c r="M120" s="506"/>
      <c r="N120" s="506"/>
      <c r="O120" s="858"/>
    </row>
    <row r="121" spans="1:22">
      <c r="B121" s="505"/>
      <c r="C121" s="34" t="s">
        <v>746</v>
      </c>
      <c r="D121" s="506"/>
      <c r="E121" s="507"/>
      <c r="F121" s="506"/>
      <c r="G121" s="506"/>
      <c r="H121" s="506"/>
      <c r="I121" s="506"/>
      <c r="J121" s="506"/>
      <c r="K121" s="506"/>
      <c r="L121" s="506"/>
      <c r="M121" s="506"/>
      <c r="N121" s="1117" t="str">
        <f>Preferences.EnergyUnits</f>
        <v>TWh</v>
      </c>
      <c r="O121" s="858"/>
      <c r="Q121" s="1068"/>
      <c r="R121" s="1068"/>
      <c r="S121" s="1068"/>
      <c r="T121" s="1068"/>
      <c r="U121" s="1068"/>
      <c r="V121" s="1068"/>
    </row>
    <row r="122" spans="1:22">
      <c r="B122" s="505"/>
      <c r="C122" s="506"/>
      <c r="D122" s="506"/>
      <c r="E122" s="506"/>
      <c r="F122" s="506"/>
      <c r="G122" s="506"/>
      <c r="H122" s="506"/>
      <c r="I122" s="506"/>
      <c r="J122" s="506"/>
      <c r="K122" s="506"/>
      <c r="L122" s="506"/>
      <c r="M122" s="506"/>
      <c r="N122" s="506"/>
      <c r="O122" s="858"/>
      <c r="Q122" s="1068"/>
      <c r="R122" s="1068"/>
      <c r="S122" s="1068"/>
      <c r="T122" s="1068"/>
      <c r="U122" s="1068"/>
      <c r="V122" s="1068"/>
    </row>
    <row r="123" spans="1:22" ht="15.5">
      <c r="A123" s="434"/>
      <c r="B123" s="15"/>
      <c r="C123" s="1712" t="s">
        <v>28</v>
      </c>
      <c r="D123" s="1712" t="s">
        <v>29</v>
      </c>
      <c r="E123" s="1712" t="s">
        <v>30</v>
      </c>
      <c r="F123" s="1712" t="s">
        <v>588</v>
      </c>
      <c r="G123" s="1712" t="s">
        <v>132</v>
      </c>
      <c r="H123" s="1712" t="s">
        <v>133</v>
      </c>
      <c r="I123" s="1712" t="s">
        <v>134</v>
      </c>
      <c r="J123" s="1712" t="s">
        <v>135</v>
      </c>
      <c r="K123" s="1712" t="s">
        <v>136</v>
      </c>
      <c r="L123" s="1712" t="s">
        <v>137</v>
      </c>
      <c r="M123" s="1712" t="s">
        <v>138</v>
      </c>
      <c r="N123" s="1712" t="s">
        <v>139</v>
      </c>
      <c r="O123" s="858"/>
      <c r="Q123" s="1068"/>
      <c r="R123" s="1068"/>
      <c r="S123" s="1068"/>
      <c r="T123" s="1068"/>
      <c r="U123" s="1068"/>
      <c r="V123" s="1068"/>
    </row>
    <row r="124" spans="1:22" ht="15.5">
      <c r="A124" s="434"/>
      <c r="B124" s="15"/>
      <c r="C124" s="716" t="s">
        <v>96</v>
      </c>
      <c r="D124" s="2457" t="str">
        <f>INDEX(Vectors[Description], MATCH(III.a.1.Outputs[Vector], Vectors[Code], 0))</f>
        <v>Electricity (supplied to grid)</v>
      </c>
      <c r="E124" s="716"/>
      <c r="F124" s="717">
        <f t="shared" ref="F124:N124" si="20">F$97</f>
        <v>4.4180640000000011</v>
      </c>
      <c r="G124" s="717">
        <f t="shared" si="20"/>
        <v>5.5339757999999994</v>
      </c>
      <c r="H124" s="717">
        <f t="shared" si="20"/>
        <v>5.5339757999999994</v>
      </c>
      <c r="I124" s="717">
        <f t="shared" si="20"/>
        <v>3.3359012999999997</v>
      </c>
      <c r="J124" s="717">
        <f t="shared" si="20"/>
        <v>1.1378267999999998</v>
      </c>
      <c r="K124" s="717">
        <f t="shared" si="20"/>
        <v>3.8789549999999742E-2</v>
      </c>
      <c r="L124" s="717">
        <f t="shared" si="20"/>
        <v>3.8789549999999742E-2</v>
      </c>
      <c r="M124" s="717">
        <f t="shared" si="20"/>
        <v>3.8789549999999742E-2</v>
      </c>
      <c r="N124" s="717">
        <f t="shared" si="20"/>
        <v>3.8789549999999742E-2</v>
      </c>
      <c r="O124" s="858"/>
      <c r="Q124" s="1068"/>
      <c r="R124" s="1068"/>
      <c r="S124" s="1068"/>
      <c r="T124" s="1068"/>
      <c r="U124" s="1068"/>
      <c r="V124" s="1068"/>
    </row>
    <row r="125" spans="1:22" ht="15.5">
      <c r="A125" s="434"/>
      <c r="B125" s="15"/>
      <c r="C125" s="716" t="s">
        <v>438</v>
      </c>
      <c r="D125" s="2457" t="str">
        <f>INDEX(Vectors[Description], MATCH(III.a.1.Outputs[Vector], Vectors[Code], 0))</f>
        <v>Wind</v>
      </c>
      <c r="E125" s="716"/>
      <c r="F125" s="717">
        <f t="shared" ref="F125:N125" si="21">-F$97</f>
        <v>-4.4180640000000011</v>
      </c>
      <c r="G125" s="717">
        <f t="shared" si="21"/>
        <v>-5.5339757999999994</v>
      </c>
      <c r="H125" s="717">
        <f t="shared" si="21"/>
        <v>-5.5339757999999994</v>
      </c>
      <c r="I125" s="717">
        <f t="shared" si="21"/>
        <v>-3.3359012999999997</v>
      </c>
      <c r="J125" s="717">
        <f t="shared" si="21"/>
        <v>-1.1378267999999998</v>
      </c>
      <c r="K125" s="717">
        <f t="shared" si="21"/>
        <v>-3.8789549999999742E-2</v>
      </c>
      <c r="L125" s="717">
        <f t="shared" si="21"/>
        <v>-3.8789549999999742E-2</v>
      </c>
      <c r="M125" s="717">
        <f t="shared" si="21"/>
        <v>-3.8789549999999742E-2</v>
      </c>
      <c r="N125" s="717">
        <f t="shared" si="21"/>
        <v>-3.8789549999999742E-2</v>
      </c>
      <c r="O125" s="858"/>
      <c r="Q125" s="1068"/>
      <c r="R125" s="1068"/>
      <c r="S125" s="1068"/>
      <c r="T125" s="1068"/>
      <c r="U125" s="1068"/>
      <c r="V125" s="1068"/>
    </row>
    <row r="126" spans="1:22" ht="15.5">
      <c r="A126" s="434"/>
      <c r="B126" s="15"/>
      <c r="C126" s="2433" t="s">
        <v>58</v>
      </c>
      <c r="D126" s="2433"/>
      <c r="E126" s="2433"/>
      <c r="F126" s="2434">
        <f>SUBTOTAL(109,III.a.1.Outputs[2013])</f>
        <v>0</v>
      </c>
      <c r="G126" s="2434">
        <f>SUBTOTAL(109,III.a.1.Outputs[2015])</f>
        <v>0</v>
      </c>
      <c r="H126" s="2434">
        <f>SUBTOTAL(109,III.a.1.Outputs[2020])</f>
        <v>0</v>
      </c>
      <c r="I126" s="2434">
        <f>SUBTOTAL(109,III.a.1.Outputs[2025])</f>
        <v>0</v>
      </c>
      <c r="J126" s="2434">
        <f>SUBTOTAL(109,III.a.1.Outputs[2030])</f>
        <v>0</v>
      </c>
      <c r="K126" s="2434">
        <f>SUBTOTAL(109,III.a.1.Outputs[2035])</f>
        <v>0</v>
      </c>
      <c r="L126" s="2434">
        <f>SUBTOTAL(109,III.a.1.Outputs[2040])</f>
        <v>0</v>
      </c>
      <c r="M126" s="2434">
        <f>SUBTOTAL(109,III.a.1.Outputs[2045])</f>
        <v>0</v>
      </c>
      <c r="N126" s="2434">
        <f>SUBTOTAL(109,III.a.1.Outputs[2050])</f>
        <v>0</v>
      </c>
      <c r="O126" s="858"/>
      <c r="Q126" s="1068"/>
      <c r="R126" s="1068"/>
      <c r="S126" s="1068"/>
      <c r="T126" s="1068"/>
      <c r="U126" s="1068"/>
      <c r="V126" s="1068"/>
    </row>
    <row r="127" spans="1:22" ht="15.5">
      <c r="B127" s="15"/>
      <c r="C127" s="443"/>
      <c r="D127" s="443"/>
      <c r="E127" s="443"/>
      <c r="F127" s="443"/>
      <c r="G127" s="443"/>
      <c r="H127" s="443"/>
      <c r="I127" s="443"/>
      <c r="J127" s="443"/>
      <c r="K127" s="443"/>
      <c r="L127" s="443"/>
      <c r="M127" s="443"/>
      <c r="N127" s="443"/>
      <c r="O127" s="858"/>
      <c r="Q127" s="1068"/>
      <c r="R127" s="1068"/>
      <c r="S127" s="1068"/>
      <c r="T127" s="1068"/>
      <c r="U127" s="1068"/>
      <c r="V127" s="1068"/>
    </row>
    <row r="128" spans="1:22">
      <c r="C128" s="2416" t="s">
        <v>5</v>
      </c>
      <c r="Q128" s="1068"/>
      <c r="R128" s="1068"/>
      <c r="S128" s="647"/>
      <c r="T128" s="1068"/>
      <c r="U128" s="1068"/>
      <c r="V128" s="1068"/>
    </row>
    <row r="129" spans="2:31" ht="15">
      <c r="B129" s="986" t="s">
        <v>310</v>
      </c>
      <c r="C129" s="987"/>
      <c r="D129" s="988"/>
      <c r="E129" s="988"/>
      <c r="F129" s="988"/>
      <c r="G129" s="988"/>
      <c r="H129" s="988"/>
      <c r="I129" s="988"/>
      <c r="J129" s="988"/>
      <c r="K129" s="988"/>
      <c r="L129" s="988"/>
      <c r="M129" s="988"/>
      <c r="N129" s="988"/>
      <c r="O129" s="989"/>
      <c r="Q129" s="1068"/>
      <c r="R129" s="1068"/>
      <c r="S129" s="647"/>
      <c r="T129" s="1068"/>
      <c r="U129" s="1068"/>
      <c r="V129" s="1068"/>
    </row>
    <row r="130" spans="2:31">
      <c r="B130" s="990"/>
      <c r="C130" s="991"/>
      <c r="D130" s="991"/>
      <c r="E130" s="991"/>
      <c r="F130" s="991"/>
      <c r="G130" s="991"/>
      <c r="H130" s="991"/>
      <c r="I130" s="991"/>
      <c r="J130" s="991"/>
      <c r="K130" s="991"/>
      <c r="L130" s="991"/>
      <c r="M130" s="991"/>
      <c r="N130" s="991"/>
      <c r="O130" s="992"/>
      <c r="Q130" s="1068"/>
      <c r="R130" s="1068"/>
      <c r="S130" s="647"/>
      <c r="T130" s="1068"/>
      <c r="U130" s="1068"/>
      <c r="V130" s="1068"/>
    </row>
    <row r="131" spans="2:31" ht="17.25" customHeight="1">
      <c r="B131" s="993"/>
      <c r="C131" s="479" t="s">
        <v>311</v>
      </c>
      <c r="D131" s="994"/>
      <c r="E131" s="995"/>
      <c r="F131" s="994"/>
      <c r="G131" s="994"/>
      <c r="H131" s="994"/>
      <c r="I131" s="994"/>
      <c r="J131" s="994"/>
      <c r="K131" s="994"/>
      <c r="L131" s="994"/>
      <c r="M131" s="994"/>
      <c r="N131" s="995"/>
      <c r="O131" s="996"/>
      <c r="Q131" s="1068"/>
      <c r="R131" s="1068"/>
      <c r="S131" s="647"/>
      <c r="T131" s="1068"/>
      <c r="U131" s="1068"/>
      <c r="V131" s="1068"/>
    </row>
    <row r="132" spans="2:31">
      <c r="B132" s="993"/>
      <c r="C132" s="994"/>
      <c r="D132" s="994"/>
      <c r="E132" s="994"/>
      <c r="F132" s="994"/>
      <c r="G132" s="994"/>
      <c r="H132" s="994"/>
      <c r="I132" s="994"/>
      <c r="J132" s="994"/>
      <c r="K132" s="994"/>
      <c r="L132" s="994"/>
      <c r="M132" s="994"/>
      <c r="N132" s="994"/>
      <c r="O132" s="996"/>
      <c r="Q132" s="1068"/>
      <c r="R132" s="1068"/>
      <c r="S132" s="1068"/>
      <c r="T132" s="1068"/>
      <c r="U132" s="1068"/>
      <c r="V132" s="1068"/>
    </row>
    <row r="133" spans="2:31" ht="15.5">
      <c r="B133" s="483"/>
      <c r="C133" s="997" t="s">
        <v>28</v>
      </c>
      <c r="D133" s="997" t="s">
        <v>312</v>
      </c>
      <c r="E133" s="997" t="s">
        <v>30</v>
      </c>
      <c r="F133" s="997" t="s">
        <v>588</v>
      </c>
      <c r="G133" s="997" t="s">
        <v>132</v>
      </c>
      <c r="H133" s="997" t="s">
        <v>133</v>
      </c>
      <c r="I133" s="997" t="s">
        <v>134</v>
      </c>
      <c r="J133" s="997" t="s">
        <v>135</v>
      </c>
      <c r="K133" s="997" t="s">
        <v>136</v>
      </c>
      <c r="L133" s="997" t="s">
        <v>137</v>
      </c>
      <c r="M133" s="997" t="s">
        <v>138</v>
      </c>
      <c r="N133" s="997" t="s">
        <v>139</v>
      </c>
      <c r="O133" s="996"/>
    </row>
    <row r="134" spans="2:31" ht="15.5">
      <c r="B134" s="483"/>
      <c r="C134" s="998" t="s">
        <v>868</v>
      </c>
      <c r="D134" s="998" t="str">
        <f>"onshore wind if "&amp;ROUND($F$56*Unit.m2/(Unit.W*Conversion.to.annual.energy),1)&amp;" W/m2"</f>
        <v>onshore wind if 9 W/m2</v>
      </c>
      <c r="E134" s="485" t="str">
        <f>Preferences.AreaUnits</f>
        <v>km^2</v>
      </c>
      <c r="F134" s="999">
        <f t="shared" ref="F134:N134" si="22">F102</f>
        <v>56.000000000000007</v>
      </c>
      <c r="G134" s="999">
        <f t="shared" si="22"/>
        <v>70.144444444444431</v>
      </c>
      <c r="H134" s="999">
        <f t="shared" si="22"/>
        <v>70.144444444444431</v>
      </c>
      <c r="I134" s="999">
        <f t="shared" si="22"/>
        <v>42.283333333333324</v>
      </c>
      <c r="J134" s="999">
        <f t="shared" si="22"/>
        <v>14.422222222222219</v>
      </c>
      <c r="K134" s="999">
        <f t="shared" si="22"/>
        <v>0.49166666666666337</v>
      </c>
      <c r="L134" s="999">
        <f t="shared" si="22"/>
        <v>0.49166666666666337</v>
      </c>
      <c r="M134" s="999">
        <f t="shared" si="22"/>
        <v>0.49166666666666337</v>
      </c>
      <c r="N134" s="999">
        <f t="shared" si="22"/>
        <v>0.49166666666666337</v>
      </c>
      <c r="O134" s="996"/>
    </row>
    <row r="135" spans="2:31" ht="15.5">
      <c r="B135" s="483"/>
      <c r="C135" s="998" t="s">
        <v>748</v>
      </c>
      <c r="D135" s="998" t="s">
        <v>860</v>
      </c>
      <c r="E135" s="485" t="str">
        <f>Preferences.PowerUnits</f>
        <v>GW</v>
      </c>
      <c r="F135" s="999">
        <f t="shared" ref="F135:N135" si="23">F90</f>
        <v>1.8</v>
      </c>
      <c r="G135" s="999">
        <f t="shared" si="23"/>
        <v>2.14</v>
      </c>
      <c r="H135" s="999">
        <f t="shared" si="23"/>
        <v>2.14</v>
      </c>
      <c r="I135" s="999">
        <f t="shared" si="23"/>
        <v>1.29</v>
      </c>
      <c r="J135" s="999">
        <f t="shared" si="23"/>
        <v>0.43999999999999995</v>
      </c>
      <c r="K135" s="999">
        <f t="shared" si="23"/>
        <v>1.4999999999999902E-2</v>
      </c>
      <c r="L135" s="999">
        <f t="shared" si="23"/>
        <v>1.4999999999999902E-2</v>
      </c>
      <c r="M135" s="999">
        <f t="shared" si="23"/>
        <v>1.4999999999999902E-2</v>
      </c>
      <c r="N135" s="999">
        <f t="shared" si="23"/>
        <v>1.4999999999999902E-2</v>
      </c>
      <c r="O135" s="996"/>
    </row>
    <row r="136" spans="2:31" ht="15.5">
      <c r="B136" s="483"/>
      <c r="C136" s="998" t="s">
        <v>313</v>
      </c>
      <c r="D136" s="998" t="str">
        <f>"Approximate number if "&amp;$F$55/Unit.MW&amp;" MW turbines"</f>
        <v>Approximate number if 2.5 MW turbines</v>
      </c>
      <c r="E136" s="998" t="s">
        <v>741</v>
      </c>
      <c r="F136" s="487">
        <f t="shared" ref="F136:N136" si="24">F100</f>
        <v>720</v>
      </c>
      <c r="G136" s="487">
        <f t="shared" si="24"/>
        <v>856</v>
      </c>
      <c r="H136" s="487">
        <f t="shared" si="24"/>
        <v>856</v>
      </c>
      <c r="I136" s="487">
        <f t="shared" si="24"/>
        <v>516</v>
      </c>
      <c r="J136" s="487">
        <f t="shared" si="24"/>
        <v>175.99999999999997</v>
      </c>
      <c r="K136" s="487">
        <f t="shared" si="24"/>
        <v>5.9999999999999609</v>
      </c>
      <c r="L136" s="487">
        <f t="shared" si="24"/>
        <v>5.9999999999999609</v>
      </c>
      <c r="M136" s="487">
        <f t="shared" si="24"/>
        <v>5.9999999999999609</v>
      </c>
      <c r="N136" s="487">
        <f t="shared" si="24"/>
        <v>5.9999999999999609</v>
      </c>
      <c r="O136" s="996"/>
    </row>
    <row r="137" spans="2:31" ht="15.5">
      <c r="B137" s="488"/>
      <c r="C137" s="1001"/>
      <c r="D137" s="1001"/>
      <c r="E137" s="1001"/>
      <c r="F137" s="1001"/>
      <c r="G137" s="1001"/>
      <c r="H137" s="1001"/>
      <c r="I137" s="1001"/>
      <c r="J137" s="1001"/>
      <c r="K137" s="1001"/>
      <c r="L137" s="1001"/>
      <c r="M137" s="1001"/>
      <c r="N137" s="1001"/>
      <c r="O137" s="1002"/>
    </row>
    <row r="138" spans="2:31" ht="15.75" customHeight="1">
      <c r="D138" s="2416" t="s">
        <v>5</v>
      </c>
    </row>
    <row r="139" spans="2:31" ht="15" customHeight="1">
      <c r="B139" s="986" t="s">
        <v>2720</v>
      </c>
      <c r="C139" s="988"/>
      <c r="D139" s="988"/>
      <c r="E139" s="988"/>
      <c r="F139" s="988"/>
      <c r="G139" s="988"/>
      <c r="H139" s="988"/>
      <c r="I139" s="988"/>
      <c r="J139" s="988"/>
      <c r="K139" s="988"/>
      <c r="L139" s="988"/>
      <c r="M139" s="988"/>
      <c r="N139" s="988"/>
      <c r="O139" s="989"/>
    </row>
    <row r="140" spans="2:31" hidden="1">
      <c r="B140" s="993"/>
      <c r="C140" s="994"/>
      <c r="D140" s="994"/>
      <c r="E140" s="994"/>
      <c r="F140" s="994"/>
      <c r="G140" s="994"/>
      <c r="H140" s="994"/>
      <c r="I140" s="994"/>
      <c r="J140" s="994"/>
      <c r="K140" s="994"/>
      <c r="L140" s="994"/>
      <c r="M140" s="994"/>
      <c r="N140" s="994"/>
      <c r="O140" s="996"/>
    </row>
    <row r="141" spans="2:31" ht="12.75" hidden="1" customHeight="1">
      <c r="B141" s="993"/>
      <c r="C141" s="491" t="s">
        <v>751</v>
      </c>
      <c r="D141" s="1003"/>
      <c r="E141" s="1003"/>
      <c r="F141" s="1003"/>
      <c r="G141" s="1003"/>
      <c r="H141" s="1003"/>
      <c r="I141" s="1003"/>
      <c r="J141" s="1003"/>
      <c r="K141" s="1003"/>
      <c r="L141" s="1003"/>
      <c r="M141" s="1003"/>
      <c r="N141" s="1003"/>
      <c r="O141" s="996"/>
    </row>
    <row r="142" spans="2:31" hidden="1">
      <c r="B142" s="993"/>
      <c r="C142" s="994"/>
      <c r="D142" s="994"/>
      <c r="E142" s="994"/>
      <c r="F142" s="1003"/>
      <c r="G142" s="1003"/>
      <c r="H142" s="1003"/>
      <c r="I142" s="1003"/>
      <c r="J142" s="1003"/>
      <c r="K142" s="1003"/>
      <c r="L142" s="1003"/>
      <c r="M142" s="1003"/>
      <c r="N142" s="1003"/>
      <c r="O142" s="996"/>
    </row>
    <row r="143" spans="2:31" ht="15.5" hidden="1">
      <c r="B143" s="483"/>
      <c r="C143" s="997" t="s">
        <v>28</v>
      </c>
      <c r="D143" s="997" t="s">
        <v>29</v>
      </c>
      <c r="E143" s="997" t="s">
        <v>30</v>
      </c>
      <c r="F143" s="997">
        <v>2013</v>
      </c>
      <c r="G143" s="997" t="s">
        <v>132</v>
      </c>
      <c r="H143" s="997" t="s">
        <v>133</v>
      </c>
      <c r="I143" s="997" t="s">
        <v>134</v>
      </c>
      <c r="J143" s="997" t="s">
        <v>135</v>
      </c>
      <c r="K143" s="997" t="s">
        <v>136</v>
      </c>
      <c r="L143" s="997" t="s">
        <v>137</v>
      </c>
      <c r="M143" s="997" t="s">
        <v>138</v>
      </c>
      <c r="N143" s="997" t="s">
        <v>139</v>
      </c>
      <c r="O143" s="1141"/>
      <c r="W143" s="1068"/>
      <c r="X143" s="1068"/>
      <c r="Y143" s="1068"/>
      <c r="Z143" s="1068"/>
      <c r="AA143" s="1068"/>
      <c r="AB143" s="1068"/>
      <c r="AC143" s="1068"/>
      <c r="AD143" s="1068"/>
      <c r="AE143" s="1068"/>
    </row>
    <row r="144" spans="2:31" ht="15.5" hidden="1">
      <c r="B144" s="483"/>
      <c r="C144" s="998" t="s">
        <v>325</v>
      </c>
      <c r="D144" s="485" t="s">
        <v>326</v>
      </c>
      <c r="E144" s="485"/>
      <c r="F144" s="999">
        <f t="shared" ref="F144:O144" si="25">F115</f>
        <v>0</v>
      </c>
      <c r="G144" s="999">
        <f t="shared" si="25"/>
        <v>0</v>
      </c>
      <c r="H144" s="999">
        <f t="shared" si="25"/>
        <v>0</v>
      </c>
      <c r="I144" s="999">
        <f t="shared" si="25"/>
        <v>0</v>
      </c>
      <c r="J144" s="999">
        <f t="shared" si="25"/>
        <v>0</v>
      </c>
      <c r="K144" s="999">
        <f t="shared" si="25"/>
        <v>0</v>
      </c>
      <c r="L144" s="999">
        <f t="shared" si="25"/>
        <v>0</v>
      </c>
      <c r="M144" s="999">
        <f t="shared" si="25"/>
        <v>0</v>
      </c>
      <c r="N144" s="999">
        <f t="shared" si="25"/>
        <v>0</v>
      </c>
      <c r="O144" s="999">
        <f t="shared" si="25"/>
        <v>0</v>
      </c>
      <c r="W144" s="1068"/>
      <c r="X144" s="1068"/>
      <c r="Y144" s="1068"/>
      <c r="Z144" s="1068"/>
      <c r="AA144" s="1068"/>
      <c r="AB144" s="1068"/>
      <c r="AC144" s="1068"/>
      <c r="AD144" s="1068"/>
      <c r="AE144" s="1068"/>
    </row>
    <row r="145" spans="2:31" ht="15.5" hidden="1">
      <c r="B145" s="483"/>
      <c r="C145" s="998" t="s">
        <v>332</v>
      </c>
      <c r="D145" s="485" t="s">
        <v>333</v>
      </c>
      <c r="E145" s="485"/>
      <c r="F145" s="999">
        <f t="shared" ref="F145:O145" si="26">F116</f>
        <v>0</v>
      </c>
      <c r="G145" s="999">
        <f t="shared" si="26"/>
        <v>0</v>
      </c>
      <c r="H145" s="999">
        <f t="shared" si="26"/>
        <v>0</v>
      </c>
      <c r="I145" s="999">
        <f t="shared" si="26"/>
        <v>0</v>
      </c>
      <c r="J145" s="999">
        <f t="shared" si="26"/>
        <v>0</v>
      </c>
      <c r="K145" s="999">
        <f t="shared" si="26"/>
        <v>0</v>
      </c>
      <c r="L145" s="999">
        <f t="shared" si="26"/>
        <v>0</v>
      </c>
      <c r="M145" s="999">
        <f t="shared" si="26"/>
        <v>0</v>
      </c>
      <c r="N145" s="999">
        <f t="shared" si="26"/>
        <v>0</v>
      </c>
      <c r="O145" s="999">
        <f t="shared" si="26"/>
        <v>0</v>
      </c>
      <c r="W145" s="1068"/>
      <c r="X145" s="1068"/>
      <c r="Y145" s="1068"/>
      <c r="Z145" s="1068"/>
      <c r="AA145" s="1068"/>
      <c r="AB145" s="1068"/>
      <c r="AC145" s="1068"/>
      <c r="AD145" s="1068"/>
      <c r="AE145" s="1068"/>
    </row>
    <row r="146" spans="2:31" ht="15.5" hidden="1">
      <c r="B146" s="483"/>
      <c r="C146" s="998" t="s">
        <v>323</v>
      </c>
      <c r="D146" s="485" t="s">
        <v>324</v>
      </c>
      <c r="E146" s="485"/>
      <c r="F146" s="999">
        <f t="shared" ref="F146:O146" si="27">F110</f>
        <v>0</v>
      </c>
      <c r="G146" s="999">
        <f t="shared" si="27"/>
        <v>0</v>
      </c>
      <c r="H146" s="999">
        <f t="shared" si="27"/>
        <v>0</v>
      </c>
      <c r="I146" s="999">
        <f t="shared" si="27"/>
        <v>0</v>
      </c>
      <c r="J146" s="999">
        <f t="shared" si="27"/>
        <v>0</v>
      </c>
      <c r="K146" s="999">
        <f t="shared" si="27"/>
        <v>0</v>
      </c>
      <c r="L146" s="999">
        <f t="shared" si="27"/>
        <v>0</v>
      </c>
      <c r="M146" s="999">
        <f t="shared" si="27"/>
        <v>0</v>
      </c>
      <c r="N146" s="999">
        <f t="shared" si="27"/>
        <v>0</v>
      </c>
      <c r="O146" s="999">
        <f t="shared" si="27"/>
        <v>0</v>
      </c>
      <c r="W146" s="1068"/>
      <c r="X146" s="1068"/>
      <c r="Y146" s="1068"/>
      <c r="Z146" s="1068"/>
      <c r="AA146" s="1068"/>
      <c r="AB146" s="1068"/>
      <c r="AC146" s="1068"/>
      <c r="AD146" s="1068"/>
      <c r="AE146" s="1068"/>
    </row>
    <row r="147" spans="2:31" ht="15.5" hidden="1">
      <c r="B147" s="483"/>
      <c r="C147" s="998" t="s">
        <v>330</v>
      </c>
      <c r="D147" s="485" t="s">
        <v>331</v>
      </c>
      <c r="E147" s="485"/>
      <c r="F147" s="999">
        <f t="shared" ref="F147:O147" si="28">F111</f>
        <v>0</v>
      </c>
      <c r="G147" s="999">
        <f t="shared" si="28"/>
        <v>0</v>
      </c>
      <c r="H147" s="999">
        <f t="shared" si="28"/>
        <v>0</v>
      </c>
      <c r="I147" s="999">
        <f t="shared" si="28"/>
        <v>0</v>
      </c>
      <c r="J147" s="999">
        <f t="shared" si="28"/>
        <v>0</v>
      </c>
      <c r="K147" s="999">
        <f t="shared" si="28"/>
        <v>0</v>
      </c>
      <c r="L147" s="999">
        <f t="shared" si="28"/>
        <v>0</v>
      </c>
      <c r="M147" s="999">
        <f t="shared" si="28"/>
        <v>0</v>
      </c>
      <c r="N147" s="999">
        <f t="shared" si="28"/>
        <v>0</v>
      </c>
      <c r="O147" s="999">
        <f t="shared" si="28"/>
        <v>0</v>
      </c>
      <c r="W147" s="1068"/>
      <c r="X147" s="1068"/>
      <c r="Y147" s="1068"/>
      <c r="Z147" s="1068"/>
      <c r="AA147" s="1068"/>
      <c r="AB147" s="1068"/>
      <c r="AC147" s="1068"/>
      <c r="AD147" s="1068"/>
      <c r="AE147" s="1068"/>
    </row>
    <row r="148" spans="2:31" hidden="1">
      <c r="B148" s="494"/>
      <c r="C148" s="998" t="s">
        <v>321</v>
      </c>
      <c r="D148" s="485" t="s">
        <v>322</v>
      </c>
      <c r="E148" s="485"/>
      <c r="F148" s="999">
        <f t="shared" ref="F148:O148" si="29">F105</f>
        <v>0</v>
      </c>
      <c r="G148" s="999">
        <f t="shared" si="29"/>
        <v>0</v>
      </c>
      <c r="H148" s="999">
        <f t="shared" si="29"/>
        <v>0</v>
      </c>
      <c r="I148" s="999">
        <f t="shared" si="29"/>
        <v>0</v>
      </c>
      <c r="J148" s="999">
        <f t="shared" si="29"/>
        <v>0</v>
      </c>
      <c r="K148" s="999">
        <f t="shared" si="29"/>
        <v>0</v>
      </c>
      <c r="L148" s="999">
        <f t="shared" si="29"/>
        <v>0</v>
      </c>
      <c r="M148" s="999">
        <f t="shared" si="29"/>
        <v>0</v>
      </c>
      <c r="N148" s="999">
        <f t="shared" si="29"/>
        <v>0</v>
      </c>
      <c r="O148" s="999">
        <f t="shared" si="29"/>
        <v>0</v>
      </c>
      <c r="W148" s="1068"/>
      <c r="X148" s="1068"/>
      <c r="Y148" s="1068"/>
      <c r="Z148" s="1068"/>
      <c r="AA148" s="1068"/>
      <c r="AB148" s="1068"/>
      <c r="AC148" s="1068"/>
      <c r="AD148" s="1068"/>
      <c r="AE148" s="1068"/>
    </row>
    <row r="149" spans="2:31" hidden="1">
      <c r="B149" s="494"/>
      <c r="C149" s="998" t="s">
        <v>328</v>
      </c>
      <c r="D149" s="485" t="s">
        <v>329</v>
      </c>
      <c r="E149" s="485"/>
      <c r="F149" s="1185">
        <f t="shared" ref="F149:O149" si="30">F106</f>
        <v>0</v>
      </c>
      <c r="G149" s="1185">
        <f t="shared" si="30"/>
        <v>0</v>
      </c>
      <c r="H149" s="1185">
        <f t="shared" si="30"/>
        <v>0</v>
      </c>
      <c r="I149" s="1185">
        <f t="shared" si="30"/>
        <v>0</v>
      </c>
      <c r="J149" s="1185">
        <f t="shared" si="30"/>
        <v>0</v>
      </c>
      <c r="K149" s="1185">
        <f t="shared" si="30"/>
        <v>0</v>
      </c>
      <c r="L149" s="1185">
        <f t="shared" si="30"/>
        <v>0</v>
      </c>
      <c r="M149" s="1185">
        <f t="shared" si="30"/>
        <v>0</v>
      </c>
      <c r="N149" s="1185">
        <f t="shared" si="30"/>
        <v>0</v>
      </c>
      <c r="O149" s="1185">
        <f t="shared" si="30"/>
        <v>0</v>
      </c>
      <c r="W149" s="1068"/>
      <c r="X149" s="1068"/>
      <c r="Y149" s="1068"/>
      <c r="Z149" s="1068"/>
      <c r="AA149" s="1068"/>
      <c r="AB149" s="1068"/>
      <c r="AC149" s="1068"/>
      <c r="AD149" s="1068"/>
      <c r="AE149" s="1068"/>
    </row>
    <row r="150" spans="2:31" hidden="1">
      <c r="B150" s="1005"/>
      <c r="C150" s="1001"/>
      <c r="D150" s="1001"/>
      <c r="E150" s="1001"/>
      <c r="F150" s="1001"/>
      <c r="G150" s="1001"/>
      <c r="H150" s="1001"/>
      <c r="I150" s="1001"/>
      <c r="J150" s="1001"/>
      <c r="K150" s="1001"/>
      <c r="L150" s="1001"/>
      <c r="M150" s="1001"/>
      <c r="N150" s="1001"/>
      <c r="O150" s="1006"/>
      <c r="W150" s="1068"/>
      <c r="X150" s="1068"/>
      <c r="Y150" s="1068"/>
      <c r="Z150" s="1068"/>
      <c r="AA150" s="1068"/>
      <c r="AB150" s="1068"/>
      <c r="AC150" s="1068"/>
      <c r="AD150" s="1068"/>
      <c r="AE150" s="1068"/>
    </row>
    <row r="151" spans="2:31">
      <c r="W151" s="1068"/>
      <c r="X151" s="1068"/>
      <c r="Y151" s="1068"/>
      <c r="Z151" s="1068"/>
      <c r="AA151" s="1068"/>
      <c r="AB151" s="1068"/>
      <c r="AC151" s="1068"/>
      <c r="AD151" s="1068"/>
      <c r="AE151" s="1068"/>
    </row>
    <row r="152" spans="2:31">
      <c r="W152" s="1068"/>
      <c r="X152" s="1068"/>
      <c r="Y152" s="1068"/>
      <c r="Z152" s="1068"/>
      <c r="AA152" s="1068"/>
      <c r="AB152" s="1068"/>
      <c r="AC152" s="1068"/>
      <c r="AD152" s="1068"/>
      <c r="AE152" s="1068"/>
    </row>
    <row r="153" spans="2:31">
      <c r="W153" s="1068"/>
      <c r="X153" s="1068"/>
      <c r="Y153" s="1068"/>
      <c r="Z153" s="1068"/>
      <c r="AA153" s="1068"/>
      <c r="AB153" s="1068"/>
      <c r="AC153" s="1068"/>
      <c r="AD153" s="1068"/>
      <c r="AE153" s="1068"/>
    </row>
    <row r="154" spans="2:31">
      <c r="W154" s="1068"/>
      <c r="X154" s="1068"/>
      <c r="Y154" s="1068"/>
      <c r="Z154" s="1068"/>
      <c r="AA154" s="1068"/>
      <c r="AB154" s="1068"/>
      <c r="AC154" s="1068"/>
      <c r="AD154" s="1068"/>
      <c r="AE154" s="1068"/>
    </row>
    <row r="155" spans="2:31">
      <c r="W155" s="1068"/>
      <c r="X155" s="1068"/>
      <c r="Y155" s="1068"/>
      <c r="Z155" s="1068"/>
      <c r="AA155" s="1068"/>
      <c r="AB155" s="1068"/>
      <c r="AC155" s="1068"/>
      <c r="AD155" s="1068"/>
      <c r="AE155" s="1068"/>
    </row>
    <row r="156" spans="2:31">
      <c r="W156" s="1068"/>
      <c r="X156" s="1068"/>
      <c r="Y156" s="1068"/>
      <c r="Z156" s="1068"/>
      <c r="AA156" s="1068"/>
      <c r="AB156" s="1068"/>
      <c r="AC156" s="1068"/>
      <c r="AD156" s="1068"/>
      <c r="AE156" s="1068"/>
    </row>
    <row r="157" spans="2:31">
      <c r="W157" s="1068"/>
      <c r="X157" s="1068"/>
      <c r="Y157" s="1068"/>
      <c r="Z157" s="1068"/>
      <c r="AA157" s="1068"/>
      <c r="AB157" s="1068"/>
      <c r="AC157" s="1068"/>
      <c r="AD157" s="1068"/>
      <c r="AE157" s="1068"/>
    </row>
    <row r="158" spans="2:31">
      <c r="W158" s="1068"/>
      <c r="X158" s="1068"/>
      <c r="Y158" s="1068"/>
      <c r="Z158" s="1068"/>
      <c r="AA158" s="1068"/>
      <c r="AB158" s="1068"/>
      <c r="AC158" s="1068"/>
      <c r="AD158" s="1068"/>
      <c r="AE158" s="1068"/>
    </row>
    <row r="159" spans="2:31">
      <c r="W159" s="1068"/>
      <c r="X159" s="1068"/>
      <c r="Y159" s="1068"/>
      <c r="Z159" s="1068"/>
      <c r="AA159" s="1068"/>
      <c r="AB159" s="1068"/>
      <c r="AC159" s="1068"/>
      <c r="AD159" s="1068"/>
      <c r="AE159" s="1068"/>
    </row>
    <row r="160" spans="2:31">
      <c r="W160" s="1068"/>
      <c r="X160" s="1068"/>
      <c r="Y160" s="1068"/>
      <c r="Z160" s="1068"/>
      <c r="AA160" s="1068"/>
      <c r="AB160" s="1068"/>
      <c r="AC160" s="1068"/>
      <c r="AD160" s="1068"/>
      <c r="AE160" s="1068"/>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sheetPr>
  <dimension ref="A1:DI170"/>
  <sheetViews>
    <sheetView showGridLines="0" topLeftCell="C1"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5" ht="20">
      <c r="A1" s="854" t="s">
        <v>523</v>
      </c>
      <c r="B1" s="854" t="s">
        <v>524</v>
      </c>
      <c r="C1" s="854"/>
      <c r="G1" s="4080"/>
    </row>
    <row r="2" spans="1:15" s="6" customFormat="1" ht="15">
      <c r="A2" s="855" t="s">
        <v>513</v>
      </c>
      <c r="B2" s="855" t="s">
        <v>514</v>
      </c>
      <c r="C2" s="855"/>
      <c r="E2" s="5"/>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III.a.2.Scenario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10" spans="1:15" ht="23.5">
      <c r="A10" s="7"/>
      <c r="B10" s="869" t="s">
        <v>33</v>
      </c>
      <c r="C10" s="870"/>
      <c r="D10" s="870"/>
      <c r="E10" s="870"/>
      <c r="F10" s="870"/>
      <c r="G10" s="870"/>
      <c r="H10" s="870"/>
      <c r="I10" s="870"/>
      <c r="J10" s="870"/>
      <c r="K10" s="870"/>
      <c r="L10" s="870"/>
      <c r="M10" s="870"/>
      <c r="N10" s="870"/>
      <c r="O10" s="871"/>
    </row>
    <row r="11" spans="1:15">
      <c r="B11" s="105"/>
      <c r="C11" s="67"/>
      <c r="D11" s="67"/>
      <c r="E11" s="67"/>
      <c r="F11" s="67"/>
      <c r="G11" s="67"/>
      <c r="H11" s="67"/>
      <c r="I11" s="67"/>
      <c r="J11" s="67"/>
      <c r="K11" s="67"/>
      <c r="L11" s="67"/>
      <c r="M11" s="67"/>
      <c r="N11" s="67"/>
      <c r="O11" s="876"/>
    </row>
    <row r="12" spans="1:15">
      <c r="B12" s="45"/>
      <c r="C12" s="49" t="s">
        <v>2994</v>
      </c>
      <c r="D12" s="67"/>
      <c r="E12" s="51"/>
      <c r="F12" s="67"/>
      <c r="G12" s="67"/>
      <c r="H12" s="67"/>
      <c r="I12" s="67"/>
      <c r="J12" s="67"/>
      <c r="K12" s="67"/>
      <c r="L12" s="67"/>
      <c r="M12" s="67"/>
      <c r="N12" s="51" t="str">
        <f>Preferences.PowerUnits &amp; " per annum, for subsequent period; nameplate capacity"</f>
        <v>GW per annum, for subsequent period; nameplate capacity</v>
      </c>
      <c r="O12" s="876"/>
    </row>
    <row r="13" spans="1:15">
      <c r="B13" s="45"/>
      <c r="C13" s="67"/>
      <c r="D13" s="67"/>
      <c r="E13" s="67"/>
      <c r="F13" s="67"/>
      <c r="G13" s="67"/>
      <c r="H13" s="67"/>
      <c r="I13" s="67"/>
      <c r="J13" s="67"/>
      <c r="K13" s="67"/>
      <c r="L13" s="67"/>
      <c r="M13" s="67"/>
      <c r="N13" s="67"/>
      <c r="O13" s="876"/>
    </row>
    <row r="14" spans="1:15" ht="15.5">
      <c r="B14" s="55"/>
      <c r="C14" s="878" t="s">
        <v>8</v>
      </c>
      <c r="D14" s="878" t="s">
        <v>71</v>
      </c>
      <c r="E14" s="878" t="s">
        <v>30</v>
      </c>
      <c r="F14" s="87">
        <v>2013</v>
      </c>
      <c r="G14" s="87">
        <v>2015</v>
      </c>
      <c r="H14" s="87">
        <v>2020</v>
      </c>
      <c r="I14" s="87">
        <v>2025</v>
      </c>
      <c r="J14" s="87">
        <v>2030</v>
      </c>
      <c r="K14" s="87">
        <v>2035</v>
      </c>
      <c r="L14" s="87">
        <v>2040</v>
      </c>
      <c r="M14" s="87">
        <v>2045</v>
      </c>
      <c r="N14" s="87">
        <v>2050</v>
      </c>
      <c r="O14" s="876"/>
    </row>
    <row r="15" spans="1:15" ht="15.5">
      <c r="B15" s="55"/>
      <c r="C15" s="65">
        <v>1</v>
      </c>
      <c r="D15" s="103"/>
      <c r="E15" s="881"/>
      <c r="F15" s="883">
        <v>0</v>
      </c>
      <c r="G15" s="883">
        <v>0</v>
      </c>
      <c r="H15" s="883">
        <v>0</v>
      </c>
      <c r="I15" s="883">
        <v>0</v>
      </c>
      <c r="J15" s="883">
        <v>0</v>
      </c>
      <c r="K15" s="883">
        <v>0</v>
      </c>
      <c r="L15" s="883">
        <v>0</v>
      </c>
      <c r="M15" s="883">
        <v>0</v>
      </c>
      <c r="N15" s="59">
        <v>0</v>
      </c>
      <c r="O15" s="876"/>
    </row>
    <row r="16" spans="1:15" ht="15.5">
      <c r="B16" s="55"/>
      <c r="C16" s="65">
        <v>2</v>
      </c>
      <c r="D16" s="103"/>
      <c r="E16" s="103"/>
      <c r="F16" s="883">
        <v>0</v>
      </c>
      <c r="G16" s="886">
        <v>0</v>
      </c>
      <c r="H16" s="886">
        <v>0</v>
      </c>
      <c r="I16" s="886">
        <f>(Unit.GW)*0.1</f>
        <v>0.1</v>
      </c>
      <c r="J16" s="886">
        <v>0</v>
      </c>
      <c r="K16" s="886">
        <f>(Unit.GW)*0.1</f>
        <v>0.1</v>
      </c>
      <c r="L16" s="886">
        <v>0</v>
      </c>
      <c r="M16" s="886">
        <f>(Unit.GW)*0.1</f>
        <v>0.1</v>
      </c>
      <c r="N16" s="886">
        <f>(Unit.GW)*0.1</f>
        <v>0.1</v>
      </c>
      <c r="O16" s="876"/>
    </row>
    <row r="17" spans="2:27" ht="15.5">
      <c r="B17" s="55"/>
      <c r="C17" s="65">
        <v>3</v>
      </c>
      <c r="D17" s="103"/>
      <c r="E17" s="103" t="s">
        <v>66</v>
      </c>
      <c r="F17" s="883">
        <v>0</v>
      </c>
      <c r="G17" s="886">
        <v>0</v>
      </c>
      <c r="H17" s="886">
        <v>0</v>
      </c>
      <c r="I17" s="886">
        <f>(Unit.GW)*0.1</f>
        <v>0.1</v>
      </c>
      <c r="J17" s="886">
        <f>(Unit.GW)*0.16</f>
        <v>0.16</v>
      </c>
      <c r="K17" s="886">
        <f>(Unit.GW)*0.16</f>
        <v>0.16</v>
      </c>
      <c r="L17" s="886">
        <f>(Unit.GW)*0.16</f>
        <v>0.16</v>
      </c>
      <c r="M17" s="886">
        <f>(Unit.GW)*0.16</f>
        <v>0.16</v>
      </c>
      <c r="N17" s="886">
        <f>(Unit.GW)*0.16</f>
        <v>0.16</v>
      </c>
      <c r="O17" s="876"/>
      <c r="S17" s="1146"/>
      <c r="T17" s="1146"/>
      <c r="U17" s="1146"/>
      <c r="V17" s="1146"/>
      <c r="W17" s="1146"/>
      <c r="X17" s="1146"/>
      <c r="Y17" s="1146"/>
      <c r="Z17" s="1146"/>
      <c r="AA17" s="1146"/>
    </row>
    <row r="18" spans="2:27" ht="15.5">
      <c r="B18" s="55"/>
      <c r="C18" s="887">
        <v>4</v>
      </c>
      <c r="D18" s="888"/>
      <c r="E18" s="888"/>
      <c r="F18" s="1147">
        <v>0</v>
      </c>
      <c r="G18" s="1147">
        <v>0</v>
      </c>
      <c r="H18" s="1147">
        <v>0</v>
      </c>
      <c r="I18" s="886">
        <f>(Unit.GW)*0.1</f>
        <v>0.1</v>
      </c>
      <c r="J18" s="886">
        <f>(Unit.GW)*0.16</f>
        <v>0.16</v>
      </c>
      <c r="K18" s="886">
        <f>(Unit.GW)*0.2</f>
        <v>0.2</v>
      </c>
      <c r="L18" s="886">
        <f>(Unit.GW)*0.35</f>
        <v>0.35</v>
      </c>
      <c r="M18" s="886">
        <f>(Unit.GW)*0.35</f>
        <v>0.35</v>
      </c>
      <c r="N18" s="886">
        <f>(Unit.GW)*0.35</f>
        <v>0.35</v>
      </c>
      <c r="O18" s="876"/>
      <c r="P18" t="s">
        <v>5</v>
      </c>
    </row>
    <row r="19" spans="2:27" ht="15.5">
      <c r="B19" s="55"/>
      <c r="C19" s="1015" t="s">
        <v>37</v>
      </c>
      <c r="D19" s="892"/>
      <c r="E19" s="892"/>
      <c r="F19" s="893">
        <f>(INDEX(F$15:F$18,ROUNDDOWN($E$7,0))*(1-MOD($E$7,1)))+(INDEX(F$15:F$18,ROUNDUP($E$7,0))*MOD($E$7,1))</f>
        <v>0</v>
      </c>
      <c r="G19" s="893">
        <f t="shared" ref="G19:N19" si="0">(INDEX(G$15:G$18,ROUNDDOWN($E$7,0))*(1-MOD($E$7,1)))+(INDEX(G$15:G$18,ROUNDUP($E$7,0))*MOD($E$7,1))</f>
        <v>0</v>
      </c>
      <c r="H19" s="893">
        <f t="shared" si="0"/>
        <v>0</v>
      </c>
      <c r="I19" s="893">
        <f t="shared" si="0"/>
        <v>0</v>
      </c>
      <c r="J19" s="893">
        <f t="shared" si="0"/>
        <v>0</v>
      </c>
      <c r="K19" s="893">
        <f t="shared" si="0"/>
        <v>0</v>
      </c>
      <c r="L19" s="893">
        <f t="shared" si="0"/>
        <v>0</v>
      </c>
      <c r="M19" s="893">
        <f t="shared" si="0"/>
        <v>0</v>
      </c>
      <c r="N19" s="894">
        <f t="shared" si="0"/>
        <v>0</v>
      </c>
      <c r="O19" s="876"/>
      <c r="P19" t="s">
        <v>5</v>
      </c>
    </row>
    <row r="20" spans="2:27">
      <c r="B20" s="45"/>
      <c r="C20" s="67"/>
      <c r="D20" s="195"/>
      <c r="E20" s="67"/>
      <c r="F20" s="67"/>
      <c r="G20" s="67"/>
      <c r="H20" s="67"/>
      <c r="I20" s="67" t="s">
        <v>5</v>
      </c>
      <c r="J20" s="67" t="s">
        <v>5</v>
      </c>
      <c r="K20" s="67"/>
      <c r="L20" s="67"/>
      <c r="M20" s="67"/>
      <c r="N20" s="67"/>
      <c r="O20" s="876"/>
    </row>
    <row r="21" spans="2:27">
      <c r="B21" s="45"/>
      <c r="C21" s="49" t="s">
        <v>835</v>
      </c>
      <c r="D21" s="67"/>
      <c r="E21" s="51"/>
      <c r="F21" s="67"/>
      <c r="G21" s="67"/>
      <c r="H21" s="67"/>
      <c r="I21" s="67"/>
      <c r="J21" s="67"/>
      <c r="K21" s="67"/>
      <c r="L21" s="67"/>
      <c r="M21" s="67"/>
      <c r="N21" s="51" t="str">
        <f>Preferences.PowerUnits &amp; " per annum, for subsequent period; nameplate capacity"</f>
        <v>GW per annum, for subsequent period; nameplate capacity</v>
      </c>
      <c r="O21" s="876"/>
    </row>
    <row r="22" spans="2:27">
      <c r="B22" s="45"/>
      <c r="C22" s="67"/>
      <c r="D22" s="67"/>
      <c r="E22" s="67"/>
      <c r="F22" s="67"/>
      <c r="G22" s="67"/>
      <c r="H22" s="67"/>
      <c r="I22" s="67"/>
      <c r="J22" s="67"/>
      <c r="K22" s="67"/>
      <c r="L22" s="67"/>
      <c r="M22" s="67"/>
      <c r="N22" s="67"/>
      <c r="O22" s="876"/>
    </row>
    <row r="23" spans="2:27" ht="15.5">
      <c r="B23" s="55"/>
      <c r="C23" s="878" t="s">
        <v>8</v>
      </c>
      <c r="D23" s="878" t="s">
        <v>71</v>
      </c>
      <c r="E23" s="878" t="s">
        <v>30</v>
      </c>
      <c r="F23" s="87">
        <v>2013</v>
      </c>
      <c r="G23" s="87">
        <v>2015</v>
      </c>
      <c r="H23" s="87">
        <v>2020</v>
      </c>
      <c r="I23" s="87">
        <v>2025</v>
      </c>
      <c r="J23" s="87">
        <v>2030</v>
      </c>
      <c r="K23" s="87">
        <v>2035</v>
      </c>
      <c r="L23" s="87">
        <v>2040</v>
      </c>
      <c r="M23" s="87">
        <v>2045</v>
      </c>
      <c r="N23" s="87">
        <v>2050</v>
      </c>
      <c r="O23" s="876"/>
    </row>
    <row r="24" spans="2:27" ht="15.5">
      <c r="B24" s="55"/>
      <c r="C24" s="65">
        <v>1</v>
      </c>
      <c r="D24" s="103"/>
      <c r="E24" s="881"/>
      <c r="F24" s="883">
        <v>0</v>
      </c>
      <c r="G24" s="883">
        <v>0</v>
      </c>
      <c r="H24" s="883">
        <f>(Unit.GW)*-0.005</f>
        <v>-5.0000000000000001E-3</v>
      </c>
      <c r="I24" s="883">
        <v>0</v>
      </c>
      <c r="J24" s="883">
        <v>0</v>
      </c>
      <c r="K24" s="883">
        <v>0</v>
      </c>
      <c r="L24" s="883">
        <v>0</v>
      </c>
      <c r="M24" s="883">
        <v>0</v>
      </c>
      <c r="N24" s="883">
        <v>0</v>
      </c>
      <c r="O24" s="876"/>
    </row>
    <row r="25" spans="2:27" ht="15.5">
      <c r="B25" s="55"/>
      <c r="C25" s="65">
        <v>2</v>
      </c>
      <c r="D25" s="103"/>
      <c r="E25" s="103"/>
      <c r="F25" s="883">
        <v>0</v>
      </c>
      <c r="G25" s="886">
        <v>0</v>
      </c>
      <c r="H25" s="883">
        <v>0</v>
      </c>
      <c r="I25" s="883">
        <v>0</v>
      </c>
      <c r="J25" s="883">
        <v>0</v>
      </c>
      <c r="K25" s="883">
        <v>0</v>
      </c>
      <c r="L25" s="883">
        <v>0</v>
      </c>
      <c r="M25" s="883">
        <v>0</v>
      </c>
      <c r="N25" s="883">
        <v>0</v>
      </c>
      <c r="O25" s="876"/>
    </row>
    <row r="26" spans="2:27" ht="15.5">
      <c r="B26" s="55"/>
      <c r="C26" s="65">
        <v>3</v>
      </c>
      <c r="D26" s="103"/>
      <c r="E26" s="103"/>
      <c r="F26" s="883">
        <v>0</v>
      </c>
      <c r="G26" s="886">
        <v>0</v>
      </c>
      <c r="H26" s="883">
        <v>0</v>
      </c>
      <c r="I26" s="883">
        <v>0</v>
      </c>
      <c r="J26" s="883">
        <v>0</v>
      </c>
      <c r="K26" s="883">
        <v>0</v>
      </c>
      <c r="L26" s="883">
        <v>0</v>
      </c>
      <c r="M26" s="883">
        <v>0</v>
      </c>
      <c r="N26" s="883">
        <v>0</v>
      </c>
      <c r="O26" s="876"/>
    </row>
    <row r="27" spans="2:27" ht="15.5">
      <c r="B27" s="55"/>
      <c r="C27" s="887">
        <v>4</v>
      </c>
      <c r="D27" s="888"/>
      <c r="E27" s="888"/>
      <c r="F27" s="1147">
        <v>0</v>
      </c>
      <c r="G27" s="890">
        <v>0</v>
      </c>
      <c r="H27" s="1148">
        <v>0</v>
      </c>
      <c r="I27" s="1148">
        <v>0</v>
      </c>
      <c r="J27" s="1148">
        <v>0</v>
      </c>
      <c r="K27" s="1148">
        <v>0</v>
      </c>
      <c r="L27" s="1148">
        <v>0</v>
      </c>
      <c r="M27" s="1148">
        <v>0</v>
      </c>
      <c r="N27" s="1148">
        <v>0</v>
      </c>
      <c r="O27" s="876"/>
    </row>
    <row r="28" spans="2:27" ht="15.5">
      <c r="B28" s="55"/>
      <c r="C28" s="917" t="s">
        <v>37</v>
      </c>
      <c r="D28" s="194"/>
      <c r="E28" s="194"/>
      <c r="F28" s="1148">
        <f>(INDEX(F$24:F$27,ROUNDDOWN($E$7,0))*(1-MOD($E$7,1)))+(INDEX(F$24:F$27,ROUNDUP($E$7,0))*MOD($E$7,1))</f>
        <v>0</v>
      </c>
      <c r="G28" s="1149">
        <f t="shared" ref="G28:N28" si="1">(INDEX(G$24:G$27,ROUNDDOWN($E$7,0))*(1-MOD($E$7,1)))+(INDEX(G$24:G$27,ROUNDUP($E$7,0))*MOD($E$7,1))</f>
        <v>0</v>
      </c>
      <c r="H28" s="1148">
        <f t="shared" si="1"/>
        <v>-5.0000000000000001E-3</v>
      </c>
      <c r="I28" s="1148">
        <f t="shared" si="1"/>
        <v>0</v>
      </c>
      <c r="J28" s="1148">
        <f t="shared" si="1"/>
        <v>0</v>
      </c>
      <c r="K28" s="1148">
        <f t="shared" si="1"/>
        <v>0</v>
      </c>
      <c r="L28" s="1148">
        <f t="shared" si="1"/>
        <v>0</v>
      </c>
      <c r="M28" s="1148">
        <f t="shared" si="1"/>
        <v>0</v>
      </c>
      <c r="N28" s="124">
        <f t="shared" si="1"/>
        <v>0</v>
      </c>
      <c r="O28" s="876"/>
    </row>
    <row r="29" spans="2:27">
      <c r="B29" s="45"/>
      <c r="C29" s="67"/>
      <c r="D29" s="195"/>
      <c r="E29" s="67" t="s">
        <v>5</v>
      </c>
      <c r="F29" s="67"/>
      <c r="G29" s="67"/>
      <c r="H29" s="67"/>
      <c r="I29" s="67"/>
      <c r="J29" s="67"/>
      <c r="K29" s="67"/>
      <c r="L29" s="67"/>
      <c r="M29" s="67"/>
      <c r="N29" s="67"/>
      <c r="O29" s="876"/>
    </row>
    <row r="30" spans="2:27" s="3821" customFormat="1">
      <c r="B30" s="45"/>
      <c r="C30" s="67"/>
      <c r="D30" s="195"/>
      <c r="E30" s="67"/>
      <c r="F30" s="67"/>
      <c r="G30" s="67"/>
      <c r="H30" s="67"/>
      <c r="I30" s="67"/>
      <c r="J30" s="67"/>
      <c r="K30" s="67"/>
      <c r="L30" s="67"/>
      <c r="M30" s="67"/>
      <c r="N30" s="67"/>
      <c r="O30" s="876"/>
    </row>
    <row r="31" spans="2:27" s="3821" customFormat="1">
      <c r="B31" s="45"/>
      <c r="C31" s="3826" t="s">
        <v>63</v>
      </c>
      <c r="D31" s="2211"/>
      <c r="E31" s="67"/>
      <c r="F31" s="67"/>
      <c r="G31" s="67"/>
      <c r="H31" s="67"/>
      <c r="I31" s="67"/>
      <c r="J31" s="67"/>
      <c r="K31" s="67"/>
      <c r="L31" s="67"/>
      <c r="M31" s="67"/>
      <c r="N31" s="67"/>
      <c r="O31" s="876"/>
    </row>
    <row r="32" spans="2:27" s="3821" customFormat="1">
      <c r="B32" s="45"/>
      <c r="C32" s="3827" t="s">
        <v>64</v>
      </c>
      <c r="D32" s="2211" t="s">
        <v>2996</v>
      </c>
      <c r="E32" s="67"/>
      <c r="F32" s="67"/>
      <c r="G32" s="67"/>
      <c r="H32" s="67"/>
      <c r="I32" s="67"/>
      <c r="J32" s="67"/>
      <c r="K32" s="67"/>
      <c r="L32" s="67"/>
      <c r="M32" s="67"/>
      <c r="N32" s="67"/>
      <c r="O32" s="876"/>
    </row>
    <row r="33" spans="1:15" s="3821" customFormat="1">
      <c r="B33" s="45"/>
      <c r="C33" s="3828"/>
      <c r="D33" s="2211" t="s">
        <v>2995</v>
      </c>
      <c r="E33" s="67"/>
      <c r="F33" s="67"/>
      <c r="G33" s="67"/>
      <c r="H33" s="67"/>
      <c r="I33" s="67"/>
      <c r="J33" s="67"/>
      <c r="K33" s="67"/>
      <c r="L33" s="67"/>
      <c r="M33" s="67"/>
      <c r="N33" s="67"/>
      <c r="O33" s="876"/>
    </row>
    <row r="34" spans="1:15" s="3821" customFormat="1">
      <c r="B34" s="45"/>
      <c r="C34" s="3828"/>
      <c r="D34" s="2211" t="s">
        <v>2998</v>
      </c>
      <c r="E34" s="67"/>
      <c r="F34" s="67"/>
      <c r="G34" s="67"/>
      <c r="H34" s="67"/>
      <c r="I34" s="67"/>
      <c r="J34" s="67"/>
      <c r="K34" s="67"/>
      <c r="L34" s="67"/>
      <c r="M34" s="67"/>
      <c r="N34" s="67"/>
      <c r="O34" s="876"/>
    </row>
    <row r="35" spans="1:15" s="3821" customFormat="1">
      <c r="B35" s="45"/>
      <c r="C35" s="3828"/>
      <c r="D35" s="2211" t="s">
        <v>2997</v>
      </c>
      <c r="E35" s="67"/>
      <c r="F35" s="67"/>
      <c r="G35" s="67"/>
      <c r="H35" s="67"/>
      <c r="I35" s="67"/>
      <c r="J35" s="67"/>
      <c r="K35" s="67"/>
      <c r="L35" s="67"/>
      <c r="M35" s="67"/>
      <c r="N35" s="67"/>
      <c r="O35" s="876"/>
    </row>
    <row r="36" spans="1:15" s="3821" customFormat="1">
      <c r="B36" s="45"/>
      <c r="C36" s="3827" t="s">
        <v>66</v>
      </c>
      <c r="D36" s="2211" t="s">
        <v>3157</v>
      </c>
      <c r="E36" s="67"/>
      <c r="F36" s="67"/>
      <c r="G36" s="67"/>
      <c r="H36" s="67"/>
      <c r="I36" s="67"/>
      <c r="J36" s="67"/>
      <c r="K36" s="67"/>
      <c r="L36" s="67"/>
      <c r="M36" s="67"/>
      <c r="N36" s="67"/>
      <c r="O36" s="876"/>
    </row>
    <row r="37" spans="1:15" s="3821" customFormat="1">
      <c r="B37" s="45"/>
      <c r="C37" s="3827"/>
      <c r="D37" s="2211"/>
      <c r="E37" s="67"/>
      <c r="F37" s="67"/>
      <c r="G37" s="67"/>
      <c r="H37" s="67"/>
      <c r="I37" s="67"/>
      <c r="J37" s="67"/>
      <c r="K37" s="67"/>
      <c r="L37" s="67"/>
      <c r="M37" s="67"/>
      <c r="N37" s="67"/>
      <c r="O37" s="876"/>
    </row>
    <row r="38" spans="1:15">
      <c r="B38" s="106"/>
      <c r="C38" s="1065"/>
      <c r="D38" s="1150"/>
      <c r="E38" s="1065"/>
      <c r="F38" s="1065"/>
      <c r="G38" s="1065"/>
      <c r="H38" s="1065"/>
      <c r="I38" s="1065"/>
      <c r="J38" s="1065"/>
      <c r="K38" s="1065"/>
      <c r="L38" s="1065"/>
      <c r="M38" s="1065"/>
      <c r="N38" s="1065"/>
      <c r="O38" s="1100"/>
    </row>
    <row r="40" spans="1:15" s="6" customFormat="1" ht="23.5">
      <c r="A40" s="40"/>
      <c r="B40" s="869" t="s">
        <v>69</v>
      </c>
      <c r="C40" s="870"/>
      <c r="D40" s="870"/>
      <c r="E40" s="870"/>
      <c r="F40" s="870"/>
      <c r="G40" s="870"/>
      <c r="H40" s="870"/>
      <c r="I40" s="870"/>
      <c r="J40" s="870"/>
      <c r="K40" s="870"/>
      <c r="L40" s="870"/>
      <c r="M40" s="870"/>
      <c r="N40" s="870"/>
      <c r="O40" s="871"/>
    </row>
    <row r="41" spans="1:15">
      <c r="B41" s="105"/>
      <c r="C41" s="67"/>
      <c r="D41" s="67"/>
      <c r="E41" s="67"/>
      <c r="F41" s="67"/>
      <c r="G41" s="67"/>
      <c r="H41" s="67"/>
      <c r="I41" s="67"/>
      <c r="J41" s="67"/>
      <c r="K41" s="67"/>
      <c r="L41" s="67"/>
      <c r="M41" s="67"/>
      <c r="N41" s="67"/>
      <c r="O41" s="876"/>
    </row>
    <row r="42" spans="1:15">
      <c r="B42" s="105"/>
      <c r="C42" s="49" t="s">
        <v>2971</v>
      </c>
      <c r="D42" s="67"/>
      <c r="E42" s="67"/>
      <c r="F42" s="67"/>
      <c r="G42" s="67"/>
      <c r="H42" s="67"/>
      <c r="I42" s="67"/>
      <c r="J42" s="67"/>
      <c r="K42" s="67"/>
      <c r="L42" s="67"/>
      <c r="M42" s="67"/>
      <c r="N42" s="51" t="str">
        <f>Preferences.PowerUnits</f>
        <v>GW</v>
      </c>
      <c r="O42" s="876"/>
    </row>
    <row r="43" spans="1:15">
      <c r="B43" s="105"/>
      <c r="C43" s="49"/>
      <c r="D43" s="67"/>
      <c r="E43" s="67"/>
      <c r="F43" s="67"/>
      <c r="G43" s="67"/>
      <c r="H43" s="67"/>
      <c r="I43" s="67"/>
      <c r="J43" s="67"/>
      <c r="K43" s="67"/>
      <c r="L43" s="67"/>
      <c r="M43" s="67"/>
      <c r="N43" s="67"/>
      <c r="O43" s="876"/>
    </row>
    <row r="44" spans="1:15">
      <c r="B44" s="105"/>
      <c r="C44" s="878" t="s">
        <v>8</v>
      </c>
      <c r="D44" s="878" t="s">
        <v>71</v>
      </c>
      <c r="E44" s="878" t="s">
        <v>30</v>
      </c>
      <c r="F44" s="87">
        <v>2013</v>
      </c>
      <c r="G44" s="87">
        <v>2015</v>
      </c>
      <c r="H44" s="87">
        <v>2020</v>
      </c>
      <c r="I44" s="87">
        <v>2025</v>
      </c>
      <c r="J44" s="87">
        <v>2030</v>
      </c>
      <c r="K44" s="87">
        <v>2035</v>
      </c>
      <c r="L44" s="87">
        <v>2040</v>
      </c>
      <c r="M44" s="87">
        <v>2045</v>
      </c>
      <c r="N44" s="87">
        <v>2050</v>
      </c>
      <c r="O44" s="876"/>
    </row>
    <row r="45" spans="1:15">
      <c r="B45" s="105"/>
      <c r="C45" s="65" t="s">
        <v>836</v>
      </c>
      <c r="D45" s="103"/>
      <c r="E45" s="881"/>
      <c r="F45" s="883"/>
      <c r="G45" s="883"/>
      <c r="H45" s="883"/>
      <c r="I45" s="883"/>
      <c r="J45" s="883"/>
      <c r="K45" s="883"/>
      <c r="L45" s="883"/>
      <c r="M45" s="883"/>
      <c r="N45" s="59"/>
      <c r="O45" s="876"/>
    </row>
    <row r="46" spans="1:15">
      <c r="B46" s="105"/>
      <c r="C46" s="917" t="s">
        <v>837</v>
      </c>
      <c r="D46" s="194"/>
      <c r="E46" s="194"/>
      <c r="F46" s="1148"/>
      <c r="G46" s="1148"/>
      <c r="H46" s="1148"/>
      <c r="I46" s="1148"/>
      <c r="J46" s="1148"/>
      <c r="K46" s="1148"/>
      <c r="L46" s="1148"/>
      <c r="M46" s="1148"/>
      <c r="N46" s="124"/>
      <c r="O46" s="876"/>
    </row>
    <row r="47" spans="1:15">
      <c r="B47" s="105"/>
      <c r="C47" s="65"/>
      <c r="D47" s="103"/>
      <c r="E47" s="103"/>
      <c r="F47" s="883"/>
      <c r="G47" s="886"/>
      <c r="H47" s="886"/>
      <c r="I47" s="886"/>
      <c r="J47" s="886"/>
      <c r="K47" s="886"/>
      <c r="L47" s="886"/>
      <c r="M47" s="886"/>
      <c r="N47" s="60"/>
      <c r="O47" s="876"/>
    </row>
    <row r="48" spans="1:15">
      <c r="B48" s="105"/>
      <c r="C48" s="49" t="s">
        <v>838</v>
      </c>
      <c r="D48" s="67"/>
      <c r="E48" s="51"/>
      <c r="F48" s="67"/>
      <c r="G48" s="67"/>
      <c r="H48" s="67"/>
      <c r="I48" s="67"/>
      <c r="J48" s="67"/>
      <c r="K48" s="67"/>
      <c r="L48" s="67"/>
      <c r="M48" s="67"/>
      <c r="N48" s="51" t="str">
        <f>Preferences.PowerUnits</f>
        <v>GW</v>
      </c>
      <c r="O48" s="876"/>
    </row>
    <row r="49" spans="2:15">
      <c r="B49" s="105"/>
      <c r="C49" s="67"/>
      <c r="D49" s="67"/>
      <c r="E49" s="67"/>
      <c r="F49" s="67"/>
      <c r="G49" s="67"/>
      <c r="H49" s="67"/>
      <c r="I49" s="67"/>
      <c r="J49" s="67"/>
      <c r="K49" s="67"/>
      <c r="L49" s="67"/>
      <c r="M49" s="67"/>
      <c r="N49" s="67"/>
      <c r="O49" s="876"/>
    </row>
    <row r="50" spans="2:15" ht="15.5">
      <c r="B50" s="55"/>
      <c r="C50" s="878" t="s">
        <v>131</v>
      </c>
      <c r="D50" s="878" t="s">
        <v>712</v>
      </c>
      <c r="E50" s="878" t="s">
        <v>30</v>
      </c>
      <c r="F50" s="87">
        <v>2013</v>
      </c>
      <c r="G50" s="87">
        <v>2015</v>
      </c>
      <c r="H50" s="87">
        <v>2020</v>
      </c>
      <c r="I50" s="87">
        <v>2025</v>
      </c>
      <c r="J50" s="87">
        <v>2030</v>
      </c>
      <c r="K50" s="87">
        <v>2035</v>
      </c>
      <c r="L50" s="87">
        <v>2040</v>
      </c>
      <c r="M50" s="87">
        <v>2045</v>
      </c>
      <c r="N50" s="87">
        <v>2050</v>
      </c>
      <c r="O50" s="876"/>
    </row>
    <row r="51" spans="2:15" s="6" customFormat="1" ht="15.5">
      <c r="B51" s="966"/>
      <c r="C51" s="917" t="s">
        <v>438</v>
      </c>
      <c r="D51" s="194" t="s">
        <v>514</v>
      </c>
      <c r="E51" s="194" t="s">
        <v>64</v>
      </c>
      <c r="F51" s="1014">
        <f>0.025*Unit.GW</f>
        <v>2.5000000000000001E-2</v>
      </c>
      <c r="G51" s="1014"/>
      <c r="H51" s="1014"/>
      <c r="I51" s="1014"/>
      <c r="J51" s="1014"/>
      <c r="K51" s="1014"/>
      <c r="L51" s="1014"/>
      <c r="M51" s="1014"/>
      <c r="N51" s="1014"/>
      <c r="O51" s="884"/>
    </row>
    <row r="52" spans="2:15">
      <c r="B52" s="45"/>
      <c r="C52" s="67"/>
      <c r="D52" s="195"/>
      <c r="E52" s="67"/>
      <c r="F52" s="67"/>
      <c r="G52" s="67"/>
      <c r="H52" s="67"/>
      <c r="I52" s="67"/>
      <c r="J52" s="67"/>
      <c r="K52" s="67"/>
      <c r="L52" s="67"/>
      <c r="M52" s="67"/>
      <c r="N52" s="67"/>
      <c r="O52" s="876"/>
    </row>
    <row r="53" spans="2:15">
      <c r="B53" s="105"/>
      <c r="C53" s="49" t="s">
        <v>839</v>
      </c>
      <c r="D53" s="67"/>
      <c r="E53" s="67"/>
      <c r="F53" s="67"/>
      <c r="G53" s="67"/>
      <c r="H53" s="67"/>
      <c r="I53" s="67"/>
      <c r="J53" s="67"/>
      <c r="K53" s="67"/>
      <c r="L53" s="67"/>
      <c r="M53" s="67"/>
      <c r="N53" s="67"/>
      <c r="O53" s="876"/>
    </row>
    <row r="54" spans="2:15">
      <c r="B54" s="105"/>
      <c r="C54" s="67"/>
      <c r="D54" s="67"/>
      <c r="E54" s="67"/>
      <c r="F54" s="67"/>
      <c r="G54" s="67"/>
      <c r="H54" s="67"/>
      <c r="I54" s="67"/>
      <c r="J54" s="67"/>
      <c r="K54" s="67"/>
      <c r="L54" s="67"/>
      <c r="M54" s="67"/>
      <c r="N54" s="67"/>
      <c r="O54" s="876"/>
    </row>
    <row r="55" spans="2:15" ht="15.5">
      <c r="B55" s="55"/>
      <c r="C55" s="878" t="s">
        <v>131</v>
      </c>
      <c r="D55" s="878" t="s">
        <v>712</v>
      </c>
      <c r="E55" s="878" t="s">
        <v>30</v>
      </c>
      <c r="F55" s="87">
        <v>2013</v>
      </c>
      <c r="G55" s="87">
        <v>2015</v>
      </c>
      <c r="H55" s="87">
        <v>2020</v>
      </c>
      <c r="I55" s="87">
        <v>2025</v>
      </c>
      <c r="J55" s="87">
        <v>2030</v>
      </c>
      <c r="K55" s="87">
        <v>2035</v>
      </c>
      <c r="L55" s="87">
        <v>2040</v>
      </c>
      <c r="M55" s="87">
        <v>2045</v>
      </c>
      <c r="N55" s="87">
        <v>2050</v>
      </c>
      <c r="O55" s="876"/>
    </row>
    <row r="56" spans="2:15" ht="15.5">
      <c r="B56" s="55"/>
      <c r="C56" s="917" t="s">
        <v>438</v>
      </c>
      <c r="D56" s="194" t="s">
        <v>514</v>
      </c>
      <c r="E56" s="194" t="s">
        <v>66</v>
      </c>
      <c r="F56" s="1151">
        <v>0.38</v>
      </c>
      <c r="G56" s="910">
        <v>0.38</v>
      </c>
      <c r="H56" s="910">
        <v>0.4</v>
      </c>
      <c r="I56" s="910">
        <v>0.4</v>
      </c>
      <c r="J56" s="910">
        <v>0.43</v>
      </c>
      <c r="K56" s="910">
        <v>0.45</v>
      </c>
      <c r="L56" s="910">
        <v>0.45</v>
      </c>
      <c r="M56" s="910">
        <v>0.45</v>
      </c>
      <c r="N56" s="142">
        <v>0.45</v>
      </c>
      <c r="O56" s="876"/>
    </row>
    <row r="57" spans="2:15" ht="15.5">
      <c r="B57" s="55"/>
      <c r="C57" s="65"/>
      <c r="D57" s="103"/>
      <c r="E57" s="103"/>
      <c r="F57" s="296"/>
      <c r="G57" s="88"/>
      <c r="H57" s="88"/>
      <c r="I57" s="88"/>
      <c r="J57" s="88"/>
      <c r="K57" s="88"/>
      <c r="L57" s="88"/>
      <c r="M57" s="88"/>
      <c r="N57" s="88"/>
      <c r="O57" s="876"/>
    </row>
    <row r="58" spans="2:15" ht="15.5">
      <c r="B58" s="55"/>
      <c r="C58" s="49" t="s">
        <v>716</v>
      </c>
      <c r="D58" s="67"/>
      <c r="E58" s="67"/>
      <c r="F58" s="67"/>
      <c r="G58" s="67"/>
      <c r="H58" s="67"/>
      <c r="I58" s="67"/>
      <c r="J58" s="67"/>
      <c r="K58" s="67"/>
      <c r="L58" s="67"/>
      <c r="M58" s="67"/>
      <c r="N58" s="67"/>
      <c r="O58" s="876"/>
    </row>
    <row r="59" spans="2:15" ht="15.5">
      <c r="B59" s="55"/>
      <c r="C59" s="67"/>
      <c r="D59" s="67"/>
      <c r="E59" s="67"/>
      <c r="F59" s="67"/>
      <c r="G59" s="67"/>
      <c r="H59" s="67"/>
      <c r="I59" s="67"/>
      <c r="J59" s="67"/>
      <c r="K59" s="67"/>
      <c r="L59" s="67"/>
      <c r="M59" s="67"/>
      <c r="N59" s="67"/>
      <c r="O59" s="876"/>
    </row>
    <row r="60" spans="2:15" ht="15.5">
      <c r="B60" s="55"/>
      <c r="C60" s="878"/>
      <c r="D60" s="878"/>
      <c r="E60" s="878"/>
      <c r="F60" s="87"/>
      <c r="G60" s="1152" t="s">
        <v>876</v>
      </c>
      <c r="H60" s="1152"/>
      <c r="I60" s="911"/>
      <c r="J60" s="911"/>
      <c r="K60" s="911"/>
      <c r="L60" s="911"/>
      <c r="M60" s="911"/>
      <c r="N60" s="911"/>
      <c r="O60" s="876"/>
    </row>
    <row r="61" spans="2:15" ht="15.5">
      <c r="B61" s="55"/>
      <c r="C61" s="914"/>
      <c r="D61" s="915" t="s">
        <v>840</v>
      </c>
      <c r="E61" s="914"/>
      <c r="F61" s="1153">
        <f>5.8*Unit.MW</f>
        <v>5.7999999999999996E-3</v>
      </c>
      <c r="G61" s="1213" t="str">
        <f>Preferences.PowerUnits&amp;"peak"</f>
        <v>GWpeak</v>
      </c>
      <c r="H61" s="1154"/>
      <c r="I61" s="911"/>
      <c r="J61" s="911"/>
      <c r="K61" s="911"/>
      <c r="L61" s="911"/>
      <c r="M61" s="911"/>
      <c r="N61" s="911"/>
      <c r="O61" s="876"/>
    </row>
    <row r="62" spans="2:15" ht="15.5">
      <c r="B62" s="55"/>
      <c r="C62" s="917"/>
      <c r="D62" s="194" t="s">
        <v>841</v>
      </c>
      <c r="E62" s="194" t="s">
        <v>105</v>
      </c>
      <c r="F62" s="2461">
        <f>(9)*Unit.W*Conversion.to.annual.energy/Unit.m2</f>
        <v>7.8894000000000006E-2</v>
      </c>
      <c r="G62" s="1156" t="str">
        <f>Preferences.EnergyUnits&amp;"/"&amp;Preferences.AreaUnits</f>
        <v>TWh/km^2</v>
      </c>
      <c r="H62" s="1156"/>
      <c r="I62" s="59"/>
      <c r="J62" s="59"/>
      <c r="K62" s="59"/>
      <c r="L62" s="59"/>
      <c r="M62" s="59"/>
      <c r="N62" s="59"/>
      <c r="O62" s="876"/>
    </row>
    <row r="63" spans="2:15" ht="15.5">
      <c r="B63" s="55"/>
      <c r="C63" s="65"/>
      <c r="D63" s="103"/>
      <c r="E63" s="103"/>
      <c r="F63" s="1062"/>
      <c r="G63" s="934"/>
      <c r="H63" s="67"/>
      <c r="I63" s="59"/>
      <c r="J63" s="59"/>
      <c r="K63" s="59"/>
      <c r="L63" s="59"/>
      <c r="M63" s="59"/>
      <c r="N63" s="59"/>
      <c r="O63" s="876"/>
    </row>
    <row r="64" spans="2:15" ht="15.5">
      <c r="B64" s="55"/>
      <c r="C64" s="3826" t="s">
        <v>63</v>
      </c>
      <c r="D64" s="67"/>
      <c r="E64" s="67"/>
      <c r="F64" s="1062"/>
      <c r="G64" s="934"/>
      <c r="H64" s="67"/>
      <c r="I64" s="59"/>
      <c r="J64" s="59"/>
      <c r="K64" s="59"/>
      <c r="L64" s="59"/>
      <c r="M64" s="59"/>
      <c r="N64" s="59"/>
      <c r="O64" s="876"/>
    </row>
    <row r="65" spans="1:113" ht="15.5">
      <c r="B65" s="55"/>
      <c r="C65" s="3827" t="s">
        <v>64</v>
      </c>
      <c r="D65" s="3828" t="s">
        <v>2972</v>
      </c>
      <c r="E65" s="67"/>
      <c r="F65" s="1062"/>
      <c r="G65" s="934"/>
      <c r="H65" s="67"/>
      <c r="I65" s="59"/>
      <c r="J65" s="59"/>
      <c r="K65" s="59"/>
      <c r="L65" s="59"/>
      <c r="M65" s="59"/>
      <c r="N65" s="59"/>
      <c r="O65" s="876"/>
    </row>
    <row r="66" spans="1:113" ht="15.5">
      <c r="B66" s="55"/>
      <c r="C66" s="3832" t="s">
        <v>66</v>
      </c>
      <c r="D66" s="2211" t="s">
        <v>842</v>
      </c>
      <c r="E66" s="67"/>
      <c r="F66" s="1062"/>
      <c r="G66" s="934"/>
      <c r="H66" s="67"/>
      <c r="I66" s="59"/>
      <c r="J66" s="59"/>
      <c r="K66" s="59"/>
      <c r="L66" s="59"/>
      <c r="M66" s="59"/>
      <c r="N66" s="59"/>
      <c r="O66" s="876"/>
    </row>
    <row r="67" spans="1:113" ht="15.5">
      <c r="B67" s="55"/>
      <c r="C67" s="3832"/>
      <c r="D67" s="2211" t="s">
        <v>843</v>
      </c>
      <c r="E67" s="3825"/>
      <c r="F67" s="1062"/>
      <c r="G67" s="934"/>
      <c r="H67" s="67"/>
      <c r="I67" s="59"/>
      <c r="J67" s="59"/>
      <c r="K67" s="59"/>
      <c r="L67" s="59"/>
      <c r="M67" s="59"/>
      <c r="N67" s="59"/>
      <c r="O67" s="876"/>
    </row>
    <row r="68" spans="1:113">
      <c r="B68" s="105"/>
      <c r="C68" s="3832"/>
      <c r="D68" s="2211" t="s">
        <v>844</v>
      </c>
      <c r="E68" s="3825"/>
      <c r="F68" s="67"/>
      <c r="G68" s="67"/>
      <c r="H68" s="67"/>
      <c r="I68" s="67"/>
      <c r="J68" s="67"/>
      <c r="K68" s="67"/>
      <c r="L68" s="67"/>
      <c r="M68" s="67"/>
      <c r="N68" s="67"/>
      <c r="O68" s="876"/>
    </row>
    <row r="69" spans="1:113">
      <c r="B69" s="105"/>
      <c r="C69" s="3832" t="s">
        <v>105</v>
      </c>
      <c r="D69" s="2211" t="s">
        <v>3358</v>
      </c>
      <c r="E69" s="3825"/>
      <c r="F69" s="67"/>
      <c r="G69" s="67"/>
      <c r="H69" s="67"/>
      <c r="I69" s="67"/>
      <c r="J69" s="67"/>
      <c r="K69" s="67"/>
      <c r="L69" s="67"/>
      <c r="M69" s="67"/>
      <c r="N69" s="67"/>
      <c r="O69" s="876"/>
    </row>
    <row r="70" spans="1:113">
      <c r="B70" s="45"/>
      <c r="C70" s="3832" t="s">
        <v>5</v>
      </c>
      <c r="D70" s="2211" t="s">
        <v>5</v>
      </c>
      <c r="E70" s="3825"/>
      <c r="F70" s="67"/>
      <c r="G70" s="67"/>
      <c r="H70" s="67"/>
      <c r="I70" s="67"/>
      <c r="J70" s="67"/>
      <c r="K70" s="67"/>
      <c r="L70" s="67"/>
      <c r="M70" s="67"/>
      <c r="N70" s="67"/>
      <c r="O70" s="876"/>
    </row>
    <row r="71" spans="1:113">
      <c r="B71" s="1163"/>
      <c r="C71" s="1065"/>
      <c r="D71" s="1065"/>
      <c r="E71" s="1065"/>
      <c r="F71" s="1065"/>
      <c r="G71" s="1065"/>
      <c r="H71" s="1065"/>
      <c r="I71" s="1065"/>
      <c r="J71" s="1065"/>
      <c r="K71" s="1065"/>
      <c r="L71" s="1065"/>
      <c r="M71" s="1065"/>
      <c r="N71" s="1065"/>
      <c r="O71" s="1065"/>
      <c r="P71" s="1068"/>
      <c r="Q71" s="1164"/>
      <c r="R71" s="1164"/>
      <c r="S71" s="1164"/>
      <c r="T71" s="1164"/>
      <c r="U71" s="1164"/>
      <c r="V71" s="1164"/>
      <c r="W71" s="1164"/>
      <c r="X71" s="1164"/>
      <c r="Y71" s="1164"/>
      <c r="Z71" s="1164"/>
      <c r="AA71" s="1164"/>
      <c r="AB71" s="1164"/>
      <c r="AC71" s="1164"/>
      <c r="AD71" s="1164"/>
      <c r="AE71" s="1164"/>
      <c r="AF71" s="1068"/>
      <c r="AG71" s="1068"/>
    </row>
    <row r="72" spans="1:113">
      <c r="P72" s="1068"/>
      <c r="Q72" s="1164"/>
      <c r="R72" s="1164"/>
      <c r="S72" s="1164"/>
      <c r="T72" s="1164"/>
      <c r="U72" s="1164"/>
      <c r="V72" s="1164"/>
      <c r="W72" s="1164"/>
      <c r="X72" s="1164"/>
      <c r="Y72" s="1164"/>
      <c r="Z72" s="1164"/>
      <c r="AA72" s="1164"/>
      <c r="AB72" s="1164"/>
      <c r="AC72" s="1164"/>
      <c r="AD72" s="1164"/>
      <c r="AE72" s="1164"/>
      <c r="AF72" s="1068"/>
      <c r="AG72" s="1068"/>
    </row>
    <row r="73" spans="1:113" s="6" customFormat="1" ht="23.5">
      <c r="A73" s="40"/>
      <c r="B73" s="869" t="s">
        <v>2719</v>
      </c>
      <c r="C73" s="870"/>
      <c r="D73" s="870"/>
      <c r="E73" s="870"/>
      <c r="F73" s="870"/>
      <c r="G73" s="870"/>
      <c r="H73" s="870"/>
      <c r="I73" s="870"/>
      <c r="J73" s="870"/>
      <c r="K73" s="870"/>
      <c r="L73" s="870"/>
      <c r="M73" s="870"/>
      <c r="N73" s="870"/>
      <c r="O73" s="870"/>
      <c r="P73" s="647"/>
      <c r="Q73" s="647"/>
      <c r="R73" s="647"/>
      <c r="S73" s="647"/>
      <c r="T73" s="647"/>
      <c r="U73" s="647"/>
      <c r="V73" s="509"/>
      <c r="W73" s="1165"/>
      <c r="X73" s="1165"/>
      <c r="Y73" s="1165"/>
      <c r="Z73" s="1165"/>
      <c r="AA73" s="1166"/>
      <c r="AB73" s="1165"/>
      <c r="AC73" s="1165"/>
      <c r="AD73" s="1167"/>
      <c r="AE73" s="647"/>
      <c r="AF73" s="647"/>
      <c r="AG73" s="647"/>
    </row>
    <row r="74" spans="1:113" ht="6" hidden="1" customHeight="1">
      <c r="B74" s="872"/>
      <c r="C74" s="873"/>
      <c r="D74" s="873"/>
      <c r="E74" s="873"/>
      <c r="F74" s="873"/>
      <c r="G74" s="873"/>
      <c r="H74" s="873"/>
      <c r="I74" s="873"/>
      <c r="J74" s="873"/>
      <c r="K74" s="873"/>
      <c r="L74" s="873"/>
      <c r="M74" s="873"/>
      <c r="N74" s="873"/>
      <c r="O74" s="873"/>
      <c r="P74" s="1068"/>
      <c r="Q74" s="1164"/>
      <c r="R74" s="1164"/>
      <c r="S74" s="1164"/>
      <c r="T74" s="1164"/>
      <c r="U74" s="1164"/>
      <c r="V74" s="1166"/>
      <c r="W74" s="1165"/>
      <c r="X74" s="1165"/>
      <c r="Y74" s="1165"/>
      <c r="Z74" s="1165"/>
      <c r="AA74" s="1166"/>
      <c r="AB74" s="1165"/>
      <c r="AC74" s="1165"/>
      <c r="AD74" s="1168"/>
      <c r="AE74" s="1164"/>
      <c r="AF74" s="1068"/>
      <c r="AG74" s="1068"/>
    </row>
    <row r="75" spans="1:113" s="6" customFormat="1" hidden="1">
      <c r="A75"/>
      <c r="B75" s="105"/>
      <c r="C75" s="49" t="s">
        <v>845</v>
      </c>
      <c r="D75" s="915"/>
      <c r="E75" s="932"/>
      <c r="F75" s="933"/>
      <c r="G75" s="934"/>
      <c r="H75" s="934"/>
      <c r="I75" s="934"/>
      <c r="J75" s="934"/>
      <c r="K75" s="934"/>
      <c r="L75" s="934"/>
      <c r="M75" s="934"/>
      <c r="N75" s="935" t="s">
        <v>2743</v>
      </c>
      <c r="O75" s="67"/>
      <c r="P75" s="1068"/>
      <c r="Q75" s="647"/>
      <c r="R75" s="647"/>
      <c r="S75" s="647"/>
      <c r="T75" s="647"/>
      <c r="U75" s="1164"/>
      <c r="V75" s="1166"/>
      <c r="W75" s="620"/>
      <c r="X75" s="620"/>
      <c r="Y75" s="620"/>
      <c r="Z75" s="620"/>
      <c r="AA75" s="1166"/>
      <c r="AB75" s="620"/>
      <c r="AC75" s="620"/>
      <c r="AD75" s="1169"/>
      <c r="AE75" s="1164"/>
      <c r="AF75" s="1068"/>
      <c r="AG75" s="1068"/>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05"/>
      <c r="C76" s="937"/>
      <c r="D76" s="915"/>
      <c r="E76" s="932"/>
      <c r="F76" s="933"/>
      <c r="G76" s="934"/>
      <c r="H76" s="934"/>
      <c r="I76" s="934"/>
      <c r="J76" s="934"/>
      <c r="K76" s="934"/>
      <c r="L76" s="934"/>
      <c r="M76" s="934"/>
      <c r="N76" s="67"/>
      <c r="O76" s="67"/>
      <c r="P76" s="1068"/>
      <c r="Q76" s="647"/>
      <c r="R76" s="647"/>
      <c r="S76" s="647"/>
      <c r="T76" s="647"/>
      <c r="U76" s="1164"/>
      <c r="V76" s="1166"/>
      <c r="W76" s="620"/>
      <c r="X76" s="620"/>
      <c r="Y76" s="620"/>
      <c r="Z76" s="620"/>
      <c r="AA76" s="1166"/>
      <c r="AB76" s="620"/>
      <c r="AC76" s="620"/>
      <c r="AD76" s="1169"/>
      <c r="AE76" s="1164"/>
      <c r="AF76" s="1068"/>
      <c r="AG76" s="1068"/>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05"/>
      <c r="C77" s="1170" t="s">
        <v>846</v>
      </c>
      <c r="D77" s="1070"/>
      <c r="E77" s="971" t="s">
        <v>159</v>
      </c>
      <c r="F77" s="972">
        <v>2013</v>
      </c>
      <c r="G77" s="965">
        <v>2015</v>
      </c>
      <c r="H77" s="965">
        <v>2020</v>
      </c>
      <c r="I77" s="965">
        <v>2025</v>
      </c>
      <c r="J77" s="965">
        <v>2030</v>
      </c>
      <c r="K77" s="965">
        <v>2035</v>
      </c>
      <c r="L77" s="965">
        <v>2040</v>
      </c>
      <c r="M77" s="965">
        <v>2045</v>
      </c>
      <c r="N77" s="965">
        <v>2050</v>
      </c>
      <c r="O77" s="67"/>
      <c r="P77" s="1068"/>
      <c r="Q77" s="647"/>
      <c r="R77" s="647"/>
      <c r="S77" s="647"/>
      <c r="T77" s="647"/>
      <c r="U77" s="1164"/>
      <c r="V77" s="1171"/>
      <c r="W77" s="1171"/>
      <c r="X77" s="1171"/>
      <c r="Y77" s="1171"/>
      <c r="Z77" s="1171"/>
      <c r="AA77" s="1164"/>
      <c r="AB77" s="1171"/>
      <c r="AC77" s="1171"/>
      <c r="AD77" s="1172"/>
      <c r="AE77" s="1164"/>
      <c r="AF77" s="1068"/>
      <c r="AG77" s="1068"/>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05"/>
      <c r="C78" s="967" t="s">
        <v>719</v>
      </c>
      <c r="D78" s="1070"/>
      <c r="E78" s="957"/>
      <c r="F78" s="958"/>
      <c r="G78" s="958"/>
      <c r="H78" s="958"/>
      <c r="I78" s="958"/>
      <c r="J78" s="958"/>
      <c r="K78" s="958"/>
      <c r="L78" s="958"/>
      <c r="M78" s="958"/>
      <c r="N78" s="958"/>
      <c r="O78" s="67"/>
      <c r="P78" s="1068"/>
      <c r="Q78" s="647"/>
      <c r="R78" s="647"/>
      <c r="S78" s="647"/>
      <c r="T78" s="647"/>
      <c r="U78" s="647"/>
      <c r="V78" s="647"/>
      <c r="W78" s="647"/>
      <c r="X78" s="647"/>
      <c r="Y78" s="647"/>
      <c r="Z78" s="1164"/>
      <c r="AA78" s="1164"/>
      <c r="AB78" s="1164"/>
      <c r="AC78" s="1164"/>
      <c r="AD78" s="1164"/>
      <c r="AE78" s="1164"/>
      <c r="AF78" s="1068"/>
      <c r="AG78" s="106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05"/>
      <c r="C79" s="943" t="s">
        <v>720</v>
      </c>
      <c r="D79" s="915"/>
      <c r="E79" s="944"/>
      <c r="F79" s="933"/>
      <c r="G79" s="933"/>
      <c r="H79" s="933"/>
      <c r="I79" s="933"/>
      <c r="J79" s="933"/>
      <c r="K79" s="933"/>
      <c r="L79" s="933"/>
      <c r="M79" s="933"/>
      <c r="N79" s="933"/>
      <c r="O79" s="67"/>
      <c r="P79" s="1173"/>
      <c r="Q79" s="647"/>
      <c r="R79" s="647"/>
      <c r="S79" s="647"/>
      <c r="T79" s="647"/>
      <c r="U79" s="647"/>
      <c r="V79" s="647"/>
      <c r="W79" s="647"/>
      <c r="X79" s="647"/>
      <c r="Y79" s="647"/>
      <c r="Z79" s="1164"/>
      <c r="AA79" s="1164"/>
      <c r="AB79" s="1164"/>
      <c r="AC79" s="1164"/>
      <c r="AD79" s="1164"/>
      <c r="AE79" s="1164"/>
      <c r="AF79" s="1068"/>
      <c r="AG79" s="1068"/>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05"/>
      <c r="C80" s="947" t="s">
        <v>721</v>
      </c>
      <c r="D80" s="948"/>
      <c r="E80" s="949"/>
      <c r="F80" s="960"/>
      <c r="G80" s="960"/>
      <c r="H80" s="960"/>
      <c r="I80" s="960"/>
      <c r="J80" s="960"/>
      <c r="K80" s="960"/>
      <c r="L80" s="960"/>
      <c r="M80" s="960"/>
      <c r="N80" s="960"/>
      <c r="O80" s="67"/>
      <c r="P80" s="1068"/>
      <c r="Q80" s="647"/>
      <c r="R80" s="647"/>
      <c r="S80" s="647"/>
      <c r="T80" s="647"/>
      <c r="U80" s="647"/>
      <c r="V80" s="647"/>
      <c r="W80" s="647"/>
      <c r="X80" s="647"/>
      <c r="Y80" s="647"/>
      <c r="Z80" s="1164"/>
      <c r="AA80" s="1164"/>
      <c r="AB80" s="1164"/>
      <c r="AC80" s="1164"/>
      <c r="AD80" s="1164"/>
      <c r="AE80" s="1164"/>
      <c r="AF80" s="1068"/>
      <c r="AG80" s="1068"/>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05"/>
      <c r="C81" s="943"/>
      <c r="D81" s="915"/>
      <c r="E81" s="944"/>
      <c r="F81" s="933"/>
      <c r="G81" s="933"/>
      <c r="H81" s="933"/>
      <c r="I81" s="933"/>
      <c r="J81" s="933"/>
      <c r="K81" s="933"/>
      <c r="L81" s="933"/>
      <c r="M81" s="933"/>
      <c r="N81" s="933"/>
      <c r="O81" s="67"/>
      <c r="P81" s="1068"/>
      <c r="Q81" s="647"/>
      <c r="R81" s="647"/>
      <c r="S81" s="647"/>
      <c r="T81" s="647"/>
      <c r="U81" s="647"/>
      <c r="V81" s="647"/>
      <c r="W81" s="647"/>
      <c r="X81" s="647"/>
      <c r="Y81" s="647"/>
      <c r="Z81" s="1164"/>
      <c r="AA81" s="1164"/>
      <c r="AB81" s="1164"/>
      <c r="AC81" s="1164"/>
      <c r="AD81" s="1164"/>
      <c r="AE81" s="1164"/>
      <c r="AF81" s="1068"/>
      <c r="AG81" s="1068"/>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05"/>
      <c r="C82" s="1170" t="s">
        <v>847</v>
      </c>
      <c r="D82" s="1070"/>
      <c r="E82" s="971" t="s">
        <v>159</v>
      </c>
      <c r="F82" s="972">
        <v>2013</v>
      </c>
      <c r="G82" s="965">
        <v>2015</v>
      </c>
      <c r="H82" s="965">
        <v>2020</v>
      </c>
      <c r="I82" s="965">
        <v>2025</v>
      </c>
      <c r="J82" s="965">
        <v>2030</v>
      </c>
      <c r="K82" s="965">
        <v>2035</v>
      </c>
      <c r="L82" s="965">
        <v>2040</v>
      </c>
      <c r="M82" s="965">
        <v>2045</v>
      </c>
      <c r="N82" s="965">
        <v>2050</v>
      </c>
      <c r="O82" s="67"/>
      <c r="P82" s="1068"/>
      <c r="Q82" s="647"/>
      <c r="R82" s="647"/>
      <c r="S82" s="647"/>
      <c r="T82" s="647"/>
      <c r="U82" s="647"/>
      <c r="V82" s="647"/>
      <c r="W82" s="647"/>
      <c r="X82" s="647"/>
      <c r="Y82" s="647"/>
      <c r="Z82" s="1164"/>
      <c r="AA82" s="1164"/>
      <c r="AB82" s="1164"/>
      <c r="AC82" s="1164"/>
      <c r="AD82" s="1164"/>
      <c r="AE82" s="1164"/>
      <c r="AF82" s="1068"/>
      <c r="AG82" s="1068"/>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05"/>
      <c r="C83" s="967" t="s">
        <v>719</v>
      </c>
      <c r="D83" s="1070"/>
      <c r="E83" s="957"/>
      <c r="F83" s="958"/>
      <c r="G83" s="958"/>
      <c r="H83" s="958"/>
      <c r="I83" s="958"/>
      <c r="J83" s="958"/>
      <c r="K83" s="958"/>
      <c r="L83" s="958"/>
      <c r="M83" s="958"/>
      <c r="N83" s="958"/>
      <c r="O83" s="67"/>
      <c r="P83" s="1068"/>
      <c r="Q83" s="1174"/>
      <c r="R83" s="1174"/>
      <c r="S83" s="1174"/>
      <c r="T83" s="1174"/>
      <c r="U83" s="647"/>
      <c r="V83" s="647"/>
      <c r="W83" s="647"/>
      <c r="X83" s="647"/>
      <c r="Y83" s="647"/>
      <c r="Z83" s="1164"/>
      <c r="AA83" s="1164"/>
      <c r="AB83" s="1164"/>
      <c r="AC83" s="1164"/>
      <c r="AD83" s="1164"/>
      <c r="AE83" s="1164"/>
      <c r="AF83" s="1068"/>
      <c r="AG83" s="1068"/>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05"/>
      <c r="C84" s="943" t="s">
        <v>720</v>
      </c>
      <c r="D84" s="915"/>
      <c r="E84" s="944"/>
      <c r="F84" s="933"/>
      <c r="G84" s="933"/>
      <c r="H84" s="933"/>
      <c r="I84" s="933"/>
      <c r="J84" s="933"/>
      <c r="K84" s="933"/>
      <c r="L84" s="933"/>
      <c r="M84" s="933"/>
      <c r="N84" s="933"/>
      <c r="O84" s="67"/>
      <c r="P84" s="1068"/>
      <c r="Q84" s="1175"/>
      <c r="R84" s="715"/>
      <c r="S84" s="715"/>
      <c r="T84" s="715"/>
      <c r="U84" s="647"/>
      <c r="V84" s="647"/>
      <c r="W84" s="647"/>
      <c r="X84" s="647"/>
      <c r="Y84" s="647"/>
      <c r="Z84" s="1164"/>
      <c r="AA84" s="1164"/>
      <c r="AB84" s="1164"/>
      <c r="AC84" s="1164"/>
      <c r="AD84" s="1164"/>
      <c r="AE84" s="1164"/>
      <c r="AF84" s="1068"/>
      <c r="AG84" s="1068"/>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05"/>
      <c r="C85" s="947" t="s">
        <v>721</v>
      </c>
      <c r="D85" s="948"/>
      <c r="E85" s="949"/>
      <c r="F85" s="960"/>
      <c r="G85" s="960"/>
      <c r="H85" s="960"/>
      <c r="I85" s="960"/>
      <c r="J85" s="960"/>
      <c r="K85" s="960"/>
      <c r="L85" s="960"/>
      <c r="M85" s="960"/>
      <c r="N85" s="960"/>
      <c r="O85" s="67"/>
      <c r="P85" s="1068"/>
      <c r="Q85" s="715"/>
      <c r="R85" s="715"/>
      <c r="S85" s="715"/>
      <c r="T85" s="715"/>
      <c r="U85" s="647"/>
      <c r="V85" s="647"/>
      <c r="W85" s="647"/>
      <c r="X85" s="647"/>
      <c r="Y85" s="647"/>
      <c r="Z85" s="1164"/>
      <c r="AA85" s="1164"/>
      <c r="AB85" s="1164"/>
      <c r="AC85" s="1164"/>
      <c r="AD85" s="1164"/>
      <c r="AE85" s="1164"/>
      <c r="AF85" s="1068"/>
      <c r="AG85" s="1068"/>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05"/>
      <c r="C86" s="943"/>
      <c r="D86" s="915"/>
      <c r="E86" s="944"/>
      <c r="F86" s="933"/>
      <c r="G86" s="933"/>
      <c r="H86" s="933"/>
      <c r="I86" s="933"/>
      <c r="J86" s="933"/>
      <c r="K86" s="933"/>
      <c r="L86" s="933"/>
      <c r="M86" s="933"/>
      <c r="N86" s="933"/>
      <c r="O86" s="67"/>
      <c r="P86" s="1068"/>
      <c r="Q86" s="715"/>
      <c r="R86" s="715"/>
      <c r="S86" s="715"/>
      <c r="T86" s="715"/>
      <c r="U86" s="647"/>
      <c r="V86" s="647"/>
      <c r="W86" s="647"/>
      <c r="X86" s="647"/>
      <c r="Y86" s="647"/>
      <c r="Z86" s="1164"/>
      <c r="AA86" s="1164"/>
      <c r="AB86" s="1164"/>
      <c r="AC86" s="1164"/>
      <c r="AD86" s="1164"/>
      <c r="AE86" s="1164"/>
      <c r="AF86" s="1068"/>
      <c r="AG86" s="1068"/>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5" hidden="1">
      <c r="A87"/>
      <c r="B87" s="105"/>
      <c r="C87" s="1170" t="s">
        <v>848</v>
      </c>
      <c r="D87" s="1070"/>
      <c r="E87" s="971" t="s">
        <v>159</v>
      </c>
      <c r="F87" s="972">
        <v>2013</v>
      </c>
      <c r="G87" s="965">
        <v>2015</v>
      </c>
      <c r="H87" s="965">
        <v>2020</v>
      </c>
      <c r="I87" s="965">
        <v>2025</v>
      </c>
      <c r="J87" s="965">
        <v>2030</v>
      </c>
      <c r="K87" s="965">
        <v>2035</v>
      </c>
      <c r="L87" s="965">
        <v>2040</v>
      </c>
      <c r="M87" s="965">
        <v>2045</v>
      </c>
      <c r="N87" s="965">
        <v>2050</v>
      </c>
      <c r="O87" s="67"/>
      <c r="P87" s="1068" t="s">
        <v>5</v>
      </c>
      <c r="Q87" s="1174"/>
      <c r="R87" s="1174"/>
      <c r="S87" s="1174"/>
      <c r="T87" s="1174"/>
      <c r="U87" s="647"/>
      <c r="V87" s="647"/>
      <c r="W87" s="647"/>
      <c r="X87" s="647"/>
      <c r="Y87" s="647"/>
      <c r="Z87" s="1164"/>
      <c r="AA87" s="1164"/>
      <c r="AB87" s="1164"/>
      <c r="AC87" s="1164"/>
      <c r="AD87" s="1164"/>
      <c r="AE87" s="1164"/>
      <c r="AF87" s="1068"/>
      <c r="AG87" s="1068"/>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05"/>
      <c r="C88" s="967" t="s">
        <v>719</v>
      </c>
      <c r="D88" s="1070"/>
      <c r="E88" s="957"/>
      <c r="F88" s="958"/>
      <c r="G88" s="958"/>
      <c r="H88" s="958"/>
      <c r="I88" s="958"/>
      <c r="J88" s="958"/>
      <c r="K88" s="958"/>
      <c r="L88" s="958"/>
      <c r="M88" s="958"/>
      <c r="N88" s="958"/>
      <c r="O88" s="67"/>
      <c r="P88" s="1068"/>
      <c r="Q88" s="647"/>
      <c r="R88" s="647"/>
      <c r="S88" s="647"/>
      <c r="T88" s="647"/>
      <c r="U88" s="647"/>
      <c r="V88" s="647"/>
      <c r="W88" s="647"/>
      <c r="X88" s="647"/>
      <c r="Y88" s="647"/>
      <c r="Z88" s="1164"/>
      <c r="AA88" s="1164"/>
      <c r="AB88" s="1164"/>
      <c r="AC88" s="1164"/>
      <c r="AD88" s="1164"/>
      <c r="AE88" s="1164"/>
      <c r="AF88" s="1068"/>
      <c r="AG88" s="106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05"/>
      <c r="C89" s="943" t="s">
        <v>720</v>
      </c>
      <c r="D89" s="915"/>
      <c r="E89" s="944"/>
      <c r="F89" s="933"/>
      <c r="G89" s="933"/>
      <c r="H89" s="933"/>
      <c r="I89" s="933"/>
      <c r="J89" s="933"/>
      <c r="K89" s="933"/>
      <c r="L89" s="933"/>
      <c r="M89" s="933"/>
      <c r="N89" s="933"/>
      <c r="O89" s="67"/>
      <c r="P89" s="1068"/>
      <c r="Q89" s="647"/>
      <c r="R89" s="647"/>
      <c r="S89" s="647"/>
      <c r="T89" s="647"/>
      <c r="U89" s="647"/>
      <c r="V89" s="647"/>
      <c r="W89" s="647"/>
      <c r="X89" s="647"/>
      <c r="Y89" s="647"/>
      <c r="Z89" s="1164"/>
      <c r="AA89" s="1164"/>
      <c r="AB89" s="1164"/>
      <c r="AC89" s="1164"/>
      <c r="AD89" s="1164"/>
      <c r="AE89" s="1164"/>
      <c r="AF89" s="1068"/>
      <c r="AG89" s="1068"/>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05"/>
      <c r="C90" s="947" t="s">
        <v>721</v>
      </c>
      <c r="D90" s="948"/>
      <c r="E90" s="949"/>
      <c r="F90" s="960"/>
      <c r="G90" s="960"/>
      <c r="H90" s="960"/>
      <c r="I90" s="960"/>
      <c r="J90" s="960"/>
      <c r="K90" s="960"/>
      <c r="L90" s="960"/>
      <c r="M90" s="960"/>
      <c r="N90" s="960"/>
      <c r="O90" s="67"/>
      <c r="P90" s="1068"/>
      <c r="Q90" s="647"/>
      <c r="R90" s="647"/>
      <c r="S90" s="647"/>
      <c r="T90" s="647"/>
      <c r="U90" s="647"/>
      <c r="V90" s="647"/>
      <c r="W90" s="647"/>
      <c r="X90" s="647"/>
      <c r="Y90" s="647"/>
      <c r="Z90" s="1164"/>
      <c r="AA90" s="1164"/>
      <c r="AB90" s="1164"/>
      <c r="AC90" s="1164"/>
      <c r="AD90" s="1164"/>
      <c r="AE90" s="1164"/>
      <c r="AF90" s="1068"/>
      <c r="AG90" s="1068"/>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05"/>
      <c r="C91" s="943"/>
      <c r="D91" s="915"/>
      <c r="E91" s="944"/>
      <c r="F91" s="933"/>
      <c r="G91" s="933"/>
      <c r="H91" s="933"/>
      <c r="I91" s="933"/>
      <c r="J91" s="933"/>
      <c r="K91" s="933"/>
      <c r="L91" s="933"/>
      <c r="M91" s="933"/>
      <c r="N91" s="933"/>
      <c r="O91" s="67"/>
      <c r="P91" s="1068"/>
      <c r="Q91" s="647"/>
      <c r="R91" s="647"/>
      <c r="S91" s="647"/>
      <c r="T91" s="647"/>
      <c r="U91" s="647"/>
      <c r="V91" s="647"/>
      <c r="W91" s="647"/>
      <c r="X91" s="647"/>
      <c r="Y91" s="647"/>
      <c r="Z91" s="1164"/>
      <c r="AA91" s="1164"/>
      <c r="AB91" s="1164"/>
      <c r="AC91" s="1164"/>
      <c r="AD91" s="1164"/>
      <c r="AE91" s="1164"/>
      <c r="AF91" s="1068"/>
      <c r="AG91" s="1068"/>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05"/>
      <c r="C92" s="1170" t="s">
        <v>849</v>
      </c>
      <c r="D92" s="1070"/>
      <c r="E92" s="971" t="s">
        <v>159</v>
      </c>
      <c r="F92" s="972">
        <v>2013</v>
      </c>
      <c r="G92" s="965">
        <v>2015</v>
      </c>
      <c r="H92" s="965">
        <v>2020</v>
      </c>
      <c r="I92" s="965">
        <v>2025</v>
      </c>
      <c r="J92" s="965">
        <v>2030</v>
      </c>
      <c r="K92" s="965">
        <v>2035</v>
      </c>
      <c r="L92" s="965">
        <v>2040</v>
      </c>
      <c r="M92" s="965">
        <v>2045</v>
      </c>
      <c r="N92" s="965">
        <v>2050</v>
      </c>
      <c r="O92" s="67"/>
      <c r="P92" s="1068"/>
      <c r="Q92" s="647"/>
      <c r="R92" s="647"/>
      <c r="S92" s="647"/>
      <c r="T92" s="647"/>
      <c r="U92" s="647"/>
      <c r="V92" s="647"/>
      <c r="W92" s="647"/>
      <c r="X92" s="647"/>
      <c r="Y92" s="647"/>
      <c r="Z92" s="1164"/>
      <c r="AA92" s="1164"/>
      <c r="AB92" s="1164"/>
      <c r="AC92" s="1164"/>
      <c r="AD92" s="1164"/>
      <c r="AE92" s="1164"/>
      <c r="AF92" s="1068"/>
      <c r="AG92" s="1068"/>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05"/>
      <c r="C93" s="967" t="s">
        <v>719</v>
      </c>
      <c r="D93" s="1070"/>
      <c r="E93" s="957"/>
      <c r="F93" s="958"/>
      <c r="G93" s="958"/>
      <c r="H93" s="958"/>
      <c r="I93" s="958"/>
      <c r="J93" s="958"/>
      <c r="K93" s="958"/>
      <c r="L93" s="958"/>
      <c r="M93" s="958"/>
      <c r="N93" s="958"/>
      <c r="O93" s="67"/>
      <c r="P93" s="1068"/>
      <c r="Q93" s="647"/>
      <c r="R93" s="647"/>
      <c r="S93" s="647"/>
      <c r="T93" s="647"/>
      <c r="U93" s="647"/>
      <c r="V93" s="647"/>
      <c r="W93" s="647"/>
      <c r="X93" s="647"/>
      <c r="Y93" s="647"/>
      <c r="Z93" s="1164"/>
      <c r="AA93" s="1164"/>
      <c r="AB93" s="1164"/>
      <c r="AC93" s="1164"/>
      <c r="AD93" s="1164"/>
      <c r="AE93" s="1164"/>
      <c r="AF93" s="1068"/>
      <c r="AG93" s="1068"/>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05"/>
      <c r="C94" s="943" t="s">
        <v>720</v>
      </c>
      <c r="D94" s="915"/>
      <c r="E94" s="944"/>
      <c r="F94" s="933"/>
      <c r="G94" s="933"/>
      <c r="H94" s="933"/>
      <c r="I94" s="933"/>
      <c r="J94" s="933"/>
      <c r="K94" s="933"/>
      <c r="L94" s="933"/>
      <c r="M94" s="933"/>
      <c r="N94" s="933"/>
      <c r="O94" s="67"/>
      <c r="P94" s="1068"/>
      <c r="Q94" s="647"/>
      <c r="R94" s="647"/>
      <c r="S94" s="647"/>
      <c r="T94" s="647"/>
      <c r="U94" s="647"/>
      <c r="V94" s="647"/>
      <c r="W94" s="647"/>
      <c r="X94" s="647"/>
      <c r="Y94" s="647"/>
      <c r="Z94" s="1164"/>
      <c r="AA94" s="1164"/>
      <c r="AB94" s="1164"/>
      <c r="AC94" s="1164"/>
      <c r="AD94" s="1164"/>
      <c r="AE94" s="1164"/>
      <c r="AF94" s="1068"/>
      <c r="AG94" s="1068"/>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05"/>
      <c r="C95" s="947" t="s">
        <v>721</v>
      </c>
      <c r="D95" s="948"/>
      <c r="E95" s="949"/>
      <c r="F95" s="960"/>
      <c r="G95" s="960"/>
      <c r="H95" s="960"/>
      <c r="I95" s="960"/>
      <c r="J95" s="960"/>
      <c r="K95" s="960"/>
      <c r="L95" s="960"/>
      <c r="M95" s="960"/>
      <c r="N95" s="960"/>
      <c r="O95" s="67"/>
      <c r="P95" s="1068"/>
      <c r="Q95" s="647"/>
      <c r="R95" s="647"/>
      <c r="S95" s="647"/>
      <c r="T95" s="647"/>
      <c r="U95" s="647"/>
      <c r="V95" s="647"/>
      <c r="W95" s="647"/>
      <c r="X95" s="647"/>
      <c r="Y95" s="647"/>
      <c r="Z95" s="1164"/>
      <c r="AA95" s="1164"/>
      <c r="AB95" s="1164"/>
      <c r="AC95" s="1164"/>
      <c r="AD95" s="1164"/>
      <c r="AE95" s="1164"/>
      <c r="AF95" s="1068"/>
      <c r="AG95" s="1068"/>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05"/>
      <c r="C96" s="943"/>
      <c r="D96" s="915"/>
      <c r="E96" s="944"/>
      <c r="F96" s="933"/>
      <c r="G96" s="933"/>
      <c r="H96" s="933"/>
      <c r="I96" s="933"/>
      <c r="J96" s="933"/>
      <c r="K96" s="933"/>
      <c r="L96" s="933"/>
      <c r="M96" s="933"/>
      <c r="N96" s="933"/>
      <c r="O96" s="67"/>
      <c r="P96" s="1068"/>
      <c r="Q96" s="647"/>
      <c r="R96" s="647"/>
      <c r="S96" s="647"/>
      <c r="T96" s="647"/>
      <c r="U96" s="647"/>
      <c r="V96" s="647"/>
      <c r="W96" s="647"/>
      <c r="X96" s="647"/>
      <c r="Y96" s="647"/>
      <c r="Z96" s="1164"/>
      <c r="AA96" s="1164"/>
      <c r="AB96" s="1164"/>
      <c r="AC96" s="1164"/>
      <c r="AD96" s="1164"/>
      <c r="AE96" s="1164"/>
      <c r="AF96" s="1068"/>
      <c r="AG96" s="1068"/>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05"/>
      <c r="C97" s="49" t="s">
        <v>850</v>
      </c>
      <c r="D97" s="915"/>
      <c r="E97" s="932"/>
      <c r="F97" s="933"/>
      <c r="G97" s="934"/>
      <c r="H97" s="934"/>
      <c r="I97" s="934"/>
      <c r="J97" s="934"/>
      <c r="K97" s="934"/>
      <c r="L97" s="934"/>
      <c r="M97" s="934"/>
      <c r="N97" s="935" t="s">
        <v>2743</v>
      </c>
      <c r="O97" s="67"/>
      <c r="P97" s="1068"/>
      <c r="Q97" s="647"/>
      <c r="R97" s="647"/>
      <c r="S97" s="647"/>
      <c r="T97" s="647"/>
      <c r="U97" s="647"/>
      <c r="V97" s="647"/>
      <c r="W97" s="647"/>
      <c r="X97" s="647"/>
      <c r="Y97" s="647"/>
      <c r="Z97" s="1164"/>
      <c r="AA97" s="1164"/>
      <c r="AB97" s="1164"/>
      <c r="AC97" s="1164"/>
      <c r="AD97" s="1164"/>
      <c r="AE97" s="1164"/>
      <c r="AF97" s="1068"/>
      <c r="AG97" s="1068"/>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05"/>
      <c r="C98" s="937"/>
      <c r="D98" s="915"/>
      <c r="E98" s="932"/>
      <c r="F98" s="933"/>
      <c r="G98" s="934"/>
      <c r="H98" s="934"/>
      <c r="I98" s="934"/>
      <c r="J98" s="934"/>
      <c r="K98" s="934"/>
      <c r="L98" s="934"/>
      <c r="M98" s="934"/>
      <c r="N98" s="67"/>
      <c r="O98" s="67"/>
      <c r="P98" s="1068"/>
      <c r="Q98" s="1068"/>
      <c r="R98" s="1068"/>
      <c r="S98" s="1068"/>
      <c r="T98" s="1068"/>
      <c r="U98" s="1068"/>
      <c r="V98" s="1068"/>
      <c r="W98" s="1068"/>
      <c r="X98" s="1068"/>
      <c r="Y98" s="1068"/>
      <c r="Z98" s="1068"/>
      <c r="AA98" s="1068"/>
      <c r="AB98" s="1068"/>
      <c r="AC98" s="1068"/>
      <c r="AD98" s="1068"/>
      <c r="AE98" s="1068"/>
      <c r="AF98" s="1068"/>
      <c r="AG98" s="1068"/>
    </row>
    <row r="99" spans="1:113" hidden="1">
      <c r="B99" s="105"/>
      <c r="C99" s="1170"/>
      <c r="D99" s="1070"/>
      <c r="E99" s="971" t="s">
        <v>159</v>
      </c>
      <c r="F99" s="972">
        <v>2013</v>
      </c>
      <c r="G99" s="965">
        <v>2015</v>
      </c>
      <c r="H99" s="965">
        <v>2020</v>
      </c>
      <c r="I99" s="965">
        <v>2025</v>
      </c>
      <c r="J99" s="965">
        <v>2030</v>
      </c>
      <c r="K99" s="965">
        <v>2035</v>
      </c>
      <c r="L99" s="965">
        <v>2040</v>
      </c>
      <c r="M99" s="965">
        <v>2045</v>
      </c>
      <c r="N99" s="965">
        <v>2050</v>
      </c>
      <c r="O99" s="67"/>
      <c r="P99" s="1068"/>
      <c r="Q99" s="1068"/>
      <c r="R99" s="1068"/>
      <c r="S99" s="1068"/>
      <c r="T99" s="1068"/>
      <c r="U99" s="1068"/>
      <c r="V99" s="1068"/>
      <c r="W99" s="1068"/>
      <c r="X99" s="1068"/>
      <c r="Y99" s="1068"/>
      <c r="Z99" s="1068"/>
      <c r="AA99" s="1068"/>
      <c r="AB99" s="1068"/>
      <c r="AC99" s="1068"/>
      <c r="AD99" s="1068"/>
      <c r="AE99" s="1068"/>
      <c r="AF99" s="1068"/>
      <c r="AG99" s="1068"/>
    </row>
    <row r="100" spans="1:113" hidden="1">
      <c r="B100" s="105"/>
      <c r="C100" s="967" t="s">
        <v>719</v>
      </c>
      <c r="D100" s="1070"/>
      <c r="E100" s="957"/>
      <c r="F100" s="958"/>
      <c r="G100" s="958"/>
      <c r="H100" s="958"/>
      <c r="I100" s="958"/>
      <c r="J100" s="958"/>
      <c r="K100" s="958"/>
      <c r="L100" s="958"/>
      <c r="M100" s="958"/>
      <c r="N100" s="958"/>
      <c r="O100" s="67"/>
      <c r="P100" s="1068"/>
      <c r="Q100" s="1068"/>
      <c r="R100" s="1068"/>
      <c r="S100" s="1068"/>
      <c r="T100" s="1068"/>
      <c r="U100" s="1068"/>
      <c r="V100" s="1068"/>
      <c r="W100" s="1068"/>
      <c r="X100" s="1068"/>
      <c r="Y100" s="1068"/>
      <c r="Z100" s="1068"/>
      <c r="AA100" s="1068"/>
      <c r="AB100" s="1068"/>
      <c r="AC100" s="1068"/>
      <c r="AD100" s="1068"/>
      <c r="AE100" s="1068"/>
      <c r="AF100" s="1068"/>
      <c r="AG100" s="1068"/>
    </row>
    <row r="101" spans="1:113" hidden="1">
      <c r="B101" s="105"/>
      <c r="C101" s="943" t="s">
        <v>720</v>
      </c>
      <c r="D101" s="915"/>
      <c r="E101" s="944"/>
      <c r="F101" s="933"/>
      <c r="G101" s="933"/>
      <c r="H101" s="933"/>
      <c r="I101" s="933"/>
      <c r="J101" s="933"/>
      <c r="K101" s="933"/>
      <c r="L101" s="933"/>
      <c r="M101" s="933"/>
      <c r="N101" s="933"/>
      <c r="O101" s="67"/>
      <c r="P101" s="1068"/>
      <c r="Q101" s="1068"/>
      <c r="R101" s="1068"/>
      <c r="S101" s="1068"/>
      <c r="T101" s="1068"/>
      <c r="U101" s="1068"/>
      <c r="V101" s="1068"/>
      <c r="W101" s="1068"/>
      <c r="X101" s="1068"/>
      <c r="Y101" s="1068"/>
      <c r="Z101" s="1068"/>
      <c r="AA101" s="1068"/>
      <c r="AB101" s="1068"/>
      <c r="AC101" s="1068"/>
      <c r="AD101" s="1068"/>
      <c r="AE101" s="1068"/>
      <c r="AF101" s="1068"/>
      <c r="AG101" s="1068"/>
    </row>
    <row r="102" spans="1:113" s="2" customFormat="1" hidden="1">
      <c r="B102" s="105"/>
      <c r="C102" s="947" t="s">
        <v>721</v>
      </c>
      <c r="D102" s="948"/>
      <c r="E102" s="949"/>
      <c r="F102" s="960"/>
      <c r="G102" s="960"/>
      <c r="H102" s="960"/>
      <c r="I102" s="960"/>
      <c r="J102" s="960"/>
      <c r="K102" s="960"/>
      <c r="L102" s="960"/>
      <c r="M102" s="960"/>
      <c r="N102" s="960"/>
      <c r="O102" s="67"/>
      <c r="P102" s="81"/>
      <c r="Q102" s="81"/>
      <c r="R102" s="81"/>
      <c r="S102" s="81"/>
      <c r="T102" s="81"/>
      <c r="U102" s="81"/>
      <c r="V102" s="81"/>
      <c r="W102" s="81"/>
      <c r="X102" s="81"/>
      <c r="Y102" s="81"/>
      <c r="Z102" s="81"/>
      <c r="AA102" s="81"/>
      <c r="AB102" s="81"/>
      <c r="AC102" s="81"/>
      <c r="AD102" s="81"/>
      <c r="AE102" s="81"/>
      <c r="AF102" s="81"/>
      <c r="AG102" s="81"/>
    </row>
    <row r="103" spans="1:113" s="2" customFormat="1" ht="13.5" hidden="1" customHeight="1">
      <c r="B103" s="47"/>
      <c r="C103" s="47"/>
      <c r="D103" s="67"/>
      <c r="E103" s="934"/>
      <c r="F103" s="67"/>
      <c r="G103" s="67"/>
      <c r="H103" s="67"/>
      <c r="I103" s="1176"/>
      <c r="J103" s="1176"/>
      <c r="K103" s="47"/>
      <c r="L103" s="47"/>
      <c r="M103" s="47"/>
      <c r="N103" s="47"/>
      <c r="O103" s="47"/>
      <c r="P103" s="81"/>
      <c r="Q103" s="81"/>
      <c r="R103" s="81"/>
      <c r="S103" s="81"/>
      <c r="T103" s="81"/>
      <c r="U103" s="81"/>
      <c r="V103" s="81"/>
      <c r="W103" s="81"/>
      <c r="X103" s="81"/>
      <c r="Y103" s="81"/>
      <c r="Z103" s="81"/>
      <c r="AA103" s="81"/>
      <c r="AB103" s="81"/>
      <c r="AC103" s="81"/>
      <c r="AD103" s="81"/>
      <c r="AE103" s="81"/>
      <c r="AF103" s="81"/>
      <c r="AG103" s="81"/>
    </row>
    <row r="104" spans="1:113">
      <c r="B104" s="1177"/>
      <c r="C104" s="1068"/>
      <c r="D104" s="1068"/>
      <c r="E104" s="1068"/>
      <c r="F104" s="1068"/>
      <c r="G104" s="1068"/>
      <c r="H104" s="1068"/>
      <c r="I104" s="1068"/>
      <c r="J104" s="1068"/>
      <c r="K104" s="1068"/>
      <c r="L104" s="1068"/>
      <c r="M104" s="1068"/>
      <c r="N104" s="1068"/>
      <c r="O104" s="1068"/>
    </row>
    <row r="105" spans="1:113" ht="15">
      <c r="B105" s="869" t="s">
        <v>177</v>
      </c>
      <c r="C105" s="870"/>
      <c r="D105" s="870"/>
      <c r="E105" s="870"/>
      <c r="F105" s="870"/>
      <c r="G105" s="870"/>
      <c r="H105" s="870"/>
      <c r="I105" s="870"/>
      <c r="J105" s="870"/>
      <c r="K105" s="870"/>
      <c r="L105" s="870"/>
      <c r="M105" s="870"/>
      <c r="N105" s="870"/>
      <c r="O105" s="871"/>
    </row>
    <row r="106" spans="1:113" ht="6" customHeight="1">
      <c r="B106" s="105"/>
      <c r="C106" s="67"/>
      <c r="D106" s="67"/>
      <c r="E106" s="67"/>
      <c r="F106" s="67"/>
      <c r="G106" s="67"/>
      <c r="H106" s="67"/>
      <c r="I106" s="67"/>
      <c r="J106" s="67"/>
      <c r="K106" s="67"/>
      <c r="L106" s="67"/>
      <c r="M106" s="67"/>
      <c r="N106" s="67"/>
      <c r="O106" s="876"/>
    </row>
    <row r="107" spans="1:113">
      <c r="B107" s="105"/>
      <c r="C107" s="49" t="s">
        <v>851</v>
      </c>
      <c r="D107" s="67"/>
      <c r="E107" s="51"/>
      <c r="F107" s="67"/>
      <c r="G107" s="67"/>
      <c r="H107" s="67"/>
      <c r="I107" s="67"/>
      <c r="J107" s="67"/>
      <c r="K107" s="67"/>
      <c r="L107" s="67"/>
      <c r="M107" s="67"/>
      <c r="N107" s="51" t="str">
        <f>Preferences.PowerUnits</f>
        <v>GW</v>
      </c>
      <c r="O107" s="876"/>
    </row>
    <row r="108" spans="1:113" s="6" customFormat="1" ht="6" customHeight="1">
      <c r="B108" s="105"/>
      <c r="C108" s="67"/>
      <c r="D108" s="67"/>
      <c r="E108" s="67"/>
      <c r="F108" s="67"/>
      <c r="G108" s="67"/>
      <c r="H108" s="67"/>
      <c r="I108" s="67"/>
      <c r="J108" s="67"/>
      <c r="K108" s="67"/>
      <c r="L108" s="67"/>
      <c r="M108" s="67"/>
      <c r="N108" s="67"/>
      <c r="O108" s="876"/>
    </row>
    <row r="109" spans="1:113" ht="15.5">
      <c r="B109" s="55"/>
      <c r="C109" s="878" t="s">
        <v>131</v>
      </c>
      <c r="D109" s="878" t="s">
        <v>71</v>
      </c>
      <c r="E109" s="878" t="s">
        <v>30</v>
      </c>
      <c r="F109" s="87">
        <v>2013</v>
      </c>
      <c r="G109" s="87">
        <v>2015</v>
      </c>
      <c r="H109" s="87">
        <v>2020</v>
      </c>
      <c r="I109" s="87">
        <v>2025</v>
      </c>
      <c r="J109" s="87">
        <v>2030</v>
      </c>
      <c r="K109" s="87">
        <v>2035</v>
      </c>
      <c r="L109" s="87">
        <v>2040</v>
      </c>
      <c r="M109" s="87">
        <v>2045</v>
      </c>
      <c r="N109" s="87">
        <v>2050</v>
      </c>
      <c r="O109" s="876"/>
    </row>
    <row r="110" spans="1:113" ht="15.5">
      <c r="B110" s="55"/>
      <c r="C110" s="887" t="s">
        <v>438</v>
      </c>
      <c r="D110" s="888" t="s">
        <v>514</v>
      </c>
      <c r="E110" s="888"/>
      <c r="F110" s="1178">
        <f>F$51</f>
        <v>2.5000000000000001E-2</v>
      </c>
      <c r="G110" s="898">
        <f t="shared" ref="G110:N110" si="2">F110+(G$109-F$109)*(F19+F28)</f>
        <v>2.5000000000000001E-2</v>
      </c>
      <c r="H110" s="898">
        <f t="shared" si="2"/>
        <v>2.5000000000000001E-2</v>
      </c>
      <c r="I110" s="898">
        <f t="shared" si="2"/>
        <v>0</v>
      </c>
      <c r="J110" s="890">
        <f t="shared" si="2"/>
        <v>0</v>
      </c>
      <c r="K110" s="898">
        <f t="shared" si="2"/>
        <v>0</v>
      </c>
      <c r="L110" s="898">
        <f t="shared" si="2"/>
        <v>0</v>
      </c>
      <c r="M110" s="898">
        <f t="shared" si="2"/>
        <v>0</v>
      </c>
      <c r="N110" s="898">
        <f t="shared" si="2"/>
        <v>0</v>
      </c>
      <c r="O110" s="876"/>
    </row>
    <row r="111" spans="1:113">
      <c r="B111" s="45"/>
      <c r="C111" s="65"/>
      <c r="D111" s="103"/>
      <c r="E111" s="103"/>
      <c r="F111" s="167"/>
      <c r="G111" s="160"/>
      <c r="H111" s="160"/>
      <c r="I111" s="160"/>
      <c r="J111" s="160"/>
      <c r="K111" s="160"/>
      <c r="L111" s="160"/>
      <c r="M111" s="160"/>
      <c r="N111" s="160"/>
      <c r="O111" s="876"/>
    </row>
    <row r="112" spans="1:113" ht="15.5">
      <c r="B112" s="1101"/>
    </row>
    <row r="113" spans="1:21">
      <c r="B113" t="s">
        <v>514</v>
      </c>
      <c r="C113" s="979"/>
      <c r="F113" s="354">
        <v>2013</v>
      </c>
      <c r="G113" s="354">
        <v>2015</v>
      </c>
      <c r="H113" s="354">
        <v>2020</v>
      </c>
      <c r="I113" s="354">
        <v>2025</v>
      </c>
      <c r="J113" s="354">
        <v>2030</v>
      </c>
      <c r="K113" s="354">
        <v>2035</v>
      </c>
      <c r="L113" s="354">
        <v>2040</v>
      </c>
      <c r="M113" s="354">
        <v>2045</v>
      </c>
      <c r="N113" s="354">
        <v>2050</v>
      </c>
    </row>
    <row r="114" spans="1:21">
      <c r="C114" s="354" t="s">
        <v>852</v>
      </c>
      <c r="E114" s="2416" t="str">
        <f>Preferences.PowerUnits</f>
        <v>GW</v>
      </c>
      <c r="F114" s="365">
        <f>F$110</f>
        <v>2.5000000000000001E-2</v>
      </c>
      <c r="G114" s="365">
        <f t="shared" ref="G114:N114" si="3">G$110</f>
        <v>2.5000000000000001E-2</v>
      </c>
      <c r="H114" s="365">
        <f t="shared" si="3"/>
        <v>2.5000000000000001E-2</v>
      </c>
      <c r="I114" s="365">
        <f t="shared" si="3"/>
        <v>0</v>
      </c>
      <c r="J114" s="365">
        <f t="shared" si="3"/>
        <v>0</v>
      </c>
      <c r="K114" s="365">
        <f t="shared" si="3"/>
        <v>0</v>
      </c>
      <c r="L114" s="365">
        <f t="shared" si="3"/>
        <v>0</v>
      </c>
      <c r="M114" s="365">
        <f t="shared" si="3"/>
        <v>0</v>
      </c>
      <c r="N114" s="1179">
        <f t="shared" si="3"/>
        <v>0</v>
      </c>
    </row>
    <row r="115" spans="1:21">
      <c r="B115" t="s">
        <v>218</v>
      </c>
      <c r="C115" t="s">
        <v>839</v>
      </c>
      <c r="E115" s="2416"/>
      <c r="F115" s="980">
        <f t="shared" ref="F115:N115" si="4">F$56</f>
        <v>0.38</v>
      </c>
      <c r="G115" s="980">
        <f t="shared" si="4"/>
        <v>0.38</v>
      </c>
      <c r="H115" s="980">
        <f t="shared" si="4"/>
        <v>0.4</v>
      </c>
      <c r="I115" s="980">
        <f t="shared" si="4"/>
        <v>0.4</v>
      </c>
      <c r="J115" s="980">
        <f t="shared" si="4"/>
        <v>0.43</v>
      </c>
      <c r="K115" s="980">
        <f t="shared" si="4"/>
        <v>0.45</v>
      </c>
      <c r="L115" s="980">
        <f t="shared" si="4"/>
        <v>0.45</v>
      </c>
      <c r="M115" s="980">
        <f t="shared" si="4"/>
        <v>0.45</v>
      </c>
      <c r="N115" s="980">
        <f t="shared" si="4"/>
        <v>0.45</v>
      </c>
    </row>
    <row r="116" spans="1:21">
      <c r="B116" s="979" t="s">
        <v>220</v>
      </c>
      <c r="C116" s="354" t="s">
        <v>853</v>
      </c>
      <c r="E116" s="2416"/>
      <c r="F116" s="357">
        <f t="shared" ref="F116:N116" si="5">F114*F115</f>
        <v>9.5000000000000015E-3</v>
      </c>
      <c r="G116" s="357">
        <f t="shared" si="5"/>
        <v>9.5000000000000015E-3</v>
      </c>
      <c r="H116" s="357">
        <f t="shared" si="5"/>
        <v>1.0000000000000002E-2</v>
      </c>
      <c r="I116" s="357">
        <f t="shared" si="5"/>
        <v>0</v>
      </c>
      <c r="J116" s="357">
        <f t="shared" si="5"/>
        <v>0</v>
      </c>
      <c r="K116" s="357">
        <f t="shared" si="5"/>
        <v>0</v>
      </c>
      <c r="L116" s="357">
        <f t="shared" si="5"/>
        <v>0</v>
      </c>
      <c r="M116" s="357">
        <f t="shared" si="5"/>
        <v>0</v>
      </c>
      <c r="N116" s="357">
        <f t="shared" si="5"/>
        <v>0</v>
      </c>
    </row>
    <row r="117" spans="1:21">
      <c r="A117" s="39"/>
      <c r="C117" s="354" t="s">
        <v>854</v>
      </c>
      <c r="E117" s="2416" t="str">
        <f>Preferences.EnergyUnits</f>
        <v>TWh</v>
      </c>
      <c r="F117" s="2460">
        <f t="shared" ref="F117:N117" si="6">F116*Preferences.Unit.Power*Unit.year/Preferences.Unit.Energy</f>
        <v>8.3277000000000018E-2</v>
      </c>
      <c r="G117" s="2460">
        <f t="shared" si="6"/>
        <v>8.3277000000000018E-2</v>
      </c>
      <c r="H117" s="2460">
        <f t="shared" si="6"/>
        <v>8.7660000000000016E-2</v>
      </c>
      <c r="I117" s="2460">
        <f t="shared" si="6"/>
        <v>0</v>
      </c>
      <c r="J117" s="2460">
        <f t="shared" si="6"/>
        <v>0</v>
      </c>
      <c r="K117" s="2460">
        <f t="shared" si="6"/>
        <v>0</v>
      </c>
      <c r="L117" s="2460">
        <f t="shared" si="6"/>
        <v>0</v>
      </c>
      <c r="M117" s="2460">
        <f t="shared" si="6"/>
        <v>0</v>
      </c>
      <c r="N117" s="2460">
        <f t="shared" si="6"/>
        <v>0</v>
      </c>
      <c r="O117" s="1181"/>
    </row>
    <row r="118" spans="1:21">
      <c r="C118" s="354"/>
      <c r="F118" s="1182"/>
      <c r="G118" s="357"/>
      <c r="H118" s="357"/>
      <c r="I118" s="357"/>
      <c r="J118" s="357"/>
      <c r="K118" s="357"/>
      <c r="L118" s="357"/>
      <c r="M118" s="357"/>
      <c r="N118" s="357"/>
    </row>
    <row r="119" spans="1:21">
      <c r="B119" t="s">
        <v>738</v>
      </c>
      <c r="C119" s="354"/>
      <c r="F119" s="1181"/>
      <c r="G119" s="1181"/>
      <c r="H119" s="1181"/>
      <c r="I119" s="1181"/>
      <c r="J119" s="1181"/>
      <c r="K119" s="1181"/>
      <c r="L119" s="1181"/>
      <c r="M119" s="1181"/>
      <c r="N119" s="1181"/>
    </row>
    <row r="120" spans="1:21">
      <c r="C120" t="s">
        <v>855</v>
      </c>
      <c r="E120" t="s">
        <v>741</v>
      </c>
      <c r="F120" s="984">
        <f>F114/$F$61</f>
        <v>4.3103448275862073</v>
      </c>
      <c r="G120" s="984">
        <f t="shared" ref="G120:N120" si="7">G114/$F$61</f>
        <v>4.3103448275862073</v>
      </c>
      <c r="H120" s="984">
        <f t="shared" si="7"/>
        <v>4.3103448275862073</v>
      </c>
      <c r="I120" s="984">
        <f t="shared" si="7"/>
        <v>0</v>
      </c>
      <c r="J120" s="984" t="s">
        <v>5</v>
      </c>
      <c r="K120" s="984">
        <f t="shared" si="7"/>
        <v>0</v>
      </c>
      <c r="L120" s="984">
        <f t="shared" si="7"/>
        <v>0</v>
      </c>
      <c r="M120" s="984">
        <f t="shared" si="7"/>
        <v>0</v>
      </c>
      <c r="N120" s="984">
        <f t="shared" si="7"/>
        <v>0</v>
      </c>
    </row>
    <row r="121" spans="1:21">
      <c r="C121" t="s">
        <v>856</v>
      </c>
      <c r="E121" t="s">
        <v>743</v>
      </c>
      <c r="G121" s="984">
        <f t="shared" ref="G121:N121" si="8">F19/$F$61</f>
        <v>0</v>
      </c>
      <c r="H121" s="984">
        <f t="shared" si="8"/>
        <v>0</v>
      </c>
      <c r="I121" s="984">
        <f t="shared" si="8"/>
        <v>0</v>
      </c>
      <c r="J121" s="984">
        <f t="shared" si="8"/>
        <v>0</v>
      </c>
      <c r="K121" s="984">
        <f t="shared" si="8"/>
        <v>0</v>
      </c>
      <c r="L121" s="984">
        <f t="shared" si="8"/>
        <v>0</v>
      </c>
      <c r="M121" s="984">
        <f t="shared" si="8"/>
        <v>0</v>
      </c>
      <c r="N121" s="984">
        <f t="shared" si="8"/>
        <v>0</v>
      </c>
    </row>
    <row r="122" spans="1:21">
      <c r="C122" s="4096" t="s">
        <v>3369</v>
      </c>
      <c r="E122" s="2416" t="str">
        <f>Preferences.AreaUnits</f>
        <v>km^2</v>
      </c>
      <c r="F122" s="984">
        <f>F117/$F$62</f>
        <v>1.0555555555555558</v>
      </c>
      <c r="G122" s="984">
        <f t="shared" ref="G122:N122" si="9">G117/$F$62</f>
        <v>1.0555555555555558</v>
      </c>
      <c r="H122" s="984">
        <f t="shared" si="9"/>
        <v>1.1111111111111112</v>
      </c>
      <c r="I122" s="984">
        <f t="shared" si="9"/>
        <v>0</v>
      </c>
      <c r="J122" s="984">
        <f t="shared" si="9"/>
        <v>0</v>
      </c>
      <c r="K122" s="984">
        <f t="shared" si="9"/>
        <v>0</v>
      </c>
      <c r="L122" s="984">
        <f t="shared" si="9"/>
        <v>0</v>
      </c>
      <c r="M122" s="984">
        <f t="shared" si="9"/>
        <v>0</v>
      </c>
      <c r="N122" s="984">
        <f t="shared" si="9"/>
        <v>0</v>
      </c>
      <c r="O122" s="983"/>
    </row>
    <row r="123" spans="1:21">
      <c r="P123" s="1068"/>
      <c r="Q123" s="1068"/>
      <c r="R123" s="1068"/>
      <c r="S123" s="1068"/>
      <c r="T123" s="1068"/>
      <c r="U123" s="1068"/>
    </row>
    <row r="124" spans="1:21">
      <c r="C124" s="3578" t="s">
        <v>2722</v>
      </c>
      <c r="F124" s="984"/>
      <c r="G124" s="984"/>
      <c r="H124" s="984"/>
      <c r="I124" s="984"/>
      <c r="J124" s="984"/>
      <c r="K124" s="984"/>
      <c r="L124" s="984"/>
      <c r="M124" s="984"/>
      <c r="N124" s="984"/>
      <c r="O124" s="984"/>
      <c r="P124" s="1068"/>
      <c r="Q124" s="1068"/>
      <c r="R124" s="1068"/>
      <c r="S124" s="1068"/>
      <c r="T124" s="1068"/>
      <c r="U124" s="1068"/>
    </row>
    <row r="125" spans="1:21" ht="23.5" hidden="1">
      <c r="A125" s="7"/>
      <c r="D125" t="s">
        <v>168</v>
      </c>
      <c r="E125" s="3578" t="s">
        <v>2736</v>
      </c>
      <c r="F125" s="984">
        <f t="shared" ref="F125:N125" si="10">F121*F$83</f>
        <v>0</v>
      </c>
      <c r="G125" s="984">
        <f t="shared" si="10"/>
        <v>0</v>
      </c>
      <c r="H125" s="984">
        <f t="shared" si="10"/>
        <v>0</v>
      </c>
      <c r="I125" s="984">
        <f t="shared" si="10"/>
        <v>0</v>
      </c>
      <c r="J125" s="984">
        <f t="shared" si="10"/>
        <v>0</v>
      </c>
      <c r="K125" s="984">
        <f t="shared" si="10"/>
        <v>0</v>
      </c>
      <c r="L125" s="984">
        <f t="shared" si="10"/>
        <v>0</v>
      </c>
      <c r="M125" s="984">
        <f t="shared" si="10"/>
        <v>0</v>
      </c>
      <c r="N125" s="984">
        <f t="shared" si="10"/>
        <v>0</v>
      </c>
      <c r="O125" s="984">
        <v>0</v>
      </c>
      <c r="P125" s="1068"/>
      <c r="Q125" s="1068"/>
      <c r="R125" s="1068"/>
      <c r="S125" s="1068"/>
      <c r="T125" s="1068"/>
      <c r="U125" s="1068"/>
    </row>
    <row r="126" spans="1:21" hidden="1">
      <c r="D126" t="s">
        <v>172</v>
      </c>
      <c r="E126" s="3578" t="s">
        <v>2736</v>
      </c>
      <c r="F126" s="984">
        <f t="shared" ref="F126:N126" si="11">F120*F100</f>
        <v>0</v>
      </c>
      <c r="G126" s="984">
        <f t="shared" si="11"/>
        <v>0</v>
      </c>
      <c r="H126" s="984">
        <f t="shared" si="11"/>
        <v>0</v>
      </c>
      <c r="I126" s="984">
        <f t="shared" si="11"/>
        <v>0</v>
      </c>
      <c r="J126" s="984" t="e">
        <f t="shared" si="11"/>
        <v>#VALUE!</v>
      </c>
      <c r="K126" s="984">
        <f t="shared" si="11"/>
        <v>0</v>
      </c>
      <c r="L126" s="984">
        <f t="shared" si="11"/>
        <v>0</v>
      </c>
      <c r="M126" s="984">
        <f t="shared" si="11"/>
        <v>0</v>
      </c>
      <c r="N126" s="984">
        <f t="shared" si="11"/>
        <v>0</v>
      </c>
      <c r="O126" s="984">
        <v>0</v>
      </c>
      <c r="P126" s="1068"/>
      <c r="Q126" s="1068"/>
      <c r="R126" s="1068"/>
      <c r="S126" s="1068"/>
      <c r="T126" s="1068"/>
      <c r="U126" s="1068"/>
    </row>
    <row r="127" spans="1:21" hidden="1">
      <c r="D127" t="s">
        <v>291</v>
      </c>
      <c r="E127" s="3578" t="s">
        <v>2736</v>
      </c>
      <c r="F127" s="984">
        <f>SUM(F125:F126)</f>
        <v>0</v>
      </c>
      <c r="G127" s="984">
        <f t="shared" ref="G127:N127" si="12">SUM(G125:G126)</f>
        <v>0</v>
      </c>
      <c r="H127" s="984">
        <f t="shared" si="12"/>
        <v>0</v>
      </c>
      <c r="I127" s="984">
        <f t="shared" si="12"/>
        <v>0</v>
      </c>
      <c r="J127" s="984" t="e">
        <f t="shared" si="12"/>
        <v>#VALUE!</v>
      </c>
      <c r="K127" s="984">
        <f t="shared" si="12"/>
        <v>0</v>
      </c>
      <c r="L127" s="984">
        <f t="shared" si="12"/>
        <v>0</v>
      </c>
      <c r="M127" s="984">
        <f t="shared" si="12"/>
        <v>0</v>
      </c>
      <c r="N127" s="984">
        <f t="shared" si="12"/>
        <v>0</v>
      </c>
      <c r="O127" s="984">
        <v>0</v>
      </c>
    </row>
    <row r="128" spans="1:21" hidden="1">
      <c r="O128" s="357"/>
    </row>
    <row r="129" spans="2:33" hidden="1">
      <c r="C129" t="s">
        <v>292</v>
      </c>
      <c r="F129" s="984"/>
      <c r="G129" s="984"/>
      <c r="H129" s="984"/>
      <c r="I129" s="984"/>
      <c r="J129" s="984"/>
      <c r="K129" s="984"/>
      <c r="L129" s="984"/>
      <c r="M129" s="984"/>
      <c r="N129" s="984"/>
      <c r="O129" s="984"/>
    </row>
    <row r="130" spans="2:33" hidden="1">
      <c r="D130" t="s">
        <v>168</v>
      </c>
      <c r="E130" s="3578" t="s">
        <v>2736</v>
      </c>
      <c r="F130" s="984">
        <f>F121*F$84</f>
        <v>0</v>
      </c>
      <c r="G130" s="984">
        <f>G121*G$84</f>
        <v>0</v>
      </c>
      <c r="H130" s="984">
        <f t="shared" ref="H130:N130" si="13">H121*H$84</f>
        <v>0</v>
      </c>
      <c r="I130" s="984">
        <f t="shared" si="13"/>
        <v>0</v>
      </c>
      <c r="J130" s="984">
        <f t="shared" si="13"/>
        <v>0</v>
      </c>
      <c r="K130" s="984">
        <f t="shared" si="13"/>
        <v>0</v>
      </c>
      <c r="L130" s="984">
        <f t="shared" si="13"/>
        <v>0</v>
      </c>
      <c r="M130" s="984">
        <f t="shared" si="13"/>
        <v>0</v>
      </c>
      <c r="N130" s="984">
        <f t="shared" si="13"/>
        <v>0</v>
      </c>
      <c r="O130" s="984">
        <v>0</v>
      </c>
    </row>
    <row r="131" spans="2:33" hidden="1">
      <c r="D131" t="s">
        <v>172</v>
      </c>
      <c r="E131" s="3578" t="s">
        <v>2736</v>
      </c>
      <c r="F131" s="984">
        <f t="shared" ref="F131:N131" si="14">F120*F101</f>
        <v>0</v>
      </c>
      <c r="G131" s="984">
        <f t="shared" si="14"/>
        <v>0</v>
      </c>
      <c r="H131" s="984">
        <f t="shared" si="14"/>
        <v>0</v>
      </c>
      <c r="I131" s="984">
        <f t="shared" si="14"/>
        <v>0</v>
      </c>
      <c r="J131" s="984" t="e">
        <f t="shared" si="14"/>
        <v>#VALUE!</v>
      </c>
      <c r="K131" s="984">
        <f t="shared" si="14"/>
        <v>0</v>
      </c>
      <c r="L131" s="984">
        <f t="shared" si="14"/>
        <v>0</v>
      </c>
      <c r="M131" s="984">
        <f t="shared" si="14"/>
        <v>0</v>
      </c>
      <c r="N131" s="984">
        <f t="shared" si="14"/>
        <v>0</v>
      </c>
      <c r="O131" s="984">
        <v>0</v>
      </c>
    </row>
    <row r="132" spans="2:33" hidden="1">
      <c r="D132" t="s">
        <v>291</v>
      </c>
      <c r="E132" s="3578" t="s">
        <v>2736</v>
      </c>
      <c r="F132" s="984">
        <f t="shared" ref="F132:N132" si="15">SUM(F130:F131)</f>
        <v>0</v>
      </c>
      <c r="G132" s="984">
        <f t="shared" si="15"/>
        <v>0</v>
      </c>
      <c r="H132" s="984">
        <f t="shared" si="15"/>
        <v>0</v>
      </c>
      <c r="I132" s="984">
        <f t="shared" si="15"/>
        <v>0</v>
      </c>
      <c r="J132" s="984" t="e">
        <f t="shared" si="15"/>
        <v>#VALUE!</v>
      </c>
      <c r="K132" s="984">
        <f t="shared" si="15"/>
        <v>0</v>
      </c>
      <c r="L132" s="984">
        <f t="shared" si="15"/>
        <v>0</v>
      </c>
      <c r="M132" s="984">
        <f t="shared" si="15"/>
        <v>0</v>
      </c>
      <c r="N132" s="984">
        <f t="shared" si="15"/>
        <v>0</v>
      </c>
      <c r="O132" s="984">
        <v>0</v>
      </c>
    </row>
    <row r="133" spans="2:33" hidden="1">
      <c r="F133" s="984"/>
      <c r="G133" s="984"/>
      <c r="H133" s="984"/>
      <c r="I133" s="984"/>
      <c r="J133" s="984"/>
      <c r="K133" s="984"/>
      <c r="L133" s="984"/>
      <c r="M133" s="984"/>
      <c r="N133" s="984"/>
      <c r="O133" s="984"/>
    </row>
    <row r="134" spans="2:33" hidden="1">
      <c r="C134" t="s">
        <v>293</v>
      </c>
      <c r="G134" s="984"/>
      <c r="H134" s="984"/>
      <c r="I134" s="984"/>
      <c r="J134" s="984"/>
      <c r="K134" s="984"/>
      <c r="L134" s="984"/>
      <c r="M134" s="984"/>
      <c r="N134" s="984"/>
      <c r="O134" s="984"/>
    </row>
    <row r="135" spans="2:33" hidden="1">
      <c r="D135" t="s">
        <v>168</v>
      </c>
      <c r="E135" s="3578" t="s">
        <v>2736</v>
      </c>
      <c r="F135" s="984">
        <f t="shared" ref="F135:N135" si="16">F121*F$85</f>
        <v>0</v>
      </c>
      <c r="G135" s="984">
        <f t="shared" si="16"/>
        <v>0</v>
      </c>
      <c r="H135" s="984">
        <f t="shared" si="16"/>
        <v>0</v>
      </c>
      <c r="I135" s="984">
        <f t="shared" si="16"/>
        <v>0</v>
      </c>
      <c r="J135" s="984">
        <f t="shared" si="16"/>
        <v>0</v>
      </c>
      <c r="K135" s="984">
        <f t="shared" si="16"/>
        <v>0</v>
      </c>
      <c r="L135" s="984">
        <f t="shared" si="16"/>
        <v>0</v>
      </c>
      <c r="M135" s="984">
        <f t="shared" si="16"/>
        <v>0</v>
      </c>
      <c r="N135" s="984">
        <f t="shared" si="16"/>
        <v>0</v>
      </c>
      <c r="O135" s="984">
        <v>0</v>
      </c>
    </row>
    <row r="136" spans="2:33" hidden="1">
      <c r="D136" t="s">
        <v>172</v>
      </c>
      <c r="E136" s="3578" t="s">
        <v>2736</v>
      </c>
      <c r="F136" s="984">
        <f t="shared" ref="F136:N136" si="17">F120*F102</f>
        <v>0</v>
      </c>
      <c r="G136" s="984">
        <f t="shared" si="17"/>
        <v>0</v>
      </c>
      <c r="H136" s="984">
        <f t="shared" si="17"/>
        <v>0</v>
      </c>
      <c r="I136" s="984">
        <f t="shared" si="17"/>
        <v>0</v>
      </c>
      <c r="J136" s="984" t="e">
        <f t="shared" si="17"/>
        <v>#VALUE!</v>
      </c>
      <c r="K136" s="984">
        <f t="shared" si="17"/>
        <v>0</v>
      </c>
      <c r="L136" s="984">
        <f t="shared" si="17"/>
        <v>0</v>
      </c>
      <c r="M136" s="984">
        <f t="shared" si="17"/>
        <v>0</v>
      </c>
      <c r="N136" s="984">
        <f t="shared" si="17"/>
        <v>0</v>
      </c>
      <c r="O136" s="984">
        <v>0</v>
      </c>
    </row>
    <row r="137" spans="2:33" hidden="1">
      <c r="D137" t="s">
        <v>291</v>
      </c>
      <c r="E137" s="3578" t="s">
        <v>2736</v>
      </c>
      <c r="F137" s="984">
        <f t="shared" ref="F137:N137" si="18">SUM(F135:F136)</f>
        <v>0</v>
      </c>
      <c r="G137" s="984">
        <f t="shared" si="18"/>
        <v>0</v>
      </c>
      <c r="H137" s="984">
        <f t="shared" si="18"/>
        <v>0</v>
      </c>
      <c r="I137" s="984">
        <f t="shared" si="18"/>
        <v>0</v>
      </c>
      <c r="J137" s="984" t="e">
        <f t="shared" si="18"/>
        <v>#VALUE!</v>
      </c>
      <c r="K137" s="984">
        <f t="shared" si="18"/>
        <v>0</v>
      </c>
      <c r="L137" s="984">
        <f t="shared" si="18"/>
        <v>0</v>
      </c>
      <c r="M137" s="984">
        <f t="shared" si="18"/>
        <v>0</v>
      </c>
      <c r="N137" s="984">
        <f t="shared" si="18"/>
        <v>0</v>
      </c>
      <c r="O137" s="984">
        <v>0</v>
      </c>
    </row>
    <row r="139" spans="2:33" ht="15">
      <c r="B139" s="502" t="s">
        <v>296</v>
      </c>
      <c r="C139" s="503"/>
      <c r="D139" s="503"/>
      <c r="E139" s="503"/>
      <c r="F139" s="503"/>
      <c r="G139" s="503"/>
      <c r="H139" s="503"/>
      <c r="I139" s="503"/>
      <c r="J139" s="503"/>
      <c r="K139" s="503"/>
      <c r="L139" s="503"/>
      <c r="M139" s="503"/>
      <c r="N139" s="503"/>
      <c r="O139" s="857"/>
    </row>
    <row r="140" spans="2:33">
      <c r="B140" s="505"/>
      <c r="C140" s="506"/>
      <c r="D140" s="506"/>
      <c r="E140" s="506"/>
      <c r="F140" s="506"/>
      <c r="G140" s="506"/>
      <c r="H140" s="506"/>
      <c r="I140" s="506"/>
      <c r="J140" s="506"/>
      <c r="K140" s="506"/>
      <c r="L140" s="506"/>
      <c r="M140" s="506"/>
      <c r="N140" s="506"/>
      <c r="O140" s="858"/>
    </row>
    <row r="141" spans="2:33">
      <c r="B141" s="505"/>
      <c r="C141" s="34" t="s">
        <v>746</v>
      </c>
      <c r="D141" s="506"/>
      <c r="E141" s="507"/>
      <c r="F141" s="506"/>
      <c r="G141" s="506"/>
      <c r="H141" s="506"/>
      <c r="I141" s="506"/>
      <c r="J141" s="506"/>
      <c r="K141" s="506"/>
      <c r="L141" s="506"/>
      <c r="M141" s="506"/>
      <c r="N141" s="1117" t="str">
        <f>Preferences.EnergyUnits</f>
        <v>TWh</v>
      </c>
      <c r="O141" s="858"/>
      <c r="W141" s="39"/>
      <c r="X141" s="39"/>
      <c r="Y141" s="39"/>
      <c r="Z141" s="39"/>
      <c r="AA141" s="39"/>
      <c r="AB141" s="39"/>
      <c r="AC141" s="39"/>
      <c r="AD141" s="39"/>
      <c r="AE141" s="39"/>
      <c r="AF141" s="39"/>
      <c r="AG141" s="39"/>
    </row>
    <row r="142" spans="2:33">
      <c r="B142" s="505"/>
      <c r="C142" s="506"/>
      <c r="D142" s="506"/>
      <c r="E142" s="506"/>
      <c r="F142" s="506"/>
      <c r="G142" s="506"/>
      <c r="H142" s="506"/>
      <c r="I142" s="506"/>
      <c r="J142" s="506"/>
      <c r="K142" s="506"/>
      <c r="L142" s="506"/>
      <c r="M142" s="506"/>
      <c r="N142" s="506"/>
      <c r="O142" s="858"/>
      <c r="W142" s="39"/>
      <c r="X142" s="39"/>
      <c r="Y142" s="39"/>
      <c r="Z142" s="39"/>
      <c r="AA142" s="39"/>
      <c r="AB142" s="39"/>
      <c r="AC142" s="39"/>
      <c r="AD142" s="39"/>
      <c r="AE142" s="39"/>
      <c r="AF142" s="39"/>
      <c r="AG142" s="39"/>
    </row>
    <row r="143" spans="2:33" ht="15.5">
      <c r="B143" s="15"/>
      <c r="C143" s="1712" t="s">
        <v>28</v>
      </c>
      <c r="D143" s="1712" t="s">
        <v>29</v>
      </c>
      <c r="E143" s="1712" t="s">
        <v>30</v>
      </c>
      <c r="F143" s="1712" t="s">
        <v>588</v>
      </c>
      <c r="G143" s="1712" t="s">
        <v>132</v>
      </c>
      <c r="H143" s="1712" t="s">
        <v>133</v>
      </c>
      <c r="I143" s="1712" t="s">
        <v>134</v>
      </c>
      <c r="J143" s="1712" t="s">
        <v>135</v>
      </c>
      <c r="K143" s="1712" t="s">
        <v>136</v>
      </c>
      <c r="L143" s="1712" t="s">
        <v>137</v>
      </c>
      <c r="M143" s="1712" t="s">
        <v>138</v>
      </c>
      <c r="N143" s="1712" t="s">
        <v>139</v>
      </c>
      <c r="O143" s="858"/>
      <c r="W143" s="39"/>
      <c r="X143" s="39"/>
      <c r="Y143" s="39"/>
      <c r="Z143" s="39"/>
      <c r="AA143" s="39"/>
      <c r="AB143" s="39"/>
      <c r="AC143" s="39"/>
      <c r="AD143" s="39"/>
      <c r="AE143" s="39"/>
      <c r="AF143" s="39"/>
      <c r="AG143" s="39"/>
    </row>
    <row r="144" spans="2:33" ht="15.5">
      <c r="B144" s="15"/>
      <c r="C144" s="716" t="s">
        <v>96</v>
      </c>
      <c r="D144" s="2457" t="str">
        <f>INDEX(Vectors[Description], MATCH(III.a.2.Outputs[Vector], Vectors[Code], 0))</f>
        <v>Electricity (supplied to grid)</v>
      </c>
      <c r="E144" s="716"/>
      <c r="F144" s="717">
        <f t="shared" ref="F144:N144" si="19">F$117</f>
        <v>8.3277000000000018E-2</v>
      </c>
      <c r="G144" s="717">
        <f t="shared" si="19"/>
        <v>8.3277000000000018E-2</v>
      </c>
      <c r="H144" s="717">
        <f t="shared" si="19"/>
        <v>8.7660000000000016E-2</v>
      </c>
      <c r="I144" s="717">
        <f t="shared" si="19"/>
        <v>0</v>
      </c>
      <c r="J144" s="717">
        <f t="shared" si="19"/>
        <v>0</v>
      </c>
      <c r="K144" s="717">
        <f t="shared" si="19"/>
        <v>0</v>
      </c>
      <c r="L144" s="717">
        <f t="shared" si="19"/>
        <v>0</v>
      </c>
      <c r="M144" s="717">
        <f t="shared" si="19"/>
        <v>0</v>
      </c>
      <c r="N144" s="717">
        <f t="shared" si="19"/>
        <v>0</v>
      </c>
      <c r="O144" s="858"/>
      <c r="W144" s="39"/>
      <c r="X144" s="39"/>
      <c r="Y144" s="39"/>
      <c r="Z144" s="39"/>
      <c r="AA144" s="39"/>
      <c r="AB144" s="39"/>
      <c r="AC144" s="39"/>
      <c r="AD144" s="39"/>
      <c r="AE144" s="39"/>
      <c r="AF144" s="39"/>
      <c r="AG144" s="39"/>
    </row>
    <row r="145" spans="1:33" ht="15.5">
      <c r="B145" s="15"/>
      <c r="C145" s="716" t="s">
        <v>438</v>
      </c>
      <c r="D145" s="2457" t="str">
        <f>INDEX(Vectors[Description], MATCH(III.a.2.Outputs[Vector], Vectors[Code], 0))</f>
        <v>Wind</v>
      </c>
      <c r="E145" s="716"/>
      <c r="F145" s="717">
        <f t="shared" ref="F145:N145" si="20">-F$117</f>
        <v>-8.3277000000000018E-2</v>
      </c>
      <c r="G145" s="717">
        <f t="shared" si="20"/>
        <v>-8.3277000000000018E-2</v>
      </c>
      <c r="H145" s="717">
        <f t="shared" si="20"/>
        <v>-8.7660000000000016E-2</v>
      </c>
      <c r="I145" s="717">
        <f t="shared" si="20"/>
        <v>0</v>
      </c>
      <c r="J145" s="717">
        <f t="shared" si="20"/>
        <v>0</v>
      </c>
      <c r="K145" s="717">
        <f t="shared" si="20"/>
        <v>0</v>
      </c>
      <c r="L145" s="717">
        <f t="shared" si="20"/>
        <v>0</v>
      </c>
      <c r="M145" s="717">
        <f t="shared" si="20"/>
        <v>0</v>
      </c>
      <c r="N145" s="717">
        <f t="shared" si="20"/>
        <v>0</v>
      </c>
      <c r="O145" s="858"/>
      <c r="W145" s="39"/>
      <c r="X145" s="39"/>
      <c r="Y145" s="39"/>
      <c r="Z145" s="39"/>
      <c r="AA145" s="39"/>
      <c r="AB145" s="39"/>
      <c r="AC145" s="39"/>
      <c r="AD145" s="39"/>
      <c r="AE145" s="39"/>
      <c r="AF145" s="39"/>
      <c r="AG145" s="39"/>
    </row>
    <row r="146" spans="1:33" ht="15.5">
      <c r="B146" s="15"/>
      <c r="C146" s="2433" t="s">
        <v>58</v>
      </c>
      <c r="D146" s="2433"/>
      <c r="E146" s="2433"/>
      <c r="F146" s="2434">
        <f>SUBTOTAL(109,III.a.2.Outputs[2013])</f>
        <v>0</v>
      </c>
      <c r="G146" s="2434">
        <f>SUBTOTAL(109,III.a.2.Outputs[2015])</f>
        <v>0</v>
      </c>
      <c r="H146" s="2434">
        <f>SUBTOTAL(109,III.a.2.Outputs[2020])</f>
        <v>0</v>
      </c>
      <c r="I146" s="2434">
        <f>SUBTOTAL(109,III.a.2.Outputs[2025])</f>
        <v>0</v>
      </c>
      <c r="J146" s="2434">
        <f>SUBTOTAL(109,III.a.2.Outputs[2030])</f>
        <v>0</v>
      </c>
      <c r="K146" s="2434">
        <f>SUBTOTAL(109,III.a.2.Outputs[2035])</f>
        <v>0</v>
      </c>
      <c r="L146" s="2434">
        <f>SUBTOTAL(109,III.a.2.Outputs[2040])</f>
        <v>0</v>
      </c>
      <c r="M146" s="2434">
        <f>SUBTOTAL(109,III.a.2.Outputs[2045])</f>
        <v>0</v>
      </c>
      <c r="N146" s="2434">
        <f>SUBTOTAL(109,III.a.2.Outputs[2050])</f>
        <v>0</v>
      </c>
      <c r="O146" s="1183">
        <f>SUM(O144:O145)</f>
        <v>0</v>
      </c>
      <c r="W146" s="39"/>
      <c r="X146" s="39"/>
      <c r="Y146" s="39"/>
      <c r="Z146" s="39"/>
      <c r="AA146" s="39"/>
      <c r="AB146" s="39"/>
      <c r="AC146" s="39"/>
      <c r="AD146" s="39"/>
      <c r="AE146" s="39"/>
      <c r="AF146" s="39"/>
      <c r="AG146" s="39"/>
    </row>
    <row r="147" spans="1:33" ht="15.5">
      <c r="B147" s="15"/>
      <c r="C147" s="443"/>
      <c r="D147" s="443"/>
      <c r="E147" s="443"/>
      <c r="F147" s="443"/>
      <c r="G147" s="443"/>
      <c r="H147" s="443"/>
      <c r="I147" s="443"/>
      <c r="J147" s="443"/>
      <c r="K147" s="443"/>
      <c r="L147" s="443"/>
      <c r="M147" s="443"/>
      <c r="N147" s="443"/>
      <c r="O147" s="1183">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
      <c r="B149" s="986" t="s">
        <v>310</v>
      </c>
      <c r="C149" s="987"/>
      <c r="D149" s="988"/>
      <c r="E149" s="988"/>
      <c r="F149" s="988"/>
      <c r="G149" s="988"/>
      <c r="H149" s="988"/>
      <c r="I149" s="988"/>
      <c r="J149" s="988"/>
      <c r="K149" s="988"/>
      <c r="L149" s="988"/>
      <c r="M149" s="988"/>
      <c r="N149" s="988"/>
      <c r="O149" s="989"/>
      <c r="W149" s="39"/>
      <c r="X149" s="39"/>
      <c r="Y149" s="39"/>
      <c r="Z149" s="39"/>
      <c r="AA149" s="39"/>
      <c r="AB149" s="39"/>
      <c r="AC149" s="39"/>
      <c r="AD149" s="39"/>
      <c r="AE149" s="39"/>
      <c r="AF149" s="39"/>
      <c r="AG149" s="39"/>
    </row>
    <row r="150" spans="1:33">
      <c r="B150" s="990"/>
      <c r="C150" s="991"/>
      <c r="D150" s="991"/>
      <c r="E150" s="991"/>
      <c r="F150" s="991"/>
      <c r="G150" s="991"/>
      <c r="H150" s="991"/>
      <c r="I150" s="991"/>
      <c r="J150" s="991"/>
      <c r="K150" s="991"/>
      <c r="L150" s="991"/>
      <c r="M150" s="991"/>
      <c r="N150" s="991"/>
      <c r="O150" s="992"/>
      <c r="W150" s="39"/>
      <c r="X150" s="39"/>
      <c r="Y150" s="39"/>
      <c r="Z150" s="39"/>
      <c r="AA150" s="39"/>
      <c r="AB150" s="39"/>
      <c r="AC150" s="39"/>
      <c r="AD150" s="39"/>
      <c r="AE150" s="39"/>
      <c r="AF150" s="39"/>
      <c r="AG150" s="39"/>
    </row>
    <row r="151" spans="1:33">
      <c r="B151" s="993"/>
      <c r="C151" s="479" t="s">
        <v>311</v>
      </c>
      <c r="D151" s="994"/>
      <c r="E151" s="995"/>
      <c r="F151" s="994"/>
      <c r="G151" s="994"/>
      <c r="H151" s="994"/>
      <c r="I151" s="994"/>
      <c r="J151" s="994"/>
      <c r="K151" s="994"/>
      <c r="L151" s="994"/>
      <c r="M151" s="994"/>
      <c r="N151" s="995"/>
      <c r="O151" s="996"/>
      <c r="W151" s="39"/>
      <c r="X151" s="39"/>
      <c r="Y151" s="39"/>
      <c r="Z151" s="39"/>
      <c r="AA151" s="39"/>
      <c r="AB151" s="39"/>
      <c r="AC151" s="39"/>
      <c r="AD151" s="39"/>
      <c r="AE151" s="39"/>
      <c r="AF151" s="39"/>
      <c r="AG151" s="39"/>
    </row>
    <row r="152" spans="1:33">
      <c r="B152" s="993"/>
      <c r="C152" s="994"/>
      <c r="D152" s="994"/>
      <c r="E152" s="994"/>
      <c r="F152" s="994"/>
      <c r="G152" s="994"/>
      <c r="H152" s="994"/>
      <c r="I152" s="994"/>
      <c r="J152" s="994"/>
      <c r="K152" s="994"/>
      <c r="L152" s="994"/>
      <c r="M152" s="994"/>
      <c r="N152" s="994"/>
      <c r="O152" s="996"/>
      <c r="W152" s="39"/>
      <c r="X152" s="39"/>
      <c r="Y152" s="39"/>
      <c r="Z152" s="39"/>
      <c r="AA152" s="39"/>
      <c r="AB152" s="39"/>
      <c r="AC152" s="39"/>
      <c r="AD152" s="39"/>
      <c r="AE152" s="39"/>
      <c r="AF152" s="39"/>
      <c r="AG152" s="39"/>
    </row>
    <row r="153" spans="1:33" ht="15.5">
      <c r="B153" s="483"/>
      <c r="C153" s="997" t="s">
        <v>28</v>
      </c>
      <c r="D153" s="997" t="s">
        <v>312</v>
      </c>
      <c r="E153" s="997" t="s">
        <v>30</v>
      </c>
      <c r="F153" s="997" t="s">
        <v>588</v>
      </c>
      <c r="G153" s="997" t="s">
        <v>132</v>
      </c>
      <c r="H153" s="997" t="s">
        <v>133</v>
      </c>
      <c r="I153" s="997" t="s">
        <v>134</v>
      </c>
      <c r="J153" s="997" t="s">
        <v>135</v>
      </c>
      <c r="K153" s="997" t="s">
        <v>136</v>
      </c>
      <c r="L153" s="997" t="s">
        <v>137</v>
      </c>
      <c r="M153" s="997" t="s">
        <v>138</v>
      </c>
      <c r="N153" s="997" t="s">
        <v>139</v>
      </c>
      <c r="O153" s="996"/>
      <c r="W153" s="39"/>
      <c r="X153" s="39"/>
      <c r="Y153" s="39"/>
      <c r="Z153" s="39"/>
      <c r="AA153" s="39"/>
      <c r="AB153" s="39"/>
      <c r="AC153" s="39"/>
      <c r="AD153" s="39"/>
      <c r="AE153" s="39"/>
      <c r="AF153" s="39"/>
      <c r="AG153" s="39"/>
    </row>
    <row r="154" spans="1:33" ht="23.5">
      <c r="A154" s="7"/>
      <c r="B154" s="483"/>
      <c r="C154" s="998" t="s">
        <v>859</v>
      </c>
      <c r="D154" s="998" t="str">
        <f>"offshore wind area if "&amp;ROUND($F$62*Unit.m2/(Unit.W*Conversion.to.annual.energy),1)&amp;" W/m2"</f>
        <v>offshore wind area if 9 W/m2</v>
      </c>
      <c r="E154" s="485" t="str">
        <f>Preferences.AreaUnits</f>
        <v>km^2</v>
      </c>
      <c r="F154" s="999">
        <f t="shared" ref="F154:N154" si="21">F122</f>
        <v>1.0555555555555558</v>
      </c>
      <c r="G154" s="999">
        <f t="shared" si="21"/>
        <v>1.0555555555555558</v>
      </c>
      <c r="H154" s="999">
        <f t="shared" si="21"/>
        <v>1.1111111111111112</v>
      </c>
      <c r="I154" s="999">
        <f t="shared" si="21"/>
        <v>0</v>
      </c>
      <c r="J154" s="999">
        <f t="shared" si="21"/>
        <v>0</v>
      </c>
      <c r="K154" s="999">
        <f t="shared" si="21"/>
        <v>0</v>
      </c>
      <c r="L154" s="999">
        <f t="shared" si="21"/>
        <v>0</v>
      </c>
      <c r="M154" s="999">
        <f t="shared" si="21"/>
        <v>0</v>
      </c>
      <c r="N154" s="999">
        <f t="shared" si="21"/>
        <v>0</v>
      </c>
      <c r="O154" s="996"/>
      <c r="W154" s="39"/>
      <c r="X154" s="39"/>
      <c r="Y154" s="39"/>
      <c r="Z154" s="39"/>
      <c r="AA154" s="39"/>
      <c r="AB154" s="39"/>
      <c r="AC154" s="39"/>
      <c r="AD154" s="39"/>
      <c r="AE154" s="39"/>
      <c r="AF154" s="39"/>
      <c r="AG154" s="39"/>
    </row>
    <row r="155" spans="1:33" ht="15.5">
      <c r="B155" s="483"/>
      <c r="C155" s="998" t="s">
        <v>748</v>
      </c>
      <c r="D155" s="485" t="s">
        <v>860</v>
      </c>
      <c r="E155" s="485" t="str">
        <f>Preferences.PowerUnits</f>
        <v>GW</v>
      </c>
      <c r="F155" s="999">
        <f t="shared" ref="F155:N155" si="22">F110</f>
        <v>2.5000000000000001E-2</v>
      </c>
      <c r="G155" s="999">
        <f t="shared" si="22"/>
        <v>2.5000000000000001E-2</v>
      </c>
      <c r="H155" s="999">
        <f t="shared" si="22"/>
        <v>2.5000000000000001E-2</v>
      </c>
      <c r="I155" s="999">
        <f t="shared" si="22"/>
        <v>0</v>
      </c>
      <c r="J155" s="999">
        <f t="shared" si="22"/>
        <v>0</v>
      </c>
      <c r="K155" s="999">
        <f t="shared" si="22"/>
        <v>0</v>
      </c>
      <c r="L155" s="999">
        <f t="shared" si="22"/>
        <v>0</v>
      </c>
      <c r="M155" s="999">
        <f t="shared" si="22"/>
        <v>0</v>
      </c>
      <c r="N155" s="999">
        <f t="shared" si="22"/>
        <v>0</v>
      </c>
      <c r="O155" s="996"/>
    </row>
    <row r="156" spans="1:33" ht="15.5">
      <c r="B156" s="483"/>
      <c r="C156" s="998" t="s">
        <v>313</v>
      </c>
      <c r="D156" s="485" t="str">
        <f>"Approximate number if "&amp;$F$61/Unit.MW&amp;" MW turbines"</f>
        <v>Approximate number if 5.8 MW turbines</v>
      </c>
      <c r="E156" s="998" t="s">
        <v>741</v>
      </c>
      <c r="F156" s="1184">
        <f t="shared" ref="F156:N156" si="23">F120</f>
        <v>4.3103448275862073</v>
      </c>
      <c r="G156" s="487">
        <f t="shared" si="23"/>
        <v>4.3103448275862073</v>
      </c>
      <c r="H156" s="487">
        <f t="shared" si="23"/>
        <v>4.3103448275862073</v>
      </c>
      <c r="I156" s="487">
        <f t="shared" si="23"/>
        <v>0</v>
      </c>
      <c r="J156" s="487" t="str">
        <f t="shared" si="23"/>
        <v xml:space="preserve"> </v>
      </c>
      <c r="K156" s="487">
        <f t="shared" si="23"/>
        <v>0</v>
      </c>
      <c r="L156" s="487">
        <f t="shared" si="23"/>
        <v>0</v>
      </c>
      <c r="M156" s="487">
        <f t="shared" si="23"/>
        <v>0</v>
      </c>
      <c r="N156" s="487">
        <f t="shared" si="23"/>
        <v>0</v>
      </c>
      <c r="O156" s="996"/>
    </row>
    <row r="157" spans="1:33" ht="15.5">
      <c r="B157" s="488"/>
      <c r="C157" s="1001"/>
      <c r="D157" s="1001"/>
      <c r="E157" s="1001"/>
      <c r="F157" s="1001"/>
      <c r="G157" s="1001"/>
      <c r="H157" s="1001"/>
      <c r="I157" s="1001"/>
      <c r="J157" s="1001"/>
      <c r="K157" s="1001"/>
      <c r="L157" s="1001"/>
      <c r="M157" s="1001"/>
      <c r="N157" s="1001"/>
      <c r="O157" s="1002"/>
    </row>
    <row r="158" spans="1:33" ht="15.5">
      <c r="A158" s="434"/>
    </row>
    <row r="159" spans="1:33" ht="15.5">
      <c r="A159" s="434"/>
      <c r="B159" s="986" t="s">
        <v>2720</v>
      </c>
      <c r="C159" s="988"/>
      <c r="D159" s="988"/>
      <c r="E159" s="988"/>
      <c r="F159" s="988"/>
      <c r="G159" s="988"/>
      <c r="H159" s="988"/>
      <c r="I159" s="988"/>
      <c r="J159" s="988"/>
      <c r="K159" s="988"/>
      <c r="L159" s="988"/>
      <c r="M159" s="988"/>
      <c r="N159" s="988"/>
      <c r="O159" s="989"/>
    </row>
    <row r="160" spans="1:33" ht="15.5" hidden="1">
      <c r="A160" s="434"/>
      <c r="B160" s="993"/>
      <c r="C160" s="994"/>
      <c r="D160" s="994"/>
      <c r="E160" s="994"/>
      <c r="F160" s="994"/>
      <c r="G160" s="994"/>
      <c r="H160" s="994"/>
      <c r="I160" s="994"/>
      <c r="J160" s="994"/>
      <c r="K160" s="994"/>
      <c r="L160" s="994"/>
      <c r="M160" s="994"/>
      <c r="N160" s="994"/>
      <c r="O160" s="996"/>
    </row>
    <row r="161" spans="1:17" ht="15.5" hidden="1">
      <c r="A161" s="434"/>
      <c r="B161" s="993"/>
      <c r="C161" s="491" t="s">
        <v>751</v>
      </c>
      <c r="D161" s="1003"/>
      <c r="E161" s="1003"/>
      <c r="F161" s="1003"/>
      <c r="G161" s="1003"/>
      <c r="H161" s="1003"/>
      <c r="I161" s="1003"/>
      <c r="J161" s="1003"/>
      <c r="K161" s="1003"/>
      <c r="L161" s="1003"/>
      <c r="M161" s="1003"/>
      <c r="N161" s="1004" t="s">
        <v>2736</v>
      </c>
      <c r="O161" s="996"/>
      <c r="Q161" t="s">
        <v>5</v>
      </c>
    </row>
    <row r="162" spans="1:17" ht="15.5" hidden="1">
      <c r="A162" s="434"/>
      <c r="B162" s="993"/>
      <c r="C162" s="994"/>
      <c r="D162" s="994"/>
      <c r="E162" s="994"/>
      <c r="F162" s="994"/>
      <c r="G162" s="994"/>
      <c r="H162" s="994"/>
      <c r="I162" s="994"/>
      <c r="J162" s="994"/>
      <c r="K162" s="994"/>
      <c r="L162" s="994"/>
      <c r="M162" s="994"/>
      <c r="N162" s="994"/>
      <c r="O162" s="996"/>
    </row>
    <row r="163" spans="1:17" ht="15.5" hidden="1">
      <c r="B163" s="483"/>
      <c r="C163" s="997" t="s">
        <v>28</v>
      </c>
      <c r="D163" s="997" t="s">
        <v>29</v>
      </c>
      <c r="E163" s="997" t="s">
        <v>30</v>
      </c>
      <c r="F163" s="997">
        <v>2013</v>
      </c>
      <c r="G163" s="997" t="s">
        <v>132</v>
      </c>
      <c r="H163" s="997" t="s">
        <v>133</v>
      </c>
      <c r="I163" s="997" t="s">
        <v>134</v>
      </c>
      <c r="J163" s="997" t="s">
        <v>135</v>
      </c>
      <c r="K163" s="997" t="s">
        <v>136</v>
      </c>
      <c r="L163" s="997" t="s">
        <v>137</v>
      </c>
      <c r="M163" s="997" t="s">
        <v>138</v>
      </c>
      <c r="N163" s="997" t="s">
        <v>139</v>
      </c>
      <c r="O163" s="1141"/>
    </row>
    <row r="164" spans="1:17" ht="15.5" hidden="1">
      <c r="B164" s="483"/>
      <c r="C164" s="998" t="s">
        <v>325</v>
      </c>
      <c r="D164" s="485" t="s">
        <v>326</v>
      </c>
      <c r="E164" s="485"/>
      <c r="F164" s="999">
        <f t="shared" ref="F164:N165" si="24">F135</f>
        <v>0</v>
      </c>
      <c r="G164" s="999">
        <f t="shared" si="24"/>
        <v>0</v>
      </c>
      <c r="H164" s="999">
        <f t="shared" si="24"/>
        <v>0</v>
      </c>
      <c r="I164" s="999">
        <f t="shared" si="24"/>
        <v>0</v>
      </c>
      <c r="J164" s="999">
        <f t="shared" si="24"/>
        <v>0</v>
      </c>
      <c r="K164" s="999">
        <f t="shared" si="24"/>
        <v>0</v>
      </c>
      <c r="L164" s="999">
        <f t="shared" si="24"/>
        <v>0</v>
      </c>
      <c r="M164" s="999">
        <f t="shared" si="24"/>
        <v>0</v>
      </c>
      <c r="N164" s="999">
        <f t="shared" si="24"/>
        <v>0</v>
      </c>
      <c r="O164" s="1141"/>
    </row>
    <row r="165" spans="1:17" ht="15.5" hidden="1">
      <c r="B165" s="483"/>
      <c r="C165" s="998" t="s">
        <v>332</v>
      </c>
      <c r="D165" s="485" t="s">
        <v>333</v>
      </c>
      <c r="E165" s="485"/>
      <c r="F165" s="999">
        <f t="shared" si="24"/>
        <v>0</v>
      </c>
      <c r="G165" s="999">
        <f t="shared" si="24"/>
        <v>0</v>
      </c>
      <c r="H165" s="999">
        <f t="shared" si="24"/>
        <v>0</v>
      </c>
      <c r="I165" s="999">
        <f t="shared" si="24"/>
        <v>0</v>
      </c>
      <c r="J165" s="999" t="e">
        <f t="shared" si="24"/>
        <v>#VALUE!</v>
      </c>
      <c r="K165" s="999">
        <f t="shared" si="24"/>
        <v>0</v>
      </c>
      <c r="L165" s="999">
        <f t="shared" si="24"/>
        <v>0</v>
      </c>
      <c r="M165" s="999">
        <f t="shared" si="24"/>
        <v>0</v>
      </c>
      <c r="N165" s="999">
        <f t="shared" si="24"/>
        <v>0</v>
      </c>
      <c r="O165" s="1141"/>
    </row>
    <row r="166" spans="1:17" ht="15.5" hidden="1">
      <c r="B166" s="483"/>
      <c r="C166" s="998" t="s">
        <v>323</v>
      </c>
      <c r="D166" s="485" t="s">
        <v>324</v>
      </c>
      <c r="E166" s="485"/>
      <c r="F166" s="999">
        <f>F130</f>
        <v>0</v>
      </c>
      <c r="G166" s="999">
        <f t="shared" ref="G166:N167" si="25">G130</f>
        <v>0</v>
      </c>
      <c r="H166" s="999">
        <f t="shared" si="25"/>
        <v>0</v>
      </c>
      <c r="I166" s="999">
        <f t="shared" si="25"/>
        <v>0</v>
      </c>
      <c r="J166" s="999">
        <f t="shared" si="25"/>
        <v>0</v>
      </c>
      <c r="K166" s="999">
        <f t="shared" si="25"/>
        <v>0</v>
      </c>
      <c r="L166" s="999">
        <f t="shared" si="25"/>
        <v>0</v>
      </c>
      <c r="M166" s="999">
        <f t="shared" si="25"/>
        <v>0</v>
      </c>
      <c r="N166" s="999">
        <f t="shared" si="25"/>
        <v>0</v>
      </c>
      <c r="O166" s="1141"/>
    </row>
    <row r="167" spans="1:17" ht="15.5" hidden="1">
      <c r="B167" s="483"/>
      <c r="C167" s="998" t="s">
        <v>330</v>
      </c>
      <c r="D167" s="485" t="s">
        <v>331</v>
      </c>
      <c r="E167" s="485"/>
      <c r="F167" s="999">
        <f>F131</f>
        <v>0</v>
      </c>
      <c r="G167" s="999">
        <f t="shared" si="25"/>
        <v>0</v>
      </c>
      <c r="H167" s="999">
        <f t="shared" si="25"/>
        <v>0</v>
      </c>
      <c r="I167" s="999">
        <f t="shared" si="25"/>
        <v>0</v>
      </c>
      <c r="J167" s="999" t="e">
        <f t="shared" si="25"/>
        <v>#VALUE!</v>
      </c>
      <c r="K167" s="999">
        <f t="shared" si="25"/>
        <v>0</v>
      </c>
      <c r="L167" s="999">
        <f t="shared" si="25"/>
        <v>0</v>
      </c>
      <c r="M167" s="999">
        <f t="shared" si="25"/>
        <v>0</v>
      </c>
      <c r="N167" s="999">
        <f t="shared" si="25"/>
        <v>0</v>
      </c>
      <c r="O167" s="1141"/>
    </row>
    <row r="168" spans="1:17" hidden="1">
      <c r="B168" s="494"/>
      <c r="C168" s="998" t="s">
        <v>321</v>
      </c>
      <c r="D168" s="485" t="s">
        <v>322</v>
      </c>
      <c r="E168" s="485"/>
      <c r="F168" s="999">
        <f t="shared" ref="F168:N169" si="26">F125</f>
        <v>0</v>
      </c>
      <c r="G168" s="999">
        <f t="shared" si="26"/>
        <v>0</v>
      </c>
      <c r="H168" s="999">
        <f t="shared" si="26"/>
        <v>0</v>
      </c>
      <c r="I168" s="999">
        <f t="shared" si="26"/>
        <v>0</v>
      </c>
      <c r="J168" s="999">
        <f t="shared" si="26"/>
        <v>0</v>
      </c>
      <c r="K168" s="999">
        <f t="shared" si="26"/>
        <v>0</v>
      </c>
      <c r="L168" s="999">
        <f t="shared" si="26"/>
        <v>0</v>
      </c>
      <c r="M168" s="999">
        <f t="shared" si="26"/>
        <v>0</v>
      </c>
      <c r="N168" s="999">
        <f t="shared" si="26"/>
        <v>0</v>
      </c>
      <c r="O168" s="1142"/>
    </row>
    <row r="169" spans="1:17" hidden="1">
      <c r="B169" s="494"/>
      <c r="C169" s="998" t="s">
        <v>328</v>
      </c>
      <c r="D169" s="485" t="s">
        <v>329</v>
      </c>
      <c r="E169" s="485"/>
      <c r="F169" s="1185">
        <f t="shared" si="26"/>
        <v>0</v>
      </c>
      <c r="G169" s="1185">
        <f t="shared" si="26"/>
        <v>0</v>
      </c>
      <c r="H169" s="1185">
        <f t="shared" si="26"/>
        <v>0</v>
      </c>
      <c r="I169" s="1185">
        <f t="shared" si="26"/>
        <v>0</v>
      </c>
      <c r="J169" s="1185" t="e">
        <f t="shared" si="26"/>
        <v>#VALUE!</v>
      </c>
      <c r="K169" s="1185">
        <f t="shared" si="26"/>
        <v>0</v>
      </c>
      <c r="L169" s="1185">
        <f t="shared" si="26"/>
        <v>0</v>
      </c>
      <c r="M169" s="1185">
        <f t="shared" si="26"/>
        <v>0</v>
      </c>
      <c r="N169" s="1185">
        <f t="shared" si="26"/>
        <v>0</v>
      </c>
      <c r="O169" s="1142"/>
    </row>
    <row r="170" spans="1:17" hidden="1">
      <c r="B170" s="1005"/>
      <c r="C170" s="1001"/>
      <c r="D170" s="1001"/>
      <c r="E170" s="1001"/>
      <c r="F170" s="1001"/>
      <c r="G170" s="1001"/>
      <c r="H170" s="1001"/>
      <c r="I170" s="1001"/>
      <c r="J170" s="1001"/>
      <c r="K170" s="1001"/>
      <c r="L170" s="1001"/>
      <c r="M170" s="1001"/>
      <c r="N170" s="1001"/>
      <c r="O170" s="1006"/>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9"/>
  </sheetPr>
  <dimension ref="A1:DI149"/>
  <sheetViews>
    <sheetView showGridLines="0" topLeftCell="A49" zoomScale="80" zoomScaleNormal="80" workbookViewId="0">
      <selection activeCell="O87" sqref="O87"/>
    </sheetView>
  </sheetViews>
  <sheetFormatPr defaultColWidth="8.81640625" defaultRowHeight="14.5"/>
  <cols>
    <col min="1" max="1" width="7.7265625" style="2416" customWidth="1"/>
    <col min="2" max="2" width="5.81640625" style="2416" customWidth="1"/>
    <col min="3" max="3" width="20.453125" style="2416" customWidth="1"/>
    <col min="4" max="4" width="30.7265625" style="2416" customWidth="1"/>
    <col min="5" max="5" width="20.7265625" style="2416" customWidth="1"/>
    <col min="6" max="14" width="17.7265625" style="2416" customWidth="1"/>
    <col min="15" max="15" width="2" style="2416" customWidth="1"/>
    <col min="16" max="16" width="10.81640625" style="2416" customWidth="1"/>
    <col min="17" max="16384" width="8.81640625" style="2416"/>
  </cols>
  <sheetData>
    <row r="1" spans="1:17" ht="20">
      <c r="A1" s="854" t="s">
        <v>523</v>
      </c>
      <c r="B1" s="854" t="s">
        <v>524</v>
      </c>
      <c r="C1" s="854"/>
      <c r="G1" s="3821"/>
    </row>
    <row r="2" spans="1:17" s="6" customFormat="1" ht="15">
      <c r="A2" s="855" t="s">
        <v>515</v>
      </c>
      <c r="B2" s="855" t="s">
        <v>516</v>
      </c>
      <c r="C2" s="855"/>
      <c r="E2" s="5"/>
    </row>
    <row r="4" spans="1:17" ht="23.5">
      <c r="A4" s="7"/>
      <c r="B4" s="502" t="s">
        <v>6</v>
      </c>
      <c r="C4" s="503"/>
      <c r="D4" s="503"/>
      <c r="E4" s="503"/>
      <c r="F4" s="503"/>
      <c r="G4" s="503"/>
      <c r="H4" s="503"/>
      <c r="I4" s="503"/>
      <c r="J4" s="503"/>
      <c r="K4" s="503"/>
      <c r="L4" s="503"/>
      <c r="M4" s="503"/>
      <c r="N4" s="503"/>
      <c r="O4" s="857"/>
    </row>
    <row r="5" spans="1:17">
      <c r="B5" s="505"/>
      <c r="C5" s="506"/>
      <c r="D5" s="506"/>
      <c r="E5" s="506"/>
      <c r="F5" s="506"/>
      <c r="G5" s="506"/>
      <c r="H5" s="506"/>
      <c r="I5" s="506"/>
      <c r="J5" s="506"/>
      <c r="K5" s="506"/>
      <c r="L5" s="506"/>
      <c r="M5" s="506"/>
      <c r="N5" s="506"/>
      <c r="O5" s="858"/>
    </row>
    <row r="6" spans="1:17">
      <c r="B6" s="505"/>
      <c r="C6" s="12"/>
      <c r="D6" s="506"/>
      <c r="E6" s="507"/>
      <c r="F6" s="506"/>
      <c r="G6" s="506"/>
      <c r="H6" s="506"/>
      <c r="I6" s="506"/>
      <c r="J6" s="506"/>
      <c r="K6" s="506"/>
      <c r="L6" s="506"/>
      <c r="M6" s="506"/>
      <c r="N6" s="506"/>
      <c r="O6" s="858"/>
    </row>
    <row r="7" spans="1:17" ht="15.5">
      <c r="B7" s="15"/>
      <c r="C7" s="506"/>
      <c r="D7" s="16" t="s">
        <v>7</v>
      </c>
      <c r="E7" s="16" t="s">
        <v>8</v>
      </c>
      <c r="F7" s="506"/>
      <c r="G7" s="506"/>
      <c r="H7" s="506"/>
      <c r="I7" s="506"/>
      <c r="J7" s="506"/>
      <c r="K7" s="506"/>
      <c r="L7" s="506"/>
      <c r="M7" s="506"/>
      <c r="N7" s="506"/>
      <c r="O7" s="858"/>
    </row>
    <row r="8" spans="1:17" ht="15.5">
      <c r="B8" s="15"/>
      <c r="C8" s="506"/>
      <c r="D8" s="859" t="s">
        <v>1244</v>
      </c>
      <c r="E8" s="859">
        <f>III.b.Scenario</f>
        <v>1</v>
      </c>
      <c r="F8" s="506"/>
      <c r="G8" s="506"/>
      <c r="H8" s="506"/>
      <c r="I8" s="506"/>
      <c r="J8" s="506"/>
      <c r="K8" s="506"/>
      <c r="L8" s="506"/>
      <c r="M8" s="506"/>
      <c r="N8" s="506"/>
      <c r="O8" s="858"/>
    </row>
    <row r="9" spans="1:17">
      <c r="B9" s="1243"/>
      <c r="C9" s="860"/>
      <c r="D9" s="860"/>
      <c r="E9" s="860"/>
      <c r="F9" s="860"/>
      <c r="G9" s="860"/>
      <c r="H9" s="860"/>
      <c r="I9" s="860"/>
      <c r="J9" s="860"/>
      <c r="K9" s="860"/>
      <c r="L9" s="860"/>
      <c r="M9" s="860"/>
      <c r="N9" s="860"/>
      <c r="O9" s="861"/>
    </row>
    <row r="11" spans="1:17" ht="23.5">
      <c r="A11" s="7"/>
      <c r="B11" s="869" t="s">
        <v>33</v>
      </c>
      <c r="C11" s="870"/>
      <c r="D11" s="870"/>
      <c r="E11" s="870"/>
      <c r="F11" s="870"/>
      <c r="G11" s="870"/>
      <c r="H11" s="870"/>
      <c r="I11" s="870"/>
      <c r="J11" s="870"/>
      <c r="K11" s="870"/>
      <c r="L11" s="870"/>
      <c r="M11" s="870"/>
      <c r="N11" s="870"/>
      <c r="O11" s="871"/>
    </row>
    <row r="12" spans="1:17">
      <c r="B12" s="105"/>
      <c r="C12" s="67"/>
      <c r="D12" s="67"/>
      <c r="E12" s="67"/>
      <c r="F12" s="67"/>
      <c r="G12" s="67"/>
      <c r="H12" s="67"/>
      <c r="I12" s="67"/>
      <c r="J12" s="67"/>
      <c r="K12" s="67"/>
      <c r="L12" s="67"/>
      <c r="M12" s="67"/>
      <c r="N12" s="67"/>
      <c r="O12" s="876"/>
    </row>
    <row r="13" spans="1:17">
      <c r="B13" s="105"/>
      <c r="C13" s="49" t="s">
        <v>1844</v>
      </c>
      <c r="D13" s="67"/>
      <c r="E13" s="51"/>
      <c r="F13" s="67"/>
      <c r="G13" s="67"/>
      <c r="H13" s="67"/>
      <c r="I13" s="67"/>
      <c r="J13" s="67"/>
      <c r="K13" s="67"/>
      <c r="L13" s="67"/>
      <c r="M13" s="67"/>
      <c r="N13" s="51" t="str">
        <f>Preferences.PowerUnits</f>
        <v>GW</v>
      </c>
      <c r="O13" s="876"/>
    </row>
    <row r="14" spans="1:17">
      <c r="B14" s="105"/>
      <c r="C14" s="67"/>
      <c r="D14" s="67"/>
      <c r="E14" s="67"/>
      <c r="F14" s="67"/>
      <c r="G14" s="67"/>
      <c r="H14" s="67"/>
      <c r="I14" s="67"/>
      <c r="J14" s="67"/>
      <c r="K14" s="67"/>
      <c r="L14" s="67"/>
      <c r="M14" s="67"/>
      <c r="N14" s="67"/>
      <c r="O14" s="876"/>
    </row>
    <row r="15" spans="1:17"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7" ht="15.5">
      <c r="B16" s="966"/>
      <c r="C16" s="65">
        <v>1</v>
      </c>
      <c r="D16" s="103"/>
      <c r="E16" s="881"/>
      <c r="F16" s="59">
        <f>(Unit.GW)*0.237</f>
        <v>0.23699999999999999</v>
      </c>
      <c r="G16" s="59">
        <f>(Unit.GW)*0.237</f>
        <v>0.23699999999999999</v>
      </c>
      <c r="H16" s="59">
        <f>(Unit.GW)*0.237</f>
        <v>0.23699999999999999</v>
      </c>
      <c r="I16" s="59">
        <f>(Unit.GW)*0.237</f>
        <v>0.23699999999999999</v>
      </c>
      <c r="J16" s="59">
        <f>(Unit.GW)*0.152</f>
        <v>0.152</v>
      </c>
      <c r="K16" s="59">
        <f>(Unit.GW)*0.1</f>
        <v>0.1</v>
      </c>
      <c r="L16" s="59">
        <f>(Unit.GW)*0.07</f>
        <v>7.0000000000000007E-2</v>
      </c>
      <c r="M16" s="59">
        <f>(Unit.GW)*0.05</f>
        <v>0.05</v>
      </c>
      <c r="N16" s="59">
        <v>0</v>
      </c>
      <c r="O16" s="884"/>
      <c r="Q16" s="714"/>
    </row>
    <row r="17" spans="1:30" ht="15.5">
      <c r="B17" s="55"/>
      <c r="C17" s="65">
        <v>2</v>
      </c>
      <c r="D17" s="103"/>
      <c r="E17" s="103"/>
      <c r="F17" s="59">
        <f t="shared" ref="F17:N19" si="0">(Unit.GW)*0.237</f>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76"/>
      <c r="Q17" s="714"/>
    </row>
    <row r="18" spans="1:30" ht="15.5">
      <c r="B18" s="55"/>
      <c r="C18" s="65">
        <v>3</v>
      </c>
      <c r="D18" s="103"/>
      <c r="E18" s="103" t="s">
        <v>66</v>
      </c>
      <c r="F18" s="59">
        <f t="shared" si="0"/>
        <v>0.23699999999999999</v>
      </c>
      <c r="G18" s="59">
        <f t="shared" si="0"/>
        <v>0.23699999999999999</v>
      </c>
      <c r="H18" s="59">
        <f>(Unit.GW)*0.255833333333333</f>
        <v>0.25583333333333302</v>
      </c>
      <c r="I18" s="59">
        <f>(Unit.GW)*0.274666666666667</f>
        <v>0.274666666666667</v>
      </c>
      <c r="J18" s="59">
        <f>(Unit.GW)*0.2935</f>
        <v>0.29349999999999998</v>
      </c>
      <c r="K18" s="59">
        <f>(Unit.GW)*0.312333333333333</f>
        <v>0.31233333333333302</v>
      </c>
      <c r="L18" s="59">
        <f>(Unit.GW)*0.312333333333333</f>
        <v>0.31233333333333302</v>
      </c>
      <c r="M18" s="59">
        <f>(Unit.GW)*0.331166666666667</f>
        <v>0.331166666666667</v>
      </c>
      <c r="N18" s="59">
        <f>(Unit.GW)*0.35</f>
        <v>0.35</v>
      </c>
      <c r="O18" s="876"/>
      <c r="Q18" s="714"/>
      <c r="R18" s="714"/>
      <c r="S18" s="714"/>
      <c r="T18" s="714"/>
      <c r="U18" s="714"/>
      <c r="V18" s="714"/>
      <c r="W18" s="714"/>
    </row>
    <row r="19" spans="1:30" ht="15.5">
      <c r="B19" s="55"/>
      <c r="C19" s="887">
        <v>4</v>
      </c>
      <c r="D19" s="888"/>
      <c r="E19" s="103" t="s">
        <v>66</v>
      </c>
      <c r="F19" s="59">
        <f t="shared" si="0"/>
        <v>0.23699999999999999</v>
      </c>
      <c r="G19" s="59">
        <f t="shared" si="0"/>
        <v>0.23699999999999999</v>
      </c>
      <c r="H19" s="59">
        <f>(Unit.GW)*0.237</f>
        <v>0.23699999999999999</v>
      </c>
      <c r="I19" s="59">
        <f>(Unit.GW)*0.2765</f>
        <v>0.27650000000000002</v>
      </c>
      <c r="J19" s="59">
        <f>(Unit.GW)*0.316</f>
        <v>0.316</v>
      </c>
      <c r="K19" s="59">
        <f>(Unit.GW)*0.3555</f>
        <v>0.35549999999999998</v>
      </c>
      <c r="L19" s="59">
        <f>(Unit.GW)*0.395</f>
        <v>0.39500000000000002</v>
      </c>
      <c r="M19" s="59">
        <f>(Unit.GW)*0.4345</f>
        <v>0.4345</v>
      </c>
      <c r="N19" s="59">
        <f>(Unit.GW)*0.474</f>
        <v>0.47399999999999998</v>
      </c>
      <c r="O19" s="876"/>
      <c r="Q19" s="714"/>
      <c r="R19" s="714"/>
      <c r="S19" s="714"/>
      <c r="T19" s="714"/>
      <c r="U19" s="714"/>
      <c r="V19" s="714"/>
      <c r="W19" s="714"/>
    </row>
    <row r="20" spans="1:30" ht="15.5">
      <c r="B20" s="55"/>
      <c r="C20" s="1015" t="s">
        <v>37</v>
      </c>
      <c r="D20" s="892"/>
      <c r="E20" s="892"/>
      <c r="F20" s="893">
        <f>(INDEX(F$16:F$19,ROUNDDOWN($E$8,0))*(1-MOD($E$8,1)))+(INDEX(F$16:F$19,ROUNDUP($E$8,0))*MOD($E$8,1))</f>
        <v>0.23699999999999999</v>
      </c>
      <c r="G20" s="2462">
        <f t="shared" ref="G20:N20" si="1">(INDEX(G$16:G$19,ROUNDDOWN($E$8,0))*(1-MOD($E$8,1)))+(INDEX(G$16:G$19,ROUNDUP($E$8,0))*MOD($E$8,1))</f>
        <v>0.23699999999999999</v>
      </c>
      <c r="H20" s="893">
        <f t="shared" si="1"/>
        <v>0.23699999999999999</v>
      </c>
      <c r="I20" s="893">
        <f t="shared" si="1"/>
        <v>0.23699999999999999</v>
      </c>
      <c r="J20" s="893">
        <f t="shared" si="1"/>
        <v>0.152</v>
      </c>
      <c r="K20" s="893">
        <f t="shared" si="1"/>
        <v>0.1</v>
      </c>
      <c r="L20" s="893">
        <f t="shared" si="1"/>
        <v>7.0000000000000007E-2</v>
      </c>
      <c r="M20" s="893">
        <f t="shared" si="1"/>
        <v>0.05</v>
      </c>
      <c r="N20" s="893">
        <f t="shared" si="1"/>
        <v>0</v>
      </c>
      <c r="O20" s="876"/>
    </row>
    <row r="21" spans="1:30">
      <c r="B21" s="45"/>
      <c r="C21" s="67"/>
      <c r="D21" s="195"/>
      <c r="E21" s="67"/>
      <c r="F21" s="67"/>
      <c r="G21" s="1086"/>
      <c r="H21" s="1086"/>
      <c r="I21" s="1086"/>
      <c r="J21" s="1086"/>
      <c r="K21" s="1086"/>
      <c r="L21" s="1086"/>
      <c r="M21" s="1086"/>
      <c r="N21" s="1086"/>
      <c r="O21" s="876"/>
    </row>
    <row r="22" spans="1:30">
      <c r="B22" s="46"/>
      <c r="C22" s="3826" t="s">
        <v>2961</v>
      </c>
      <c r="D22" s="195"/>
      <c r="E22" s="67"/>
      <c r="F22" s="67"/>
      <c r="G22" s="67"/>
      <c r="H22" s="67"/>
      <c r="I22" s="67" t="s">
        <v>5</v>
      </c>
      <c r="J22" s="67" t="s">
        <v>5</v>
      </c>
      <c r="K22" s="67"/>
      <c r="L22" s="67"/>
      <c r="M22" s="67"/>
      <c r="N22" s="67" t="s">
        <v>5</v>
      </c>
      <c r="O22" s="876"/>
    </row>
    <row r="23" spans="1:30">
      <c r="B23" s="46"/>
      <c r="C23" s="3827" t="s">
        <v>64</v>
      </c>
      <c r="D23" s="3830" t="s">
        <v>2999</v>
      </c>
      <c r="E23" s="67"/>
      <c r="F23" s="67"/>
      <c r="G23" s="67"/>
      <c r="H23" s="67"/>
      <c r="I23" s="67"/>
      <c r="J23" s="67"/>
      <c r="K23" s="67"/>
      <c r="L23" s="67"/>
      <c r="M23" s="67"/>
      <c r="N23" s="67"/>
      <c r="O23" s="876"/>
    </row>
    <row r="24" spans="1:30">
      <c r="B24" s="46"/>
      <c r="C24" s="3827"/>
      <c r="D24" s="3830" t="s">
        <v>3000</v>
      </c>
      <c r="E24" s="67"/>
      <c r="F24" s="67"/>
      <c r="G24" s="67"/>
      <c r="H24" s="67"/>
      <c r="I24" s="67"/>
      <c r="J24" s="67"/>
      <c r="K24" s="67"/>
      <c r="L24" s="67"/>
      <c r="M24" s="67"/>
      <c r="N24" s="67"/>
      <c r="O24" s="876"/>
    </row>
    <row r="25" spans="1:30">
      <c r="B25" s="46"/>
      <c r="C25" s="3827" t="s">
        <v>66</v>
      </c>
      <c r="D25" s="3830" t="s">
        <v>3792</v>
      </c>
      <c r="E25" s="67"/>
      <c r="F25" s="67"/>
      <c r="G25" s="67"/>
      <c r="H25" s="67"/>
      <c r="I25" s="67"/>
      <c r="J25" s="67"/>
      <c r="K25" s="67"/>
      <c r="L25" s="67"/>
      <c r="M25" s="67"/>
      <c r="N25" s="67"/>
      <c r="O25" s="876"/>
    </row>
    <row r="26" spans="1:30">
      <c r="B26" s="46"/>
      <c r="C26" s="67"/>
      <c r="D26" s="3830"/>
      <c r="E26" s="67"/>
      <c r="F26" s="67"/>
      <c r="G26" s="67"/>
      <c r="H26" s="67"/>
      <c r="I26" s="67"/>
      <c r="J26" s="67"/>
      <c r="K26" s="67"/>
      <c r="L26" s="67"/>
      <c r="M26" s="67"/>
      <c r="N26" s="67"/>
      <c r="O26" s="876"/>
    </row>
    <row r="27" spans="1:30">
      <c r="B27" s="46"/>
      <c r="C27" s="67"/>
      <c r="D27" s="3830"/>
      <c r="E27" s="67"/>
      <c r="F27" s="67"/>
      <c r="G27" s="67"/>
      <c r="H27" s="67"/>
      <c r="I27" s="67"/>
      <c r="J27" s="67"/>
      <c r="K27" s="67"/>
      <c r="L27" s="67"/>
      <c r="M27" s="67"/>
      <c r="N27" s="1065"/>
      <c r="O27" s="1100"/>
    </row>
    <row r="29" spans="1:30" s="6" customFormat="1" ht="23.5">
      <c r="A29" s="40"/>
      <c r="B29" s="869" t="s">
        <v>69</v>
      </c>
      <c r="C29" s="870"/>
      <c r="D29" s="870"/>
      <c r="E29" s="870"/>
      <c r="F29" s="870"/>
      <c r="G29" s="870"/>
      <c r="H29" s="870"/>
      <c r="I29" s="870"/>
      <c r="J29" s="870"/>
      <c r="K29" s="870"/>
      <c r="L29" s="870"/>
      <c r="M29" s="870"/>
      <c r="N29" s="870"/>
      <c r="O29" s="871"/>
      <c r="R29" s="2416"/>
      <c r="S29" s="2416"/>
      <c r="T29" s="2416"/>
      <c r="U29" s="2416"/>
      <c r="V29" s="2416"/>
      <c r="W29" s="2416"/>
      <c r="X29" s="2416"/>
      <c r="Y29" s="2416"/>
      <c r="Z29" s="2416"/>
      <c r="AA29" s="2416"/>
      <c r="AB29" s="2416"/>
      <c r="AC29" s="2416"/>
      <c r="AD29" s="2416"/>
    </row>
    <row r="30" spans="1:30">
      <c r="B30" s="105"/>
      <c r="C30" s="67"/>
      <c r="D30" s="67"/>
      <c r="E30" s="67"/>
      <c r="F30" s="67"/>
      <c r="G30" s="67"/>
      <c r="H30" s="67"/>
      <c r="I30" s="67"/>
      <c r="J30" s="67"/>
      <c r="K30" s="67"/>
      <c r="L30" s="67"/>
      <c r="M30" s="67"/>
      <c r="N30" s="67"/>
      <c r="O30" s="876"/>
    </row>
    <row r="31" spans="1:30">
      <c r="B31" s="105"/>
      <c r="C31" s="49" t="s">
        <v>870</v>
      </c>
      <c r="D31" s="67"/>
      <c r="E31" s="67"/>
      <c r="F31" s="67"/>
      <c r="G31" s="67"/>
      <c r="H31" s="67"/>
      <c r="I31" s="67"/>
      <c r="J31" s="67"/>
      <c r="K31" s="67"/>
      <c r="L31" s="67"/>
      <c r="M31" s="67"/>
      <c r="N31" s="67"/>
      <c r="O31" s="876"/>
    </row>
    <row r="32" spans="1:30">
      <c r="B32" s="105"/>
      <c r="C32" s="67"/>
      <c r="D32" s="67"/>
      <c r="E32" s="67"/>
      <c r="F32" s="67"/>
      <c r="G32" s="67"/>
      <c r="H32" s="67"/>
      <c r="I32" s="67"/>
      <c r="J32" s="67"/>
      <c r="K32" s="67"/>
      <c r="L32" s="67"/>
      <c r="M32" s="67"/>
      <c r="N32" s="67"/>
      <c r="O32" s="876"/>
    </row>
    <row r="33" spans="2:29" ht="15.5">
      <c r="B33" s="55"/>
      <c r="C33" s="878" t="s">
        <v>131</v>
      </c>
      <c r="D33" s="878" t="s">
        <v>712</v>
      </c>
      <c r="E33" s="878" t="s">
        <v>30</v>
      </c>
      <c r="F33" s="87">
        <v>2013</v>
      </c>
      <c r="G33" s="87">
        <v>2015</v>
      </c>
      <c r="H33" s="87">
        <v>2020</v>
      </c>
      <c r="I33" s="87">
        <v>2025</v>
      </c>
      <c r="J33" s="87">
        <v>2030</v>
      </c>
      <c r="K33" s="87">
        <v>2035</v>
      </c>
      <c r="L33" s="87">
        <v>2040</v>
      </c>
      <c r="M33" s="87">
        <v>2045</v>
      </c>
      <c r="N33" s="87">
        <v>2050</v>
      </c>
      <c r="O33" s="876"/>
    </row>
    <row r="34" spans="2:29" ht="15.5">
      <c r="B34" s="55"/>
      <c r="C34" s="907" t="s">
        <v>442</v>
      </c>
      <c r="D34" s="908" t="s">
        <v>391</v>
      </c>
      <c r="E34" s="908"/>
      <c r="F34" s="3935">
        <v>0.36</v>
      </c>
      <c r="G34" s="3936">
        <v>0.36</v>
      </c>
      <c r="H34" s="3480">
        <v>0.36</v>
      </c>
      <c r="I34" s="3480">
        <v>0.38</v>
      </c>
      <c r="J34" s="3480">
        <v>0.38</v>
      </c>
      <c r="K34" s="3480">
        <v>0.38</v>
      </c>
      <c r="L34" s="3480">
        <v>0.38</v>
      </c>
      <c r="M34" s="3480">
        <v>0.38</v>
      </c>
      <c r="N34" s="3480">
        <v>0.38</v>
      </c>
      <c r="O34" s="876"/>
    </row>
    <row r="35" spans="2:29" ht="15.5">
      <c r="B35" s="55"/>
      <c r="C35" s="65"/>
      <c r="D35" s="103"/>
      <c r="E35" s="103"/>
      <c r="F35" s="89"/>
      <c r="G35" s="88"/>
      <c r="H35" s="88"/>
      <c r="I35" s="88"/>
      <c r="J35" s="88"/>
      <c r="K35" s="88"/>
      <c r="L35" s="88"/>
      <c r="M35" s="88"/>
      <c r="N35" s="88"/>
      <c r="O35" s="876"/>
    </row>
    <row r="36" spans="2:29" ht="15.5">
      <c r="B36" s="55"/>
      <c r="C36" s="49" t="s">
        <v>716</v>
      </c>
      <c r="D36" s="67"/>
      <c r="E36" s="67"/>
      <c r="F36" s="67"/>
      <c r="G36" s="67"/>
      <c r="H36" s="67"/>
      <c r="I36" s="88"/>
      <c r="J36" s="88"/>
      <c r="K36" s="88"/>
      <c r="L36" s="88"/>
      <c r="M36" s="88"/>
      <c r="N36" s="88" t="s">
        <v>5</v>
      </c>
      <c r="O36" s="876"/>
    </row>
    <row r="37" spans="2:29" ht="15.5">
      <c r="B37" s="55"/>
      <c r="C37" s="67"/>
      <c r="D37" s="67"/>
      <c r="E37" s="67"/>
      <c r="F37" s="67"/>
      <c r="G37" s="67"/>
      <c r="H37" s="67"/>
      <c r="I37" s="88"/>
      <c r="J37" s="88"/>
      <c r="K37" s="88"/>
      <c r="L37" s="88"/>
      <c r="M37" s="88"/>
      <c r="N37" s="88"/>
      <c r="O37" s="876"/>
    </row>
    <row r="38" spans="2:29" ht="15.5">
      <c r="B38" s="55"/>
      <c r="C38" s="878"/>
      <c r="D38" s="878"/>
      <c r="E38" s="878"/>
      <c r="F38" s="87"/>
      <c r="G38" s="1152" t="s">
        <v>876</v>
      </c>
      <c r="H38" s="67"/>
      <c r="I38" s="88"/>
      <c r="J38" s="88"/>
      <c r="K38" s="88"/>
      <c r="L38" s="88"/>
      <c r="M38" s="88"/>
      <c r="N38" s="88"/>
      <c r="O38" s="876"/>
    </row>
    <row r="39" spans="2:29" ht="15.5">
      <c r="B39" s="55"/>
      <c r="C39" s="914"/>
      <c r="D39" s="57" t="s">
        <v>1853</v>
      </c>
      <c r="E39" s="57" t="s">
        <v>64</v>
      </c>
      <c r="F39" s="2667">
        <f>86*Unit.MW</f>
        <v>8.6000000000000007E-2</v>
      </c>
      <c r="G39" s="3891" t="str">
        <f>Preferences.PowerUnits&amp;"peak"</f>
        <v>GWpeak</v>
      </c>
      <c r="H39" s="67"/>
      <c r="I39" s="88"/>
      <c r="J39" s="88"/>
      <c r="K39" s="88"/>
      <c r="L39" s="88"/>
      <c r="M39" s="88"/>
      <c r="N39" s="88"/>
      <c r="O39" s="876"/>
    </row>
    <row r="40" spans="2:29" ht="15.5">
      <c r="B40" s="55"/>
      <c r="C40" s="914"/>
      <c r="D40" s="57" t="s">
        <v>1845</v>
      </c>
      <c r="E40" s="57" t="s">
        <v>66</v>
      </c>
      <c r="F40" s="3892">
        <f>(0.2/35%)*Unit.W/Unit.m2</f>
        <v>5.7142857142857158E-4</v>
      </c>
      <c r="G40" s="2251" t="str">
        <f>Preferences.PowerUnits&amp;"peak/"&amp;Preferences.AreaUnits</f>
        <v>GWpeak/km^2</v>
      </c>
      <c r="H40" s="67"/>
      <c r="I40" s="88"/>
      <c r="J40" s="88"/>
      <c r="K40" s="88"/>
      <c r="L40" s="88"/>
      <c r="M40" s="88"/>
      <c r="N40" s="88"/>
      <c r="O40" s="876"/>
    </row>
    <row r="41" spans="2:29" ht="15.5">
      <c r="B41" s="55"/>
      <c r="C41" s="917"/>
      <c r="D41" s="194" t="s">
        <v>1855</v>
      </c>
      <c r="E41" s="194" t="s">
        <v>66</v>
      </c>
      <c r="F41" s="3890">
        <f>(11/35%)*Unit.W/Unit.m2</f>
        <v>3.1428571428571438E-2</v>
      </c>
      <c r="G41" s="1156" t="str">
        <f>Preferences.PowerUnits&amp;"peak/"&amp;Preferences.AreaUnits</f>
        <v>GWpeak/km^2</v>
      </c>
      <c r="H41" s="67"/>
      <c r="I41" s="88"/>
      <c r="J41" s="88"/>
      <c r="K41" s="88"/>
      <c r="L41" s="88"/>
      <c r="M41" s="88"/>
      <c r="N41" s="88"/>
      <c r="O41" s="876"/>
    </row>
    <row r="42" spans="2:29" ht="15.5">
      <c r="B42" s="55"/>
      <c r="C42" s="67"/>
      <c r="D42" s="67"/>
      <c r="E42" s="67"/>
      <c r="F42" s="67"/>
      <c r="G42" s="67"/>
      <c r="H42" s="67"/>
      <c r="I42" s="88"/>
      <c r="J42" s="88"/>
      <c r="K42" s="88"/>
      <c r="L42" s="88"/>
      <c r="M42" s="88"/>
      <c r="N42" s="88"/>
      <c r="O42" s="876"/>
    </row>
    <row r="43" spans="2:29">
      <c r="B43" s="67"/>
      <c r="C43" s="3826" t="s">
        <v>63</v>
      </c>
      <c r="D43" s="67"/>
      <c r="E43" s="67"/>
      <c r="F43" s="67"/>
      <c r="G43" s="67"/>
      <c r="H43" s="67"/>
      <c r="I43" s="67"/>
      <c r="J43" s="67"/>
      <c r="K43" s="67"/>
      <c r="L43" s="67"/>
      <c r="M43" s="67"/>
      <c r="N43" s="67"/>
      <c r="O43" s="876"/>
    </row>
    <row r="44" spans="2:29">
      <c r="B44" s="67"/>
      <c r="C44" s="2249" t="s">
        <v>64</v>
      </c>
      <c r="D44" s="924" t="s">
        <v>2989</v>
      </c>
      <c r="E44" s="67"/>
      <c r="F44" s="67"/>
      <c r="G44" s="67"/>
      <c r="H44" s="67"/>
      <c r="I44" s="67"/>
      <c r="J44" s="67"/>
      <c r="K44" s="67"/>
      <c r="L44" s="67"/>
      <c r="M44" s="67"/>
      <c r="N44" s="67"/>
      <c r="O44" s="876"/>
    </row>
    <row r="45" spans="2:29">
      <c r="B45" s="67"/>
      <c r="C45" s="2249" t="s">
        <v>66</v>
      </c>
      <c r="D45" s="3830" t="s">
        <v>3179</v>
      </c>
      <c r="E45" s="67"/>
      <c r="F45" s="67"/>
      <c r="G45" s="67"/>
      <c r="H45" s="67"/>
      <c r="I45" s="67"/>
      <c r="J45" s="67"/>
      <c r="K45" s="67"/>
      <c r="L45" s="67"/>
      <c r="M45" s="67"/>
      <c r="N45" s="67"/>
      <c r="O45" s="876"/>
    </row>
    <row r="46" spans="2:29">
      <c r="B46" s="67"/>
      <c r="C46" s="1217"/>
      <c r="D46" s="3830" t="s">
        <v>3135</v>
      </c>
      <c r="E46" s="67"/>
      <c r="F46" s="67"/>
      <c r="G46" s="67"/>
      <c r="H46" s="67"/>
      <c r="I46" s="67"/>
      <c r="J46" s="67"/>
      <c r="K46" s="67"/>
      <c r="L46" s="67"/>
      <c r="M46" s="67"/>
      <c r="N46" s="67"/>
      <c r="O46" s="876"/>
    </row>
    <row r="47" spans="2:29">
      <c r="B47" s="67"/>
      <c r="C47" s="67"/>
      <c r="D47" s="67"/>
      <c r="E47" s="67"/>
      <c r="F47" s="67"/>
      <c r="G47" s="67"/>
      <c r="H47" s="67"/>
      <c r="I47" s="67"/>
      <c r="J47" s="67"/>
      <c r="K47" s="67"/>
      <c r="L47" s="67"/>
      <c r="M47" s="67"/>
      <c r="N47" s="1065"/>
      <c r="O47" s="1065"/>
      <c r="P47" s="1164"/>
      <c r="Q47" s="1164"/>
      <c r="R47" s="1164"/>
      <c r="S47" s="1164"/>
      <c r="T47" s="1164"/>
      <c r="U47" s="1164"/>
      <c r="V47" s="1164"/>
      <c r="W47" s="1164"/>
      <c r="X47" s="1164"/>
      <c r="Y47" s="1164"/>
      <c r="Z47" s="1164"/>
      <c r="AA47" s="1164"/>
      <c r="AB47" s="1164"/>
      <c r="AC47" s="1164"/>
    </row>
    <row r="48" spans="2:29">
      <c r="P48" s="1164"/>
      <c r="Q48" s="1164"/>
      <c r="R48" s="1164"/>
      <c r="S48" s="1164"/>
      <c r="T48" s="1164"/>
      <c r="U48" s="1164"/>
      <c r="V48" s="1164"/>
      <c r="W48" s="1164"/>
      <c r="X48" s="1164"/>
      <c r="Y48" s="1164"/>
      <c r="Z48" s="1164"/>
      <c r="AA48" s="1164"/>
      <c r="AB48" s="1164"/>
      <c r="AC48" s="1164"/>
    </row>
    <row r="49" spans="1:113" s="6" customFormat="1" ht="23.5">
      <c r="A49" s="40"/>
      <c r="B49" s="869" t="s">
        <v>2719</v>
      </c>
      <c r="C49" s="870"/>
      <c r="D49" s="870"/>
      <c r="E49" s="870"/>
      <c r="F49" s="870"/>
      <c r="G49" s="870"/>
      <c r="H49" s="870"/>
      <c r="I49" s="870"/>
      <c r="J49" s="870"/>
      <c r="K49" s="870"/>
      <c r="L49" s="870"/>
      <c r="M49" s="870"/>
      <c r="N49" s="870"/>
      <c r="O49" s="870"/>
      <c r="P49" s="647"/>
      <c r="Q49" s="647"/>
      <c r="R49" s="647"/>
      <c r="S49" s="647"/>
      <c r="T49" s="647"/>
      <c r="U49" s="647"/>
      <c r="V49" s="647"/>
      <c r="W49" s="647"/>
      <c r="X49" s="647"/>
      <c r="Y49" s="647"/>
      <c r="Z49" s="647"/>
      <c r="AA49" s="647"/>
      <c r="AB49" s="647"/>
      <c r="AC49" s="647"/>
    </row>
    <row r="50" spans="1:113" ht="12.75" hidden="1" customHeight="1">
      <c r="B50" s="872"/>
      <c r="C50" s="873"/>
      <c r="D50" s="873"/>
      <c r="E50" s="873"/>
      <c r="F50" s="873"/>
      <c r="G50" s="873"/>
      <c r="H50" s="873"/>
      <c r="I50" s="873"/>
      <c r="J50" s="873"/>
      <c r="K50" s="873"/>
      <c r="L50" s="873"/>
      <c r="M50" s="873"/>
      <c r="N50" s="873"/>
      <c r="O50" s="873"/>
      <c r="P50" s="1164"/>
      <c r="Q50" s="1164"/>
      <c r="R50" s="1164"/>
      <c r="S50" s="1164"/>
      <c r="T50" s="1164"/>
      <c r="U50" s="1164"/>
      <c r="V50" s="1164"/>
      <c r="W50" s="1164"/>
      <c r="X50" s="1164"/>
      <c r="Y50" s="1164"/>
      <c r="Z50" s="1164"/>
      <c r="AA50" s="1164"/>
      <c r="AB50" s="1164"/>
      <c r="AC50" s="1164"/>
    </row>
    <row r="51" spans="1:113" s="6" customFormat="1" hidden="1">
      <c r="A51" s="2416"/>
      <c r="B51" s="105"/>
      <c r="C51" s="49" t="s">
        <v>1851</v>
      </c>
      <c r="D51" s="915"/>
      <c r="E51" s="932"/>
      <c r="F51" s="933"/>
      <c r="G51" s="934"/>
      <c r="H51" s="934"/>
      <c r="I51" s="934"/>
      <c r="J51" s="934"/>
      <c r="K51" s="934"/>
      <c r="L51" s="934"/>
      <c r="M51" s="934"/>
      <c r="N51" s="935"/>
      <c r="O51" s="67"/>
      <c r="P51" s="1164"/>
      <c r="Q51" s="1164"/>
      <c r="R51" s="1164"/>
      <c r="S51" s="1164"/>
      <c r="T51" s="1164"/>
      <c r="U51" s="1164"/>
      <c r="V51" s="1164"/>
      <c r="W51" s="1164"/>
      <c r="X51" s="1164"/>
      <c r="Y51" s="1164"/>
      <c r="Z51" s="1164"/>
      <c r="AA51" s="1164"/>
      <c r="AB51" s="1164"/>
      <c r="AC51" s="1164"/>
      <c r="AD51" s="2416"/>
      <c r="AE51" s="2416"/>
      <c r="AF51" s="2416"/>
      <c r="AG51" s="2416"/>
      <c r="AH51" s="2416"/>
      <c r="AI51" s="2416"/>
      <c r="AJ51" s="2416"/>
      <c r="AK51" s="2416"/>
      <c r="AL51" s="2416"/>
      <c r="AM51" s="2416"/>
      <c r="AN51" s="2416"/>
      <c r="AO51" s="2416"/>
      <c r="AP51" s="2416"/>
      <c r="AQ51" s="2416"/>
      <c r="AR51" s="2416"/>
      <c r="AS51" s="2416"/>
      <c r="AT51" s="2416"/>
      <c r="AU51" s="2416"/>
      <c r="AV51" s="2416"/>
      <c r="AW51" s="2416"/>
      <c r="AX51" s="2416"/>
      <c r="AY51" s="2416"/>
      <c r="AZ51" s="2416"/>
      <c r="BA51" s="2416"/>
      <c r="BB51" s="2416"/>
      <c r="BC51" s="2416"/>
      <c r="BD51" s="2416"/>
      <c r="BE51" s="2416"/>
      <c r="BF51" s="2416"/>
      <c r="BG51" s="2416"/>
      <c r="BH51" s="2416"/>
      <c r="BI51" s="2416"/>
      <c r="BJ51" s="2416"/>
      <c r="BK51" s="2416"/>
      <c r="BL51" s="2416"/>
      <c r="BM51" s="2416"/>
      <c r="BN51" s="2416"/>
      <c r="BO51" s="2416"/>
      <c r="BP51" s="2416"/>
      <c r="BQ51" s="2416"/>
      <c r="BR51" s="2416"/>
      <c r="BS51" s="2416"/>
      <c r="BT51" s="2416"/>
      <c r="BU51" s="2416"/>
      <c r="BV51" s="2416"/>
      <c r="BW51" s="2416"/>
      <c r="BX51" s="2416"/>
      <c r="BY51" s="2416"/>
      <c r="BZ51" s="2416"/>
      <c r="CA51" s="2416"/>
      <c r="CB51" s="2416"/>
      <c r="CC51" s="2416"/>
      <c r="CD51" s="2416"/>
      <c r="CE51" s="2416"/>
      <c r="CF51" s="2416"/>
      <c r="CG51" s="2416"/>
      <c r="CH51" s="2416"/>
      <c r="CI51" s="2416"/>
      <c r="CJ51" s="2416"/>
      <c r="CK51" s="2416"/>
      <c r="CL51" s="2416"/>
      <c r="CM51" s="2416"/>
      <c r="CN51" s="2416"/>
      <c r="CO51" s="2416"/>
      <c r="CP51" s="2416"/>
      <c r="CQ51" s="2416"/>
      <c r="CR51" s="2416"/>
      <c r="CS51" s="2416"/>
      <c r="CT51" s="2416"/>
      <c r="CU51" s="2416"/>
      <c r="CV51" s="2416"/>
      <c r="CW51" s="2416"/>
      <c r="CX51" s="2416"/>
      <c r="CY51" s="2416"/>
      <c r="CZ51" s="2416"/>
      <c r="DA51" s="2416"/>
      <c r="DB51" s="2416"/>
      <c r="DC51" s="2416"/>
      <c r="DD51" s="2416"/>
      <c r="DE51" s="2416"/>
      <c r="DF51" s="2416"/>
      <c r="DG51" s="2416"/>
      <c r="DH51" s="2416"/>
      <c r="DI51" s="2416"/>
    </row>
    <row r="52" spans="1:113" s="6" customFormat="1" ht="4.5" hidden="1" customHeight="1">
      <c r="A52" s="2416"/>
      <c r="B52" s="105"/>
      <c r="C52" s="937"/>
      <c r="D52" s="915"/>
      <c r="E52" s="932"/>
      <c r="F52" s="933"/>
      <c r="G52" s="934"/>
      <c r="H52" s="934"/>
      <c r="I52" s="934"/>
      <c r="J52" s="934"/>
      <c r="K52" s="934"/>
      <c r="L52" s="934"/>
      <c r="M52" s="934"/>
      <c r="N52" s="67"/>
      <c r="O52" s="67"/>
      <c r="P52" s="1164"/>
      <c r="Q52" s="1164"/>
      <c r="R52" s="1164"/>
      <c r="S52" s="1164"/>
      <c r="T52" s="1164"/>
      <c r="U52" s="1164"/>
      <c r="V52" s="1164"/>
      <c r="W52" s="1164"/>
      <c r="X52" s="1164"/>
      <c r="Y52" s="1164"/>
      <c r="Z52" s="1164"/>
      <c r="AA52" s="1164"/>
      <c r="AB52" s="1164"/>
      <c r="AC52" s="1164"/>
      <c r="AD52" s="2416"/>
      <c r="AE52" s="2416"/>
      <c r="AF52" s="2416"/>
      <c r="AG52" s="2416"/>
      <c r="AH52" s="2416"/>
      <c r="AI52" s="2416"/>
      <c r="AJ52" s="2416"/>
      <c r="AK52" s="2416"/>
      <c r="AL52" s="2416"/>
      <c r="AM52" s="2416"/>
      <c r="AN52" s="2416"/>
      <c r="AO52" s="2416"/>
      <c r="AP52" s="2416"/>
      <c r="AQ52" s="2416"/>
      <c r="AR52" s="2416"/>
      <c r="AS52" s="2416"/>
      <c r="AT52" s="2416"/>
      <c r="AU52" s="2416"/>
      <c r="AV52" s="2416"/>
      <c r="AW52" s="2416"/>
      <c r="AX52" s="2416"/>
      <c r="AY52" s="2416"/>
      <c r="AZ52" s="2416"/>
      <c r="BA52" s="2416"/>
      <c r="BB52" s="2416"/>
      <c r="BC52" s="2416"/>
      <c r="BD52" s="2416"/>
      <c r="BE52" s="2416"/>
      <c r="BF52" s="2416"/>
      <c r="BG52" s="2416"/>
      <c r="BH52" s="2416"/>
      <c r="BI52" s="2416"/>
      <c r="BJ52" s="2416"/>
      <c r="BK52" s="2416"/>
      <c r="BL52" s="2416"/>
      <c r="BM52" s="2416"/>
      <c r="BN52" s="2416"/>
      <c r="BO52" s="2416"/>
      <c r="BP52" s="2416"/>
      <c r="BQ52" s="2416"/>
      <c r="BR52" s="2416"/>
      <c r="BS52" s="2416"/>
      <c r="BT52" s="2416"/>
      <c r="BU52" s="2416"/>
      <c r="BV52" s="2416"/>
      <c r="BW52" s="2416"/>
      <c r="BX52" s="2416"/>
      <c r="BY52" s="2416"/>
      <c r="BZ52" s="2416"/>
      <c r="CA52" s="2416"/>
      <c r="CB52" s="2416"/>
      <c r="CC52" s="2416"/>
      <c r="CD52" s="2416"/>
      <c r="CE52" s="2416"/>
      <c r="CF52" s="2416"/>
      <c r="CG52" s="2416"/>
      <c r="CH52" s="2416"/>
      <c r="CI52" s="2416"/>
      <c r="CJ52" s="2416"/>
      <c r="CK52" s="2416"/>
      <c r="CL52" s="2416"/>
      <c r="CM52" s="2416"/>
      <c r="CN52" s="2416"/>
      <c r="CO52" s="2416"/>
      <c r="CP52" s="2416"/>
      <c r="CQ52" s="2416"/>
      <c r="CR52" s="2416"/>
      <c r="CS52" s="2416"/>
      <c r="CT52" s="2416"/>
      <c r="CU52" s="2416"/>
      <c r="CV52" s="2416"/>
      <c r="CW52" s="2416"/>
      <c r="CX52" s="2416"/>
      <c r="CY52" s="2416"/>
      <c r="CZ52" s="2416"/>
      <c r="DA52" s="2416"/>
      <c r="DB52" s="2416"/>
      <c r="DC52" s="2416"/>
      <c r="DD52" s="2416"/>
      <c r="DE52" s="2416"/>
      <c r="DF52" s="2416"/>
      <c r="DG52" s="2416"/>
      <c r="DH52" s="2416"/>
      <c r="DI52" s="2416"/>
    </row>
    <row r="53" spans="1:113" s="6" customFormat="1" hidden="1">
      <c r="A53" s="2416"/>
      <c r="B53" s="105"/>
      <c r="C53" s="1170"/>
      <c r="D53" s="1070"/>
      <c r="E53" s="971" t="s">
        <v>159</v>
      </c>
      <c r="F53" s="972">
        <v>2013</v>
      </c>
      <c r="G53" s="965">
        <v>2015</v>
      </c>
      <c r="H53" s="965">
        <v>2020</v>
      </c>
      <c r="I53" s="965">
        <v>2025</v>
      </c>
      <c r="J53" s="965">
        <v>2030</v>
      </c>
      <c r="K53" s="965">
        <v>2035</v>
      </c>
      <c r="L53" s="965">
        <v>2040</v>
      </c>
      <c r="M53" s="965">
        <v>2045</v>
      </c>
      <c r="N53" s="965">
        <v>2050</v>
      </c>
      <c r="O53" s="67"/>
      <c r="P53" s="2464"/>
      <c r="Q53" s="647"/>
      <c r="R53" s="1079"/>
      <c r="S53" s="1167"/>
      <c r="T53" s="1167"/>
      <c r="U53" s="1167"/>
      <c r="V53" s="1167"/>
      <c r="W53" s="1167"/>
      <c r="X53" s="1167"/>
      <c r="Y53" s="1167"/>
      <c r="Z53" s="1167"/>
      <c r="AA53" s="1167"/>
      <c r="AB53" s="647"/>
      <c r="AC53" s="647"/>
      <c r="AF53" s="2416"/>
      <c r="AG53" s="2416"/>
      <c r="AH53" s="2416"/>
      <c r="AI53" s="2416"/>
      <c r="AJ53" s="2416"/>
      <c r="AK53" s="2416"/>
      <c r="AL53" s="2416"/>
      <c r="AM53" s="2416"/>
      <c r="AN53" s="2416"/>
      <c r="AO53" s="2416"/>
      <c r="AP53" s="2416"/>
      <c r="AQ53" s="2416"/>
      <c r="AR53" s="2416"/>
      <c r="AS53" s="2416"/>
      <c r="AT53" s="2416"/>
      <c r="AU53" s="2416"/>
      <c r="AV53" s="2416"/>
      <c r="AW53" s="2416"/>
      <c r="AX53" s="2416"/>
      <c r="AY53" s="2416"/>
      <c r="AZ53" s="2416"/>
      <c r="BA53" s="2416"/>
      <c r="BB53" s="2416"/>
      <c r="BC53" s="2416"/>
      <c r="BD53" s="2416"/>
      <c r="BE53" s="2416"/>
      <c r="BF53" s="2416"/>
      <c r="BG53" s="2416"/>
      <c r="BH53" s="2416"/>
      <c r="BI53" s="2416"/>
      <c r="BJ53" s="2416"/>
      <c r="BK53" s="2416"/>
      <c r="BL53" s="2416"/>
      <c r="BM53" s="2416"/>
      <c r="BN53" s="2416"/>
      <c r="BO53" s="2416"/>
      <c r="BP53" s="2416"/>
      <c r="BQ53" s="2416"/>
      <c r="BR53" s="2416"/>
      <c r="BS53" s="2416"/>
      <c r="BT53" s="2416"/>
      <c r="BU53" s="2416"/>
      <c r="BV53" s="2416"/>
      <c r="BW53" s="2416"/>
      <c r="BX53" s="2416"/>
      <c r="BY53" s="2416"/>
      <c r="BZ53" s="2416"/>
      <c r="CA53" s="2416"/>
      <c r="CB53" s="2416"/>
      <c r="CC53" s="2416"/>
      <c r="CD53" s="2416"/>
      <c r="CE53" s="2416"/>
      <c r="CF53" s="2416"/>
      <c r="CG53" s="2416"/>
      <c r="CH53" s="2416"/>
      <c r="CI53" s="2416"/>
      <c r="CJ53" s="2416"/>
      <c r="CK53" s="2416"/>
      <c r="CL53" s="2416"/>
      <c r="CM53" s="2416"/>
      <c r="CN53" s="2416"/>
      <c r="CO53" s="2416"/>
      <c r="CP53" s="2416"/>
      <c r="CQ53" s="2416"/>
      <c r="CR53" s="2416"/>
      <c r="CS53" s="2416"/>
      <c r="CT53" s="2416"/>
      <c r="CU53" s="2416"/>
      <c r="CV53" s="2416"/>
      <c r="CW53" s="2416"/>
      <c r="CX53" s="2416"/>
      <c r="CY53" s="2416"/>
      <c r="CZ53" s="2416"/>
      <c r="DA53" s="2416"/>
      <c r="DB53" s="2416"/>
      <c r="DC53" s="2416"/>
      <c r="DD53" s="2416"/>
      <c r="DE53" s="2416"/>
      <c r="DF53" s="2416"/>
      <c r="DG53" s="2416"/>
      <c r="DH53" s="2416"/>
      <c r="DI53" s="2416"/>
    </row>
    <row r="54" spans="1:113" s="6" customFormat="1" hidden="1">
      <c r="A54" s="2416"/>
      <c r="B54" s="105"/>
      <c r="C54" s="967" t="s">
        <v>719</v>
      </c>
      <c r="D54" s="1070"/>
      <c r="E54" s="957"/>
      <c r="F54" s="958"/>
      <c r="G54" s="958"/>
      <c r="H54" s="958"/>
      <c r="I54" s="958"/>
      <c r="J54" s="958"/>
      <c r="K54" s="958"/>
      <c r="L54" s="958"/>
      <c r="M54" s="958"/>
      <c r="N54" s="958"/>
      <c r="O54" s="67"/>
      <c r="P54" s="2464"/>
      <c r="Q54" s="647"/>
      <c r="R54" s="509"/>
      <c r="S54" s="1165"/>
      <c r="T54" s="1165"/>
      <c r="U54" s="1165"/>
      <c r="V54" s="1165"/>
      <c r="W54" s="1166"/>
      <c r="X54" s="1165"/>
      <c r="Y54" s="1165"/>
      <c r="Z54" s="1167"/>
      <c r="AA54" s="1169"/>
      <c r="AB54" s="647"/>
      <c r="AC54" s="647"/>
      <c r="AF54" s="2416"/>
      <c r="AG54" s="2416"/>
      <c r="AH54" s="2416"/>
      <c r="AI54" s="2416"/>
      <c r="AJ54" s="2416"/>
      <c r="AK54" s="2416"/>
      <c r="AL54" s="2416"/>
      <c r="AM54" s="2416"/>
      <c r="AN54" s="2416"/>
      <c r="AO54" s="2416"/>
      <c r="AP54" s="2416"/>
      <c r="AQ54" s="2416"/>
      <c r="AR54" s="2416"/>
      <c r="AS54" s="2416"/>
      <c r="AT54" s="2416"/>
      <c r="AU54" s="2416"/>
      <c r="AV54" s="2416"/>
      <c r="AW54" s="2416"/>
      <c r="AX54" s="2416"/>
      <c r="AY54" s="2416"/>
      <c r="AZ54" s="2416"/>
      <c r="BA54" s="2416"/>
      <c r="BB54" s="2416"/>
      <c r="BC54" s="2416"/>
      <c r="BD54" s="2416"/>
      <c r="BE54" s="2416"/>
      <c r="BF54" s="2416"/>
      <c r="BG54" s="2416"/>
      <c r="BH54" s="2416"/>
      <c r="BI54" s="2416"/>
      <c r="BJ54" s="2416"/>
      <c r="BK54" s="2416"/>
      <c r="BL54" s="2416"/>
      <c r="BM54" s="2416"/>
      <c r="BN54" s="2416"/>
      <c r="BO54" s="2416"/>
      <c r="BP54" s="2416"/>
      <c r="BQ54" s="2416"/>
      <c r="BR54" s="2416"/>
      <c r="BS54" s="2416"/>
      <c r="BT54" s="2416"/>
      <c r="BU54" s="2416"/>
      <c r="BV54" s="2416"/>
      <c r="BW54" s="2416"/>
      <c r="BX54" s="2416"/>
      <c r="BY54" s="2416"/>
      <c r="BZ54" s="2416"/>
      <c r="CA54" s="2416"/>
      <c r="CB54" s="2416"/>
      <c r="CC54" s="2416"/>
      <c r="CD54" s="2416"/>
      <c r="CE54" s="2416"/>
      <c r="CF54" s="2416"/>
      <c r="CG54" s="2416"/>
      <c r="CH54" s="2416"/>
      <c r="CI54" s="2416"/>
      <c r="CJ54" s="2416"/>
      <c r="CK54" s="2416"/>
      <c r="CL54" s="2416"/>
      <c r="CM54" s="2416"/>
      <c r="CN54" s="2416"/>
      <c r="CO54" s="2416"/>
      <c r="CP54" s="2416"/>
      <c r="CQ54" s="2416"/>
      <c r="CR54" s="2416"/>
      <c r="CS54" s="2416"/>
      <c r="CT54" s="2416"/>
      <c r="CU54" s="2416"/>
      <c r="CV54" s="2416"/>
      <c r="CW54" s="2416"/>
      <c r="CX54" s="2416"/>
      <c r="CY54" s="2416"/>
      <c r="CZ54" s="2416"/>
      <c r="DA54" s="2416"/>
      <c r="DB54" s="2416"/>
      <c r="DC54" s="2416"/>
      <c r="DD54" s="2416"/>
      <c r="DE54" s="2416"/>
      <c r="DF54" s="2416"/>
      <c r="DG54" s="2416"/>
      <c r="DH54" s="2416"/>
      <c r="DI54" s="2416"/>
    </row>
    <row r="55" spans="1:113" s="6" customFormat="1" hidden="1">
      <c r="A55" s="2416"/>
      <c r="B55" s="105"/>
      <c r="C55" s="943" t="s">
        <v>720</v>
      </c>
      <c r="D55" s="915"/>
      <c r="E55" s="944"/>
      <c r="F55" s="933"/>
      <c r="G55" s="933"/>
      <c r="H55" s="933"/>
      <c r="I55" s="933"/>
      <c r="J55" s="933"/>
      <c r="K55" s="933"/>
      <c r="L55" s="933"/>
      <c r="M55" s="933"/>
      <c r="N55" s="933"/>
      <c r="O55" s="67"/>
      <c r="P55" s="2464"/>
      <c r="Q55" s="647"/>
      <c r="R55" s="1166"/>
      <c r="S55" s="1165"/>
      <c r="T55" s="1165"/>
      <c r="U55" s="1165"/>
      <c r="V55" s="1165"/>
      <c r="W55" s="1166"/>
      <c r="X55" s="1165"/>
      <c r="Y55" s="1165"/>
      <c r="Z55" s="1168"/>
      <c r="AA55" s="1169"/>
      <c r="AB55" s="647"/>
      <c r="AC55" s="647"/>
      <c r="AF55" s="2416"/>
      <c r="AG55" s="2416"/>
      <c r="AH55" s="2416"/>
      <c r="AI55" s="2416"/>
      <c r="AJ55" s="2416"/>
      <c r="AK55" s="2416"/>
      <c r="AL55" s="2416"/>
      <c r="AM55" s="2416"/>
      <c r="AN55" s="2416"/>
      <c r="AO55" s="2416"/>
      <c r="AP55" s="2416"/>
      <c r="AQ55" s="2416"/>
      <c r="AR55" s="2416"/>
      <c r="AS55" s="2416"/>
      <c r="AT55" s="2416"/>
      <c r="AU55" s="2416"/>
      <c r="AV55" s="2416"/>
      <c r="AW55" s="2416"/>
      <c r="AX55" s="2416"/>
      <c r="AY55" s="2416"/>
      <c r="AZ55" s="2416"/>
      <c r="BA55" s="2416"/>
      <c r="BB55" s="2416"/>
      <c r="BC55" s="2416"/>
      <c r="BD55" s="2416"/>
      <c r="BE55" s="2416"/>
      <c r="BF55" s="2416"/>
      <c r="BG55" s="2416"/>
      <c r="BH55" s="2416"/>
      <c r="BI55" s="2416"/>
      <c r="BJ55" s="2416"/>
      <c r="BK55" s="2416"/>
      <c r="BL55" s="2416"/>
      <c r="BM55" s="2416"/>
      <c r="BN55" s="2416"/>
      <c r="BO55" s="2416"/>
      <c r="BP55" s="2416"/>
      <c r="BQ55" s="2416"/>
      <c r="BR55" s="2416"/>
      <c r="BS55" s="2416"/>
      <c r="BT55" s="2416"/>
      <c r="BU55" s="2416"/>
      <c r="BV55" s="2416"/>
      <c r="BW55" s="2416"/>
      <c r="BX55" s="2416"/>
      <c r="BY55" s="2416"/>
      <c r="BZ55" s="2416"/>
      <c r="CA55" s="2416"/>
      <c r="CB55" s="2416"/>
      <c r="CC55" s="2416"/>
      <c r="CD55" s="2416"/>
      <c r="CE55" s="2416"/>
      <c r="CF55" s="2416"/>
      <c r="CG55" s="2416"/>
      <c r="CH55" s="2416"/>
      <c r="CI55" s="2416"/>
      <c r="CJ55" s="2416"/>
      <c r="CK55" s="2416"/>
      <c r="CL55" s="2416"/>
      <c r="CM55" s="2416"/>
      <c r="CN55" s="2416"/>
      <c r="CO55" s="2416"/>
      <c r="CP55" s="2416"/>
      <c r="CQ55" s="2416"/>
      <c r="CR55" s="2416"/>
      <c r="CS55" s="2416"/>
      <c r="CT55" s="2416"/>
      <c r="CU55" s="2416"/>
      <c r="CV55" s="2416"/>
      <c r="CW55" s="2416"/>
      <c r="CX55" s="2416"/>
      <c r="CY55" s="2416"/>
      <c r="CZ55" s="2416"/>
      <c r="DA55" s="2416"/>
      <c r="DB55" s="2416"/>
      <c r="DC55" s="2416"/>
      <c r="DD55" s="2416"/>
      <c r="DE55" s="2416"/>
      <c r="DF55" s="2416"/>
      <c r="DG55" s="2416"/>
      <c r="DH55" s="2416"/>
      <c r="DI55" s="2416"/>
    </row>
    <row r="56" spans="1:113" s="6" customFormat="1" hidden="1">
      <c r="A56" s="2416"/>
      <c r="B56" s="105"/>
      <c r="C56" s="947" t="s">
        <v>721</v>
      </c>
      <c r="D56" s="948"/>
      <c r="E56" s="949"/>
      <c r="F56" s="960"/>
      <c r="G56" s="960"/>
      <c r="H56" s="960"/>
      <c r="I56" s="960"/>
      <c r="J56" s="960"/>
      <c r="K56" s="960"/>
      <c r="L56" s="960"/>
      <c r="M56" s="960"/>
      <c r="N56" s="960"/>
      <c r="O56" s="67"/>
      <c r="P56" s="2464"/>
      <c r="Q56" s="647"/>
      <c r="R56" s="1166"/>
      <c r="S56" s="620"/>
      <c r="T56" s="620"/>
      <c r="U56" s="620"/>
      <c r="V56" s="620"/>
      <c r="W56" s="1166"/>
      <c r="X56" s="620"/>
      <c r="Y56" s="620"/>
      <c r="Z56" s="1169"/>
      <c r="AA56" s="1169"/>
      <c r="AB56" s="647"/>
      <c r="AC56" s="647"/>
      <c r="AF56" s="2416"/>
      <c r="AG56" s="2416"/>
      <c r="AH56" s="2416"/>
      <c r="AI56" s="2416"/>
      <c r="AJ56" s="2416"/>
      <c r="AK56" s="2416"/>
      <c r="AL56" s="2416"/>
      <c r="AM56" s="2416"/>
      <c r="AN56" s="2416"/>
      <c r="AO56" s="2416"/>
      <c r="AP56" s="2416"/>
      <c r="AQ56" s="2416"/>
      <c r="AR56" s="2416"/>
      <c r="AS56" s="2416"/>
      <c r="AT56" s="2416"/>
      <c r="AU56" s="2416"/>
      <c r="AV56" s="2416"/>
      <c r="AW56" s="2416"/>
      <c r="AX56" s="2416"/>
      <c r="AY56" s="2416"/>
      <c r="AZ56" s="2416"/>
      <c r="BA56" s="2416"/>
      <c r="BB56" s="2416"/>
      <c r="BC56" s="2416"/>
      <c r="BD56" s="2416"/>
      <c r="BE56" s="2416"/>
      <c r="BF56" s="2416"/>
      <c r="BG56" s="2416"/>
      <c r="BH56" s="2416"/>
      <c r="BI56" s="2416"/>
      <c r="BJ56" s="2416"/>
      <c r="BK56" s="2416"/>
      <c r="BL56" s="2416"/>
      <c r="BM56" s="2416"/>
      <c r="BN56" s="2416"/>
      <c r="BO56" s="2416"/>
      <c r="BP56" s="2416"/>
      <c r="BQ56" s="2416"/>
      <c r="BR56" s="2416"/>
      <c r="BS56" s="2416"/>
      <c r="BT56" s="2416"/>
      <c r="BU56" s="2416"/>
      <c r="BV56" s="2416"/>
      <c r="BW56" s="2416"/>
      <c r="BX56" s="2416"/>
      <c r="BY56" s="2416"/>
      <c r="BZ56" s="2416"/>
      <c r="CA56" s="2416"/>
      <c r="CB56" s="2416"/>
      <c r="CC56" s="2416"/>
      <c r="CD56" s="2416"/>
      <c r="CE56" s="2416"/>
      <c r="CF56" s="2416"/>
      <c r="CG56" s="2416"/>
      <c r="CH56" s="2416"/>
      <c r="CI56" s="2416"/>
      <c r="CJ56" s="2416"/>
      <c r="CK56" s="2416"/>
      <c r="CL56" s="2416"/>
      <c r="CM56" s="2416"/>
      <c r="CN56" s="2416"/>
      <c r="CO56" s="2416"/>
      <c r="CP56" s="2416"/>
      <c r="CQ56" s="2416"/>
      <c r="CR56" s="2416"/>
      <c r="CS56" s="2416"/>
      <c r="CT56" s="2416"/>
      <c r="CU56" s="2416"/>
      <c r="CV56" s="2416"/>
      <c r="CW56" s="2416"/>
      <c r="CX56" s="2416"/>
      <c r="CY56" s="2416"/>
      <c r="CZ56" s="2416"/>
      <c r="DA56" s="2416"/>
      <c r="DB56" s="2416"/>
      <c r="DC56" s="2416"/>
      <c r="DD56" s="2416"/>
      <c r="DE56" s="2416"/>
      <c r="DF56" s="2416"/>
      <c r="DG56" s="2416"/>
      <c r="DH56" s="2416"/>
      <c r="DI56" s="2416"/>
    </row>
    <row r="57" spans="1:113" s="6" customFormat="1" hidden="1">
      <c r="A57" s="2416"/>
      <c r="B57" s="105"/>
      <c r="C57" s="937"/>
      <c r="D57" s="915"/>
      <c r="E57" s="932"/>
      <c r="F57" s="933"/>
      <c r="G57" s="934"/>
      <c r="H57" s="934"/>
      <c r="I57" s="934"/>
      <c r="J57" s="934"/>
      <c r="K57" s="934"/>
      <c r="L57" s="934"/>
      <c r="M57" s="934"/>
      <c r="N57" s="67"/>
      <c r="O57" s="67"/>
      <c r="P57" s="2464"/>
      <c r="Q57" s="647"/>
      <c r="R57" s="1166"/>
      <c r="S57" s="620"/>
      <c r="T57" s="620"/>
      <c r="U57" s="620"/>
      <c r="V57" s="620"/>
      <c r="W57" s="1166"/>
      <c r="X57" s="620"/>
      <c r="Y57" s="620"/>
      <c r="Z57" s="1169"/>
      <c r="AA57" s="1169"/>
      <c r="AB57" s="647"/>
      <c r="AC57" s="647"/>
      <c r="AF57" s="2416"/>
      <c r="AG57" s="2416"/>
      <c r="AH57" s="2416"/>
      <c r="AI57" s="2416"/>
      <c r="AJ57" s="2416"/>
      <c r="AK57" s="2416"/>
      <c r="AL57" s="2416"/>
      <c r="AM57" s="2416"/>
      <c r="AN57" s="2416"/>
      <c r="AO57" s="2416"/>
      <c r="AP57" s="2416"/>
      <c r="AQ57" s="2416"/>
      <c r="AR57" s="2416"/>
      <c r="AS57" s="2416"/>
      <c r="AT57" s="2416"/>
      <c r="AU57" s="2416"/>
      <c r="AV57" s="2416"/>
      <c r="AW57" s="2416"/>
      <c r="AX57" s="2416"/>
      <c r="AY57" s="2416"/>
      <c r="AZ57" s="2416"/>
      <c r="BA57" s="2416"/>
      <c r="BB57" s="2416"/>
      <c r="BC57" s="2416"/>
      <c r="BD57" s="2416"/>
      <c r="BE57" s="2416"/>
      <c r="BF57" s="2416"/>
      <c r="BG57" s="2416"/>
      <c r="BH57" s="2416"/>
      <c r="BI57" s="2416"/>
      <c r="BJ57" s="2416"/>
      <c r="BK57" s="2416"/>
      <c r="BL57" s="2416"/>
      <c r="BM57" s="2416"/>
      <c r="BN57" s="2416"/>
      <c r="BO57" s="2416"/>
      <c r="BP57" s="2416"/>
      <c r="BQ57" s="2416"/>
      <c r="BR57" s="2416"/>
      <c r="BS57" s="2416"/>
      <c r="BT57" s="2416"/>
      <c r="BU57" s="2416"/>
      <c r="BV57" s="2416"/>
      <c r="BW57" s="2416"/>
      <c r="BX57" s="2416"/>
      <c r="BY57" s="2416"/>
      <c r="BZ57" s="2416"/>
      <c r="CA57" s="2416"/>
      <c r="CB57" s="2416"/>
      <c r="CC57" s="2416"/>
      <c r="CD57" s="2416"/>
      <c r="CE57" s="2416"/>
      <c r="CF57" s="2416"/>
      <c r="CG57" s="2416"/>
      <c r="CH57" s="2416"/>
      <c r="CI57" s="2416"/>
      <c r="CJ57" s="2416"/>
      <c r="CK57" s="2416"/>
      <c r="CL57" s="2416"/>
      <c r="CM57" s="2416"/>
      <c r="CN57" s="2416"/>
      <c r="CO57" s="2416"/>
      <c r="CP57" s="2416"/>
      <c r="CQ57" s="2416"/>
      <c r="CR57" s="2416"/>
      <c r="CS57" s="2416"/>
      <c r="CT57" s="2416"/>
      <c r="CU57" s="2416"/>
      <c r="CV57" s="2416"/>
      <c r="CW57" s="2416"/>
      <c r="CX57" s="2416"/>
      <c r="CY57" s="2416"/>
      <c r="CZ57" s="2416"/>
      <c r="DA57" s="2416"/>
      <c r="DB57" s="2416"/>
      <c r="DC57" s="2416"/>
      <c r="DD57" s="2416"/>
      <c r="DE57" s="2416"/>
      <c r="DF57" s="2416"/>
      <c r="DG57" s="2416"/>
      <c r="DH57" s="2416"/>
      <c r="DI57" s="2416"/>
    </row>
    <row r="58" spans="1:113" hidden="1">
      <c r="B58" s="105"/>
      <c r="C58" s="49" t="s">
        <v>1852</v>
      </c>
      <c r="D58" s="915"/>
      <c r="E58" s="932" t="s">
        <v>5</v>
      </c>
      <c r="F58" s="933"/>
      <c r="G58" s="934"/>
      <c r="H58" s="934"/>
      <c r="I58" s="934"/>
      <c r="J58" s="934"/>
      <c r="K58" s="934"/>
      <c r="L58" s="934"/>
      <c r="M58" s="934"/>
      <c r="N58" s="935"/>
      <c r="O58" s="67"/>
      <c r="P58" s="2464"/>
      <c r="Q58" s="1164"/>
      <c r="R58" s="1171"/>
      <c r="S58" s="2465"/>
      <c r="T58" s="2465"/>
      <c r="U58" s="2465"/>
      <c r="V58" s="2465"/>
      <c r="W58" s="1166"/>
      <c r="X58" s="2465"/>
      <c r="Y58" s="2465"/>
      <c r="Z58" s="1172"/>
      <c r="AA58" s="1172"/>
      <c r="AB58" s="1164"/>
      <c r="AC58" s="1164"/>
    </row>
    <row r="59" spans="1:113" ht="4.5" hidden="1" customHeight="1">
      <c r="B59" s="105"/>
      <c r="C59" s="937"/>
      <c r="D59" s="915"/>
      <c r="E59" s="932"/>
      <c r="F59" s="933"/>
      <c r="G59" s="934"/>
      <c r="H59" s="934"/>
      <c r="I59" s="934"/>
      <c r="J59" s="934"/>
      <c r="K59" s="934"/>
      <c r="L59" s="934"/>
      <c r="M59" s="934"/>
      <c r="N59" s="67"/>
      <c r="O59" s="67"/>
      <c r="P59" s="2464"/>
      <c r="Q59" s="1164"/>
      <c r="R59" s="1172"/>
      <c r="S59" s="1172"/>
      <c r="T59" s="1172"/>
      <c r="U59" s="1172"/>
      <c r="V59" s="1172"/>
      <c r="W59" s="1172"/>
      <c r="X59" s="1172"/>
      <c r="Y59" s="1172"/>
      <c r="Z59" s="1172"/>
      <c r="AA59" s="1172"/>
      <c r="AB59" s="1164"/>
      <c r="AC59" s="1164"/>
    </row>
    <row r="60" spans="1:113" hidden="1">
      <c r="B60" s="105"/>
      <c r="C60" s="1170"/>
      <c r="D60" s="1070"/>
      <c r="E60" s="971" t="s">
        <v>159</v>
      </c>
      <c r="F60" s="972">
        <v>2013</v>
      </c>
      <c r="G60" s="965">
        <v>2015</v>
      </c>
      <c r="H60" s="965">
        <v>2020</v>
      </c>
      <c r="I60" s="965">
        <v>2025</v>
      </c>
      <c r="J60" s="965">
        <v>2030</v>
      </c>
      <c r="K60" s="965">
        <v>2035</v>
      </c>
      <c r="L60" s="965">
        <v>2040</v>
      </c>
      <c r="M60" s="965">
        <v>2045</v>
      </c>
      <c r="N60" s="965">
        <v>2050</v>
      </c>
      <c r="O60" s="67"/>
      <c r="P60" s="2464"/>
      <c r="Q60" s="1164"/>
      <c r="R60" s="2466"/>
      <c r="S60" s="1164"/>
      <c r="T60" s="1419"/>
      <c r="U60" s="1164"/>
      <c r="V60" s="1164"/>
      <c r="W60" s="1419"/>
      <c r="X60" s="1164"/>
      <c r="Y60" s="1164"/>
      <c r="Z60" s="1164"/>
      <c r="AA60" s="1164"/>
      <c r="AB60" s="1164"/>
      <c r="AC60" s="1164"/>
    </row>
    <row r="61" spans="1:113" hidden="1">
      <c r="B61" s="105"/>
      <c r="C61" s="967" t="s">
        <v>719</v>
      </c>
      <c r="D61" s="1070"/>
      <c r="E61" s="957"/>
      <c r="F61" s="958"/>
      <c r="G61" s="958"/>
      <c r="H61" s="958"/>
      <c r="I61" s="958"/>
      <c r="J61" s="958"/>
      <c r="K61" s="958"/>
      <c r="L61" s="958"/>
      <c r="M61" s="958"/>
      <c r="N61" s="958"/>
      <c r="O61" s="67"/>
      <c r="P61" s="2464"/>
      <c r="Q61" s="1164"/>
      <c r="R61" s="1164"/>
      <c r="S61" s="1164"/>
      <c r="T61" s="1164"/>
      <c r="U61" s="1164"/>
      <c r="V61" s="1164"/>
      <c r="W61" s="1164"/>
      <c r="X61" s="1164"/>
      <c r="Y61" s="1164"/>
      <c r="Z61" s="1164"/>
      <c r="AA61" s="1164"/>
      <c r="AB61" s="1164"/>
      <c r="AC61" s="1164"/>
    </row>
    <row r="62" spans="1:113" s="2" customFormat="1" hidden="1">
      <c r="B62" s="105"/>
      <c r="C62" s="943" t="s">
        <v>720</v>
      </c>
      <c r="D62" s="915"/>
      <c r="E62" s="944"/>
      <c r="F62" s="933"/>
      <c r="G62" s="933"/>
      <c r="H62" s="933"/>
      <c r="I62" s="933"/>
      <c r="J62" s="933"/>
      <c r="K62" s="933"/>
      <c r="L62" s="933"/>
      <c r="M62" s="933"/>
      <c r="N62" s="933"/>
      <c r="O62" s="67"/>
      <c r="P62" s="2464"/>
      <c r="Q62" s="1172"/>
      <c r="R62" s="1172"/>
      <c r="S62" s="1172"/>
      <c r="T62" s="1172"/>
      <c r="U62" s="1172"/>
      <c r="V62" s="1172"/>
      <c r="W62" s="1172"/>
      <c r="X62" s="1172"/>
      <c r="Y62" s="1172"/>
      <c r="Z62" s="1172"/>
      <c r="AA62" s="1172"/>
      <c r="AB62" s="1172"/>
      <c r="AC62" s="1172"/>
    </row>
    <row r="63" spans="1:113" s="2" customFormat="1" ht="14.25" hidden="1" customHeight="1">
      <c r="B63" s="105"/>
      <c r="C63" s="947" t="s">
        <v>721</v>
      </c>
      <c r="D63" s="948"/>
      <c r="E63" s="949"/>
      <c r="F63" s="960"/>
      <c r="G63" s="960"/>
      <c r="H63" s="960"/>
      <c r="I63" s="960"/>
      <c r="J63" s="960"/>
      <c r="K63" s="960"/>
      <c r="L63" s="960"/>
      <c r="M63" s="960"/>
      <c r="N63" s="960"/>
      <c r="O63" s="67"/>
      <c r="P63" s="2464"/>
      <c r="Q63" s="1172"/>
      <c r="R63" s="1172"/>
      <c r="S63" s="1172"/>
      <c r="T63" s="1172"/>
      <c r="U63" s="1172"/>
      <c r="V63" s="1172"/>
      <c r="W63" s="1172"/>
      <c r="X63" s="1172"/>
      <c r="Y63" s="1172"/>
      <c r="Z63" s="1172"/>
      <c r="AA63" s="1172"/>
      <c r="AB63" s="1172"/>
      <c r="AC63" s="1172"/>
    </row>
    <row r="64" spans="1:113" ht="15.75" hidden="1" customHeight="1">
      <c r="B64" s="47"/>
      <c r="C64" s="47"/>
      <c r="D64" s="67"/>
      <c r="E64" s="934"/>
      <c r="F64" s="67"/>
      <c r="G64" s="67"/>
      <c r="H64" s="67"/>
      <c r="I64" s="1176"/>
      <c r="J64" s="1176"/>
      <c r="K64" s="47"/>
      <c r="L64" s="47"/>
      <c r="M64" s="47"/>
      <c r="N64" s="47"/>
      <c r="O64" s="47"/>
      <c r="P64" s="2464"/>
      <c r="Q64" s="1164"/>
      <c r="R64" s="1164"/>
      <c r="S64" s="1164"/>
      <c r="T64" s="1164"/>
      <c r="U64" s="1164"/>
      <c r="V64" s="1164"/>
      <c r="W64" s="1164"/>
      <c r="X64" s="1164"/>
      <c r="Y64" s="1164"/>
      <c r="Z64" s="1164"/>
      <c r="AA64" s="1164"/>
      <c r="AB64" s="1164"/>
      <c r="AC64" s="1164"/>
    </row>
    <row r="65" spans="2:30">
      <c r="B65" s="1177"/>
      <c r="C65" s="1068"/>
      <c r="D65" s="1068"/>
      <c r="E65" s="1068"/>
      <c r="F65" s="1068"/>
      <c r="G65" s="1068"/>
      <c r="H65" s="1068"/>
      <c r="I65" s="1068"/>
      <c r="J65" s="1068"/>
      <c r="K65" s="1068"/>
      <c r="L65" s="1068"/>
      <c r="M65" s="1068"/>
      <c r="N65" s="1068"/>
      <c r="O65" s="2467"/>
    </row>
    <row r="66" spans="2:30" ht="15">
      <c r="B66" s="869" t="s">
        <v>177</v>
      </c>
      <c r="C66" s="870"/>
      <c r="D66" s="870"/>
      <c r="E66" s="870"/>
      <c r="F66" s="870"/>
      <c r="G66" s="870"/>
      <c r="H66" s="870"/>
      <c r="I66" s="870"/>
      <c r="J66" s="870"/>
      <c r="K66" s="870"/>
      <c r="L66" s="870"/>
      <c r="M66" s="870"/>
      <c r="N66" s="870"/>
      <c r="O66" s="871"/>
    </row>
    <row r="67" spans="2:30" s="6" customFormat="1">
      <c r="B67" s="105"/>
      <c r="C67" s="67"/>
      <c r="D67" s="67"/>
      <c r="E67" s="67"/>
      <c r="F67" s="67"/>
      <c r="G67" s="67"/>
      <c r="H67" s="67"/>
      <c r="I67" s="67"/>
      <c r="J67" s="67"/>
      <c r="K67" s="67"/>
      <c r="L67" s="67"/>
      <c r="M67" s="67"/>
      <c r="N67" s="67"/>
      <c r="O67" s="876"/>
    </row>
    <row r="68" spans="2:30">
      <c r="B68" s="105"/>
      <c r="C68" s="49" t="s">
        <v>726</v>
      </c>
      <c r="D68" s="67"/>
      <c r="E68" s="51"/>
      <c r="F68" s="67"/>
      <c r="G68" s="67"/>
      <c r="H68" s="67"/>
      <c r="I68" s="67"/>
      <c r="J68" s="67"/>
      <c r="K68" s="67"/>
      <c r="L68" s="67"/>
      <c r="M68" s="67"/>
      <c r="N68" s="51" t="str">
        <f>Preferences.PowerUnits</f>
        <v>GW</v>
      </c>
      <c r="O68" s="876"/>
    </row>
    <row r="69" spans="2:30">
      <c r="B69" s="105"/>
      <c r="C69" s="67"/>
      <c r="D69" s="67"/>
      <c r="E69" s="67"/>
      <c r="F69" s="67"/>
      <c r="G69" s="67"/>
      <c r="H69" s="67"/>
      <c r="I69" s="67"/>
      <c r="J69" s="67"/>
      <c r="K69" s="67"/>
      <c r="L69" s="67"/>
      <c r="M69" s="67"/>
      <c r="N69" s="67"/>
      <c r="O69" s="876"/>
    </row>
    <row r="70" spans="2:30" ht="15.5">
      <c r="B70" s="55"/>
      <c r="C70" s="878" t="s">
        <v>131</v>
      </c>
      <c r="D70" s="878" t="s">
        <v>71</v>
      </c>
      <c r="E70" s="878" t="s">
        <v>30</v>
      </c>
      <c r="F70" s="87">
        <v>2013</v>
      </c>
      <c r="G70" s="87">
        <v>2015</v>
      </c>
      <c r="H70" s="87">
        <v>2020</v>
      </c>
      <c r="I70" s="87">
        <v>2025</v>
      </c>
      <c r="J70" s="87">
        <v>2030</v>
      </c>
      <c r="K70" s="87">
        <v>2035</v>
      </c>
      <c r="L70" s="87">
        <v>2040</v>
      </c>
      <c r="M70" s="87">
        <v>2045</v>
      </c>
      <c r="N70" s="87">
        <v>2050</v>
      </c>
      <c r="O70" s="876"/>
    </row>
    <row r="71" spans="2:30" ht="15.5">
      <c r="B71" s="966"/>
      <c r="C71" s="907" t="s">
        <v>442</v>
      </c>
      <c r="D71" s="908" t="str">
        <f>INDEX(Vectors[Description], MATCH($C71, Vectors[Code], 0))</f>
        <v>Hydro</v>
      </c>
      <c r="E71" s="908"/>
      <c r="F71" s="2478">
        <f t="shared" ref="F71:N71" si="2">F20</f>
        <v>0.23699999999999999</v>
      </c>
      <c r="G71" s="2479">
        <f t="shared" si="2"/>
        <v>0.23699999999999999</v>
      </c>
      <c r="H71" s="2478">
        <f t="shared" si="2"/>
        <v>0.23699999999999999</v>
      </c>
      <c r="I71" s="2478">
        <f t="shared" si="2"/>
        <v>0.23699999999999999</v>
      </c>
      <c r="J71" s="2478">
        <f t="shared" si="2"/>
        <v>0.152</v>
      </c>
      <c r="K71" s="2478">
        <f t="shared" si="2"/>
        <v>0.1</v>
      </c>
      <c r="L71" s="2478">
        <f t="shared" si="2"/>
        <v>7.0000000000000007E-2</v>
      </c>
      <c r="M71" s="2478">
        <f t="shared" si="2"/>
        <v>0.05</v>
      </c>
      <c r="N71" s="2478">
        <f t="shared" si="2"/>
        <v>0</v>
      </c>
      <c r="O71" s="103"/>
      <c r="P71" s="1068"/>
      <c r="Q71" s="1068"/>
      <c r="R71" s="1068"/>
      <c r="S71" s="1068"/>
      <c r="T71" s="1068"/>
      <c r="U71" s="1068"/>
      <c r="V71" s="1068"/>
      <c r="W71" s="1068"/>
      <c r="X71" s="1068"/>
      <c r="Y71" s="1068"/>
      <c r="Z71" s="1068"/>
      <c r="AA71" s="1068"/>
      <c r="AB71" s="1068"/>
      <c r="AC71" s="1068"/>
      <c r="AD71" s="1068"/>
    </row>
    <row r="72" spans="2:30">
      <c r="B72" s="106"/>
      <c r="C72" s="1098"/>
      <c r="D72" s="1258"/>
      <c r="E72" s="1258"/>
      <c r="F72" s="2468"/>
      <c r="G72" s="2469"/>
      <c r="H72" s="2469"/>
      <c r="I72" s="2469"/>
      <c r="J72" s="2469"/>
      <c r="K72" s="2469"/>
      <c r="L72" s="2469"/>
      <c r="M72" s="2469"/>
      <c r="N72" s="2469"/>
      <c r="O72" s="1065"/>
      <c r="P72" s="1068"/>
      <c r="Q72" s="2470"/>
      <c r="R72" s="1068"/>
      <c r="S72" s="1068"/>
      <c r="T72" s="1068"/>
      <c r="U72" s="1068"/>
      <c r="V72" s="1068"/>
      <c r="W72" s="1068"/>
      <c r="X72" s="1068"/>
      <c r="Y72" s="1068"/>
      <c r="Z72" s="1068"/>
      <c r="AA72" s="1068"/>
      <c r="AB72" s="1068"/>
      <c r="AC72" s="1068"/>
      <c r="AD72" s="1068"/>
    </row>
    <row r="73" spans="2:30">
      <c r="P73" s="1068"/>
      <c r="Q73" s="2471"/>
      <c r="R73" s="1079"/>
      <c r="S73" s="1167"/>
      <c r="T73" s="1167"/>
      <c r="U73" s="1167"/>
      <c r="V73" s="1167"/>
      <c r="W73" s="1167"/>
      <c r="X73" s="1167"/>
      <c r="Y73" s="1167"/>
      <c r="Z73" s="1167"/>
      <c r="AA73" s="1167"/>
      <c r="AB73" s="1167"/>
      <c r="AC73" s="1167"/>
      <c r="AD73" s="1167"/>
    </row>
    <row r="74" spans="2:30">
      <c r="B74" s="2416" t="s">
        <v>1846</v>
      </c>
      <c r="C74" s="979"/>
      <c r="F74" s="2">
        <v>2013</v>
      </c>
      <c r="G74" s="2">
        <v>2015</v>
      </c>
      <c r="H74" s="2">
        <v>2020</v>
      </c>
      <c r="I74" s="2">
        <v>2025</v>
      </c>
      <c r="J74" s="2">
        <v>2030</v>
      </c>
      <c r="K74" s="2">
        <v>2035</v>
      </c>
      <c r="L74" s="2">
        <v>2040</v>
      </c>
      <c r="M74" s="2">
        <v>2045</v>
      </c>
      <c r="N74" s="2">
        <v>2050</v>
      </c>
      <c r="P74" s="1068"/>
      <c r="Q74" s="2471"/>
      <c r="R74" s="1167"/>
      <c r="S74" s="1167"/>
      <c r="T74" s="1167"/>
      <c r="U74" s="1167"/>
      <c r="V74" s="1167"/>
      <c r="W74" s="1167"/>
      <c r="X74" s="1167"/>
      <c r="Y74" s="1167"/>
      <c r="Z74" s="1167"/>
      <c r="AA74" s="1167"/>
      <c r="AB74" s="1167"/>
      <c r="AC74" s="1167"/>
      <c r="AD74" s="1167"/>
    </row>
    <row r="75" spans="2:30">
      <c r="C75" s="354" t="s">
        <v>852</v>
      </c>
      <c r="E75" s="2473" t="str">
        <f>Preferences.PowerUnits</f>
        <v>GW</v>
      </c>
      <c r="F75" s="2480">
        <f t="shared" ref="F75:N75" si="3">F$71</f>
        <v>0.23699999999999999</v>
      </c>
      <c r="G75" s="2480">
        <f t="shared" si="3"/>
        <v>0.23699999999999999</v>
      </c>
      <c r="H75" s="2480">
        <f t="shared" si="3"/>
        <v>0.23699999999999999</v>
      </c>
      <c r="I75" s="2480">
        <f t="shared" si="3"/>
        <v>0.23699999999999999</v>
      </c>
      <c r="J75" s="2480">
        <f t="shared" si="3"/>
        <v>0.152</v>
      </c>
      <c r="K75" s="2480">
        <f t="shared" si="3"/>
        <v>0.1</v>
      </c>
      <c r="L75" s="2480">
        <f t="shared" si="3"/>
        <v>7.0000000000000007E-2</v>
      </c>
      <c r="M75" s="2480">
        <f t="shared" si="3"/>
        <v>0.05</v>
      </c>
      <c r="N75" s="2480">
        <f t="shared" si="3"/>
        <v>0</v>
      </c>
      <c r="P75" s="1068"/>
      <c r="Q75" s="2471"/>
      <c r="R75" s="1167"/>
      <c r="S75" s="1167"/>
      <c r="T75" s="1167"/>
      <c r="U75" s="1167"/>
      <c r="V75" s="1167"/>
      <c r="W75" s="1167"/>
      <c r="X75" s="1167"/>
      <c r="Y75" s="1167"/>
      <c r="Z75" s="1167"/>
      <c r="AA75" s="1167"/>
      <c r="AB75" s="1167"/>
      <c r="AC75" s="1167"/>
      <c r="AD75" s="1167"/>
    </row>
    <row r="76" spans="2:30">
      <c r="B76" s="982" t="s">
        <v>218</v>
      </c>
      <c r="C76" s="2416" t="s">
        <v>839</v>
      </c>
      <c r="E76" s="2473"/>
      <c r="F76" s="2481">
        <f>F$34</f>
        <v>0.36</v>
      </c>
      <c r="G76" s="2481">
        <f t="shared" ref="G76:N76" si="4">G$34</f>
        <v>0.36</v>
      </c>
      <c r="H76" s="2481">
        <f t="shared" si="4"/>
        <v>0.36</v>
      </c>
      <c r="I76" s="2481">
        <f t="shared" si="4"/>
        <v>0.38</v>
      </c>
      <c r="J76" s="2481">
        <f t="shared" si="4"/>
        <v>0.38</v>
      </c>
      <c r="K76" s="2481">
        <f t="shared" si="4"/>
        <v>0.38</v>
      </c>
      <c r="L76" s="2481">
        <f t="shared" si="4"/>
        <v>0.38</v>
      </c>
      <c r="M76" s="2481">
        <f t="shared" si="4"/>
        <v>0.38</v>
      </c>
      <c r="N76" s="2481">
        <f t="shared" si="4"/>
        <v>0.38</v>
      </c>
      <c r="P76" s="1068"/>
      <c r="Q76" s="2471"/>
      <c r="R76" s="1167"/>
      <c r="S76" s="1167"/>
      <c r="T76" s="1167"/>
      <c r="U76" s="1167"/>
      <c r="V76" s="1167"/>
      <c r="W76" s="1167"/>
      <c r="X76" s="1167"/>
      <c r="Y76" s="1167"/>
      <c r="Z76" s="1167"/>
      <c r="AA76" s="1167"/>
      <c r="AB76" s="1167"/>
      <c r="AC76" s="1167"/>
      <c r="AD76" s="1167"/>
    </row>
    <row r="77" spans="2:30">
      <c r="B77" s="979" t="s">
        <v>220</v>
      </c>
      <c r="C77" s="354" t="s">
        <v>853</v>
      </c>
      <c r="E77" s="2473"/>
      <c r="F77" s="2484">
        <f>F75*F76</f>
        <v>8.5319999999999993E-2</v>
      </c>
      <c r="G77" s="2460">
        <f t="shared" ref="G77:N77" si="5">G75*G76</f>
        <v>8.5319999999999993E-2</v>
      </c>
      <c r="H77" s="2460">
        <f t="shared" si="5"/>
        <v>8.5319999999999993E-2</v>
      </c>
      <c r="I77" s="2460">
        <f t="shared" si="5"/>
        <v>9.0060000000000001E-2</v>
      </c>
      <c r="J77" s="2460">
        <f t="shared" si="5"/>
        <v>5.7759999999999999E-2</v>
      </c>
      <c r="K77" s="2460">
        <f t="shared" si="5"/>
        <v>3.8000000000000006E-2</v>
      </c>
      <c r="L77" s="2460">
        <f t="shared" si="5"/>
        <v>2.6600000000000002E-2</v>
      </c>
      <c r="M77" s="2460">
        <f t="shared" si="5"/>
        <v>1.9000000000000003E-2</v>
      </c>
      <c r="N77" s="2460">
        <f t="shared" si="5"/>
        <v>0</v>
      </c>
      <c r="P77" s="1068"/>
      <c r="Q77" s="2471"/>
      <c r="R77" s="1167"/>
      <c r="S77" s="1167"/>
      <c r="T77" s="1167"/>
      <c r="U77" s="1167"/>
      <c r="V77" s="1167"/>
      <c r="W77" s="1167"/>
      <c r="X77" s="1167"/>
      <c r="Y77" s="1167"/>
      <c r="Z77" s="1167"/>
      <c r="AA77" s="1167"/>
      <c r="AB77" s="1167"/>
      <c r="AC77" s="1167"/>
      <c r="AD77" s="1167"/>
    </row>
    <row r="78" spans="2:30">
      <c r="B78" s="979"/>
      <c r="C78" s="354"/>
      <c r="E78" s="2473"/>
      <c r="F78" s="2460"/>
      <c r="G78" s="2460"/>
      <c r="H78" s="2460"/>
      <c r="I78" s="2460"/>
      <c r="J78" s="2460"/>
      <c r="K78" s="2460"/>
      <c r="L78" s="2460"/>
      <c r="M78" s="2460"/>
      <c r="N78" s="2460"/>
      <c r="P78" s="1068"/>
      <c r="Q78" s="2471"/>
      <c r="R78" s="1167"/>
      <c r="S78" s="1167"/>
      <c r="T78" s="1167"/>
      <c r="U78" s="1167"/>
      <c r="V78" s="1167"/>
      <c r="W78" s="1167"/>
      <c r="X78" s="1167"/>
      <c r="Y78" s="1167"/>
      <c r="Z78" s="1167"/>
      <c r="AA78" s="1167"/>
      <c r="AB78" s="1167"/>
      <c r="AC78" s="1167"/>
      <c r="AD78" s="1167"/>
    </row>
    <row r="79" spans="2:30">
      <c r="C79" s="354" t="s">
        <v>854</v>
      </c>
      <c r="E79" s="2473" t="str">
        <f>Preferences.EnergyUnits</f>
        <v>TWh</v>
      </c>
      <c r="F79" s="2775">
        <f t="shared" ref="F79:N79" si="6">F$77*Preferences.Unit.Power*Unit.year/Preferences.Unit.Energy</f>
        <v>0.74791511999999993</v>
      </c>
      <c r="G79" s="2484">
        <f t="shared" si="6"/>
        <v>0.74791511999999993</v>
      </c>
      <c r="H79" s="2460">
        <f t="shared" si="6"/>
        <v>0.74791511999999993</v>
      </c>
      <c r="I79" s="2460">
        <f t="shared" si="6"/>
        <v>0.78946596000000002</v>
      </c>
      <c r="J79" s="2460">
        <f t="shared" si="6"/>
        <v>0.50632416000000002</v>
      </c>
      <c r="K79" s="2460">
        <f t="shared" si="6"/>
        <v>0.33310800000000007</v>
      </c>
      <c r="L79" s="2460">
        <f t="shared" si="6"/>
        <v>0.23317560000000004</v>
      </c>
      <c r="M79" s="2460">
        <f t="shared" si="6"/>
        <v>0.16655400000000004</v>
      </c>
      <c r="N79" s="2484">
        <f t="shared" si="6"/>
        <v>0</v>
      </c>
      <c r="P79" s="3898"/>
      <c r="Q79" s="2471"/>
      <c r="R79" s="1079"/>
      <c r="S79" s="1167"/>
      <c r="T79" s="1167"/>
      <c r="U79" s="1167"/>
      <c r="V79" s="1167"/>
      <c r="W79" s="1167"/>
      <c r="X79" s="1167"/>
      <c r="Y79" s="1167"/>
      <c r="Z79" s="1167"/>
      <c r="AA79" s="1167"/>
      <c r="AB79" s="1167"/>
      <c r="AC79" s="1167"/>
      <c r="AD79" s="1167"/>
    </row>
    <row r="80" spans="2:30">
      <c r="C80" s="354"/>
      <c r="F80" s="357"/>
      <c r="G80" s="357"/>
      <c r="H80" s="357"/>
      <c r="I80" s="357"/>
      <c r="J80" s="357"/>
      <c r="K80" s="357"/>
      <c r="L80" s="357"/>
      <c r="M80" s="357"/>
      <c r="N80" s="357"/>
      <c r="P80" s="1068"/>
      <c r="Q80" s="1074"/>
      <c r="R80" s="509"/>
      <c r="S80" s="4331"/>
      <c r="T80" s="4331"/>
      <c r="U80" s="4331"/>
      <c r="V80" s="4331"/>
      <c r="W80" s="1166"/>
      <c r="X80" s="4331"/>
      <c r="Y80" s="4331"/>
      <c r="Z80" s="1167"/>
      <c r="AA80" s="1074"/>
      <c r="AB80" s="1074"/>
      <c r="AC80" s="1074"/>
      <c r="AD80" s="1074"/>
    </row>
    <row r="81" spans="1:30">
      <c r="B81" s="2416" t="s">
        <v>738</v>
      </c>
      <c r="C81" s="354"/>
      <c r="F81" s="357"/>
      <c r="G81" s="357"/>
      <c r="H81" s="357"/>
      <c r="I81" s="357"/>
      <c r="J81" s="357"/>
      <c r="K81" s="357"/>
      <c r="L81" s="357"/>
      <c r="M81" s="357"/>
      <c r="N81" s="357"/>
      <c r="P81" s="1068"/>
      <c r="Q81" s="1074"/>
      <c r="R81" s="1166"/>
      <c r="S81" s="4331"/>
      <c r="T81" s="4331"/>
      <c r="U81" s="4331"/>
      <c r="V81" s="4331"/>
      <c r="W81" s="1166"/>
      <c r="X81" s="1165"/>
      <c r="Y81" s="1165"/>
      <c r="Z81" s="1168"/>
      <c r="AA81" s="1074"/>
      <c r="AB81" s="1074"/>
      <c r="AC81" s="1074"/>
      <c r="AD81" s="1074"/>
    </row>
    <row r="82" spans="1:30">
      <c r="C82" s="2473" t="s">
        <v>1854</v>
      </c>
      <c r="E82" s="2416" t="s">
        <v>741</v>
      </c>
      <c r="F82" s="2486">
        <f>F75/$F$39</f>
        <v>2.7558139534883717</v>
      </c>
      <c r="G82" s="2485">
        <f t="shared" ref="G82:N82" si="7">G75/$F$39</f>
        <v>2.7558139534883717</v>
      </c>
      <c r="H82" s="2485">
        <f t="shared" si="7"/>
        <v>2.7558139534883717</v>
      </c>
      <c r="I82" s="2485">
        <f t="shared" si="7"/>
        <v>2.7558139534883717</v>
      </c>
      <c r="J82" s="2485">
        <f t="shared" si="7"/>
        <v>1.7674418604651161</v>
      </c>
      <c r="K82" s="2485">
        <f t="shared" si="7"/>
        <v>1.1627906976744187</v>
      </c>
      <c r="L82" s="2485">
        <f t="shared" si="7"/>
        <v>0.81395348837209303</v>
      </c>
      <c r="M82" s="2485">
        <f t="shared" si="7"/>
        <v>0.58139534883720934</v>
      </c>
      <c r="N82" s="2485">
        <f t="shared" si="7"/>
        <v>0</v>
      </c>
      <c r="P82" s="1068"/>
      <c r="Q82" s="1074"/>
      <c r="R82" s="1166"/>
      <c r="S82" s="620"/>
      <c r="T82" s="620"/>
      <c r="U82" s="620"/>
      <c r="V82" s="620"/>
      <c r="W82" s="1166"/>
      <c r="X82" s="620"/>
      <c r="Y82" s="620"/>
      <c r="Z82" s="1074"/>
      <c r="AA82" s="1074"/>
      <c r="AB82" s="1074"/>
      <c r="AC82" s="1074"/>
      <c r="AD82" s="1074"/>
    </row>
    <row r="83" spans="1:30">
      <c r="C83" s="2416" t="s">
        <v>1847</v>
      </c>
      <c r="E83" s="2473" t="str">
        <f>Preferences.AreaUnits</f>
        <v>km^2</v>
      </c>
      <c r="F83" s="2485">
        <f t="shared" ref="F83:N83" si="8">F75/$F$41</f>
        <v>7.5409090909090883</v>
      </c>
      <c r="G83" s="2485">
        <f t="shared" si="8"/>
        <v>7.5409090909090883</v>
      </c>
      <c r="H83" s="2485">
        <f t="shared" si="8"/>
        <v>7.5409090909090883</v>
      </c>
      <c r="I83" s="2485">
        <f t="shared" si="8"/>
        <v>7.5409090909090883</v>
      </c>
      <c r="J83" s="2485">
        <f t="shared" si="8"/>
        <v>4.8363636363636351</v>
      </c>
      <c r="K83" s="2485">
        <f t="shared" si="8"/>
        <v>3.1818181818181812</v>
      </c>
      <c r="L83" s="2485">
        <f t="shared" si="8"/>
        <v>2.2272727272727266</v>
      </c>
      <c r="M83" s="2485">
        <f t="shared" si="8"/>
        <v>1.5909090909090906</v>
      </c>
      <c r="N83" s="2485">
        <f t="shared" si="8"/>
        <v>0</v>
      </c>
      <c r="P83" s="1068"/>
      <c r="Q83" s="1074"/>
      <c r="R83" s="1166"/>
      <c r="S83" s="620"/>
      <c r="T83" s="620"/>
      <c r="U83" s="620"/>
      <c r="V83" s="620"/>
      <c r="W83" s="1166"/>
      <c r="X83" s="620"/>
      <c r="Y83" s="620"/>
      <c r="Z83" s="1074"/>
      <c r="AA83" s="1074"/>
      <c r="AB83" s="1074"/>
      <c r="AC83" s="1074"/>
      <c r="AD83" s="1074"/>
    </row>
    <row r="84" spans="1:30">
      <c r="C84" s="2416" t="s">
        <v>1848</v>
      </c>
      <c r="E84" s="2473" t="str">
        <f>Preferences.AreaUnits</f>
        <v>km^2</v>
      </c>
      <c r="F84" s="2485">
        <f t="shared" ref="F84:N84" si="9">F75/$F$40</f>
        <v>414.74999999999989</v>
      </c>
      <c r="G84" s="2485">
        <f t="shared" si="9"/>
        <v>414.74999999999989</v>
      </c>
      <c r="H84" s="2485">
        <f t="shared" si="9"/>
        <v>414.74999999999989</v>
      </c>
      <c r="I84" s="2485">
        <f t="shared" si="9"/>
        <v>414.74999999999989</v>
      </c>
      <c r="J84" s="2485">
        <f t="shared" si="9"/>
        <v>265.99999999999994</v>
      </c>
      <c r="K84" s="2485">
        <f t="shared" si="9"/>
        <v>174.99999999999997</v>
      </c>
      <c r="L84" s="2485">
        <f t="shared" si="9"/>
        <v>122.49999999999999</v>
      </c>
      <c r="M84" s="2485">
        <f t="shared" si="9"/>
        <v>87.499999999999986</v>
      </c>
      <c r="N84" s="2485">
        <f t="shared" si="9"/>
        <v>0</v>
      </c>
      <c r="O84" s="984"/>
      <c r="P84" s="1068"/>
      <c r="Q84" s="81"/>
      <c r="R84" s="2472"/>
      <c r="S84" s="2465"/>
      <c r="T84" s="2465"/>
      <c r="U84" s="2465"/>
      <c r="V84" s="2465"/>
      <c r="W84" s="1166"/>
      <c r="X84" s="2465"/>
      <c r="Y84" s="2465"/>
      <c r="Z84" s="81"/>
      <c r="AA84" s="81"/>
      <c r="AB84" s="81"/>
      <c r="AC84" s="81"/>
      <c r="AD84" s="81"/>
    </row>
    <row r="85" spans="1:30">
      <c r="F85" s="984"/>
      <c r="G85" s="984"/>
      <c r="H85" s="984"/>
      <c r="I85" s="984"/>
      <c r="J85" s="984"/>
      <c r="K85" s="984"/>
      <c r="L85" s="984"/>
      <c r="M85" s="984"/>
      <c r="N85" s="984"/>
      <c r="O85" s="984"/>
      <c r="P85" s="1068"/>
      <c r="Q85" s="81"/>
      <c r="R85" s="81"/>
      <c r="S85" s="81"/>
      <c r="T85" s="81"/>
      <c r="U85" s="81"/>
      <c r="V85" s="81"/>
      <c r="W85" s="81"/>
      <c r="X85" s="81"/>
      <c r="Y85" s="81"/>
      <c r="Z85" s="81"/>
      <c r="AA85" s="81"/>
      <c r="AB85" s="81"/>
      <c r="AC85" s="81"/>
      <c r="AD85" s="81"/>
    </row>
    <row r="86" spans="1:30" ht="23.5">
      <c r="A86" s="7"/>
      <c r="C86" s="2416" t="s">
        <v>1849</v>
      </c>
      <c r="F86" s="984" t="s">
        <v>5</v>
      </c>
      <c r="G86" s="984"/>
      <c r="H86" s="984"/>
      <c r="I86" s="984"/>
      <c r="J86" s="984"/>
      <c r="K86" s="984"/>
      <c r="L86" s="984"/>
      <c r="M86" s="984"/>
      <c r="N86" s="984"/>
      <c r="O86" s="984"/>
      <c r="P86" s="1068"/>
      <c r="Q86" s="1068"/>
      <c r="R86" s="202"/>
      <c r="S86" s="1068"/>
      <c r="T86" s="1419"/>
      <c r="U86" s="1068"/>
      <c r="V86" s="1068"/>
      <c r="W86" s="1419"/>
      <c r="X86" s="1068"/>
      <c r="Y86" s="1068"/>
      <c r="Z86" s="1068"/>
      <c r="AA86" s="1068"/>
      <c r="AB86" s="1068"/>
      <c r="AC86" s="1068"/>
      <c r="AD86" s="1419"/>
    </row>
    <row r="87" spans="1:30">
      <c r="C87" s="2416" t="s">
        <v>1850</v>
      </c>
      <c r="F87" s="984"/>
      <c r="G87" s="2485">
        <f t="shared" ref="G87:N87" si="10">(G82-F82)/(G70-F70)</f>
        <v>0</v>
      </c>
      <c r="H87" s="2486">
        <f t="shared" si="10"/>
        <v>0</v>
      </c>
      <c r="I87" s="2486">
        <f t="shared" si="10"/>
        <v>0</v>
      </c>
      <c r="J87" s="2486">
        <f t="shared" si="10"/>
        <v>-0.19767441860465113</v>
      </c>
      <c r="K87" s="2486">
        <f t="shared" si="10"/>
        <v>-0.12093023255813948</v>
      </c>
      <c r="L87" s="2486">
        <f t="shared" si="10"/>
        <v>-6.9767441860465129E-2</v>
      </c>
      <c r="M87" s="2486">
        <f t="shared" si="10"/>
        <v>-4.6511627906976737E-2</v>
      </c>
      <c r="N87" s="2486">
        <f t="shared" si="10"/>
        <v>-0.11627906976744187</v>
      </c>
      <c r="O87" s="984"/>
    </row>
    <row r="88" spans="1:30">
      <c r="O88" s="984"/>
    </row>
    <row r="89" spans="1:30">
      <c r="B89" s="3578" t="s">
        <v>2723</v>
      </c>
      <c r="F89" s="984"/>
      <c r="G89" s="984"/>
      <c r="H89" s="984"/>
      <c r="I89" s="984"/>
      <c r="J89" s="984"/>
      <c r="K89" s="984"/>
      <c r="L89" s="984"/>
      <c r="M89" s="984"/>
      <c r="N89" s="984"/>
      <c r="O89" s="984"/>
    </row>
    <row r="90" spans="1:30" hidden="1">
      <c r="C90" s="2416" t="s">
        <v>168</v>
      </c>
      <c r="E90" s="3578" t="s">
        <v>2736</v>
      </c>
      <c r="F90" s="984"/>
      <c r="G90" s="984"/>
      <c r="H90" s="984"/>
      <c r="I90" s="984"/>
      <c r="J90" s="984"/>
      <c r="K90" s="984"/>
      <c r="L90" s="984"/>
      <c r="M90" s="984"/>
      <c r="N90" s="984"/>
      <c r="O90" s="984"/>
    </row>
    <row r="91" spans="1:30" hidden="1">
      <c r="C91" s="2416" t="s">
        <v>172</v>
      </c>
      <c r="E91" s="3578" t="s">
        <v>2736</v>
      </c>
      <c r="F91" s="984"/>
      <c r="G91" s="984"/>
      <c r="H91" s="984"/>
      <c r="I91" s="984"/>
      <c r="J91" s="984"/>
      <c r="K91" s="984"/>
      <c r="L91" s="984"/>
      <c r="M91" s="984"/>
      <c r="N91" s="984"/>
      <c r="O91" s="984"/>
    </row>
    <row r="92" spans="1:30" hidden="1">
      <c r="C92" s="2416" t="s">
        <v>291</v>
      </c>
      <c r="E92" s="3578" t="s">
        <v>2736</v>
      </c>
      <c r="F92" s="984"/>
      <c r="G92" s="984"/>
      <c r="H92" s="984"/>
      <c r="I92" s="984"/>
      <c r="J92" s="984"/>
      <c r="K92" s="984"/>
      <c r="L92" s="984"/>
      <c r="M92" s="984"/>
      <c r="N92" s="984"/>
      <c r="O92" s="984"/>
    </row>
    <row r="93" spans="1:30" hidden="1">
      <c r="C93" s="354"/>
      <c r="F93" s="357"/>
      <c r="G93" s="357"/>
      <c r="H93" s="357"/>
      <c r="I93" s="357"/>
      <c r="J93" s="357"/>
      <c r="K93" s="357"/>
      <c r="L93" s="357"/>
      <c r="M93" s="357"/>
      <c r="N93" s="357"/>
      <c r="O93" s="984"/>
    </row>
    <row r="94" spans="1:30" hidden="1">
      <c r="B94" s="2416" t="s">
        <v>292</v>
      </c>
      <c r="F94" s="984"/>
      <c r="G94" s="984"/>
      <c r="H94" s="984"/>
      <c r="I94" s="984"/>
      <c r="J94" s="984"/>
      <c r="K94" s="984"/>
      <c r="L94" s="984"/>
      <c r="M94" s="984"/>
      <c r="N94" s="984"/>
      <c r="O94" s="984"/>
    </row>
    <row r="95" spans="1:30" hidden="1">
      <c r="C95" s="2416" t="s">
        <v>168</v>
      </c>
      <c r="E95" s="3578" t="s">
        <v>2736</v>
      </c>
      <c r="F95" s="984"/>
      <c r="G95" s="984"/>
      <c r="H95" s="984"/>
      <c r="I95" s="984"/>
      <c r="J95" s="984"/>
      <c r="K95" s="984"/>
      <c r="L95" s="984"/>
      <c r="M95" s="984"/>
      <c r="N95" s="984"/>
      <c r="O95" s="984"/>
    </row>
    <row r="96" spans="1:30" hidden="1">
      <c r="C96" s="2416" t="s">
        <v>172</v>
      </c>
      <c r="E96" s="3578" t="s">
        <v>2736</v>
      </c>
      <c r="F96" s="984"/>
      <c r="G96" s="984"/>
      <c r="H96" s="984"/>
      <c r="I96" s="984"/>
      <c r="J96" s="984"/>
      <c r="K96" s="984"/>
      <c r="L96" s="984"/>
      <c r="M96" s="984"/>
      <c r="N96" s="984"/>
      <c r="O96" s="984"/>
    </row>
    <row r="97" spans="2:15" hidden="1">
      <c r="C97" s="2416" t="s">
        <v>291</v>
      </c>
      <c r="E97" s="3578" t="s">
        <v>2736</v>
      </c>
      <c r="F97" s="984"/>
      <c r="G97" s="984"/>
      <c r="H97" s="984"/>
      <c r="I97" s="984"/>
      <c r="J97" s="984"/>
      <c r="K97" s="984"/>
      <c r="L97" s="984"/>
      <c r="M97" s="984"/>
      <c r="N97" s="984"/>
    </row>
    <row r="98" spans="2:15" hidden="1">
      <c r="F98" s="984"/>
      <c r="G98" s="984"/>
      <c r="H98" s="984"/>
      <c r="I98" s="984"/>
      <c r="J98" s="984"/>
      <c r="K98" s="984"/>
      <c r="L98" s="984"/>
      <c r="M98" s="984"/>
      <c r="N98" s="984"/>
    </row>
    <row r="99" spans="2:15" hidden="1">
      <c r="B99" s="2416" t="s">
        <v>290</v>
      </c>
      <c r="F99" s="984"/>
      <c r="G99" s="984"/>
      <c r="H99" s="984"/>
      <c r="I99" s="984"/>
      <c r="J99" s="984"/>
      <c r="K99" s="984"/>
      <c r="L99" s="984"/>
      <c r="M99" s="984"/>
      <c r="N99" s="984"/>
    </row>
    <row r="100" spans="2:15" hidden="1">
      <c r="C100" s="2416" t="s">
        <v>168</v>
      </c>
      <c r="E100" s="3578" t="s">
        <v>2736</v>
      </c>
      <c r="F100" s="984"/>
      <c r="G100" s="984"/>
      <c r="H100" s="984"/>
      <c r="I100" s="984"/>
      <c r="J100" s="984"/>
      <c r="K100" s="984"/>
      <c r="L100" s="984"/>
      <c r="M100" s="984"/>
      <c r="N100" s="984"/>
    </row>
    <row r="101" spans="2:15" hidden="1">
      <c r="C101" s="2416" t="s">
        <v>172</v>
      </c>
      <c r="E101" s="3578" t="s">
        <v>2736</v>
      </c>
      <c r="F101" s="984"/>
      <c r="G101" s="984"/>
      <c r="H101" s="984"/>
      <c r="I101" s="984"/>
      <c r="J101" s="984"/>
      <c r="K101" s="984"/>
      <c r="L101" s="984"/>
      <c r="M101" s="984"/>
      <c r="N101" s="984"/>
    </row>
    <row r="102" spans="2:15" hidden="1">
      <c r="C102" s="2416" t="s">
        <v>291</v>
      </c>
      <c r="E102" s="3578" t="s">
        <v>2736</v>
      </c>
      <c r="F102" s="984"/>
      <c r="G102" s="984"/>
      <c r="H102" s="984"/>
      <c r="I102" s="984"/>
      <c r="J102" s="984"/>
      <c r="K102" s="984"/>
      <c r="L102" s="984"/>
      <c r="M102" s="984"/>
      <c r="N102" s="984"/>
    </row>
    <row r="103" spans="2:15" hidden="1"/>
    <row r="104" spans="2:15" hidden="1"/>
    <row r="106" spans="2:15" ht="15">
      <c r="B106" s="502" t="s">
        <v>296</v>
      </c>
      <c r="C106" s="503"/>
      <c r="D106" s="503"/>
      <c r="E106" s="503"/>
      <c r="F106" s="503"/>
      <c r="G106" s="503"/>
      <c r="H106" s="503"/>
      <c r="I106" s="503"/>
      <c r="J106" s="503"/>
      <c r="K106" s="503"/>
      <c r="L106" s="503"/>
      <c r="M106" s="503"/>
      <c r="N106" s="503"/>
      <c r="O106" s="857"/>
    </row>
    <row r="107" spans="2:15">
      <c r="B107" s="505"/>
      <c r="C107" s="506"/>
      <c r="D107" s="506"/>
      <c r="E107" s="506"/>
      <c r="F107" s="506"/>
      <c r="G107" s="506"/>
      <c r="H107" s="506"/>
      <c r="I107" s="506"/>
      <c r="J107" s="506"/>
      <c r="K107" s="506"/>
      <c r="L107" s="506"/>
      <c r="M107" s="506"/>
      <c r="N107" s="506"/>
      <c r="O107" s="858"/>
    </row>
    <row r="108" spans="2:15">
      <c r="B108" s="505"/>
      <c r="C108" s="34" t="s">
        <v>746</v>
      </c>
      <c r="D108" s="506"/>
      <c r="E108" s="507"/>
      <c r="F108" s="506"/>
      <c r="G108" s="506"/>
      <c r="H108" s="506"/>
      <c r="I108" s="506"/>
      <c r="J108" s="506"/>
      <c r="K108" s="506"/>
      <c r="L108" s="506"/>
      <c r="M108" s="506"/>
      <c r="N108" s="507" t="str">
        <f>Preferences.EnergyUnits</f>
        <v>TWh</v>
      </c>
      <c r="O108" s="858"/>
    </row>
    <row r="109" spans="2:15">
      <c r="B109" s="505"/>
      <c r="C109" s="506"/>
      <c r="D109" s="506"/>
      <c r="E109" s="506"/>
      <c r="F109" s="506"/>
      <c r="G109" s="506"/>
      <c r="H109" s="506"/>
      <c r="I109" s="506"/>
      <c r="J109" s="506"/>
      <c r="K109" s="506"/>
      <c r="L109" s="506"/>
      <c r="M109" s="506"/>
      <c r="N109" s="506"/>
      <c r="O109" s="858"/>
    </row>
    <row r="110" spans="2:15" ht="15.5">
      <c r="B110" s="15"/>
      <c r="C110" s="864" t="s">
        <v>28</v>
      </c>
      <c r="D110" s="864" t="s">
        <v>29</v>
      </c>
      <c r="E110" s="864" t="s">
        <v>30</v>
      </c>
      <c r="F110" s="864" t="s">
        <v>588</v>
      </c>
      <c r="G110" s="864" t="s">
        <v>132</v>
      </c>
      <c r="H110" s="864" t="s">
        <v>133</v>
      </c>
      <c r="I110" s="864" t="s">
        <v>134</v>
      </c>
      <c r="J110" s="864" t="s">
        <v>135</v>
      </c>
      <c r="K110" s="864" t="s">
        <v>136</v>
      </c>
      <c r="L110" s="864" t="s">
        <v>137</v>
      </c>
      <c r="M110" s="864" t="s">
        <v>138</v>
      </c>
      <c r="N110" s="864" t="s">
        <v>139</v>
      </c>
      <c r="O110" s="858"/>
    </row>
    <row r="111" spans="2:15" ht="15.5">
      <c r="B111" s="15"/>
      <c r="C111" s="17" t="s">
        <v>96</v>
      </c>
      <c r="D111" s="17" t="str">
        <f>INDEX(Vectors[Description], MATCH($C111, Vectors[Code], 0))</f>
        <v>Electricity (supplied to grid)</v>
      </c>
      <c r="E111" s="17"/>
      <c r="F111" s="2491">
        <f t="shared" ref="F111:N111" si="11">F$79</f>
        <v>0.74791511999999993</v>
      </c>
      <c r="G111" s="2491">
        <f t="shared" si="11"/>
        <v>0.74791511999999993</v>
      </c>
      <c r="H111" s="2491">
        <f t="shared" si="11"/>
        <v>0.74791511999999993</v>
      </c>
      <c r="I111" s="2491">
        <f t="shared" si="11"/>
        <v>0.78946596000000002</v>
      </c>
      <c r="J111" s="2491">
        <f t="shared" si="11"/>
        <v>0.50632416000000002</v>
      </c>
      <c r="K111" s="2491">
        <f t="shared" si="11"/>
        <v>0.33310800000000007</v>
      </c>
      <c r="L111" s="2491">
        <f t="shared" si="11"/>
        <v>0.23317560000000004</v>
      </c>
      <c r="M111" s="2491">
        <f t="shared" si="11"/>
        <v>0.16655400000000004</v>
      </c>
      <c r="N111" s="2491">
        <f t="shared" si="11"/>
        <v>0</v>
      </c>
      <c r="O111" s="858"/>
    </row>
    <row r="112" spans="2:15" ht="15.5">
      <c r="B112" s="15"/>
      <c r="C112" s="17" t="s">
        <v>442</v>
      </c>
      <c r="D112" s="17" t="str">
        <f>INDEX(Vectors[Description], MATCH($C112, Vectors[Code], 0))</f>
        <v>Hydro</v>
      </c>
      <c r="E112" s="17"/>
      <c r="F112" s="2491">
        <f t="shared" ref="F112:N112" si="12">-F79</f>
        <v>-0.74791511999999993</v>
      </c>
      <c r="G112" s="2491">
        <f t="shared" si="12"/>
        <v>-0.74791511999999993</v>
      </c>
      <c r="H112" s="2491">
        <f t="shared" si="12"/>
        <v>-0.74791511999999993</v>
      </c>
      <c r="I112" s="2491">
        <f t="shared" si="12"/>
        <v>-0.78946596000000002</v>
      </c>
      <c r="J112" s="2491">
        <f t="shared" si="12"/>
        <v>-0.50632416000000002</v>
      </c>
      <c r="K112" s="2491">
        <f t="shared" si="12"/>
        <v>-0.33310800000000007</v>
      </c>
      <c r="L112" s="2491">
        <f t="shared" si="12"/>
        <v>-0.23317560000000004</v>
      </c>
      <c r="M112" s="2491">
        <f t="shared" si="12"/>
        <v>-0.16655400000000004</v>
      </c>
      <c r="N112" s="2491">
        <f t="shared" si="12"/>
        <v>0</v>
      </c>
      <c r="O112" s="858"/>
    </row>
    <row r="113" spans="1:23" ht="15.5">
      <c r="B113" s="441"/>
      <c r="C113" s="2432" t="s">
        <v>58</v>
      </c>
      <c r="D113" s="2432"/>
      <c r="E113" s="2432"/>
      <c r="F113" s="2488">
        <f>SUBTOTAL(109,III.b.Outputs[2013])</f>
        <v>0</v>
      </c>
      <c r="G113" s="2488">
        <f>SUBTOTAL(109,III.b.Outputs[2015])</f>
        <v>0</v>
      </c>
      <c r="H113" s="2488">
        <f>SUBTOTAL(109,III.b.Outputs[2020])</f>
        <v>0</v>
      </c>
      <c r="I113" s="2488">
        <f>SUBTOTAL(109,III.b.Outputs[2025])</f>
        <v>0</v>
      </c>
      <c r="J113" s="2488">
        <f>SUBTOTAL(109,III.b.Outputs[2030])</f>
        <v>0</v>
      </c>
      <c r="K113" s="2488">
        <f>SUBTOTAL(109,III.b.Outputs[2035])</f>
        <v>0</v>
      </c>
      <c r="L113" s="2488">
        <f>SUBTOTAL(109,III.b.Outputs[2040])</f>
        <v>0</v>
      </c>
      <c r="M113" s="2488">
        <f>SUBTOTAL(109,III.b.Outputs[2045])</f>
        <v>0</v>
      </c>
      <c r="N113" s="2488">
        <f>SUBTOTAL(109,III.b.Outputs[2050])</f>
        <v>0</v>
      </c>
      <c r="O113" s="861"/>
      <c r="P113" s="985"/>
    </row>
    <row r="114" spans="1:23" ht="15.5">
      <c r="B114" s="441"/>
      <c r="C114" s="443"/>
      <c r="D114" s="443"/>
      <c r="E114" s="443"/>
      <c r="F114" s="443"/>
      <c r="G114" s="443"/>
      <c r="H114" s="443"/>
      <c r="I114" s="443"/>
      <c r="J114" s="443"/>
      <c r="K114" s="443"/>
      <c r="L114" s="443"/>
      <c r="M114" s="443"/>
      <c r="N114" s="443"/>
      <c r="O114" s="861"/>
      <c r="P114" s="985"/>
    </row>
    <row r="115" spans="1:23">
      <c r="P115" s="985"/>
      <c r="Q115" s="2416" t="s">
        <v>5</v>
      </c>
    </row>
    <row r="116" spans="1:23" ht="15">
      <c r="B116" s="986" t="s">
        <v>310</v>
      </c>
      <c r="C116" s="987"/>
      <c r="D116" s="988"/>
      <c r="E116" s="988"/>
      <c r="F116" s="988"/>
      <c r="G116" s="988"/>
      <c r="H116" s="988"/>
      <c r="I116" s="988"/>
      <c r="J116" s="988"/>
      <c r="K116" s="988"/>
      <c r="L116" s="988"/>
      <c r="M116" s="988"/>
      <c r="N116" s="988"/>
      <c r="O116" s="989"/>
      <c r="P116" s="985"/>
    </row>
    <row r="117" spans="1:23">
      <c r="B117" s="990"/>
      <c r="C117" s="991"/>
      <c r="D117" s="991"/>
      <c r="E117" s="991"/>
      <c r="F117" s="991"/>
      <c r="G117" s="991"/>
      <c r="H117" s="991"/>
      <c r="I117" s="991"/>
      <c r="J117" s="991"/>
      <c r="K117" s="991"/>
      <c r="L117" s="991"/>
      <c r="M117" s="991"/>
      <c r="N117" s="991"/>
      <c r="O117" s="992"/>
      <c r="P117" s="985"/>
    </row>
    <row r="118" spans="1:23">
      <c r="B118" s="993"/>
      <c r="C118" s="479" t="s">
        <v>311</v>
      </c>
      <c r="D118" s="994"/>
      <c r="E118" s="995"/>
      <c r="F118" s="994"/>
      <c r="G118" s="994"/>
      <c r="H118" s="994"/>
      <c r="I118" s="994"/>
      <c r="J118" s="994"/>
      <c r="K118" s="994"/>
      <c r="L118" s="994"/>
      <c r="M118" s="994"/>
      <c r="N118" s="995"/>
      <c r="O118" s="996"/>
      <c r="P118" s="985"/>
    </row>
    <row r="119" spans="1:23">
      <c r="B119" s="993"/>
      <c r="C119" s="994"/>
      <c r="D119" s="994"/>
      <c r="E119" s="994"/>
      <c r="F119" s="994"/>
      <c r="G119" s="994"/>
      <c r="H119" s="994"/>
      <c r="I119" s="994"/>
      <c r="J119" s="994"/>
      <c r="K119" s="994"/>
      <c r="L119" s="994"/>
      <c r="M119" s="994"/>
      <c r="N119" s="994"/>
      <c r="O119" s="996"/>
      <c r="P119" s="985"/>
    </row>
    <row r="120" spans="1:23" ht="15.5">
      <c r="B120" s="483"/>
      <c r="C120" s="997" t="s">
        <v>28</v>
      </c>
      <c r="D120" s="997" t="s">
        <v>312</v>
      </c>
      <c r="E120" s="997" t="s">
        <v>30</v>
      </c>
      <c r="F120" s="997" t="s">
        <v>588</v>
      </c>
      <c r="G120" s="997" t="s">
        <v>132</v>
      </c>
      <c r="H120" s="997" t="s">
        <v>133</v>
      </c>
      <c r="I120" s="997" t="s">
        <v>134</v>
      </c>
      <c r="J120" s="997" t="s">
        <v>135</v>
      </c>
      <c r="K120" s="997" t="s">
        <v>136</v>
      </c>
      <c r="L120" s="997" t="s">
        <v>137</v>
      </c>
      <c r="M120" s="997" t="s">
        <v>138</v>
      </c>
      <c r="N120" s="997" t="s">
        <v>139</v>
      </c>
      <c r="O120" s="996"/>
      <c r="P120" s="985"/>
    </row>
    <row r="121" spans="1:23" ht="15.5">
      <c r="B121" s="483"/>
      <c r="C121" s="998" t="s">
        <v>748</v>
      </c>
      <c r="D121" s="485" t="s">
        <v>860</v>
      </c>
      <c r="E121" s="485" t="str">
        <f>Preferences.PowerUnits</f>
        <v>GW</v>
      </c>
      <c r="F121" s="2408">
        <f t="shared" ref="F121:N121" si="13">F75</f>
        <v>0.23699999999999999</v>
      </c>
      <c r="G121" s="2408">
        <f t="shared" si="13"/>
        <v>0.23699999999999999</v>
      </c>
      <c r="H121" s="2408">
        <f t="shared" si="13"/>
        <v>0.23699999999999999</v>
      </c>
      <c r="I121" s="2408">
        <f t="shared" si="13"/>
        <v>0.23699999999999999</v>
      </c>
      <c r="J121" s="2408">
        <f t="shared" si="13"/>
        <v>0.152</v>
      </c>
      <c r="K121" s="2408">
        <f t="shared" si="13"/>
        <v>0.1</v>
      </c>
      <c r="L121" s="2408">
        <f t="shared" si="13"/>
        <v>7.0000000000000007E-2</v>
      </c>
      <c r="M121" s="2408">
        <f t="shared" si="13"/>
        <v>0.05</v>
      </c>
      <c r="N121" s="2408">
        <f t="shared" si="13"/>
        <v>0</v>
      </c>
      <c r="O121" s="996"/>
      <c r="P121" s="985"/>
    </row>
    <row r="122" spans="1:23" ht="15.5">
      <c r="B122" s="483"/>
      <c r="C122" s="998" t="s">
        <v>313</v>
      </c>
      <c r="D122" s="998" t="s">
        <v>1857</v>
      </c>
      <c r="E122" s="485" t="s">
        <v>741</v>
      </c>
      <c r="F122" s="2408">
        <f t="shared" ref="F122:N124" si="14">F82</f>
        <v>2.7558139534883717</v>
      </c>
      <c r="G122" s="2408">
        <f t="shared" si="14"/>
        <v>2.7558139534883717</v>
      </c>
      <c r="H122" s="2408">
        <f t="shared" si="14"/>
        <v>2.7558139534883717</v>
      </c>
      <c r="I122" s="2408">
        <f t="shared" si="14"/>
        <v>2.7558139534883717</v>
      </c>
      <c r="J122" s="2408">
        <f t="shared" si="14"/>
        <v>1.7674418604651161</v>
      </c>
      <c r="K122" s="2408">
        <f t="shared" si="14"/>
        <v>1.1627906976744187</v>
      </c>
      <c r="L122" s="2408">
        <f t="shared" si="14"/>
        <v>0.81395348837209303</v>
      </c>
      <c r="M122" s="2408">
        <f t="shared" si="14"/>
        <v>0.58139534883720934</v>
      </c>
      <c r="N122" s="2408">
        <f t="shared" si="14"/>
        <v>0</v>
      </c>
      <c r="O122" s="996"/>
      <c r="P122" s="985"/>
    </row>
    <row r="123" spans="1:23" ht="15.5">
      <c r="B123" s="483"/>
      <c r="C123" s="998" t="s">
        <v>868</v>
      </c>
      <c r="D123" s="998" t="s">
        <v>1856</v>
      </c>
      <c r="E123" s="485" t="str">
        <f>Preferences.AreaUnits</f>
        <v>km^2</v>
      </c>
      <c r="F123" s="2408">
        <f t="shared" si="14"/>
        <v>7.5409090909090883</v>
      </c>
      <c r="G123" s="2408">
        <f t="shared" si="14"/>
        <v>7.5409090909090883</v>
      </c>
      <c r="H123" s="2408">
        <f t="shared" si="14"/>
        <v>7.5409090909090883</v>
      </c>
      <c r="I123" s="2408">
        <f t="shared" si="14"/>
        <v>7.5409090909090883</v>
      </c>
      <c r="J123" s="2408">
        <f t="shared" si="14"/>
        <v>4.8363636363636351</v>
      </c>
      <c r="K123" s="2408">
        <f t="shared" si="14"/>
        <v>3.1818181818181812</v>
      </c>
      <c r="L123" s="2408">
        <f t="shared" si="14"/>
        <v>2.2272727272727266</v>
      </c>
      <c r="M123" s="2408">
        <f t="shared" si="14"/>
        <v>1.5909090909090906</v>
      </c>
      <c r="N123" s="2408">
        <f t="shared" si="14"/>
        <v>0</v>
      </c>
      <c r="O123" s="996"/>
    </row>
    <row r="124" spans="1:23" ht="15.5">
      <c r="B124" s="483"/>
      <c r="C124" s="998"/>
      <c r="D124" s="485" t="s">
        <v>1848</v>
      </c>
      <c r="E124" s="485" t="str">
        <f>Preferences.AreaUnits</f>
        <v>km^2</v>
      </c>
      <c r="F124" s="2408">
        <f t="shared" si="14"/>
        <v>414.74999999999989</v>
      </c>
      <c r="G124" s="2408">
        <f t="shared" si="14"/>
        <v>414.74999999999989</v>
      </c>
      <c r="H124" s="2408">
        <f t="shared" si="14"/>
        <v>414.74999999999989</v>
      </c>
      <c r="I124" s="2408">
        <f t="shared" si="14"/>
        <v>414.74999999999989</v>
      </c>
      <c r="J124" s="2408">
        <f t="shared" si="14"/>
        <v>265.99999999999994</v>
      </c>
      <c r="K124" s="2408">
        <f t="shared" si="14"/>
        <v>174.99999999999997</v>
      </c>
      <c r="L124" s="2408">
        <f t="shared" si="14"/>
        <v>122.49999999999999</v>
      </c>
      <c r="M124" s="2408">
        <f t="shared" si="14"/>
        <v>87.499999999999986</v>
      </c>
      <c r="N124" s="2408">
        <f t="shared" si="14"/>
        <v>0</v>
      </c>
      <c r="O124" s="996"/>
    </row>
    <row r="125" spans="1:23" ht="23.5">
      <c r="A125" s="7"/>
      <c r="B125" s="488"/>
      <c r="C125" s="1001"/>
      <c r="D125" s="1001"/>
      <c r="E125" s="1001"/>
      <c r="F125" s="1001"/>
      <c r="G125" s="1001"/>
      <c r="H125" s="1001"/>
      <c r="I125" s="1001"/>
      <c r="J125" s="1001"/>
      <c r="K125" s="1001"/>
      <c r="L125" s="1001"/>
      <c r="M125" s="1001"/>
      <c r="N125" s="1001"/>
      <c r="O125" s="1002"/>
      <c r="Q125" s="1164"/>
      <c r="R125" s="1164"/>
      <c r="S125" s="1164"/>
      <c r="T125" s="1164"/>
      <c r="U125" s="1164"/>
      <c r="V125" s="1164"/>
      <c r="W125" s="1164"/>
    </row>
    <row r="126" spans="1:23">
      <c r="E126" s="3788" t="s">
        <v>5</v>
      </c>
      <c r="Q126" s="1164"/>
      <c r="R126" s="1164"/>
      <c r="S126" s="1164"/>
      <c r="T126" s="1164"/>
      <c r="U126" s="1164"/>
      <c r="V126" s="1164"/>
      <c r="W126" s="1164"/>
    </row>
    <row r="127" spans="1:23" ht="15">
      <c r="B127" s="986" t="s">
        <v>2720</v>
      </c>
      <c r="C127" s="988"/>
      <c r="D127" s="988"/>
      <c r="E127" s="988"/>
      <c r="F127" s="988"/>
      <c r="G127" s="988"/>
      <c r="H127" s="988"/>
      <c r="I127" s="988"/>
      <c r="J127" s="988"/>
      <c r="K127" s="988"/>
      <c r="L127" s="988"/>
      <c r="M127" s="988"/>
      <c r="N127" s="988"/>
      <c r="O127" s="989"/>
      <c r="Q127" s="1164"/>
      <c r="R127" s="1164"/>
      <c r="S127" s="1164"/>
      <c r="T127" s="1164"/>
      <c r="U127" s="1164"/>
      <c r="V127" s="1164"/>
      <c r="W127" s="1164"/>
    </row>
    <row r="128" spans="1:23" hidden="1">
      <c r="B128" s="993"/>
      <c r="C128" s="994"/>
      <c r="D128" s="994"/>
      <c r="E128" s="994"/>
      <c r="F128" s="994"/>
      <c r="G128" s="994"/>
      <c r="H128" s="994"/>
      <c r="I128" s="994"/>
      <c r="J128" s="994"/>
      <c r="K128" s="994"/>
      <c r="L128" s="994"/>
      <c r="M128" s="994"/>
      <c r="N128" s="994"/>
      <c r="O128" s="996"/>
      <c r="Q128" s="1164"/>
      <c r="R128" s="1164"/>
      <c r="S128" s="1164"/>
      <c r="T128" s="1164"/>
      <c r="U128" s="1164"/>
      <c r="V128" s="1164"/>
      <c r="W128" s="1164"/>
    </row>
    <row r="129" spans="1:23" ht="15.5" hidden="1">
      <c r="A129" s="434"/>
      <c r="B129" s="993"/>
      <c r="C129" s="491" t="s">
        <v>751</v>
      </c>
      <c r="D129" s="1003"/>
      <c r="E129" s="1003"/>
      <c r="F129" s="1003"/>
      <c r="G129" s="1003"/>
      <c r="H129" s="1003"/>
      <c r="I129" s="1003"/>
      <c r="J129" s="1003"/>
      <c r="K129" s="1003"/>
      <c r="L129" s="1003"/>
      <c r="M129" s="1003"/>
      <c r="N129" s="1004"/>
      <c r="O129" s="996"/>
      <c r="Q129" s="1164"/>
      <c r="R129" s="1164"/>
      <c r="S129" s="1164"/>
      <c r="T129" s="1164"/>
      <c r="U129" s="1164"/>
      <c r="V129" s="1164"/>
      <c r="W129" s="1164"/>
    </row>
    <row r="130" spans="1:23" ht="15.5" hidden="1">
      <c r="A130" s="434"/>
      <c r="B130" s="993"/>
      <c r="C130" s="994"/>
      <c r="D130" s="994"/>
      <c r="E130" s="994"/>
      <c r="F130" s="994"/>
      <c r="G130" s="994"/>
      <c r="H130" s="994"/>
      <c r="I130" s="994"/>
      <c r="J130" s="994"/>
      <c r="K130" s="994"/>
      <c r="L130" s="994"/>
      <c r="M130" s="994"/>
      <c r="N130" s="994"/>
      <c r="O130" s="996"/>
      <c r="Q130" s="1164"/>
      <c r="R130" s="1164"/>
      <c r="S130" s="1164"/>
      <c r="T130" s="1164"/>
      <c r="U130" s="1164"/>
      <c r="V130" s="1164"/>
      <c r="W130" s="1164"/>
    </row>
    <row r="131" spans="1:23" ht="15.5" hidden="1">
      <c r="A131" s="434"/>
      <c r="B131" s="483"/>
      <c r="C131" s="997" t="s">
        <v>28</v>
      </c>
      <c r="D131" s="997" t="s">
        <v>29</v>
      </c>
      <c r="E131" s="997" t="s">
        <v>30</v>
      </c>
      <c r="F131" s="997">
        <v>2013</v>
      </c>
      <c r="G131" s="997" t="s">
        <v>132</v>
      </c>
      <c r="H131" s="997" t="s">
        <v>133</v>
      </c>
      <c r="I131" s="997" t="s">
        <v>134</v>
      </c>
      <c r="J131" s="997" t="s">
        <v>135</v>
      </c>
      <c r="K131" s="997" t="s">
        <v>136</v>
      </c>
      <c r="L131" s="997" t="s">
        <v>137</v>
      </c>
      <c r="M131" s="997" t="s">
        <v>138</v>
      </c>
      <c r="N131" s="997" t="s">
        <v>139</v>
      </c>
      <c r="O131" s="1141"/>
      <c r="Q131" s="1164"/>
      <c r="R131" s="1164"/>
      <c r="S131" s="1164"/>
      <c r="T131" s="1164"/>
      <c r="U131" s="1164"/>
      <c r="V131" s="1164"/>
      <c r="W131" s="1164"/>
    </row>
    <row r="132" spans="1:23" ht="15.5" hidden="1">
      <c r="A132" s="434"/>
      <c r="B132" s="483"/>
      <c r="C132" s="998" t="s">
        <v>325</v>
      </c>
      <c r="D132" s="485" t="s">
        <v>326</v>
      </c>
      <c r="E132" s="485"/>
      <c r="F132" s="999"/>
      <c r="G132" s="999"/>
      <c r="H132" s="999"/>
      <c r="I132" s="999"/>
      <c r="J132" s="999"/>
      <c r="K132" s="999"/>
      <c r="L132" s="999"/>
      <c r="M132" s="999"/>
      <c r="N132" s="999"/>
      <c r="O132" s="1141"/>
      <c r="Q132" s="1164"/>
      <c r="R132" s="1164"/>
      <c r="S132" s="1164"/>
      <c r="T132" s="1164"/>
      <c r="U132" s="1164"/>
      <c r="V132" s="1164"/>
      <c r="W132" s="1164"/>
    </row>
    <row r="133" spans="1:23" ht="15.5" hidden="1">
      <c r="A133" s="434"/>
      <c r="B133" s="483"/>
      <c r="C133" s="998" t="s">
        <v>332</v>
      </c>
      <c r="D133" s="485" t="s">
        <v>333</v>
      </c>
      <c r="E133" s="485"/>
      <c r="F133" s="999"/>
      <c r="G133" s="999"/>
      <c r="H133" s="999"/>
      <c r="I133" s="999"/>
      <c r="J133" s="999"/>
      <c r="K133" s="999"/>
      <c r="L133" s="999"/>
      <c r="M133" s="999"/>
      <c r="N133" s="999"/>
      <c r="O133" s="1141"/>
      <c r="Q133" s="1164"/>
      <c r="R133" s="1164"/>
      <c r="S133" s="1164"/>
      <c r="T133" s="1164"/>
      <c r="U133" s="1164"/>
      <c r="V133" s="1164"/>
      <c r="W133" s="1164"/>
    </row>
    <row r="134" spans="1:23" ht="15.5" hidden="1">
      <c r="B134" s="483"/>
      <c r="C134" s="998" t="s">
        <v>323</v>
      </c>
      <c r="D134" s="485" t="s">
        <v>324</v>
      </c>
      <c r="E134" s="485"/>
      <c r="F134" s="999"/>
      <c r="G134" s="999"/>
      <c r="H134" s="999"/>
      <c r="I134" s="999"/>
      <c r="J134" s="999"/>
      <c r="K134" s="999"/>
      <c r="L134" s="999"/>
      <c r="M134" s="999"/>
      <c r="N134" s="999"/>
      <c r="O134" s="1141"/>
      <c r="Q134" s="1164"/>
      <c r="R134" s="1164"/>
      <c r="S134" s="1164"/>
      <c r="T134" s="1164"/>
      <c r="U134" s="1164"/>
      <c r="V134" s="1164"/>
      <c r="W134" s="1164"/>
    </row>
    <row r="135" spans="1:23" ht="15.5" hidden="1">
      <c r="B135" s="483"/>
      <c r="C135" s="998" t="s">
        <v>330</v>
      </c>
      <c r="D135" s="485" t="s">
        <v>331</v>
      </c>
      <c r="E135" s="485"/>
      <c r="F135" s="999"/>
      <c r="G135" s="999"/>
      <c r="H135" s="999"/>
      <c r="I135" s="999"/>
      <c r="J135" s="999"/>
      <c r="K135" s="999"/>
      <c r="L135" s="999"/>
      <c r="M135" s="999"/>
      <c r="N135" s="999"/>
      <c r="O135" s="1141"/>
      <c r="Q135" s="1164"/>
      <c r="R135" s="1164"/>
      <c r="S135" s="647"/>
      <c r="T135" s="1164"/>
      <c r="U135" s="1164"/>
      <c r="V135" s="1164"/>
      <c r="W135" s="1164"/>
    </row>
    <row r="136" spans="1:23" hidden="1">
      <c r="B136" s="494"/>
      <c r="C136" s="998" t="s">
        <v>321</v>
      </c>
      <c r="D136" s="485" t="s">
        <v>322</v>
      </c>
      <c r="E136" s="485"/>
      <c r="F136" s="999"/>
      <c r="G136" s="999"/>
      <c r="H136" s="999"/>
      <c r="I136" s="999"/>
      <c r="J136" s="999"/>
      <c r="K136" s="999"/>
      <c r="L136" s="999"/>
      <c r="M136" s="999"/>
      <c r="N136" s="999"/>
      <c r="O136" s="1142"/>
      <c r="Q136" s="1164"/>
      <c r="R136" s="1164"/>
      <c r="S136" s="647"/>
      <c r="T136" s="1164"/>
      <c r="U136" s="1164"/>
      <c r="V136" s="1164"/>
      <c r="W136" s="1164"/>
    </row>
    <row r="137" spans="1:23" hidden="1">
      <c r="B137" s="494"/>
      <c r="C137" s="998" t="s">
        <v>328</v>
      </c>
      <c r="D137" s="485" t="s">
        <v>329</v>
      </c>
      <c r="E137" s="485"/>
      <c r="F137" s="999"/>
      <c r="G137" s="999"/>
      <c r="H137" s="999"/>
      <c r="I137" s="999"/>
      <c r="J137" s="999"/>
      <c r="K137" s="999"/>
      <c r="L137" s="999"/>
      <c r="M137" s="999"/>
      <c r="N137" s="999"/>
      <c r="O137" s="1142"/>
      <c r="Q137" s="1164"/>
      <c r="R137" s="1164"/>
      <c r="S137" s="647"/>
      <c r="T137" s="1164"/>
      <c r="U137" s="1164"/>
      <c r="V137" s="1164"/>
      <c r="W137" s="1164"/>
    </row>
    <row r="138" spans="1:23" hidden="1">
      <c r="B138" s="1005"/>
      <c r="C138" s="1001"/>
      <c r="D138" s="1001"/>
      <c r="E138" s="1001"/>
      <c r="F138" s="1001"/>
      <c r="G138" s="1001"/>
      <c r="H138" s="1001"/>
      <c r="I138" s="1001"/>
      <c r="J138" s="1001"/>
      <c r="K138" s="1001"/>
      <c r="L138" s="1001"/>
      <c r="M138" s="1001"/>
      <c r="N138" s="1001"/>
      <c r="O138" s="1006"/>
      <c r="S138" s="6"/>
    </row>
    <row r="149" spans="24:24">
      <c r="X149" s="736"/>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9"/>
    <pageSetUpPr autoPageBreaks="0"/>
  </sheetPr>
  <dimension ref="A1:XDS281"/>
  <sheetViews>
    <sheetView showGridLines="0" topLeftCell="A11" zoomScale="80" zoomScaleNormal="80" workbookViewId="0">
      <selection activeCell="M31" sqref="M31"/>
    </sheetView>
  </sheetViews>
  <sheetFormatPr defaultColWidth="8.81640625" defaultRowHeight="14.5"/>
  <cols>
    <col min="1" max="1" width="7.7265625" customWidth="1"/>
    <col min="2" max="2" width="5.81640625" customWidth="1"/>
    <col min="3" max="3" width="20.453125" customWidth="1"/>
    <col min="4" max="4" width="52.54296875" customWidth="1"/>
    <col min="5" max="5" width="20.7265625" customWidth="1"/>
    <col min="6" max="14" width="17.7265625" customWidth="1"/>
    <col min="15" max="15" width="2" customWidth="1"/>
    <col min="16" max="16" width="10.81640625" customWidth="1"/>
  </cols>
  <sheetData>
    <row r="1" spans="1:15" ht="20">
      <c r="A1" s="854" t="s">
        <v>523</v>
      </c>
      <c r="B1" s="854" t="s">
        <v>524</v>
      </c>
      <c r="C1" s="854"/>
      <c r="G1" s="3893"/>
    </row>
    <row r="2" spans="1:15" s="6" customFormat="1" ht="15">
      <c r="A2" s="855" t="s">
        <v>517</v>
      </c>
      <c r="B2" s="855" t="s">
        <v>518</v>
      </c>
      <c r="C2" s="855"/>
      <c r="E2" s="5"/>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18" t="s">
        <v>390</v>
      </c>
      <c r="E7" s="18">
        <f>III.c.Wave.Scenario</f>
        <v>1</v>
      </c>
      <c r="F7" s="506"/>
      <c r="G7" s="506"/>
      <c r="H7" s="506"/>
      <c r="I7" s="506"/>
      <c r="J7" s="506"/>
      <c r="K7" s="506"/>
      <c r="L7" s="506"/>
      <c r="M7" s="506"/>
      <c r="N7" s="506"/>
      <c r="O7" s="858"/>
    </row>
    <row r="8" spans="1:15" ht="15.5">
      <c r="B8" s="15"/>
      <c r="C8" s="506"/>
      <c r="D8" s="18" t="s">
        <v>615</v>
      </c>
      <c r="E8" s="506">
        <f>III.c.TidaStream.Scenario</f>
        <v>1</v>
      </c>
      <c r="F8" s="506"/>
      <c r="G8" s="506" t="s">
        <v>5</v>
      </c>
      <c r="H8" s="506"/>
      <c r="I8" s="506"/>
      <c r="J8" s="506"/>
      <c r="K8" s="506"/>
      <c r="L8" s="506"/>
      <c r="M8" s="506"/>
      <c r="N8" s="506"/>
      <c r="O8" s="858"/>
    </row>
    <row r="9" spans="1:15" ht="15.5">
      <c r="B9" s="15"/>
      <c r="C9" s="506"/>
      <c r="D9" s="508" t="s">
        <v>3374</v>
      </c>
      <c r="E9" s="32">
        <v>1</v>
      </c>
      <c r="F9" s="506"/>
      <c r="G9" s="506"/>
      <c r="H9" s="506"/>
      <c r="I9" s="506"/>
      <c r="J9" s="506" t="s">
        <v>5</v>
      </c>
      <c r="K9" s="506"/>
      <c r="L9" s="506"/>
      <c r="M9" s="506"/>
      <c r="N9" s="506"/>
      <c r="O9" s="858"/>
    </row>
    <row r="10" spans="1:15" ht="15.5">
      <c r="B10" s="441"/>
      <c r="C10" s="443"/>
      <c r="D10" s="443"/>
      <c r="E10" s="443"/>
      <c r="F10" s="860"/>
      <c r="G10" s="860"/>
      <c r="H10" s="860"/>
      <c r="I10" s="860"/>
      <c r="J10" s="860"/>
      <c r="K10" s="860"/>
      <c r="L10" s="860"/>
      <c r="M10" s="860"/>
      <c r="N10" s="860"/>
      <c r="O10" s="861"/>
    </row>
    <row r="11" spans="1:15">
      <c r="H11" t="s">
        <v>5</v>
      </c>
    </row>
    <row r="12" spans="1:15" ht="23.5">
      <c r="A12" s="7"/>
      <c r="B12" s="869" t="s">
        <v>33</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3004</v>
      </c>
      <c r="D14" s="67"/>
      <c r="E14" s="51"/>
      <c r="F14" s="67"/>
      <c r="G14" s="67"/>
      <c r="H14" s="67"/>
      <c r="I14" s="67"/>
      <c r="J14" s="67"/>
      <c r="K14" s="67"/>
      <c r="L14" s="67" t="s">
        <v>5</v>
      </c>
      <c r="M14" s="67"/>
      <c r="N14" s="51" t="str">
        <f>Preferences.PowerUnits</f>
        <v>GW</v>
      </c>
      <c r="O14" s="876"/>
    </row>
    <row r="15" spans="1:15">
      <c r="B15" s="105"/>
      <c r="C15" s="67"/>
      <c r="D15" s="67"/>
      <c r="E15" s="67"/>
      <c r="F15" s="67"/>
      <c r="G15" s="67"/>
      <c r="H15" s="67"/>
      <c r="I15" s="67"/>
      <c r="J15" s="67"/>
      <c r="K15" s="67"/>
      <c r="L15" s="67" t="s">
        <v>5</v>
      </c>
      <c r="M15" s="67"/>
      <c r="N15" s="67"/>
      <c r="O15" s="876"/>
    </row>
    <row r="16" spans="1:15" ht="15.5">
      <c r="B16" s="55"/>
      <c r="C16" s="878" t="s">
        <v>8</v>
      </c>
      <c r="D16" s="878" t="s">
        <v>71</v>
      </c>
      <c r="E16" s="878" t="s">
        <v>30</v>
      </c>
      <c r="F16" s="87">
        <v>2013</v>
      </c>
      <c r="G16" s="87">
        <v>2015</v>
      </c>
      <c r="H16" s="87">
        <v>2020</v>
      </c>
      <c r="I16" s="87">
        <v>2025</v>
      </c>
      <c r="J16" s="87">
        <v>2030</v>
      </c>
      <c r="K16" s="87">
        <v>2035</v>
      </c>
      <c r="L16" s="87">
        <v>2040</v>
      </c>
      <c r="M16" s="87">
        <v>2045</v>
      </c>
      <c r="N16" s="87">
        <v>2050</v>
      </c>
      <c r="O16" s="876"/>
    </row>
    <row r="17" spans="2:19" ht="15.5">
      <c r="B17" s="966"/>
      <c r="C17" s="65">
        <v>1</v>
      </c>
      <c r="D17" s="103"/>
      <c r="E17" s="881"/>
      <c r="F17" s="59">
        <v>0</v>
      </c>
      <c r="G17" s="883">
        <f>(Unit.GW)*0.0015220700152207</f>
        <v>1.5220700152207001E-3</v>
      </c>
      <c r="H17" s="883">
        <f>(Unit.GW)*0.005</f>
        <v>5.0000000000000001E-3</v>
      </c>
      <c r="I17" s="883">
        <f>(Unit.GW)*0.005</f>
        <v>5.0000000000000001E-3</v>
      </c>
      <c r="J17" s="883">
        <f>(Unit.GW)*0.005</f>
        <v>5.0000000000000001E-3</v>
      </c>
      <c r="K17" s="883">
        <f>(Unit.GW)*0.005</f>
        <v>5.0000000000000001E-3</v>
      </c>
      <c r="L17" s="883">
        <f>(Unit.GW)*0.005</f>
        <v>5.0000000000000001E-3</v>
      </c>
      <c r="M17" s="883">
        <v>0</v>
      </c>
      <c r="N17" s="883">
        <v>0</v>
      </c>
      <c r="O17" s="884"/>
      <c r="P17" t="s">
        <v>5</v>
      </c>
    </row>
    <row r="18" spans="2:19" ht="15.5">
      <c r="B18" s="55"/>
      <c r="C18" s="65">
        <v>2</v>
      </c>
      <c r="D18" s="103"/>
      <c r="E18" s="103"/>
      <c r="F18" s="59">
        <v>0</v>
      </c>
      <c r="G18" s="883">
        <f>(Unit.GW)*0.0015220700152207</f>
        <v>1.5220700152207001E-3</v>
      </c>
      <c r="H18" s="883">
        <f>(Unit.GW)*0.005</f>
        <v>5.0000000000000001E-3</v>
      </c>
      <c r="I18" s="883">
        <f>(Unit.GW)*0.15</f>
        <v>0.15</v>
      </c>
      <c r="J18" s="886">
        <f>(Unit.GW)*0.5</f>
        <v>0.5</v>
      </c>
      <c r="K18" s="886">
        <f>(Unit.GW)*1</f>
        <v>1</v>
      </c>
      <c r="L18" s="886">
        <f>(Unit.GW)*1</f>
        <v>1</v>
      </c>
      <c r="M18" s="886">
        <f>(Unit.GW)*1</f>
        <v>1</v>
      </c>
      <c r="N18" s="886">
        <f>(Unit.GW)*1</f>
        <v>1</v>
      </c>
      <c r="O18" s="876"/>
    </row>
    <row r="19" spans="2:19" ht="15.5">
      <c r="B19" s="55"/>
      <c r="C19" s="65">
        <v>3</v>
      </c>
      <c r="D19" s="103"/>
      <c r="E19" s="103"/>
      <c r="F19" s="59">
        <v>0</v>
      </c>
      <c r="G19" s="883">
        <f>(Unit.GW)*0.0015220700152207</f>
        <v>1.5220700152207001E-3</v>
      </c>
      <c r="H19" s="883">
        <f>(Unit.GW)*0.005</f>
        <v>5.0000000000000001E-3</v>
      </c>
      <c r="I19" s="883">
        <f>(Unit.GW)*0.15</f>
        <v>0.15</v>
      </c>
      <c r="J19" s="886">
        <f>(Unit.GW)*1</f>
        <v>1</v>
      </c>
      <c r="K19" s="886">
        <f>(Unit.GW)*1.5</f>
        <v>1.5</v>
      </c>
      <c r="L19" s="886">
        <f>(Unit.GW)*2</f>
        <v>2</v>
      </c>
      <c r="M19" s="886">
        <f>(Unit.GW)*2</f>
        <v>2</v>
      </c>
      <c r="N19" s="886">
        <f>(Unit.GW)*2.4</f>
        <v>2.4</v>
      </c>
      <c r="O19" s="876"/>
    </row>
    <row r="20" spans="2:19" ht="15.5">
      <c r="B20" s="55"/>
      <c r="C20" s="887">
        <v>4</v>
      </c>
      <c r="D20" s="888"/>
      <c r="E20" s="888"/>
      <c r="F20" s="1178">
        <v>0</v>
      </c>
      <c r="G20" s="883">
        <f>(Unit.GW)*0.0015220700152207</f>
        <v>1.5220700152207001E-3</v>
      </c>
      <c r="H20" s="883">
        <v>4.9999999999997824E-3</v>
      </c>
      <c r="I20" s="883">
        <v>0.67083333333333317</v>
      </c>
      <c r="J20" s="883">
        <v>1.3366666666666664</v>
      </c>
      <c r="K20" s="883">
        <v>2.0024999999999999</v>
      </c>
      <c r="L20" s="883">
        <v>2.6683333333333334</v>
      </c>
      <c r="M20" s="883">
        <v>3.3341666666666665</v>
      </c>
      <c r="N20" s="883">
        <v>4</v>
      </c>
      <c r="O20" s="876"/>
      <c r="S20" t="s">
        <v>5</v>
      </c>
    </row>
    <row r="21" spans="2:19" ht="15.5">
      <c r="B21" s="55"/>
      <c r="C21" s="1015" t="s">
        <v>37</v>
      </c>
      <c r="D21" s="892"/>
      <c r="E21" s="892"/>
      <c r="F21" s="893">
        <f>(INDEX(F$17:F$20,ROUNDDOWN($E$7,0))*(1-MOD($E$7,1)))+(INDEX(F$17:F$20,ROUNDUP($E$7,0))*MOD($E$7,1))</f>
        <v>0</v>
      </c>
      <c r="G21" s="893">
        <f t="shared" ref="G21:N21" si="0">(INDEX(G$17:G$20,ROUNDDOWN($E$7,0))*(1-MOD($E$7,1)))+(INDEX(G$17:G$20,ROUNDUP($E$7,0))*MOD($E$7,1))</f>
        <v>1.5220700152207001E-3</v>
      </c>
      <c r="H21" s="893">
        <f t="shared" si="0"/>
        <v>5.0000000000000001E-3</v>
      </c>
      <c r="I21" s="893">
        <f t="shared" si="0"/>
        <v>5.0000000000000001E-3</v>
      </c>
      <c r="J21" s="893">
        <f t="shared" si="0"/>
        <v>5.0000000000000001E-3</v>
      </c>
      <c r="K21" s="893">
        <f t="shared" si="0"/>
        <v>5.0000000000000001E-3</v>
      </c>
      <c r="L21" s="893">
        <f t="shared" si="0"/>
        <v>5.0000000000000001E-3</v>
      </c>
      <c r="M21" s="893">
        <f t="shared" si="0"/>
        <v>0</v>
      </c>
      <c r="N21" s="893">
        <f t="shared" si="0"/>
        <v>0</v>
      </c>
      <c r="O21" s="876"/>
    </row>
    <row r="22" spans="2:19">
      <c r="B22" s="45"/>
      <c r="C22" s="3836"/>
      <c r="D22" s="103"/>
      <c r="E22" s="103"/>
      <c r="F22" s="167"/>
      <c r="G22" s="160"/>
      <c r="H22" s="160"/>
      <c r="I22" s="160"/>
      <c r="J22" s="160"/>
      <c r="K22" s="160"/>
      <c r="L22" s="160"/>
      <c r="M22" s="160"/>
      <c r="N22" s="160"/>
      <c r="O22" s="876"/>
    </row>
    <row r="23" spans="2:19">
      <c r="B23" s="45"/>
      <c r="C23" s="49" t="s">
        <v>3002</v>
      </c>
      <c r="D23" s="67"/>
      <c r="E23" s="51"/>
      <c r="F23" s="67"/>
      <c r="G23" s="67" t="s">
        <v>5</v>
      </c>
      <c r="H23" s="67"/>
      <c r="I23" s="67" t="s">
        <v>5</v>
      </c>
      <c r="J23" s="67"/>
      <c r="K23" s="67"/>
      <c r="L23" s="67"/>
      <c r="M23" s="67"/>
      <c r="N23" s="51" t="str">
        <f>Preferences.PowerUnits</f>
        <v>GW</v>
      </c>
      <c r="O23" s="876"/>
    </row>
    <row r="24" spans="2:19">
      <c r="B24" s="45"/>
      <c r="C24" s="67"/>
      <c r="D24" s="67"/>
      <c r="E24" s="67"/>
      <c r="F24" s="67"/>
      <c r="G24" s="67"/>
      <c r="H24" s="67"/>
      <c r="I24" s="67"/>
      <c r="J24" s="67"/>
      <c r="K24" s="67"/>
      <c r="L24" s="67"/>
      <c r="M24" s="67"/>
      <c r="N24" s="67"/>
      <c r="O24" s="876"/>
    </row>
    <row r="25" spans="2:19" ht="15.5">
      <c r="B25" s="55"/>
      <c r="C25" s="878" t="s">
        <v>8</v>
      </c>
      <c r="D25" s="878" t="s">
        <v>71</v>
      </c>
      <c r="E25" s="878" t="s">
        <v>30</v>
      </c>
      <c r="F25" s="87">
        <v>2013</v>
      </c>
      <c r="G25" s="87">
        <v>2015</v>
      </c>
      <c r="H25" s="87">
        <v>2020</v>
      </c>
      <c r="I25" s="87">
        <v>2025</v>
      </c>
      <c r="J25" s="87">
        <v>2030</v>
      </c>
      <c r="K25" s="87">
        <v>2035</v>
      </c>
      <c r="L25" s="87">
        <v>2040</v>
      </c>
      <c r="M25" s="87">
        <v>2045</v>
      </c>
      <c r="N25" s="87">
        <v>2050</v>
      </c>
      <c r="O25" s="876"/>
    </row>
    <row r="26" spans="2:19" ht="15.5">
      <c r="B26" s="55"/>
      <c r="C26" s="65">
        <v>1</v>
      </c>
      <c r="D26" s="103"/>
      <c r="E26" s="881"/>
      <c r="F26" s="59">
        <v>0</v>
      </c>
      <c r="G26" s="59">
        <v>0</v>
      </c>
      <c r="H26" s="59">
        <v>0</v>
      </c>
      <c r="I26" s="59">
        <v>0</v>
      </c>
      <c r="J26" s="59">
        <v>0</v>
      </c>
      <c r="K26" s="59">
        <v>0</v>
      </c>
      <c r="L26" s="59">
        <v>0</v>
      </c>
      <c r="M26" s="59">
        <v>0</v>
      </c>
      <c r="N26" s="59">
        <v>0</v>
      </c>
      <c r="O26" s="876"/>
    </row>
    <row r="27" spans="2:19" ht="15.5">
      <c r="B27" s="55"/>
      <c r="C27" s="65">
        <v>2</v>
      </c>
      <c r="D27" s="103"/>
      <c r="E27" s="103"/>
      <c r="F27" s="59">
        <v>0</v>
      </c>
      <c r="G27" s="60">
        <v>0</v>
      </c>
      <c r="H27" s="59">
        <v>0</v>
      </c>
      <c r="I27" s="60">
        <f>(Unit.GW)*0.05</f>
        <v>0.05</v>
      </c>
      <c r="J27" s="60">
        <f>(Unit.GW)*0.0792744799594115</f>
        <v>7.9274479959411503E-2</v>
      </c>
      <c r="K27" s="60">
        <f>(Unit.GW)*0.0792744799594115</f>
        <v>7.9274479959411503E-2</v>
      </c>
      <c r="L27" s="60">
        <f>(Unit.GW)*0.1</f>
        <v>0.1</v>
      </c>
      <c r="M27" s="60">
        <f>(Unit.GW)*0.15</f>
        <v>0.15</v>
      </c>
      <c r="N27" s="60">
        <f>(Unit.GW)*0.2</f>
        <v>0.2</v>
      </c>
      <c r="O27" s="876"/>
    </row>
    <row r="28" spans="2:19" ht="15.5">
      <c r="B28" s="55"/>
      <c r="C28" s="65">
        <v>3</v>
      </c>
      <c r="D28" s="103"/>
      <c r="E28" s="103"/>
      <c r="F28" s="59">
        <v>0</v>
      </c>
      <c r="G28" s="60">
        <v>0</v>
      </c>
      <c r="H28" s="59">
        <v>0</v>
      </c>
      <c r="I28" s="60">
        <f>(Unit.GW)*0.05</f>
        <v>0.05</v>
      </c>
      <c r="J28" s="60">
        <f>(Unit.GW)*0.2</f>
        <v>0.2</v>
      </c>
      <c r="K28" s="60">
        <f>(Unit.GW)*0.2</f>
        <v>0.2</v>
      </c>
      <c r="L28" s="60">
        <f>(Unit.GW)*0.3</f>
        <v>0.3</v>
      </c>
      <c r="M28" s="60">
        <f>(Unit.GW)*0.4</f>
        <v>0.4</v>
      </c>
      <c r="N28" s="60">
        <f>(Unit.GW)*0.5</f>
        <v>0.5</v>
      </c>
      <c r="O28" s="876"/>
      <c r="P28" t="s">
        <v>5</v>
      </c>
    </row>
    <row r="29" spans="2:19" ht="15.5">
      <c r="B29" s="55"/>
      <c r="C29" s="887">
        <v>4</v>
      </c>
      <c r="D29" s="888"/>
      <c r="E29" s="888"/>
      <c r="F29" s="1178">
        <v>0</v>
      </c>
      <c r="G29" s="898">
        <v>0</v>
      </c>
      <c r="H29" s="59">
        <v>0</v>
      </c>
      <c r="I29" s="60">
        <f>(Unit.GW)*0.1</f>
        <v>0.1</v>
      </c>
      <c r="J29" s="898">
        <f>(Unit.GW)*0.2</f>
        <v>0.2</v>
      </c>
      <c r="K29" s="898">
        <f>(Unit.GW)*0.5</f>
        <v>0.5</v>
      </c>
      <c r="L29" s="898">
        <f>(Unit.GW)*0.5</f>
        <v>0.5</v>
      </c>
      <c r="M29" s="898">
        <f>(Unit.GW)*0.8</f>
        <v>0.8</v>
      </c>
      <c r="N29" s="898">
        <f>(Unit.GW)*0.8</f>
        <v>0.8</v>
      </c>
      <c r="O29" s="876"/>
    </row>
    <row r="30" spans="2:19" ht="15.5">
      <c r="B30" s="55"/>
      <c r="C30" s="1015" t="s">
        <v>37</v>
      </c>
      <c r="D30" s="892"/>
      <c r="E30" s="892"/>
      <c r="F30" s="893">
        <f>(INDEX(F$26:F$29,ROUNDDOWN($E$8,0))*(1-MOD($E$8,1)))+(INDEX(F$26:F$29,ROUNDUP($E$8,0))*MOD($E$8,1))</f>
        <v>0</v>
      </c>
      <c r="G30" s="893">
        <f t="shared" ref="G30:N30" si="1">(INDEX(G$26:G$29,ROUNDDOWN($E$8,0))*(1-MOD($E$8,1)))+(INDEX(G$26:G$29,ROUNDUP($E$8,0))*MOD($E$8,1))</f>
        <v>0</v>
      </c>
      <c r="H30" s="893">
        <f t="shared" si="1"/>
        <v>0</v>
      </c>
      <c r="I30" s="893">
        <f t="shared" si="1"/>
        <v>0</v>
      </c>
      <c r="J30" s="893">
        <f t="shared" si="1"/>
        <v>0</v>
      </c>
      <c r="K30" s="893">
        <f t="shared" si="1"/>
        <v>0</v>
      </c>
      <c r="L30" s="893">
        <f t="shared" si="1"/>
        <v>0</v>
      </c>
      <c r="M30" s="893">
        <f t="shared" si="1"/>
        <v>0</v>
      </c>
      <c r="N30" s="893">
        <f t="shared" si="1"/>
        <v>0</v>
      </c>
      <c r="O30" s="876"/>
    </row>
    <row r="31" spans="2:19">
      <c r="B31" s="45"/>
      <c r="C31" s="67"/>
      <c r="D31" s="195"/>
      <c r="E31" s="67"/>
      <c r="F31" s="67"/>
      <c r="G31" s="67"/>
      <c r="H31" s="67"/>
      <c r="I31" s="67"/>
      <c r="J31" s="67"/>
      <c r="K31" s="67"/>
      <c r="L31" s="67"/>
      <c r="M31" s="67" t="s">
        <v>5</v>
      </c>
      <c r="N31" s="67"/>
      <c r="O31" s="876"/>
    </row>
    <row r="32" spans="2:19">
      <c r="B32" s="105"/>
      <c r="C32" s="49" t="s">
        <v>3366</v>
      </c>
      <c r="D32" s="67"/>
      <c r="E32" s="51"/>
      <c r="F32" s="67"/>
      <c r="G32" s="67" t="s">
        <v>5</v>
      </c>
      <c r="H32" s="67"/>
      <c r="I32" s="67" t="s">
        <v>5</v>
      </c>
      <c r="J32" s="67"/>
      <c r="K32" s="67"/>
      <c r="L32" s="67" t="s">
        <v>5</v>
      </c>
      <c r="M32" s="67" t="s">
        <v>5</v>
      </c>
      <c r="N32" s="51" t="str">
        <f>Preferences.PowerUnits</f>
        <v>GW</v>
      </c>
      <c r="O32" s="876"/>
    </row>
    <row r="33" spans="2:24">
      <c r="B33" s="105"/>
      <c r="C33" s="67"/>
      <c r="D33" s="67"/>
      <c r="E33" s="67"/>
      <c r="F33" s="67"/>
      <c r="G33" s="67"/>
      <c r="H33" s="67"/>
      <c r="I33" s="67"/>
      <c r="J33" s="67"/>
      <c r="K33" s="67"/>
      <c r="L33" s="67"/>
      <c r="M33" s="67"/>
      <c r="N33" s="67"/>
      <c r="O33" s="876"/>
    </row>
    <row r="34" spans="2:24" ht="15.5">
      <c r="B34" s="55"/>
      <c r="C34" s="878" t="s">
        <v>8</v>
      </c>
      <c r="D34" s="878" t="s">
        <v>71</v>
      </c>
      <c r="E34" s="878" t="s">
        <v>30</v>
      </c>
      <c r="F34" s="87">
        <v>2013</v>
      </c>
      <c r="G34" s="87">
        <v>2015</v>
      </c>
      <c r="H34" s="87">
        <v>2020</v>
      </c>
      <c r="I34" s="87">
        <v>2025</v>
      </c>
      <c r="J34" s="87">
        <v>2030</v>
      </c>
      <c r="K34" s="87">
        <v>2035</v>
      </c>
      <c r="L34" s="87">
        <v>2040</v>
      </c>
      <c r="M34" s="87">
        <v>2045</v>
      </c>
      <c r="N34" s="87">
        <v>2050</v>
      </c>
      <c r="O34" s="876"/>
    </row>
    <row r="35" spans="2:24" ht="15.5">
      <c r="B35" s="966"/>
      <c r="C35" s="65">
        <v>1</v>
      </c>
      <c r="D35" s="103"/>
      <c r="E35" s="881"/>
      <c r="F35" s="59">
        <v>0</v>
      </c>
      <c r="G35" s="59">
        <v>0</v>
      </c>
      <c r="H35" s="59">
        <v>0</v>
      </c>
      <c r="I35" s="59">
        <v>0</v>
      </c>
      <c r="J35" s="59">
        <v>0</v>
      </c>
      <c r="K35" s="59">
        <v>0</v>
      </c>
      <c r="L35" s="59">
        <v>0</v>
      </c>
      <c r="M35" s="59">
        <v>0</v>
      </c>
      <c r="N35" s="59">
        <v>0</v>
      </c>
      <c r="O35" s="884"/>
    </row>
    <row r="36" spans="2:24" ht="15.5">
      <c r="B36" s="55"/>
      <c r="C36" s="65">
        <v>2</v>
      </c>
      <c r="D36" s="103"/>
      <c r="E36" s="103"/>
      <c r="F36" s="59">
        <v>0</v>
      </c>
      <c r="G36" s="60">
        <v>0</v>
      </c>
      <c r="H36" s="59">
        <v>0</v>
      </c>
      <c r="I36" s="1198">
        <v>0</v>
      </c>
      <c r="J36" s="59">
        <v>0</v>
      </c>
      <c r="K36" s="59">
        <v>0</v>
      </c>
      <c r="L36" s="59">
        <v>0</v>
      </c>
      <c r="M36" s="59">
        <v>0</v>
      </c>
      <c r="N36" s="59">
        <v>0</v>
      </c>
      <c r="O36" s="876"/>
    </row>
    <row r="37" spans="2:24" ht="15.5">
      <c r="B37" s="55"/>
      <c r="C37" s="65">
        <v>3</v>
      </c>
      <c r="D37" s="103"/>
      <c r="E37" s="103"/>
      <c r="F37" s="59">
        <v>0</v>
      </c>
      <c r="G37" s="60">
        <v>0</v>
      </c>
      <c r="H37" s="59">
        <v>0</v>
      </c>
      <c r="I37" s="1198">
        <v>0</v>
      </c>
      <c r="J37" s="59">
        <v>0</v>
      </c>
      <c r="K37" s="59">
        <v>0</v>
      </c>
      <c r="L37" s="59">
        <v>0</v>
      </c>
      <c r="M37" s="59">
        <v>0</v>
      </c>
      <c r="N37" s="59">
        <v>0</v>
      </c>
      <c r="O37" s="876"/>
    </row>
    <row r="38" spans="2:24" ht="15.5">
      <c r="B38" s="55"/>
      <c r="C38" s="887">
        <v>4</v>
      </c>
      <c r="D38" s="888"/>
      <c r="E38" s="888"/>
      <c r="F38" s="1178">
        <v>0</v>
      </c>
      <c r="G38" s="898">
        <v>0</v>
      </c>
      <c r="H38" s="59">
        <v>0</v>
      </c>
      <c r="I38" s="1198">
        <v>0</v>
      </c>
      <c r="J38" s="60">
        <v>0</v>
      </c>
      <c r="K38" s="60">
        <v>0</v>
      </c>
      <c r="L38" s="60">
        <v>0</v>
      </c>
      <c r="M38" s="60">
        <v>0</v>
      </c>
      <c r="N38" s="60">
        <v>0</v>
      </c>
      <c r="O38" s="876"/>
      <c r="X38" t="s">
        <v>5</v>
      </c>
    </row>
    <row r="39" spans="2:24" ht="15.5">
      <c r="B39" s="55"/>
      <c r="C39" s="1015" t="s">
        <v>37</v>
      </c>
      <c r="D39" s="892"/>
      <c r="E39" s="892"/>
      <c r="F39" s="893">
        <f t="shared" ref="F39:N39" si="2">(INDEX(F$35:F$38,ROUNDDOWN($E$9,0))*(1-MOD($E$9,1)))+(INDEX(F$35:F$38,ROUNDUP($E$9,0))*MOD($E$9,1))</f>
        <v>0</v>
      </c>
      <c r="G39" s="893">
        <f t="shared" si="2"/>
        <v>0</v>
      </c>
      <c r="H39" s="893">
        <f t="shared" si="2"/>
        <v>0</v>
      </c>
      <c r="I39" s="1199">
        <f t="shared" si="2"/>
        <v>0</v>
      </c>
      <c r="J39" s="79">
        <f t="shared" si="2"/>
        <v>0</v>
      </c>
      <c r="K39" s="79">
        <f t="shared" si="2"/>
        <v>0</v>
      </c>
      <c r="L39" s="79">
        <f t="shared" si="2"/>
        <v>0</v>
      </c>
      <c r="M39" s="79">
        <f t="shared" si="2"/>
        <v>0</v>
      </c>
      <c r="N39" s="79">
        <f t="shared" si="2"/>
        <v>0</v>
      </c>
      <c r="O39" s="876"/>
    </row>
    <row r="40" spans="2:24">
      <c r="B40" s="105"/>
      <c r="C40" s="67"/>
      <c r="D40" s="67"/>
      <c r="E40" s="67"/>
      <c r="F40" s="67"/>
      <c r="G40" s="67"/>
      <c r="H40" s="67"/>
      <c r="I40" s="67"/>
      <c r="J40" s="67"/>
      <c r="K40" s="67"/>
      <c r="L40" s="67"/>
      <c r="M40" s="67"/>
      <c r="N40" s="67"/>
      <c r="O40" s="876"/>
    </row>
    <row r="41" spans="2:24">
      <c r="B41" s="105"/>
      <c r="C41" s="49" t="s">
        <v>869</v>
      </c>
      <c r="D41" s="67"/>
      <c r="E41" s="51"/>
      <c r="F41" s="67"/>
      <c r="G41" s="67"/>
      <c r="H41" s="67"/>
      <c r="I41" s="67"/>
      <c r="J41" s="67"/>
      <c r="K41" s="67"/>
      <c r="L41" s="67"/>
      <c r="M41" s="67"/>
      <c r="N41" s="51" t="str">
        <f>Preferences.PowerUnits</f>
        <v>GW</v>
      </c>
      <c r="O41" s="876"/>
    </row>
    <row r="42" spans="2:24">
      <c r="B42" s="105"/>
      <c r="C42" s="67"/>
      <c r="D42" s="67"/>
      <c r="E42" s="67"/>
      <c r="F42" s="67"/>
      <c r="G42" s="67"/>
      <c r="H42" s="67"/>
      <c r="I42" s="67"/>
      <c r="J42" s="67"/>
      <c r="K42" s="67"/>
      <c r="L42" s="67"/>
      <c r="M42" s="67"/>
      <c r="N42" s="67"/>
      <c r="O42" s="876"/>
    </row>
    <row r="43" spans="2:24">
      <c r="B43" s="105"/>
      <c r="C43" s="878" t="s">
        <v>8</v>
      </c>
      <c r="D43" s="878" t="s">
        <v>71</v>
      </c>
      <c r="E43" s="878" t="s">
        <v>30</v>
      </c>
      <c r="F43" s="87">
        <v>2013</v>
      </c>
      <c r="G43" s="87">
        <v>2015</v>
      </c>
      <c r="H43" s="87">
        <v>2020</v>
      </c>
      <c r="I43" s="87">
        <v>2025</v>
      </c>
      <c r="J43" s="87">
        <v>2030</v>
      </c>
      <c r="K43" s="87">
        <v>2035</v>
      </c>
      <c r="L43" s="87">
        <v>2040</v>
      </c>
      <c r="M43" s="87">
        <v>2045</v>
      </c>
      <c r="N43" s="87">
        <v>2050</v>
      </c>
      <c r="O43" s="876"/>
    </row>
    <row r="44" spans="2:24">
      <c r="B44" s="105"/>
      <c r="C44" s="65">
        <v>1</v>
      </c>
      <c r="D44" s="103"/>
      <c r="E44" s="103"/>
      <c r="F44" s="88">
        <v>0</v>
      </c>
      <c r="G44" s="1200">
        <v>1</v>
      </c>
      <c r="H44" s="1201">
        <v>1</v>
      </c>
      <c r="I44" s="1201">
        <v>1</v>
      </c>
      <c r="J44" s="1201">
        <v>1</v>
      </c>
      <c r="K44" s="1201">
        <v>1</v>
      </c>
      <c r="L44" s="1201">
        <v>1</v>
      </c>
      <c r="M44" s="1201">
        <v>1</v>
      </c>
      <c r="N44" s="1201">
        <v>1</v>
      </c>
      <c r="O44" s="876"/>
    </row>
    <row r="45" spans="2:24">
      <c r="B45" s="105"/>
      <c r="C45" s="65">
        <v>2</v>
      </c>
      <c r="D45" s="103"/>
      <c r="E45" s="103"/>
      <c r="F45" s="88">
        <v>0</v>
      </c>
      <c r="G45" s="1202">
        <v>1</v>
      </c>
      <c r="H45" s="88">
        <v>1</v>
      </c>
      <c r="I45" s="88">
        <v>1</v>
      </c>
      <c r="J45" s="88">
        <v>1</v>
      </c>
      <c r="K45" s="88">
        <v>1</v>
      </c>
      <c r="L45" s="88">
        <v>1</v>
      </c>
      <c r="M45" s="88">
        <v>1</v>
      </c>
      <c r="N45" s="88">
        <v>1</v>
      </c>
      <c r="O45" s="876"/>
    </row>
    <row r="46" spans="2:24">
      <c r="B46" s="105"/>
      <c r="C46" s="65">
        <v>3</v>
      </c>
      <c r="D46" s="103"/>
      <c r="E46" s="103"/>
      <c r="F46" s="88">
        <v>0</v>
      </c>
      <c r="G46" s="1202">
        <v>1</v>
      </c>
      <c r="H46" s="88">
        <v>1</v>
      </c>
      <c r="I46" s="88">
        <v>1</v>
      </c>
      <c r="J46" s="88">
        <v>1</v>
      </c>
      <c r="K46" s="88">
        <v>1</v>
      </c>
      <c r="L46" s="88">
        <v>1</v>
      </c>
      <c r="M46" s="88">
        <v>1</v>
      </c>
      <c r="N46" s="88">
        <v>1</v>
      </c>
      <c r="O46" s="876"/>
    </row>
    <row r="47" spans="2:24">
      <c r="B47" s="105"/>
      <c r="C47" s="887">
        <v>4</v>
      </c>
      <c r="D47" s="103"/>
      <c r="E47" s="888" t="s">
        <v>66</v>
      </c>
      <c r="F47" s="93">
        <v>0</v>
      </c>
      <c r="G47" s="1203">
        <v>1</v>
      </c>
      <c r="H47" s="142">
        <v>1</v>
      </c>
      <c r="I47" s="142">
        <v>1</v>
      </c>
      <c r="J47" s="142">
        <v>1</v>
      </c>
      <c r="K47" s="88">
        <v>1</v>
      </c>
      <c r="L47" s="88">
        <v>1</v>
      </c>
      <c r="M47" s="88">
        <v>1</v>
      </c>
      <c r="N47" s="88">
        <v>1</v>
      </c>
      <c r="O47" s="876"/>
    </row>
    <row r="48" spans="2:24" ht="15.5">
      <c r="B48" s="55"/>
      <c r="C48" s="1015" t="s">
        <v>37</v>
      </c>
      <c r="D48" s="892"/>
      <c r="E48" s="892"/>
      <c r="F48" s="97">
        <f t="shared" ref="F48:N48" si="3">(INDEX(F$44:F$47,ROUNDDOWN($E$9,0))*(1-MOD($E$9,1)))+(INDEX(F$44:F$47,ROUNDUP($E$9,0))*MOD($E$9,1))</f>
        <v>0</v>
      </c>
      <c r="G48" s="97">
        <f t="shared" si="3"/>
        <v>1</v>
      </c>
      <c r="H48" s="97">
        <f t="shared" si="3"/>
        <v>1</v>
      </c>
      <c r="I48" s="97">
        <f t="shared" si="3"/>
        <v>1</v>
      </c>
      <c r="J48" s="97">
        <f t="shared" si="3"/>
        <v>1</v>
      </c>
      <c r="K48" s="97">
        <f t="shared" si="3"/>
        <v>1</v>
      </c>
      <c r="L48" s="97">
        <f t="shared" si="3"/>
        <v>1</v>
      </c>
      <c r="M48" s="97">
        <f t="shared" si="3"/>
        <v>1</v>
      </c>
      <c r="N48" s="97">
        <f t="shared" si="3"/>
        <v>1</v>
      </c>
      <c r="O48" s="876"/>
    </row>
    <row r="49" spans="1:15" s="3821" customFormat="1" ht="15.5">
      <c r="B49" s="55"/>
      <c r="C49" s="3835" t="s">
        <v>2961</v>
      </c>
      <c r="D49" s="103"/>
      <c r="E49" s="103"/>
      <c r="F49" s="88"/>
      <c r="G49" s="88"/>
      <c r="H49" s="88"/>
      <c r="I49" s="88"/>
      <c r="J49" s="88"/>
      <c r="K49" s="88"/>
      <c r="L49" s="88"/>
      <c r="M49" s="88"/>
      <c r="N49" s="88"/>
      <c r="O49" s="876"/>
    </row>
    <row r="50" spans="1:15" s="3821" customFormat="1" ht="15.5">
      <c r="B50" s="55"/>
      <c r="C50" s="3834" t="s">
        <v>64</v>
      </c>
      <c r="D50" s="2248" t="s">
        <v>3005</v>
      </c>
      <c r="E50" s="2248"/>
      <c r="F50" s="88"/>
      <c r="G50" s="88"/>
      <c r="H50" s="88"/>
      <c r="I50" s="88"/>
      <c r="J50" s="88"/>
      <c r="K50" s="88"/>
      <c r="L50" s="88"/>
      <c r="M50" s="88"/>
      <c r="N50" s="88"/>
      <c r="O50" s="876"/>
    </row>
    <row r="51" spans="1:15" s="3821" customFormat="1" ht="15.5">
      <c r="B51" s="55"/>
      <c r="C51" s="3834" t="s">
        <v>66</v>
      </c>
      <c r="D51" s="2248" t="s">
        <v>3190</v>
      </c>
      <c r="E51" s="2248"/>
      <c r="F51" s="88"/>
      <c r="G51" s="88"/>
      <c r="H51" s="88"/>
      <c r="I51" s="88"/>
      <c r="J51" s="88"/>
      <c r="K51" s="88"/>
      <c r="L51" s="88"/>
      <c r="M51" s="88"/>
      <c r="N51" s="88"/>
      <c r="O51" s="876"/>
    </row>
    <row r="52" spans="1:15">
      <c r="B52" s="45"/>
      <c r="C52" s="2248"/>
      <c r="D52" s="2248" t="s">
        <v>3191</v>
      </c>
      <c r="E52" s="2248"/>
      <c r="F52" s="167"/>
      <c r="G52" s="160"/>
      <c r="H52" s="160"/>
      <c r="I52" s="160"/>
      <c r="J52" s="160"/>
      <c r="K52" s="160"/>
      <c r="L52" s="160"/>
      <c r="M52" s="160"/>
      <c r="N52" s="160"/>
      <c r="O52" s="876"/>
    </row>
    <row r="54" spans="1:15" s="6" customFormat="1" ht="23.5">
      <c r="A54" s="40"/>
      <c r="B54" s="869" t="s">
        <v>69</v>
      </c>
      <c r="C54" s="870"/>
      <c r="D54" s="870"/>
      <c r="E54" s="870"/>
      <c r="F54" s="870"/>
      <c r="G54" s="870"/>
      <c r="H54" s="870"/>
      <c r="I54" s="870"/>
      <c r="J54" s="870"/>
      <c r="K54" s="870"/>
      <c r="L54" s="870"/>
      <c r="M54" s="870"/>
      <c r="N54" s="870"/>
      <c r="O54" s="871"/>
    </row>
    <row r="55" spans="1:15">
      <c r="B55" s="105"/>
      <c r="C55" s="65"/>
      <c r="D55" s="103"/>
      <c r="E55" s="103"/>
      <c r="F55" s="59"/>
      <c r="G55" s="60"/>
      <c r="H55" s="60"/>
      <c r="I55" s="60"/>
      <c r="J55" s="60"/>
      <c r="K55" s="60"/>
      <c r="L55" s="60"/>
      <c r="M55" s="60"/>
      <c r="N55" s="60"/>
      <c r="O55" s="876"/>
    </row>
    <row r="56" spans="1:15">
      <c r="B56" s="105"/>
      <c r="C56" s="49" t="s">
        <v>870</v>
      </c>
      <c r="D56" s="67"/>
      <c r="E56" s="67"/>
      <c r="F56" s="67"/>
      <c r="G56" s="67"/>
      <c r="H56" s="67"/>
      <c r="I56" s="67"/>
      <c r="J56" s="67"/>
      <c r="K56" s="67"/>
      <c r="L56" s="67"/>
      <c r="M56" s="67"/>
      <c r="N56" s="67"/>
      <c r="O56" s="876"/>
    </row>
    <row r="57" spans="1:15">
      <c r="B57" s="105"/>
      <c r="C57" s="67"/>
      <c r="D57" s="67"/>
      <c r="E57" s="67"/>
      <c r="F57" s="67"/>
      <c r="G57" s="67"/>
      <c r="H57" s="67"/>
      <c r="I57" s="67"/>
      <c r="J57" s="67"/>
      <c r="K57" s="67"/>
      <c r="L57" s="67"/>
      <c r="M57" s="67"/>
      <c r="N57" s="67"/>
      <c r="O57" s="876"/>
    </row>
    <row r="58" spans="1:15" ht="15.5">
      <c r="B58" s="55"/>
      <c r="C58" s="878" t="s">
        <v>131</v>
      </c>
      <c r="D58" s="878" t="s">
        <v>712</v>
      </c>
      <c r="E58" s="878" t="s">
        <v>30</v>
      </c>
      <c r="F58" s="87">
        <v>2013</v>
      </c>
      <c r="G58" s="87">
        <v>2015</v>
      </c>
      <c r="H58" s="87">
        <v>2020</v>
      </c>
      <c r="I58" s="87">
        <v>2025</v>
      </c>
      <c r="J58" s="87">
        <v>2030</v>
      </c>
      <c r="K58" s="87">
        <v>2035</v>
      </c>
      <c r="L58" s="87">
        <v>2040</v>
      </c>
      <c r="M58" s="87">
        <v>2045</v>
      </c>
      <c r="N58" s="87">
        <v>2050</v>
      </c>
      <c r="O58" s="876"/>
    </row>
    <row r="59" spans="1:15" ht="15.5">
      <c r="B59" s="55"/>
      <c r="C59" s="1083" t="s">
        <v>440</v>
      </c>
      <c r="D59" s="881" t="s">
        <v>390</v>
      </c>
      <c r="E59" s="881"/>
      <c r="F59" s="1204">
        <v>0.33</v>
      </c>
      <c r="G59" s="1201">
        <v>0.33</v>
      </c>
      <c r="H59" s="1201">
        <v>0.33</v>
      </c>
      <c r="I59" s="1201">
        <v>0.33</v>
      </c>
      <c r="J59" s="1201">
        <v>0.33</v>
      </c>
      <c r="K59" s="1201">
        <v>0.33</v>
      </c>
      <c r="L59" s="1201">
        <v>0.33</v>
      </c>
      <c r="M59" s="1201">
        <v>0.33</v>
      </c>
      <c r="N59" s="1201">
        <v>0.33</v>
      </c>
      <c r="O59" s="876"/>
    </row>
    <row r="60" spans="1:15" ht="15.5">
      <c r="B60" s="55"/>
      <c r="C60" s="65" t="s">
        <v>439</v>
      </c>
      <c r="D60" s="103" t="s">
        <v>871</v>
      </c>
      <c r="E60" s="103"/>
      <c r="F60" s="1205">
        <v>0.4</v>
      </c>
      <c r="G60" s="88">
        <v>0.4</v>
      </c>
      <c r="H60" s="88">
        <v>0.4</v>
      </c>
      <c r="I60" s="88">
        <v>0.4</v>
      </c>
      <c r="J60" s="88">
        <v>0.4</v>
      </c>
      <c r="K60" s="88">
        <v>0.4</v>
      </c>
      <c r="L60" s="88">
        <v>0.4</v>
      </c>
      <c r="M60" s="88">
        <v>0.4</v>
      </c>
      <c r="N60" s="88">
        <v>0.4</v>
      </c>
      <c r="O60" s="876"/>
    </row>
    <row r="61" spans="1:15" ht="15.5">
      <c r="B61" s="55"/>
      <c r="C61" s="65" t="s">
        <v>439</v>
      </c>
      <c r="D61" s="103" t="s">
        <v>872</v>
      </c>
      <c r="E61" s="103"/>
      <c r="F61" s="1206">
        <v>0.19</v>
      </c>
      <c r="G61" s="88">
        <v>0.19</v>
      </c>
      <c r="H61" s="88">
        <v>0.19</v>
      </c>
      <c r="I61" s="88">
        <v>0.19</v>
      </c>
      <c r="J61" s="88">
        <v>0.19</v>
      </c>
      <c r="K61" s="88">
        <v>0.19</v>
      </c>
      <c r="L61" s="88">
        <v>0.19</v>
      </c>
      <c r="M61" s="88">
        <v>0.19</v>
      </c>
      <c r="N61" s="88">
        <v>0.19</v>
      </c>
      <c r="O61" s="876"/>
    </row>
    <row r="62" spans="1:15">
      <c r="B62" s="876"/>
      <c r="C62" s="1207" t="s">
        <v>439</v>
      </c>
      <c r="D62" s="194" t="s">
        <v>873</v>
      </c>
      <c r="E62" s="194"/>
      <c r="F62" s="1208"/>
      <c r="G62" s="153"/>
      <c r="H62" s="153"/>
      <c r="I62" s="153"/>
      <c r="J62" s="153"/>
      <c r="K62" s="153"/>
      <c r="L62" s="153"/>
      <c r="M62" s="153"/>
      <c r="N62" s="1209"/>
      <c r="O62" s="876"/>
    </row>
    <row r="63" spans="1:15">
      <c r="B63" s="105"/>
      <c r="C63" s="67"/>
      <c r="D63" s="67"/>
      <c r="E63" s="67"/>
      <c r="F63" s="67"/>
      <c r="G63" s="67"/>
      <c r="H63" s="67"/>
      <c r="I63" s="67"/>
      <c r="J63" s="67"/>
      <c r="K63" s="67"/>
      <c r="L63" s="67"/>
      <c r="M63" s="67"/>
      <c r="N63" s="67"/>
      <c r="O63" s="876"/>
    </row>
    <row r="64" spans="1:15">
      <c r="B64" s="105"/>
      <c r="C64" s="3826" t="s">
        <v>63</v>
      </c>
      <c r="D64" s="67"/>
      <c r="E64" s="67"/>
      <c r="F64" s="67"/>
      <c r="G64" s="67"/>
      <c r="H64" s="67"/>
      <c r="I64" s="67"/>
      <c r="J64" s="67"/>
      <c r="K64" s="67"/>
      <c r="L64" s="67"/>
      <c r="M64" s="67"/>
      <c r="N64" s="67"/>
      <c r="O64" s="876"/>
    </row>
    <row r="65" spans="2:15" s="918" customFormat="1" ht="13">
      <c r="B65" s="1160"/>
      <c r="C65" s="920" t="s">
        <v>64</v>
      </c>
      <c r="D65" s="921" t="s">
        <v>3003</v>
      </c>
      <c r="E65" s="922"/>
      <c r="F65" s="922"/>
      <c r="G65" s="922"/>
      <c r="H65" s="922"/>
      <c r="I65" s="922"/>
      <c r="J65" s="922"/>
      <c r="K65" s="922"/>
      <c r="L65" s="922"/>
      <c r="M65" s="922"/>
      <c r="N65" s="922"/>
      <c r="O65" s="923"/>
    </row>
    <row r="66" spans="2:15" s="918" customFormat="1" ht="13">
      <c r="B66" s="1160"/>
      <c r="C66" s="1161"/>
      <c r="D66" s="921" t="s">
        <v>3001</v>
      </c>
      <c r="E66" s="922"/>
      <c r="F66" s="922"/>
      <c r="G66" s="922"/>
      <c r="H66" s="922"/>
      <c r="I66" s="922"/>
      <c r="J66" s="922"/>
      <c r="K66" s="922"/>
      <c r="L66" s="922"/>
      <c r="M66" s="922"/>
      <c r="N66" s="922"/>
      <c r="O66" s="923"/>
    </row>
    <row r="67" spans="2:15" s="918" customFormat="1">
      <c r="B67" s="1160"/>
      <c r="C67" s="49" t="s">
        <v>874</v>
      </c>
      <c r="D67" s="67"/>
      <c r="E67" s="67"/>
      <c r="F67" s="67"/>
      <c r="G67" s="67"/>
      <c r="H67" s="67"/>
      <c r="I67" s="67"/>
      <c r="J67" s="67"/>
      <c r="K67" s="67"/>
      <c r="L67" s="67"/>
      <c r="M67" s="67"/>
      <c r="N67" s="67"/>
      <c r="O67" s="923"/>
    </row>
    <row r="68" spans="2:15" s="918" customFormat="1">
      <c r="B68" s="1160"/>
      <c r="C68" s="67"/>
      <c r="D68" s="67"/>
      <c r="E68" s="67"/>
      <c r="F68" s="67"/>
      <c r="G68" s="67"/>
      <c r="H68" s="67"/>
      <c r="I68" s="67"/>
      <c r="J68" s="67"/>
      <c r="K68" s="67"/>
      <c r="L68" s="67"/>
      <c r="M68" s="67"/>
      <c r="N68" s="67"/>
      <c r="O68" s="923"/>
    </row>
    <row r="69" spans="2:15" s="918" customFormat="1" ht="15.5">
      <c r="B69" s="1210"/>
      <c r="C69" s="878" t="s">
        <v>131</v>
      </c>
      <c r="D69" s="878" t="s">
        <v>712</v>
      </c>
      <c r="E69" s="878" t="s">
        <v>30</v>
      </c>
      <c r="F69" s="87">
        <v>2013</v>
      </c>
      <c r="G69" s="87">
        <v>2015</v>
      </c>
      <c r="H69" s="87">
        <v>2020</v>
      </c>
      <c r="I69" s="87">
        <v>2025</v>
      </c>
      <c r="J69" s="87">
        <v>2030</v>
      </c>
      <c r="K69" s="87">
        <v>2035</v>
      </c>
      <c r="L69" s="87">
        <v>2040</v>
      </c>
      <c r="M69" s="87">
        <v>2045</v>
      </c>
      <c r="N69" s="87">
        <v>2050</v>
      </c>
      <c r="O69" s="923"/>
    </row>
    <row r="70" spans="2:15" s="918" customFormat="1" ht="15.5">
      <c r="B70" s="1210"/>
      <c r="C70" s="1083" t="s">
        <v>440</v>
      </c>
      <c r="D70" s="881" t="s">
        <v>390</v>
      </c>
      <c r="E70" s="881"/>
      <c r="F70" s="1211">
        <v>0.9</v>
      </c>
      <c r="G70" s="1201">
        <v>0.9</v>
      </c>
      <c r="H70" s="1201">
        <v>0.9</v>
      </c>
      <c r="I70" s="1201">
        <v>0.9</v>
      </c>
      <c r="J70" s="1201">
        <v>0.9</v>
      </c>
      <c r="K70" s="1201">
        <v>0.9</v>
      </c>
      <c r="L70" s="1201">
        <v>0.9</v>
      </c>
      <c r="M70" s="1201">
        <v>0.9</v>
      </c>
      <c r="N70" s="1201">
        <v>0.9</v>
      </c>
      <c r="O70" s="923"/>
    </row>
    <row r="71" spans="2:15" s="918" customFormat="1" ht="15.5">
      <c r="B71" s="1210"/>
      <c r="C71" s="65" t="s">
        <v>439</v>
      </c>
      <c r="D71" s="103" t="s">
        <v>871</v>
      </c>
      <c r="E71" s="103"/>
      <c r="F71" s="1022">
        <v>0.9</v>
      </c>
      <c r="G71" s="88">
        <v>0.9</v>
      </c>
      <c r="H71" s="88">
        <v>0.9</v>
      </c>
      <c r="I71" s="88">
        <v>0.9</v>
      </c>
      <c r="J71" s="88">
        <v>0.9</v>
      </c>
      <c r="K71" s="88">
        <v>0.9</v>
      </c>
      <c r="L71" s="88">
        <v>0.9</v>
      </c>
      <c r="M71" s="88">
        <v>0.9</v>
      </c>
      <c r="N71" s="88">
        <v>0.9</v>
      </c>
      <c r="O71" s="923"/>
    </row>
    <row r="72" spans="2:15" s="918" customFormat="1" ht="15.5">
      <c r="B72" s="1210"/>
      <c r="C72" s="917" t="s">
        <v>439</v>
      </c>
      <c r="D72" s="194" t="s">
        <v>875</v>
      </c>
      <c r="E72" s="194"/>
      <c r="F72" s="1212">
        <v>0.95</v>
      </c>
      <c r="G72" s="142">
        <v>0.95</v>
      </c>
      <c r="H72" s="142">
        <v>0.95</v>
      </c>
      <c r="I72" s="142">
        <v>0.95</v>
      </c>
      <c r="J72" s="142">
        <v>0.95</v>
      </c>
      <c r="K72" s="142">
        <v>0.95</v>
      </c>
      <c r="L72" s="142">
        <v>0.95</v>
      </c>
      <c r="M72" s="142">
        <v>0.95</v>
      </c>
      <c r="N72" s="142">
        <v>0.95</v>
      </c>
      <c r="O72" s="923"/>
    </row>
    <row r="73" spans="2:15" ht="15.5">
      <c r="B73" s="55"/>
      <c r="C73" s="65"/>
      <c r="D73" s="103"/>
      <c r="E73" s="103"/>
      <c r="F73" s="89"/>
      <c r="G73" s="88"/>
      <c r="H73" s="88"/>
      <c r="I73" s="88"/>
      <c r="J73" s="88"/>
      <c r="K73" s="88"/>
      <c r="L73" s="88"/>
      <c r="M73" s="88"/>
      <c r="N73" s="88"/>
      <c r="O73" s="876"/>
    </row>
    <row r="74" spans="2:15" ht="15.5">
      <c r="B74" s="55"/>
      <c r="C74" s="49" t="s">
        <v>716</v>
      </c>
      <c r="D74" s="67"/>
      <c r="E74" s="67"/>
      <c r="F74" s="67"/>
      <c r="G74" s="67"/>
      <c r="H74" s="67"/>
      <c r="I74" s="88"/>
      <c r="J74" s="88"/>
      <c r="K74" s="88"/>
      <c r="L74" s="88"/>
      <c r="M74" s="88"/>
      <c r="N74" s="88"/>
      <c r="O74" s="876"/>
    </row>
    <row r="75" spans="2:15" ht="15.5">
      <c r="B75" s="55"/>
      <c r="C75" s="67"/>
      <c r="D75" s="67"/>
      <c r="E75" s="67"/>
      <c r="F75" s="67"/>
      <c r="G75" s="67"/>
      <c r="H75" s="67"/>
      <c r="I75" s="88"/>
      <c r="J75" s="88"/>
      <c r="K75" s="88"/>
      <c r="L75" s="88"/>
      <c r="M75" s="88"/>
      <c r="N75" s="88"/>
      <c r="O75" s="876"/>
    </row>
    <row r="76" spans="2:15" ht="15.5">
      <c r="B76" s="55"/>
      <c r="C76" s="878"/>
      <c r="D76" s="878"/>
      <c r="E76" s="878"/>
      <c r="F76" s="87"/>
      <c r="G76" s="1152" t="s">
        <v>876</v>
      </c>
      <c r="H76" s="1152"/>
      <c r="I76" s="88"/>
      <c r="J76" s="88"/>
      <c r="K76" s="88"/>
      <c r="L76" s="88"/>
      <c r="M76" s="88"/>
      <c r="N76" s="88"/>
      <c r="O76" s="876"/>
    </row>
    <row r="77" spans="2:15" ht="15.5">
      <c r="B77" s="55"/>
      <c r="C77" s="914"/>
      <c r="D77" s="57" t="s">
        <v>877</v>
      </c>
      <c r="E77" s="2248" t="s">
        <v>66</v>
      </c>
      <c r="F77" s="3834">
        <f>750*2*Unit.kW</f>
        <v>1.5E-3</v>
      </c>
      <c r="G77" s="3895" t="str">
        <f>Preferences.PowerUnits&amp;"peak"</f>
        <v>GWpeak</v>
      </c>
      <c r="H77" s="1154"/>
      <c r="I77" s="1214"/>
      <c r="J77" s="88"/>
      <c r="K77" s="88"/>
      <c r="L77" s="88"/>
      <c r="M77" s="88"/>
      <c r="N77" s="88"/>
      <c r="O77" s="876"/>
    </row>
    <row r="78" spans="2:15" ht="15.5">
      <c r="B78" s="55"/>
      <c r="C78" s="914"/>
      <c r="D78" s="103" t="s">
        <v>878</v>
      </c>
      <c r="E78" s="915" t="s">
        <v>105</v>
      </c>
      <c r="F78" s="2492">
        <f>76*Unit.kW*25%*Conversion.to.annual.energy*1000*90%</f>
        <v>0.14989859999999999</v>
      </c>
      <c r="G78" s="2494" t="str">
        <f>Preferences.EnergyUnits&amp;"/km wavefront/y"</f>
        <v>TWh/km wavefront/y</v>
      </c>
      <c r="H78" s="1215"/>
      <c r="I78" s="59"/>
      <c r="J78" s="88"/>
      <c r="K78" s="88"/>
      <c r="L78" s="88"/>
      <c r="M78" s="88"/>
      <c r="N78" s="88"/>
      <c r="O78" s="876"/>
    </row>
    <row r="79" spans="2:15" ht="15.5">
      <c r="B79" s="55"/>
      <c r="C79" s="914"/>
      <c r="D79" s="103" t="s">
        <v>879</v>
      </c>
      <c r="E79" s="915" t="s">
        <v>79</v>
      </c>
      <c r="F79" s="2492">
        <f>240*Unit.MW</f>
        <v>0.24</v>
      </c>
      <c r="G79" s="1216" t="str">
        <f>Preferences.PowerUnits&amp;"peak"</f>
        <v>GWpeak</v>
      </c>
      <c r="H79" s="1215"/>
      <c r="I79" s="59"/>
      <c r="J79" s="88"/>
      <c r="K79" s="88"/>
      <c r="L79" s="88"/>
      <c r="M79" s="88"/>
      <c r="N79" s="88"/>
      <c r="O79" s="876"/>
    </row>
    <row r="80" spans="2:15" ht="15.5">
      <c r="B80" s="55"/>
      <c r="C80" s="914"/>
      <c r="D80" s="103" t="s">
        <v>880</v>
      </c>
      <c r="E80" s="915" t="s">
        <v>155</v>
      </c>
      <c r="F80" s="2493">
        <f>(3.5/25%)*Unit.W/Unit.m2</f>
        <v>1.4000000000000002E-2</v>
      </c>
      <c r="G80" s="2494" t="str">
        <f>Preferences.PowerUnits&amp;"peak/"&amp;Preferences.AreaUnits</f>
        <v>GWpeak/km^2</v>
      </c>
      <c r="H80" s="1215"/>
      <c r="I80" s="59"/>
      <c r="J80" s="88"/>
      <c r="K80" s="88"/>
      <c r="L80" s="88"/>
      <c r="M80" s="88"/>
      <c r="N80" s="88"/>
      <c r="O80" s="876"/>
    </row>
    <row r="81" spans="1:77" ht="15.5">
      <c r="B81" s="55"/>
      <c r="C81" s="914"/>
      <c r="D81" s="103" t="s">
        <v>881</v>
      </c>
      <c r="E81" s="915" t="s">
        <v>104</v>
      </c>
      <c r="F81" s="1153">
        <f>2*Unit.MW</f>
        <v>2E-3</v>
      </c>
      <c r="G81" s="1213" t="str">
        <f>Preferences.PowerUnits&amp;"peak"</f>
        <v>GWpeak</v>
      </c>
      <c r="H81" s="1215"/>
      <c r="I81" s="59" t="s">
        <v>5</v>
      </c>
      <c r="J81" s="88"/>
      <c r="K81" s="88"/>
      <c r="L81" s="88"/>
      <c r="M81" s="88"/>
      <c r="N81" s="88"/>
      <c r="O81" s="876"/>
    </row>
    <row r="82" spans="1:77" ht="15.5">
      <c r="B82" s="55"/>
      <c r="C82" s="917"/>
      <c r="D82" s="194" t="s">
        <v>882</v>
      </c>
      <c r="E82" s="194" t="s">
        <v>157</v>
      </c>
      <c r="F82" s="2490">
        <f>(6/40%)*Unit.W/Unit.m2</f>
        <v>1.5000000000000003E-2</v>
      </c>
      <c r="G82" s="2495" t="str">
        <f>Preferences.PowerUnits&amp;"peak/"&amp;Preferences.AreaUnits</f>
        <v>GWpeak/km^2</v>
      </c>
      <c r="H82" s="1156"/>
      <c r="I82" s="88"/>
      <c r="J82" s="88"/>
      <c r="K82" s="88"/>
      <c r="L82" s="88"/>
      <c r="M82" s="88"/>
      <c r="N82" s="88"/>
      <c r="O82" s="876"/>
    </row>
    <row r="83" spans="1:77" ht="15.5">
      <c r="B83" s="55"/>
      <c r="C83" s="67"/>
      <c r="D83" s="67"/>
      <c r="E83" s="67"/>
      <c r="F83" s="67"/>
      <c r="G83" s="67"/>
      <c r="H83" s="67"/>
      <c r="I83" s="88"/>
      <c r="J83" s="88"/>
      <c r="K83" s="88"/>
      <c r="L83" s="88"/>
      <c r="M83" s="88"/>
      <c r="N83" s="88"/>
      <c r="O83" s="876"/>
    </row>
    <row r="84" spans="1:77">
      <c r="B84" s="67"/>
      <c r="C84" s="3826" t="s">
        <v>63</v>
      </c>
      <c r="D84" s="67"/>
      <c r="E84" s="67"/>
      <c r="F84" s="67"/>
      <c r="G84" s="67"/>
      <c r="H84" s="67"/>
      <c r="I84" s="67"/>
      <c r="J84" s="67"/>
      <c r="K84" s="67"/>
      <c r="L84" s="67"/>
      <c r="M84" s="67"/>
      <c r="N84" s="67"/>
      <c r="O84" s="876"/>
    </row>
    <row r="85" spans="1:77">
      <c r="B85" s="67"/>
      <c r="C85" s="2249" t="s">
        <v>66</v>
      </c>
      <c r="D85" s="3830" t="s">
        <v>3136</v>
      </c>
      <c r="E85" s="67"/>
      <c r="F85" s="67"/>
      <c r="G85" s="67"/>
      <c r="H85" s="67"/>
      <c r="I85" s="67"/>
      <c r="J85" s="67"/>
      <c r="K85" s="67"/>
      <c r="L85" s="67"/>
      <c r="M85" s="67"/>
      <c r="N85" s="67"/>
      <c r="O85" s="876"/>
    </row>
    <row r="86" spans="1:77">
      <c r="B86" s="67"/>
      <c r="C86" s="2249" t="s">
        <v>105</v>
      </c>
      <c r="D86" s="3830" t="s">
        <v>3139</v>
      </c>
      <c r="E86" s="67"/>
      <c r="F86" s="67"/>
      <c r="G86" s="67"/>
      <c r="H86" s="67"/>
      <c r="I86" s="67"/>
      <c r="J86" s="67"/>
      <c r="K86" s="67"/>
      <c r="L86" s="67"/>
      <c r="M86" s="67"/>
      <c r="N86" s="67"/>
      <c r="O86" s="876"/>
    </row>
    <row r="87" spans="1:77">
      <c r="B87" s="67"/>
      <c r="C87" s="2249" t="s">
        <v>79</v>
      </c>
      <c r="D87" s="3830" t="s">
        <v>3137</v>
      </c>
      <c r="E87" s="67"/>
      <c r="F87" s="67"/>
      <c r="G87" s="67"/>
      <c r="H87" s="67"/>
      <c r="I87" s="67"/>
      <c r="J87" s="67"/>
      <c r="K87" s="67"/>
      <c r="L87" s="67"/>
      <c r="M87" s="67"/>
      <c r="N87" s="67"/>
      <c r="O87" s="876"/>
    </row>
    <row r="88" spans="1:77" s="918" customFormat="1" ht="13">
      <c r="B88" s="1160"/>
      <c r="C88" s="2249" t="s">
        <v>155</v>
      </c>
      <c r="D88" s="3830" t="s">
        <v>883</v>
      </c>
      <c r="E88" s="922"/>
      <c r="F88" s="922"/>
      <c r="G88" s="922"/>
      <c r="H88" s="922"/>
      <c r="I88" s="922"/>
      <c r="J88" s="922"/>
      <c r="K88" s="922"/>
      <c r="L88" s="922"/>
      <c r="M88" s="922"/>
      <c r="N88" s="922"/>
      <c r="O88" s="923"/>
    </row>
    <row r="89" spans="1:77" s="918" customFormat="1" ht="13">
      <c r="B89" s="1160"/>
      <c r="C89" s="2249" t="s">
        <v>104</v>
      </c>
      <c r="D89" s="3830" t="s">
        <v>884</v>
      </c>
      <c r="E89" s="922"/>
      <c r="F89" s="922"/>
      <c r="G89" s="922"/>
      <c r="H89" s="922"/>
      <c r="I89" s="922"/>
      <c r="J89" s="922"/>
      <c r="K89" s="922"/>
      <c r="L89" s="922"/>
      <c r="M89" s="922"/>
      <c r="N89" s="922"/>
      <c r="O89" s="923"/>
    </row>
    <row r="90" spans="1:77" s="918" customFormat="1" ht="13">
      <c r="B90" s="1160"/>
      <c r="C90" s="2249" t="s">
        <v>157</v>
      </c>
      <c r="D90" s="3830" t="s">
        <v>3138</v>
      </c>
      <c r="E90" s="922"/>
      <c r="F90" s="922"/>
      <c r="G90" s="922"/>
      <c r="H90" s="922"/>
      <c r="I90" s="922"/>
      <c r="J90" s="922"/>
      <c r="K90" s="922"/>
      <c r="L90" s="922"/>
      <c r="M90" s="922"/>
      <c r="N90" s="922"/>
      <c r="O90" s="923"/>
    </row>
    <row r="91" spans="1:77">
      <c r="B91" s="1163"/>
      <c r="C91" s="1065"/>
      <c r="D91" s="1065"/>
      <c r="E91" s="1065"/>
      <c r="F91" s="1065"/>
      <c r="G91" s="1065"/>
      <c r="H91" s="1065"/>
      <c r="I91" s="1065"/>
      <c r="J91" s="1065"/>
      <c r="K91" s="1065"/>
      <c r="L91" s="1065"/>
      <c r="M91" s="1065"/>
      <c r="N91" s="1065"/>
      <c r="O91" s="1100"/>
    </row>
    <row r="93" spans="1:77" s="6" customFormat="1" ht="23.5" hidden="1">
      <c r="A93" s="40"/>
      <c r="B93" s="869" t="s">
        <v>791</v>
      </c>
      <c r="C93" s="870"/>
      <c r="D93" s="870"/>
      <c r="E93" s="870"/>
      <c r="F93" s="870"/>
      <c r="G93" s="870"/>
      <c r="H93" s="870"/>
      <c r="I93" s="870"/>
      <c r="J93" s="870"/>
      <c r="K93" s="870"/>
      <c r="L93" s="870"/>
      <c r="M93" s="870"/>
      <c r="N93" s="870"/>
      <c r="O93" s="871"/>
    </row>
    <row r="94" spans="1:77" s="6" customFormat="1" hidden="1">
      <c r="A94"/>
      <c r="B94" s="872"/>
      <c r="C94" s="1218" t="s">
        <v>390</v>
      </c>
      <c r="D94" s="873"/>
      <c r="E94" s="873"/>
      <c r="F94" s="873"/>
      <c r="G94" s="873"/>
      <c r="H94" s="873"/>
      <c r="I94" s="873"/>
      <c r="J94" s="873"/>
      <c r="K94" s="873"/>
      <c r="L94" s="873"/>
      <c r="M94" s="873"/>
      <c r="N94" s="873"/>
      <c r="O94" s="87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05"/>
      <c r="C95" s="49" t="s">
        <v>885</v>
      </c>
      <c r="D95" s="915"/>
      <c r="E95" s="932"/>
      <c r="F95" s="933"/>
      <c r="G95" s="934"/>
      <c r="H95" s="934"/>
      <c r="I95" s="934"/>
      <c r="J95" s="934"/>
      <c r="K95" s="934"/>
      <c r="L95" s="934"/>
      <c r="M95" s="934"/>
      <c r="N95" s="935" t="s">
        <v>2743</v>
      </c>
      <c r="O95" s="876"/>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05"/>
      <c r="C96" s="937"/>
      <c r="D96" s="915"/>
      <c r="E96" s="932"/>
      <c r="F96" s="933"/>
      <c r="G96" s="934"/>
      <c r="H96" s="934"/>
      <c r="I96" s="934"/>
      <c r="J96" s="934"/>
      <c r="K96" s="934"/>
      <c r="L96" s="934"/>
      <c r="M96" s="934"/>
      <c r="N96" s="67"/>
      <c r="O96" s="87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05"/>
      <c r="C97" s="1170"/>
      <c r="D97" s="1070"/>
      <c r="E97" s="971" t="s">
        <v>159</v>
      </c>
      <c r="F97" s="972">
        <v>2013</v>
      </c>
      <c r="G97" s="965">
        <v>2015</v>
      </c>
      <c r="H97" s="965">
        <v>2020</v>
      </c>
      <c r="I97" s="965">
        <v>2025</v>
      </c>
      <c r="J97" s="965">
        <v>2030</v>
      </c>
      <c r="K97" s="965">
        <v>2035</v>
      </c>
      <c r="L97" s="965">
        <v>2040</v>
      </c>
      <c r="M97" s="965">
        <v>2045</v>
      </c>
      <c r="N97" s="965">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05"/>
      <c r="C98" s="967" t="s">
        <v>719</v>
      </c>
      <c r="D98" s="1070"/>
      <c r="E98" s="957">
        <v>0</v>
      </c>
      <c r="F98" s="1071">
        <v>12.9</v>
      </c>
      <c r="G98" s="1071">
        <v>12.9</v>
      </c>
      <c r="H98" s="1071">
        <v>12.9</v>
      </c>
      <c r="I98" s="1071">
        <v>12.9</v>
      </c>
      <c r="J98" s="1071">
        <v>12.9</v>
      </c>
      <c r="K98" s="1071">
        <v>12.9</v>
      </c>
      <c r="L98" s="1071">
        <v>12.9</v>
      </c>
      <c r="M98" s="1071">
        <v>12.9</v>
      </c>
      <c r="N98" s="1071">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05"/>
      <c r="C99" s="943" t="s">
        <v>886</v>
      </c>
      <c r="D99" s="915"/>
      <c r="E99" s="944"/>
      <c r="F99" s="945"/>
      <c r="G99" s="945"/>
      <c r="H99" s="945"/>
      <c r="I99" s="945"/>
      <c r="J99" s="945"/>
      <c r="K99" s="945"/>
      <c r="L99" s="945"/>
      <c r="M99" s="945"/>
      <c r="N99" s="945"/>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05"/>
      <c r="C100" s="943" t="s">
        <v>887</v>
      </c>
      <c r="D100" s="915"/>
      <c r="E100" s="944">
        <v>-4.2656250000000021E-2</v>
      </c>
      <c r="F100" s="945">
        <v>7.0655999999999999</v>
      </c>
      <c r="G100" s="945">
        <v>8.0296083307429278</v>
      </c>
      <c r="H100" s="945">
        <v>7.8163270807429281</v>
      </c>
      <c r="I100" s="945">
        <v>7.6030458307429285</v>
      </c>
      <c r="J100" s="945">
        <v>7.3897645807429289</v>
      </c>
      <c r="K100" s="945">
        <v>7.1764833307429292</v>
      </c>
      <c r="L100" s="945">
        <v>6.9632020807429296</v>
      </c>
      <c r="M100" s="945">
        <v>6.7499208307429299</v>
      </c>
      <c r="N100" s="945">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05"/>
      <c r="C101" s="943" t="s">
        <v>888</v>
      </c>
      <c r="D101" s="915"/>
      <c r="E101" s="944"/>
      <c r="F101" s="945"/>
      <c r="G101" s="945"/>
      <c r="H101" s="945"/>
      <c r="I101" s="945"/>
      <c r="J101" s="945"/>
      <c r="K101" s="945"/>
      <c r="L101" s="945"/>
      <c r="M101" s="945"/>
      <c r="N101" s="945"/>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05"/>
      <c r="C102" s="947" t="s">
        <v>721</v>
      </c>
      <c r="D102" s="948"/>
      <c r="E102" s="949">
        <v>-6.5625000000000003E-2</v>
      </c>
      <c r="F102" s="950">
        <v>3.9239999999999999</v>
      </c>
      <c r="G102" s="950">
        <v>3.5958749999999999</v>
      </c>
      <c r="H102" s="950">
        <v>3.2677499999999999</v>
      </c>
      <c r="I102" s="950">
        <v>2.9396249999999999</v>
      </c>
      <c r="J102" s="950">
        <v>2.6114999999999999</v>
      </c>
      <c r="K102" s="950">
        <v>2.2833749999999999</v>
      </c>
      <c r="L102" s="950">
        <v>1.9552499999999999</v>
      </c>
      <c r="M102" s="950">
        <v>1.6271249999999999</v>
      </c>
      <c r="N102" s="950">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05"/>
      <c r="C103" s="937"/>
      <c r="D103" s="915"/>
      <c r="E103" s="932"/>
      <c r="F103" s="933"/>
      <c r="G103" s="934"/>
      <c r="H103" s="934"/>
      <c r="I103" s="934"/>
      <c r="J103" s="934"/>
      <c r="K103" s="934"/>
      <c r="L103" s="934"/>
      <c r="M103" s="934"/>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05"/>
      <c r="C104" s="49" t="s">
        <v>889</v>
      </c>
      <c r="D104" s="915"/>
      <c r="E104" s="932"/>
      <c r="F104" s="933"/>
      <c r="G104" s="934"/>
      <c r="H104" s="934"/>
      <c r="I104" s="934"/>
      <c r="J104" s="934"/>
      <c r="K104" s="934"/>
      <c r="L104" s="934"/>
      <c r="M104" s="934"/>
      <c r="N104" s="935" t="s">
        <v>2743</v>
      </c>
      <c r="O104" s="67"/>
    </row>
    <row r="105" spans="1:77" hidden="1">
      <c r="B105" s="105"/>
      <c r="C105" s="937"/>
      <c r="D105" s="915"/>
      <c r="E105" s="932"/>
      <c r="F105" s="933"/>
      <c r="G105" s="934"/>
      <c r="H105" s="934"/>
      <c r="I105" s="934"/>
      <c r="J105" s="934"/>
      <c r="K105" s="934"/>
      <c r="L105" s="934"/>
      <c r="M105" s="934"/>
      <c r="N105" s="67"/>
      <c r="O105" s="67"/>
      <c r="P105" s="1068"/>
    </row>
    <row r="106" spans="1:77" hidden="1">
      <c r="B106" s="105"/>
      <c r="C106" s="1170"/>
      <c r="D106" s="953"/>
      <c r="E106" s="954" t="s">
        <v>159</v>
      </c>
      <c r="F106" s="955">
        <v>2013</v>
      </c>
      <c r="G106" s="965">
        <v>2015</v>
      </c>
      <c r="H106" s="965">
        <v>2020</v>
      </c>
      <c r="I106" s="965">
        <v>2025</v>
      </c>
      <c r="J106" s="965">
        <v>2030</v>
      </c>
      <c r="K106" s="965">
        <v>2035</v>
      </c>
      <c r="L106" s="965">
        <v>2040</v>
      </c>
      <c r="M106" s="965">
        <v>2045</v>
      </c>
      <c r="N106" s="956">
        <v>2050</v>
      </c>
      <c r="O106" s="67"/>
      <c r="P106" s="1219"/>
    </row>
    <row r="107" spans="1:77" hidden="1">
      <c r="B107" s="105"/>
      <c r="C107" s="967" t="s">
        <v>719</v>
      </c>
      <c r="D107" s="915"/>
      <c r="E107" s="1220">
        <v>0</v>
      </c>
      <c r="F107" s="1071">
        <v>1.1100000000000001</v>
      </c>
      <c r="G107" s="1071">
        <v>1.1100000000000001</v>
      </c>
      <c r="H107" s="1071">
        <v>1.1100000000000001</v>
      </c>
      <c r="I107" s="1071">
        <v>1.1100000000000001</v>
      </c>
      <c r="J107" s="1071">
        <v>1.1100000000000001</v>
      </c>
      <c r="K107" s="1071">
        <v>1.1100000000000001</v>
      </c>
      <c r="L107" s="1071">
        <v>1.1100000000000001</v>
      </c>
      <c r="M107" s="1071">
        <v>1.1100000000000001</v>
      </c>
      <c r="N107" s="1071">
        <v>1.1100000000000001</v>
      </c>
      <c r="O107" s="67"/>
      <c r="P107" s="1221"/>
    </row>
    <row r="108" spans="1:77" hidden="1">
      <c r="B108" s="105"/>
      <c r="C108" s="943" t="s">
        <v>890</v>
      </c>
      <c r="D108" s="915"/>
      <c r="E108" s="1220">
        <v>0</v>
      </c>
      <c r="F108" s="945">
        <v>0.40800000000000003</v>
      </c>
      <c r="G108" s="945">
        <v>0.40800000000000003</v>
      </c>
      <c r="H108" s="945">
        <v>0.40800000000000003</v>
      </c>
      <c r="I108" s="945">
        <v>0.40800000000000003</v>
      </c>
      <c r="J108" s="945">
        <v>0.40800000000000003</v>
      </c>
      <c r="K108" s="945">
        <v>0.40800000000000003</v>
      </c>
      <c r="L108" s="945">
        <v>0.40800000000000003</v>
      </c>
      <c r="M108" s="945">
        <v>0.40800000000000003</v>
      </c>
      <c r="N108" s="945">
        <v>0.40800000000000003</v>
      </c>
      <c r="O108" s="67"/>
      <c r="P108" s="1222"/>
    </row>
    <row r="109" spans="1:77" s="2" customFormat="1" hidden="1">
      <c r="B109" s="105"/>
      <c r="C109" s="943" t="s">
        <v>888</v>
      </c>
      <c r="D109" s="915"/>
      <c r="E109" s="1220"/>
      <c r="F109" s="933"/>
      <c r="G109" s="945"/>
      <c r="H109" s="945"/>
      <c r="I109" s="945"/>
      <c r="J109" s="945"/>
      <c r="K109" s="945"/>
      <c r="L109" s="945"/>
      <c r="M109" s="945"/>
      <c r="N109" s="945"/>
      <c r="O109" s="67"/>
      <c r="P109" s="1222"/>
    </row>
    <row r="110" spans="1:77" s="2" customFormat="1" hidden="1">
      <c r="B110" s="105"/>
      <c r="C110" s="947" t="s">
        <v>721</v>
      </c>
      <c r="D110" s="948"/>
      <c r="E110" s="1223">
        <v>0</v>
      </c>
      <c r="F110" s="950">
        <v>0.03</v>
      </c>
      <c r="G110" s="950">
        <v>0.03</v>
      </c>
      <c r="H110" s="950">
        <v>0.03</v>
      </c>
      <c r="I110" s="950">
        <v>0.03</v>
      </c>
      <c r="J110" s="950">
        <v>0.03</v>
      </c>
      <c r="K110" s="950">
        <v>0.03</v>
      </c>
      <c r="L110" s="950">
        <v>0.03</v>
      </c>
      <c r="M110" s="950">
        <v>0.03</v>
      </c>
      <c r="N110" s="950">
        <v>0.03</v>
      </c>
      <c r="O110" s="67"/>
      <c r="P110" s="1222"/>
      <c r="Q110" s="81"/>
    </row>
    <row r="111" spans="1:77" s="2" customFormat="1" hidden="1">
      <c r="B111" s="67"/>
      <c r="C111" s="943"/>
      <c r="D111" s="915"/>
      <c r="E111" s="944"/>
      <c r="F111" s="933"/>
      <c r="G111" s="933"/>
      <c r="H111" s="933"/>
      <c r="I111" s="933"/>
      <c r="J111" s="933"/>
      <c r="K111" s="933"/>
      <c r="L111" s="933"/>
      <c r="M111" s="933"/>
      <c r="N111" s="933"/>
      <c r="O111" s="67"/>
      <c r="P111" s="81"/>
      <c r="Q111" s="81"/>
    </row>
    <row r="112" spans="1:77" s="2" customFormat="1" hidden="1">
      <c r="B112" s="47"/>
      <c r="C112" s="1224" t="s">
        <v>875</v>
      </c>
      <c r="D112" s="67"/>
      <c r="E112" s="934"/>
      <c r="F112" s="67"/>
      <c r="G112" s="67"/>
      <c r="H112" s="67"/>
      <c r="I112" s="1176"/>
      <c r="J112" s="1176"/>
      <c r="K112" s="47"/>
      <c r="L112" s="47"/>
      <c r="M112" s="47"/>
      <c r="N112" s="47"/>
      <c r="O112" s="47"/>
      <c r="P112" s="81"/>
      <c r="Q112" s="81"/>
    </row>
    <row r="113" spans="2:17" hidden="1">
      <c r="B113" s="105"/>
      <c r="C113" s="49" t="s">
        <v>891</v>
      </c>
      <c r="D113" s="915"/>
      <c r="E113" s="932"/>
      <c r="F113" s="933"/>
      <c r="G113" s="934"/>
      <c r="H113" s="934"/>
      <c r="I113" s="934"/>
      <c r="J113" s="934"/>
      <c r="K113" s="934"/>
      <c r="L113" s="934"/>
      <c r="M113" s="934"/>
      <c r="N113" s="935" t="s">
        <v>2744</v>
      </c>
      <c r="O113" s="67"/>
      <c r="P113" s="1068"/>
      <c r="Q113" s="1068"/>
    </row>
    <row r="114" spans="2:17" hidden="1">
      <c r="B114" s="105"/>
      <c r="C114" s="937"/>
      <c r="D114" s="915"/>
      <c r="E114" s="932"/>
      <c r="F114" s="933"/>
      <c r="G114" s="934"/>
      <c r="H114" s="934"/>
      <c r="I114" s="934"/>
      <c r="J114" s="934"/>
      <c r="K114" s="934"/>
      <c r="L114" s="934"/>
      <c r="M114" s="934"/>
      <c r="N114" s="67"/>
      <c r="O114" s="67"/>
      <c r="P114" s="1068"/>
      <c r="Q114" s="1068"/>
    </row>
    <row r="115" spans="2:17" hidden="1">
      <c r="B115" s="105"/>
      <c r="C115" s="1170"/>
      <c r="D115" s="1070"/>
      <c r="E115" s="971" t="s">
        <v>159</v>
      </c>
      <c r="F115" s="972">
        <v>2013</v>
      </c>
      <c r="G115" s="965">
        <v>2015</v>
      </c>
      <c r="H115" s="965">
        <v>2020</v>
      </c>
      <c r="I115" s="965">
        <v>2025</v>
      </c>
      <c r="J115" s="965">
        <v>2030</v>
      </c>
      <c r="K115" s="965">
        <v>2035</v>
      </c>
      <c r="L115" s="965">
        <v>2040</v>
      </c>
      <c r="M115" s="965">
        <v>2045</v>
      </c>
      <c r="N115" s="965">
        <v>2050</v>
      </c>
      <c r="O115" s="67"/>
      <c r="P115" s="1167"/>
      <c r="Q115" s="1068"/>
    </row>
    <row r="116" spans="2:17" hidden="1">
      <c r="B116" s="105"/>
      <c r="C116" s="967" t="s">
        <v>719</v>
      </c>
      <c r="D116" s="1070"/>
      <c r="E116" s="957">
        <v>0</v>
      </c>
      <c r="F116" s="1071">
        <v>997.68</v>
      </c>
      <c r="G116" s="1071">
        <v>997.68</v>
      </c>
      <c r="H116" s="1071">
        <v>997.68</v>
      </c>
      <c r="I116" s="1071">
        <v>997.68</v>
      </c>
      <c r="J116" s="1071">
        <v>997.68</v>
      </c>
      <c r="K116" s="1071">
        <v>997.68</v>
      </c>
      <c r="L116" s="1071">
        <v>997.68</v>
      </c>
      <c r="M116" s="1071">
        <v>997.68</v>
      </c>
      <c r="N116" s="1071">
        <v>997.68</v>
      </c>
      <c r="O116" s="67"/>
      <c r="P116" s="1074"/>
      <c r="Q116" s="1068"/>
    </row>
    <row r="117" spans="2:17" hidden="1">
      <c r="B117" s="105"/>
      <c r="C117" s="943" t="s">
        <v>720</v>
      </c>
      <c r="D117" s="915"/>
      <c r="E117" s="944">
        <v>0</v>
      </c>
      <c r="F117" s="945">
        <v>821.57289400062177</v>
      </c>
      <c r="G117" s="945">
        <v>821.57289400062177</v>
      </c>
      <c r="H117" s="945">
        <v>821.57289400062177</v>
      </c>
      <c r="I117" s="945">
        <v>821.57289400062177</v>
      </c>
      <c r="J117" s="945">
        <v>821.57289400062177</v>
      </c>
      <c r="K117" s="945">
        <v>821.57289400062177</v>
      </c>
      <c r="L117" s="945">
        <v>821.57289400062177</v>
      </c>
      <c r="M117" s="945">
        <v>821.57289400062177</v>
      </c>
      <c r="N117" s="945">
        <v>821.57289400062177</v>
      </c>
      <c r="O117" s="67"/>
      <c r="P117" s="1074"/>
      <c r="Q117" s="1068"/>
    </row>
    <row r="118" spans="2:17" hidden="1">
      <c r="B118" s="105"/>
      <c r="C118" s="947" t="s">
        <v>721</v>
      </c>
      <c r="D118" s="948"/>
      <c r="E118" s="949">
        <v>-5.0640000000000001</v>
      </c>
      <c r="F118" s="950">
        <v>594</v>
      </c>
      <c r="G118" s="950">
        <v>568.67999999999995</v>
      </c>
      <c r="H118" s="950">
        <v>543.3599999999999</v>
      </c>
      <c r="I118" s="950">
        <v>518.03999999999985</v>
      </c>
      <c r="J118" s="950">
        <v>492.71999999999986</v>
      </c>
      <c r="K118" s="950">
        <v>467.39999999999986</v>
      </c>
      <c r="L118" s="950">
        <v>442.07999999999987</v>
      </c>
      <c r="M118" s="950">
        <v>416.75999999999988</v>
      </c>
      <c r="N118" s="950">
        <v>391.44</v>
      </c>
      <c r="O118" s="67"/>
      <c r="P118" s="1074"/>
      <c r="Q118" s="1068"/>
    </row>
    <row r="119" spans="2:17" ht="15.5" hidden="1">
      <c r="B119" s="55"/>
      <c r="C119" s="937"/>
      <c r="D119" s="915"/>
      <c r="E119" s="932"/>
      <c r="F119" s="933"/>
      <c r="G119" s="934"/>
      <c r="H119" s="934"/>
      <c r="I119" s="934"/>
      <c r="J119" s="934"/>
      <c r="K119" s="934"/>
      <c r="L119" s="934"/>
      <c r="M119" s="934"/>
      <c r="N119" s="67"/>
      <c r="O119" s="67"/>
      <c r="P119" s="1074"/>
      <c r="Q119" s="647"/>
    </row>
    <row r="120" spans="2:17" s="6" customFormat="1" hidden="1">
      <c r="B120" s="59"/>
      <c r="C120" s="49" t="s">
        <v>892</v>
      </c>
      <c r="D120" s="915"/>
      <c r="E120" s="932"/>
      <c r="F120" s="933"/>
      <c r="G120" s="934"/>
      <c r="H120" s="934"/>
      <c r="I120" s="934"/>
      <c r="J120" s="934"/>
      <c r="K120" s="934"/>
      <c r="L120" s="934"/>
      <c r="M120" s="934"/>
      <c r="N120" s="935" t="s">
        <v>2744</v>
      </c>
      <c r="O120" s="103"/>
      <c r="P120" s="81"/>
      <c r="Q120" s="647"/>
    </row>
    <row r="121" spans="2:17" s="6" customFormat="1" hidden="1">
      <c r="B121" s="59"/>
      <c r="C121" s="937"/>
      <c r="D121" s="915"/>
      <c r="E121" s="932"/>
      <c r="F121" s="933"/>
      <c r="G121" s="934"/>
      <c r="H121" s="934"/>
      <c r="I121" s="934"/>
      <c r="J121" s="934"/>
      <c r="K121" s="934"/>
      <c r="L121" s="934"/>
      <c r="M121" s="934"/>
      <c r="N121" s="67"/>
      <c r="O121" s="103"/>
      <c r="P121" s="1219"/>
      <c r="Q121" s="1225"/>
    </row>
    <row r="122" spans="2:17" s="6" customFormat="1" hidden="1">
      <c r="B122" s="59"/>
      <c r="C122" s="1170"/>
      <c r="D122" s="1070"/>
      <c r="E122" s="971" t="s">
        <v>159</v>
      </c>
      <c r="F122" s="972">
        <v>2013</v>
      </c>
      <c r="G122" s="965">
        <v>2015</v>
      </c>
      <c r="H122" s="965">
        <v>2020</v>
      </c>
      <c r="I122" s="965">
        <v>2025</v>
      </c>
      <c r="J122" s="965">
        <v>2030</v>
      </c>
      <c r="K122" s="965">
        <v>2035</v>
      </c>
      <c r="L122" s="965">
        <v>2040</v>
      </c>
      <c r="M122" s="965">
        <v>2045</v>
      </c>
      <c r="N122" s="965">
        <v>2050</v>
      </c>
      <c r="O122" s="103"/>
      <c r="P122" s="1219"/>
      <c r="Q122" s="1225"/>
    </row>
    <row r="123" spans="2:17" s="6" customFormat="1" hidden="1">
      <c r="B123" s="59"/>
      <c r="C123" s="967" t="s">
        <v>719</v>
      </c>
      <c r="D123" s="1070"/>
      <c r="E123" s="957">
        <v>0</v>
      </c>
      <c r="F123" s="958">
        <v>10.08</v>
      </c>
      <c r="G123" s="958">
        <v>10.08</v>
      </c>
      <c r="H123" s="958">
        <v>10.08</v>
      </c>
      <c r="I123" s="958">
        <v>10.08</v>
      </c>
      <c r="J123" s="958">
        <v>10.08</v>
      </c>
      <c r="K123" s="958">
        <v>10.08</v>
      </c>
      <c r="L123" s="958">
        <v>10.08</v>
      </c>
      <c r="M123" s="958">
        <v>10.08</v>
      </c>
      <c r="N123" s="958">
        <v>10.08</v>
      </c>
      <c r="O123" s="103"/>
      <c r="P123" s="1219"/>
      <c r="Q123" s="1068"/>
    </row>
    <row r="124" spans="2:17" s="6" customFormat="1" hidden="1">
      <c r="B124" s="59"/>
      <c r="C124" s="943" t="s">
        <v>720</v>
      </c>
      <c r="D124" s="915"/>
      <c r="E124" s="944">
        <v>0</v>
      </c>
      <c r="F124" s="933">
        <v>7.6406589990674538</v>
      </c>
      <c r="G124" s="933">
        <v>7.6406589990674538</v>
      </c>
      <c r="H124" s="933">
        <v>7.6406589990674538</v>
      </c>
      <c r="I124" s="933">
        <v>7.6406589990674538</v>
      </c>
      <c r="J124" s="933">
        <v>7.6406589990674538</v>
      </c>
      <c r="K124" s="933">
        <v>7.6406589990674538</v>
      </c>
      <c r="L124" s="933">
        <v>7.6406589990674538</v>
      </c>
      <c r="M124" s="933">
        <v>7.6406589990674538</v>
      </c>
      <c r="N124" s="933">
        <v>7.6406589990674538</v>
      </c>
      <c r="O124" s="103"/>
      <c r="P124" s="1219"/>
      <c r="Q124" s="1068"/>
    </row>
    <row r="125" spans="2:17" s="6" customFormat="1" hidden="1">
      <c r="B125" s="59"/>
      <c r="C125" s="947" t="s">
        <v>721</v>
      </c>
      <c r="D125" s="948"/>
      <c r="E125" s="949">
        <v>0</v>
      </c>
      <c r="F125" s="960">
        <v>3.12</v>
      </c>
      <c r="G125" s="960">
        <v>3.12</v>
      </c>
      <c r="H125" s="960">
        <v>3.12</v>
      </c>
      <c r="I125" s="960">
        <v>3.12</v>
      </c>
      <c r="J125" s="960">
        <v>3.12</v>
      </c>
      <c r="K125" s="960">
        <v>3.12</v>
      </c>
      <c r="L125" s="960">
        <v>3.12</v>
      </c>
      <c r="M125" s="960">
        <v>3.12</v>
      </c>
      <c r="N125" s="960">
        <v>3.12</v>
      </c>
      <c r="O125" s="103"/>
      <c r="P125" s="1219"/>
      <c r="Q125" s="1068"/>
    </row>
    <row r="126" spans="2:17" s="6" customFormat="1" hidden="1">
      <c r="B126" s="59"/>
      <c r="C126" s="943"/>
      <c r="D126" s="915"/>
      <c r="E126" s="944"/>
      <c r="F126" s="933"/>
      <c r="G126" s="933"/>
      <c r="H126" s="933"/>
      <c r="I126" s="933"/>
      <c r="J126" s="933"/>
      <c r="K126" s="933"/>
      <c r="L126" s="933"/>
      <c r="M126" s="933"/>
      <c r="N126" s="933"/>
      <c r="O126" s="103"/>
      <c r="P126" s="1219"/>
      <c r="Q126" s="1068"/>
    </row>
    <row r="127" spans="2:17" s="6" customFormat="1" hidden="1">
      <c r="B127" s="59"/>
      <c r="C127" s="1226" t="s">
        <v>871</v>
      </c>
      <c r="D127" s="59"/>
      <c r="E127" s="59"/>
      <c r="F127" s="59"/>
      <c r="G127" s="59"/>
      <c r="H127" s="59"/>
      <c r="I127" s="59"/>
      <c r="J127" s="59"/>
      <c r="K127" s="59"/>
      <c r="L127" s="59"/>
      <c r="M127" s="59"/>
      <c r="N127" s="59"/>
      <c r="O127" s="103"/>
      <c r="P127" s="1221"/>
      <c r="Q127" s="1221"/>
    </row>
    <row r="128" spans="2:17" s="6" customFormat="1" hidden="1">
      <c r="B128" s="59"/>
      <c r="C128" s="49" t="s">
        <v>893</v>
      </c>
      <c r="D128" s="915"/>
      <c r="E128" s="932"/>
      <c r="F128" s="933"/>
      <c r="G128" s="934"/>
      <c r="H128" s="934"/>
      <c r="I128" s="934"/>
      <c r="J128" s="934"/>
      <c r="K128" s="934"/>
      <c r="L128" s="934"/>
      <c r="M128" s="934"/>
      <c r="N128" s="935" t="s">
        <v>2743</v>
      </c>
      <c r="O128" s="103"/>
      <c r="P128" s="1227"/>
      <c r="Q128" s="1227"/>
    </row>
    <row r="129" spans="2:17" s="6" customFormat="1" hidden="1">
      <c r="B129" s="59"/>
      <c r="C129" s="937"/>
      <c r="D129" s="915"/>
      <c r="E129" s="932"/>
      <c r="F129" s="933"/>
      <c r="G129" s="934"/>
      <c r="H129" s="934"/>
      <c r="I129" s="934"/>
      <c r="J129" s="934"/>
      <c r="K129" s="934"/>
      <c r="L129" s="934"/>
      <c r="M129" s="934"/>
      <c r="N129" s="67"/>
      <c r="O129" s="103"/>
      <c r="P129" s="1227"/>
      <c r="Q129" s="1227"/>
    </row>
    <row r="130" spans="2:17" s="6" customFormat="1" hidden="1">
      <c r="B130" s="59"/>
      <c r="C130" s="1170"/>
      <c r="D130" s="1070"/>
      <c r="E130" s="954" t="s">
        <v>159</v>
      </c>
      <c r="F130" s="955">
        <v>2013</v>
      </c>
      <c r="G130" s="956">
        <v>2015</v>
      </c>
      <c r="H130" s="956">
        <v>2020</v>
      </c>
      <c r="I130" s="956">
        <v>2025</v>
      </c>
      <c r="J130" s="956">
        <v>2030</v>
      </c>
      <c r="K130" s="956">
        <v>2035</v>
      </c>
      <c r="L130" s="956">
        <v>2040</v>
      </c>
      <c r="M130" s="956">
        <v>2045</v>
      </c>
      <c r="N130" s="956">
        <v>2050</v>
      </c>
      <c r="O130" s="103"/>
      <c r="P130" s="1227"/>
      <c r="Q130" s="1227"/>
    </row>
    <row r="131" spans="2:17" s="6" customFormat="1" hidden="1">
      <c r="B131" s="59"/>
      <c r="C131" s="967" t="s">
        <v>719</v>
      </c>
      <c r="D131" s="1070"/>
      <c r="E131" s="944">
        <v>0</v>
      </c>
      <c r="F131" s="945">
        <v>14.166</v>
      </c>
      <c r="G131" s="945">
        <v>14.166</v>
      </c>
      <c r="H131" s="945">
        <v>14.166</v>
      </c>
      <c r="I131" s="945">
        <v>14.166</v>
      </c>
      <c r="J131" s="945">
        <v>14.166</v>
      </c>
      <c r="K131" s="945">
        <v>14.166</v>
      </c>
      <c r="L131" s="945">
        <v>14.166</v>
      </c>
      <c r="M131" s="945">
        <v>14.166</v>
      </c>
      <c r="N131" s="945">
        <v>14.166</v>
      </c>
      <c r="O131" s="103"/>
      <c r="P131" s="1227"/>
      <c r="Q131" s="1227"/>
    </row>
    <row r="132" spans="2:17" s="6" customFormat="1" hidden="1">
      <c r="B132" s="59"/>
      <c r="C132" s="943" t="s">
        <v>886</v>
      </c>
      <c r="D132" s="915"/>
      <c r="E132" s="944"/>
      <c r="F132" s="945"/>
      <c r="G132" s="945"/>
      <c r="H132" s="945"/>
      <c r="I132" s="945"/>
      <c r="J132" s="945"/>
      <c r="K132" s="945"/>
      <c r="L132" s="945"/>
      <c r="M132" s="945"/>
      <c r="N132" s="945"/>
      <c r="O132" s="103"/>
      <c r="P132" s="1227"/>
      <c r="Q132" s="1227"/>
    </row>
    <row r="133" spans="2:17" s="6" customFormat="1" hidden="1">
      <c r="B133" s="59"/>
      <c r="C133" s="943" t="s">
        <v>887</v>
      </c>
      <c r="D133" s="915"/>
      <c r="E133" s="944">
        <v>-6.7712138638483063E-2</v>
      </c>
      <c r="F133" s="945">
        <v>8.7020999999999997</v>
      </c>
      <c r="G133" s="945">
        <v>8.3635393068075849</v>
      </c>
      <c r="H133" s="945">
        <v>8.0249786136151702</v>
      </c>
      <c r="I133" s="945">
        <v>7.6864179204227545</v>
      </c>
      <c r="J133" s="945">
        <v>7.3478572272303389</v>
      </c>
      <c r="K133" s="945">
        <v>7.0092965340379232</v>
      </c>
      <c r="L133" s="945">
        <v>6.6707358408455075</v>
      </c>
      <c r="M133" s="945">
        <v>6.3321751476530919</v>
      </c>
      <c r="N133" s="945">
        <v>5.9936144544606771</v>
      </c>
      <c r="O133" s="103"/>
      <c r="P133" s="1227"/>
      <c r="Q133" s="1227"/>
    </row>
    <row r="134" spans="2:17" hidden="1">
      <c r="B134" s="67"/>
      <c r="C134" s="943" t="s">
        <v>888</v>
      </c>
      <c r="D134" s="915"/>
      <c r="E134" s="944"/>
      <c r="F134" s="945"/>
      <c r="G134" s="945"/>
      <c r="H134" s="945"/>
      <c r="I134" s="945"/>
      <c r="J134" s="945"/>
      <c r="K134" s="945"/>
      <c r="L134" s="945"/>
      <c r="M134" s="945"/>
      <c r="N134" s="945"/>
      <c r="O134" s="67"/>
      <c r="P134" s="1068"/>
      <c r="Q134" s="1068"/>
    </row>
    <row r="135" spans="2:17" hidden="1">
      <c r="B135" s="67"/>
      <c r="C135" s="947" t="s">
        <v>721</v>
      </c>
      <c r="D135" s="948"/>
      <c r="E135" s="949">
        <v>-0.10417252098228162</v>
      </c>
      <c r="F135" s="950">
        <v>5.76</v>
      </c>
      <c r="G135" s="950">
        <v>5.2391373950885916</v>
      </c>
      <c r="H135" s="950">
        <v>4.7182747901771833</v>
      </c>
      <c r="I135" s="950">
        <v>4.1974121852657751</v>
      </c>
      <c r="J135" s="950">
        <v>3.6765495803543669</v>
      </c>
      <c r="K135" s="950">
        <v>3.1556869754429586</v>
      </c>
      <c r="L135" s="950">
        <v>2.6348243705315504</v>
      </c>
      <c r="M135" s="950">
        <v>2.1139617656201422</v>
      </c>
      <c r="N135" s="950">
        <v>1.5930991607087348</v>
      </c>
      <c r="O135" s="67"/>
      <c r="P135" s="1068"/>
      <c r="Q135" s="1068"/>
    </row>
    <row r="136" spans="2:17" hidden="1">
      <c r="B136" s="67"/>
      <c r="C136" s="937"/>
      <c r="D136" s="915"/>
      <c r="E136" s="932"/>
      <c r="F136" s="933"/>
      <c r="G136" s="934"/>
      <c r="H136" s="934"/>
      <c r="I136" s="934"/>
      <c r="J136" s="934"/>
      <c r="K136" s="934"/>
      <c r="L136" s="934"/>
      <c r="M136" s="934"/>
      <c r="N136" s="67"/>
      <c r="O136" s="67"/>
      <c r="P136" s="1068"/>
      <c r="Q136" s="1068"/>
    </row>
    <row r="137" spans="2:17" hidden="1">
      <c r="B137" s="105"/>
      <c r="C137" s="49" t="s">
        <v>894</v>
      </c>
      <c r="D137" s="915"/>
      <c r="E137" s="932"/>
      <c r="F137" s="933"/>
      <c r="G137" s="934"/>
      <c r="H137" s="934"/>
      <c r="I137" s="934"/>
      <c r="J137" s="934"/>
      <c r="K137" s="934"/>
      <c r="L137" s="934"/>
      <c r="M137" s="934"/>
      <c r="N137" s="935" t="s">
        <v>2743</v>
      </c>
      <c r="O137" s="67"/>
      <c r="P137" s="1068"/>
      <c r="Q137" s="1068"/>
    </row>
    <row r="138" spans="2:17" hidden="1">
      <c r="B138" s="105"/>
      <c r="C138" s="937"/>
      <c r="D138" s="915"/>
      <c r="E138" s="932"/>
      <c r="F138" s="933"/>
      <c r="G138" s="934"/>
      <c r="H138" s="934"/>
      <c r="I138" s="934"/>
      <c r="J138" s="934"/>
      <c r="K138" s="934"/>
      <c r="L138" s="934"/>
      <c r="M138" s="934"/>
      <c r="N138" s="67"/>
      <c r="O138" s="67"/>
    </row>
    <row r="139" spans="2:17" hidden="1">
      <c r="B139" s="105"/>
      <c r="C139" s="1170"/>
      <c r="D139" s="1070"/>
      <c r="E139" s="971" t="s">
        <v>159</v>
      </c>
      <c r="F139" s="972">
        <v>2013</v>
      </c>
      <c r="G139" s="965">
        <v>2015</v>
      </c>
      <c r="H139" s="965">
        <v>2020</v>
      </c>
      <c r="I139" s="965">
        <v>2025</v>
      </c>
      <c r="J139" s="965">
        <v>2030</v>
      </c>
      <c r="K139" s="965">
        <v>2035</v>
      </c>
      <c r="L139" s="965">
        <v>2040</v>
      </c>
      <c r="M139" s="965">
        <v>2045</v>
      </c>
      <c r="N139" s="965">
        <v>2050</v>
      </c>
      <c r="O139" s="67"/>
    </row>
    <row r="140" spans="2:17" hidden="1">
      <c r="B140" s="105"/>
      <c r="C140" s="967" t="s">
        <v>719</v>
      </c>
      <c r="D140" s="1070"/>
      <c r="E140" s="957">
        <v>0</v>
      </c>
      <c r="F140" s="1071">
        <v>0.28000000000000003</v>
      </c>
      <c r="G140" s="1071">
        <v>0.28000000000000003</v>
      </c>
      <c r="H140" s="1071">
        <v>0.28000000000000003</v>
      </c>
      <c r="I140" s="1071">
        <v>0.28000000000000003</v>
      </c>
      <c r="J140" s="1071">
        <v>0.28000000000000003</v>
      </c>
      <c r="K140" s="1071">
        <v>0.28000000000000003</v>
      </c>
      <c r="L140" s="1071">
        <v>0.28000000000000003</v>
      </c>
      <c r="M140" s="1071">
        <v>0.28000000000000003</v>
      </c>
      <c r="N140" s="1071">
        <v>0.28000000000000003</v>
      </c>
      <c r="O140" s="67"/>
    </row>
    <row r="141" spans="2:17" hidden="1">
      <c r="B141" s="105"/>
      <c r="C141" s="943" t="s">
        <v>886</v>
      </c>
      <c r="D141" s="915"/>
      <c r="E141" s="944"/>
      <c r="F141" s="945"/>
      <c r="G141" s="945"/>
      <c r="H141" s="945"/>
      <c r="I141" s="945"/>
      <c r="J141" s="945"/>
      <c r="K141" s="945"/>
      <c r="L141" s="945"/>
      <c r="M141" s="945"/>
      <c r="N141" s="945"/>
      <c r="O141" s="67"/>
    </row>
    <row r="142" spans="2:17" hidden="1">
      <c r="B142" s="105"/>
      <c r="C142" s="943" t="s">
        <v>887</v>
      </c>
      <c r="D142" s="915"/>
      <c r="E142" s="944">
        <v>0</v>
      </c>
      <c r="F142" s="945">
        <v>0.12659999999999999</v>
      </c>
      <c r="G142" s="945">
        <v>0.12659999999999999</v>
      </c>
      <c r="H142" s="945">
        <v>0.12659999999999999</v>
      </c>
      <c r="I142" s="945">
        <v>0.12659999999999999</v>
      </c>
      <c r="J142" s="945">
        <v>0.12659999999999999</v>
      </c>
      <c r="K142" s="945">
        <v>0.12659999999999999</v>
      </c>
      <c r="L142" s="945">
        <v>0.12659999999999999</v>
      </c>
      <c r="M142" s="945">
        <v>0.12659999999999999</v>
      </c>
      <c r="N142" s="945">
        <v>0.12659999999999999</v>
      </c>
      <c r="O142" s="67"/>
    </row>
    <row r="143" spans="2:17" hidden="1">
      <c r="B143" s="105"/>
      <c r="C143" s="943" t="s">
        <v>888</v>
      </c>
      <c r="D143" s="915"/>
      <c r="E143" s="944"/>
      <c r="F143" s="945"/>
      <c r="G143" s="945"/>
      <c r="H143" s="945"/>
      <c r="I143" s="945"/>
      <c r="J143" s="945"/>
      <c r="K143" s="945"/>
      <c r="L143" s="945"/>
      <c r="M143" s="945"/>
      <c r="N143" s="945"/>
      <c r="O143" s="67"/>
    </row>
    <row r="144" spans="2:17" hidden="1">
      <c r="B144" s="105"/>
      <c r="C144" s="947" t="s">
        <v>721</v>
      </c>
      <c r="D144" s="948"/>
      <c r="E144" s="949">
        <v>0</v>
      </c>
      <c r="F144" s="950">
        <v>4.3999999999999997E-2</v>
      </c>
      <c r="G144" s="950">
        <v>4.3999999999999997E-2</v>
      </c>
      <c r="H144" s="950">
        <v>4.3999999999999997E-2</v>
      </c>
      <c r="I144" s="950">
        <v>4.3999999999999997E-2</v>
      </c>
      <c r="J144" s="950">
        <v>4.3999999999999997E-2</v>
      </c>
      <c r="K144" s="950">
        <v>4.3999999999999997E-2</v>
      </c>
      <c r="L144" s="950">
        <v>4.3999999999999997E-2</v>
      </c>
      <c r="M144" s="950">
        <v>4.3999999999999997E-2</v>
      </c>
      <c r="N144" s="950">
        <v>4.3999999999999997E-2</v>
      </c>
      <c r="O144" s="67"/>
    </row>
    <row r="145" spans="2:17" hidden="1">
      <c r="B145" s="105"/>
      <c r="C145" s="47"/>
      <c r="D145" s="47"/>
      <c r="E145" s="47"/>
      <c r="F145" s="47"/>
      <c r="G145" s="47"/>
      <c r="H145" s="47"/>
      <c r="I145" s="47"/>
      <c r="J145" s="47"/>
      <c r="K145" s="47"/>
      <c r="L145" s="47"/>
      <c r="M145" s="47"/>
      <c r="N145" s="47"/>
      <c r="O145" s="67"/>
    </row>
    <row r="146" spans="2:17" s="39" customFormat="1">
      <c r="B146" s="1177"/>
      <c r="O146" s="1068"/>
    </row>
    <row r="147" spans="2:17" ht="15.5">
      <c r="B147" s="1101" t="s">
        <v>206</v>
      </c>
    </row>
    <row r="148" spans="2:17">
      <c r="B148" s="354">
        <v>1</v>
      </c>
      <c r="C148" t="s">
        <v>895</v>
      </c>
    </row>
    <row r="149" spans="2:17" ht="15.5">
      <c r="B149" s="1101"/>
    </row>
    <row r="150" spans="2:17">
      <c r="B150" t="s">
        <v>896</v>
      </c>
      <c r="F150" s="2">
        <v>2013</v>
      </c>
      <c r="G150" s="2">
        <v>2015</v>
      </c>
      <c r="H150" s="2">
        <v>2020</v>
      </c>
      <c r="I150" s="2">
        <v>2025</v>
      </c>
      <c r="J150" s="2">
        <v>2030</v>
      </c>
      <c r="K150" s="2">
        <v>2035</v>
      </c>
      <c r="L150" s="2">
        <v>2040</v>
      </c>
      <c r="M150" s="2">
        <v>2045</v>
      </c>
      <c r="N150" s="2">
        <v>2050</v>
      </c>
    </row>
    <row r="151" spans="2:17">
      <c r="C151" s="354" t="s">
        <v>852</v>
      </c>
      <c r="E151" s="2473" t="str">
        <f>Preferences.PowerUnits</f>
        <v>GW</v>
      </c>
      <c r="F151" s="357">
        <f t="shared" ref="F151:N151" si="4">F21</f>
        <v>0</v>
      </c>
      <c r="G151" s="1181">
        <f t="shared" si="4"/>
        <v>1.5220700152207001E-3</v>
      </c>
      <c r="H151" s="1181">
        <f t="shared" si="4"/>
        <v>5.0000000000000001E-3</v>
      </c>
      <c r="I151" s="1181">
        <f t="shared" si="4"/>
        <v>5.0000000000000001E-3</v>
      </c>
      <c r="J151" s="1181">
        <f t="shared" si="4"/>
        <v>5.0000000000000001E-3</v>
      </c>
      <c r="K151" s="1181">
        <f t="shared" si="4"/>
        <v>5.0000000000000001E-3</v>
      </c>
      <c r="L151" s="1181">
        <f t="shared" si="4"/>
        <v>5.0000000000000001E-3</v>
      </c>
      <c r="M151" s="357">
        <f t="shared" si="4"/>
        <v>0</v>
      </c>
      <c r="N151" s="357">
        <f t="shared" si="4"/>
        <v>0</v>
      </c>
    </row>
    <row r="152" spans="2:17">
      <c r="B152" s="405" t="s">
        <v>218</v>
      </c>
      <c r="C152" s="405" t="s">
        <v>714</v>
      </c>
      <c r="E152" s="405"/>
      <c r="F152" s="1228">
        <f>F$59</f>
        <v>0.33</v>
      </c>
      <c r="G152" s="1228">
        <f t="shared" ref="G152:N152" si="5">G$59</f>
        <v>0.33</v>
      </c>
      <c r="H152" s="1228">
        <f t="shared" si="5"/>
        <v>0.33</v>
      </c>
      <c r="I152" s="1228">
        <f t="shared" si="5"/>
        <v>0.33</v>
      </c>
      <c r="J152" s="1228">
        <f t="shared" si="5"/>
        <v>0.33</v>
      </c>
      <c r="K152" s="1228">
        <f t="shared" si="5"/>
        <v>0.33</v>
      </c>
      <c r="L152" s="1228">
        <f t="shared" si="5"/>
        <v>0.33</v>
      </c>
      <c r="M152" s="1228">
        <f t="shared" si="5"/>
        <v>0.33</v>
      </c>
      <c r="N152" s="1228">
        <f t="shared" si="5"/>
        <v>0.33</v>
      </c>
    </row>
    <row r="153" spans="2:17">
      <c r="B153" s="405" t="s">
        <v>218</v>
      </c>
      <c r="C153" s="405" t="s">
        <v>874</v>
      </c>
      <c r="E153" s="405"/>
      <c r="F153" s="1228">
        <f>F$70</f>
        <v>0.9</v>
      </c>
      <c r="G153" s="1228">
        <f t="shared" ref="G153:N153" si="6">G$70</f>
        <v>0.9</v>
      </c>
      <c r="H153" s="1228">
        <f t="shared" si="6"/>
        <v>0.9</v>
      </c>
      <c r="I153" s="1228">
        <f t="shared" si="6"/>
        <v>0.9</v>
      </c>
      <c r="J153" s="1228">
        <f t="shared" si="6"/>
        <v>0.9</v>
      </c>
      <c r="K153" s="1228">
        <f t="shared" si="6"/>
        <v>0.9</v>
      </c>
      <c r="L153" s="1228">
        <f t="shared" si="6"/>
        <v>0.9</v>
      </c>
      <c r="M153" s="1228">
        <f t="shared" si="6"/>
        <v>0.9</v>
      </c>
      <c r="N153" s="1228">
        <f t="shared" si="6"/>
        <v>0.9</v>
      </c>
      <c r="P153" s="405"/>
      <c r="Q153" s="405"/>
    </row>
    <row r="154" spans="2:17">
      <c r="B154" s="979" t="s">
        <v>220</v>
      </c>
      <c r="C154" s="354" t="s">
        <v>807</v>
      </c>
      <c r="E154" s="2473"/>
      <c r="F154" s="365">
        <f>F151*F152*F153</f>
        <v>0</v>
      </c>
      <c r="G154" s="365">
        <f t="shared" ref="G154:N154" si="7">G151*G152*G153</f>
        <v>4.520547945205479E-4</v>
      </c>
      <c r="H154" s="1320">
        <f t="shared" si="7"/>
        <v>1.4850000000000002E-3</v>
      </c>
      <c r="I154" s="365">
        <f t="shared" si="7"/>
        <v>1.4850000000000002E-3</v>
      </c>
      <c r="J154" s="365">
        <f t="shared" si="7"/>
        <v>1.4850000000000002E-3</v>
      </c>
      <c r="K154" s="365">
        <f t="shared" si="7"/>
        <v>1.4850000000000002E-3</v>
      </c>
      <c r="L154" s="365">
        <f t="shared" si="7"/>
        <v>1.4850000000000002E-3</v>
      </c>
      <c r="M154" s="365">
        <f t="shared" si="7"/>
        <v>0</v>
      </c>
      <c r="N154" s="365">
        <f t="shared" si="7"/>
        <v>0</v>
      </c>
      <c r="P154" s="1228"/>
      <c r="Q154" s="1228"/>
    </row>
    <row r="155" spans="2:17">
      <c r="B155" s="979"/>
      <c r="C155" s="354"/>
      <c r="E155" s="2473"/>
    </row>
    <row r="156" spans="2:17">
      <c r="C156" s="354" t="s">
        <v>854</v>
      </c>
      <c r="E156" s="2473" t="str">
        <f>Preferences.EnergyUnits</f>
        <v>TWh</v>
      </c>
      <c r="F156" s="2460">
        <f t="shared" ref="F156:N156" si="8">F154*Preferences.Unit.Power*Unit.year/Preferences.Unit.Energy</f>
        <v>0</v>
      </c>
      <c r="G156" s="2460">
        <f t="shared" si="8"/>
        <v>3.9627123287671231E-3</v>
      </c>
      <c r="H156" s="2498">
        <f t="shared" si="8"/>
        <v>1.3017510000000001E-2</v>
      </c>
      <c r="I156" s="2460">
        <f t="shared" si="8"/>
        <v>1.3017510000000001E-2</v>
      </c>
      <c r="J156" s="2460">
        <f t="shared" si="8"/>
        <v>1.3017510000000001E-2</v>
      </c>
      <c r="K156" s="2460">
        <f t="shared" si="8"/>
        <v>1.3017510000000001E-2</v>
      </c>
      <c r="L156" s="2460">
        <f t="shared" si="8"/>
        <v>1.3017510000000001E-2</v>
      </c>
      <c r="M156" s="2460">
        <f t="shared" si="8"/>
        <v>0</v>
      </c>
      <c r="N156" s="2460">
        <f t="shared" si="8"/>
        <v>0</v>
      </c>
    </row>
    <row r="157" spans="2:17">
      <c r="C157" s="354"/>
      <c r="E157" s="2473"/>
      <c r="F157" s="357"/>
      <c r="G157" s="357"/>
      <c r="H157" s="357"/>
      <c r="I157" s="357"/>
      <c r="J157" s="357"/>
      <c r="K157" s="357"/>
      <c r="L157" s="357"/>
      <c r="M157" s="357"/>
      <c r="N157" s="357"/>
    </row>
    <row r="158" spans="2:17">
      <c r="B158" t="s">
        <v>897</v>
      </c>
      <c r="E158" s="2473"/>
      <c r="F158" s="2">
        <v>2013</v>
      </c>
      <c r="G158" s="2">
        <v>2015</v>
      </c>
      <c r="H158" s="2">
        <v>2020</v>
      </c>
      <c r="I158" s="2">
        <v>2025</v>
      </c>
      <c r="J158" s="2">
        <v>2030</v>
      </c>
      <c r="K158" s="2">
        <v>2035</v>
      </c>
      <c r="L158" s="2">
        <v>2040</v>
      </c>
      <c r="M158" s="2">
        <v>2045</v>
      </c>
      <c r="N158" s="2">
        <v>2050</v>
      </c>
    </row>
    <row r="159" spans="2:17">
      <c r="C159" s="354" t="s">
        <v>852</v>
      </c>
      <c r="E159" s="2473" t="str">
        <f>Preferences.PowerUnits</f>
        <v>GW</v>
      </c>
      <c r="F159" s="357">
        <f t="shared" ref="F159:N159" si="9">F30</f>
        <v>0</v>
      </c>
      <c r="G159" s="357">
        <f t="shared" si="9"/>
        <v>0</v>
      </c>
      <c r="H159" s="357">
        <f t="shared" si="9"/>
        <v>0</v>
      </c>
      <c r="I159" s="357">
        <f t="shared" si="9"/>
        <v>0</v>
      </c>
      <c r="J159" s="357">
        <f t="shared" si="9"/>
        <v>0</v>
      </c>
      <c r="K159" s="357">
        <f t="shared" si="9"/>
        <v>0</v>
      </c>
      <c r="L159" s="357">
        <f t="shared" si="9"/>
        <v>0</v>
      </c>
      <c r="M159" s="357">
        <f t="shared" si="9"/>
        <v>0</v>
      </c>
      <c r="N159" s="357">
        <f t="shared" si="9"/>
        <v>0</v>
      </c>
    </row>
    <row r="160" spans="2:17">
      <c r="B160" s="405" t="s">
        <v>218</v>
      </c>
      <c r="C160" s="405" t="s">
        <v>714</v>
      </c>
      <c r="E160" s="405"/>
      <c r="F160" s="1228">
        <f>F$60</f>
        <v>0.4</v>
      </c>
      <c r="G160" s="1228">
        <f t="shared" ref="G160:N160" si="10">G$60</f>
        <v>0.4</v>
      </c>
      <c r="H160" s="1228">
        <f t="shared" si="10"/>
        <v>0.4</v>
      </c>
      <c r="I160" s="1228">
        <f t="shared" si="10"/>
        <v>0.4</v>
      </c>
      <c r="J160" s="1228">
        <f t="shared" si="10"/>
        <v>0.4</v>
      </c>
      <c r="K160" s="1228">
        <f t="shared" si="10"/>
        <v>0.4</v>
      </c>
      <c r="L160" s="1228">
        <f t="shared" si="10"/>
        <v>0.4</v>
      </c>
      <c r="M160" s="1228">
        <f t="shared" si="10"/>
        <v>0.4</v>
      </c>
      <c r="N160" s="1228">
        <f t="shared" si="10"/>
        <v>0.4</v>
      </c>
    </row>
    <row r="161" spans="1:15">
      <c r="B161" s="405" t="s">
        <v>218</v>
      </c>
      <c r="C161" s="405" t="s">
        <v>874</v>
      </c>
      <c r="E161" s="405"/>
      <c r="F161" s="1228">
        <f>F$71</f>
        <v>0.9</v>
      </c>
      <c r="G161" s="1228">
        <f t="shared" ref="G161:N161" si="11">G$71</f>
        <v>0.9</v>
      </c>
      <c r="H161" s="1228">
        <f t="shared" si="11"/>
        <v>0.9</v>
      </c>
      <c r="I161" s="1228">
        <f t="shared" si="11"/>
        <v>0.9</v>
      </c>
      <c r="J161" s="1228">
        <f t="shared" si="11"/>
        <v>0.9</v>
      </c>
      <c r="K161" s="1228">
        <f t="shared" si="11"/>
        <v>0.9</v>
      </c>
      <c r="L161" s="1228">
        <f t="shared" si="11"/>
        <v>0.9</v>
      </c>
      <c r="M161" s="1228">
        <f t="shared" si="11"/>
        <v>0.9</v>
      </c>
      <c r="N161" s="1228">
        <f t="shared" si="11"/>
        <v>0.9</v>
      </c>
    </row>
    <row r="162" spans="1:15">
      <c r="B162" s="979" t="s">
        <v>220</v>
      </c>
      <c r="C162" s="354" t="s">
        <v>807</v>
      </c>
      <c r="E162" s="2473"/>
      <c r="F162" s="365">
        <f>F159*F160*F161</f>
        <v>0</v>
      </c>
      <c r="G162" s="365">
        <f t="shared" ref="G162:N162" si="12">G159*G160*G161</f>
        <v>0</v>
      </c>
      <c r="H162" s="365">
        <f t="shared" si="12"/>
        <v>0</v>
      </c>
      <c r="I162" s="365">
        <f t="shared" si="12"/>
        <v>0</v>
      </c>
      <c r="J162" s="365">
        <f t="shared" si="12"/>
        <v>0</v>
      </c>
      <c r="K162" s="365">
        <f t="shared" si="12"/>
        <v>0</v>
      </c>
      <c r="L162" s="365">
        <f t="shared" si="12"/>
        <v>0</v>
      </c>
      <c r="M162" s="365">
        <f t="shared" si="12"/>
        <v>0</v>
      </c>
      <c r="N162" s="365">
        <f t="shared" si="12"/>
        <v>0</v>
      </c>
    </row>
    <row r="163" spans="1:15">
      <c r="C163" s="354"/>
      <c r="E163" s="2473"/>
      <c r="F163" s="357"/>
      <c r="G163" s="357"/>
      <c r="H163" s="357"/>
      <c r="I163" s="357"/>
      <c r="J163" s="357"/>
      <c r="K163" s="357"/>
      <c r="L163" s="357"/>
      <c r="M163" s="357"/>
      <c r="N163" s="357"/>
    </row>
    <row r="164" spans="1:15">
      <c r="C164" s="354" t="s">
        <v>854</v>
      </c>
      <c r="E164" s="2473" t="str">
        <f>Preferences.EnergyUnits</f>
        <v>TWh</v>
      </c>
      <c r="F164" s="357">
        <f t="shared" ref="F164:N164" si="13">F162*Preferences.Unit.Power*Unit.year/Preferences.Unit.Energy</f>
        <v>0</v>
      </c>
      <c r="G164" s="357">
        <f t="shared" si="13"/>
        <v>0</v>
      </c>
      <c r="H164" s="357">
        <f t="shared" si="13"/>
        <v>0</v>
      </c>
      <c r="I164" s="357">
        <f t="shared" si="13"/>
        <v>0</v>
      </c>
      <c r="J164" s="357">
        <f t="shared" si="13"/>
        <v>0</v>
      </c>
      <c r="K164" s="357">
        <f t="shared" si="13"/>
        <v>0</v>
      </c>
      <c r="L164" s="357">
        <f t="shared" si="13"/>
        <v>0</v>
      </c>
      <c r="M164" s="357">
        <f t="shared" si="13"/>
        <v>0</v>
      </c>
      <c r="N164" s="357">
        <f t="shared" si="13"/>
        <v>0</v>
      </c>
    </row>
    <row r="165" spans="1:15">
      <c r="B165" s="354"/>
      <c r="C165" s="354"/>
      <c r="E165" s="2473"/>
      <c r="F165" s="357"/>
    </row>
    <row r="166" spans="1:15">
      <c r="B166" t="s">
        <v>898</v>
      </c>
      <c r="E166" s="2473"/>
      <c r="F166" s="2">
        <v>2013</v>
      </c>
      <c r="G166" s="2">
        <v>2015</v>
      </c>
      <c r="H166" s="2">
        <v>2020</v>
      </c>
      <c r="I166" s="2">
        <v>2025</v>
      </c>
      <c r="J166" s="2">
        <v>2030</v>
      </c>
      <c r="K166" s="2">
        <v>2035</v>
      </c>
      <c r="L166" s="2">
        <v>2040</v>
      </c>
      <c r="M166" s="2">
        <v>2045</v>
      </c>
      <c r="N166" s="2">
        <v>2050</v>
      </c>
    </row>
    <row r="167" spans="1:15">
      <c r="C167" s="354" t="s">
        <v>852</v>
      </c>
      <c r="E167" s="2473" t="str">
        <f>Preferences.PowerUnits</f>
        <v>GW</v>
      </c>
      <c r="F167" s="357">
        <f t="shared" ref="F167:N167" si="14">F39</f>
        <v>0</v>
      </c>
      <c r="G167" s="357">
        <f t="shared" si="14"/>
        <v>0</v>
      </c>
      <c r="H167" s="357">
        <f t="shared" si="14"/>
        <v>0</v>
      </c>
      <c r="I167" s="357">
        <f t="shared" si="14"/>
        <v>0</v>
      </c>
      <c r="J167" s="357">
        <f t="shared" si="14"/>
        <v>0</v>
      </c>
      <c r="K167" s="357">
        <f t="shared" si="14"/>
        <v>0</v>
      </c>
      <c r="L167" s="357">
        <f t="shared" si="14"/>
        <v>0</v>
      </c>
      <c r="M167" s="357">
        <f t="shared" si="14"/>
        <v>0</v>
      </c>
      <c r="N167" s="357">
        <f t="shared" si="14"/>
        <v>0</v>
      </c>
    </row>
    <row r="168" spans="1:15">
      <c r="A168" s="405"/>
      <c r="B168" s="405" t="s">
        <v>218</v>
      </c>
      <c r="C168" s="405" t="s">
        <v>714</v>
      </c>
      <c r="D168" s="405"/>
      <c r="E168" s="405"/>
      <c r="F168" s="1228">
        <f t="shared" ref="F168:N168" si="15">(F48*F$61)+((1-F48)*F$62)</f>
        <v>0</v>
      </c>
      <c r="G168" s="1228">
        <f t="shared" si="15"/>
        <v>0.19</v>
      </c>
      <c r="H168" s="1228">
        <f t="shared" si="15"/>
        <v>0.19</v>
      </c>
      <c r="I168" s="1228">
        <f t="shared" si="15"/>
        <v>0.19</v>
      </c>
      <c r="J168" s="1228">
        <f t="shared" si="15"/>
        <v>0.19</v>
      </c>
      <c r="K168" s="1228">
        <f t="shared" si="15"/>
        <v>0.19</v>
      </c>
      <c r="L168" s="1228">
        <f t="shared" si="15"/>
        <v>0.19</v>
      </c>
      <c r="M168" s="1228">
        <f t="shared" si="15"/>
        <v>0.19</v>
      </c>
      <c r="N168" s="1228">
        <f t="shared" si="15"/>
        <v>0.19</v>
      </c>
      <c r="O168" s="405"/>
    </row>
    <row r="169" spans="1:15">
      <c r="A169" s="405"/>
      <c r="B169" s="405" t="s">
        <v>218</v>
      </c>
      <c r="C169" s="405" t="s">
        <v>874</v>
      </c>
      <c r="D169" s="405"/>
      <c r="E169" s="405"/>
      <c r="F169" s="1228">
        <f>F$72</f>
        <v>0.95</v>
      </c>
      <c r="G169" s="1228">
        <f t="shared" ref="G169:M169" si="16">G$72</f>
        <v>0.95</v>
      </c>
      <c r="H169" s="1228">
        <f t="shared" si="16"/>
        <v>0.95</v>
      </c>
      <c r="I169" s="1228">
        <f t="shared" si="16"/>
        <v>0.95</v>
      </c>
      <c r="J169" s="1228">
        <f t="shared" si="16"/>
        <v>0.95</v>
      </c>
      <c r="K169" s="1228">
        <f t="shared" si="16"/>
        <v>0.95</v>
      </c>
      <c r="L169" s="1228">
        <f t="shared" si="16"/>
        <v>0.95</v>
      </c>
      <c r="M169" s="1228">
        <f t="shared" si="16"/>
        <v>0.95</v>
      </c>
      <c r="N169" s="1228">
        <v>0.95</v>
      </c>
      <c r="O169" s="1228"/>
    </row>
    <row r="170" spans="1:15">
      <c r="B170" s="979" t="s">
        <v>220</v>
      </c>
      <c r="C170" s="354" t="s">
        <v>853</v>
      </c>
      <c r="E170" s="2473"/>
      <c r="F170" s="357">
        <f>F167*F168*F169</f>
        <v>0</v>
      </c>
      <c r="G170" s="357">
        <f t="shared" ref="G170:N170" si="17">G167*G168*G169</f>
        <v>0</v>
      </c>
      <c r="H170" s="357">
        <f t="shared" si="17"/>
        <v>0</v>
      </c>
      <c r="I170" s="357">
        <f t="shared" si="17"/>
        <v>0</v>
      </c>
      <c r="J170" s="357">
        <f t="shared" si="17"/>
        <v>0</v>
      </c>
      <c r="K170" s="357">
        <f t="shared" si="17"/>
        <v>0</v>
      </c>
      <c r="L170" s="357">
        <f t="shared" si="17"/>
        <v>0</v>
      </c>
      <c r="M170" s="357">
        <f t="shared" si="17"/>
        <v>0</v>
      </c>
      <c r="N170" s="357">
        <f t="shared" si="17"/>
        <v>0</v>
      </c>
    </row>
    <row r="171" spans="1:15">
      <c r="B171" s="979"/>
      <c r="C171" s="354"/>
      <c r="E171" s="2473"/>
      <c r="F171" s="357"/>
      <c r="G171" s="357"/>
      <c r="H171" s="357"/>
      <c r="I171" s="357"/>
      <c r="J171" s="357"/>
      <c r="K171" s="357"/>
      <c r="L171" s="357"/>
      <c r="M171" s="357"/>
      <c r="N171" s="357"/>
    </row>
    <row r="172" spans="1:15">
      <c r="C172" s="354" t="s">
        <v>854</v>
      </c>
      <c r="E172" s="2473" t="str">
        <f>Preferences.EnergyUnits</f>
        <v>TWh</v>
      </c>
      <c r="F172" s="357">
        <f t="shared" ref="F172:N172" si="18">F170*Preferences.Unit.Power*Unit.year/Preferences.Unit.Energy</f>
        <v>0</v>
      </c>
      <c r="G172" s="357">
        <f t="shared" si="18"/>
        <v>0</v>
      </c>
      <c r="H172" s="357">
        <f t="shared" si="18"/>
        <v>0</v>
      </c>
      <c r="I172" s="357">
        <f t="shared" si="18"/>
        <v>0</v>
      </c>
      <c r="J172" s="357">
        <f t="shared" si="18"/>
        <v>0</v>
      </c>
      <c r="K172" s="357">
        <f t="shared" si="18"/>
        <v>0</v>
      </c>
      <c r="L172" s="357">
        <f t="shared" si="18"/>
        <v>0</v>
      </c>
      <c r="M172" s="357">
        <f t="shared" si="18"/>
        <v>0</v>
      </c>
      <c r="N172" s="1229">
        <f t="shared" si="18"/>
        <v>0</v>
      </c>
    </row>
    <row r="173" spans="1:15">
      <c r="C173" s="354"/>
      <c r="E173" s="2473"/>
      <c r="F173" s="357"/>
      <c r="G173" s="357"/>
      <c r="H173" s="357"/>
      <c r="I173" s="357"/>
      <c r="J173" s="357"/>
      <c r="K173" s="357"/>
      <c r="L173" s="357"/>
      <c r="M173" s="357"/>
      <c r="N173" s="357"/>
    </row>
    <row r="174" spans="1:15">
      <c r="B174" t="s">
        <v>738</v>
      </c>
      <c r="C174" s="354"/>
      <c r="E174" s="2473"/>
      <c r="F174" s="357"/>
      <c r="G174" s="357"/>
      <c r="H174" s="357"/>
      <c r="I174" s="357"/>
      <c r="J174" s="357"/>
      <c r="K174" s="357"/>
      <c r="L174" s="357"/>
      <c r="M174" s="357"/>
      <c r="N174" s="357"/>
    </row>
    <row r="175" spans="1:15">
      <c r="C175" t="s">
        <v>899</v>
      </c>
      <c r="E175" s="2473"/>
      <c r="F175" s="1230">
        <v>2013</v>
      </c>
      <c r="G175" s="1230">
        <v>2015</v>
      </c>
      <c r="H175" s="1230">
        <v>2020</v>
      </c>
      <c r="I175" s="1230">
        <v>2025</v>
      </c>
      <c r="J175" s="1230">
        <v>2030</v>
      </c>
      <c r="K175" s="1230">
        <v>2035</v>
      </c>
      <c r="L175" s="1230">
        <v>2040</v>
      </c>
      <c r="M175" s="1230">
        <v>2045</v>
      </c>
      <c r="N175" s="1230">
        <v>2050</v>
      </c>
    </row>
    <row r="176" spans="1:15">
      <c r="E176" s="2473"/>
    </row>
    <row r="177" spans="1:16347">
      <c r="C177" t="s">
        <v>900</v>
      </c>
      <c r="E177" s="2473" t="s">
        <v>741</v>
      </c>
      <c r="F177" s="984">
        <f>F151/$F$77</f>
        <v>0</v>
      </c>
      <c r="G177" s="984">
        <f t="shared" ref="G177:N177" si="19">G151/$F$77</f>
        <v>1.0147133434804667</v>
      </c>
      <c r="H177" s="984">
        <f t="shared" si="19"/>
        <v>3.3333333333333335</v>
      </c>
      <c r="I177" s="984">
        <f t="shared" si="19"/>
        <v>3.3333333333333335</v>
      </c>
      <c r="J177" s="984">
        <f t="shared" si="19"/>
        <v>3.3333333333333335</v>
      </c>
      <c r="K177" s="984">
        <f t="shared" si="19"/>
        <v>3.3333333333333335</v>
      </c>
      <c r="L177" s="984">
        <f t="shared" si="19"/>
        <v>3.3333333333333335</v>
      </c>
      <c r="M177" s="984">
        <f t="shared" si="19"/>
        <v>0</v>
      </c>
      <c r="N177" s="984">
        <f t="shared" si="19"/>
        <v>0</v>
      </c>
    </row>
    <row r="178" spans="1:16347">
      <c r="C178" t="s">
        <v>901</v>
      </c>
      <c r="E178" s="2473" t="s">
        <v>902</v>
      </c>
      <c r="F178" s="984">
        <f>F156/$F$78</f>
        <v>0</v>
      </c>
      <c r="G178" s="984">
        <f t="shared" ref="G178:N178" si="20">G156/$F$78</f>
        <v>2.6435952895938475E-2</v>
      </c>
      <c r="H178" s="984">
        <f t="shared" si="20"/>
        <v>8.6842105263157901E-2</v>
      </c>
      <c r="I178" s="984">
        <f t="shared" si="20"/>
        <v>8.6842105263157901E-2</v>
      </c>
      <c r="J178" s="984">
        <f t="shared" si="20"/>
        <v>8.6842105263157901E-2</v>
      </c>
      <c r="K178" s="984">
        <f t="shared" si="20"/>
        <v>8.6842105263157901E-2</v>
      </c>
      <c r="L178" s="984">
        <f t="shared" si="20"/>
        <v>8.6842105263157901E-2</v>
      </c>
      <c r="M178" s="984">
        <f t="shared" si="20"/>
        <v>0</v>
      </c>
      <c r="N178" s="983">
        <f t="shared" si="20"/>
        <v>0</v>
      </c>
    </row>
    <row r="179" spans="1:16347">
      <c r="C179" t="s">
        <v>819</v>
      </c>
      <c r="E179" s="2473"/>
      <c r="F179" s="984"/>
      <c r="G179" s="984"/>
      <c r="H179" s="984"/>
      <c r="I179" s="984"/>
      <c r="J179" s="984"/>
      <c r="K179" s="984"/>
      <c r="L179" s="984">
        <f>G177</f>
        <v>1.0147133434804667</v>
      </c>
      <c r="M179" s="984">
        <f>H177</f>
        <v>3.3333333333333335</v>
      </c>
      <c r="N179" s="984">
        <f>I177</f>
        <v>3.3333333333333335</v>
      </c>
    </row>
    <row r="180" spans="1:16347">
      <c r="C180" t="s">
        <v>903</v>
      </c>
      <c r="E180" s="2473" t="s">
        <v>904</v>
      </c>
      <c r="F180" s="984"/>
      <c r="G180" s="984">
        <f t="shared" ref="G180:N180" si="21">IF((G177-F177+G179)/(G$69-F$69)&gt;0,(G177-F177+G179)/(G$69-F$69),0)</f>
        <v>0.50735667174023336</v>
      </c>
      <c r="H180" s="984">
        <f t="shared" si="21"/>
        <v>0.46372399797057334</v>
      </c>
      <c r="I180" s="984">
        <f t="shared" si="21"/>
        <v>0</v>
      </c>
      <c r="J180" s="984">
        <f t="shared" si="21"/>
        <v>0</v>
      </c>
      <c r="K180" s="984">
        <f t="shared" si="21"/>
        <v>0</v>
      </c>
      <c r="L180" s="984">
        <f t="shared" si="21"/>
        <v>0.20294266869609334</v>
      </c>
      <c r="M180" s="984">
        <f t="shared" si="21"/>
        <v>0</v>
      </c>
      <c r="N180" s="984">
        <f t="shared" si="21"/>
        <v>0.66666666666666674</v>
      </c>
    </row>
    <row r="181" spans="1:16347">
      <c r="E181" s="2473"/>
      <c r="F181" s="984"/>
      <c r="G181" s="984"/>
      <c r="H181" s="984"/>
      <c r="I181" s="984"/>
      <c r="J181" s="984"/>
      <c r="K181" s="984"/>
      <c r="L181" s="984"/>
      <c r="M181" s="984"/>
      <c r="N181" s="984"/>
    </row>
    <row r="182" spans="1:16347">
      <c r="C182" t="s">
        <v>905</v>
      </c>
      <c r="E182" s="2473"/>
      <c r="F182" s="984"/>
      <c r="G182" s="984"/>
      <c r="H182" s="984"/>
      <c r="I182" s="984"/>
      <c r="J182" s="984"/>
      <c r="K182" s="984"/>
      <c r="L182" s="984"/>
      <c r="M182" s="984"/>
      <c r="N182" s="984"/>
    </row>
    <row r="183" spans="1:16347">
      <c r="C183" t="s">
        <v>906</v>
      </c>
      <c r="E183" s="2473" t="s">
        <v>741</v>
      </c>
      <c r="F183" s="984">
        <f t="shared" ref="F183:N183" si="22">F159/$F$81</f>
        <v>0</v>
      </c>
      <c r="G183" s="984">
        <f t="shared" si="22"/>
        <v>0</v>
      </c>
      <c r="H183" s="984">
        <f t="shared" si="22"/>
        <v>0</v>
      </c>
      <c r="I183" s="984">
        <f t="shared" si="22"/>
        <v>0</v>
      </c>
      <c r="J183" s="984">
        <f t="shared" si="22"/>
        <v>0</v>
      </c>
      <c r="K183" s="984">
        <f t="shared" si="22"/>
        <v>0</v>
      </c>
      <c r="L183" s="984">
        <f t="shared" si="22"/>
        <v>0</v>
      </c>
      <c r="M183" s="984">
        <f t="shared" si="22"/>
        <v>0</v>
      </c>
      <c r="N183" s="984">
        <f t="shared" si="22"/>
        <v>0</v>
      </c>
    </row>
    <row r="184" spans="1:16347">
      <c r="C184" t="s">
        <v>907</v>
      </c>
      <c r="E184" s="2473" t="str">
        <f>Preferences.AreaUnits</f>
        <v>km^2</v>
      </c>
      <c r="F184" s="984">
        <f t="shared" ref="F184:N184" si="23">F159/$F$82</f>
        <v>0</v>
      </c>
      <c r="G184" s="984">
        <f t="shared" si="23"/>
        <v>0</v>
      </c>
      <c r="H184" s="984">
        <f t="shared" si="23"/>
        <v>0</v>
      </c>
      <c r="I184" s="984">
        <f t="shared" si="23"/>
        <v>0</v>
      </c>
      <c r="J184" s="984">
        <f t="shared" si="23"/>
        <v>0</v>
      </c>
      <c r="K184" s="984">
        <f t="shared" si="23"/>
        <v>0</v>
      </c>
      <c r="L184" s="984">
        <f t="shared" si="23"/>
        <v>0</v>
      </c>
      <c r="M184" s="984">
        <f t="shared" si="23"/>
        <v>0</v>
      </c>
      <c r="N184" s="984">
        <f t="shared" si="23"/>
        <v>0</v>
      </c>
    </row>
    <row r="185" spans="1:16347">
      <c r="C185" t="s">
        <v>819</v>
      </c>
      <c r="E185" s="2473"/>
      <c r="F185" s="984"/>
      <c r="G185" s="984"/>
      <c r="H185" s="984"/>
      <c r="I185" s="984"/>
      <c r="J185" s="984"/>
      <c r="K185" s="984">
        <f>F183</f>
        <v>0</v>
      </c>
      <c r="L185" s="984">
        <f>G183</f>
        <v>0</v>
      </c>
      <c r="M185" s="984">
        <f>H183</f>
        <v>0</v>
      </c>
      <c r="N185" s="984">
        <f>I183</f>
        <v>0</v>
      </c>
    </row>
    <row r="186" spans="1:16347" s="405" customFormat="1">
      <c r="A186"/>
      <c r="B186"/>
      <c r="C186" t="s">
        <v>903</v>
      </c>
      <c r="D186"/>
      <c r="E186" s="2473"/>
      <c r="F186" s="984"/>
      <c r="G186" s="984">
        <f t="shared" ref="G186:N186" si="24">IF((G183-F183+G185)/(G$69-F$69)&gt;0,(G183-F183+G185)/(G$69-F$69),0)</f>
        <v>0</v>
      </c>
      <c r="H186" s="984">
        <f t="shared" si="24"/>
        <v>0</v>
      </c>
      <c r="I186" s="984">
        <f t="shared" si="24"/>
        <v>0</v>
      </c>
      <c r="J186" s="984">
        <f t="shared" si="24"/>
        <v>0</v>
      </c>
      <c r="K186" s="984">
        <f t="shared" si="24"/>
        <v>0</v>
      </c>
      <c r="L186" s="984">
        <f t="shared" si="24"/>
        <v>0</v>
      </c>
      <c r="M186" s="984">
        <f t="shared" si="24"/>
        <v>0</v>
      </c>
      <c r="N186" s="984">
        <f t="shared" si="24"/>
        <v>0</v>
      </c>
      <c r="O186"/>
      <c r="P186"/>
      <c r="Q186"/>
    </row>
    <row r="187" spans="1:16347" s="405" customFormat="1">
      <c r="A187"/>
      <c r="B187"/>
      <c r="C187" s="354"/>
      <c r="D187"/>
      <c r="E187" s="2473"/>
      <c r="F187" s="357"/>
      <c r="G187" s="357" t="s">
        <v>5</v>
      </c>
      <c r="H187" s="357"/>
      <c r="I187" s="357"/>
      <c r="J187" s="357"/>
      <c r="K187" s="357" t="s">
        <v>5</v>
      </c>
      <c r="L187" s="357"/>
      <c r="M187" s="357"/>
      <c r="N187" s="357"/>
      <c r="O187"/>
      <c r="P187"/>
      <c r="Q187"/>
      <c r="R187" s="1228"/>
      <c r="S187" s="1228"/>
      <c r="T187" s="1228"/>
      <c r="U187" s="1228"/>
      <c r="V187" s="1228"/>
      <c r="W187" s="1228"/>
      <c r="X187" s="1228"/>
      <c r="Y187" s="1228"/>
      <c r="Z187" s="1228"/>
      <c r="AA187" s="1228"/>
      <c r="AB187" s="1228"/>
      <c r="AC187" s="1228"/>
      <c r="AD187" s="1228"/>
      <c r="AE187" s="1228"/>
      <c r="AF187" s="1228"/>
      <c r="AG187" s="1228"/>
      <c r="AH187" s="1228"/>
      <c r="AI187" s="1228"/>
      <c r="AJ187" s="1228"/>
      <c r="AK187" s="1228"/>
      <c r="AL187" s="1228"/>
      <c r="AM187" s="1228"/>
      <c r="AN187" s="1228"/>
      <c r="AO187" s="1228"/>
      <c r="AP187" s="1228"/>
      <c r="AQ187" s="1228"/>
      <c r="AR187" s="1228"/>
      <c r="AS187" s="1228"/>
      <c r="AT187" s="1228"/>
      <c r="AU187" s="1228"/>
      <c r="AV187" s="1228"/>
      <c r="AW187" s="1228"/>
      <c r="AX187" s="1228"/>
      <c r="AY187" s="1228"/>
      <c r="AZ187" s="1228"/>
      <c r="BA187" s="1228"/>
      <c r="BB187" s="1228"/>
      <c r="BC187" s="1228"/>
      <c r="BD187" s="1228"/>
      <c r="BE187" s="1228"/>
      <c r="BF187" s="1228"/>
      <c r="BG187" s="1228"/>
      <c r="BH187" s="1228"/>
      <c r="BI187" s="1228"/>
      <c r="BJ187" s="1228"/>
      <c r="BK187" s="1228"/>
      <c r="BL187" s="1228"/>
      <c r="BM187" s="1228"/>
      <c r="BN187" s="1228"/>
      <c r="BO187" s="1228"/>
      <c r="BP187" s="1228"/>
      <c r="BQ187" s="1228"/>
      <c r="BR187" s="1228"/>
      <c r="BS187" s="1228"/>
      <c r="BT187" s="1228"/>
      <c r="BU187" s="1228"/>
      <c r="BV187" s="1228"/>
      <c r="BW187" s="1228"/>
      <c r="BX187" s="1228"/>
      <c r="BY187" s="1228"/>
      <c r="BZ187" s="1228"/>
      <c r="CA187" s="1228"/>
      <c r="CB187" s="1228"/>
      <c r="CC187" s="1228"/>
      <c r="CD187" s="1228"/>
      <c r="CE187" s="1228"/>
      <c r="CF187" s="1228"/>
      <c r="CG187" s="1228"/>
      <c r="CH187" s="1228"/>
      <c r="CI187" s="1228"/>
      <c r="CJ187" s="1228"/>
      <c r="CK187" s="1228"/>
      <c r="CL187" s="1228"/>
      <c r="CM187" s="1228"/>
      <c r="CN187" s="1228"/>
      <c r="CO187" s="1228"/>
      <c r="CP187" s="1228"/>
      <c r="CQ187" s="1228"/>
      <c r="CR187" s="1228"/>
      <c r="CS187" s="1228"/>
      <c r="CT187" s="1228"/>
      <c r="CU187" s="1228"/>
      <c r="CV187" s="1228"/>
      <c r="CW187" s="1228"/>
      <c r="CX187" s="1228"/>
      <c r="CY187" s="1228"/>
      <c r="CZ187" s="1228"/>
      <c r="DA187" s="1228"/>
      <c r="DB187" s="1228"/>
      <c r="DC187" s="1228"/>
      <c r="DD187" s="1228"/>
      <c r="DE187" s="1228"/>
      <c r="DF187" s="1228"/>
      <c r="DG187" s="1228"/>
      <c r="DH187" s="1228"/>
      <c r="DI187" s="1228"/>
      <c r="DJ187" s="1228"/>
      <c r="DK187" s="1228"/>
      <c r="DL187" s="1228"/>
      <c r="DM187" s="1228"/>
      <c r="DN187" s="1228"/>
      <c r="DO187" s="1228"/>
      <c r="DP187" s="1228"/>
      <c r="DQ187" s="1228"/>
      <c r="DR187" s="1228"/>
      <c r="DS187" s="1228"/>
      <c r="DT187" s="1228"/>
      <c r="DU187" s="1228"/>
      <c r="DV187" s="1228"/>
      <c r="DW187" s="1228"/>
      <c r="DX187" s="1228"/>
      <c r="DY187" s="1228"/>
      <c r="DZ187" s="1228"/>
      <c r="EA187" s="1228"/>
      <c r="EB187" s="1228"/>
      <c r="EC187" s="1228"/>
      <c r="ED187" s="1228"/>
      <c r="EE187" s="1228"/>
      <c r="EF187" s="1228"/>
      <c r="EG187" s="1228"/>
      <c r="EH187" s="1228"/>
      <c r="EI187" s="1228"/>
      <c r="EJ187" s="1228"/>
      <c r="EK187" s="1228"/>
      <c r="EL187" s="1228"/>
      <c r="EM187" s="1228"/>
      <c r="EN187" s="1228"/>
      <c r="EO187" s="1228"/>
      <c r="EP187" s="1228"/>
      <c r="EQ187" s="1228"/>
      <c r="ER187" s="1228"/>
      <c r="ES187" s="1228"/>
      <c r="ET187" s="1228"/>
      <c r="EU187" s="1228"/>
      <c r="EV187" s="1228"/>
      <c r="EW187" s="1228"/>
      <c r="EX187" s="1228"/>
      <c r="EY187" s="1228"/>
      <c r="EZ187" s="1228"/>
      <c r="FA187" s="1228"/>
      <c r="FB187" s="1228"/>
      <c r="FC187" s="1228"/>
      <c r="FD187" s="1228"/>
      <c r="FE187" s="1228"/>
      <c r="FF187" s="1228"/>
      <c r="FG187" s="1228"/>
      <c r="FH187" s="1228"/>
      <c r="FI187" s="1228"/>
      <c r="FJ187" s="1228"/>
      <c r="FK187" s="1228"/>
      <c r="FL187" s="1228"/>
      <c r="FM187" s="1228"/>
      <c r="FN187" s="1228"/>
      <c r="FO187" s="1228"/>
      <c r="FP187" s="1228"/>
      <c r="FQ187" s="1228"/>
      <c r="FR187" s="1228"/>
      <c r="FS187" s="1228"/>
      <c r="FT187" s="1228"/>
      <c r="FU187" s="1228"/>
      <c r="FV187" s="1228"/>
      <c r="FW187" s="1228"/>
      <c r="FX187" s="1228"/>
      <c r="FY187" s="1228"/>
      <c r="FZ187" s="1228"/>
      <c r="GA187" s="1228"/>
      <c r="GB187" s="1228"/>
      <c r="GC187" s="1228"/>
      <c r="GD187" s="1228"/>
      <c r="GE187" s="1228"/>
      <c r="GF187" s="1228"/>
      <c r="GG187" s="1228"/>
      <c r="GH187" s="1228"/>
      <c r="GI187" s="1228"/>
      <c r="GJ187" s="1228"/>
      <c r="GK187" s="1228"/>
      <c r="GL187" s="1228"/>
      <c r="GM187" s="1228"/>
      <c r="GN187" s="1228"/>
      <c r="GO187" s="1228"/>
      <c r="GP187" s="1228"/>
      <c r="GQ187" s="1228"/>
      <c r="GR187" s="1228"/>
      <c r="GS187" s="1228"/>
      <c r="GT187" s="1228"/>
      <c r="GU187" s="1228"/>
      <c r="GV187" s="1228"/>
      <c r="GW187" s="1228"/>
      <c r="GX187" s="1228"/>
      <c r="GY187" s="1228"/>
      <c r="GZ187" s="1228"/>
      <c r="HA187" s="1228"/>
      <c r="HB187" s="1228"/>
      <c r="HC187" s="1228"/>
      <c r="HD187" s="1228"/>
      <c r="HE187" s="1228"/>
      <c r="HF187" s="1228"/>
      <c r="HG187" s="1228"/>
      <c r="HH187" s="1228"/>
      <c r="HI187" s="1228"/>
      <c r="HJ187" s="1228"/>
      <c r="HK187" s="1228"/>
      <c r="HL187" s="1228"/>
      <c r="HM187" s="1228"/>
      <c r="HN187" s="1228"/>
      <c r="HO187" s="1228"/>
      <c r="HP187" s="1228"/>
      <c r="HQ187" s="1228"/>
      <c r="HR187" s="1228"/>
      <c r="HS187" s="1228"/>
      <c r="HT187" s="1228"/>
      <c r="HU187" s="1228"/>
      <c r="HV187" s="1228"/>
      <c r="HW187" s="1228"/>
      <c r="HX187" s="1228"/>
      <c r="HY187" s="1228"/>
      <c r="HZ187" s="1228"/>
      <c r="IA187" s="1228"/>
      <c r="IB187" s="1228"/>
      <c r="IC187" s="1228"/>
      <c r="ID187" s="1228"/>
      <c r="IE187" s="1228"/>
      <c r="IF187" s="1228"/>
      <c r="IG187" s="1228"/>
      <c r="IH187" s="1228"/>
      <c r="II187" s="1228"/>
      <c r="IJ187" s="1228"/>
      <c r="IK187" s="1228"/>
      <c r="IL187" s="1228"/>
      <c r="IM187" s="1228"/>
      <c r="IN187" s="1228"/>
      <c r="IO187" s="1228"/>
      <c r="IP187" s="1228"/>
      <c r="IQ187" s="1228"/>
      <c r="IR187" s="1228"/>
      <c r="IS187" s="1228"/>
      <c r="IT187" s="1228"/>
      <c r="IU187" s="1228"/>
      <c r="IV187" s="1228"/>
      <c r="IW187" s="1228"/>
      <c r="IX187" s="1228"/>
      <c r="IY187" s="1228"/>
      <c r="IZ187" s="1228"/>
      <c r="JA187" s="1228"/>
      <c r="JB187" s="1228"/>
      <c r="JC187" s="1228"/>
      <c r="JD187" s="1228"/>
      <c r="JE187" s="1228"/>
      <c r="JF187" s="1228"/>
      <c r="JG187" s="1228"/>
      <c r="JH187" s="1228"/>
      <c r="JI187" s="1228"/>
      <c r="JJ187" s="1228"/>
      <c r="JK187" s="1228"/>
      <c r="JL187" s="1228"/>
      <c r="JM187" s="1228"/>
      <c r="JN187" s="1228"/>
      <c r="JO187" s="1228"/>
      <c r="JP187" s="1228"/>
      <c r="JQ187" s="1228"/>
      <c r="JR187" s="1228"/>
      <c r="JS187" s="1228"/>
      <c r="JT187" s="1228"/>
      <c r="JU187" s="1228"/>
      <c r="JV187" s="1228"/>
      <c r="JW187" s="1228"/>
      <c r="JX187" s="1228"/>
      <c r="JY187" s="1228"/>
      <c r="JZ187" s="1228"/>
      <c r="KA187" s="1228"/>
      <c r="KB187" s="1228"/>
      <c r="KC187" s="1228"/>
      <c r="KD187" s="1228"/>
      <c r="KE187" s="1228"/>
      <c r="KF187" s="1228"/>
      <c r="KG187" s="1228"/>
      <c r="KH187" s="1228"/>
      <c r="KI187" s="1228"/>
      <c r="KJ187" s="1228"/>
      <c r="KK187" s="1228"/>
      <c r="KL187" s="1228"/>
      <c r="KM187" s="1228"/>
      <c r="KN187" s="1228"/>
      <c r="KO187" s="1228"/>
      <c r="KP187" s="1228"/>
      <c r="KQ187" s="1228"/>
      <c r="KR187" s="1228"/>
      <c r="KS187" s="1228"/>
      <c r="KT187" s="1228"/>
      <c r="KU187" s="1228"/>
      <c r="KV187" s="1228"/>
      <c r="KW187" s="1228"/>
      <c r="KX187" s="1228"/>
      <c r="KY187" s="1228"/>
      <c r="KZ187" s="1228"/>
      <c r="LA187" s="1228"/>
      <c r="LB187" s="1228"/>
      <c r="LC187" s="1228"/>
      <c r="LD187" s="1228"/>
      <c r="LE187" s="1228"/>
      <c r="LF187" s="1228"/>
      <c r="LG187" s="1228"/>
      <c r="LH187" s="1228"/>
      <c r="LI187" s="1228"/>
      <c r="LJ187" s="1228"/>
      <c r="LK187" s="1228"/>
      <c r="LL187" s="1228"/>
      <c r="LM187" s="1228"/>
      <c r="LN187" s="1228"/>
      <c r="LO187" s="1228"/>
      <c r="LP187" s="1228"/>
      <c r="LQ187" s="1228"/>
      <c r="LR187" s="1228"/>
      <c r="LS187" s="1228"/>
      <c r="LT187" s="1228"/>
      <c r="LU187" s="1228"/>
      <c r="LV187" s="1228"/>
      <c r="LW187" s="1228"/>
      <c r="LX187" s="1228"/>
      <c r="LY187" s="1228"/>
      <c r="LZ187" s="1228"/>
      <c r="MA187" s="1228"/>
      <c r="MB187" s="1228"/>
      <c r="MC187" s="1228"/>
      <c r="MD187" s="1228"/>
      <c r="ME187" s="1228"/>
      <c r="MF187" s="1228"/>
      <c r="MG187" s="1228"/>
      <c r="MH187" s="1228"/>
      <c r="MI187" s="1228"/>
      <c r="MJ187" s="1228"/>
      <c r="MK187" s="1228"/>
      <c r="ML187" s="1228"/>
      <c r="MM187" s="1228"/>
      <c r="MN187" s="1228"/>
      <c r="MO187" s="1228"/>
      <c r="MP187" s="1228"/>
      <c r="MQ187" s="1228"/>
      <c r="MR187" s="1228"/>
      <c r="MS187" s="1228"/>
      <c r="MT187" s="1228"/>
      <c r="MU187" s="1228"/>
      <c r="MV187" s="1228"/>
      <c r="MW187" s="1228"/>
      <c r="MX187" s="1228"/>
      <c r="MY187" s="1228"/>
      <c r="MZ187" s="1228"/>
      <c r="NA187" s="1228"/>
      <c r="NB187" s="1228"/>
      <c r="NC187" s="1228"/>
      <c r="ND187" s="1228"/>
      <c r="NE187" s="1228"/>
      <c r="NF187" s="1228"/>
      <c r="NG187" s="1228"/>
      <c r="NH187" s="1228"/>
      <c r="NI187" s="1228"/>
      <c r="NJ187" s="1228"/>
      <c r="NK187" s="1228"/>
      <c r="NL187" s="1228"/>
      <c r="NM187" s="1228"/>
      <c r="NN187" s="1228"/>
      <c r="NO187" s="1228"/>
      <c r="NP187" s="1228"/>
      <c r="NQ187" s="1228"/>
      <c r="NR187" s="1228"/>
      <c r="NS187" s="1228"/>
      <c r="NT187" s="1228"/>
      <c r="NU187" s="1228"/>
      <c r="NV187" s="1228"/>
      <c r="NW187" s="1228"/>
      <c r="NX187" s="1228"/>
      <c r="NY187" s="1228"/>
      <c r="NZ187" s="1228"/>
      <c r="OA187" s="1228"/>
      <c r="OB187" s="1228"/>
      <c r="OC187" s="1228"/>
      <c r="OD187" s="1228"/>
      <c r="OE187" s="1228"/>
      <c r="OF187" s="1228"/>
      <c r="OG187" s="1228"/>
      <c r="OH187" s="1228"/>
      <c r="OI187" s="1228"/>
      <c r="OJ187" s="1228"/>
      <c r="OK187" s="1228"/>
      <c r="OL187" s="1228"/>
      <c r="OM187" s="1228"/>
      <c r="ON187" s="1228"/>
      <c r="OO187" s="1228"/>
      <c r="OP187" s="1228"/>
      <c r="OQ187" s="1228"/>
      <c r="OR187" s="1228"/>
      <c r="OS187" s="1228"/>
      <c r="OT187" s="1228"/>
      <c r="OU187" s="1228"/>
      <c r="OV187" s="1228"/>
      <c r="OW187" s="1228"/>
      <c r="OX187" s="1228"/>
      <c r="OY187" s="1228"/>
      <c r="OZ187" s="1228"/>
      <c r="PA187" s="1228"/>
      <c r="PB187" s="1228"/>
      <c r="PC187" s="1228"/>
      <c r="PD187" s="1228"/>
      <c r="PE187" s="1228"/>
      <c r="PF187" s="1228"/>
      <c r="PG187" s="1228"/>
      <c r="PH187" s="1228"/>
      <c r="PI187" s="1228"/>
      <c r="PJ187" s="1228"/>
      <c r="PK187" s="1228"/>
      <c r="PL187" s="1228"/>
      <c r="PM187" s="1228"/>
      <c r="PN187" s="1228"/>
      <c r="PO187" s="1228"/>
      <c r="PP187" s="1228"/>
      <c r="PQ187" s="1228"/>
      <c r="PR187" s="1228"/>
      <c r="PS187" s="1228"/>
      <c r="PT187" s="1228"/>
      <c r="PU187" s="1228"/>
      <c r="PV187" s="1228"/>
      <c r="PW187" s="1228"/>
      <c r="PX187" s="1228"/>
      <c r="PY187" s="1228"/>
      <c r="PZ187" s="1228"/>
      <c r="QA187" s="1228"/>
      <c r="QB187" s="1228"/>
      <c r="QC187" s="1228"/>
      <c r="QD187" s="1228"/>
      <c r="QE187" s="1228"/>
      <c r="QF187" s="1228"/>
      <c r="QG187" s="1228"/>
      <c r="QH187" s="1228"/>
      <c r="QI187" s="1228"/>
      <c r="QJ187" s="1228"/>
      <c r="QK187" s="1228"/>
      <c r="QL187" s="1228"/>
      <c r="QM187" s="1228"/>
      <c r="QN187" s="1228"/>
      <c r="QO187" s="1228"/>
      <c r="QP187" s="1228"/>
      <c r="QQ187" s="1228"/>
      <c r="QR187" s="1228"/>
      <c r="QS187" s="1228"/>
      <c r="QT187" s="1228"/>
      <c r="QU187" s="1228"/>
      <c r="QV187" s="1228"/>
      <c r="QW187" s="1228"/>
      <c r="QX187" s="1228"/>
      <c r="QY187" s="1228"/>
      <c r="QZ187" s="1228"/>
      <c r="RA187" s="1228"/>
      <c r="RB187" s="1228"/>
      <c r="RC187" s="1228"/>
      <c r="RD187" s="1228"/>
      <c r="RE187" s="1228"/>
      <c r="RF187" s="1228"/>
      <c r="RG187" s="1228"/>
      <c r="RH187" s="1228"/>
      <c r="RI187" s="1228"/>
      <c r="RJ187" s="1228"/>
      <c r="RK187" s="1228"/>
      <c r="RL187" s="1228"/>
      <c r="RM187" s="1228"/>
      <c r="RN187" s="1228"/>
      <c r="RO187" s="1228"/>
      <c r="RP187" s="1228"/>
      <c r="RQ187" s="1228"/>
      <c r="RR187" s="1228"/>
      <c r="RS187" s="1228"/>
      <c r="RT187" s="1228"/>
      <c r="RU187" s="1228"/>
      <c r="RV187" s="1228"/>
      <c r="RW187" s="1228"/>
      <c r="RX187" s="1228"/>
      <c r="RY187" s="1228"/>
      <c r="RZ187" s="1228"/>
      <c r="SA187" s="1228"/>
      <c r="SB187" s="1228"/>
      <c r="SC187" s="1228"/>
      <c r="SD187" s="1228"/>
      <c r="SE187" s="1228"/>
      <c r="SF187" s="1228"/>
      <c r="SG187" s="1228"/>
      <c r="SH187" s="1228"/>
      <c r="SI187" s="1228"/>
      <c r="SJ187" s="1228"/>
      <c r="SK187" s="1228"/>
      <c r="SL187" s="1228"/>
      <c r="SM187" s="1228"/>
      <c r="SN187" s="1228"/>
      <c r="SO187" s="1228"/>
      <c r="SP187" s="1228"/>
      <c r="SQ187" s="1228"/>
      <c r="SR187" s="1228"/>
      <c r="SS187" s="1228"/>
      <c r="ST187" s="1228"/>
      <c r="SU187" s="1228"/>
      <c r="SV187" s="1228"/>
      <c r="SW187" s="1228"/>
      <c r="SX187" s="1228"/>
      <c r="SY187" s="1228"/>
      <c r="SZ187" s="1228"/>
      <c r="TA187" s="1228"/>
      <c r="TB187" s="1228"/>
      <c r="TC187" s="1228"/>
      <c r="TD187" s="1228"/>
      <c r="TE187" s="1228"/>
      <c r="TF187" s="1228"/>
      <c r="TG187" s="1228"/>
      <c r="TH187" s="1228"/>
      <c r="TI187" s="1228"/>
      <c r="TJ187" s="1228"/>
      <c r="TK187" s="1228"/>
      <c r="TL187" s="1228"/>
      <c r="TM187" s="1228"/>
      <c r="TN187" s="1228"/>
      <c r="TO187" s="1228"/>
      <c r="TP187" s="1228"/>
      <c r="TQ187" s="1228"/>
      <c r="TR187" s="1228"/>
      <c r="TS187" s="1228"/>
      <c r="TT187" s="1228"/>
      <c r="TU187" s="1228"/>
      <c r="TV187" s="1228"/>
      <c r="TW187" s="1228"/>
      <c r="TX187" s="1228"/>
      <c r="TY187" s="1228"/>
      <c r="TZ187" s="1228"/>
      <c r="UA187" s="1228"/>
      <c r="UB187" s="1228"/>
      <c r="UC187" s="1228"/>
      <c r="UD187" s="1228"/>
      <c r="UE187" s="1228"/>
      <c r="UF187" s="1228"/>
      <c r="UG187" s="1228"/>
      <c r="UH187" s="1228"/>
      <c r="UI187" s="1228"/>
      <c r="UJ187" s="1228"/>
      <c r="UK187" s="1228"/>
      <c r="UL187" s="1228"/>
      <c r="UM187" s="1228"/>
      <c r="UN187" s="1228"/>
      <c r="UO187" s="1228"/>
      <c r="UP187" s="1228"/>
      <c r="UQ187" s="1228"/>
      <c r="UR187" s="1228"/>
      <c r="US187" s="1228"/>
      <c r="UT187" s="1228"/>
      <c r="UU187" s="1228"/>
      <c r="UV187" s="1228"/>
      <c r="UW187" s="1228"/>
      <c r="UX187" s="1228"/>
      <c r="UY187" s="1228"/>
      <c r="UZ187" s="1228"/>
      <c r="VA187" s="1228"/>
      <c r="VB187" s="1228"/>
      <c r="VC187" s="1228"/>
      <c r="VD187" s="1228"/>
      <c r="VE187" s="1228"/>
      <c r="VF187" s="1228"/>
      <c r="VG187" s="1228"/>
      <c r="VH187" s="1228"/>
      <c r="VI187" s="1228"/>
      <c r="VJ187" s="1228"/>
      <c r="VK187" s="1228"/>
      <c r="VL187" s="1228"/>
      <c r="VM187" s="1228"/>
      <c r="VN187" s="1228"/>
      <c r="VO187" s="1228"/>
      <c r="VP187" s="1228"/>
      <c r="VQ187" s="1228"/>
      <c r="VR187" s="1228"/>
      <c r="VS187" s="1228"/>
      <c r="VT187" s="1228"/>
      <c r="VU187" s="1228"/>
      <c r="VV187" s="1228"/>
      <c r="VW187" s="1228"/>
      <c r="VX187" s="1228"/>
      <c r="VY187" s="1228"/>
      <c r="VZ187" s="1228"/>
      <c r="WA187" s="1228"/>
      <c r="WB187" s="1228"/>
      <c r="WC187" s="1228"/>
      <c r="WD187" s="1228"/>
      <c r="WE187" s="1228"/>
      <c r="WF187" s="1228"/>
      <c r="WG187" s="1228"/>
      <c r="WH187" s="1228"/>
      <c r="WI187" s="1228"/>
      <c r="WJ187" s="1228"/>
      <c r="WK187" s="1228"/>
      <c r="WL187" s="1228"/>
      <c r="WM187" s="1228"/>
      <c r="WN187" s="1228"/>
      <c r="WO187" s="1228"/>
      <c r="WP187" s="1228"/>
      <c r="WQ187" s="1228"/>
      <c r="WR187" s="1228"/>
      <c r="WS187" s="1228"/>
      <c r="WT187" s="1228"/>
      <c r="WU187" s="1228"/>
      <c r="WV187" s="1228"/>
      <c r="WW187" s="1228"/>
      <c r="WX187" s="1228"/>
      <c r="WY187" s="1228"/>
      <c r="WZ187" s="1228"/>
      <c r="XA187" s="1228"/>
      <c r="XB187" s="1228"/>
      <c r="XC187" s="1228"/>
      <c r="XD187" s="1228"/>
      <c r="XE187" s="1228"/>
      <c r="XF187" s="1228"/>
      <c r="XG187" s="1228"/>
      <c r="XH187" s="1228"/>
      <c r="XI187" s="1228"/>
      <c r="XJ187" s="1228"/>
      <c r="XK187" s="1228"/>
      <c r="XL187" s="1228"/>
      <c r="XM187" s="1228"/>
      <c r="XN187" s="1228"/>
      <c r="XO187" s="1228"/>
      <c r="XP187" s="1228"/>
      <c r="XQ187" s="1228"/>
      <c r="XR187" s="1228"/>
      <c r="XS187" s="1228"/>
      <c r="XT187" s="1228"/>
      <c r="XU187" s="1228"/>
      <c r="XV187" s="1228"/>
      <c r="XW187" s="1228"/>
      <c r="XX187" s="1228"/>
      <c r="XY187" s="1228"/>
      <c r="XZ187" s="1228"/>
      <c r="YA187" s="1228"/>
      <c r="YB187" s="1228"/>
      <c r="YC187" s="1228"/>
      <c r="YD187" s="1228"/>
      <c r="YE187" s="1228"/>
      <c r="YF187" s="1228"/>
      <c r="YG187" s="1228"/>
      <c r="YH187" s="1228"/>
      <c r="YI187" s="1228"/>
      <c r="YJ187" s="1228"/>
      <c r="YK187" s="1228"/>
      <c r="YL187" s="1228"/>
      <c r="YM187" s="1228"/>
      <c r="YN187" s="1228"/>
      <c r="YO187" s="1228"/>
      <c r="YP187" s="1228"/>
      <c r="YQ187" s="1228"/>
      <c r="YR187" s="1228"/>
      <c r="YS187" s="1228"/>
      <c r="YT187" s="1228"/>
      <c r="YU187" s="1228"/>
      <c r="YV187" s="1228"/>
      <c r="YW187" s="1228"/>
      <c r="YX187" s="1228"/>
      <c r="YY187" s="1228"/>
      <c r="YZ187" s="1228"/>
      <c r="ZA187" s="1228"/>
      <c r="ZB187" s="1228"/>
      <c r="ZC187" s="1228"/>
      <c r="ZD187" s="1228"/>
      <c r="ZE187" s="1228"/>
      <c r="ZF187" s="1228"/>
      <c r="ZG187" s="1228"/>
      <c r="ZH187" s="1228"/>
      <c r="ZI187" s="1228"/>
      <c r="ZJ187" s="1228"/>
      <c r="ZK187" s="1228"/>
      <c r="ZL187" s="1228"/>
      <c r="ZM187" s="1228"/>
      <c r="ZN187" s="1228"/>
      <c r="ZO187" s="1228"/>
      <c r="ZP187" s="1228"/>
      <c r="ZQ187" s="1228"/>
      <c r="ZR187" s="1228"/>
      <c r="ZS187" s="1228"/>
      <c r="ZT187" s="1228"/>
      <c r="ZU187" s="1228"/>
      <c r="ZV187" s="1228"/>
      <c r="ZW187" s="1228"/>
      <c r="ZX187" s="1228"/>
      <c r="ZY187" s="1228"/>
      <c r="ZZ187" s="1228"/>
      <c r="AAA187" s="1228"/>
      <c r="AAB187" s="1228"/>
      <c r="AAC187" s="1228"/>
      <c r="AAD187" s="1228"/>
      <c r="AAE187" s="1228"/>
      <c r="AAF187" s="1228"/>
      <c r="AAG187" s="1228"/>
      <c r="AAH187" s="1228"/>
      <c r="AAI187" s="1228"/>
      <c r="AAJ187" s="1228"/>
      <c r="AAK187" s="1228"/>
      <c r="AAL187" s="1228"/>
      <c r="AAM187" s="1228"/>
      <c r="AAN187" s="1228"/>
      <c r="AAO187" s="1228"/>
      <c r="AAP187" s="1228"/>
      <c r="AAQ187" s="1228"/>
      <c r="AAR187" s="1228"/>
      <c r="AAS187" s="1228"/>
      <c r="AAT187" s="1228"/>
      <c r="AAU187" s="1228"/>
      <c r="AAV187" s="1228"/>
      <c r="AAW187" s="1228"/>
      <c r="AAX187" s="1228"/>
      <c r="AAY187" s="1228"/>
      <c r="AAZ187" s="1228"/>
      <c r="ABA187" s="1228"/>
      <c r="ABB187" s="1228"/>
      <c r="ABC187" s="1228"/>
      <c r="ABD187" s="1228"/>
      <c r="ABE187" s="1228"/>
      <c r="ABF187" s="1228"/>
      <c r="ABG187" s="1228"/>
      <c r="ABH187" s="1228"/>
      <c r="ABI187" s="1228"/>
      <c r="ABJ187" s="1228"/>
      <c r="ABK187" s="1228"/>
      <c r="ABL187" s="1228"/>
      <c r="ABM187" s="1228"/>
      <c r="ABN187" s="1228"/>
      <c r="ABO187" s="1228"/>
      <c r="ABP187" s="1228"/>
      <c r="ABQ187" s="1228"/>
      <c r="ABR187" s="1228"/>
      <c r="ABS187" s="1228"/>
      <c r="ABT187" s="1228"/>
      <c r="ABU187" s="1228"/>
      <c r="ABV187" s="1228"/>
      <c r="ABW187" s="1228"/>
      <c r="ABX187" s="1228"/>
      <c r="ABY187" s="1228"/>
      <c r="ABZ187" s="1228"/>
      <c r="ACA187" s="1228"/>
      <c r="ACB187" s="1228"/>
      <c r="ACC187" s="1228"/>
      <c r="ACD187" s="1228"/>
      <c r="ACE187" s="1228"/>
      <c r="ACF187" s="1228"/>
      <c r="ACG187" s="1228"/>
      <c r="ACH187" s="1228"/>
      <c r="ACI187" s="1228"/>
      <c r="ACJ187" s="1228"/>
      <c r="ACK187" s="1228"/>
      <c r="ACL187" s="1228"/>
      <c r="ACM187" s="1228"/>
      <c r="ACN187" s="1228"/>
      <c r="ACO187" s="1228"/>
      <c r="ACP187" s="1228"/>
      <c r="ACQ187" s="1228"/>
      <c r="ACR187" s="1228"/>
      <c r="ACS187" s="1228"/>
      <c r="ACT187" s="1228"/>
      <c r="ACU187" s="1228"/>
      <c r="ACV187" s="1228"/>
      <c r="ACW187" s="1228"/>
      <c r="ACX187" s="1228"/>
      <c r="ACY187" s="1228"/>
      <c r="ACZ187" s="1228"/>
      <c r="ADA187" s="1228"/>
      <c r="ADB187" s="1228"/>
      <c r="ADC187" s="1228"/>
      <c r="ADD187" s="1228"/>
      <c r="ADE187" s="1228"/>
      <c r="ADF187" s="1228"/>
      <c r="ADG187" s="1228"/>
      <c r="ADH187" s="1228"/>
      <c r="ADI187" s="1228"/>
      <c r="ADJ187" s="1228"/>
      <c r="ADK187" s="1228"/>
      <c r="ADL187" s="1228"/>
      <c r="ADM187" s="1228"/>
      <c r="ADN187" s="1228"/>
      <c r="ADO187" s="1228"/>
      <c r="ADP187" s="1228"/>
      <c r="ADQ187" s="1228"/>
      <c r="ADR187" s="1228"/>
      <c r="ADS187" s="1228"/>
      <c r="ADT187" s="1228"/>
      <c r="ADU187" s="1228"/>
      <c r="ADV187" s="1228"/>
      <c r="ADW187" s="1228"/>
      <c r="ADX187" s="1228"/>
      <c r="ADY187" s="1228"/>
      <c r="ADZ187" s="1228"/>
      <c r="AEA187" s="1228"/>
      <c r="AEB187" s="1228"/>
      <c r="AEC187" s="1228"/>
      <c r="AED187" s="1228"/>
      <c r="AEE187" s="1228"/>
      <c r="AEF187" s="1228"/>
      <c r="AEG187" s="1228"/>
      <c r="AEH187" s="1228"/>
      <c r="AEI187" s="1228"/>
      <c r="AEJ187" s="1228"/>
      <c r="AEK187" s="1228"/>
      <c r="AEL187" s="1228"/>
      <c r="AEM187" s="1228"/>
      <c r="AEN187" s="1228"/>
      <c r="AEO187" s="1228"/>
      <c r="AEP187" s="1228"/>
      <c r="AEQ187" s="1228"/>
      <c r="AER187" s="1228"/>
      <c r="AES187" s="1228"/>
      <c r="AET187" s="1228"/>
      <c r="AEU187" s="1228"/>
      <c r="AEV187" s="1228"/>
      <c r="AEW187" s="1228"/>
      <c r="AEX187" s="1228"/>
      <c r="AEY187" s="1228"/>
      <c r="AEZ187" s="1228"/>
      <c r="AFA187" s="1228"/>
      <c r="AFB187" s="1228"/>
      <c r="AFC187" s="1228"/>
      <c r="AFD187" s="1228"/>
      <c r="AFE187" s="1228"/>
      <c r="AFF187" s="1228"/>
      <c r="AFG187" s="1228"/>
      <c r="AFH187" s="1228"/>
      <c r="AFI187" s="1228"/>
      <c r="AFJ187" s="1228"/>
      <c r="AFK187" s="1228"/>
      <c r="AFL187" s="1228"/>
      <c r="AFM187" s="1228"/>
      <c r="AFN187" s="1228"/>
      <c r="AFO187" s="1228"/>
      <c r="AFP187" s="1228"/>
      <c r="AFQ187" s="1228"/>
      <c r="AFR187" s="1228"/>
      <c r="AFS187" s="1228"/>
      <c r="AFT187" s="1228"/>
      <c r="AFU187" s="1228"/>
      <c r="AFV187" s="1228"/>
      <c r="AFW187" s="1228"/>
      <c r="AFX187" s="1228"/>
      <c r="AFY187" s="1228"/>
      <c r="AFZ187" s="1228"/>
      <c r="AGA187" s="1228"/>
      <c r="AGB187" s="1228"/>
      <c r="AGC187" s="1228"/>
      <c r="AGD187" s="1228"/>
      <c r="AGE187" s="1228"/>
      <c r="AGF187" s="1228"/>
      <c r="AGG187" s="1228"/>
      <c r="AGH187" s="1228"/>
      <c r="AGI187" s="1228"/>
      <c r="AGJ187" s="1228"/>
      <c r="AGK187" s="1228"/>
      <c r="AGL187" s="1228"/>
      <c r="AGM187" s="1228"/>
      <c r="AGN187" s="1228"/>
      <c r="AGO187" s="1228"/>
      <c r="AGP187" s="1228"/>
      <c r="AGQ187" s="1228"/>
      <c r="AGR187" s="1228"/>
      <c r="AGS187" s="1228"/>
      <c r="AGT187" s="1228"/>
      <c r="AGU187" s="1228"/>
      <c r="AGV187" s="1228"/>
      <c r="AGW187" s="1228"/>
      <c r="AGX187" s="1228"/>
      <c r="AGY187" s="1228"/>
      <c r="AGZ187" s="1228"/>
      <c r="AHA187" s="1228"/>
      <c r="AHB187" s="1228"/>
      <c r="AHC187" s="1228"/>
      <c r="AHD187" s="1228"/>
      <c r="AHE187" s="1228"/>
      <c r="AHF187" s="1228"/>
      <c r="AHG187" s="1228"/>
      <c r="AHH187" s="1228"/>
      <c r="AHI187" s="1228"/>
      <c r="AHJ187" s="1228"/>
      <c r="AHK187" s="1228"/>
      <c r="AHL187" s="1228"/>
      <c r="AHM187" s="1228"/>
      <c r="AHN187" s="1228"/>
      <c r="AHO187" s="1228"/>
      <c r="AHP187" s="1228"/>
      <c r="AHQ187" s="1228"/>
      <c r="AHR187" s="1228"/>
      <c r="AHS187" s="1228"/>
      <c r="AHT187" s="1228"/>
      <c r="AHU187" s="1228"/>
      <c r="AHV187" s="1228"/>
      <c r="AHW187" s="1228"/>
      <c r="AHX187" s="1228"/>
      <c r="AHY187" s="1228"/>
      <c r="AHZ187" s="1228"/>
      <c r="AIA187" s="1228"/>
      <c r="AIB187" s="1228"/>
      <c r="AIC187" s="1228"/>
      <c r="AID187" s="1228"/>
      <c r="AIE187" s="1228"/>
      <c r="AIF187" s="1228"/>
      <c r="AIG187" s="1228"/>
      <c r="AIH187" s="1228"/>
      <c r="AII187" s="1228"/>
      <c r="AIJ187" s="1228"/>
      <c r="AIK187" s="1228"/>
      <c r="AIL187" s="1228"/>
      <c r="AIM187" s="1228"/>
      <c r="AIN187" s="1228"/>
      <c r="AIO187" s="1228"/>
      <c r="AIP187" s="1228"/>
      <c r="AIQ187" s="1228"/>
      <c r="AIR187" s="1228"/>
      <c r="AIS187" s="1228"/>
      <c r="AIT187" s="1228"/>
      <c r="AIU187" s="1228"/>
      <c r="AIV187" s="1228"/>
      <c r="AIW187" s="1228"/>
      <c r="AIX187" s="1228"/>
      <c r="AIY187" s="1228"/>
      <c r="AIZ187" s="1228"/>
      <c r="AJA187" s="1228"/>
      <c r="AJB187" s="1228"/>
      <c r="AJC187" s="1228"/>
      <c r="AJD187" s="1228"/>
      <c r="AJE187" s="1228"/>
      <c r="AJF187" s="1228"/>
      <c r="AJG187" s="1228"/>
      <c r="AJH187" s="1228"/>
      <c r="AJI187" s="1228"/>
      <c r="AJJ187" s="1228"/>
      <c r="AJK187" s="1228"/>
      <c r="AJL187" s="1228"/>
      <c r="AJM187" s="1228"/>
      <c r="AJN187" s="1228"/>
      <c r="AJO187" s="1228"/>
      <c r="AJP187" s="1228"/>
      <c r="AJQ187" s="1228"/>
      <c r="AJR187" s="1228"/>
      <c r="AJS187" s="1228"/>
      <c r="AJT187" s="1228"/>
      <c r="AJU187" s="1228"/>
      <c r="AJV187" s="1228"/>
      <c r="AJW187" s="1228"/>
      <c r="AJX187" s="1228"/>
      <c r="AJY187" s="1228"/>
      <c r="AJZ187" s="1228"/>
      <c r="AKA187" s="1228"/>
      <c r="AKB187" s="1228"/>
      <c r="AKC187" s="1228"/>
      <c r="AKD187" s="1228"/>
      <c r="AKE187" s="1228"/>
      <c r="AKF187" s="1228"/>
      <c r="AKG187" s="1228"/>
      <c r="AKH187" s="1228"/>
      <c r="AKI187" s="1228"/>
      <c r="AKJ187" s="1228"/>
      <c r="AKK187" s="1228"/>
      <c r="AKL187" s="1228"/>
      <c r="AKM187" s="1228"/>
      <c r="AKN187" s="1228"/>
      <c r="AKO187" s="1228"/>
      <c r="AKP187" s="1228"/>
      <c r="AKQ187" s="1228"/>
      <c r="AKR187" s="1228"/>
      <c r="AKS187" s="1228"/>
      <c r="AKT187" s="1228"/>
      <c r="AKU187" s="1228"/>
      <c r="AKV187" s="1228"/>
      <c r="AKW187" s="1228"/>
      <c r="AKX187" s="1228"/>
      <c r="AKY187" s="1228"/>
      <c r="AKZ187" s="1228"/>
      <c r="ALA187" s="1228"/>
      <c r="ALB187" s="1228"/>
      <c r="ALC187" s="1228"/>
      <c r="ALD187" s="1228"/>
      <c r="ALE187" s="1228"/>
      <c r="ALF187" s="1228"/>
      <c r="ALG187" s="1228"/>
      <c r="ALH187" s="1228"/>
      <c r="ALI187" s="1228"/>
      <c r="ALJ187" s="1228"/>
      <c r="ALK187" s="1228"/>
      <c r="ALL187" s="1228"/>
      <c r="ALM187" s="1228"/>
      <c r="ALN187" s="1228"/>
      <c r="ALO187" s="1228"/>
      <c r="ALP187" s="1228"/>
      <c r="ALQ187" s="1228"/>
      <c r="ALR187" s="1228"/>
      <c r="ALS187" s="1228"/>
      <c r="ALT187" s="1228"/>
      <c r="ALU187" s="1228"/>
      <c r="ALV187" s="1228"/>
      <c r="ALW187" s="1228"/>
      <c r="ALX187" s="1228"/>
      <c r="ALY187" s="1228"/>
      <c r="ALZ187" s="1228"/>
      <c r="AMA187" s="1228"/>
      <c r="AMB187" s="1228"/>
      <c r="AMC187" s="1228"/>
      <c r="AMD187" s="1228"/>
      <c r="AME187" s="1228"/>
      <c r="AMF187" s="1228"/>
      <c r="AMG187" s="1228"/>
      <c r="AMH187" s="1228"/>
      <c r="AMI187" s="1228"/>
      <c r="AMJ187" s="1228"/>
      <c r="AMK187" s="1228"/>
      <c r="AML187" s="1228"/>
      <c r="AMM187" s="1228"/>
      <c r="AMN187" s="1228"/>
      <c r="AMO187" s="1228"/>
      <c r="AMP187" s="1228"/>
      <c r="AMQ187" s="1228"/>
      <c r="AMR187" s="1228"/>
      <c r="AMS187" s="1228"/>
      <c r="AMT187" s="1228"/>
      <c r="AMU187" s="1228"/>
      <c r="AMV187" s="1228"/>
      <c r="AMW187" s="1228"/>
      <c r="AMX187" s="1228"/>
      <c r="AMY187" s="1228"/>
      <c r="AMZ187" s="1228"/>
      <c r="ANA187" s="1228"/>
      <c r="ANB187" s="1228"/>
      <c r="ANC187" s="1228"/>
      <c r="AND187" s="1228"/>
      <c r="ANE187" s="1228"/>
      <c r="ANF187" s="1228"/>
      <c r="ANG187" s="1228"/>
      <c r="ANH187" s="1228"/>
      <c r="ANI187" s="1228"/>
      <c r="ANJ187" s="1228"/>
      <c r="ANK187" s="1228"/>
      <c r="ANL187" s="1228"/>
      <c r="ANM187" s="1228"/>
      <c r="ANN187" s="1228"/>
      <c r="ANO187" s="1228"/>
      <c r="ANP187" s="1228"/>
      <c r="ANQ187" s="1228"/>
      <c r="ANR187" s="1228"/>
      <c r="ANS187" s="1228"/>
      <c r="ANT187" s="1228"/>
      <c r="ANU187" s="1228"/>
      <c r="ANV187" s="1228"/>
      <c r="ANW187" s="1228"/>
      <c r="ANX187" s="1228"/>
      <c r="ANY187" s="1228"/>
      <c r="ANZ187" s="1228"/>
      <c r="AOA187" s="1228"/>
      <c r="AOB187" s="1228"/>
      <c r="AOC187" s="1228"/>
      <c r="AOD187" s="1228"/>
      <c r="AOE187" s="1228"/>
      <c r="AOF187" s="1228"/>
      <c r="AOG187" s="1228"/>
      <c r="AOH187" s="1228"/>
      <c r="AOI187" s="1228"/>
      <c r="AOJ187" s="1228"/>
      <c r="AOK187" s="1228"/>
      <c r="AOL187" s="1228"/>
      <c r="AOM187" s="1228"/>
      <c r="AON187" s="1228"/>
      <c r="AOO187" s="1228"/>
      <c r="AOP187" s="1228"/>
      <c r="AOQ187" s="1228"/>
      <c r="AOR187" s="1228"/>
      <c r="AOS187" s="1228"/>
      <c r="AOT187" s="1228"/>
      <c r="AOU187" s="1228"/>
      <c r="AOV187" s="1228"/>
      <c r="AOW187" s="1228"/>
      <c r="AOX187" s="1228"/>
      <c r="AOY187" s="1228"/>
      <c r="AOZ187" s="1228"/>
      <c r="APA187" s="1228"/>
      <c r="APB187" s="1228"/>
      <c r="APC187" s="1228"/>
      <c r="APD187" s="1228"/>
      <c r="APE187" s="1228"/>
      <c r="APF187" s="1228"/>
      <c r="APG187" s="1228"/>
      <c r="APH187" s="1228"/>
      <c r="API187" s="1228"/>
      <c r="APJ187" s="1228"/>
      <c r="APK187" s="1228"/>
      <c r="APL187" s="1228"/>
      <c r="APM187" s="1228"/>
      <c r="APN187" s="1228"/>
      <c r="APO187" s="1228"/>
      <c r="APP187" s="1228"/>
      <c r="APQ187" s="1228"/>
      <c r="APR187" s="1228"/>
      <c r="APS187" s="1228"/>
      <c r="APT187" s="1228"/>
      <c r="APU187" s="1228"/>
      <c r="APV187" s="1228"/>
      <c r="APW187" s="1228"/>
      <c r="APX187" s="1228"/>
      <c r="APY187" s="1228"/>
      <c r="APZ187" s="1228"/>
      <c r="AQA187" s="1228"/>
      <c r="AQB187" s="1228"/>
      <c r="AQC187" s="1228"/>
      <c r="AQD187" s="1228"/>
      <c r="AQE187" s="1228"/>
      <c r="AQF187" s="1228"/>
      <c r="AQG187" s="1228"/>
      <c r="AQH187" s="1228"/>
      <c r="AQI187" s="1228"/>
      <c r="AQJ187" s="1228"/>
      <c r="AQK187" s="1228"/>
      <c r="AQL187" s="1228"/>
      <c r="AQM187" s="1228"/>
      <c r="AQN187" s="1228"/>
      <c r="AQO187" s="1228"/>
      <c r="AQP187" s="1228"/>
      <c r="AQQ187" s="1228"/>
      <c r="AQR187" s="1228"/>
      <c r="AQS187" s="1228"/>
      <c r="AQT187" s="1228"/>
      <c r="AQU187" s="1228"/>
      <c r="AQV187" s="1228"/>
      <c r="AQW187" s="1228"/>
      <c r="AQX187" s="1228"/>
      <c r="AQY187" s="1228"/>
      <c r="AQZ187" s="1228"/>
      <c r="ARA187" s="1228"/>
      <c r="ARB187" s="1228"/>
      <c r="ARC187" s="1228"/>
      <c r="ARD187" s="1228"/>
      <c r="ARE187" s="1228"/>
      <c r="ARF187" s="1228"/>
      <c r="ARG187" s="1228"/>
      <c r="ARH187" s="1228"/>
      <c r="ARI187" s="1228"/>
      <c r="ARJ187" s="1228"/>
      <c r="ARK187" s="1228"/>
      <c r="ARL187" s="1228"/>
      <c r="ARM187" s="1228"/>
      <c r="ARN187" s="1228"/>
      <c r="ARO187" s="1228"/>
      <c r="ARP187" s="1228"/>
      <c r="ARQ187" s="1228"/>
      <c r="ARR187" s="1228"/>
      <c r="ARS187" s="1228"/>
      <c r="ART187" s="1228"/>
      <c r="ARU187" s="1228"/>
      <c r="ARV187" s="1228"/>
      <c r="ARW187" s="1228"/>
      <c r="ARX187" s="1228"/>
      <c r="ARY187" s="1228"/>
      <c r="ARZ187" s="1228"/>
      <c r="ASA187" s="1228"/>
      <c r="ASB187" s="1228"/>
      <c r="ASC187" s="1228"/>
      <c r="ASD187" s="1228"/>
      <c r="ASE187" s="1228"/>
      <c r="ASF187" s="1228"/>
      <c r="ASG187" s="1228"/>
      <c r="ASH187" s="1228"/>
      <c r="ASI187" s="1228"/>
      <c r="ASJ187" s="1228"/>
      <c r="ASK187" s="1228"/>
      <c r="ASL187" s="1228"/>
      <c r="ASM187" s="1228"/>
      <c r="ASN187" s="1228"/>
      <c r="ASO187" s="1228"/>
      <c r="ASP187" s="1228"/>
      <c r="ASQ187" s="1228"/>
      <c r="ASR187" s="1228"/>
      <c r="ASS187" s="1228"/>
      <c r="AST187" s="1228"/>
      <c r="ASU187" s="1228"/>
      <c r="ASV187" s="1228"/>
      <c r="ASW187" s="1228"/>
      <c r="ASX187" s="1228"/>
      <c r="ASY187" s="1228"/>
      <c r="ASZ187" s="1228"/>
      <c r="ATA187" s="1228"/>
      <c r="ATB187" s="1228"/>
      <c r="ATC187" s="1228"/>
      <c r="ATD187" s="1228"/>
      <c r="ATE187" s="1228"/>
      <c r="ATF187" s="1228"/>
      <c r="ATG187" s="1228"/>
      <c r="ATH187" s="1228"/>
      <c r="ATI187" s="1228"/>
      <c r="ATJ187" s="1228"/>
      <c r="ATK187" s="1228"/>
      <c r="ATL187" s="1228"/>
      <c r="ATM187" s="1228"/>
      <c r="ATN187" s="1228"/>
      <c r="ATO187" s="1228"/>
      <c r="ATP187" s="1228"/>
      <c r="ATQ187" s="1228"/>
      <c r="ATR187" s="1228"/>
      <c r="ATS187" s="1228"/>
      <c r="ATT187" s="1228"/>
      <c r="ATU187" s="1228"/>
      <c r="ATV187" s="1228"/>
      <c r="ATW187" s="1228"/>
      <c r="ATX187" s="1228"/>
      <c r="ATY187" s="1228"/>
      <c r="ATZ187" s="1228"/>
      <c r="AUA187" s="1228"/>
      <c r="AUB187" s="1228"/>
      <c r="AUC187" s="1228"/>
      <c r="AUD187" s="1228"/>
      <c r="AUE187" s="1228"/>
      <c r="AUF187" s="1228"/>
      <c r="AUG187" s="1228"/>
      <c r="AUH187" s="1228"/>
      <c r="AUI187" s="1228"/>
      <c r="AUJ187" s="1228"/>
      <c r="AUK187" s="1228"/>
      <c r="AUL187" s="1228"/>
      <c r="AUM187" s="1228"/>
      <c r="AUN187" s="1228"/>
      <c r="AUO187" s="1228"/>
      <c r="AUP187" s="1228"/>
      <c r="AUQ187" s="1228"/>
      <c r="AUR187" s="1228"/>
      <c r="AUS187" s="1228"/>
      <c r="AUT187" s="1228"/>
      <c r="AUU187" s="1228"/>
      <c r="AUV187" s="1228"/>
      <c r="AUW187" s="1228"/>
      <c r="AUX187" s="1228"/>
      <c r="AUY187" s="1228"/>
      <c r="AUZ187" s="1228"/>
      <c r="AVA187" s="1228"/>
      <c r="AVB187" s="1228"/>
      <c r="AVC187" s="1228"/>
      <c r="AVD187" s="1228"/>
      <c r="AVE187" s="1228"/>
      <c r="AVF187" s="1228"/>
      <c r="AVG187" s="1228"/>
      <c r="AVH187" s="1228"/>
      <c r="AVI187" s="1228"/>
      <c r="AVJ187" s="1228"/>
      <c r="AVK187" s="1228"/>
      <c r="AVL187" s="1228"/>
      <c r="AVM187" s="1228"/>
      <c r="AVN187" s="1228"/>
      <c r="AVO187" s="1228"/>
      <c r="AVP187" s="1228"/>
      <c r="AVQ187" s="1228"/>
      <c r="AVR187" s="1228"/>
      <c r="AVS187" s="1228"/>
      <c r="AVT187" s="1228"/>
      <c r="AVU187" s="1228"/>
      <c r="AVV187" s="1228"/>
      <c r="AVW187" s="1228"/>
      <c r="AVX187" s="1228"/>
      <c r="AVY187" s="1228"/>
      <c r="AVZ187" s="1228"/>
      <c r="AWA187" s="1228"/>
      <c r="AWB187" s="1228"/>
      <c r="AWC187" s="1228"/>
      <c r="AWD187" s="1228"/>
      <c r="AWE187" s="1228"/>
      <c r="AWF187" s="1228"/>
      <c r="AWG187" s="1228"/>
      <c r="AWH187" s="1228"/>
      <c r="AWI187" s="1228"/>
      <c r="AWJ187" s="1228"/>
      <c r="AWK187" s="1228"/>
      <c r="AWL187" s="1228"/>
      <c r="AWM187" s="1228"/>
      <c r="AWN187" s="1228"/>
      <c r="AWO187" s="1228"/>
      <c r="AWP187" s="1228"/>
      <c r="AWQ187" s="1228"/>
      <c r="AWR187" s="1228"/>
      <c r="AWS187" s="1228"/>
      <c r="AWT187" s="1228"/>
      <c r="AWU187" s="1228"/>
      <c r="AWV187" s="1228"/>
      <c r="AWW187" s="1228"/>
      <c r="AWX187" s="1228"/>
      <c r="AWY187" s="1228"/>
      <c r="AWZ187" s="1228"/>
      <c r="AXA187" s="1228"/>
      <c r="AXB187" s="1228"/>
      <c r="AXC187" s="1228"/>
      <c r="AXD187" s="1228"/>
      <c r="AXE187" s="1228"/>
      <c r="AXF187" s="1228"/>
      <c r="AXG187" s="1228"/>
      <c r="AXH187" s="1228"/>
      <c r="AXI187" s="1228"/>
      <c r="AXJ187" s="1228"/>
      <c r="AXK187" s="1228"/>
      <c r="AXL187" s="1228"/>
      <c r="AXM187" s="1228"/>
      <c r="AXN187" s="1228"/>
      <c r="AXO187" s="1228"/>
      <c r="AXP187" s="1228"/>
      <c r="AXQ187" s="1228"/>
      <c r="AXR187" s="1228"/>
      <c r="AXS187" s="1228"/>
      <c r="AXT187" s="1228"/>
      <c r="AXU187" s="1228"/>
      <c r="AXV187" s="1228"/>
      <c r="AXW187" s="1228"/>
      <c r="AXX187" s="1228"/>
      <c r="AXY187" s="1228"/>
      <c r="AXZ187" s="1228"/>
      <c r="AYA187" s="1228"/>
      <c r="AYB187" s="1228"/>
      <c r="AYC187" s="1228"/>
      <c r="AYD187" s="1228"/>
      <c r="AYE187" s="1228"/>
      <c r="AYF187" s="1228"/>
      <c r="AYG187" s="1228"/>
      <c r="AYH187" s="1228"/>
      <c r="AYI187" s="1228"/>
      <c r="AYJ187" s="1228"/>
      <c r="AYK187" s="1228"/>
      <c r="AYL187" s="1228"/>
      <c r="AYM187" s="1228"/>
      <c r="AYN187" s="1228"/>
      <c r="AYO187" s="1228"/>
      <c r="AYP187" s="1228"/>
      <c r="AYQ187" s="1228"/>
      <c r="AYR187" s="1228"/>
      <c r="AYS187" s="1228"/>
      <c r="AYT187" s="1228"/>
      <c r="AYU187" s="1228"/>
      <c r="AYV187" s="1228"/>
      <c r="AYW187" s="1228"/>
      <c r="AYX187" s="1228"/>
      <c r="AYY187" s="1228"/>
      <c r="AYZ187" s="1228"/>
      <c r="AZA187" s="1228"/>
      <c r="AZB187" s="1228"/>
      <c r="AZC187" s="1228"/>
      <c r="AZD187" s="1228"/>
      <c r="AZE187" s="1228"/>
      <c r="AZF187" s="1228"/>
      <c r="AZG187" s="1228"/>
      <c r="AZH187" s="1228"/>
      <c r="AZI187" s="1228"/>
      <c r="AZJ187" s="1228"/>
      <c r="AZK187" s="1228"/>
      <c r="AZL187" s="1228"/>
      <c r="AZM187" s="1228"/>
      <c r="AZN187" s="1228"/>
      <c r="AZO187" s="1228"/>
      <c r="AZP187" s="1228"/>
      <c r="AZQ187" s="1228"/>
      <c r="AZR187" s="1228"/>
      <c r="AZS187" s="1228"/>
      <c r="AZT187" s="1228"/>
      <c r="AZU187" s="1228"/>
      <c r="AZV187" s="1228"/>
      <c r="AZW187" s="1228"/>
      <c r="AZX187" s="1228"/>
      <c r="AZY187" s="1228"/>
      <c r="AZZ187" s="1228"/>
      <c r="BAA187" s="1228"/>
      <c r="BAB187" s="1228"/>
      <c r="BAC187" s="1228"/>
      <c r="BAD187" s="1228"/>
      <c r="BAE187" s="1228"/>
      <c r="BAF187" s="1228"/>
      <c r="BAG187" s="1228"/>
      <c r="BAH187" s="1228"/>
      <c r="BAI187" s="1228"/>
      <c r="BAJ187" s="1228"/>
      <c r="BAK187" s="1228"/>
      <c r="BAL187" s="1228"/>
      <c r="BAM187" s="1228"/>
      <c r="BAN187" s="1228"/>
      <c r="BAO187" s="1228"/>
      <c r="BAP187" s="1228"/>
      <c r="BAQ187" s="1228"/>
      <c r="BAR187" s="1228"/>
      <c r="BAS187" s="1228"/>
      <c r="BAT187" s="1228"/>
      <c r="BAU187" s="1228"/>
      <c r="BAV187" s="1228"/>
      <c r="BAW187" s="1228"/>
      <c r="BAX187" s="1228"/>
      <c r="BAY187" s="1228"/>
      <c r="BAZ187" s="1228"/>
      <c r="BBA187" s="1228"/>
      <c r="BBB187" s="1228"/>
      <c r="BBC187" s="1228"/>
      <c r="BBD187" s="1228"/>
      <c r="BBE187" s="1228"/>
      <c r="BBF187" s="1228"/>
      <c r="BBG187" s="1228"/>
      <c r="BBH187" s="1228"/>
      <c r="BBI187" s="1228"/>
      <c r="BBJ187" s="1228"/>
      <c r="BBK187" s="1228"/>
      <c r="BBL187" s="1228"/>
      <c r="BBM187" s="1228"/>
      <c r="BBN187" s="1228"/>
      <c r="BBO187" s="1228"/>
      <c r="BBP187" s="1228"/>
      <c r="BBQ187" s="1228"/>
      <c r="BBR187" s="1228"/>
      <c r="BBS187" s="1228"/>
      <c r="BBT187" s="1228"/>
      <c r="BBU187" s="1228"/>
      <c r="BBV187" s="1228"/>
      <c r="BBW187" s="1228"/>
      <c r="BBX187" s="1228"/>
      <c r="BBY187" s="1228"/>
      <c r="BBZ187" s="1228"/>
      <c r="BCA187" s="1228"/>
      <c r="BCB187" s="1228"/>
      <c r="BCC187" s="1228"/>
      <c r="BCD187" s="1228"/>
      <c r="BCE187" s="1228"/>
      <c r="BCF187" s="1228"/>
      <c r="BCG187" s="1228"/>
      <c r="BCH187" s="1228"/>
      <c r="BCI187" s="1228"/>
      <c r="BCJ187" s="1228"/>
      <c r="BCK187" s="1228"/>
      <c r="BCL187" s="1228"/>
      <c r="BCM187" s="1228"/>
      <c r="BCN187" s="1228"/>
      <c r="BCO187" s="1228"/>
      <c r="BCP187" s="1228"/>
      <c r="BCQ187" s="1228"/>
      <c r="BCR187" s="1228"/>
      <c r="BCS187" s="1228"/>
      <c r="BCT187" s="1228"/>
      <c r="BCU187" s="1228"/>
      <c r="BCV187" s="1228"/>
      <c r="BCW187" s="1228"/>
      <c r="BCX187" s="1228"/>
      <c r="BCY187" s="1228"/>
      <c r="BCZ187" s="1228"/>
      <c r="BDA187" s="1228"/>
      <c r="BDB187" s="1228"/>
      <c r="BDC187" s="1228"/>
      <c r="BDD187" s="1228"/>
      <c r="BDE187" s="1228"/>
      <c r="BDF187" s="1228"/>
      <c r="BDG187" s="1228"/>
      <c r="BDH187" s="1228"/>
      <c r="BDI187" s="1228"/>
      <c r="BDJ187" s="1228"/>
      <c r="BDK187" s="1228"/>
      <c r="BDL187" s="1228"/>
      <c r="BDM187" s="1228"/>
      <c r="BDN187" s="1228"/>
      <c r="BDO187" s="1228"/>
      <c r="BDP187" s="1228"/>
      <c r="BDQ187" s="1228"/>
      <c r="BDR187" s="1228"/>
      <c r="BDS187" s="1228"/>
      <c r="BDT187" s="1228"/>
      <c r="BDU187" s="1228"/>
      <c r="BDV187" s="1228"/>
      <c r="BDW187" s="1228"/>
      <c r="BDX187" s="1228"/>
      <c r="BDY187" s="1228"/>
      <c r="BDZ187" s="1228"/>
      <c r="BEA187" s="1228"/>
      <c r="BEB187" s="1228"/>
      <c r="BEC187" s="1228"/>
      <c r="BED187" s="1228"/>
      <c r="BEE187" s="1228"/>
      <c r="BEF187" s="1228"/>
      <c r="BEG187" s="1228"/>
      <c r="BEH187" s="1228"/>
      <c r="BEI187" s="1228"/>
      <c r="BEJ187" s="1228"/>
      <c r="BEK187" s="1228"/>
      <c r="BEL187" s="1228"/>
      <c r="BEM187" s="1228"/>
      <c r="BEN187" s="1228"/>
      <c r="BEO187" s="1228"/>
      <c r="BEP187" s="1228"/>
      <c r="BEQ187" s="1228"/>
      <c r="BER187" s="1228"/>
      <c r="BES187" s="1228"/>
      <c r="BET187" s="1228"/>
      <c r="BEU187" s="1228"/>
      <c r="BEV187" s="1228"/>
      <c r="BEW187" s="1228"/>
      <c r="BEX187" s="1228"/>
      <c r="BEY187" s="1228"/>
      <c r="BEZ187" s="1228"/>
      <c r="BFA187" s="1228"/>
      <c r="BFB187" s="1228"/>
      <c r="BFC187" s="1228"/>
      <c r="BFD187" s="1228"/>
      <c r="BFE187" s="1228"/>
      <c r="BFF187" s="1228"/>
      <c r="BFG187" s="1228"/>
      <c r="BFH187" s="1228"/>
      <c r="BFI187" s="1228"/>
      <c r="BFJ187" s="1228"/>
      <c r="BFK187" s="1228"/>
      <c r="BFL187" s="1228"/>
      <c r="BFM187" s="1228"/>
      <c r="BFN187" s="1228"/>
      <c r="BFO187" s="1228"/>
      <c r="BFP187" s="1228"/>
      <c r="BFQ187" s="1228"/>
      <c r="BFR187" s="1228"/>
      <c r="BFS187" s="1228"/>
      <c r="BFT187" s="1228"/>
      <c r="BFU187" s="1228"/>
      <c r="BFV187" s="1228"/>
      <c r="BFW187" s="1228"/>
      <c r="BFX187" s="1228"/>
      <c r="BFY187" s="1228"/>
      <c r="BFZ187" s="1228"/>
      <c r="BGA187" s="1228"/>
      <c r="BGB187" s="1228"/>
      <c r="BGC187" s="1228"/>
      <c r="BGD187" s="1228"/>
      <c r="BGE187" s="1228"/>
      <c r="BGF187" s="1228"/>
      <c r="BGG187" s="1228"/>
      <c r="BGH187" s="1228"/>
      <c r="BGI187" s="1228"/>
      <c r="BGJ187" s="1228"/>
      <c r="BGK187" s="1228"/>
      <c r="BGL187" s="1228"/>
      <c r="BGM187" s="1228"/>
      <c r="BGN187" s="1228"/>
      <c r="BGO187" s="1228"/>
      <c r="BGP187" s="1228"/>
      <c r="BGQ187" s="1228"/>
      <c r="BGR187" s="1228"/>
      <c r="BGS187" s="1228"/>
      <c r="BGT187" s="1228"/>
      <c r="BGU187" s="1228"/>
      <c r="BGV187" s="1228"/>
      <c r="BGW187" s="1228"/>
      <c r="BGX187" s="1228"/>
      <c r="BGY187" s="1228"/>
      <c r="BGZ187" s="1228"/>
      <c r="BHA187" s="1228"/>
      <c r="BHB187" s="1228"/>
      <c r="BHC187" s="1228"/>
      <c r="BHD187" s="1228"/>
      <c r="BHE187" s="1228"/>
      <c r="BHF187" s="1228"/>
      <c r="BHG187" s="1228"/>
      <c r="BHH187" s="1228"/>
      <c r="BHI187" s="1228"/>
      <c r="BHJ187" s="1228"/>
      <c r="BHK187" s="1228"/>
      <c r="BHL187" s="1228"/>
      <c r="BHM187" s="1228"/>
      <c r="BHN187" s="1228"/>
      <c r="BHO187" s="1228"/>
      <c r="BHP187" s="1228"/>
      <c r="BHQ187" s="1228"/>
      <c r="BHR187" s="1228"/>
      <c r="BHS187" s="1228"/>
      <c r="BHT187" s="1228"/>
      <c r="BHU187" s="1228"/>
      <c r="BHV187" s="1228"/>
      <c r="BHW187" s="1228"/>
      <c r="BHX187" s="1228"/>
      <c r="BHY187" s="1228"/>
      <c r="BHZ187" s="1228"/>
      <c r="BIA187" s="1228"/>
      <c r="BIB187" s="1228"/>
      <c r="BIC187" s="1228"/>
      <c r="BID187" s="1228"/>
      <c r="BIE187" s="1228"/>
      <c r="BIF187" s="1228"/>
      <c r="BIG187" s="1228"/>
      <c r="BIH187" s="1228"/>
      <c r="BII187" s="1228"/>
      <c r="BIJ187" s="1228"/>
      <c r="BIK187" s="1228"/>
      <c r="BIL187" s="1228"/>
      <c r="BIM187" s="1228"/>
      <c r="BIN187" s="1228"/>
      <c r="BIO187" s="1228"/>
      <c r="BIP187" s="1228"/>
      <c r="BIQ187" s="1228"/>
      <c r="BIR187" s="1228"/>
      <c r="BIS187" s="1228"/>
      <c r="BIT187" s="1228"/>
      <c r="BIU187" s="1228"/>
      <c r="BIV187" s="1228"/>
      <c r="BIW187" s="1228"/>
      <c r="BIX187" s="1228"/>
      <c r="BIY187" s="1228"/>
      <c r="BIZ187" s="1228"/>
      <c r="BJA187" s="1228"/>
      <c r="BJB187" s="1228"/>
      <c r="BJC187" s="1228"/>
      <c r="BJD187" s="1228"/>
      <c r="BJE187" s="1228"/>
      <c r="BJF187" s="1228"/>
      <c r="BJG187" s="1228"/>
      <c r="BJH187" s="1228"/>
      <c r="BJI187" s="1228"/>
      <c r="BJJ187" s="1228"/>
      <c r="BJK187" s="1228"/>
      <c r="BJL187" s="1228"/>
      <c r="BJM187" s="1228"/>
      <c r="BJN187" s="1228"/>
      <c r="BJO187" s="1228"/>
      <c r="BJP187" s="1228"/>
      <c r="BJQ187" s="1228"/>
      <c r="BJR187" s="1228"/>
      <c r="BJS187" s="1228"/>
      <c r="BJT187" s="1228"/>
      <c r="BJU187" s="1228"/>
      <c r="BJV187" s="1228"/>
      <c r="BJW187" s="1228"/>
      <c r="BJX187" s="1228"/>
      <c r="BJY187" s="1228"/>
      <c r="BJZ187" s="1228"/>
      <c r="BKA187" s="1228"/>
      <c r="BKB187" s="1228"/>
      <c r="BKC187" s="1228"/>
      <c r="BKD187" s="1228"/>
      <c r="BKE187" s="1228"/>
      <c r="BKF187" s="1228"/>
      <c r="BKG187" s="1228"/>
      <c r="BKH187" s="1228"/>
      <c r="BKI187" s="1228"/>
      <c r="BKJ187" s="1228"/>
      <c r="BKK187" s="1228"/>
      <c r="BKL187" s="1228"/>
      <c r="BKM187" s="1228"/>
      <c r="BKN187" s="1228"/>
      <c r="BKO187" s="1228"/>
      <c r="BKP187" s="1228"/>
      <c r="BKQ187" s="1228"/>
      <c r="BKR187" s="1228"/>
      <c r="BKS187" s="1228"/>
      <c r="BKT187" s="1228"/>
      <c r="BKU187" s="1228"/>
      <c r="BKV187" s="1228"/>
      <c r="BKW187" s="1228"/>
      <c r="BKX187" s="1228"/>
      <c r="BKY187" s="1228"/>
      <c r="BKZ187" s="1228"/>
      <c r="BLA187" s="1228"/>
      <c r="BLB187" s="1228"/>
      <c r="BLC187" s="1228"/>
      <c r="BLD187" s="1228"/>
      <c r="BLE187" s="1228"/>
      <c r="BLF187" s="1228"/>
      <c r="BLG187" s="1228"/>
      <c r="BLH187" s="1228"/>
      <c r="BLI187" s="1228"/>
      <c r="BLJ187" s="1228"/>
      <c r="BLK187" s="1228"/>
      <c r="BLL187" s="1228"/>
      <c r="BLM187" s="1228"/>
      <c r="BLN187" s="1228"/>
      <c r="BLO187" s="1228"/>
      <c r="BLP187" s="1228"/>
      <c r="BLQ187" s="1228"/>
      <c r="BLR187" s="1228"/>
      <c r="BLS187" s="1228"/>
      <c r="BLT187" s="1228"/>
      <c r="BLU187" s="1228"/>
      <c r="BLV187" s="1228"/>
      <c r="BLW187" s="1228"/>
      <c r="BLX187" s="1228"/>
      <c r="BLY187" s="1228"/>
      <c r="BLZ187" s="1228"/>
      <c r="BMA187" s="1228"/>
      <c r="BMB187" s="1228"/>
      <c r="BMC187" s="1228"/>
      <c r="BMD187" s="1228"/>
      <c r="BME187" s="1228"/>
      <c r="BMF187" s="1228"/>
      <c r="BMG187" s="1228"/>
      <c r="BMH187" s="1228"/>
      <c r="BMI187" s="1228"/>
      <c r="BMJ187" s="1228"/>
      <c r="BMK187" s="1228"/>
      <c r="BML187" s="1228"/>
      <c r="BMM187" s="1228"/>
      <c r="BMN187" s="1228"/>
      <c r="BMO187" s="1228"/>
      <c r="BMP187" s="1228"/>
      <c r="BMQ187" s="1228"/>
      <c r="BMR187" s="1228"/>
      <c r="BMS187" s="1228"/>
      <c r="BMT187" s="1228"/>
      <c r="BMU187" s="1228"/>
      <c r="BMV187" s="1228"/>
      <c r="BMW187" s="1228"/>
      <c r="BMX187" s="1228"/>
      <c r="BMY187" s="1228"/>
      <c r="BMZ187" s="1228"/>
      <c r="BNA187" s="1228"/>
      <c r="BNB187" s="1228"/>
      <c r="BNC187" s="1228"/>
      <c r="BND187" s="1228"/>
      <c r="BNE187" s="1228"/>
      <c r="BNF187" s="1228"/>
      <c r="BNG187" s="1228"/>
      <c r="BNH187" s="1228"/>
      <c r="BNI187" s="1228"/>
      <c r="BNJ187" s="1228"/>
      <c r="BNK187" s="1228"/>
      <c r="BNL187" s="1228"/>
      <c r="BNM187" s="1228"/>
      <c r="BNN187" s="1228"/>
      <c r="BNO187" s="1228"/>
      <c r="BNP187" s="1228"/>
      <c r="BNQ187" s="1228"/>
      <c r="BNR187" s="1228"/>
      <c r="BNS187" s="1228"/>
      <c r="BNT187" s="1228"/>
      <c r="BNU187" s="1228"/>
      <c r="BNV187" s="1228"/>
      <c r="BNW187" s="1228"/>
      <c r="BNX187" s="1228"/>
      <c r="BNY187" s="1228"/>
      <c r="BNZ187" s="1228"/>
      <c r="BOA187" s="1228"/>
      <c r="BOB187" s="1228"/>
      <c r="BOC187" s="1228"/>
      <c r="BOD187" s="1228"/>
      <c r="BOE187" s="1228"/>
      <c r="BOF187" s="1228"/>
      <c r="BOG187" s="1228"/>
      <c r="BOH187" s="1228"/>
      <c r="BOI187" s="1228"/>
      <c r="BOJ187" s="1228"/>
      <c r="BOK187" s="1228"/>
      <c r="BOL187" s="1228"/>
      <c r="BOM187" s="1228"/>
      <c r="BON187" s="1228"/>
      <c r="BOO187" s="1228"/>
      <c r="BOP187" s="1228"/>
      <c r="BOQ187" s="1228"/>
      <c r="BOR187" s="1228"/>
      <c r="BOS187" s="1228"/>
      <c r="BOT187" s="1228"/>
      <c r="BOU187" s="1228"/>
      <c r="BOV187" s="1228"/>
      <c r="BOW187" s="1228"/>
      <c r="BOX187" s="1228"/>
      <c r="BOY187" s="1228"/>
      <c r="BOZ187" s="1228"/>
      <c r="BPA187" s="1228"/>
      <c r="BPB187" s="1228"/>
      <c r="BPC187" s="1228"/>
      <c r="BPD187" s="1228"/>
      <c r="BPE187" s="1228"/>
      <c r="BPF187" s="1228"/>
      <c r="BPG187" s="1228"/>
      <c r="BPH187" s="1228"/>
      <c r="BPI187" s="1228"/>
      <c r="BPJ187" s="1228"/>
      <c r="BPK187" s="1228"/>
      <c r="BPL187" s="1228"/>
      <c r="BPM187" s="1228"/>
      <c r="BPN187" s="1228"/>
      <c r="BPO187" s="1228"/>
      <c r="BPP187" s="1228"/>
      <c r="BPQ187" s="1228"/>
      <c r="BPR187" s="1228"/>
      <c r="BPS187" s="1228"/>
      <c r="BPT187" s="1228"/>
      <c r="BPU187" s="1228"/>
      <c r="BPV187" s="1228"/>
      <c r="BPW187" s="1228"/>
      <c r="BPX187" s="1228"/>
      <c r="BPY187" s="1228"/>
      <c r="BPZ187" s="1228"/>
      <c r="BQA187" s="1228"/>
      <c r="BQB187" s="1228"/>
      <c r="BQC187" s="1228"/>
      <c r="BQD187" s="1228"/>
      <c r="BQE187" s="1228"/>
      <c r="BQF187" s="1228"/>
      <c r="BQG187" s="1228"/>
      <c r="BQH187" s="1228"/>
      <c r="BQI187" s="1228"/>
      <c r="BQJ187" s="1228"/>
      <c r="BQK187" s="1228"/>
      <c r="BQL187" s="1228"/>
      <c r="BQM187" s="1228"/>
      <c r="BQN187" s="1228"/>
      <c r="BQO187" s="1228"/>
      <c r="BQP187" s="1228"/>
      <c r="BQQ187" s="1228"/>
      <c r="BQR187" s="1228"/>
      <c r="BQS187" s="1228"/>
      <c r="BQT187" s="1228"/>
      <c r="BQU187" s="1228"/>
      <c r="BQV187" s="1228"/>
      <c r="BQW187" s="1228"/>
      <c r="BQX187" s="1228"/>
      <c r="BQY187" s="1228"/>
      <c r="BQZ187" s="1228"/>
      <c r="BRA187" s="1228"/>
      <c r="BRB187" s="1228"/>
      <c r="BRC187" s="1228"/>
      <c r="BRD187" s="1228"/>
      <c r="BRE187" s="1228"/>
      <c r="BRF187" s="1228"/>
      <c r="BRG187" s="1228"/>
      <c r="BRH187" s="1228"/>
      <c r="BRI187" s="1228"/>
      <c r="BRJ187" s="1228"/>
      <c r="BRK187" s="1228"/>
      <c r="BRL187" s="1228"/>
      <c r="BRM187" s="1228"/>
      <c r="BRN187" s="1228"/>
      <c r="BRO187" s="1228"/>
      <c r="BRP187" s="1228"/>
      <c r="BRQ187" s="1228"/>
      <c r="BRR187" s="1228"/>
      <c r="BRS187" s="1228"/>
      <c r="BRT187" s="1228"/>
      <c r="BRU187" s="1228"/>
      <c r="BRV187" s="1228"/>
      <c r="BRW187" s="1228"/>
      <c r="BRX187" s="1228"/>
      <c r="BRY187" s="1228"/>
      <c r="BRZ187" s="1228"/>
      <c r="BSA187" s="1228"/>
      <c r="BSB187" s="1228"/>
      <c r="BSC187" s="1228"/>
      <c r="BSD187" s="1228"/>
      <c r="BSE187" s="1228"/>
      <c r="BSF187" s="1228"/>
      <c r="BSG187" s="1228"/>
      <c r="BSH187" s="1228"/>
      <c r="BSI187" s="1228"/>
      <c r="BSJ187" s="1228"/>
      <c r="BSK187" s="1228"/>
      <c r="BSL187" s="1228"/>
      <c r="BSM187" s="1228"/>
      <c r="BSN187" s="1228"/>
      <c r="BSO187" s="1228"/>
      <c r="BSP187" s="1228"/>
      <c r="BSQ187" s="1228"/>
      <c r="BSR187" s="1228"/>
      <c r="BSS187" s="1228"/>
      <c r="BST187" s="1228"/>
      <c r="BSU187" s="1228"/>
      <c r="BSV187" s="1228"/>
      <c r="BSW187" s="1228"/>
      <c r="BSX187" s="1228"/>
      <c r="BSY187" s="1228"/>
      <c r="BSZ187" s="1228"/>
      <c r="BTA187" s="1228"/>
      <c r="BTB187" s="1228"/>
      <c r="BTC187" s="1228"/>
      <c r="BTD187" s="1228"/>
      <c r="BTE187" s="1228"/>
      <c r="BTF187" s="1228"/>
      <c r="BTG187" s="1228"/>
      <c r="BTH187" s="1228"/>
      <c r="BTI187" s="1228"/>
      <c r="BTJ187" s="1228"/>
      <c r="BTK187" s="1228"/>
      <c r="BTL187" s="1228"/>
      <c r="BTM187" s="1228"/>
      <c r="BTN187" s="1228"/>
      <c r="BTO187" s="1228"/>
      <c r="BTP187" s="1228"/>
      <c r="BTQ187" s="1228"/>
      <c r="BTR187" s="1228"/>
      <c r="BTS187" s="1228"/>
      <c r="BTT187" s="1228"/>
      <c r="BTU187" s="1228"/>
      <c r="BTV187" s="1228"/>
      <c r="BTW187" s="1228"/>
      <c r="BTX187" s="1228"/>
      <c r="BTY187" s="1228"/>
      <c r="BTZ187" s="1228"/>
      <c r="BUA187" s="1228"/>
      <c r="BUB187" s="1228"/>
      <c r="BUC187" s="1228"/>
      <c r="BUD187" s="1228"/>
      <c r="BUE187" s="1228"/>
      <c r="BUF187" s="1228"/>
      <c r="BUG187" s="1228"/>
      <c r="BUH187" s="1228"/>
      <c r="BUI187" s="1228"/>
      <c r="BUJ187" s="1228"/>
      <c r="BUK187" s="1228"/>
      <c r="BUL187" s="1228"/>
      <c r="BUM187" s="1228"/>
      <c r="BUN187" s="1228"/>
      <c r="BUO187" s="1228"/>
      <c r="BUP187" s="1228"/>
      <c r="BUQ187" s="1228"/>
      <c r="BUR187" s="1228"/>
      <c r="BUS187" s="1228"/>
      <c r="BUT187" s="1228"/>
      <c r="BUU187" s="1228"/>
      <c r="BUV187" s="1228"/>
      <c r="BUW187" s="1228"/>
      <c r="BUX187" s="1228"/>
      <c r="BUY187" s="1228"/>
      <c r="BUZ187" s="1228"/>
      <c r="BVA187" s="1228"/>
      <c r="BVB187" s="1228"/>
      <c r="BVC187" s="1228"/>
      <c r="BVD187" s="1228"/>
      <c r="BVE187" s="1228"/>
      <c r="BVF187" s="1228"/>
      <c r="BVG187" s="1228"/>
      <c r="BVH187" s="1228"/>
      <c r="BVI187" s="1228"/>
      <c r="BVJ187" s="1228"/>
      <c r="BVK187" s="1228"/>
      <c r="BVL187" s="1228"/>
      <c r="BVM187" s="1228"/>
      <c r="BVN187" s="1228"/>
      <c r="BVO187" s="1228"/>
      <c r="BVP187" s="1228"/>
      <c r="BVQ187" s="1228"/>
      <c r="BVR187" s="1228"/>
      <c r="BVS187" s="1228"/>
      <c r="BVT187" s="1228"/>
      <c r="BVU187" s="1228"/>
      <c r="BVV187" s="1228"/>
      <c r="BVW187" s="1228"/>
      <c r="BVX187" s="1228"/>
      <c r="BVY187" s="1228"/>
      <c r="BVZ187" s="1228"/>
      <c r="BWA187" s="1228"/>
      <c r="BWB187" s="1228"/>
      <c r="BWC187" s="1228"/>
      <c r="BWD187" s="1228"/>
      <c r="BWE187" s="1228"/>
      <c r="BWF187" s="1228"/>
      <c r="BWG187" s="1228"/>
      <c r="BWH187" s="1228"/>
      <c r="BWI187" s="1228"/>
      <c r="BWJ187" s="1228"/>
      <c r="BWK187" s="1228"/>
      <c r="BWL187" s="1228"/>
      <c r="BWM187" s="1228"/>
      <c r="BWN187" s="1228"/>
      <c r="BWO187" s="1228"/>
      <c r="BWP187" s="1228"/>
      <c r="BWQ187" s="1228"/>
      <c r="BWR187" s="1228"/>
      <c r="BWS187" s="1228"/>
      <c r="BWT187" s="1228"/>
      <c r="BWU187" s="1228"/>
      <c r="BWV187" s="1228"/>
      <c r="BWW187" s="1228"/>
      <c r="BWX187" s="1228"/>
      <c r="BWY187" s="1228"/>
      <c r="BWZ187" s="1228"/>
      <c r="BXA187" s="1228"/>
      <c r="BXB187" s="1228"/>
      <c r="BXC187" s="1228"/>
      <c r="BXD187" s="1228"/>
      <c r="BXE187" s="1228"/>
      <c r="BXF187" s="1228"/>
      <c r="BXG187" s="1228"/>
      <c r="BXH187" s="1228"/>
      <c r="BXI187" s="1228"/>
      <c r="BXJ187" s="1228"/>
      <c r="BXK187" s="1228"/>
      <c r="BXL187" s="1228"/>
      <c r="BXM187" s="1228"/>
      <c r="BXN187" s="1228"/>
      <c r="BXO187" s="1228"/>
      <c r="BXP187" s="1228"/>
      <c r="BXQ187" s="1228"/>
      <c r="BXR187" s="1228"/>
      <c r="BXS187" s="1228"/>
      <c r="BXT187" s="1228"/>
      <c r="BXU187" s="1228"/>
      <c r="BXV187" s="1228"/>
      <c r="BXW187" s="1228"/>
      <c r="BXX187" s="1228"/>
      <c r="BXY187" s="1228"/>
      <c r="BXZ187" s="1228"/>
      <c r="BYA187" s="1228"/>
      <c r="BYB187" s="1228"/>
      <c r="BYC187" s="1228"/>
      <c r="BYD187" s="1228"/>
      <c r="BYE187" s="1228"/>
      <c r="BYF187" s="1228"/>
      <c r="BYG187" s="1228"/>
      <c r="BYH187" s="1228"/>
      <c r="BYI187" s="1228"/>
      <c r="BYJ187" s="1228"/>
      <c r="BYK187" s="1228"/>
      <c r="BYL187" s="1228"/>
      <c r="BYM187" s="1228"/>
      <c r="BYN187" s="1228"/>
      <c r="BYO187" s="1228"/>
      <c r="BYP187" s="1228"/>
      <c r="BYQ187" s="1228"/>
      <c r="BYR187" s="1228"/>
      <c r="BYS187" s="1228"/>
      <c r="BYT187" s="1228"/>
      <c r="BYU187" s="1228"/>
      <c r="BYV187" s="1228"/>
      <c r="BYW187" s="1228"/>
      <c r="BYX187" s="1228"/>
      <c r="BYY187" s="1228"/>
      <c r="BYZ187" s="1228"/>
      <c r="BZA187" s="1228"/>
      <c r="BZB187" s="1228"/>
      <c r="BZC187" s="1228"/>
      <c r="BZD187" s="1228"/>
      <c r="BZE187" s="1228"/>
      <c r="BZF187" s="1228"/>
      <c r="BZG187" s="1228"/>
      <c r="BZH187" s="1228"/>
      <c r="BZI187" s="1228"/>
      <c r="BZJ187" s="1228"/>
      <c r="BZK187" s="1228"/>
      <c r="BZL187" s="1228"/>
      <c r="BZM187" s="1228"/>
      <c r="BZN187" s="1228"/>
      <c r="BZO187" s="1228"/>
      <c r="BZP187" s="1228"/>
      <c r="BZQ187" s="1228"/>
      <c r="BZR187" s="1228"/>
      <c r="BZS187" s="1228"/>
      <c r="BZT187" s="1228"/>
      <c r="BZU187" s="1228"/>
      <c r="BZV187" s="1228"/>
      <c r="BZW187" s="1228"/>
      <c r="BZX187" s="1228"/>
      <c r="BZY187" s="1228"/>
      <c r="BZZ187" s="1228"/>
      <c r="CAA187" s="1228"/>
      <c r="CAB187" s="1228"/>
      <c r="CAC187" s="1228"/>
      <c r="CAD187" s="1228"/>
      <c r="CAE187" s="1228"/>
      <c r="CAF187" s="1228"/>
      <c r="CAG187" s="1228"/>
      <c r="CAH187" s="1228"/>
      <c r="CAI187" s="1228"/>
      <c r="CAJ187" s="1228"/>
      <c r="CAK187" s="1228"/>
      <c r="CAL187" s="1228"/>
      <c r="CAM187" s="1228"/>
      <c r="CAN187" s="1228"/>
      <c r="CAO187" s="1228"/>
      <c r="CAP187" s="1228"/>
      <c r="CAQ187" s="1228"/>
      <c r="CAR187" s="1228"/>
      <c r="CAS187" s="1228"/>
      <c r="CAT187" s="1228"/>
      <c r="CAU187" s="1228"/>
      <c r="CAV187" s="1228"/>
      <c r="CAW187" s="1228"/>
      <c r="CAX187" s="1228"/>
      <c r="CAY187" s="1228"/>
      <c r="CAZ187" s="1228"/>
      <c r="CBA187" s="1228"/>
      <c r="CBB187" s="1228"/>
      <c r="CBC187" s="1228"/>
      <c r="CBD187" s="1228"/>
      <c r="CBE187" s="1228"/>
      <c r="CBF187" s="1228"/>
      <c r="CBG187" s="1228"/>
      <c r="CBH187" s="1228"/>
      <c r="CBI187" s="1228"/>
      <c r="CBJ187" s="1228"/>
      <c r="CBK187" s="1228"/>
      <c r="CBL187" s="1228"/>
      <c r="CBM187" s="1228"/>
      <c r="CBN187" s="1228"/>
      <c r="CBO187" s="1228"/>
      <c r="CBP187" s="1228"/>
      <c r="CBQ187" s="1228"/>
      <c r="CBR187" s="1228"/>
      <c r="CBS187" s="1228"/>
      <c r="CBT187" s="1228"/>
      <c r="CBU187" s="1228"/>
      <c r="CBV187" s="1228"/>
      <c r="CBW187" s="1228"/>
      <c r="CBX187" s="1228"/>
      <c r="CBY187" s="1228"/>
      <c r="CBZ187" s="1228"/>
      <c r="CCA187" s="1228"/>
      <c r="CCB187" s="1228"/>
      <c r="CCC187" s="1228"/>
      <c r="CCD187" s="1228"/>
      <c r="CCE187" s="1228"/>
      <c r="CCF187" s="1228"/>
      <c r="CCG187" s="1228"/>
      <c r="CCH187" s="1228"/>
      <c r="CCI187" s="1228"/>
      <c r="CCJ187" s="1228"/>
      <c r="CCK187" s="1228"/>
      <c r="CCL187" s="1228"/>
      <c r="CCM187" s="1228"/>
      <c r="CCN187" s="1228"/>
      <c r="CCO187" s="1228"/>
      <c r="CCP187" s="1228"/>
      <c r="CCQ187" s="1228"/>
      <c r="CCR187" s="1228"/>
      <c r="CCS187" s="1228"/>
      <c r="CCT187" s="1228"/>
      <c r="CCU187" s="1228"/>
      <c r="CCV187" s="1228"/>
      <c r="CCW187" s="1228"/>
      <c r="CCX187" s="1228"/>
      <c r="CCY187" s="1228"/>
      <c r="CCZ187" s="1228"/>
      <c r="CDA187" s="1228"/>
      <c r="CDB187" s="1228"/>
      <c r="CDC187" s="1228"/>
      <c r="CDD187" s="1228"/>
      <c r="CDE187" s="1228"/>
      <c r="CDF187" s="1228"/>
      <c r="CDG187" s="1228"/>
      <c r="CDH187" s="1228"/>
      <c r="CDI187" s="1228"/>
      <c r="CDJ187" s="1228"/>
      <c r="CDK187" s="1228"/>
      <c r="CDL187" s="1228"/>
      <c r="CDM187" s="1228"/>
      <c r="CDN187" s="1228"/>
      <c r="CDO187" s="1228"/>
      <c r="CDP187" s="1228"/>
      <c r="CDQ187" s="1228"/>
      <c r="CDR187" s="1228"/>
      <c r="CDS187" s="1228"/>
      <c r="CDT187" s="1228"/>
      <c r="CDU187" s="1228"/>
      <c r="CDV187" s="1228"/>
      <c r="CDW187" s="1228"/>
      <c r="CDX187" s="1228"/>
      <c r="CDY187" s="1228"/>
      <c r="CDZ187" s="1228"/>
      <c r="CEA187" s="1228"/>
      <c r="CEB187" s="1228"/>
      <c r="CEC187" s="1228"/>
      <c r="CED187" s="1228"/>
      <c r="CEE187" s="1228"/>
      <c r="CEF187" s="1228"/>
      <c r="CEG187" s="1228"/>
      <c r="CEH187" s="1228"/>
      <c r="CEI187" s="1228"/>
      <c r="CEJ187" s="1228"/>
      <c r="CEK187" s="1228"/>
      <c r="CEL187" s="1228"/>
      <c r="CEM187" s="1228"/>
      <c r="CEN187" s="1228"/>
      <c r="CEO187" s="1228"/>
      <c r="CEP187" s="1228"/>
      <c r="CEQ187" s="1228"/>
      <c r="CER187" s="1228"/>
      <c r="CES187" s="1228"/>
      <c r="CET187" s="1228"/>
      <c r="CEU187" s="1228"/>
      <c r="CEV187" s="1228"/>
      <c r="CEW187" s="1228"/>
      <c r="CEX187" s="1228"/>
      <c r="CEY187" s="1228"/>
      <c r="CEZ187" s="1228"/>
      <c r="CFA187" s="1228"/>
      <c r="CFB187" s="1228"/>
      <c r="CFC187" s="1228"/>
      <c r="CFD187" s="1228"/>
      <c r="CFE187" s="1228"/>
      <c r="CFF187" s="1228"/>
      <c r="CFG187" s="1228"/>
      <c r="CFH187" s="1228"/>
      <c r="CFI187" s="1228"/>
      <c r="CFJ187" s="1228"/>
      <c r="CFK187" s="1228"/>
      <c r="CFL187" s="1228"/>
      <c r="CFM187" s="1228"/>
      <c r="CFN187" s="1228"/>
      <c r="CFO187" s="1228"/>
      <c r="CFP187" s="1228"/>
      <c r="CFQ187" s="1228"/>
      <c r="CFR187" s="1228"/>
      <c r="CFS187" s="1228"/>
      <c r="CFT187" s="1228"/>
      <c r="CFU187" s="1228"/>
      <c r="CFV187" s="1228"/>
      <c r="CFW187" s="1228"/>
      <c r="CFX187" s="1228"/>
      <c r="CFY187" s="1228"/>
      <c r="CFZ187" s="1228"/>
      <c r="CGA187" s="1228"/>
      <c r="CGB187" s="1228"/>
      <c r="CGC187" s="1228"/>
      <c r="CGD187" s="1228"/>
      <c r="CGE187" s="1228"/>
      <c r="CGF187" s="1228"/>
      <c r="CGG187" s="1228"/>
      <c r="CGH187" s="1228"/>
      <c r="CGI187" s="1228"/>
      <c r="CGJ187" s="1228"/>
      <c r="CGK187" s="1228"/>
      <c r="CGL187" s="1228"/>
      <c r="CGM187" s="1228"/>
      <c r="CGN187" s="1228"/>
      <c r="CGO187" s="1228"/>
      <c r="CGP187" s="1228"/>
      <c r="CGQ187" s="1228"/>
      <c r="CGR187" s="1228"/>
      <c r="CGS187" s="1228"/>
      <c r="CGT187" s="1228"/>
      <c r="CGU187" s="1228"/>
      <c r="CGV187" s="1228"/>
      <c r="CGW187" s="1228"/>
      <c r="CGX187" s="1228"/>
      <c r="CGY187" s="1228"/>
      <c r="CGZ187" s="1228"/>
      <c r="CHA187" s="1228"/>
      <c r="CHB187" s="1228"/>
      <c r="CHC187" s="1228"/>
      <c r="CHD187" s="1228"/>
      <c r="CHE187" s="1228"/>
      <c r="CHF187" s="1228"/>
      <c r="CHG187" s="1228"/>
      <c r="CHH187" s="1228"/>
      <c r="CHI187" s="1228"/>
      <c r="CHJ187" s="1228"/>
      <c r="CHK187" s="1228"/>
      <c r="CHL187" s="1228"/>
      <c r="CHM187" s="1228"/>
      <c r="CHN187" s="1228"/>
      <c r="CHO187" s="1228"/>
      <c r="CHP187" s="1228"/>
      <c r="CHQ187" s="1228"/>
      <c r="CHR187" s="1228"/>
      <c r="CHS187" s="1228"/>
      <c r="CHT187" s="1228"/>
      <c r="CHU187" s="1228"/>
      <c r="CHV187" s="1228"/>
      <c r="CHW187" s="1228"/>
      <c r="CHX187" s="1228"/>
      <c r="CHY187" s="1228"/>
      <c r="CHZ187" s="1228"/>
      <c r="CIA187" s="1228"/>
      <c r="CIB187" s="1228"/>
      <c r="CIC187" s="1228"/>
      <c r="CID187" s="1228"/>
      <c r="CIE187" s="1228"/>
      <c r="CIF187" s="1228"/>
      <c r="CIG187" s="1228"/>
      <c r="CIH187" s="1228"/>
      <c r="CII187" s="1228"/>
      <c r="CIJ187" s="1228"/>
      <c r="CIK187" s="1228"/>
      <c r="CIL187" s="1228"/>
      <c r="CIM187" s="1228"/>
      <c r="CIN187" s="1228"/>
      <c r="CIO187" s="1228"/>
      <c r="CIP187" s="1228"/>
      <c r="CIQ187" s="1228"/>
      <c r="CIR187" s="1228"/>
      <c r="CIS187" s="1228"/>
      <c r="CIT187" s="1228"/>
      <c r="CIU187" s="1228"/>
      <c r="CIV187" s="1228"/>
      <c r="CIW187" s="1228"/>
      <c r="CIX187" s="1228"/>
      <c r="CIY187" s="1228"/>
      <c r="CIZ187" s="1228"/>
      <c r="CJA187" s="1228"/>
      <c r="CJB187" s="1228"/>
      <c r="CJC187" s="1228"/>
      <c r="CJD187" s="1228"/>
      <c r="CJE187" s="1228"/>
      <c r="CJF187" s="1228"/>
      <c r="CJG187" s="1228"/>
      <c r="CJH187" s="1228"/>
      <c r="CJI187" s="1228"/>
      <c r="CJJ187" s="1228"/>
      <c r="CJK187" s="1228"/>
      <c r="CJL187" s="1228"/>
      <c r="CJM187" s="1228"/>
      <c r="CJN187" s="1228"/>
      <c r="CJO187" s="1228"/>
      <c r="CJP187" s="1228"/>
      <c r="CJQ187" s="1228"/>
      <c r="CJR187" s="1228"/>
      <c r="CJS187" s="1228"/>
      <c r="CJT187" s="1228"/>
      <c r="CJU187" s="1228"/>
      <c r="CJV187" s="1228"/>
      <c r="CJW187" s="1228"/>
      <c r="CJX187" s="1228"/>
      <c r="CJY187" s="1228"/>
      <c r="CJZ187" s="1228"/>
      <c r="CKA187" s="1228"/>
      <c r="CKB187" s="1228"/>
      <c r="CKC187" s="1228"/>
      <c r="CKD187" s="1228"/>
      <c r="CKE187" s="1228"/>
      <c r="CKF187" s="1228"/>
      <c r="CKG187" s="1228"/>
      <c r="CKH187" s="1228"/>
      <c r="CKI187" s="1228"/>
      <c r="CKJ187" s="1228"/>
      <c r="CKK187" s="1228"/>
      <c r="CKL187" s="1228"/>
      <c r="CKM187" s="1228"/>
      <c r="CKN187" s="1228"/>
      <c r="CKO187" s="1228"/>
      <c r="CKP187" s="1228"/>
      <c r="CKQ187" s="1228"/>
      <c r="CKR187" s="1228"/>
      <c r="CKS187" s="1228"/>
      <c r="CKT187" s="1228"/>
      <c r="CKU187" s="1228"/>
      <c r="CKV187" s="1228"/>
      <c r="CKW187" s="1228"/>
      <c r="CKX187" s="1228"/>
      <c r="CKY187" s="1228"/>
      <c r="CKZ187" s="1228"/>
      <c r="CLA187" s="1228"/>
      <c r="CLB187" s="1228"/>
      <c r="CLC187" s="1228"/>
      <c r="CLD187" s="1228"/>
      <c r="CLE187" s="1228"/>
      <c r="CLF187" s="1228"/>
      <c r="CLG187" s="1228"/>
      <c r="CLH187" s="1228"/>
      <c r="CLI187" s="1228"/>
      <c r="CLJ187" s="1228"/>
      <c r="CLK187" s="1228"/>
      <c r="CLL187" s="1228"/>
      <c r="CLM187" s="1228"/>
      <c r="CLN187" s="1228"/>
      <c r="CLO187" s="1228"/>
      <c r="CLP187" s="1228"/>
      <c r="CLQ187" s="1228"/>
      <c r="CLR187" s="1228"/>
      <c r="CLS187" s="1228"/>
      <c r="CLT187" s="1228"/>
      <c r="CLU187" s="1228"/>
      <c r="CLV187" s="1228"/>
      <c r="CLW187" s="1228"/>
      <c r="CLX187" s="1228"/>
      <c r="CLY187" s="1228"/>
      <c r="CLZ187" s="1228"/>
      <c r="CMA187" s="1228"/>
      <c r="CMB187" s="1228"/>
      <c r="CMC187" s="1228"/>
      <c r="CMD187" s="1228"/>
      <c r="CME187" s="1228"/>
      <c r="CMF187" s="1228"/>
      <c r="CMG187" s="1228"/>
      <c r="CMH187" s="1228"/>
      <c r="CMI187" s="1228"/>
      <c r="CMJ187" s="1228"/>
      <c r="CMK187" s="1228"/>
      <c r="CML187" s="1228"/>
      <c r="CMM187" s="1228"/>
      <c r="CMN187" s="1228"/>
      <c r="CMO187" s="1228"/>
      <c r="CMP187" s="1228"/>
      <c r="CMQ187" s="1228"/>
      <c r="CMR187" s="1228"/>
      <c r="CMS187" s="1228"/>
      <c r="CMT187" s="1228"/>
      <c r="CMU187" s="1228"/>
      <c r="CMV187" s="1228"/>
      <c r="CMW187" s="1228"/>
      <c r="CMX187" s="1228"/>
      <c r="CMY187" s="1228"/>
      <c r="CMZ187" s="1228"/>
      <c r="CNA187" s="1228"/>
      <c r="CNB187" s="1228"/>
      <c r="CNC187" s="1228"/>
      <c r="CND187" s="1228"/>
      <c r="CNE187" s="1228"/>
      <c r="CNF187" s="1228"/>
      <c r="CNG187" s="1228"/>
      <c r="CNH187" s="1228"/>
      <c r="CNI187" s="1228"/>
      <c r="CNJ187" s="1228"/>
      <c r="CNK187" s="1228"/>
      <c r="CNL187" s="1228"/>
      <c r="CNM187" s="1228"/>
      <c r="CNN187" s="1228"/>
      <c r="CNO187" s="1228"/>
      <c r="CNP187" s="1228"/>
      <c r="CNQ187" s="1228"/>
      <c r="CNR187" s="1228"/>
      <c r="CNS187" s="1228"/>
      <c r="CNT187" s="1228"/>
      <c r="CNU187" s="1228"/>
      <c r="CNV187" s="1228"/>
      <c r="CNW187" s="1228"/>
      <c r="CNX187" s="1228"/>
      <c r="CNY187" s="1228"/>
      <c r="CNZ187" s="1228"/>
      <c r="COA187" s="1228"/>
      <c r="COB187" s="1228"/>
      <c r="COC187" s="1228"/>
      <c r="COD187" s="1228"/>
      <c r="COE187" s="1228"/>
      <c r="COF187" s="1228"/>
      <c r="COG187" s="1228"/>
      <c r="COH187" s="1228"/>
      <c r="COI187" s="1228"/>
      <c r="COJ187" s="1228"/>
      <c r="COK187" s="1228"/>
      <c r="COL187" s="1228"/>
      <c r="COM187" s="1228"/>
      <c r="CON187" s="1228"/>
      <c r="COO187" s="1228"/>
      <c r="COP187" s="1228"/>
      <c r="COQ187" s="1228"/>
      <c r="COR187" s="1228"/>
      <c r="COS187" s="1228"/>
      <c r="COT187" s="1228"/>
      <c r="COU187" s="1228"/>
      <c r="COV187" s="1228"/>
      <c r="COW187" s="1228"/>
      <c r="COX187" s="1228"/>
      <c r="COY187" s="1228"/>
      <c r="COZ187" s="1228"/>
      <c r="CPA187" s="1228"/>
      <c r="CPB187" s="1228"/>
      <c r="CPC187" s="1228"/>
      <c r="CPD187" s="1228"/>
      <c r="CPE187" s="1228"/>
      <c r="CPF187" s="1228"/>
      <c r="CPG187" s="1228"/>
      <c r="CPH187" s="1228"/>
      <c r="CPI187" s="1228"/>
      <c r="CPJ187" s="1228"/>
      <c r="CPK187" s="1228"/>
      <c r="CPL187" s="1228"/>
      <c r="CPM187" s="1228"/>
      <c r="CPN187" s="1228"/>
      <c r="CPO187" s="1228"/>
      <c r="CPP187" s="1228"/>
      <c r="CPQ187" s="1228"/>
      <c r="CPR187" s="1228"/>
      <c r="CPS187" s="1228"/>
      <c r="CPT187" s="1228"/>
      <c r="CPU187" s="1228"/>
      <c r="CPV187" s="1228"/>
      <c r="CPW187" s="1228"/>
      <c r="CPX187" s="1228"/>
      <c r="CPY187" s="1228"/>
      <c r="CPZ187" s="1228"/>
      <c r="CQA187" s="1228"/>
      <c r="CQB187" s="1228"/>
      <c r="CQC187" s="1228"/>
      <c r="CQD187" s="1228"/>
      <c r="CQE187" s="1228"/>
      <c r="CQF187" s="1228"/>
      <c r="CQG187" s="1228"/>
      <c r="CQH187" s="1228"/>
      <c r="CQI187" s="1228"/>
      <c r="CQJ187" s="1228"/>
      <c r="CQK187" s="1228"/>
      <c r="CQL187" s="1228"/>
      <c r="CQM187" s="1228"/>
      <c r="CQN187" s="1228"/>
      <c r="CQO187" s="1228"/>
      <c r="CQP187" s="1228"/>
      <c r="CQQ187" s="1228"/>
      <c r="CQR187" s="1228"/>
      <c r="CQS187" s="1228"/>
      <c r="CQT187" s="1228"/>
      <c r="CQU187" s="1228"/>
      <c r="CQV187" s="1228"/>
      <c r="CQW187" s="1228"/>
      <c r="CQX187" s="1228"/>
      <c r="CQY187" s="1228"/>
      <c r="CQZ187" s="1228"/>
      <c r="CRA187" s="1228"/>
      <c r="CRB187" s="1228"/>
      <c r="CRC187" s="1228"/>
      <c r="CRD187" s="1228"/>
      <c r="CRE187" s="1228"/>
      <c r="CRF187" s="1228"/>
      <c r="CRG187" s="1228"/>
      <c r="CRH187" s="1228"/>
      <c r="CRI187" s="1228"/>
      <c r="CRJ187" s="1228"/>
      <c r="CRK187" s="1228"/>
      <c r="CRL187" s="1228"/>
      <c r="CRM187" s="1228"/>
      <c r="CRN187" s="1228"/>
      <c r="CRO187" s="1228"/>
      <c r="CRP187" s="1228"/>
      <c r="CRQ187" s="1228"/>
      <c r="CRR187" s="1228"/>
      <c r="CRS187" s="1228"/>
      <c r="CRT187" s="1228"/>
      <c r="CRU187" s="1228"/>
      <c r="CRV187" s="1228"/>
      <c r="CRW187" s="1228"/>
      <c r="CRX187" s="1228"/>
      <c r="CRY187" s="1228"/>
      <c r="CRZ187" s="1228"/>
      <c r="CSA187" s="1228"/>
      <c r="CSB187" s="1228"/>
      <c r="CSC187" s="1228"/>
      <c r="CSD187" s="1228"/>
      <c r="CSE187" s="1228"/>
      <c r="CSF187" s="1228"/>
      <c r="CSG187" s="1228"/>
      <c r="CSH187" s="1228"/>
      <c r="CSI187" s="1228"/>
      <c r="CSJ187" s="1228"/>
      <c r="CSK187" s="1228"/>
      <c r="CSL187" s="1228"/>
      <c r="CSM187" s="1228"/>
      <c r="CSN187" s="1228"/>
      <c r="CSO187" s="1228"/>
      <c r="CSP187" s="1228"/>
      <c r="CSQ187" s="1228"/>
      <c r="CSR187" s="1228"/>
      <c r="CSS187" s="1228"/>
      <c r="CST187" s="1228"/>
      <c r="CSU187" s="1228"/>
      <c r="CSV187" s="1228"/>
      <c r="CSW187" s="1228"/>
      <c r="CSX187" s="1228"/>
      <c r="CSY187" s="1228"/>
      <c r="CSZ187" s="1228"/>
      <c r="CTA187" s="1228"/>
      <c r="CTB187" s="1228"/>
      <c r="CTC187" s="1228"/>
      <c r="CTD187" s="1228"/>
      <c r="CTE187" s="1228"/>
      <c r="CTF187" s="1228"/>
      <c r="CTG187" s="1228"/>
      <c r="CTH187" s="1228"/>
      <c r="CTI187" s="1228"/>
      <c r="CTJ187" s="1228"/>
      <c r="CTK187" s="1228"/>
      <c r="CTL187" s="1228"/>
      <c r="CTM187" s="1228"/>
      <c r="CTN187" s="1228"/>
      <c r="CTO187" s="1228"/>
      <c r="CTP187" s="1228"/>
      <c r="CTQ187" s="1228"/>
      <c r="CTR187" s="1228"/>
      <c r="CTS187" s="1228"/>
      <c r="CTT187" s="1228"/>
      <c r="CTU187" s="1228"/>
      <c r="CTV187" s="1228"/>
      <c r="CTW187" s="1228"/>
      <c r="CTX187" s="1228"/>
      <c r="CTY187" s="1228"/>
      <c r="CTZ187" s="1228"/>
      <c r="CUA187" s="1228"/>
      <c r="CUB187" s="1228"/>
      <c r="CUC187" s="1228"/>
      <c r="CUD187" s="1228"/>
      <c r="CUE187" s="1228"/>
      <c r="CUF187" s="1228"/>
      <c r="CUG187" s="1228"/>
      <c r="CUH187" s="1228"/>
      <c r="CUI187" s="1228"/>
      <c r="CUJ187" s="1228"/>
      <c r="CUK187" s="1228"/>
      <c r="CUL187" s="1228"/>
      <c r="CUM187" s="1228"/>
      <c r="CUN187" s="1228"/>
      <c r="CUO187" s="1228"/>
      <c r="CUP187" s="1228"/>
      <c r="CUQ187" s="1228"/>
      <c r="CUR187" s="1228"/>
      <c r="CUS187" s="1228"/>
      <c r="CUT187" s="1228"/>
      <c r="CUU187" s="1228"/>
      <c r="CUV187" s="1228"/>
      <c r="CUW187" s="1228"/>
      <c r="CUX187" s="1228"/>
      <c r="CUY187" s="1228"/>
      <c r="CUZ187" s="1228"/>
      <c r="CVA187" s="1228"/>
      <c r="CVB187" s="1228"/>
      <c r="CVC187" s="1228"/>
      <c r="CVD187" s="1228"/>
      <c r="CVE187" s="1228"/>
      <c r="CVF187" s="1228"/>
      <c r="CVG187" s="1228"/>
      <c r="CVH187" s="1228"/>
      <c r="CVI187" s="1228"/>
      <c r="CVJ187" s="1228"/>
      <c r="CVK187" s="1228"/>
      <c r="CVL187" s="1228"/>
      <c r="CVM187" s="1228"/>
      <c r="CVN187" s="1228"/>
      <c r="CVO187" s="1228"/>
      <c r="CVP187" s="1228"/>
      <c r="CVQ187" s="1228"/>
      <c r="CVR187" s="1228"/>
      <c r="CVS187" s="1228"/>
      <c r="CVT187" s="1228"/>
      <c r="CVU187" s="1228"/>
      <c r="CVV187" s="1228"/>
      <c r="CVW187" s="1228"/>
      <c r="CVX187" s="1228"/>
      <c r="CVY187" s="1228"/>
      <c r="CVZ187" s="1228"/>
      <c r="CWA187" s="1228"/>
      <c r="CWB187" s="1228"/>
      <c r="CWC187" s="1228"/>
      <c r="CWD187" s="1228"/>
      <c r="CWE187" s="1228"/>
      <c r="CWF187" s="1228"/>
      <c r="CWG187" s="1228"/>
      <c r="CWH187" s="1228"/>
      <c r="CWI187" s="1228"/>
      <c r="CWJ187" s="1228"/>
      <c r="CWK187" s="1228"/>
      <c r="CWL187" s="1228"/>
      <c r="CWM187" s="1228"/>
      <c r="CWN187" s="1228"/>
      <c r="CWO187" s="1228"/>
      <c r="CWP187" s="1228"/>
      <c r="CWQ187" s="1228"/>
      <c r="CWR187" s="1228"/>
      <c r="CWS187" s="1228"/>
      <c r="CWT187" s="1228"/>
      <c r="CWU187" s="1228"/>
      <c r="CWV187" s="1228"/>
      <c r="CWW187" s="1228"/>
      <c r="CWX187" s="1228"/>
      <c r="CWY187" s="1228"/>
      <c r="CWZ187" s="1228"/>
      <c r="CXA187" s="1228"/>
      <c r="CXB187" s="1228"/>
      <c r="CXC187" s="1228"/>
      <c r="CXD187" s="1228"/>
      <c r="CXE187" s="1228"/>
      <c r="CXF187" s="1228"/>
      <c r="CXG187" s="1228"/>
      <c r="CXH187" s="1228"/>
      <c r="CXI187" s="1228"/>
      <c r="CXJ187" s="1228"/>
      <c r="CXK187" s="1228"/>
      <c r="CXL187" s="1228"/>
      <c r="CXM187" s="1228"/>
      <c r="CXN187" s="1228"/>
      <c r="CXO187" s="1228"/>
      <c r="CXP187" s="1228"/>
      <c r="CXQ187" s="1228"/>
      <c r="CXR187" s="1228"/>
      <c r="CXS187" s="1228"/>
      <c r="CXT187" s="1228"/>
      <c r="CXU187" s="1228"/>
      <c r="CXV187" s="1228"/>
      <c r="CXW187" s="1228"/>
      <c r="CXX187" s="1228"/>
      <c r="CXY187" s="1228"/>
      <c r="CXZ187" s="1228"/>
      <c r="CYA187" s="1228"/>
      <c r="CYB187" s="1228"/>
      <c r="CYC187" s="1228"/>
      <c r="CYD187" s="1228"/>
      <c r="CYE187" s="1228"/>
      <c r="CYF187" s="1228"/>
      <c r="CYG187" s="1228"/>
      <c r="CYH187" s="1228"/>
      <c r="CYI187" s="1228"/>
      <c r="CYJ187" s="1228"/>
      <c r="CYK187" s="1228"/>
      <c r="CYL187" s="1228"/>
      <c r="CYM187" s="1228"/>
      <c r="CYN187" s="1228"/>
      <c r="CYO187" s="1228"/>
      <c r="CYP187" s="1228"/>
      <c r="CYQ187" s="1228"/>
      <c r="CYR187" s="1228"/>
      <c r="CYS187" s="1228"/>
      <c r="CYT187" s="1228"/>
      <c r="CYU187" s="1228"/>
      <c r="CYV187" s="1228"/>
      <c r="CYW187" s="1228"/>
      <c r="CYX187" s="1228"/>
      <c r="CYY187" s="1228"/>
      <c r="CYZ187" s="1228"/>
      <c r="CZA187" s="1228"/>
      <c r="CZB187" s="1228"/>
      <c r="CZC187" s="1228"/>
      <c r="CZD187" s="1228"/>
      <c r="CZE187" s="1228"/>
      <c r="CZF187" s="1228"/>
      <c r="CZG187" s="1228"/>
      <c r="CZH187" s="1228"/>
      <c r="CZI187" s="1228"/>
      <c r="CZJ187" s="1228"/>
      <c r="CZK187" s="1228"/>
      <c r="CZL187" s="1228"/>
      <c r="CZM187" s="1228"/>
      <c r="CZN187" s="1228"/>
      <c r="CZO187" s="1228"/>
      <c r="CZP187" s="1228"/>
      <c r="CZQ187" s="1228"/>
      <c r="CZR187" s="1228"/>
      <c r="CZS187" s="1228"/>
      <c r="CZT187" s="1228"/>
      <c r="CZU187" s="1228"/>
      <c r="CZV187" s="1228"/>
      <c r="CZW187" s="1228"/>
      <c r="CZX187" s="1228"/>
      <c r="CZY187" s="1228"/>
      <c r="CZZ187" s="1228"/>
      <c r="DAA187" s="1228"/>
      <c r="DAB187" s="1228"/>
      <c r="DAC187" s="1228"/>
      <c r="DAD187" s="1228"/>
      <c r="DAE187" s="1228"/>
      <c r="DAF187" s="1228"/>
      <c r="DAG187" s="1228"/>
      <c r="DAH187" s="1228"/>
      <c r="DAI187" s="1228"/>
      <c r="DAJ187" s="1228"/>
      <c r="DAK187" s="1228"/>
      <c r="DAL187" s="1228"/>
      <c r="DAM187" s="1228"/>
      <c r="DAN187" s="1228"/>
      <c r="DAO187" s="1228"/>
      <c r="DAP187" s="1228"/>
      <c r="DAQ187" s="1228"/>
      <c r="DAR187" s="1228"/>
      <c r="DAS187" s="1228"/>
      <c r="DAT187" s="1228"/>
      <c r="DAU187" s="1228"/>
      <c r="DAV187" s="1228"/>
      <c r="DAW187" s="1228"/>
      <c r="DAX187" s="1228"/>
      <c r="DAY187" s="1228"/>
      <c r="DAZ187" s="1228"/>
      <c r="DBA187" s="1228"/>
      <c r="DBB187" s="1228"/>
      <c r="DBC187" s="1228"/>
      <c r="DBD187" s="1228"/>
      <c r="DBE187" s="1228"/>
      <c r="DBF187" s="1228"/>
      <c r="DBG187" s="1228"/>
      <c r="DBH187" s="1228"/>
      <c r="DBI187" s="1228"/>
      <c r="DBJ187" s="1228"/>
      <c r="DBK187" s="1228"/>
      <c r="DBL187" s="1228"/>
      <c r="DBM187" s="1228"/>
      <c r="DBN187" s="1228"/>
      <c r="DBO187" s="1228"/>
      <c r="DBP187" s="1228"/>
      <c r="DBQ187" s="1228"/>
      <c r="DBR187" s="1228"/>
      <c r="DBS187" s="1228"/>
      <c r="DBT187" s="1228"/>
      <c r="DBU187" s="1228"/>
      <c r="DBV187" s="1228"/>
      <c r="DBW187" s="1228"/>
      <c r="DBX187" s="1228"/>
      <c r="DBY187" s="1228"/>
      <c r="DBZ187" s="1228"/>
      <c r="DCA187" s="1228"/>
      <c r="DCB187" s="1228"/>
      <c r="DCC187" s="1228"/>
      <c r="DCD187" s="1228"/>
      <c r="DCE187" s="1228"/>
      <c r="DCF187" s="1228"/>
      <c r="DCG187" s="1228"/>
      <c r="DCH187" s="1228"/>
      <c r="DCI187" s="1228"/>
      <c r="DCJ187" s="1228"/>
      <c r="DCK187" s="1228"/>
      <c r="DCL187" s="1228"/>
      <c r="DCM187" s="1228"/>
      <c r="DCN187" s="1228"/>
      <c r="DCO187" s="1228"/>
      <c r="DCP187" s="1228"/>
      <c r="DCQ187" s="1228"/>
      <c r="DCR187" s="1228"/>
      <c r="DCS187" s="1228"/>
      <c r="DCT187" s="1228"/>
      <c r="DCU187" s="1228"/>
      <c r="DCV187" s="1228"/>
      <c r="DCW187" s="1228"/>
      <c r="DCX187" s="1228"/>
      <c r="DCY187" s="1228"/>
      <c r="DCZ187" s="1228"/>
      <c r="DDA187" s="1228"/>
      <c r="DDB187" s="1228"/>
      <c r="DDC187" s="1228"/>
      <c r="DDD187" s="1228"/>
      <c r="DDE187" s="1228"/>
      <c r="DDF187" s="1228"/>
      <c r="DDG187" s="1228"/>
      <c r="DDH187" s="1228"/>
      <c r="DDI187" s="1228"/>
      <c r="DDJ187" s="1228"/>
      <c r="DDK187" s="1228"/>
      <c r="DDL187" s="1228"/>
      <c r="DDM187" s="1228"/>
      <c r="DDN187" s="1228"/>
      <c r="DDO187" s="1228"/>
      <c r="DDP187" s="1228"/>
      <c r="DDQ187" s="1228"/>
      <c r="DDR187" s="1228"/>
      <c r="DDS187" s="1228"/>
      <c r="DDT187" s="1228"/>
      <c r="DDU187" s="1228"/>
      <c r="DDV187" s="1228"/>
      <c r="DDW187" s="1228"/>
      <c r="DDX187" s="1228"/>
      <c r="DDY187" s="1228"/>
      <c r="DDZ187" s="1228"/>
      <c r="DEA187" s="1228"/>
      <c r="DEB187" s="1228"/>
      <c r="DEC187" s="1228"/>
      <c r="DED187" s="1228"/>
      <c r="DEE187" s="1228"/>
      <c r="DEF187" s="1228"/>
      <c r="DEG187" s="1228"/>
      <c r="DEH187" s="1228"/>
      <c r="DEI187" s="1228"/>
      <c r="DEJ187" s="1228"/>
      <c r="DEK187" s="1228"/>
      <c r="DEL187" s="1228"/>
      <c r="DEM187" s="1228"/>
      <c r="DEN187" s="1228"/>
      <c r="DEO187" s="1228"/>
      <c r="DEP187" s="1228"/>
      <c r="DEQ187" s="1228"/>
      <c r="DER187" s="1228"/>
      <c r="DES187" s="1228"/>
      <c r="DET187" s="1228"/>
      <c r="DEU187" s="1228"/>
      <c r="DEV187" s="1228"/>
      <c r="DEW187" s="1228"/>
      <c r="DEX187" s="1228"/>
      <c r="DEY187" s="1228"/>
      <c r="DEZ187" s="1228"/>
      <c r="DFA187" s="1228"/>
      <c r="DFB187" s="1228"/>
      <c r="DFC187" s="1228"/>
      <c r="DFD187" s="1228"/>
      <c r="DFE187" s="1228"/>
      <c r="DFF187" s="1228"/>
      <c r="DFG187" s="1228"/>
      <c r="DFH187" s="1228"/>
      <c r="DFI187" s="1228"/>
      <c r="DFJ187" s="1228"/>
      <c r="DFK187" s="1228"/>
      <c r="DFL187" s="1228"/>
      <c r="DFM187" s="1228"/>
      <c r="DFN187" s="1228"/>
      <c r="DFO187" s="1228"/>
      <c r="DFP187" s="1228"/>
      <c r="DFQ187" s="1228"/>
      <c r="DFR187" s="1228"/>
      <c r="DFS187" s="1228"/>
      <c r="DFT187" s="1228"/>
      <c r="DFU187" s="1228"/>
      <c r="DFV187" s="1228"/>
      <c r="DFW187" s="1228"/>
      <c r="DFX187" s="1228"/>
      <c r="DFY187" s="1228"/>
      <c r="DFZ187" s="1228"/>
      <c r="DGA187" s="1228"/>
      <c r="DGB187" s="1228"/>
      <c r="DGC187" s="1228"/>
      <c r="DGD187" s="1228"/>
      <c r="DGE187" s="1228"/>
      <c r="DGF187" s="1228"/>
      <c r="DGG187" s="1228"/>
      <c r="DGH187" s="1228"/>
      <c r="DGI187" s="1228"/>
      <c r="DGJ187" s="1228"/>
      <c r="DGK187" s="1228"/>
      <c r="DGL187" s="1228"/>
      <c r="DGM187" s="1228"/>
      <c r="DGN187" s="1228"/>
      <c r="DGO187" s="1228"/>
      <c r="DGP187" s="1228"/>
      <c r="DGQ187" s="1228"/>
      <c r="DGR187" s="1228"/>
      <c r="DGS187" s="1228"/>
      <c r="DGT187" s="1228"/>
      <c r="DGU187" s="1228"/>
      <c r="DGV187" s="1228"/>
      <c r="DGW187" s="1228"/>
      <c r="DGX187" s="1228"/>
      <c r="DGY187" s="1228"/>
      <c r="DGZ187" s="1228"/>
      <c r="DHA187" s="1228"/>
      <c r="DHB187" s="1228"/>
      <c r="DHC187" s="1228"/>
      <c r="DHD187" s="1228"/>
      <c r="DHE187" s="1228"/>
      <c r="DHF187" s="1228"/>
      <c r="DHG187" s="1228"/>
      <c r="DHH187" s="1228"/>
      <c r="DHI187" s="1228"/>
      <c r="DHJ187" s="1228"/>
      <c r="DHK187" s="1228"/>
      <c r="DHL187" s="1228"/>
      <c r="DHM187" s="1228"/>
      <c r="DHN187" s="1228"/>
      <c r="DHO187" s="1228"/>
      <c r="DHP187" s="1228"/>
      <c r="DHQ187" s="1228"/>
      <c r="DHR187" s="1228"/>
      <c r="DHS187" s="1228"/>
      <c r="DHT187" s="1228"/>
      <c r="DHU187" s="1228"/>
      <c r="DHV187" s="1228"/>
      <c r="DHW187" s="1228"/>
      <c r="DHX187" s="1228"/>
      <c r="DHY187" s="1228"/>
      <c r="DHZ187" s="1228"/>
      <c r="DIA187" s="1228"/>
      <c r="DIB187" s="1228"/>
      <c r="DIC187" s="1228"/>
      <c r="DID187" s="1228"/>
      <c r="DIE187" s="1228"/>
      <c r="DIF187" s="1228"/>
      <c r="DIG187" s="1228"/>
      <c r="DIH187" s="1228"/>
      <c r="DII187" s="1228"/>
      <c r="DIJ187" s="1228"/>
      <c r="DIK187" s="1228"/>
      <c r="DIL187" s="1228"/>
      <c r="DIM187" s="1228"/>
      <c r="DIN187" s="1228"/>
      <c r="DIO187" s="1228"/>
      <c r="DIP187" s="1228"/>
      <c r="DIQ187" s="1228"/>
      <c r="DIR187" s="1228"/>
      <c r="DIS187" s="1228"/>
      <c r="DIT187" s="1228"/>
      <c r="DIU187" s="1228"/>
      <c r="DIV187" s="1228"/>
      <c r="DIW187" s="1228"/>
      <c r="DIX187" s="1228"/>
      <c r="DIY187" s="1228"/>
      <c r="DIZ187" s="1228"/>
      <c r="DJA187" s="1228"/>
      <c r="DJB187" s="1228"/>
      <c r="DJC187" s="1228"/>
      <c r="DJD187" s="1228"/>
      <c r="DJE187" s="1228"/>
      <c r="DJF187" s="1228"/>
      <c r="DJG187" s="1228"/>
      <c r="DJH187" s="1228"/>
      <c r="DJI187" s="1228"/>
      <c r="DJJ187" s="1228"/>
      <c r="DJK187" s="1228"/>
      <c r="DJL187" s="1228"/>
      <c r="DJM187" s="1228"/>
      <c r="DJN187" s="1228"/>
      <c r="DJO187" s="1228"/>
      <c r="DJP187" s="1228"/>
      <c r="DJQ187" s="1228"/>
      <c r="DJR187" s="1228"/>
      <c r="DJS187" s="1228"/>
      <c r="DJT187" s="1228"/>
      <c r="DJU187" s="1228"/>
      <c r="DJV187" s="1228"/>
      <c r="DJW187" s="1228"/>
      <c r="DJX187" s="1228"/>
      <c r="DJY187" s="1228"/>
      <c r="DJZ187" s="1228"/>
      <c r="DKA187" s="1228"/>
      <c r="DKB187" s="1228"/>
      <c r="DKC187" s="1228"/>
      <c r="DKD187" s="1228"/>
      <c r="DKE187" s="1228"/>
      <c r="DKF187" s="1228"/>
      <c r="DKG187" s="1228"/>
      <c r="DKH187" s="1228"/>
      <c r="DKI187" s="1228"/>
      <c r="DKJ187" s="1228"/>
      <c r="DKK187" s="1228"/>
      <c r="DKL187" s="1228"/>
      <c r="DKM187" s="1228"/>
      <c r="DKN187" s="1228"/>
      <c r="DKO187" s="1228"/>
      <c r="DKP187" s="1228"/>
      <c r="DKQ187" s="1228"/>
      <c r="DKR187" s="1228"/>
      <c r="DKS187" s="1228"/>
      <c r="DKT187" s="1228"/>
      <c r="DKU187" s="1228"/>
      <c r="DKV187" s="1228"/>
      <c r="DKW187" s="1228"/>
      <c r="DKX187" s="1228"/>
      <c r="DKY187" s="1228"/>
      <c r="DKZ187" s="1228"/>
      <c r="DLA187" s="1228"/>
      <c r="DLB187" s="1228"/>
      <c r="DLC187" s="1228"/>
      <c r="DLD187" s="1228"/>
      <c r="DLE187" s="1228"/>
      <c r="DLF187" s="1228"/>
      <c r="DLG187" s="1228"/>
      <c r="DLH187" s="1228"/>
      <c r="DLI187" s="1228"/>
      <c r="DLJ187" s="1228"/>
      <c r="DLK187" s="1228"/>
      <c r="DLL187" s="1228"/>
      <c r="DLM187" s="1228"/>
      <c r="DLN187" s="1228"/>
      <c r="DLO187" s="1228"/>
      <c r="DLP187" s="1228"/>
      <c r="DLQ187" s="1228"/>
      <c r="DLR187" s="1228"/>
      <c r="DLS187" s="1228"/>
      <c r="DLT187" s="1228"/>
      <c r="DLU187" s="1228"/>
      <c r="DLV187" s="1228"/>
      <c r="DLW187" s="1228"/>
      <c r="DLX187" s="1228"/>
      <c r="DLY187" s="1228"/>
      <c r="DLZ187" s="1228"/>
      <c r="DMA187" s="1228"/>
      <c r="DMB187" s="1228"/>
      <c r="DMC187" s="1228"/>
      <c r="DMD187" s="1228"/>
      <c r="DME187" s="1228"/>
      <c r="DMF187" s="1228"/>
      <c r="DMG187" s="1228"/>
      <c r="DMH187" s="1228"/>
      <c r="DMI187" s="1228"/>
      <c r="DMJ187" s="1228"/>
      <c r="DMK187" s="1228"/>
      <c r="DML187" s="1228"/>
      <c r="DMM187" s="1228"/>
      <c r="DMN187" s="1228"/>
      <c r="DMO187" s="1228"/>
      <c r="DMP187" s="1228"/>
      <c r="DMQ187" s="1228"/>
      <c r="DMR187" s="1228"/>
      <c r="DMS187" s="1228"/>
      <c r="DMT187" s="1228"/>
      <c r="DMU187" s="1228"/>
      <c r="DMV187" s="1228"/>
      <c r="DMW187" s="1228"/>
      <c r="DMX187" s="1228"/>
      <c r="DMY187" s="1228"/>
      <c r="DMZ187" s="1228"/>
      <c r="DNA187" s="1228"/>
      <c r="DNB187" s="1228"/>
      <c r="DNC187" s="1228"/>
      <c r="DND187" s="1228"/>
      <c r="DNE187" s="1228"/>
      <c r="DNF187" s="1228"/>
      <c r="DNG187" s="1228"/>
      <c r="DNH187" s="1228"/>
      <c r="DNI187" s="1228"/>
      <c r="DNJ187" s="1228"/>
      <c r="DNK187" s="1228"/>
      <c r="DNL187" s="1228"/>
      <c r="DNM187" s="1228"/>
      <c r="DNN187" s="1228"/>
      <c r="DNO187" s="1228"/>
      <c r="DNP187" s="1228"/>
      <c r="DNQ187" s="1228"/>
      <c r="DNR187" s="1228"/>
      <c r="DNS187" s="1228"/>
      <c r="DNT187" s="1228"/>
      <c r="DNU187" s="1228"/>
      <c r="DNV187" s="1228"/>
      <c r="DNW187" s="1228"/>
      <c r="DNX187" s="1228"/>
      <c r="DNY187" s="1228"/>
      <c r="DNZ187" s="1228"/>
      <c r="DOA187" s="1228"/>
      <c r="DOB187" s="1228"/>
      <c r="DOC187" s="1228"/>
      <c r="DOD187" s="1228"/>
      <c r="DOE187" s="1228"/>
      <c r="DOF187" s="1228"/>
      <c r="DOG187" s="1228"/>
      <c r="DOH187" s="1228"/>
      <c r="DOI187" s="1228"/>
      <c r="DOJ187" s="1228"/>
      <c r="DOK187" s="1228"/>
      <c r="DOL187" s="1228"/>
      <c r="DOM187" s="1228"/>
      <c r="DON187" s="1228"/>
      <c r="DOO187" s="1228"/>
      <c r="DOP187" s="1228"/>
      <c r="DOQ187" s="1228"/>
      <c r="DOR187" s="1228"/>
      <c r="DOS187" s="1228"/>
      <c r="DOT187" s="1228"/>
      <c r="DOU187" s="1228"/>
      <c r="DOV187" s="1228"/>
      <c r="DOW187" s="1228"/>
      <c r="DOX187" s="1228"/>
      <c r="DOY187" s="1228"/>
      <c r="DOZ187" s="1228"/>
      <c r="DPA187" s="1228"/>
      <c r="DPB187" s="1228"/>
      <c r="DPC187" s="1228"/>
      <c r="DPD187" s="1228"/>
      <c r="DPE187" s="1228"/>
      <c r="DPF187" s="1228"/>
      <c r="DPG187" s="1228"/>
      <c r="DPH187" s="1228"/>
      <c r="DPI187" s="1228"/>
      <c r="DPJ187" s="1228"/>
      <c r="DPK187" s="1228"/>
      <c r="DPL187" s="1228"/>
      <c r="DPM187" s="1228"/>
      <c r="DPN187" s="1228"/>
      <c r="DPO187" s="1228"/>
      <c r="DPP187" s="1228"/>
      <c r="DPQ187" s="1228"/>
      <c r="DPR187" s="1228"/>
      <c r="DPS187" s="1228"/>
      <c r="DPT187" s="1228"/>
      <c r="DPU187" s="1228"/>
      <c r="DPV187" s="1228"/>
      <c r="DPW187" s="1228"/>
      <c r="DPX187" s="1228"/>
      <c r="DPY187" s="1228"/>
      <c r="DPZ187" s="1228"/>
      <c r="DQA187" s="1228"/>
      <c r="DQB187" s="1228"/>
      <c r="DQC187" s="1228"/>
      <c r="DQD187" s="1228"/>
      <c r="DQE187" s="1228"/>
      <c r="DQF187" s="1228"/>
      <c r="DQG187" s="1228"/>
      <c r="DQH187" s="1228"/>
      <c r="DQI187" s="1228"/>
      <c r="DQJ187" s="1228"/>
      <c r="DQK187" s="1228"/>
      <c r="DQL187" s="1228"/>
      <c r="DQM187" s="1228"/>
      <c r="DQN187" s="1228"/>
      <c r="DQO187" s="1228"/>
      <c r="DQP187" s="1228"/>
      <c r="DQQ187" s="1228"/>
      <c r="DQR187" s="1228"/>
      <c r="DQS187" s="1228"/>
      <c r="DQT187" s="1228"/>
      <c r="DQU187" s="1228"/>
      <c r="DQV187" s="1228"/>
      <c r="DQW187" s="1228"/>
      <c r="DQX187" s="1228"/>
      <c r="DQY187" s="1228"/>
      <c r="DQZ187" s="1228"/>
      <c r="DRA187" s="1228"/>
      <c r="DRB187" s="1228"/>
      <c r="DRC187" s="1228"/>
      <c r="DRD187" s="1228"/>
      <c r="DRE187" s="1228"/>
      <c r="DRF187" s="1228"/>
      <c r="DRG187" s="1228"/>
      <c r="DRH187" s="1228"/>
      <c r="DRI187" s="1228"/>
      <c r="DRJ187" s="1228"/>
      <c r="DRK187" s="1228"/>
      <c r="DRL187" s="1228"/>
      <c r="DRM187" s="1228"/>
      <c r="DRN187" s="1228"/>
      <c r="DRO187" s="1228"/>
      <c r="DRP187" s="1228"/>
      <c r="DRQ187" s="1228"/>
      <c r="DRR187" s="1228"/>
      <c r="DRS187" s="1228"/>
      <c r="DRT187" s="1228"/>
      <c r="DRU187" s="1228"/>
      <c r="DRV187" s="1228"/>
      <c r="DRW187" s="1228"/>
      <c r="DRX187" s="1228"/>
      <c r="DRY187" s="1228"/>
      <c r="DRZ187" s="1228"/>
      <c r="DSA187" s="1228"/>
      <c r="DSB187" s="1228"/>
      <c r="DSC187" s="1228"/>
      <c r="DSD187" s="1228"/>
      <c r="DSE187" s="1228"/>
      <c r="DSF187" s="1228"/>
      <c r="DSG187" s="1228"/>
      <c r="DSH187" s="1228"/>
      <c r="DSI187" s="1228"/>
      <c r="DSJ187" s="1228"/>
      <c r="DSK187" s="1228"/>
      <c r="DSL187" s="1228"/>
      <c r="DSM187" s="1228"/>
      <c r="DSN187" s="1228"/>
      <c r="DSO187" s="1228"/>
      <c r="DSP187" s="1228"/>
      <c r="DSQ187" s="1228"/>
      <c r="DSR187" s="1228"/>
      <c r="DSS187" s="1228"/>
      <c r="DST187" s="1228"/>
      <c r="DSU187" s="1228"/>
      <c r="DSV187" s="1228"/>
      <c r="DSW187" s="1228"/>
      <c r="DSX187" s="1228"/>
      <c r="DSY187" s="1228"/>
      <c r="DSZ187" s="1228"/>
      <c r="DTA187" s="1228"/>
      <c r="DTB187" s="1228"/>
      <c r="DTC187" s="1228"/>
      <c r="DTD187" s="1228"/>
      <c r="DTE187" s="1228"/>
      <c r="DTF187" s="1228"/>
      <c r="DTG187" s="1228"/>
      <c r="DTH187" s="1228"/>
      <c r="DTI187" s="1228"/>
      <c r="DTJ187" s="1228"/>
      <c r="DTK187" s="1228"/>
      <c r="DTL187" s="1228"/>
      <c r="DTM187" s="1228"/>
      <c r="DTN187" s="1228"/>
      <c r="DTO187" s="1228"/>
      <c r="DTP187" s="1228"/>
      <c r="DTQ187" s="1228"/>
      <c r="DTR187" s="1228"/>
      <c r="DTS187" s="1228"/>
      <c r="DTT187" s="1228"/>
      <c r="DTU187" s="1228"/>
      <c r="DTV187" s="1228"/>
      <c r="DTW187" s="1228"/>
      <c r="DTX187" s="1228"/>
      <c r="DTY187" s="1228"/>
      <c r="DTZ187" s="1228"/>
      <c r="DUA187" s="1228"/>
      <c r="DUB187" s="1228"/>
      <c r="DUC187" s="1228"/>
      <c r="DUD187" s="1228"/>
      <c r="DUE187" s="1228"/>
      <c r="DUF187" s="1228"/>
      <c r="DUG187" s="1228"/>
      <c r="DUH187" s="1228"/>
      <c r="DUI187" s="1228"/>
      <c r="DUJ187" s="1228"/>
      <c r="DUK187" s="1228"/>
      <c r="DUL187" s="1228"/>
      <c r="DUM187" s="1228"/>
      <c r="DUN187" s="1228"/>
      <c r="DUO187" s="1228"/>
      <c r="DUP187" s="1228"/>
      <c r="DUQ187" s="1228"/>
      <c r="DUR187" s="1228"/>
      <c r="DUS187" s="1228"/>
      <c r="DUT187" s="1228"/>
      <c r="DUU187" s="1228"/>
      <c r="DUV187" s="1228"/>
      <c r="DUW187" s="1228"/>
      <c r="DUX187" s="1228"/>
      <c r="DUY187" s="1228"/>
      <c r="DUZ187" s="1228"/>
      <c r="DVA187" s="1228"/>
      <c r="DVB187" s="1228"/>
      <c r="DVC187" s="1228"/>
      <c r="DVD187" s="1228"/>
      <c r="DVE187" s="1228"/>
      <c r="DVF187" s="1228"/>
      <c r="DVG187" s="1228"/>
      <c r="DVH187" s="1228"/>
      <c r="DVI187" s="1228"/>
      <c r="DVJ187" s="1228"/>
      <c r="DVK187" s="1228"/>
      <c r="DVL187" s="1228"/>
      <c r="DVM187" s="1228"/>
      <c r="DVN187" s="1228"/>
      <c r="DVO187" s="1228"/>
      <c r="DVP187" s="1228"/>
      <c r="DVQ187" s="1228"/>
      <c r="DVR187" s="1228"/>
      <c r="DVS187" s="1228"/>
      <c r="DVT187" s="1228"/>
      <c r="DVU187" s="1228"/>
      <c r="DVV187" s="1228"/>
      <c r="DVW187" s="1228"/>
      <c r="DVX187" s="1228"/>
      <c r="DVY187" s="1228"/>
      <c r="DVZ187" s="1228"/>
      <c r="DWA187" s="1228"/>
      <c r="DWB187" s="1228"/>
      <c r="DWC187" s="1228"/>
      <c r="DWD187" s="1228"/>
      <c r="DWE187" s="1228"/>
      <c r="DWF187" s="1228"/>
      <c r="DWG187" s="1228"/>
      <c r="DWH187" s="1228"/>
      <c r="DWI187" s="1228"/>
      <c r="DWJ187" s="1228"/>
      <c r="DWK187" s="1228"/>
      <c r="DWL187" s="1228"/>
      <c r="DWM187" s="1228"/>
      <c r="DWN187" s="1228"/>
      <c r="DWO187" s="1228"/>
      <c r="DWP187" s="1228"/>
      <c r="DWQ187" s="1228"/>
      <c r="DWR187" s="1228"/>
      <c r="DWS187" s="1228"/>
      <c r="DWT187" s="1228"/>
      <c r="DWU187" s="1228"/>
      <c r="DWV187" s="1228"/>
      <c r="DWW187" s="1228"/>
      <c r="DWX187" s="1228"/>
      <c r="DWY187" s="1228"/>
      <c r="DWZ187" s="1228"/>
      <c r="DXA187" s="1228"/>
      <c r="DXB187" s="1228"/>
      <c r="DXC187" s="1228"/>
      <c r="DXD187" s="1228"/>
      <c r="DXE187" s="1228"/>
      <c r="DXF187" s="1228"/>
      <c r="DXG187" s="1228"/>
      <c r="DXH187" s="1228"/>
      <c r="DXI187" s="1228"/>
      <c r="DXJ187" s="1228"/>
      <c r="DXK187" s="1228"/>
      <c r="DXL187" s="1228"/>
      <c r="DXM187" s="1228"/>
      <c r="DXN187" s="1228"/>
      <c r="DXO187" s="1228"/>
      <c r="DXP187" s="1228"/>
      <c r="DXQ187" s="1228"/>
      <c r="DXR187" s="1228"/>
      <c r="DXS187" s="1228"/>
      <c r="DXT187" s="1228"/>
      <c r="DXU187" s="1228"/>
      <c r="DXV187" s="1228"/>
      <c r="DXW187" s="1228"/>
      <c r="DXX187" s="1228"/>
      <c r="DXY187" s="1228"/>
      <c r="DXZ187" s="1228"/>
      <c r="DYA187" s="1228"/>
      <c r="DYB187" s="1228"/>
      <c r="DYC187" s="1228"/>
      <c r="DYD187" s="1228"/>
      <c r="DYE187" s="1228"/>
      <c r="DYF187" s="1228"/>
      <c r="DYG187" s="1228"/>
      <c r="DYH187" s="1228"/>
      <c r="DYI187" s="1228"/>
      <c r="DYJ187" s="1228"/>
      <c r="DYK187" s="1228"/>
      <c r="DYL187" s="1228"/>
      <c r="DYM187" s="1228"/>
      <c r="DYN187" s="1228"/>
      <c r="DYO187" s="1228"/>
      <c r="DYP187" s="1228"/>
      <c r="DYQ187" s="1228"/>
      <c r="DYR187" s="1228"/>
      <c r="DYS187" s="1228"/>
      <c r="DYT187" s="1228"/>
      <c r="DYU187" s="1228"/>
      <c r="DYV187" s="1228"/>
      <c r="DYW187" s="1228"/>
      <c r="DYX187" s="1228"/>
      <c r="DYY187" s="1228"/>
      <c r="DYZ187" s="1228"/>
      <c r="DZA187" s="1228"/>
      <c r="DZB187" s="1228"/>
      <c r="DZC187" s="1228"/>
      <c r="DZD187" s="1228"/>
      <c r="DZE187" s="1228"/>
      <c r="DZF187" s="1228"/>
      <c r="DZG187" s="1228"/>
      <c r="DZH187" s="1228"/>
      <c r="DZI187" s="1228"/>
      <c r="DZJ187" s="1228"/>
      <c r="DZK187" s="1228"/>
      <c r="DZL187" s="1228"/>
      <c r="DZM187" s="1228"/>
      <c r="DZN187" s="1228"/>
      <c r="DZO187" s="1228"/>
      <c r="DZP187" s="1228"/>
      <c r="DZQ187" s="1228"/>
      <c r="DZR187" s="1228"/>
      <c r="DZS187" s="1228"/>
      <c r="DZT187" s="1228"/>
      <c r="DZU187" s="1228"/>
      <c r="DZV187" s="1228"/>
      <c r="DZW187" s="1228"/>
      <c r="DZX187" s="1228"/>
      <c r="DZY187" s="1228"/>
      <c r="DZZ187" s="1228"/>
      <c r="EAA187" s="1228"/>
      <c r="EAB187" s="1228"/>
      <c r="EAC187" s="1228"/>
      <c r="EAD187" s="1228"/>
      <c r="EAE187" s="1228"/>
      <c r="EAF187" s="1228"/>
      <c r="EAG187" s="1228"/>
      <c r="EAH187" s="1228"/>
      <c r="EAI187" s="1228"/>
      <c r="EAJ187" s="1228"/>
      <c r="EAK187" s="1228"/>
      <c r="EAL187" s="1228"/>
      <c r="EAM187" s="1228"/>
      <c r="EAN187" s="1228"/>
      <c r="EAO187" s="1228"/>
      <c r="EAP187" s="1228"/>
      <c r="EAQ187" s="1228"/>
      <c r="EAR187" s="1228"/>
      <c r="EAS187" s="1228"/>
      <c r="EAT187" s="1228"/>
      <c r="EAU187" s="1228"/>
      <c r="EAV187" s="1228"/>
      <c r="EAW187" s="1228"/>
      <c r="EAX187" s="1228"/>
      <c r="EAY187" s="1228"/>
      <c r="EAZ187" s="1228"/>
      <c r="EBA187" s="1228"/>
      <c r="EBB187" s="1228"/>
      <c r="EBC187" s="1228"/>
      <c r="EBD187" s="1228"/>
      <c r="EBE187" s="1228"/>
      <c r="EBF187" s="1228"/>
      <c r="EBG187" s="1228"/>
      <c r="EBH187" s="1228"/>
      <c r="EBI187" s="1228"/>
      <c r="EBJ187" s="1228"/>
      <c r="EBK187" s="1228"/>
      <c r="EBL187" s="1228"/>
      <c r="EBM187" s="1228"/>
      <c r="EBN187" s="1228"/>
      <c r="EBO187" s="1228"/>
      <c r="EBP187" s="1228"/>
      <c r="EBQ187" s="1228"/>
      <c r="EBR187" s="1228"/>
      <c r="EBS187" s="1228"/>
      <c r="EBT187" s="1228"/>
      <c r="EBU187" s="1228"/>
      <c r="EBV187" s="1228"/>
      <c r="EBW187" s="1228"/>
      <c r="EBX187" s="1228"/>
      <c r="EBY187" s="1228"/>
      <c r="EBZ187" s="1228"/>
      <c r="ECA187" s="1228"/>
      <c r="ECB187" s="1228"/>
      <c r="ECC187" s="1228"/>
      <c r="ECD187" s="1228"/>
      <c r="ECE187" s="1228"/>
      <c r="ECF187" s="1228"/>
      <c r="ECG187" s="1228"/>
      <c r="ECH187" s="1228"/>
      <c r="ECI187" s="1228"/>
      <c r="ECJ187" s="1228"/>
      <c r="ECK187" s="1228"/>
      <c r="ECL187" s="1228"/>
      <c r="ECM187" s="1228"/>
      <c r="ECN187" s="1228"/>
      <c r="ECO187" s="1228"/>
      <c r="ECP187" s="1228"/>
      <c r="ECQ187" s="1228"/>
      <c r="ECR187" s="1228"/>
      <c r="ECS187" s="1228"/>
      <c r="ECT187" s="1228"/>
      <c r="ECU187" s="1228"/>
      <c r="ECV187" s="1228"/>
      <c r="ECW187" s="1228"/>
      <c r="ECX187" s="1228"/>
      <c r="ECY187" s="1228"/>
      <c r="ECZ187" s="1228"/>
      <c r="EDA187" s="1228"/>
      <c r="EDB187" s="1228"/>
      <c r="EDC187" s="1228"/>
      <c r="EDD187" s="1228"/>
      <c r="EDE187" s="1228"/>
      <c r="EDF187" s="1228"/>
      <c r="EDG187" s="1228"/>
      <c r="EDH187" s="1228"/>
      <c r="EDI187" s="1228"/>
      <c r="EDJ187" s="1228"/>
      <c r="EDK187" s="1228"/>
      <c r="EDL187" s="1228"/>
      <c r="EDM187" s="1228"/>
      <c r="EDN187" s="1228"/>
      <c r="EDO187" s="1228"/>
      <c r="EDP187" s="1228"/>
      <c r="EDQ187" s="1228"/>
      <c r="EDR187" s="1228"/>
      <c r="EDS187" s="1228"/>
      <c r="EDT187" s="1228"/>
      <c r="EDU187" s="1228"/>
      <c r="EDV187" s="1228"/>
      <c r="EDW187" s="1228"/>
      <c r="EDX187" s="1228"/>
      <c r="EDY187" s="1228"/>
      <c r="EDZ187" s="1228"/>
      <c r="EEA187" s="1228"/>
      <c r="EEB187" s="1228"/>
      <c r="EEC187" s="1228"/>
      <c r="EED187" s="1228"/>
      <c r="EEE187" s="1228"/>
      <c r="EEF187" s="1228"/>
      <c r="EEG187" s="1228"/>
      <c r="EEH187" s="1228"/>
      <c r="EEI187" s="1228"/>
      <c r="EEJ187" s="1228"/>
      <c r="EEK187" s="1228"/>
      <c r="EEL187" s="1228"/>
      <c r="EEM187" s="1228"/>
      <c r="EEN187" s="1228"/>
      <c r="EEO187" s="1228"/>
      <c r="EEP187" s="1228"/>
      <c r="EEQ187" s="1228"/>
      <c r="EER187" s="1228"/>
      <c r="EES187" s="1228"/>
      <c r="EET187" s="1228"/>
      <c r="EEU187" s="1228"/>
      <c r="EEV187" s="1228"/>
      <c r="EEW187" s="1228"/>
      <c r="EEX187" s="1228"/>
      <c r="EEY187" s="1228"/>
      <c r="EEZ187" s="1228"/>
      <c r="EFA187" s="1228"/>
      <c r="EFB187" s="1228"/>
      <c r="EFC187" s="1228"/>
      <c r="EFD187" s="1228"/>
      <c r="EFE187" s="1228"/>
      <c r="EFF187" s="1228"/>
      <c r="EFG187" s="1228"/>
      <c r="EFH187" s="1228"/>
      <c r="EFI187" s="1228"/>
      <c r="EFJ187" s="1228"/>
      <c r="EFK187" s="1228"/>
      <c r="EFL187" s="1228"/>
      <c r="EFM187" s="1228"/>
      <c r="EFN187" s="1228"/>
      <c r="EFO187" s="1228"/>
      <c r="EFP187" s="1228"/>
      <c r="EFQ187" s="1228"/>
      <c r="EFR187" s="1228"/>
      <c r="EFS187" s="1228"/>
      <c r="EFT187" s="1228"/>
      <c r="EFU187" s="1228"/>
      <c r="EFV187" s="1228"/>
      <c r="EFW187" s="1228"/>
      <c r="EFX187" s="1228"/>
      <c r="EFY187" s="1228"/>
      <c r="EFZ187" s="1228"/>
      <c r="EGA187" s="1228"/>
      <c r="EGB187" s="1228"/>
      <c r="EGC187" s="1228"/>
      <c r="EGD187" s="1228"/>
      <c r="EGE187" s="1228"/>
      <c r="EGF187" s="1228"/>
      <c r="EGG187" s="1228"/>
      <c r="EGH187" s="1228"/>
      <c r="EGI187" s="1228"/>
      <c r="EGJ187" s="1228"/>
      <c r="EGK187" s="1228"/>
      <c r="EGL187" s="1228"/>
      <c r="EGM187" s="1228"/>
      <c r="EGN187" s="1228"/>
      <c r="EGO187" s="1228"/>
      <c r="EGP187" s="1228"/>
      <c r="EGQ187" s="1228"/>
      <c r="EGR187" s="1228"/>
      <c r="EGS187" s="1228"/>
      <c r="EGT187" s="1228"/>
      <c r="EGU187" s="1228"/>
      <c r="EGV187" s="1228"/>
      <c r="EGW187" s="1228"/>
      <c r="EGX187" s="1228"/>
      <c r="EGY187" s="1228"/>
      <c r="EGZ187" s="1228"/>
      <c r="EHA187" s="1228"/>
      <c r="EHB187" s="1228"/>
      <c r="EHC187" s="1228"/>
      <c r="EHD187" s="1228"/>
      <c r="EHE187" s="1228"/>
      <c r="EHF187" s="1228"/>
      <c r="EHG187" s="1228"/>
      <c r="EHH187" s="1228"/>
      <c r="EHI187" s="1228"/>
      <c r="EHJ187" s="1228"/>
      <c r="EHK187" s="1228"/>
      <c r="EHL187" s="1228"/>
      <c r="EHM187" s="1228"/>
      <c r="EHN187" s="1228"/>
      <c r="EHO187" s="1228"/>
      <c r="EHP187" s="1228"/>
      <c r="EHQ187" s="1228"/>
      <c r="EHR187" s="1228"/>
      <c r="EHS187" s="1228"/>
      <c r="EHT187" s="1228"/>
      <c r="EHU187" s="1228"/>
      <c r="EHV187" s="1228"/>
      <c r="EHW187" s="1228"/>
      <c r="EHX187" s="1228"/>
      <c r="EHY187" s="1228"/>
      <c r="EHZ187" s="1228"/>
      <c r="EIA187" s="1228"/>
      <c r="EIB187" s="1228"/>
      <c r="EIC187" s="1228"/>
      <c r="EID187" s="1228"/>
      <c r="EIE187" s="1228"/>
      <c r="EIF187" s="1228"/>
      <c r="EIG187" s="1228"/>
      <c r="EIH187" s="1228"/>
      <c r="EII187" s="1228"/>
      <c r="EIJ187" s="1228"/>
      <c r="EIK187" s="1228"/>
      <c r="EIL187" s="1228"/>
      <c r="EIM187" s="1228"/>
      <c r="EIN187" s="1228"/>
      <c r="EIO187" s="1228"/>
      <c r="EIP187" s="1228"/>
      <c r="EIQ187" s="1228"/>
      <c r="EIR187" s="1228"/>
      <c r="EIS187" s="1228"/>
      <c r="EIT187" s="1228"/>
      <c r="EIU187" s="1228"/>
      <c r="EIV187" s="1228"/>
      <c r="EIW187" s="1228"/>
      <c r="EIX187" s="1228"/>
      <c r="EIY187" s="1228"/>
      <c r="EIZ187" s="1228"/>
      <c r="EJA187" s="1228"/>
      <c r="EJB187" s="1228"/>
      <c r="EJC187" s="1228"/>
      <c r="EJD187" s="1228"/>
      <c r="EJE187" s="1228"/>
      <c r="EJF187" s="1228"/>
      <c r="EJG187" s="1228"/>
      <c r="EJH187" s="1228"/>
      <c r="EJI187" s="1228"/>
      <c r="EJJ187" s="1228"/>
      <c r="EJK187" s="1228"/>
      <c r="EJL187" s="1228"/>
      <c r="EJM187" s="1228"/>
      <c r="EJN187" s="1228"/>
      <c r="EJO187" s="1228"/>
      <c r="EJP187" s="1228"/>
      <c r="EJQ187" s="1228"/>
      <c r="EJR187" s="1228"/>
      <c r="EJS187" s="1228"/>
      <c r="EJT187" s="1228"/>
      <c r="EJU187" s="1228"/>
      <c r="EJV187" s="1228"/>
      <c r="EJW187" s="1228"/>
      <c r="EJX187" s="1228"/>
      <c r="EJY187" s="1228"/>
      <c r="EJZ187" s="1228"/>
      <c r="EKA187" s="1228"/>
      <c r="EKB187" s="1228"/>
      <c r="EKC187" s="1228"/>
      <c r="EKD187" s="1228"/>
      <c r="EKE187" s="1228"/>
      <c r="EKF187" s="1228"/>
      <c r="EKG187" s="1228"/>
      <c r="EKH187" s="1228"/>
      <c r="EKI187" s="1228"/>
      <c r="EKJ187" s="1228"/>
      <c r="EKK187" s="1228"/>
      <c r="EKL187" s="1228"/>
      <c r="EKM187" s="1228"/>
      <c r="EKN187" s="1228"/>
      <c r="EKO187" s="1228"/>
      <c r="EKP187" s="1228"/>
      <c r="EKQ187" s="1228"/>
      <c r="EKR187" s="1228"/>
      <c r="EKS187" s="1228"/>
      <c r="EKT187" s="1228"/>
      <c r="EKU187" s="1228"/>
      <c r="EKV187" s="1228"/>
      <c r="EKW187" s="1228"/>
      <c r="EKX187" s="1228"/>
      <c r="EKY187" s="1228"/>
      <c r="EKZ187" s="1228"/>
      <c r="ELA187" s="1228"/>
      <c r="ELB187" s="1228"/>
      <c r="ELC187" s="1228"/>
      <c r="ELD187" s="1228"/>
      <c r="ELE187" s="1228"/>
      <c r="ELF187" s="1228"/>
      <c r="ELG187" s="1228"/>
      <c r="ELH187" s="1228"/>
      <c r="ELI187" s="1228"/>
      <c r="ELJ187" s="1228"/>
      <c r="ELK187" s="1228"/>
      <c r="ELL187" s="1228"/>
      <c r="ELM187" s="1228"/>
      <c r="ELN187" s="1228"/>
      <c r="ELO187" s="1228"/>
      <c r="ELP187" s="1228"/>
      <c r="ELQ187" s="1228"/>
      <c r="ELR187" s="1228"/>
      <c r="ELS187" s="1228"/>
      <c r="ELT187" s="1228"/>
      <c r="ELU187" s="1228"/>
      <c r="ELV187" s="1228"/>
      <c r="ELW187" s="1228"/>
      <c r="ELX187" s="1228"/>
      <c r="ELY187" s="1228"/>
      <c r="ELZ187" s="1228"/>
      <c r="EMA187" s="1228"/>
      <c r="EMB187" s="1228"/>
      <c r="EMC187" s="1228"/>
      <c r="EMD187" s="1228"/>
      <c r="EME187" s="1228"/>
      <c r="EMF187" s="1228"/>
      <c r="EMG187" s="1228"/>
      <c r="EMH187" s="1228"/>
      <c r="EMI187" s="1228"/>
      <c r="EMJ187" s="1228"/>
      <c r="EMK187" s="1228"/>
      <c r="EML187" s="1228"/>
      <c r="EMM187" s="1228"/>
      <c r="EMN187" s="1228"/>
      <c r="EMO187" s="1228"/>
      <c r="EMP187" s="1228"/>
      <c r="EMQ187" s="1228"/>
      <c r="EMR187" s="1228"/>
      <c r="EMS187" s="1228"/>
      <c r="EMT187" s="1228"/>
      <c r="EMU187" s="1228"/>
      <c r="EMV187" s="1228"/>
      <c r="EMW187" s="1228"/>
      <c r="EMX187" s="1228"/>
      <c r="EMY187" s="1228"/>
      <c r="EMZ187" s="1228"/>
      <c r="ENA187" s="1228"/>
      <c r="ENB187" s="1228"/>
      <c r="ENC187" s="1228"/>
      <c r="END187" s="1228"/>
      <c r="ENE187" s="1228"/>
      <c r="ENF187" s="1228"/>
      <c r="ENG187" s="1228"/>
      <c r="ENH187" s="1228"/>
      <c r="ENI187" s="1228"/>
      <c r="ENJ187" s="1228"/>
      <c r="ENK187" s="1228"/>
      <c r="ENL187" s="1228"/>
      <c r="ENM187" s="1228"/>
      <c r="ENN187" s="1228"/>
      <c r="ENO187" s="1228"/>
      <c r="ENP187" s="1228"/>
      <c r="ENQ187" s="1228"/>
      <c r="ENR187" s="1228"/>
      <c r="ENS187" s="1228"/>
      <c r="ENT187" s="1228"/>
      <c r="ENU187" s="1228"/>
      <c r="ENV187" s="1228"/>
      <c r="ENW187" s="1228"/>
      <c r="ENX187" s="1228"/>
      <c r="ENY187" s="1228"/>
      <c r="ENZ187" s="1228"/>
      <c r="EOA187" s="1228"/>
      <c r="EOB187" s="1228"/>
      <c r="EOC187" s="1228"/>
      <c r="EOD187" s="1228"/>
      <c r="EOE187" s="1228"/>
      <c r="EOF187" s="1228"/>
      <c r="EOG187" s="1228"/>
      <c r="EOH187" s="1228"/>
      <c r="EOI187" s="1228"/>
      <c r="EOJ187" s="1228"/>
      <c r="EOK187" s="1228"/>
      <c r="EOL187" s="1228"/>
      <c r="EOM187" s="1228"/>
      <c r="EON187" s="1228"/>
      <c r="EOO187" s="1228"/>
      <c r="EOP187" s="1228"/>
      <c r="EOQ187" s="1228"/>
      <c r="EOR187" s="1228"/>
      <c r="EOS187" s="1228"/>
      <c r="EOT187" s="1228"/>
      <c r="EOU187" s="1228"/>
      <c r="EOV187" s="1228"/>
      <c r="EOW187" s="1228"/>
      <c r="EOX187" s="1228"/>
      <c r="EOY187" s="1228"/>
      <c r="EOZ187" s="1228"/>
      <c r="EPA187" s="1228"/>
      <c r="EPB187" s="1228"/>
      <c r="EPC187" s="1228"/>
      <c r="EPD187" s="1228"/>
      <c r="EPE187" s="1228"/>
      <c r="EPF187" s="1228"/>
      <c r="EPG187" s="1228"/>
      <c r="EPH187" s="1228"/>
      <c r="EPI187" s="1228"/>
      <c r="EPJ187" s="1228"/>
      <c r="EPK187" s="1228"/>
      <c r="EPL187" s="1228"/>
      <c r="EPM187" s="1228"/>
      <c r="EPN187" s="1228"/>
      <c r="EPO187" s="1228"/>
      <c r="EPP187" s="1228"/>
      <c r="EPQ187" s="1228"/>
      <c r="EPR187" s="1228"/>
      <c r="EPS187" s="1228"/>
      <c r="EPT187" s="1228"/>
      <c r="EPU187" s="1228"/>
      <c r="EPV187" s="1228"/>
      <c r="EPW187" s="1228"/>
      <c r="EPX187" s="1228"/>
      <c r="EPY187" s="1228"/>
      <c r="EPZ187" s="1228"/>
      <c r="EQA187" s="1228"/>
      <c r="EQB187" s="1228"/>
      <c r="EQC187" s="1228"/>
      <c r="EQD187" s="1228"/>
      <c r="EQE187" s="1228"/>
      <c r="EQF187" s="1228"/>
      <c r="EQG187" s="1228"/>
      <c r="EQH187" s="1228"/>
      <c r="EQI187" s="1228"/>
      <c r="EQJ187" s="1228"/>
      <c r="EQK187" s="1228"/>
      <c r="EQL187" s="1228"/>
      <c r="EQM187" s="1228"/>
      <c r="EQN187" s="1228"/>
      <c r="EQO187" s="1228"/>
      <c r="EQP187" s="1228"/>
      <c r="EQQ187" s="1228"/>
      <c r="EQR187" s="1228"/>
      <c r="EQS187" s="1228"/>
      <c r="EQT187" s="1228"/>
      <c r="EQU187" s="1228"/>
      <c r="EQV187" s="1228"/>
      <c r="EQW187" s="1228"/>
      <c r="EQX187" s="1228"/>
      <c r="EQY187" s="1228"/>
      <c r="EQZ187" s="1228"/>
      <c r="ERA187" s="1228"/>
      <c r="ERB187" s="1228"/>
      <c r="ERC187" s="1228"/>
      <c r="ERD187" s="1228"/>
      <c r="ERE187" s="1228"/>
      <c r="ERF187" s="1228"/>
      <c r="ERG187" s="1228"/>
      <c r="ERH187" s="1228"/>
      <c r="ERI187" s="1228"/>
      <c r="ERJ187" s="1228"/>
      <c r="ERK187" s="1228"/>
      <c r="ERL187" s="1228"/>
      <c r="ERM187" s="1228"/>
      <c r="ERN187" s="1228"/>
      <c r="ERO187" s="1228"/>
      <c r="ERP187" s="1228"/>
      <c r="ERQ187" s="1228"/>
      <c r="ERR187" s="1228"/>
      <c r="ERS187" s="1228"/>
      <c r="ERT187" s="1228"/>
      <c r="ERU187" s="1228"/>
      <c r="ERV187" s="1228"/>
      <c r="ERW187" s="1228"/>
      <c r="ERX187" s="1228"/>
      <c r="ERY187" s="1228"/>
      <c r="ERZ187" s="1228"/>
      <c r="ESA187" s="1228"/>
      <c r="ESB187" s="1228"/>
      <c r="ESC187" s="1228"/>
      <c r="ESD187" s="1228"/>
      <c r="ESE187" s="1228"/>
      <c r="ESF187" s="1228"/>
      <c r="ESG187" s="1228"/>
      <c r="ESH187" s="1228"/>
      <c r="ESI187" s="1228"/>
      <c r="ESJ187" s="1228"/>
      <c r="ESK187" s="1228"/>
      <c r="ESL187" s="1228"/>
      <c r="ESM187" s="1228"/>
      <c r="ESN187" s="1228"/>
      <c r="ESO187" s="1228"/>
      <c r="ESP187" s="1228"/>
      <c r="ESQ187" s="1228"/>
      <c r="ESR187" s="1228"/>
      <c r="ESS187" s="1228"/>
      <c r="EST187" s="1228"/>
      <c r="ESU187" s="1228"/>
      <c r="ESV187" s="1228"/>
      <c r="ESW187" s="1228"/>
      <c r="ESX187" s="1228"/>
      <c r="ESY187" s="1228"/>
      <c r="ESZ187" s="1228"/>
      <c r="ETA187" s="1228"/>
      <c r="ETB187" s="1228"/>
      <c r="ETC187" s="1228"/>
      <c r="ETD187" s="1228"/>
      <c r="ETE187" s="1228"/>
      <c r="ETF187" s="1228"/>
      <c r="ETG187" s="1228"/>
      <c r="ETH187" s="1228"/>
      <c r="ETI187" s="1228"/>
      <c r="ETJ187" s="1228"/>
      <c r="ETK187" s="1228"/>
      <c r="ETL187" s="1228"/>
      <c r="ETM187" s="1228"/>
      <c r="ETN187" s="1228"/>
      <c r="ETO187" s="1228"/>
      <c r="ETP187" s="1228"/>
      <c r="ETQ187" s="1228"/>
      <c r="ETR187" s="1228"/>
      <c r="ETS187" s="1228"/>
      <c r="ETT187" s="1228"/>
      <c r="ETU187" s="1228"/>
      <c r="ETV187" s="1228"/>
      <c r="ETW187" s="1228"/>
      <c r="ETX187" s="1228"/>
      <c r="ETY187" s="1228"/>
      <c r="ETZ187" s="1228"/>
      <c r="EUA187" s="1228"/>
      <c r="EUB187" s="1228"/>
      <c r="EUC187" s="1228"/>
      <c r="EUD187" s="1228"/>
      <c r="EUE187" s="1228"/>
      <c r="EUF187" s="1228"/>
      <c r="EUG187" s="1228"/>
      <c r="EUH187" s="1228"/>
      <c r="EUI187" s="1228"/>
      <c r="EUJ187" s="1228"/>
      <c r="EUK187" s="1228"/>
      <c r="EUL187" s="1228"/>
      <c r="EUM187" s="1228"/>
      <c r="EUN187" s="1228"/>
      <c r="EUO187" s="1228"/>
      <c r="EUP187" s="1228"/>
      <c r="EUQ187" s="1228"/>
      <c r="EUR187" s="1228"/>
      <c r="EUS187" s="1228"/>
      <c r="EUT187" s="1228"/>
      <c r="EUU187" s="1228"/>
      <c r="EUV187" s="1228"/>
      <c r="EUW187" s="1228"/>
      <c r="EUX187" s="1228"/>
      <c r="EUY187" s="1228"/>
      <c r="EUZ187" s="1228"/>
      <c r="EVA187" s="1228"/>
      <c r="EVB187" s="1228"/>
      <c r="EVC187" s="1228"/>
      <c r="EVD187" s="1228"/>
      <c r="EVE187" s="1228"/>
      <c r="EVF187" s="1228"/>
      <c r="EVG187" s="1228"/>
      <c r="EVH187" s="1228"/>
      <c r="EVI187" s="1228"/>
      <c r="EVJ187" s="1228"/>
      <c r="EVK187" s="1228"/>
      <c r="EVL187" s="1228"/>
      <c r="EVM187" s="1228"/>
      <c r="EVN187" s="1228"/>
      <c r="EVO187" s="1228"/>
      <c r="EVP187" s="1228"/>
      <c r="EVQ187" s="1228"/>
      <c r="EVR187" s="1228"/>
      <c r="EVS187" s="1228"/>
      <c r="EVT187" s="1228"/>
      <c r="EVU187" s="1228"/>
      <c r="EVV187" s="1228"/>
      <c r="EVW187" s="1228"/>
      <c r="EVX187" s="1228"/>
      <c r="EVY187" s="1228"/>
      <c r="EVZ187" s="1228"/>
      <c r="EWA187" s="1228"/>
      <c r="EWB187" s="1228"/>
      <c r="EWC187" s="1228"/>
      <c r="EWD187" s="1228"/>
      <c r="EWE187" s="1228"/>
      <c r="EWF187" s="1228"/>
      <c r="EWG187" s="1228"/>
      <c r="EWH187" s="1228"/>
      <c r="EWI187" s="1228"/>
      <c r="EWJ187" s="1228"/>
      <c r="EWK187" s="1228"/>
      <c r="EWL187" s="1228"/>
      <c r="EWM187" s="1228"/>
      <c r="EWN187" s="1228"/>
      <c r="EWO187" s="1228"/>
      <c r="EWP187" s="1228"/>
      <c r="EWQ187" s="1228"/>
      <c r="EWR187" s="1228"/>
      <c r="EWS187" s="1228"/>
      <c r="EWT187" s="1228"/>
      <c r="EWU187" s="1228"/>
      <c r="EWV187" s="1228"/>
      <c r="EWW187" s="1228"/>
      <c r="EWX187" s="1228"/>
      <c r="EWY187" s="1228"/>
      <c r="EWZ187" s="1228"/>
      <c r="EXA187" s="1228"/>
      <c r="EXB187" s="1228"/>
      <c r="EXC187" s="1228"/>
      <c r="EXD187" s="1228"/>
      <c r="EXE187" s="1228"/>
      <c r="EXF187" s="1228"/>
      <c r="EXG187" s="1228"/>
      <c r="EXH187" s="1228"/>
      <c r="EXI187" s="1228"/>
      <c r="EXJ187" s="1228"/>
      <c r="EXK187" s="1228"/>
      <c r="EXL187" s="1228"/>
      <c r="EXM187" s="1228"/>
      <c r="EXN187" s="1228"/>
      <c r="EXO187" s="1228"/>
      <c r="EXP187" s="1228"/>
      <c r="EXQ187" s="1228"/>
      <c r="EXR187" s="1228"/>
      <c r="EXS187" s="1228"/>
      <c r="EXT187" s="1228"/>
      <c r="EXU187" s="1228"/>
      <c r="EXV187" s="1228"/>
      <c r="EXW187" s="1228"/>
      <c r="EXX187" s="1228"/>
      <c r="EXY187" s="1228"/>
      <c r="EXZ187" s="1228"/>
      <c r="EYA187" s="1228"/>
      <c r="EYB187" s="1228"/>
      <c r="EYC187" s="1228"/>
      <c r="EYD187" s="1228"/>
      <c r="EYE187" s="1228"/>
      <c r="EYF187" s="1228"/>
      <c r="EYG187" s="1228"/>
      <c r="EYH187" s="1228"/>
      <c r="EYI187" s="1228"/>
      <c r="EYJ187" s="1228"/>
      <c r="EYK187" s="1228"/>
      <c r="EYL187" s="1228"/>
      <c r="EYM187" s="1228"/>
      <c r="EYN187" s="1228"/>
      <c r="EYO187" s="1228"/>
      <c r="EYP187" s="1228"/>
      <c r="EYQ187" s="1228"/>
      <c r="EYR187" s="1228"/>
      <c r="EYS187" s="1228"/>
      <c r="EYT187" s="1228"/>
      <c r="EYU187" s="1228"/>
      <c r="EYV187" s="1228"/>
      <c r="EYW187" s="1228"/>
      <c r="EYX187" s="1228"/>
      <c r="EYY187" s="1228"/>
      <c r="EYZ187" s="1228"/>
      <c r="EZA187" s="1228"/>
      <c r="EZB187" s="1228"/>
      <c r="EZC187" s="1228"/>
      <c r="EZD187" s="1228"/>
      <c r="EZE187" s="1228"/>
      <c r="EZF187" s="1228"/>
      <c r="EZG187" s="1228"/>
      <c r="EZH187" s="1228"/>
      <c r="EZI187" s="1228"/>
      <c r="EZJ187" s="1228"/>
      <c r="EZK187" s="1228"/>
      <c r="EZL187" s="1228"/>
      <c r="EZM187" s="1228"/>
      <c r="EZN187" s="1228"/>
      <c r="EZO187" s="1228"/>
      <c r="EZP187" s="1228"/>
      <c r="EZQ187" s="1228"/>
      <c r="EZR187" s="1228"/>
      <c r="EZS187" s="1228"/>
      <c r="EZT187" s="1228"/>
      <c r="EZU187" s="1228"/>
      <c r="EZV187" s="1228"/>
      <c r="EZW187" s="1228"/>
      <c r="EZX187" s="1228"/>
      <c r="EZY187" s="1228"/>
      <c r="EZZ187" s="1228"/>
      <c r="FAA187" s="1228"/>
      <c r="FAB187" s="1228"/>
      <c r="FAC187" s="1228"/>
      <c r="FAD187" s="1228"/>
      <c r="FAE187" s="1228"/>
      <c r="FAF187" s="1228"/>
      <c r="FAG187" s="1228"/>
      <c r="FAH187" s="1228"/>
      <c r="FAI187" s="1228"/>
      <c r="FAJ187" s="1228"/>
      <c r="FAK187" s="1228"/>
      <c r="FAL187" s="1228"/>
      <c r="FAM187" s="1228"/>
      <c r="FAN187" s="1228"/>
      <c r="FAO187" s="1228"/>
      <c r="FAP187" s="1228"/>
      <c r="FAQ187" s="1228"/>
      <c r="FAR187" s="1228"/>
      <c r="FAS187" s="1228"/>
      <c r="FAT187" s="1228"/>
      <c r="FAU187" s="1228"/>
      <c r="FAV187" s="1228"/>
      <c r="FAW187" s="1228"/>
      <c r="FAX187" s="1228"/>
      <c r="FAY187" s="1228"/>
      <c r="FAZ187" s="1228"/>
      <c r="FBA187" s="1228"/>
      <c r="FBB187" s="1228"/>
      <c r="FBC187" s="1228"/>
      <c r="FBD187" s="1228"/>
      <c r="FBE187" s="1228"/>
      <c r="FBF187" s="1228"/>
      <c r="FBG187" s="1228"/>
      <c r="FBH187" s="1228"/>
      <c r="FBI187" s="1228"/>
      <c r="FBJ187" s="1228"/>
      <c r="FBK187" s="1228"/>
      <c r="FBL187" s="1228"/>
      <c r="FBM187" s="1228"/>
      <c r="FBN187" s="1228"/>
      <c r="FBO187" s="1228"/>
      <c r="FBP187" s="1228"/>
      <c r="FBQ187" s="1228"/>
      <c r="FBR187" s="1228"/>
      <c r="FBS187" s="1228"/>
      <c r="FBT187" s="1228"/>
      <c r="FBU187" s="1228"/>
      <c r="FBV187" s="1228"/>
      <c r="FBW187" s="1228"/>
      <c r="FBX187" s="1228"/>
      <c r="FBY187" s="1228"/>
      <c r="FBZ187" s="1228"/>
      <c r="FCA187" s="1228"/>
      <c r="FCB187" s="1228"/>
      <c r="FCC187" s="1228"/>
      <c r="FCD187" s="1228"/>
      <c r="FCE187" s="1228"/>
      <c r="FCF187" s="1228"/>
      <c r="FCG187" s="1228"/>
      <c r="FCH187" s="1228"/>
      <c r="FCI187" s="1228"/>
      <c r="FCJ187" s="1228"/>
      <c r="FCK187" s="1228"/>
      <c r="FCL187" s="1228"/>
      <c r="FCM187" s="1228"/>
      <c r="FCN187" s="1228"/>
      <c r="FCO187" s="1228"/>
      <c r="FCP187" s="1228"/>
      <c r="FCQ187" s="1228"/>
      <c r="FCR187" s="1228"/>
      <c r="FCS187" s="1228"/>
      <c r="FCT187" s="1228"/>
      <c r="FCU187" s="1228"/>
      <c r="FCV187" s="1228"/>
      <c r="FCW187" s="1228"/>
      <c r="FCX187" s="1228"/>
      <c r="FCY187" s="1228"/>
      <c r="FCZ187" s="1228"/>
      <c r="FDA187" s="1228"/>
      <c r="FDB187" s="1228"/>
      <c r="FDC187" s="1228"/>
      <c r="FDD187" s="1228"/>
      <c r="FDE187" s="1228"/>
      <c r="FDF187" s="1228"/>
      <c r="FDG187" s="1228"/>
      <c r="FDH187" s="1228"/>
      <c r="FDI187" s="1228"/>
      <c r="FDJ187" s="1228"/>
      <c r="FDK187" s="1228"/>
      <c r="FDL187" s="1228"/>
      <c r="FDM187" s="1228"/>
      <c r="FDN187" s="1228"/>
      <c r="FDO187" s="1228"/>
      <c r="FDP187" s="1228"/>
      <c r="FDQ187" s="1228"/>
      <c r="FDR187" s="1228"/>
      <c r="FDS187" s="1228"/>
      <c r="FDT187" s="1228"/>
      <c r="FDU187" s="1228"/>
      <c r="FDV187" s="1228"/>
      <c r="FDW187" s="1228"/>
      <c r="FDX187" s="1228"/>
      <c r="FDY187" s="1228"/>
      <c r="FDZ187" s="1228"/>
      <c r="FEA187" s="1228"/>
      <c r="FEB187" s="1228"/>
      <c r="FEC187" s="1228"/>
      <c r="FED187" s="1228"/>
      <c r="FEE187" s="1228"/>
      <c r="FEF187" s="1228"/>
      <c r="FEG187" s="1228"/>
      <c r="FEH187" s="1228"/>
      <c r="FEI187" s="1228"/>
      <c r="FEJ187" s="1228"/>
      <c r="FEK187" s="1228"/>
      <c r="FEL187" s="1228"/>
      <c r="FEM187" s="1228"/>
      <c r="FEN187" s="1228"/>
      <c r="FEO187" s="1228"/>
      <c r="FEP187" s="1228"/>
      <c r="FEQ187" s="1228"/>
      <c r="FER187" s="1228"/>
      <c r="FES187" s="1228"/>
      <c r="FET187" s="1228"/>
      <c r="FEU187" s="1228"/>
      <c r="FEV187" s="1228"/>
      <c r="FEW187" s="1228"/>
      <c r="FEX187" s="1228"/>
      <c r="FEY187" s="1228"/>
      <c r="FEZ187" s="1228"/>
      <c r="FFA187" s="1228"/>
      <c r="FFB187" s="1228"/>
      <c r="FFC187" s="1228"/>
      <c r="FFD187" s="1228"/>
      <c r="FFE187" s="1228"/>
      <c r="FFF187" s="1228"/>
      <c r="FFG187" s="1228"/>
      <c r="FFH187" s="1228"/>
      <c r="FFI187" s="1228"/>
      <c r="FFJ187" s="1228"/>
      <c r="FFK187" s="1228"/>
      <c r="FFL187" s="1228"/>
      <c r="FFM187" s="1228"/>
      <c r="FFN187" s="1228"/>
      <c r="FFO187" s="1228"/>
      <c r="FFP187" s="1228"/>
      <c r="FFQ187" s="1228"/>
      <c r="FFR187" s="1228"/>
      <c r="FFS187" s="1228"/>
      <c r="FFT187" s="1228"/>
      <c r="FFU187" s="1228"/>
      <c r="FFV187" s="1228"/>
      <c r="FFW187" s="1228"/>
      <c r="FFX187" s="1228"/>
      <c r="FFY187" s="1228"/>
      <c r="FFZ187" s="1228"/>
      <c r="FGA187" s="1228"/>
      <c r="FGB187" s="1228"/>
      <c r="FGC187" s="1228"/>
      <c r="FGD187" s="1228"/>
      <c r="FGE187" s="1228"/>
      <c r="FGF187" s="1228"/>
      <c r="FGG187" s="1228"/>
      <c r="FGH187" s="1228"/>
      <c r="FGI187" s="1228"/>
      <c r="FGJ187" s="1228"/>
      <c r="FGK187" s="1228"/>
      <c r="FGL187" s="1228"/>
      <c r="FGM187" s="1228"/>
      <c r="FGN187" s="1228"/>
      <c r="FGO187" s="1228"/>
      <c r="FGP187" s="1228"/>
      <c r="FGQ187" s="1228"/>
      <c r="FGR187" s="1228"/>
      <c r="FGS187" s="1228"/>
      <c r="FGT187" s="1228"/>
      <c r="FGU187" s="1228"/>
      <c r="FGV187" s="1228"/>
      <c r="FGW187" s="1228"/>
      <c r="FGX187" s="1228"/>
      <c r="FGY187" s="1228"/>
      <c r="FGZ187" s="1228"/>
      <c r="FHA187" s="1228"/>
      <c r="FHB187" s="1228"/>
      <c r="FHC187" s="1228"/>
      <c r="FHD187" s="1228"/>
      <c r="FHE187" s="1228"/>
      <c r="FHF187" s="1228"/>
      <c r="FHG187" s="1228"/>
      <c r="FHH187" s="1228"/>
      <c r="FHI187" s="1228"/>
      <c r="FHJ187" s="1228"/>
      <c r="FHK187" s="1228"/>
      <c r="FHL187" s="1228"/>
      <c r="FHM187" s="1228"/>
      <c r="FHN187" s="1228"/>
      <c r="FHO187" s="1228"/>
      <c r="FHP187" s="1228"/>
      <c r="FHQ187" s="1228"/>
      <c r="FHR187" s="1228"/>
      <c r="FHS187" s="1228"/>
      <c r="FHT187" s="1228"/>
      <c r="FHU187" s="1228"/>
      <c r="FHV187" s="1228"/>
      <c r="FHW187" s="1228"/>
      <c r="FHX187" s="1228"/>
      <c r="FHY187" s="1228"/>
      <c r="FHZ187" s="1228"/>
      <c r="FIA187" s="1228"/>
      <c r="FIB187" s="1228"/>
      <c r="FIC187" s="1228"/>
      <c r="FID187" s="1228"/>
      <c r="FIE187" s="1228"/>
      <c r="FIF187" s="1228"/>
      <c r="FIG187" s="1228"/>
      <c r="FIH187" s="1228"/>
      <c r="FII187" s="1228"/>
      <c r="FIJ187" s="1228"/>
      <c r="FIK187" s="1228"/>
      <c r="FIL187" s="1228"/>
      <c r="FIM187" s="1228"/>
      <c r="FIN187" s="1228"/>
      <c r="FIO187" s="1228"/>
      <c r="FIP187" s="1228"/>
      <c r="FIQ187" s="1228"/>
      <c r="FIR187" s="1228"/>
      <c r="FIS187" s="1228"/>
      <c r="FIT187" s="1228"/>
      <c r="FIU187" s="1228"/>
      <c r="FIV187" s="1228"/>
      <c r="FIW187" s="1228"/>
      <c r="FIX187" s="1228"/>
      <c r="FIY187" s="1228"/>
      <c r="FIZ187" s="1228"/>
      <c r="FJA187" s="1228"/>
      <c r="FJB187" s="1228"/>
      <c r="FJC187" s="1228"/>
      <c r="FJD187" s="1228"/>
      <c r="FJE187" s="1228"/>
      <c r="FJF187" s="1228"/>
      <c r="FJG187" s="1228"/>
      <c r="FJH187" s="1228"/>
      <c r="FJI187" s="1228"/>
      <c r="FJJ187" s="1228"/>
      <c r="FJK187" s="1228"/>
      <c r="FJL187" s="1228"/>
      <c r="FJM187" s="1228"/>
      <c r="FJN187" s="1228"/>
      <c r="FJO187" s="1228"/>
      <c r="FJP187" s="1228"/>
      <c r="FJQ187" s="1228"/>
      <c r="FJR187" s="1228"/>
      <c r="FJS187" s="1228"/>
      <c r="FJT187" s="1228"/>
      <c r="FJU187" s="1228"/>
      <c r="FJV187" s="1228"/>
      <c r="FJW187" s="1228"/>
      <c r="FJX187" s="1228"/>
      <c r="FJY187" s="1228"/>
      <c r="FJZ187" s="1228"/>
      <c r="FKA187" s="1228"/>
      <c r="FKB187" s="1228"/>
      <c r="FKC187" s="1228"/>
      <c r="FKD187" s="1228"/>
      <c r="FKE187" s="1228"/>
      <c r="FKF187" s="1228"/>
      <c r="FKG187" s="1228"/>
      <c r="FKH187" s="1228"/>
      <c r="FKI187" s="1228"/>
      <c r="FKJ187" s="1228"/>
      <c r="FKK187" s="1228"/>
      <c r="FKL187" s="1228"/>
      <c r="FKM187" s="1228"/>
      <c r="FKN187" s="1228"/>
      <c r="FKO187" s="1228"/>
      <c r="FKP187" s="1228"/>
      <c r="FKQ187" s="1228"/>
      <c r="FKR187" s="1228"/>
      <c r="FKS187" s="1228"/>
      <c r="FKT187" s="1228"/>
      <c r="FKU187" s="1228"/>
      <c r="FKV187" s="1228"/>
      <c r="FKW187" s="1228"/>
      <c r="FKX187" s="1228"/>
      <c r="FKY187" s="1228"/>
      <c r="FKZ187" s="1228"/>
      <c r="FLA187" s="1228"/>
      <c r="FLB187" s="1228"/>
      <c r="FLC187" s="1228"/>
      <c r="FLD187" s="1228"/>
      <c r="FLE187" s="1228"/>
      <c r="FLF187" s="1228"/>
      <c r="FLG187" s="1228"/>
      <c r="FLH187" s="1228"/>
      <c r="FLI187" s="1228"/>
      <c r="FLJ187" s="1228"/>
      <c r="FLK187" s="1228"/>
      <c r="FLL187" s="1228"/>
      <c r="FLM187" s="1228"/>
      <c r="FLN187" s="1228"/>
      <c r="FLO187" s="1228"/>
      <c r="FLP187" s="1228"/>
      <c r="FLQ187" s="1228"/>
      <c r="FLR187" s="1228"/>
      <c r="FLS187" s="1228"/>
      <c r="FLT187" s="1228"/>
      <c r="FLU187" s="1228"/>
      <c r="FLV187" s="1228"/>
      <c r="FLW187" s="1228"/>
      <c r="FLX187" s="1228"/>
      <c r="FLY187" s="1228"/>
      <c r="FLZ187" s="1228"/>
      <c r="FMA187" s="1228"/>
      <c r="FMB187" s="1228"/>
      <c r="FMC187" s="1228"/>
      <c r="FMD187" s="1228"/>
      <c r="FME187" s="1228"/>
      <c r="FMF187" s="1228"/>
      <c r="FMG187" s="1228"/>
      <c r="FMH187" s="1228"/>
      <c r="FMI187" s="1228"/>
      <c r="FMJ187" s="1228"/>
      <c r="FMK187" s="1228"/>
      <c r="FML187" s="1228"/>
      <c r="FMM187" s="1228"/>
      <c r="FMN187" s="1228"/>
      <c r="FMO187" s="1228"/>
      <c r="FMP187" s="1228"/>
      <c r="FMQ187" s="1228"/>
      <c r="FMR187" s="1228"/>
      <c r="FMS187" s="1228"/>
      <c r="FMT187" s="1228"/>
      <c r="FMU187" s="1228"/>
      <c r="FMV187" s="1228"/>
      <c r="FMW187" s="1228"/>
      <c r="FMX187" s="1228"/>
      <c r="FMY187" s="1228"/>
      <c r="FMZ187" s="1228"/>
      <c r="FNA187" s="1228"/>
      <c r="FNB187" s="1228"/>
      <c r="FNC187" s="1228"/>
      <c r="FND187" s="1228"/>
      <c r="FNE187" s="1228"/>
      <c r="FNF187" s="1228"/>
      <c r="FNG187" s="1228"/>
      <c r="FNH187" s="1228"/>
      <c r="FNI187" s="1228"/>
      <c r="FNJ187" s="1228"/>
      <c r="FNK187" s="1228"/>
      <c r="FNL187" s="1228"/>
      <c r="FNM187" s="1228"/>
      <c r="FNN187" s="1228"/>
      <c r="FNO187" s="1228"/>
      <c r="FNP187" s="1228"/>
      <c r="FNQ187" s="1228"/>
      <c r="FNR187" s="1228"/>
      <c r="FNS187" s="1228"/>
      <c r="FNT187" s="1228"/>
      <c r="FNU187" s="1228"/>
      <c r="FNV187" s="1228"/>
      <c r="FNW187" s="1228"/>
      <c r="FNX187" s="1228"/>
      <c r="FNY187" s="1228"/>
      <c r="FNZ187" s="1228"/>
      <c r="FOA187" s="1228"/>
      <c r="FOB187" s="1228"/>
      <c r="FOC187" s="1228"/>
      <c r="FOD187" s="1228"/>
      <c r="FOE187" s="1228"/>
      <c r="FOF187" s="1228"/>
      <c r="FOG187" s="1228"/>
      <c r="FOH187" s="1228"/>
      <c r="FOI187" s="1228"/>
      <c r="FOJ187" s="1228"/>
      <c r="FOK187" s="1228"/>
      <c r="FOL187" s="1228"/>
      <c r="FOM187" s="1228"/>
      <c r="FON187" s="1228"/>
      <c r="FOO187" s="1228"/>
      <c r="FOP187" s="1228"/>
      <c r="FOQ187" s="1228"/>
      <c r="FOR187" s="1228"/>
      <c r="FOS187" s="1228"/>
      <c r="FOT187" s="1228"/>
      <c r="FOU187" s="1228"/>
      <c r="FOV187" s="1228"/>
      <c r="FOW187" s="1228"/>
      <c r="FOX187" s="1228"/>
      <c r="FOY187" s="1228"/>
      <c r="FOZ187" s="1228"/>
      <c r="FPA187" s="1228"/>
      <c r="FPB187" s="1228"/>
      <c r="FPC187" s="1228"/>
      <c r="FPD187" s="1228"/>
      <c r="FPE187" s="1228"/>
      <c r="FPF187" s="1228"/>
      <c r="FPG187" s="1228"/>
      <c r="FPH187" s="1228"/>
      <c r="FPI187" s="1228"/>
      <c r="FPJ187" s="1228"/>
      <c r="FPK187" s="1228"/>
      <c r="FPL187" s="1228"/>
      <c r="FPM187" s="1228"/>
      <c r="FPN187" s="1228"/>
      <c r="FPO187" s="1228"/>
      <c r="FPP187" s="1228"/>
      <c r="FPQ187" s="1228"/>
      <c r="FPR187" s="1228"/>
      <c r="FPS187" s="1228"/>
      <c r="FPT187" s="1228"/>
      <c r="FPU187" s="1228"/>
      <c r="FPV187" s="1228"/>
      <c r="FPW187" s="1228"/>
      <c r="FPX187" s="1228"/>
      <c r="FPY187" s="1228"/>
      <c r="FPZ187" s="1228"/>
      <c r="FQA187" s="1228"/>
      <c r="FQB187" s="1228"/>
      <c r="FQC187" s="1228"/>
      <c r="FQD187" s="1228"/>
      <c r="FQE187" s="1228"/>
      <c r="FQF187" s="1228"/>
      <c r="FQG187" s="1228"/>
      <c r="FQH187" s="1228"/>
      <c r="FQI187" s="1228"/>
      <c r="FQJ187" s="1228"/>
      <c r="FQK187" s="1228"/>
      <c r="FQL187" s="1228"/>
      <c r="FQM187" s="1228"/>
      <c r="FQN187" s="1228"/>
      <c r="FQO187" s="1228"/>
      <c r="FQP187" s="1228"/>
      <c r="FQQ187" s="1228"/>
      <c r="FQR187" s="1228"/>
      <c r="FQS187" s="1228"/>
      <c r="FQT187" s="1228"/>
      <c r="FQU187" s="1228"/>
      <c r="FQV187" s="1228"/>
      <c r="FQW187" s="1228"/>
      <c r="FQX187" s="1228"/>
      <c r="FQY187" s="1228"/>
      <c r="FQZ187" s="1228"/>
      <c r="FRA187" s="1228"/>
      <c r="FRB187" s="1228"/>
      <c r="FRC187" s="1228"/>
      <c r="FRD187" s="1228"/>
      <c r="FRE187" s="1228"/>
      <c r="FRF187" s="1228"/>
      <c r="FRG187" s="1228"/>
      <c r="FRH187" s="1228"/>
      <c r="FRI187" s="1228"/>
      <c r="FRJ187" s="1228"/>
      <c r="FRK187" s="1228"/>
      <c r="FRL187" s="1228"/>
      <c r="FRM187" s="1228"/>
      <c r="FRN187" s="1228"/>
      <c r="FRO187" s="1228"/>
      <c r="FRP187" s="1228"/>
      <c r="FRQ187" s="1228"/>
      <c r="FRR187" s="1228"/>
      <c r="FRS187" s="1228"/>
      <c r="FRT187" s="1228"/>
      <c r="FRU187" s="1228"/>
      <c r="FRV187" s="1228"/>
      <c r="FRW187" s="1228"/>
      <c r="FRX187" s="1228"/>
      <c r="FRY187" s="1228"/>
      <c r="FRZ187" s="1228"/>
      <c r="FSA187" s="1228"/>
      <c r="FSB187" s="1228"/>
      <c r="FSC187" s="1228"/>
      <c r="FSD187" s="1228"/>
      <c r="FSE187" s="1228"/>
      <c r="FSF187" s="1228"/>
      <c r="FSG187" s="1228"/>
      <c r="FSH187" s="1228"/>
      <c r="FSI187" s="1228"/>
      <c r="FSJ187" s="1228"/>
      <c r="FSK187" s="1228"/>
      <c r="FSL187" s="1228"/>
      <c r="FSM187" s="1228"/>
      <c r="FSN187" s="1228"/>
      <c r="FSO187" s="1228"/>
      <c r="FSP187" s="1228"/>
      <c r="FSQ187" s="1228"/>
      <c r="FSR187" s="1228"/>
      <c r="FSS187" s="1228"/>
      <c r="FST187" s="1228"/>
      <c r="FSU187" s="1228"/>
      <c r="FSV187" s="1228"/>
      <c r="FSW187" s="1228"/>
      <c r="FSX187" s="1228"/>
      <c r="FSY187" s="1228"/>
      <c r="FSZ187" s="1228"/>
      <c r="FTA187" s="1228"/>
      <c r="FTB187" s="1228"/>
      <c r="FTC187" s="1228"/>
      <c r="FTD187" s="1228"/>
      <c r="FTE187" s="1228"/>
      <c r="FTF187" s="1228"/>
      <c r="FTG187" s="1228"/>
      <c r="FTH187" s="1228"/>
      <c r="FTI187" s="1228"/>
      <c r="FTJ187" s="1228"/>
      <c r="FTK187" s="1228"/>
      <c r="FTL187" s="1228"/>
      <c r="FTM187" s="1228"/>
      <c r="FTN187" s="1228"/>
      <c r="FTO187" s="1228"/>
      <c r="FTP187" s="1228"/>
      <c r="FTQ187" s="1228"/>
      <c r="FTR187" s="1228"/>
      <c r="FTS187" s="1228"/>
      <c r="FTT187" s="1228"/>
      <c r="FTU187" s="1228"/>
      <c r="FTV187" s="1228"/>
      <c r="FTW187" s="1228"/>
      <c r="FTX187" s="1228"/>
      <c r="FTY187" s="1228"/>
      <c r="FTZ187" s="1228"/>
      <c r="FUA187" s="1228"/>
      <c r="FUB187" s="1228"/>
      <c r="FUC187" s="1228"/>
      <c r="FUD187" s="1228"/>
      <c r="FUE187" s="1228"/>
      <c r="FUF187" s="1228"/>
      <c r="FUG187" s="1228"/>
      <c r="FUH187" s="1228"/>
      <c r="FUI187" s="1228"/>
      <c r="FUJ187" s="1228"/>
      <c r="FUK187" s="1228"/>
      <c r="FUL187" s="1228"/>
      <c r="FUM187" s="1228"/>
      <c r="FUN187" s="1228"/>
      <c r="FUO187" s="1228"/>
      <c r="FUP187" s="1228"/>
      <c r="FUQ187" s="1228"/>
      <c r="FUR187" s="1228"/>
      <c r="FUS187" s="1228"/>
      <c r="FUT187" s="1228"/>
      <c r="FUU187" s="1228"/>
      <c r="FUV187" s="1228"/>
      <c r="FUW187" s="1228"/>
      <c r="FUX187" s="1228"/>
      <c r="FUY187" s="1228"/>
      <c r="FUZ187" s="1228"/>
      <c r="FVA187" s="1228"/>
      <c r="FVB187" s="1228"/>
      <c r="FVC187" s="1228"/>
      <c r="FVD187" s="1228"/>
      <c r="FVE187" s="1228"/>
      <c r="FVF187" s="1228"/>
      <c r="FVG187" s="1228"/>
      <c r="FVH187" s="1228"/>
      <c r="FVI187" s="1228"/>
      <c r="FVJ187" s="1228"/>
      <c r="FVK187" s="1228"/>
      <c r="FVL187" s="1228"/>
      <c r="FVM187" s="1228"/>
      <c r="FVN187" s="1228"/>
      <c r="FVO187" s="1228"/>
      <c r="FVP187" s="1228"/>
      <c r="FVQ187" s="1228"/>
      <c r="FVR187" s="1228"/>
      <c r="FVS187" s="1228"/>
      <c r="FVT187" s="1228"/>
      <c r="FVU187" s="1228"/>
      <c r="FVV187" s="1228"/>
      <c r="FVW187" s="1228"/>
      <c r="FVX187" s="1228"/>
      <c r="FVY187" s="1228"/>
      <c r="FVZ187" s="1228"/>
      <c r="FWA187" s="1228"/>
      <c r="FWB187" s="1228"/>
      <c r="FWC187" s="1228"/>
      <c r="FWD187" s="1228"/>
      <c r="FWE187" s="1228"/>
      <c r="FWF187" s="1228"/>
      <c r="FWG187" s="1228"/>
      <c r="FWH187" s="1228"/>
      <c r="FWI187" s="1228"/>
      <c r="FWJ187" s="1228"/>
      <c r="FWK187" s="1228"/>
      <c r="FWL187" s="1228"/>
      <c r="FWM187" s="1228"/>
      <c r="FWN187" s="1228"/>
      <c r="FWO187" s="1228"/>
      <c r="FWP187" s="1228"/>
      <c r="FWQ187" s="1228"/>
      <c r="FWR187" s="1228"/>
      <c r="FWS187" s="1228"/>
      <c r="FWT187" s="1228"/>
      <c r="FWU187" s="1228"/>
      <c r="FWV187" s="1228"/>
      <c r="FWW187" s="1228"/>
      <c r="FWX187" s="1228"/>
      <c r="FWY187" s="1228"/>
      <c r="FWZ187" s="1228"/>
      <c r="FXA187" s="1228"/>
      <c r="FXB187" s="1228"/>
      <c r="FXC187" s="1228"/>
      <c r="FXD187" s="1228"/>
      <c r="FXE187" s="1228"/>
      <c r="FXF187" s="1228"/>
      <c r="FXG187" s="1228"/>
      <c r="FXH187" s="1228"/>
      <c r="FXI187" s="1228"/>
      <c r="FXJ187" s="1228"/>
      <c r="FXK187" s="1228"/>
      <c r="FXL187" s="1228"/>
      <c r="FXM187" s="1228"/>
      <c r="FXN187" s="1228"/>
      <c r="FXO187" s="1228"/>
      <c r="FXP187" s="1228"/>
      <c r="FXQ187" s="1228"/>
      <c r="FXR187" s="1228"/>
      <c r="FXS187" s="1228"/>
      <c r="FXT187" s="1228"/>
      <c r="FXU187" s="1228"/>
      <c r="FXV187" s="1228"/>
      <c r="FXW187" s="1228"/>
      <c r="FXX187" s="1228"/>
      <c r="FXY187" s="1228"/>
      <c r="FXZ187" s="1228"/>
      <c r="FYA187" s="1228"/>
      <c r="FYB187" s="1228"/>
      <c r="FYC187" s="1228"/>
      <c r="FYD187" s="1228"/>
      <c r="FYE187" s="1228"/>
      <c r="FYF187" s="1228"/>
      <c r="FYG187" s="1228"/>
      <c r="FYH187" s="1228"/>
      <c r="FYI187" s="1228"/>
      <c r="FYJ187" s="1228"/>
      <c r="FYK187" s="1228"/>
      <c r="FYL187" s="1228"/>
      <c r="FYM187" s="1228"/>
      <c r="FYN187" s="1228"/>
      <c r="FYO187" s="1228"/>
      <c r="FYP187" s="1228"/>
      <c r="FYQ187" s="1228"/>
      <c r="FYR187" s="1228"/>
      <c r="FYS187" s="1228"/>
      <c r="FYT187" s="1228"/>
      <c r="FYU187" s="1228"/>
      <c r="FYV187" s="1228"/>
      <c r="FYW187" s="1228"/>
      <c r="FYX187" s="1228"/>
      <c r="FYY187" s="1228"/>
      <c r="FYZ187" s="1228"/>
      <c r="FZA187" s="1228"/>
      <c r="FZB187" s="1228"/>
      <c r="FZC187" s="1228"/>
      <c r="FZD187" s="1228"/>
      <c r="FZE187" s="1228"/>
      <c r="FZF187" s="1228"/>
      <c r="FZG187" s="1228"/>
      <c r="FZH187" s="1228"/>
      <c r="FZI187" s="1228"/>
      <c r="FZJ187" s="1228"/>
      <c r="FZK187" s="1228"/>
      <c r="FZL187" s="1228"/>
      <c r="FZM187" s="1228"/>
      <c r="FZN187" s="1228"/>
      <c r="FZO187" s="1228"/>
      <c r="FZP187" s="1228"/>
      <c r="FZQ187" s="1228"/>
      <c r="FZR187" s="1228"/>
      <c r="FZS187" s="1228"/>
      <c r="FZT187" s="1228"/>
      <c r="FZU187" s="1228"/>
      <c r="FZV187" s="1228"/>
      <c r="FZW187" s="1228"/>
      <c r="FZX187" s="1228"/>
      <c r="FZY187" s="1228"/>
      <c r="FZZ187" s="1228"/>
      <c r="GAA187" s="1228"/>
      <c r="GAB187" s="1228"/>
      <c r="GAC187" s="1228"/>
      <c r="GAD187" s="1228"/>
      <c r="GAE187" s="1228"/>
      <c r="GAF187" s="1228"/>
      <c r="GAG187" s="1228"/>
      <c r="GAH187" s="1228"/>
      <c r="GAI187" s="1228"/>
      <c r="GAJ187" s="1228"/>
      <c r="GAK187" s="1228"/>
      <c r="GAL187" s="1228"/>
      <c r="GAM187" s="1228"/>
      <c r="GAN187" s="1228"/>
      <c r="GAO187" s="1228"/>
      <c r="GAP187" s="1228"/>
      <c r="GAQ187" s="1228"/>
      <c r="GAR187" s="1228"/>
      <c r="GAS187" s="1228"/>
      <c r="GAT187" s="1228"/>
      <c r="GAU187" s="1228"/>
      <c r="GAV187" s="1228"/>
      <c r="GAW187" s="1228"/>
      <c r="GAX187" s="1228"/>
      <c r="GAY187" s="1228"/>
      <c r="GAZ187" s="1228"/>
      <c r="GBA187" s="1228"/>
      <c r="GBB187" s="1228"/>
      <c r="GBC187" s="1228"/>
      <c r="GBD187" s="1228"/>
      <c r="GBE187" s="1228"/>
      <c r="GBF187" s="1228"/>
      <c r="GBG187" s="1228"/>
      <c r="GBH187" s="1228"/>
      <c r="GBI187" s="1228"/>
      <c r="GBJ187" s="1228"/>
      <c r="GBK187" s="1228"/>
      <c r="GBL187" s="1228"/>
      <c r="GBM187" s="1228"/>
      <c r="GBN187" s="1228"/>
      <c r="GBO187" s="1228"/>
      <c r="GBP187" s="1228"/>
      <c r="GBQ187" s="1228"/>
      <c r="GBR187" s="1228"/>
      <c r="GBS187" s="1228"/>
      <c r="GBT187" s="1228"/>
      <c r="GBU187" s="1228"/>
      <c r="GBV187" s="1228"/>
      <c r="GBW187" s="1228"/>
      <c r="GBX187" s="1228"/>
      <c r="GBY187" s="1228"/>
      <c r="GBZ187" s="1228"/>
      <c r="GCA187" s="1228"/>
      <c r="GCB187" s="1228"/>
      <c r="GCC187" s="1228"/>
      <c r="GCD187" s="1228"/>
      <c r="GCE187" s="1228"/>
      <c r="GCF187" s="1228"/>
      <c r="GCG187" s="1228"/>
      <c r="GCH187" s="1228"/>
      <c r="GCI187" s="1228"/>
      <c r="GCJ187" s="1228"/>
      <c r="GCK187" s="1228"/>
      <c r="GCL187" s="1228"/>
      <c r="GCM187" s="1228"/>
      <c r="GCN187" s="1228"/>
      <c r="GCO187" s="1228"/>
      <c r="GCP187" s="1228"/>
      <c r="GCQ187" s="1228"/>
      <c r="GCR187" s="1228"/>
      <c r="GCS187" s="1228"/>
      <c r="GCT187" s="1228"/>
      <c r="GCU187" s="1228"/>
      <c r="GCV187" s="1228"/>
      <c r="GCW187" s="1228"/>
      <c r="GCX187" s="1228"/>
      <c r="GCY187" s="1228"/>
      <c r="GCZ187" s="1228"/>
      <c r="GDA187" s="1228"/>
      <c r="GDB187" s="1228"/>
      <c r="GDC187" s="1228"/>
      <c r="GDD187" s="1228"/>
      <c r="GDE187" s="1228"/>
      <c r="GDF187" s="1228"/>
      <c r="GDG187" s="1228"/>
      <c r="GDH187" s="1228"/>
      <c r="GDI187" s="1228"/>
      <c r="GDJ187" s="1228"/>
      <c r="GDK187" s="1228"/>
      <c r="GDL187" s="1228"/>
      <c r="GDM187" s="1228"/>
      <c r="GDN187" s="1228"/>
      <c r="GDO187" s="1228"/>
      <c r="GDP187" s="1228"/>
      <c r="GDQ187" s="1228"/>
      <c r="GDR187" s="1228"/>
      <c r="GDS187" s="1228"/>
      <c r="GDT187" s="1228"/>
      <c r="GDU187" s="1228"/>
      <c r="GDV187" s="1228"/>
      <c r="GDW187" s="1228"/>
      <c r="GDX187" s="1228"/>
      <c r="GDY187" s="1228"/>
      <c r="GDZ187" s="1228"/>
      <c r="GEA187" s="1228"/>
      <c r="GEB187" s="1228"/>
      <c r="GEC187" s="1228"/>
      <c r="GED187" s="1228"/>
      <c r="GEE187" s="1228"/>
      <c r="GEF187" s="1228"/>
      <c r="GEG187" s="1228"/>
      <c r="GEH187" s="1228"/>
      <c r="GEI187" s="1228"/>
      <c r="GEJ187" s="1228"/>
      <c r="GEK187" s="1228"/>
      <c r="GEL187" s="1228"/>
      <c r="GEM187" s="1228"/>
      <c r="GEN187" s="1228"/>
      <c r="GEO187" s="1228"/>
      <c r="GEP187" s="1228"/>
      <c r="GEQ187" s="1228"/>
      <c r="GER187" s="1228"/>
      <c r="GES187" s="1228"/>
      <c r="GET187" s="1228"/>
      <c r="GEU187" s="1228"/>
      <c r="GEV187" s="1228"/>
      <c r="GEW187" s="1228"/>
      <c r="GEX187" s="1228"/>
      <c r="GEY187" s="1228"/>
      <c r="GEZ187" s="1228"/>
      <c r="GFA187" s="1228"/>
      <c r="GFB187" s="1228"/>
      <c r="GFC187" s="1228"/>
      <c r="GFD187" s="1228"/>
      <c r="GFE187" s="1228"/>
      <c r="GFF187" s="1228"/>
      <c r="GFG187" s="1228"/>
      <c r="GFH187" s="1228"/>
      <c r="GFI187" s="1228"/>
      <c r="GFJ187" s="1228"/>
      <c r="GFK187" s="1228"/>
      <c r="GFL187" s="1228"/>
      <c r="GFM187" s="1228"/>
      <c r="GFN187" s="1228"/>
      <c r="GFO187" s="1228"/>
      <c r="GFP187" s="1228"/>
      <c r="GFQ187" s="1228"/>
      <c r="GFR187" s="1228"/>
      <c r="GFS187" s="1228"/>
      <c r="GFT187" s="1228"/>
      <c r="GFU187" s="1228"/>
      <c r="GFV187" s="1228"/>
      <c r="GFW187" s="1228"/>
      <c r="GFX187" s="1228"/>
      <c r="GFY187" s="1228"/>
      <c r="GFZ187" s="1228"/>
      <c r="GGA187" s="1228"/>
      <c r="GGB187" s="1228"/>
      <c r="GGC187" s="1228"/>
      <c r="GGD187" s="1228"/>
      <c r="GGE187" s="1228"/>
      <c r="GGF187" s="1228"/>
      <c r="GGG187" s="1228"/>
      <c r="GGH187" s="1228"/>
      <c r="GGI187" s="1228"/>
      <c r="GGJ187" s="1228"/>
      <c r="GGK187" s="1228"/>
      <c r="GGL187" s="1228"/>
      <c r="GGM187" s="1228"/>
      <c r="GGN187" s="1228"/>
      <c r="GGO187" s="1228"/>
      <c r="GGP187" s="1228"/>
      <c r="GGQ187" s="1228"/>
      <c r="GGR187" s="1228"/>
      <c r="GGS187" s="1228"/>
      <c r="GGT187" s="1228"/>
      <c r="GGU187" s="1228"/>
      <c r="GGV187" s="1228"/>
      <c r="GGW187" s="1228"/>
      <c r="GGX187" s="1228"/>
      <c r="GGY187" s="1228"/>
      <c r="GGZ187" s="1228"/>
      <c r="GHA187" s="1228"/>
      <c r="GHB187" s="1228"/>
      <c r="GHC187" s="1228"/>
      <c r="GHD187" s="1228"/>
      <c r="GHE187" s="1228"/>
      <c r="GHF187" s="1228"/>
      <c r="GHG187" s="1228"/>
      <c r="GHH187" s="1228"/>
      <c r="GHI187" s="1228"/>
      <c r="GHJ187" s="1228"/>
      <c r="GHK187" s="1228"/>
      <c r="GHL187" s="1228"/>
      <c r="GHM187" s="1228"/>
      <c r="GHN187" s="1228"/>
      <c r="GHO187" s="1228"/>
      <c r="GHP187" s="1228"/>
      <c r="GHQ187" s="1228"/>
      <c r="GHR187" s="1228"/>
      <c r="GHS187" s="1228"/>
      <c r="GHT187" s="1228"/>
      <c r="GHU187" s="1228"/>
      <c r="GHV187" s="1228"/>
      <c r="GHW187" s="1228"/>
      <c r="GHX187" s="1228"/>
      <c r="GHY187" s="1228"/>
      <c r="GHZ187" s="1228"/>
      <c r="GIA187" s="1228"/>
      <c r="GIB187" s="1228"/>
      <c r="GIC187" s="1228"/>
      <c r="GID187" s="1228"/>
      <c r="GIE187" s="1228"/>
      <c r="GIF187" s="1228"/>
      <c r="GIG187" s="1228"/>
      <c r="GIH187" s="1228"/>
      <c r="GII187" s="1228"/>
      <c r="GIJ187" s="1228"/>
      <c r="GIK187" s="1228"/>
      <c r="GIL187" s="1228"/>
      <c r="GIM187" s="1228"/>
      <c r="GIN187" s="1228"/>
      <c r="GIO187" s="1228"/>
      <c r="GIP187" s="1228"/>
      <c r="GIQ187" s="1228"/>
      <c r="GIR187" s="1228"/>
      <c r="GIS187" s="1228"/>
      <c r="GIT187" s="1228"/>
      <c r="GIU187" s="1228"/>
      <c r="GIV187" s="1228"/>
      <c r="GIW187" s="1228"/>
      <c r="GIX187" s="1228"/>
      <c r="GIY187" s="1228"/>
      <c r="GIZ187" s="1228"/>
      <c r="GJA187" s="1228"/>
      <c r="GJB187" s="1228"/>
      <c r="GJC187" s="1228"/>
      <c r="GJD187" s="1228"/>
      <c r="GJE187" s="1228"/>
      <c r="GJF187" s="1228"/>
      <c r="GJG187" s="1228"/>
      <c r="GJH187" s="1228"/>
      <c r="GJI187" s="1228"/>
      <c r="GJJ187" s="1228"/>
      <c r="GJK187" s="1228"/>
      <c r="GJL187" s="1228"/>
      <c r="GJM187" s="1228"/>
      <c r="GJN187" s="1228"/>
      <c r="GJO187" s="1228"/>
      <c r="GJP187" s="1228"/>
      <c r="GJQ187" s="1228"/>
      <c r="GJR187" s="1228"/>
      <c r="GJS187" s="1228"/>
      <c r="GJT187" s="1228"/>
      <c r="GJU187" s="1228"/>
      <c r="GJV187" s="1228"/>
      <c r="GJW187" s="1228"/>
      <c r="GJX187" s="1228"/>
      <c r="GJY187" s="1228"/>
      <c r="GJZ187" s="1228"/>
      <c r="GKA187" s="1228"/>
      <c r="GKB187" s="1228"/>
      <c r="GKC187" s="1228"/>
      <c r="GKD187" s="1228"/>
      <c r="GKE187" s="1228"/>
      <c r="GKF187" s="1228"/>
      <c r="GKG187" s="1228"/>
      <c r="GKH187" s="1228"/>
      <c r="GKI187" s="1228"/>
      <c r="GKJ187" s="1228"/>
      <c r="GKK187" s="1228"/>
      <c r="GKL187" s="1228"/>
      <c r="GKM187" s="1228"/>
      <c r="GKN187" s="1228"/>
      <c r="GKO187" s="1228"/>
      <c r="GKP187" s="1228"/>
      <c r="GKQ187" s="1228"/>
      <c r="GKR187" s="1228"/>
      <c r="GKS187" s="1228"/>
      <c r="GKT187" s="1228"/>
      <c r="GKU187" s="1228"/>
      <c r="GKV187" s="1228"/>
      <c r="GKW187" s="1228"/>
      <c r="GKX187" s="1228"/>
      <c r="GKY187" s="1228"/>
      <c r="GKZ187" s="1228"/>
      <c r="GLA187" s="1228"/>
      <c r="GLB187" s="1228"/>
      <c r="GLC187" s="1228"/>
      <c r="GLD187" s="1228"/>
      <c r="GLE187" s="1228"/>
      <c r="GLF187" s="1228"/>
      <c r="GLG187" s="1228"/>
      <c r="GLH187" s="1228"/>
      <c r="GLI187" s="1228"/>
      <c r="GLJ187" s="1228"/>
      <c r="GLK187" s="1228"/>
      <c r="GLL187" s="1228"/>
      <c r="GLM187" s="1228"/>
      <c r="GLN187" s="1228"/>
      <c r="GLO187" s="1228"/>
      <c r="GLP187" s="1228"/>
      <c r="GLQ187" s="1228"/>
      <c r="GLR187" s="1228"/>
      <c r="GLS187" s="1228"/>
      <c r="GLT187" s="1228"/>
      <c r="GLU187" s="1228"/>
      <c r="GLV187" s="1228"/>
      <c r="GLW187" s="1228"/>
      <c r="GLX187" s="1228"/>
      <c r="GLY187" s="1228"/>
      <c r="GLZ187" s="1228"/>
      <c r="GMA187" s="1228"/>
      <c r="GMB187" s="1228"/>
      <c r="GMC187" s="1228"/>
      <c r="GMD187" s="1228"/>
      <c r="GME187" s="1228"/>
      <c r="GMF187" s="1228"/>
      <c r="GMG187" s="1228"/>
      <c r="GMH187" s="1228"/>
      <c r="GMI187" s="1228"/>
      <c r="GMJ187" s="1228"/>
      <c r="GMK187" s="1228"/>
      <c r="GML187" s="1228"/>
      <c r="GMM187" s="1228"/>
      <c r="GMN187" s="1228"/>
      <c r="GMO187" s="1228"/>
      <c r="GMP187" s="1228"/>
      <c r="GMQ187" s="1228"/>
      <c r="GMR187" s="1228"/>
      <c r="GMS187" s="1228"/>
      <c r="GMT187" s="1228"/>
      <c r="GMU187" s="1228"/>
      <c r="GMV187" s="1228"/>
      <c r="GMW187" s="1228"/>
      <c r="GMX187" s="1228"/>
      <c r="GMY187" s="1228"/>
      <c r="GMZ187" s="1228"/>
      <c r="GNA187" s="1228"/>
      <c r="GNB187" s="1228"/>
      <c r="GNC187" s="1228"/>
      <c r="GND187" s="1228"/>
      <c r="GNE187" s="1228"/>
      <c r="GNF187" s="1228"/>
      <c r="GNG187" s="1228"/>
      <c r="GNH187" s="1228"/>
      <c r="GNI187" s="1228"/>
      <c r="GNJ187" s="1228"/>
      <c r="GNK187" s="1228"/>
      <c r="GNL187" s="1228"/>
      <c r="GNM187" s="1228"/>
      <c r="GNN187" s="1228"/>
      <c r="GNO187" s="1228"/>
      <c r="GNP187" s="1228"/>
      <c r="GNQ187" s="1228"/>
      <c r="GNR187" s="1228"/>
      <c r="GNS187" s="1228"/>
      <c r="GNT187" s="1228"/>
      <c r="GNU187" s="1228"/>
      <c r="GNV187" s="1228"/>
      <c r="GNW187" s="1228"/>
      <c r="GNX187" s="1228"/>
      <c r="GNY187" s="1228"/>
      <c r="GNZ187" s="1228"/>
      <c r="GOA187" s="1228"/>
      <c r="GOB187" s="1228"/>
      <c r="GOC187" s="1228"/>
      <c r="GOD187" s="1228"/>
      <c r="GOE187" s="1228"/>
      <c r="GOF187" s="1228"/>
      <c r="GOG187" s="1228"/>
      <c r="GOH187" s="1228"/>
      <c r="GOI187" s="1228"/>
      <c r="GOJ187" s="1228"/>
      <c r="GOK187" s="1228"/>
      <c r="GOL187" s="1228"/>
      <c r="GOM187" s="1228"/>
      <c r="GON187" s="1228"/>
      <c r="GOO187" s="1228"/>
      <c r="GOP187" s="1228"/>
      <c r="GOQ187" s="1228"/>
      <c r="GOR187" s="1228"/>
      <c r="GOS187" s="1228"/>
      <c r="GOT187" s="1228"/>
      <c r="GOU187" s="1228"/>
      <c r="GOV187" s="1228"/>
      <c r="GOW187" s="1228"/>
      <c r="GOX187" s="1228"/>
      <c r="GOY187" s="1228"/>
      <c r="GOZ187" s="1228"/>
      <c r="GPA187" s="1228"/>
      <c r="GPB187" s="1228"/>
      <c r="GPC187" s="1228"/>
      <c r="GPD187" s="1228"/>
      <c r="GPE187" s="1228"/>
      <c r="GPF187" s="1228"/>
      <c r="GPG187" s="1228"/>
      <c r="GPH187" s="1228"/>
      <c r="GPI187" s="1228"/>
      <c r="GPJ187" s="1228"/>
      <c r="GPK187" s="1228"/>
      <c r="GPL187" s="1228"/>
      <c r="GPM187" s="1228"/>
      <c r="GPN187" s="1228"/>
      <c r="GPO187" s="1228"/>
      <c r="GPP187" s="1228"/>
      <c r="GPQ187" s="1228"/>
      <c r="GPR187" s="1228"/>
      <c r="GPS187" s="1228"/>
      <c r="GPT187" s="1228"/>
      <c r="GPU187" s="1228"/>
      <c r="GPV187" s="1228"/>
      <c r="GPW187" s="1228"/>
      <c r="GPX187" s="1228"/>
      <c r="GPY187" s="1228"/>
      <c r="GPZ187" s="1228"/>
      <c r="GQA187" s="1228"/>
      <c r="GQB187" s="1228"/>
      <c r="GQC187" s="1228"/>
      <c r="GQD187" s="1228"/>
      <c r="GQE187" s="1228"/>
      <c r="GQF187" s="1228"/>
      <c r="GQG187" s="1228"/>
      <c r="GQH187" s="1228"/>
      <c r="GQI187" s="1228"/>
      <c r="GQJ187" s="1228"/>
      <c r="GQK187" s="1228"/>
      <c r="GQL187" s="1228"/>
      <c r="GQM187" s="1228"/>
      <c r="GQN187" s="1228"/>
      <c r="GQO187" s="1228"/>
      <c r="GQP187" s="1228"/>
      <c r="GQQ187" s="1228"/>
      <c r="GQR187" s="1228"/>
      <c r="GQS187" s="1228"/>
      <c r="GQT187" s="1228"/>
      <c r="GQU187" s="1228"/>
      <c r="GQV187" s="1228"/>
      <c r="GQW187" s="1228"/>
      <c r="GQX187" s="1228"/>
      <c r="GQY187" s="1228"/>
      <c r="GQZ187" s="1228"/>
      <c r="GRA187" s="1228"/>
      <c r="GRB187" s="1228"/>
      <c r="GRC187" s="1228"/>
      <c r="GRD187" s="1228"/>
      <c r="GRE187" s="1228"/>
      <c r="GRF187" s="1228"/>
      <c r="GRG187" s="1228"/>
      <c r="GRH187" s="1228"/>
      <c r="GRI187" s="1228"/>
      <c r="GRJ187" s="1228"/>
      <c r="GRK187" s="1228"/>
      <c r="GRL187" s="1228"/>
      <c r="GRM187" s="1228"/>
      <c r="GRN187" s="1228"/>
      <c r="GRO187" s="1228"/>
      <c r="GRP187" s="1228"/>
      <c r="GRQ187" s="1228"/>
      <c r="GRR187" s="1228"/>
      <c r="GRS187" s="1228"/>
      <c r="GRT187" s="1228"/>
      <c r="GRU187" s="1228"/>
      <c r="GRV187" s="1228"/>
      <c r="GRW187" s="1228"/>
      <c r="GRX187" s="1228"/>
      <c r="GRY187" s="1228"/>
      <c r="GRZ187" s="1228"/>
      <c r="GSA187" s="1228"/>
      <c r="GSB187" s="1228"/>
      <c r="GSC187" s="1228"/>
      <c r="GSD187" s="1228"/>
      <c r="GSE187" s="1228"/>
      <c r="GSF187" s="1228"/>
      <c r="GSG187" s="1228"/>
      <c r="GSH187" s="1228"/>
      <c r="GSI187" s="1228"/>
      <c r="GSJ187" s="1228"/>
      <c r="GSK187" s="1228"/>
      <c r="GSL187" s="1228"/>
      <c r="GSM187" s="1228"/>
      <c r="GSN187" s="1228"/>
      <c r="GSO187" s="1228"/>
      <c r="GSP187" s="1228"/>
      <c r="GSQ187" s="1228"/>
      <c r="GSR187" s="1228"/>
      <c r="GSS187" s="1228"/>
      <c r="GST187" s="1228"/>
      <c r="GSU187" s="1228"/>
      <c r="GSV187" s="1228"/>
      <c r="GSW187" s="1228"/>
      <c r="GSX187" s="1228"/>
      <c r="GSY187" s="1228"/>
      <c r="GSZ187" s="1228"/>
      <c r="GTA187" s="1228"/>
      <c r="GTB187" s="1228"/>
      <c r="GTC187" s="1228"/>
      <c r="GTD187" s="1228"/>
      <c r="GTE187" s="1228"/>
      <c r="GTF187" s="1228"/>
      <c r="GTG187" s="1228"/>
      <c r="GTH187" s="1228"/>
      <c r="GTI187" s="1228"/>
      <c r="GTJ187" s="1228"/>
      <c r="GTK187" s="1228"/>
      <c r="GTL187" s="1228"/>
      <c r="GTM187" s="1228"/>
      <c r="GTN187" s="1228"/>
      <c r="GTO187" s="1228"/>
      <c r="GTP187" s="1228"/>
      <c r="GTQ187" s="1228"/>
      <c r="GTR187" s="1228"/>
      <c r="GTS187" s="1228"/>
      <c r="GTT187" s="1228"/>
      <c r="GTU187" s="1228"/>
      <c r="GTV187" s="1228"/>
      <c r="GTW187" s="1228"/>
      <c r="GTX187" s="1228"/>
      <c r="GTY187" s="1228"/>
      <c r="GTZ187" s="1228"/>
      <c r="GUA187" s="1228"/>
      <c r="GUB187" s="1228"/>
      <c r="GUC187" s="1228"/>
      <c r="GUD187" s="1228"/>
      <c r="GUE187" s="1228"/>
      <c r="GUF187" s="1228"/>
      <c r="GUG187" s="1228"/>
      <c r="GUH187" s="1228"/>
      <c r="GUI187" s="1228"/>
      <c r="GUJ187" s="1228"/>
      <c r="GUK187" s="1228"/>
      <c r="GUL187" s="1228"/>
      <c r="GUM187" s="1228"/>
      <c r="GUN187" s="1228"/>
      <c r="GUO187" s="1228"/>
      <c r="GUP187" s="1228"/>
      <c r="GUQ187" s="1228"/>
      <c r="GUR187" s="1228"/>
      <c r="GUS187" s="1228"/>
      <c r="GUT187" s="1228"/>
      <c r="GUU187" s="1228"/>
      <c r="GUV187" s="1228"/>
      <c r="GUW187" s="1228"/>
      <c r="GUX187" s="1228"/>
      <c r="GUY187" s="1228"/>
      <c r="GUZ187" s="1228"/>
      <c r="GVA187" s="1228"/>
      <c r="GVB187" s="1228"/>
      <c r="GVC187" s="1228"/>
      <c r="GVD187" s="1228"/>
      <c r="GVE187" s="1228"/>
      <c r="GVF187" s="1228"/>
      <c r="GVG187" s="1228"/>
      <c r="GVH187" s="1228"/>
      <c r="GVI187" s="1228"/>
      <c r="GVJ187" s="1228"/>
      <c r="GVK187" s="1228"/>
      <c r="GVL187" s="1228"/>
      <c r="GVM187" s="1228"/>
      <c r="GVN187" s="1228"/>
      <c r="GVO187" s="1228"/>
      <c r="GVP187" s="1228"/>
      <c r="GVQ187" s="1228"/>
      <c r="GVR187" s="1228"/>
      <c r="GVS187" s="1228"/>
      <c r="GVT187" s="1228"/>
      <c r="GVU187" s="1228"/>
      <c r="GVV187" s="1228"/>
      <c r="GVW187" s="1228"/>
      <c r="GVX187" s="1228"/>
      <c r="GVY187" s="1228"/>
      <c r="GVZ187" s="1228"/>
      <c r="GWA187" s="1228"/>
      <c r="GWB187" s="1228"/>
      <c r="GWC187" s="1228"/>
      <c r="GWD187" s="1228"/>
      <c r="GWE187" s="1228"/>
      <c r="GWF187" s="1228"/>
      <c r="GWG187" s="1228"/>
      <c r="GWH187" s="1228"/>
      <c r="GWI187" s="1228"/>
      <c r="GWJ187" s="1228"/>
      <c r="GWK187" s="1228"/>
      <c r="GWL187" s="1228"/>
      <c r="GWM187" s="1228"/>
      <c r="GWN187" s="1228"/>
      <c r="GWO187" s="1228"/>
      <c r="GWP187" s="1228"/>
      <c r="GWQ187" s="1228"/>
      <c r="GWR187" s="1228"/>
      <c r="GWS187" s="1228"/>
      <c r="GWT187" s="1228"/>
      <c r="GWU187" s="1228"/>
      <c r="GWV187" s="1228"/>
      <c r="GWW187" s="1228"/>
      <c r="GWX187" s="1228"/>
      <c r="GWY187" s="1228"/>
      <c r="GWZ187" s="1228"/>
      <c r="GXA187" s="1228"/>
      <c r="GXB187" s="1228"/>
      <c r="GXC187" s="1228"/>
      <c r="GXD187" s="1228"/>
      <c r="GXE187" s="1228"/>
      <c r="GXF187" s="1228"/>
      <c r="GXG187" s="1228"/>
      <c r="GXH187" s="1228"/>
      <c r="GXI187" s="1228"/>
      <c r="GXJ187" s="1228"/>
      <c r="GXK187" s="1228"/>
      <c r="GXL187" s="1228"/>
      <c r="GXM187" s="1228"/>
      <c r="GXN187" s="1228"/>
      <c r="GXO187" s="1228"/>
      <c r="GXP187" s="1228"/>
      <c r="GXQ187" s="1228"/>
      <c r="GXR187" s="1228"/>
      <c r="GXS187" s="1228"/>
      <c r="GXT187" s="1228"/>
      <c r="GXU187" s="1228"/>
      <c r="GXV187" s="1228"/>
      <c r="GXW187" s="1228"/>
      <c r="GXX187" s="1228"/>
      <c r="GXY187" s="1228"/>
      <c r="GXZ187" s="1228"/>
      <c r="GYA187" s="1228"/>
      <c r="GYB187" s="1228"/>
      <c r="GYC187" s="1228"/>
      <c r="GYD187" s="1228"/>
      <c r="GYE187" s="1228"/>
      <c r="GYF187" s="1228"/>
      <c r="GYG187" s="1228"/>
      <c r="GYH187" s="1228"/>
      <c r="GYI187" s="1228"/>
      <c r="GYJ187" s="1228"/>
      <c r="GYK187" s="1228"/>
      <c r="GYL187" s="1228"/>
      <c r="GYM187" s="1228"/>
      <c r="GYN187" s="1228"/>
      <c r="GYO187" s="1228"/>
      <c r="GYP187" s="1228"/>
      <c r="GYQ187" s="1228"/>
      <c r="GYR187" s="1228"/>
      <c r="GYS187" s="1228"/>
      <c r="GYT187" s="1228"/>
      <c r="GYU187" s="1228"/>
      <c r="GYV187" s="1228"/>
      <c r="GYW187" s="1228"/>
      <c r="GYX187" s="1228"/>
      <c r="GYY187" s="1228"/>
      <c r="GYZ187" s="1228"/>
      <c r="GZA187" s="1228"/>
      <c r="GZB187" s="1228"/>
      <c r="GZC187" s="1228"/>
      <c r="GZD187" s="1228"/>
      <c r="GZE187" s="1228"/>
      <c r="GZF187" s="1228"/>
      <c r="GZG187" s="1228"/>
      <c r="GZH187" s="1228"/>
      <c r="GZI187" s="1228"/>
      <c r="GZJ187" s="1228"/>
      <c r="GZK187" s="1228"/>
      <c r="GZL187" s="1228"/>
      <c r="GZM187" s="1228"/>
      <c r="GZN187" s="1228"/>
      <c r="GZO187" s="1228"/>
      <c r="GZP187" s="1228"/>
      <c r="GZQ187" s="1228"/>
      <c r="GZR187" s="1228"/>
      <c r="GZS187" s="1228"/>
      <c r="GZT187" s="1228"/>
      <c r="GZU187" s="1228"/>
      <c r="GZV187" s="1228"/>
      <c r="GZW187" s="1228"/>
      <c r="GZX187" s="1228"/>
      <c r="GZY187" s="1228"/>
      <c r="GZZ187" s="1228"/>
      <c r="HAA187" s="1228"/>
      <c r="HAB187" s="1228"/>
      <c r="HAC187" s="1228"/>
      <c r="HAD187" s="1228"/>
      <c r="HAE187" s="1228"/>
      <c r="HAF187" s="1228"/>
      <c r="HAG187" s="1228"/>
      <c r="HAH187" s="1228"/>
      <c r="HAI187" s="1228"/>
      <c r="HAJ187" s="1228"/>
      <c r="HAK187" s="1228"/>
      <c r="HAL187" s="1228"/>
      <c r="HAM187" s="1228"/>
      <c r="HAN187" s="1228"/>
      <c r="HAO187" s="1228"/>
      <c r="HAP187" s="1228"/>
      <c r="HAQ187" s="1228"/>
      <c r="HAR187" s="1228"/>
      <c r="HAS187" s="1228"/>
      <c r="HAT187" s="1228"/>
      <c r="HAU187" s="1228"/>
      <c r="HAV187" s="1228"/>
      <c r="HAW187" s="1228"/>
      <c r="HAX187" s="1228"/>
      <c r="HAY187" s="1228"/>
      <c r="HAZ187" s="1228"/>
      <c r="HBA187" s="1228"/>
      <c r="HBB187" s="1228"/>
      <c r="HBC187" s="1228"/>
      <c r="HBD187" s="1228"/>
      <c r="HBE187" s="1228"/>
      <c r="HBF187" s="1228"/>
      <c r="HBG187" s="1228"/>
      <c r="HBH187" s="1228"/>
      <c r="HBI187" s="1228"/>
      <c r="HBJ187" s="1228"/>
      <c r="HBK187" s="1228"/>
      <c r="HBL187" s="1228"/>
      <c r="HBM187" s="1228"/>
      <c r="HBN187" s="1228"/>
      <c r="HBO187" s="1228"/>
      <c r="HBP187" s="1228"/>
      <c r="HBQ187" s="1228"/>
      <c r="HBR187" s="1228"/>
      <c r="HBS187" s="1228"/>
      <c r="HBT187" s="1228"/>
      <c r="HBU187" s="1228"/>
      <c r="HBV187" s="1228"/>
      <c r="HBW187" s="1228"/>
      <c r="HBX187" s="1228"/>
      <c r="HBY187" s="1228"/>
      <c r="HBZ187" s="1228"/>
      <c r="HCA187" s="1228"/>
      <c r="HCB187" s="1228"/>
      <c r="HCC187" s="1228"/>
      <c r="HCD187" s="1228"/>
      <c r="HCE187" s="1228"/>
      <c r="HCF187" s="1228"/>
      <c r="HCG187" s="1228"/>
      <c r="HCH187" s="1228"/>
      <c r="HCI187" s="1228"/>
      <c r="HCJ187" s="1228"/>
      <c r="HCK187" s="1228"/>
      <c r="HCL187" s="1228"/>
      <c r="HCM187" s="1228"/>
      <c r="HCN187" s="1228"/>
      <c r="HCO187" s="1228"/>
      <c r="HCP187" s="1228"/>
      <c r="HCQ187" s="1228"/>
      <c r="HCR187" s="1228"/>
      <c r="HCS187" s="1228"/>
      <c r="HCT187" s="1228"/>
      <c r="HCU187" s="1228"/>
      <c r="HCV187" s="1228"/>
      <c r="HCW187" s="1228"/>
      <c r="HCX187" s="1228"/>
      <c r="HCY187" s="1228"/>
      <c r="HCZ187" s="1228"/>
      <c r="HDA187" s="1228"/>
      <c r="HDB187" s="1228"/>
      <c r="HDC187" s="1228"/>
      <c r="HDD187" s="1228"/>
      <c r="HDE187" s="1228"/>
      <c r="HDF187" s="1228"/>
      <c r="HDG187" s="1228"/>
      <c r="HDH187" s="1228"/>
      <c r="HDI187" s="1228"/>
      <c r="HDJ187" s="1228"/>
      <c r="HDK187" s="1228"/>
      <c r="HDL187" s="1228"/>
      <c r="HDM187" s="1228"/>
      <c r="HDN187" s="1228"/>
      <c r="HDO187" s="1228"/>
      <c r="HDP187" s="1228"/>
      <c r="HDQ187" s="1228"/>
      <c r="HDR187" s="1228"/>
      <c r="HDS187" s="1228"/>
      <c r="HDT187" s="1228"/>
      <c r="HDU187" s="1228"/>
      <c r="HDV187" s="1228"/>
      <c r="HDW187" s="1228"/>
      <c r="HDX187" s="1228"/>
      <c r="HDY187" s="1228"/>
      <c r="HDZ187" s="1228"/>
      <c r="HEA187" s="1228"/>
      <c r="HEB187" s="1228"/>
      <c r="HEC187" s="1228"/>
      <c r="HED187" s="1228"/>
      <c r="HEE187" s="1228"/>
      <c r="HEF187" s="1228"/>
      <c r="HEG187" s="1228"/>
      <c r="HEH187" s="1228"/>
      <c r="HEI187" s="1228"/>
      <c r="HEJ187" s="1228"/>
      <c r="HEK187" s="1228"/>
      <c r="HEL187" s="1228"/>
      <c r="HEM187" s="1228"/>
      <c r="HEN187" s="1228"/>
      <c r="HEO187" s="1228"/>
      <c r="HEP187" s="1228"/>
      <c r="HEQ187" s="1228"/>
      <c r="HER187" s="1228"/>
      <c r="HES187" s="1228"/>
      <c r="HET187" s="1228"/>
      <c r="HEU187" s="1228"/>
      <c r="HEV187" s="1228"/>
      <c r="HEW187" s="1228"/>
      <c r="HEX187" s="1228"/>
      <c r="HEY187" s="1228"/>
      <c r="HEZ187" s="1228"/>
      <c r="HFA187" s="1228"/>
      <c r="HFB187" s="1228"/>
      <c r="HFC187" s="1228"/>
      <c r="HFD187" s="1228"/>
      <c r="HFE187" s="1228"/>
      <c r="HFF187" s="1228"/>
      <c r="HFG187" s="1228"/>
      <c r="HFH187" s="1228"/>
      <c r="HFI187" s="1228"/>
      <c r="HFJ187" s="1228"/>
      <c r="HFK187" s="1228"/>
      <c r="HFL187" s="1228"/>
      <c r="HFM187" s="1228"/>
      <c r="HFN187" s="1228"/>
      <c r="HFO187" s="1228"/>
      <c r="HFP187" s="1228"/>
      <c r="HFQ187" s="1228"/>
      <c r="HFR187" s="1228"/>
      <c r="HFS187" s="1228"/>
      <c r="HFT187" s="1228"/>
      <c r="HFU187" s="1228"/>
      <c r="HFV187" s="1228"/>
      <c r="HFW187" s="1228"/>
      <c r="HFX187" s="1228"/>
      <c r="HFY187" s="1228"/>
      <c r="HFZ187" s="1228"/>
      <c r="HGA187" s="1228"/>
      <c r="HGB187" s="1228"/>
      <c r="HGC187" s="1228"/>
      <c r="HGD187" s="1228"/>
      <c r="HGE187" s="1228"/>
      <c r="HGF187" s="1228"/>
      <c r="HGG187" s="1228"/>
      <c r="HGH187" s="1228"/>
      <c r="HGI187" s="1228"/>
      <c r="HGJ187" s="1228"/>
      <c r="HGK187" s="1228"/>
      <c r="HGL187" s="1228"/>
      <c r="HGM187" s="1228"/>
      <c r="HGN187" s="1228"/>
      <c r="HGO187" s="1228"/>
      <c r="HGP187" s="1228"/>
      <c r="HGQ187" s="1228"/>
      <c r="HGR187" s="1228"/>
      <c r="HGS187" s="1228"/>
      <c r="HGT187" s="1228"/>
      <c r="HGU187" s="1228"/>
      <c r="HGV187" s="1228"/>
      <c r="HGW187" s="1228"/>
      <c r="HGX187" s="1228"/>
      <c r="HGY187" s="1228"/>
      <c r="HGZ187" s="1228"/>
      <c r="HHA187" s="1228"/>
      <c r="HHB187" s="1228"/>
      <c r="HHC187" s="1228"/>
      <c r="HHD187" s="1228"/>
      <c r="HHE187" s="1228"/>
      <c r="HHF187" s="1228"/>
      <c r="HHG187" s="1228"/>
      <c r="HHH187" s="1228"/>
      <c r="HHI187" s="1228"/>
      <c r="HHJ187" s="1228"/>
      <c r="HHK187" s="1228"/>
      <c r="HHL187" s="1228"/>
      <c r="HHM187" s="1228"/>
      <c r="HHN187" s="1228"/>
      <c r="HHO187" s="1228"/>
      <c r="HHP187" s="1228"/>
      <c r="HHQ187" s="1228"/>
      <c r="HHR187" s="1228"/>
      <c r="HHS187" s="1228"/>
      <c r="HHT187" s="1228"/>
      <c r="HHU187" s="1228"/>
      <c r="HHV187" s="1228"/>
      <c r="HHW187" s="1228"/>
      <c r="HHX187" s="1228"/>
      <c r="HHY187" s="1228"/>
      <c r="HHZ187" s="1228"/>
      <c r="HIA187" s="1228"/>
      <c r="HIB187" s="1228"/>
      <c r="HIC187" s="1228"/>
      <c r="HID187" s="1228"/>
      <c r="HIE187" s="1228"/>
      <c r="HIF187" s="1228"/>
      <c r="HIG187" s="1228"/>
      <c r="HIH187" s="1228"/>
      <c r="HII187" s="1228"/>
      <c r="HIJ187" s="1228"/>
      <c r="HIK187" s="1228"/>
      <c r="HIL187" s="1228"/>
      <c r="HIM187" s="1228"/>
      <c r="HIN187" s="1228"/>
      <c r="HIO187" s="1228"/>
      <c r="HIP187" s="1228"/>
      <c r="HIQ187" s="1228"/>
      <c r="HIR187" s="1228"/>
      <c r="HIS187" s="1228"/>
      <c r="HIT187" s="1228"/>
      <c r="HIU187" s="1228"/>
      <c r="HIV187" s="1228"/>
      <c r="HIW187" s="1228"/>
      <c r="HIX187" s="1228"/>
      <c r="HIY187" s="1228"/>
      <c r="HIZ187" s="1228"/>
      <c r="HJA187" s="1228"/>
      <c r="HJB187" s="1228"/>
      <c r="HJC187" s="1228"/>
      <c r="HJD187" s="1228"/>
      <c r="HJE187" s="1228"/>
      <c r="HJF187" s="1228"/>
      <c r="HJG187" s="1228"/>
      <c r="HJH187" s="1228"/>
      <c r="HJI187" s="1228"/>
      <c r="HJJ187" s="1228"/>
      <c r="HJK187" s="1228"/>
      <c r="HJL187" s="1228"/>
      <c r="HJM187" s="1228"/>
      <c r="HJN187" s="1228"/>
      <c r="HJO187" s="1228"/>
      <c r="HJP187" s="1228"/>
      <c r="HJQ187" s="1228"/>
      <c r="HJR187" s="1228"/>
      <c r="HJS187" s="1228"/>
      <c r="HJT187" s="1228"/>
      <c r="HJU187" s="1228"/>
      <c r="HJV187" s="1228"/>
      <c r="HJW187" s="1228"/>
      <c r="HJX187" s="1228"/>
      <c r="HJY187" s="1228"/>
      <c r="HJZ187" s="1228"/>
      <c r="HKA187" s="1228"/>
      <c r="HKB187" s="1228"/>
      <c r="HKC187" s="1228"/>
      <c r="HKD187" s="1228"/>
      <c r="HKE187" s="1228"/>
      <c r="HKF187" s="1228"/>
      <c r="HKG187" s="1228"/>
      <c r="HKH187" s="1228"/>
      <c r="HKI187" s="1228"/>
      <c r="HKJ187" s="1228"/>
      <c r="HKK187" s="1228"/>
      <c r="HKL187" s="1228"/>
      <c r="HKM187" s="1228"/>
      <c r="HKN187" s="1228"/>
      <c r="HKO187" s="1228"/>
      <c r="HKP187" s="1228"/>
      <c r="HKQ187" s="1228"/>
      <c r="HKR187" s="1228"/>
      <c r="HKS187" s="1228"/>
      <c r="HKT187" s="1228"/>
      <c r="HKU187" s="1228"/>
      <c r="HKV187" s="1228"/>
      <c r="HKW187" s="1228"/>
      <c r="HKX187" s="1228"/>
      <c r="HKY187" s="1228"/>
      <c r="HKZ187" s="1228"/>
      <c r="HLA187" s="1228"/>
      <c r="HLB187" s="1228"/>
      <c r="HLC187" s="1228"/>
      <c r="HLD187" s="1228"/>
      <c r="HLE187" s="1228"/>
      <c r="HLF187" s="1228"/>
      <c r="HLG187" s="1228"/>
      <c r="HLH187" s="1228"/>
      <c r="HLI187" s="1228"/>
      <c r="HLJ187" s="1228"/>
      <c r="HLK187" s="1228"/>
      <c r="HLL187" s="1228"/>
      <c r="HLM187" s="1228"/>
      <c r="HLN187" s="1228"/>
      <c r="HLO187" s="1228"/>
      <c r="HLP187" s="1228"/>
      <c r="HLQ187" s="1228"/>
      <c r="HLR187" s="1228"/>
      <c r="HLS187" s="1228"/>
      <c r="HLT187" s="1228"/>
      <c r="HLU187" s="1228"/>
      <c r="HLV187" s="1228"/>
      <c r="HLW187" s="1228"/>
      <c r="HLX187" s="1228"/>
      <c r="HLY187" s="1228"/>
      <c r="HLZ187" s="1228"/>
      <c r="HMA187" s="1228"/>
      <c r="HMB187" s="1228"/>
      <c r="HMC187" s="1228"/>
      <c r="HMD187" s="1228"/>
      <c r="HME187" s="1228"/>
      <c r="HMF187" s="1228"/>
      <c r="HMG187" s="1228"/>
      <c r="HMH187" s="1228"/>
      <c r="HMI187" s="1228"/>
      <c r="HMJ187" s="1228"/>
      <c r="HMK187" s="1228"/>
      <c r="HML187" s="1228"/>
      <c r="HMM187" s="1228"/>
      <c r="HMN187" s="1228"/>
      <c r="HMO187" s="1228"/>
      <c r="HMP187" s="1228"/>
      <c r="HMQ187" s="1228"/>
      <c r="HMR187" s="1228"/>
      <c r="HMS187" s="1228"/>
      <c r="HMT187" s="1228"/>
      <c r="HMU187" s="1228"/>
      <c r="HMV187" s="1228"/>
      <c r="HMW187" s="1228"/>
      <c r="HMX187" s="1228"/>
      <c r="HMY187" s="1228"/>
      <c r="HMZ187" s="1228"/>
      <c r="HNA187" s="1228"/>
      <c r="HNB187" s="1228"/>
      <c r="HNC187" s="1228"/>
      <c r="HND187" s="1228"/>
      <c r="HNE187" s="1228"/>
      <c r="HNF187" s="1228"/>
      <c r="HNG187" s="1228"/>
      <c r="HNH187" s="1228"/>
      <c r="HNI187" s="1228"/>
      <c r="HNJ187" s="1228"/>
      <c r="HNK187" s="1228"/>
      <c r="HNL187" s="1228"/>
      <c r="HNM187" s="1228"/>
      <c r="HNN187" s="1228"/>
      <c r="HNO187" s="1228"/>
      <c r="HNP187" s="1228"/>
      <c r="HNQ187" s="1228"/>
      <c r="HNR187" s="1228"/>
      <c r="HNS187" s="1228"/>
      <c r="HNT187" s="1228"/>
      <c r="HNU187" s="1228"/>
      <c r="HNV187" s="1228"/>
      <c r="HNW187" s="1228"/>
      <c r="HNX187" s="1228"/>
      <c r="HNY187" s="1228"/>
      <c r="HNZ187" s="1228"/>
      <c r="HOA187" s="1228"/>
      <c r="HOB187" s="1228"/>
      <c r="HOC187" s="1228"/>
      <c r="HOD187" s="1228"/>
      <c r="HOE187" s="1228"/>
      <c r="HOF187" s="1228"/>
      <c r="HOG187" s="1228"/>
      <c r="HOH187" s="1228"/>
      <c r="HOI187" s="1228"/>
      <c r="HOJ187" s="1228"/>
      <c r="HOK187" s="1228"/>
      <c r="HOL187" s="1228"/>
      <c r="HOM187" s="1228"/>
      <c r="HON187" s="1228"/>
      <c r="HOO187" s="1228"/>
      <c r="HOP187" s="1228"/>
      <c r="HOQ187" s="1228"/>
      <c r="HOR187" s="1228"/>
      <c r="HOS187" s="1228"/>
      <c r="HOT187" s="1228"/>
      <c r="HOU187" s="1228"/>
      <c r="HOV187" s="1228"/>
      <c r="HOW187" s="1228"/>
      <c r="HOX187" s="1228"/>
      <c r="HOY187" s="1228"/>
      <c r="HOZ187" s="1228"/>
      <c r="HPA187" s="1228"/>
      <c r="HPB187" s="1228"/>
      <c r="HPC187" s="1228"/>
      <c r="HPD187" s="1228"/>
      <c r="HPE187" s="1228"/>
      <c r="HPF187" s="1228"/>
      <c r="HPG187" s="1228"/>
      <c r="HPH187" s="1228"/>
      <c r="HPI187" s="1228"/>
      <c r="HPJ187" s="1228"/>
      <c r="HPK187" s="1228"/>
      <c r="HPL187" s="1228"/>
      <c r="HPM187" s="1228"/>
      <c r="HPN187" s="1228"/>
      <c r="HPO187" s="1228"/>
      <c r="HPP187" s="1228"/>
      <c r="HPQ187" s="1228"/>
      <c r="HPR187" s="1228"/>
      <c r="HPS187" s="1228"/>
      <c r="HPT187" s="1228"/>
      <c r="HPU187" s="1228"/>
      <c r="HPV187" s="1228"/>
      <c r="HPW187" s="1228"/>
      <c r="HPX187" s="1228"/>
      <c r="HPY187" s="1228"/>
      <c r="HPZ187" s="1228"/>
      <c r="HQA187" s="1228"/>
      <c r="HQB187" s="1228"/>
      <c r="HQC187" s="1228"/>
      <c r="HQD187" s="1228"/>
      <c r="HQE187" s="1228"/>
      <c r="HQF187" s="1228"/>
      <c r="HQG187" s="1228"/>
      <c r="HQH187" s="1228"/>
      <c r="HQI187" s="1228"/>
      <c r="HQJ187" s="1228"/>
      <c r="HQK187" s="1228"/>
      <c r="HQL187" s="1228"/>
      <c r="HQM187" s="1228"/>
      <c r="HQN187" s="1228"/>
      <c r="HQO187" s="1228"/>
      <c r="HQP187" s="1228"/>
      <c r="HQQ187" s="1228"/>
      <c r="HQR187" s="1228"/>
      <c r="HQS187" s="1228"/>
      <c r="HQT187" s="1228"/>
      <c r="HQU187" s="1228"/>
      <c r="HQV187" s="1228"/>
      <c r="HQW187" s="1228"/>
      <c r="HQX187" s="1228"/>
      <c r="HQY187" s="1228"/>
      <c r="HQZ187" s="1228"/>
      <c r="HRA187" s="1228"/>
      <c r="HRB187" s="1228"/>
      <c r="HRC187" s="1228"/>
      <c r="HRD187" s="1228"/>
      <c r="HRE187" s="1228"/>
      <c r="HRF187" s="1228"/>
      <c r="HRG187" s="1228"/>
      <c r="HRH187" s="1228"/>
      <c r="HRI187" s="1228"/>
      <c r="HRJ187" s="1228"/>
      <c r="HRK187" s="1228"/>
      <c r="HRL187" s="1228"/>
      <c r="HRM187" s="1228"/>
      <c r="HRN187" s="1228"/>
      <c r="HRO187" s="1228"/>
      <c r="HRP187" s="1228"/>
      <c r="HRQ187" s="1228"/>
      <c r="HRR187" s="1228"/>
      <c r="HRS187" s="1228"/>
      <c r="HRT187" s="1228"/>
      <c r="HRU187" s="1228"/>
      <c r="HRV187" s="1228"/>
      <c r="HRW187" s="1228"/>
      <c r="HRX187" s="1228"/>
      <c r="HRY187" s="1228"/>
      <c r="HRZ187" s="1228"/>
      <c r="HSA187" s="1228"/>
      <c r="HSB187" s="1228"/>
      <c r="HSC187" s="1228"/>
      <c r="HSD187" s="1228"/>
      <c r="HSE187" s="1228"/>
      <c r="HSF187" s="1228"/>
      <c r="HSG187" s="1228"/>
      <c r="HSH187" s="1228"/>
      <c r="HSI187" s="1228"/>
      <c r="HSJ187" s="1228"/>
      <c r="HSK187" s="1228"/>
      <c r="HSL187" s="1228"/>
      <c r="HSM187" s="1228"/>
      <c r="HSN187" s="1228"/>
      <c r="HSO187" s="1228"/>
      <c r="HSP187" s="1228"/>
      <c r="HSQ187" s="1228"/>
      <c r="HSR187" s="1228"/>
      <c r="HSS187" s="1228"/>
      <c r="HST187" s="1228"/>
      <c r="HSU187" s="1228"/>
      <c r="HSV187" s="1228"/>
      <c r="HSW187" s="1228"/>
      <c r="HSX187" s="1228"/>
      <c r="HSY187" s="1228"/>
      <c r="HSZ187" s="1228"/>
      <c r="HTA187" s="1228"/>
      <c r="HTB187" s="1228"/>
      <c r="HTC187" s="1228"/>
      <c r="HTD187" s="1228"/>
      <c r="HTE187" s="1228"/>
      <c r="HTF187" s="1228"/>
      <c r="HTG187" s="1228"/>
      <c r="HTH187" s="1228"/>
      <c r="HTI187" s="1228"/>
      <c r="HTJ187" s="1228"/>
      <c r="HTK187" s="1228"/>
      <c r="HTL187" s="1228"/>
      <c r="HTM187" s="1228"/>
      <c r="HTN187" s="1228"/>
      <c r="HTO187" s="1228"/>
      <c r="HTP187" s="1228"/>
      <c r="HTQ187" s="1228"/>
      <c r="HTR187" s="1228"/>
      <c r="HTS187" s="1228"/>
      <c r="HTT187" s="1228"/>
      <c r="HTU187" s="1228"/>
      <c r="HTV187" s="1228"/>
      <c r="HTW187" s="1228"/>
      <c r="HTX187" s="1228"/>
      <c r="HTY187" s="1228"/>
      <c r="HTZ187" s="1228"/>
      <c r="HUA187" s="1228"/>
      <c r="HUB187" s="1228"/>
      <c r="HUC187" s="1228"/>
      <c r="HUD187" s="1228"/>
      <c r="HUE187" s="1228"/>
      <c r="HUF187" s="1228"/>
      <c r="HUG187" s="1228"/>
      <c r="HUH187" s="1228"/>
      <c r="HUI187" s="1228"/>
      <c r="HUJ187" s="1228"/>
      <c r="HUK187" s="1228"/>
      <c r="HUL187" s="1228"/>
      <c r="HUM187" s="1228"/>
      <c r="HUN187" s="1228"/>
      <c r="HUO187" s="1228"/>
      <c r="HUP187" s="1228"/>
      <c r="HUQ187" s="1228"/>
      <c r="HUR187" s="1228"/>
      <c r="HUS187" s="1228"/>
      <c r="HUT187" s="1228"/>
      <c r="HUU187" s="1228"/>
      <c r="HUV187" s="1228"/>
      <c r="HUW187" s="1228"/>
      <c r="HUX187" s="1228"/>
      <c r="HUY187" s="1228"/>
      <c r="HUZ187" s="1228"/>
      <c r="HVA187" s="1228"/>
      <c r="HVB187" s="1228"/>
      <c r="HVC187" s="1228"/>
      <c r="HVD187" s="1228"/>
      <c r="HVE187" s="1228"/>
      <c r="HVF187" s="1228"/>
      <c r="HVG187" s="1228"/>
      <c r="HVH187" s="1228"/>
      <c r="HVI187" s="1228"/>
      <c r="HVJ187" s="1228"/>
      <c r="HVK187" s="1228"/>
      <c r="HVL187" s="1228"/>
      <c r="HVM187" s="1228"/>
      <c r="HVN187" s="1228"/>
      <c r="HVO187" s="1228"/>
      <c r="HVP187" s="1228"/>
      <c r="HVQ187" s="1228"/>
      <c r="HVR187" s="1228"/>
      <c r="HVS187" s="1228"/>
      <c r="HVT187" s="1228"/>
      <c r="HVU187" s="1228"/>
      <c r="HVV187" s="1228"/>
      <c r="HVW187" s="1228"/>
      <c r="HVX187" s="1228"/>
      <c r="HVY187" s="1228"/>
      <c r="HVZ187" s="1228"/>
      <c r="HWA187" s="1228"/>
      <c r="HWB187" s="1228"/>
      <c r="HWC187" s="1228"/>
      <c r="HWD187" s="1228"/>
      <c r="HWE187" s="1228"/>
      <c r="HWF187" s="1228"/>
      <c r="HWG187" s="1228"/>
      <c r="HWH187" s="1228"/>
      <c r="HWI187" s="1228"/>
      <c r="HWJ187" s="1228"/>
      <c r="HWK187" s="1228"/>
      <c r="HWL187" s="1228"/>
      <c r="HWM187" s="1228"/>
      <c r="HWN187" s="1228"/>
      <c r="HWO187" s="1228"/>
      <c r="HWP187" s="1228"/>
      <c r="HWQ187" s="1228"/>
      <c r="HWR187" s="1228"/>
      <c r="HWS187" s="1228"/>
      <c r="HWT187" s="1228"/>
      <c r="HWU187" s="1228"/>
      <c r="HWV187" s="1228"/>
      <c r="HWW187" s="1228"/>
      <c r="HWX187" s="1228"/>
      <c r="HWY187" s="1228"/>
      <c r="HWZ187" s="1228"/>
      <c r="HXA187" s="1228"/>
      <c r="HXB187" s="1228"/>
      <c r="HXC187" s="1228"/>
      <c r="HXD187" s="1228"/>
      <c r="HXE187" s="1228"/>
      <c r="HXF187" s="1228"/>
      <c r="HXG187" s="1228"/>
      <c r="HXH187" s="1228"/>
      <c r="HXI187" s="1228"/>
      <c r="HXJ187" s="1228"/>
      <c r="HXK187" s="1228"/>
      <c r="HXL187" s="1228"/>
      <c r="HXM187" s="1228"/>
      <c r="HXN187" s="1228"/>
      <c r="HXO187" s="1228"/>
      <c r="HXP187" s="1228"/>
      <c r="HXQ187" s="1228"/>
      <c r="HXR187" s="1228"/>
      <c r="HXS187" s="1228"/>
      <c r="HXT187" s="1228"/>
      <c r="HXU187" s="1228"/>
      <c r="HXV187" s="1228"/>
      <c r="HXW187" s="1228"/>
      <c r="HXX187" s="1228"/>
      <c r="HXY187" s="1228"/>
      <c r="HXZ187" s="1228"/>
      <c r="HYA187" s="1228"/>
      <c r="HYB187" s="1228"/>
      <c r="HYC187" s="1228"/>
      <c r="HYD187" s="1228"/>
      <c r="HYE187" s="1228"/>
      <c r="HYF187" s="1228"/>
      <c r="HYG187" s="1228"/>
      <c r="HYH187" s="1228"/>
      <c r="HYI187" s="1228"/>
      <c r="HYJ187" s="1228"/>
      <c r="HYK187" s="1228"/>
      <c r="HYL187" s="1228"/>
      <c r="HYM187" s="1228"/>
      <c r="HYN187" s="1228"/>
      <c r="HYO187" s="1228"/>
      <c r="HYP187" s="1228"/>
      <c r="HYQ187" s="1228"/>
      <c r="HYR187" s="1228"/>
      <c r="HYS187" s="1228"/>
      <c r="HYT187" s="1228"/>
      <c r="HYU187" s="1228"/>
      <c r="HYV187" s="1228"/>
      <c r="HYW187" s="1228"/>
      <c r="HYX187" s="1228"/>
      <c r="HYY187" s="1228"/>
      <c r="HYZ187" s="1228"/>
      <c r="HZA187" s="1228"/>
      <c r="HZB187" s="1228"/>
      <c r="HZC187" s="1228"/>
      <c r="HZD187" s="1228"/>
      <c r="HZE187" s="1228"/>
      <c r="HZF187" s="1228"/>
      <c r="HZG187" s="1228"/>
      <c r="HZH187" s="1228"/>
      <c r="HZI187" s="1228"/>
      <c r="HZJ187" s="1228"/>
      <c r="HZK187" s="1228"/>
      <c r="HZL187" s="1228"/>
      <c r="HZM187" s="1228"/>
      <c r="HZN187" s="1228"/>
      <c r="HZO187" s="1228"/>
      <c r="HZP187" s="1228"/>
      <c r="HZQ187" s="1228"/>
      <c r="HZR187" s="1228"/>
      <c r="HZS187" s="1228"/>
      <c r="HZT187" s="1228"/>
      <c r="HZU187" s="1228"/>
      <c r="HZV187" s="1228"/>
      <c r="HZW187" s="1228"/>
      <c r="HZX187" s="1228"/>
      <c r="HZY187" s="1228"/>
      <c r="HZZ187" s="1228"/>
      <c r="IAA187" s="1228"/>
      <c r="IAB187" s="1228"/>
      <c r="IAC187" s="1228"/>
      <c r="IAD187" s="1228"/>
      <c r="IAE187" s="1228"/>
      <c r="IAF187" s="1228"/>
      <c r="IAG187" s="1228"/>
      <c r="IAH187" s="1228"/>
      <c r="IAI187" s="1228"/>
      <c r="IAJ187" s="1228"/>
      <c r="IAK187" s="1228"/>
      <c r="IAL187" s="1228"/>
      <c r="IAM187" s="1228"/>
      <c r="IAN187" s="1228"/>
      <c r="IAO187" s="1228"/>
      <c r="IAP187" s="1228"/>
      <c r="IAQ187" s="1228"/>
      <c r="IAR187" s="1228"/>
      <c r="IAS187" s="1228"/>
      <c r="IAT187" s="1228"/>
      <c r="IAU187" s="1228"/>
      <c r="IAV187" s="1228"/>
      <c r="IAW187" s="1228"/>
      <c r="IAX187" s="1228"/>
      <c r="IAY187" s="1228"/>
      <c r="IAZ187" s="1228"/>
      <c r="IBA187" s="1228"/>
      <c r="IBB187" s="1228"/>
      <c r="IBC187" s="1228"/>
      <c r="IBD187" s="1228"/>
      <c r="IBE187" s="1228"/>
      <c r="IBF187" s="1228"/>
      <c r="IBG187" s="1228"/>
      <c r="IBH187" s="1228"/>
      <c r="IBI187" s="1228"/>
      <c r="IBJ187" s="1228"/>
      <c r="IBK187" s="1228"/>
      <c r="IBL187" s="1228"/>
      <c r="IBM187" s="1228"/>
      <c r="IBN187" s="1228"/>
      <c r="IBO187" s="1228"/>
      <c r="IBP187" s="1228"/>
      <c r="IBQ187" s="1228"/>
      <c r="IBR187" s="1228"/>
      <c r="IBS187" s="1228"/>
      <c r="IBT187" s="1228"/>
      <c r="IBU187" s="1228"/>
      <c r="IBV187" s="1228"/>
      <c r="IBW187" s="1228"/>
      <c r="IBX187" s="1228"/>
      <c r="IBY187" s="1228"/>
      <c r="IBZ187" s="1228"/>
      <c r="ICA187" s="1228"/>
      <c r="ICB187" s="1228"/>
      <c r="ICC187" s="1228"/>
      <c r="ICD187" s="1228"/>
      <c r="ICE187" s="1228"/>
      <c r="ICF187" s="1228"/>
      <c r="ICG187" s="1228"/>
      <c r="ICH187" s="1228"/>
      <c r="ICI187" s="1228"/>
      <c r="ICJ187" s="1228"/>
      <c r="ICK187" s="1228"/>
      <c r="ICL187" s="1228"/>
      <c r="ICM187" s="1228"/>
      <c r="ICN187" s="1228"/>
      <c r="ICO187" s="1228"/>
      <c r="ICP187" s="1228"/>
      <c r="ICQ187" s="1228"/>
      <c r="ICR187" s="1228"/>
      <c r="ICS187" s="1228"/>
      <c r="ICT187" s="1228"/>
      <c r="ICU187" s="1228"/>
      <c r="ICV187" s="1228"/>
      <c r="ICW187" s="1228"/>
      <c r="ICX187" s="1228"/>
      <c r="ICY187" s="1228"/>
      <c r="ICZ187" s="1228"/>
      <c r="IDA187" s="1228"/>
      <c r="IDB187" s="1228"/>
      <c r="IDC187" s="1228"/>
      <c r="IDD187" s="1228"/>
      <c r="IDE187" s="1228"/>
      <c r="IDF187" s="1228"/>
      <c r="IDG187" s="1228"/>
      <c r="IDH187" s="1228"/>
      <c r="IDI187" s="1228"/>
      <c r="IDJ187" s="1228"/>
      <c r="IDK187" s="1228"/>
      <c r="IDL187" s="1228"/>
      <c r="IDM187" s="1228"/>
      <c r="IDN187" s="1228"/>
      <c r="IDO187" s="1228"/>
      <c r="IDP187" s="1228"/>
      <c r="IDQ187" s="1228"/>
      <c r="IDR187" s="1228"/>
      <c r="IDS187" s="1228"/>
      <c r="IDT187" s="1228"/>
      <c r="IDU187" s="1228"/>
      <c r="IDV187" s="1228"/>
      <c r="IDW187" s="1228"/>
      <c r="IDX187" s="1228"/>
      <c r="IDY187" s="1228"/>
      <c r="IDZ187" s="1228"/>
      <c r="IEA187" s="1228"/>
      <c r="IEB187" s="1228"/>
      <c r="IEC187" s="1228"/>
      <c r="IED187" s="1228"/>
      <c r="IEE187" s="1228"/>
      <c r="IEF187" s="1228"/>
      <c r="IEG187" s="1228"/>
      <c r="IEH187" s="1228"/>
      <c r="IEI187" s="1228"/>
      <c r="IEJ187" s="1228"/>
      <c r="IEK187" s="1228"/>
      <c r="IEL187" s="1228"/>
      <c r="IEM187" s="1228"/>
      <c r="IEN187" s="1228"/>
      <c r="IEO187" s="1228"/>
      <c r="IEP187" s="1228"/>
      <c r="IEQ187" s="1228"/>
      <c r="IER187" s="1228"/>
      <c r="IES187" s="1228"/>
      <c r="IET187" s="1228"/>
      <c r="IEU187" s="1228"/>
      <c r="IEV187" s="1228"/>
      <c r="IEW187" s="1228"/>
      <c r="IEX187" s="1228"/>
      <c r="IEY187" s="1228"/>
      <c r="IEZ187" s="1228"/>
      <c r="IFA187" s="1228"/>
      <c r="IFB187" s="1228"/>
      <c r="IFC187" s="1228"/>
      <c r="IFD187" s="1228"/>
      <c r="IFE187" s="1228"/>
      <c r="IFF187" s="1228"/>
      <c r="IFG187" s="1228"/>
      <c r="IFH187" s="1228"/>
      <c r="IFI187" s="1228"/>
      <c r="IFJ187" s="1228"/>
      <c r="IFK187" s="1228"/>
      <c r="IFL187" s="1228"/>
      <c r="IFM187" s="1228"/>
      <c r="IFN187" s="1228"/>
      <c r="IFO187" s="1228"/>
      <c r="IFP187" s="1228"/>
      <c r="IFQ187" s="1228"/>
      <c r="IFR187" s="1228"/>
      <c r="IFS187" s="1228"/>
      <c r="IFT187" s="1228"/>
      <c r="IFU187" s="1228"/>
      <c r="IFV187" s="1228"/>
      <c r="IFW187" s="1228"/>
      <c r="IFX187" s="1228"/>
      <c r="IFY187" s="1228"/>
      <c r="IFZ187" s="1228"/>
      <c r="IGA187" s="1228"/>
      <c r="IGB187" s="1228"/>
      <c r="IGC187" s="1228"/>
      <c r="IGD187" s="1228"/>
      <c r="IGE187" s="1228"/>
      <c r="IGF187" s="1228"/>
      <c r="IGG187" s="1228"/>
      <c r="IGH187" s="1228"/>
      <c r="IGI187" s="1228"/>
      <c r="IGJ187" s="1228"/>
      <c r="IGK187" s="1228"/>
      <c r="IGL187" s="1228"/>
      <c r="IGM187" s="1228"/>
      <c r="IGN187" s="1228"/>
      <c r="IGO187" s="1228"/>
      <c r="IGP187" s="1228"/>
      <c r="IGQ187" s="1228"/>
      <c r="IGR187" s="1228"/>
      <c r="IGS187" s="1228"/>
      <c r="IGT187" s="1228"/>
      <c r="IGU187" s="1228"/>
      <c r="IGV187" s="1228"/>
      <c r="IGW187" s="1228"/>
      <c r="IGX187" s="1228"/>
      <c r="IGY187" s="1228"/>
      <c r="IGZ187" s="1228"/>
      <c r="IHA187" s="1228"/>
      <c r="IHB187" s="1228"/>
      <c r="IHC187" s="1228"/>
      <c r="IHD187" s="1228"/>
      <c r="IHE187" s="1228"/>
      <c r="IHF187" s="1228"/>
      <c r="IHG187" s="1228"/>
      <c r="IHH187" s="1228"/>
      <c r="IHI187" s="1228"/>
      <c r="IHJ187" s="1228"/>
      <c r="IHK187" s="1228"/>
      <c r="IHL187" s="1228"/>
      <c r="IHM187" s="1228"/>
      <c r="IHN187" s="1228"/>
      <c r="IHO187" s="1228"/>
      <c r="IHP187" s="1228"/>
      <c r="IHQ187" s="1228"/>
      <c r="IHR187" s="1228"/>
      <c r="IHS187" s="1228"/>
      <c r="IHT187" s="1228"/>
      <c r="IHU187" s="1228"/>
      <c r="IHV187" s="1228"/>
      <c r="IHW187" s="1228"/>
      <c r="IHX187" s="1228"/>
      <c r="IHY187" s="1228"/>
      <c r="IHZ187" s="1228"/>
      <c r="IIA187" s="1228"/>
      <c r="IIB187" s="1228"/>
      <c r="IIC187" s="1228"/>
      <c r="IID187" s="1228"/>
      <c r="IIE187" s="1228"/>
      <c r="IIF187" s="1228"/>
      <c r="IIG187" s="1228"/>
      <c r="IIH187" s="1228"/>
      <c r="III187" s="1228"/>
      <c r="IIJ187" s="1228"/>
      <c r="IIK187" s="1228"/>
      <c r="IIL187" s="1228"/>
      <c r="IIM187" s="1228"/>
      <c r="IIN187" s="1228"/>
      <c r="IIO187" s="1228"/>
      <c r="IIP187" s="1228"/>
      <c r="IIQ187" s="1228"/>
      <c r="IIR187" s="1228"/>
      <c r="IIS187" s="1228"/>
      <c r="IIT187" s="1228"/>
      <c r="IIU187" s="1228"/>
      <c r="IIV187" s="1228"/>
      <c r="IIW187" s="1228"/>
      <c r="IIX187" s="1228"/>
      <c r="IIY187" s="1228"/>
      <c r="IIZ187" s="1228"/>
      <c r="IJA187" s="1228"/>
      <c r="IJB187" s="1228"/>
      <c r="IJC187" s="1228"/>
      <c r="IJD187" s="1228"/>
      <c r="IJE187" s="1228"/>
      <c r="IJF187" s="1228"/>
      <c r="IJG187" s="1228"/>
      <c r="IJH187" s="1228"/>
      <c r="IJI187" s="1228"/>
      <c r="IJJ187" s="1228"/>
      <c r="IJK187" s="1228"/>
      <c r="IJL187" s="1228"/>
      <c r="IJM187" s="1228"/>
      <c r="IJN187" s="1228"/>
      <c r="IJO187" s="1228"/>
      <c r="IJP187" s="1228"/>
      <c r="IJQ187" s="1228"/>
      <c r="IJR187" s="1228"/>
      <c r="IJS187" s="1228"/>
      <c r="IJT187" s="1228"/>
      <c r="IJU187" s="1228"/>
      <c r="IJV187" s="1228"/>
      <c r="IJW187" s="1228"/>
      <c r="IJX187" s="1228"/>
      <c r="IJY187" s="1228"/>
      <c r="IJZ187" s="1228"/>
      <c r="IKA187" s="1228"/>
      <c r="IKB187" s="1228"/>
      <c r="IKC187" s="1228"/>
      <c r="IKD187" s="1228"/>
      <c r="IKE187" s="1228"/>
      <c r="IKF187" s="1228"/>
      <c r="IKG187" s="1228"/>
      <c r="IKH187" s="1228"/>
      <c r="IKI187" s="1228"/>
      <c r="IKJ187" s="1228"/>
      <c r="IKK187" s="1228"/>
      <c r="IKL187" s="1228"/>
      <c r="IKM187" s="1228"/>
      <c r="IKN187" s="1228"/>
      <c r="IKO187" s="1228"/>
      <c r="IKP187" s="1228"/>
      <c r="IKQ187" s="1228"/>
      <c r="IKR187" s="1228"/>
      <c r="IKS187" s="1228"/>
      <c r="IKT187" s="1228"/>
      <c r="IKU187" s="1228"/>
      <c r="IKV187" s="1228"/>
      <c r="IKW187" s="1228"/>
      <c r="IKX187" s="1228"/>
      <c r="IKY187" s="1228"/>
      <c r="IKZ187" s="1228"/>
      <c r="ILA187" s="1228"/>
      <c r="ILB187" s="1228"/>
      <c r="ILC187" s="1228"/>
      <c r="ILD187" s="1228"/>
      <c r="ILE187" s="1228"/>
      <c r="ILF187" s="1228"/>
      <c r="ILG187" s="1228"/>
      <c r="ILH187" s="1228"/>
      <c r="ILI187" s="1228"/>
      <c r="ILJ187" s="1228"/>
      <c r="ILK187" s="1228"/>
      <c r="ILL187" s="1228"/>
      <c r="ILM187" s="1228"/>
      <c r="ILN187" s="1228"/>
      <c r="ILO187" s="1228"/>
      <c r="ILP187" s="1228"/>
      <c r="ILQ187" s="1228"/>
      <c r="ILR187" s="1228"/>
      <c r="ILS187" s="1228"/>
      <c r="ILT187" s="1228"/>
      <c r="ILU187" s="1228"/>
      <c r="ILV187" s="1228"/>
      <c r="ILW187" s="1228"/>
      <c r="ILX187" s="1228"/>
      <c r="ILY187" s="1228"/>
      <c r="ILZ187" s="1228"/>
      <c r="IMA187" s="1228"/>
      <c r="IMB187" s="1228"/>
      <c r="IMC187" s="1228"/>
      <c r="IMD187" s="1228"/>
      <c r="IME187" s="1228"/>
      <c r="IMF187" s="1228"/>
      <c r="IMG187" s="1228"/>
      <c r="IMH187" s="1228"/>
      <c r="IMI187" s="1228"/>
      <c r="IMJ187" s="1228"/>
      <c r="IMK187" s="1228"/>
      <c r="IML187" s="1228"/>
      <c r="IMM187" s="1228"/>
      <c r="IMN187" s="1228"/>
      <c r="IMO187" s="1228"/>
      <c r="IMP187" s="1228"/>
      <c r="IMQ187" s="1228"/>
      <c r="IMR187" s="1228"/>
      <c r="IMS187" s="1228"/>
      <c r="IMT187" s="1228"/>
      <c r="IMU187" s="1228"/>
      <c r="IMV187" s="1228"/>
      <c r="IMW187" s="1228"/>
      <c r="IMX187" s="1228"/>
      <c r="IMY187" s="1228"/>
      <c r="IMZ187" s="1228"/>
      <c r="INA187" s="1228"/>
      <c r="INB187" s="1228"/>
      <c r="INC187" s="1228"/>
      <c r="IND187" s="1228"/>
      <c r="INE187" s="1228"/>
      <c r="INF187" s="1228"/>
      <c r="ING187" s="1228"/>
      <c r="INH187" s="1228"/>
      <c r="INI187" s="1228"/>
      <c r="INJ187" s="1228"/>
      <c r="INK187" s="1228"/>
      <c r="INL187" s="1228"/>
      <c r="INM187" s="1228"/>
      <c r="INN187" s="1228"/>
      <c r="INO187" s="1228"/>
      <c r="INP187" s="1228"/>
      <c r="INQ187" s="1228"/>
      <c r="INR187" s="1228"/>
      <c r="INS187" s="1228"/>
      <c r="INT187" s="1228"/>
      <c r="INU187" s="1228"/>
      <c r="INV187" s="1228"/>
      <c r="INW187" s="1228"/>
      <c r="INX187" s="1228"/>
      <c r="INY187" s="1228"/>
      <c r="INZ187" s="1228"/>
      <c r="IOA187" s="1228"/>
      <c r="IOB187" s="1228"/>
      <c r="IOC187" s="1228"/>
      <c r="IOD187" s="1228"/>
      <c r="IOE187" s="1228"/>
      <c r="IOF187" s="1228"/>
      <c r="IOG187" s="1228"/>
      <c r="IOH187" s="1228"/>
      <c r="IOI187" s="1228"/>
      <c r="IOJ187" s="1228"/>
      <c r="IOK187" s="1228"/>
      <c r="IOL187" s="1228"/>
      <c r="IOM187" s="1228"/>
      <c r="ION187" s="1228"/>
      <c r="IOO187" s="1228"/>
      <c r="IOP187" s="1228"/>
      <c r="IOQ187" s="1228"/>
      <c r="IOR187" s="1228"/>
      <c r="IOS187" s="1228"/>
      <c r="IOT187" s="1228"/>
      <c r="IOU187" s="1228"/>
      <c r="IOV187" s="1228"/>
      <c r="IOW187" s="1228"/>
      <c r="IOX187" s="1228"/>
      <c r="IOY187" s="1228"/>
      <c r="IOZ187" s="1228"/>
      <c r="IPA187" s="1228"/>
      <c r="IPB187" s="1228"/>
      <c r="IPC187" s="1228"/>
      <c r="IPD187" s="1228"/>
      <c r="IPE187" s="1228"/>
      <c r="IPF187" s="1228"/>
      <c r="IPG187" s="1228"/>
      <c r="IPH187" s="1228"/>
      <c r="IPI187" s="1228"/>
      <c r="IPJ187" s="1228"/>
      <c r="IPK187" s="1228"/>
      <c r="IPL187" s="1228"/>
      <c r="IPM187" s="1228"/>
      <c r="IPN187" s="1228"/>
      <c r="IPO187" s="1228"/>
      <c r="IPP187" s="1228"/>
      <c r="IPQ187" s="1228"/>
      <c r="IPR187" s="1228"/>
      <c r="IPS187" s="1228"/>
      <c r="IPT187" s="1228"/>
      <c r="IPU187" s="1228"/>
      <c r="IPV187" s="1228"/>
      <c r="IPW187" s="1228"/>
      <c r="IPX187" s="1228"/>
      <c r="IPY187" s="1228"/>
      <c r="IPZ187" s="1228"/>
      <c r="IQA187" s="1228"/>
      <c r="IQB187" s="1228"/>
      <c r="IQC187" s="1228"/>
      <c r="IQD187" s="1228"/>
      <c r="IQE187" s="1228"/>
      <c r="IQF187" s="1228"/>
      <c r="IQG187" s="1228"/>
      <c r="IQH187" s="1228"/>
      <c r="IQI187" s="1228"/>
      <c r="IQJ187" s="1228"/>
      <c r="IQK187" s="1228"/>
      <c r="IQL187" s="1228"/>
      <c r="IQM187" s="1228"/>
      <c r="IQN187" s="1228"/>
      <c r="IQO187" s="1228"/>
      <c r="IQP187" s="1228"/>
      <c r="IQQ187" s="1228"/>
      <c r="IQR187" s="1228"/>
      <c r="IQS187" s="1228"/>
      <c r="IQT187" s="1228"/>
      <c r="IQU187" s="1228"/>
      <c r="IQV187" s="1228"/>
      <c r="IQW187" s="1228"/>
      <c r="IQX187" s="1228"/>
      <c r="IQY187" s="1228"/>
      <c r="IQZ187" s="1228"/>
      <c r="IRA187" s="1228"/>
      <c r="IRB187" s="1228"/>
      <c r="IRC187" s="1228"/>
      <c r="IRD187" s="1228"/>
      <c r="IRE187" s="1228"/>
      <c r="IRF187" s="1228"/>
      <c r="IRG187" s="1228"/>
      <c r="IRH187" s="1228"/>
      <c r="IRI187" s="1228"/>
      <c r="IRJ187" s="1228"/>
      <c r="IRK187" s="1228"/>
      <c r="IRL187" s="1228"/>
      <c r="IRM187" s="1228"/>
      <c r="IRN187" s="1228"/>
      <c r="IRO187" s="1228"/>
      <c r="IRP187" s="1228"/>
      <c r="IRQ187" s="1228"/>
      <c r="IRR187" s="1228"/>
      <c r="IRS187" s="1228"/>
      <c r="IRT187" s="1228"/>
      <c r="IRU187" s="1228"/>
      <c r="IRV187" s="1228"/>
      <c r="IRW187" s="1228"/>
      <c r="IRX187" s="1228"/>
      <c r="IRY187" s="1228"/>
      <c r="IRZ187" s="1228"/>
      <c r="ISA187" s="1228"/>
      <c r="ISB187" s="1228"/>
      <c r="ISC187" s="1228"/>
      <c r="ISD187" s="1228"/>
      <c r="ISE187" s="1228"/>
      <c r="ISF187" s="1228"/>
      <c r="ISG187" s="1228"/>
      <c r="ISH187" s="1228"/>
      <c r="ISI187" s="1228"/>
      <c r="ISJ187" s="1228"/>
      <c r="ISK187" s="1228"/>
      <c r="ISL187" s="1228"/>
      <c r="ISM187" s="1228"/>
      <c r="ISN187" s="1228"/>
      <c r="ISO187" s="1228"/>
      <c r="ISP187" s="1228"/>
      <c r="ISQ187" s="1228"/>
      <c r="ISR187" s="1228"/>
      <c r="ISS187" s="1228"/>
      <c r="IST187" s="1228"/>
      <c r="ISU187" s="1228"/>
      <c r="ISV187" s="1228"/>
      <c r="ISW187" s="1228"/>
      <c r="ISX187" s="1228"/>
      <c r="ISY187" s="1228"/>
      <c r="ISZ187" s="1228"/>
      <c r="ITA187" s="1228"/>
      <c r="ITB187" s="1228"/>
      <c r="ITC187" s="1228"/>
      <c r="ITD187" s="1228"/>
      <c r="ITE187" s="1228"/>
      <c r="ITF187" s="1228"/>
      <c r="ITG187" s="1228"/>
      <c r="ITH187" s="1228"/>
      <c r="ITI187" s="1228"/>
      <c r="ITJ187" s="1228"/>
      <c r="ITK187" s="1228"/>
      <c r="ITL187" s="1228"/>
      <c r="ITM187" s="1228"/>
      <c r="ITN187" s="1228"/>
      <c r="ITO187" s="1228"/>
      <c r="ITP187" s="1228"/>
      <c r="ITQ187" s="1228"/>
      <c r="ITR187" s="1228"/>
      <c r="ITS187" s="1228"/>
      <c r="ITT187" s="1228"/>
      <c r="ITU187" s="1228"/>
      <c r="ITV187" s="1228"/>
      <c r="ITW187" s="1228"/>
      <c r="ITX187" s="1228"/>
      <c r="ITY187" s="1228"/>
      <c r="ITZ187" s="1228"/>
      <c r="IUA187" s="1228"/>
      <c r="IUB187" s="1228"/>
      <c r="IUC187" s="1228"/>
      <c r="IUD187" s="1228"/>
      <c r="IUE187" s="1228"/>
      <c r="IUF187" s="1228"/>
      <c r="IUG187" s="1228"/>
      <c r="IUH187" s="1228"/>
      <c r="IUI187" s="1228"/>
      <c r="IUJ187" s="1228"/>
      <c r="IUK187" s="1228"/>
      <c r="IUL187" s="1228"/>
      <c r="IUM187" s="1228"/>
      <c r="IUN187" s="1228"/>
      <c r="IUO187" s="1228"/>
      <c r="IUP187" s="1228"/>
      <c r="IUQ187" s="1228"/>
      <c r="IUR187" s="1228"/>
      <c r="IUS187" s="1228"/>
      <c r="IUT187" s="1228"/>
      <c r="IUU187" s="1228"/>
      <c r="IUV187" s="1228"/>
      <c r="IUW187" s="1228"/>
      <c r="IUX187" s="1228"/>
      <c r="IUY187" s="1228"/>
      <c r="IUZ187" s="1228"/>
      <c r="IVA187" s="1228"/>
      <c r="IVB187" s="1228"/>
      <c r="IVC187" s="1228"/>
      <c r="IVD187" s="1228"/>
      <c r="IVE187" s="1228"/>
      <c r="IVF187" s="1228"/>
      <c r="IVG187" s="1228"/>
      <c r="IVH187" s="1228"/>
      <c r="IVI187" s="1228"/>
      <c r="IVJ187" s="1228"/>
      <c r="IVK187" s="1228"/>
      <c r="IVL187" s="1228"/>
      <c r="IVM187" s="1228"/>
      <c r="IVN187" s="1228"/>
      <c r="IVO187" s="1228"/>
      <c r="IVP187" s="1228"/>
      <c r="IVQ187" s="1228"/>
      <c r="IVR187" s="1228"/>
      <c r="IVS187" s="1228"/>
      <c r="IVT187" s="1228"/>
      <c r="IVU187" s="1228"/>
      <c r="IVV187" s="1228"/>
      <c r="IVW187" s="1228"/>
      <c r="IVX187" s="1228"/>
      <c r="IVY187" s="1228"/>
      <c r="IVZ187" s="1228"/>
      <c r="IWA187" s="1228"/>
      <c r="IWB187" s="1228"/>
      <c r="IWC187" s="1228"/>
      <c r="IWD187" s="1228"/>
      <c r="IWE187" s="1228"/>
      <c r="IWF187" s="1228"/>
      <c r="IWG187" s="1228"/>
      <c r="IWH187" s="1228"/>
      <c r="IWI187" s="1228"/>
      <c r="IWJ187" s="1228"/>
      <c r="IWK187" s="1228"/>
      <c r="IWL187" s="1228"/>
      <c r="IWM187" s="1228"/>
      <c r="IWN187" s="1228"/>
      <c r="IWO187" s="1228"/>
      <c r="IWP187" s="1228"/>
      <c r="IWQ187" s="1228"/>
      <c r="IWR187" s="1228"/>
      <c r="IWS187" s="1228"/>
      <c r="IWT187" s="1228"/>
      <c r="IWU187" s="1228"/>
      <c r="IWV187" s="1228"/>
      <c r="IWW187" s="1228"/>
      <c r="IWX187" s="1228"/>
      <c r="IWY187" s="1228"/>
      <c r="IWZ187" s="1228"/>
      <c r="IXA187" s="1228"/>
      <c r="IXB187" s="1228"/>
      <c r="IXC187" s="1228"/>
      <c r="IXD187" s="1228"/>
      <c r="IXE187" s="1228"/>
      <c r="IXF187" s="1228"/>
      <c r="IXG187" s="1228"/>
      <c r="IXH187" s="1228"/>
      <c r="IXI187" s="1228"/>
      <c r="IXJ187" s="1228"/>
      <c r="IXK187" s="1228"/>
      <c r="IXL187" s="1228"/>
      <c r="IXM187" s="1228"/>
      <c r="IXN187" s="1228"/>
      <c r="IXO187" s="1228"/>
      <c r="IXP187" s="1228"/>
      <c r="IXQ187" s="1228"/>
      <c r="IXR187" s="1228"/>
      <c r="IXS187" s="1228"/>
      <c r="IXT187" s="1228"/>
      <c r="IXU187" s="1228"/>
      <c r="IXV187" s="1228"/>
      <c r="IXW187" s="1228"/>
      <c r="IXX187" s="1228"/>
      <c r="IXY187" s="1228"/>
      <c r="IXZ187" s="1228"/>
      <c r="IYA187" s="1228"/>
      <c r="IYB187" s="1228"/>
      <c r="IYC187" s="1228"/>
      <c r="IYD187" s="1228"/>
      <c r="IYE187" s="1228"/>
      <c r="IYF187" s="1228"/>
      <c r="IYG187" s="1228"/>
      <c r="IYH187" s="1228"/>
      <c r="IYI187" s="1228"/>
      <c r="IYJ187" s="1228"/>
      <c r="IYK187" s="1228"/>
      <c r="IYL187" s="1228"/>
      <c r="IYM187" s="1228"/>
      <c r="IYN187" s="1228"/>
      <c r="IYO187" s="1228"/>
      <c r="IYP187" s="1228"/>
      <c r="IYQ187" s="1228"/>
      <c r="IYR187" s="1228"/>
      <c r="IYS187" s="1228"/>
      <c r="IYT187" s="1228"/>
      <c r="IYU187" s="1228"/>
      <c r="IYV187" s="1228"/>
      <c r="IYW187" s="1228"/>
      <c r="IYX187" s="1228"/>
      <c r="IYY187" s="1228"/>
      <c r="IYZ187" s="1228"/>
      <c r="IZA187" s="1228"/>
      <c r="IZB187" s="1228"/>
      <c r="IZC187" s="1228"/>
      <c r="IZD187" s="1228"/>
      <c r="IZE187" s="1228"/>
      <c r="IZF187" s="1228"/>
      <c r="IZG187" s="1228"/>
      <c r="IZH187" s="1228"/>
      <c r="IZI187" s="1228"/>
      <c r="IZJ187" s="1228"/>
      <c r="IZK187" s="1228"/>
      <c r="IZL187" s="1228"/>
      <c r="IZM187" s="1228"/>
      <c r="IZN187" s="1228"/>
      <c r="IZO187" s="1228"/>
      <c r="IZP187" s="1228"/>
      <c r="IZQ187" s="1228"/>
      <c r="IZR187" s="1228"/>
      <c r="IZS187" s="1228"/>
      <c r="IZT187" s="1228"/>
      <c r="IZU187" s="1228"/>
      <c r="IZV187" s="1228"/>
      <c r="IZW187" s="1228"/>
      <c r="IZX187" s="1228"/>
      <c r="IZY187" s="1228"/>
      <c r="IZZ187" s="1228"/>
      <c r="JAA187" s="1228"/>
      <c r="JAB187" s="1228"/>
      <c r="JAC187" s="1228"/>
      <c r="JAD187" s="1228"/>
      <c r="JAE187" s="1228"/>
      <c r="JAF187" s="1228"/>
      <c r="JAG187" s="1228"/>
      <c r="JAH187" s="1228"/>
      <c r="JAI187" s="1228"/>
      <c r="JAJ187" s="1228"/>
      <c r="JAK187" s="1228"/>
      <c r="JAL187" s="1228"/>
      <c r="JAM187" s="1228"/>
      <c r="JAN187" s="1228"/>
      <c r="JAO187" s="1228"/>
      <c r="JAP187" s="1228"/>
      <c r="JAQ187" s="1228"/>
      <c r="JAR187" s="1228"/>
      <c r="JAS187" s="1228"/>
      <c r="JAT187" s="1228"/>
      <c r="JAU187" s="1228"/>
      <c r="JAV187" s="1228"/>
      <c r="JAW187" s="1228"/>
      <c r="JAX187" s="1228"/>
      <c r="JAY187" s="1228"/>
      <c r="JAZ187" s="1228"/>
      <c r="JBA187" s="1228"/>
      <c r="JBB187" s="1228"/>
      <c r="JBC187" s="1228"/>
      <c r="JBD187" s="1228"/>
      <c r="JBE187" s="1228"/>
      <c r="JBF187" s="1228"/>
      <c r="JBG187" s="1228"/>
      <c r="JBH187" s="1228"/>
      <c r="JBI187" s="1228"/>
      <c r="JBJ187" s="1228"/>
      <c r="JBK187" s="1228"/>
      <c r="JBL187" s="1228"/>
      <c r="JBM187" s="1228"/>
      <c r="JBN187" s="1228"/>
      <c r="JBO187" s="1228"/>
      <c r="JBP187" s="1228"/>
      <c r="JBQ187" s="1228"/>
      <c r="JBR187" s="1228"/>
      <c r="JBS187" s="1228"/>
      <c r="JBT187" s="1228"/>
      <c r="JBU187" s="1228"/>
      <c r="JBV187" s="1228"/>
      <c r="JBW187" s="1228"/>
      <c r="JBX187" s="1228"/>
      <c r="JBY187" s="1228"/>
      <c r="JBZ187" s="1228"/>
      <c r="JCA187" s="1228"/>
      <c r="JCB187" s="1228"/>
      <c r="JCC187" s="1228"/>
      <c r="JCD187" s="1228"/>
      <c r="JCE187" s="1228"/>
      <c r="JCF187" s="1228"/>
      <c r="JCG187" s="1228"/>
      <c r="JCH187" s="1228"/>
      <c r="JCI187" s="1228"/>
      <c r="JCJ187" s="1228"/>
      <c r="JCK187" s="1228"/>
      <c r="JCL187" s="1228"/>
      <c r="JCM187" s="1228"/>
      <c r="JCN187" s="1228"/>
      <c r="JCO187" s="1228"/>
      <c r="JCP187" s="1228"/>
      <c r="JCQ187" s="1228"/>
      <c r="JCR187" s="1228"/>
      <c r="JCS187" s="1228"/>
      <c r="JCT187" s="1228"/>
      <c r="JCU187" s="1228"/>
      <c r="JCV187" s="1228"/>
      <c r="JCW187" s="1228"/>
      <c r="JCX187" s="1228"/>
      <c r="JCY187" s="1228"/>
      <c r="JCZ187" s="1228"/>
      <c r="JDA187" s="1228"/>
      <c r="JDB187" s="1228"/>
      <c r="JDC187" s="1228"/>
      <c r="JDD187" s="1228"/>
      <c r="JDE187" s="1228"/>
      <c r="JDF187" s="1228"/>
      <c r="JDG187" s="1228"/>
      <c r="JDH187" s="1228"/>
      <c r="JDI187" s="1228"/>
      <c r="JDJ187" s="1228"/>
      <c r="JDK187" s="1228"/>
      <c r="JDL187" s="1228"/>
      <c r="JDM187" s="1228"/>
      <c r="JDN187" s="1228"/>
      <c r="JDO187" s="1228"/>
      <c r="JDP187" s="1228"/>
      <c r="JDQ187" s="1228"/>
      <c r="JDR187" s="1228"/>
      <c r="JDS187" s="1228"/>
      <c r="JDT187" s="1228"/>
      <c r="JDU187" s="1228"/>
      <c r="JDV187" s="1228"/>
      <c r="JDW187" s="1228"/>
      <c r="JDX187" s="1228"/>
      <c r="JDY187" s="1228"/>
      <c r="JDZ187" s="1228"/>
      <c r="JEA187" s="1228"/>
      <c r="JEB187" s="1228"/>
      <c r="JEC187" s="1228"/>
      <c r="JED187" s="1228"/>
      <c r="JEE187" s="1228"/>
      <c r="JEF187" s="1228"/>
      <c r="JEG187" s="1228"/>
      <c r="JEH187" s="1228"/>
      <c r="JEI187" s="1228"/>
      <c r="JEJ187" s="1228"/>
      <c r="JEK187" s="1228"/>
      <c r="JEL187" s="1228"/>
      <c r="JEM187" s="1228"/>
      <c r="JEN187" s="1228"/>
      <c r="JEO187" s="1228"/>
      <c r="JEP187" s="1228"/>
      <c r="JEQ187" s="1228"/>
      <c r="JER187" s="1228"/>
      <c r="JES187" s="1228"/>
      <c r="JET187" s="1228"/>
      <c r="JEU187" s="1228"/>
      <c r="JEV187" s="1228"/>
      <c r="JEW187" s="1228"/>
      <c r="JEX187" s="1228"/>
      <c r="JEY187" s="1228"/>
      <c r="JEZ187" s="1228"/>
      <c r="JFA187" s="1228"/>
      <c r="JFB187" s="1228"/>
      <c r="JFC187" s="1228"/>
      <c r="JFD187" s="1228"/>
      <c r="JFE187" s="1228"/>
      <c r="JFF187" s="1228"/>
      <c r="JFG187" s="1228"/>
      <c r="JFH187" s="1228"/>
      <c r="JFI187" s="1228"/>
      <c r="JFJ187" s="1228"/>
      <c r="JFK187" s="1228"/>
      <c r="JFL187" s="1228"/>
      <c r="JFM187" s="1228"/>
      <c r="JFN187" s="1228"/>
      <c r="JFO187" s="1228"/>
      <c r="JFP187" s="1228"/>
      <c r="JFQ187" s="1228"/>
      <c r="JFR187" s="1228"/>
      <c r="JFS187" s="1228"/>
      <c r="JFT187" s="1228"/>
      <c r="JFU187" s="1228"/>
      <c r="JFV187" s="1228"/>
      <c r="JFW187" s="1228"/>
      <c r="JFX187" s="1228"/>
      <c r="JFY187" s="1228"/>
      <c r="JFZ187" s="1228"/>
      <c r="JGA187" s="1228"/>
      <c r="JGB187" s="1228"/>
      <c r="JGC187" s="1228"/>
      <c r="JGD187" s="1228"/>
      <c r="JGE187" s="1228"/>
      <c r="JGF187" s="1228"/>
      <c r="JGG187" s="1228"/>
      <c r="JGH187" s="1228"/>
      <c r="JGI187" s="1228"/>
      <c r="JGJ187" s="1228"/>
      <c r="JGK187" s="1228"/>
      <c r="JGL187" s="1228"/>
      <c r="JGM187" s="1228"/>
      <c r="JGN187" s="1228"/>
      <c r="JGO187" s="1228"/>
      <c r="JGP187" s="1228"/>
      <c r="JGQ187" s="1228"/>
      <c r="JGR187" s="1228"/>
      <c r="JGS187" s="1228"/>
      <c r="JGT187" s="1228"/>
      <c r="JGU187" s="1228"/>
      <c r="JGV187" s="1228"/>
      <c r="JGW187" s="1228"/>
      <c r="JGX187" s="1228"/>
      <c r="JGY187" s="1228"/>
      <c r="JGZ187" s="1228"/>
      <c r="JHA187" s="1228"/>
      <c r="JHB187" s="1228"/>
      <c r="JHC187" s="1228"/>
      <c r="JHD187" s="1228"/>
      <c r="JHE187" s="1228"/>
      <c r="JHF187" s="1228"/>
      <c r="JHG187" s="1228"/>
      <c r="JHH187" s="1228"/>
      <c r="JHI187" s="1228"/>
      <c r="JHJ187" s="1228"/>
      <c r="JHK187" s="1228"/>
      <c r="JHL187" s="1228"/>
      <c r="JHM187" s="1228"/>
      <c r="JHN187" s="1228"/>
      <c r="JHO187" s="1228"/>
      <c r="JHP187" s="1228"/>
      <c r="JHQ187" s="1228"/>
      <c r="JHR187" s="1228"/>
      <c r="JHS187" s="1228"/>
      <c r="JHT187" s="1228"/>
      <c r="JHU187" s="1228"/>
      <c r="JHV187" s="1228"/>
      <c r="JHW187" s="1228"/>
      <c r="JHX187" s="1228"/>
      <c r="JHY187" s="1228"/>
      <c r="JHZ187" s="1228"/>
      <c r="JIA187" s="1228"/>
      <c r="JIB187" s="1228"/>
      <c r="JIC187" s="1228"/>
      <c r="JID187" s="1228"/>
      <c r="JIE187" s="1228"/>
      <c r="JIF187" s="1228"/>
      <c r="JIG187" s="1228"/>
      <c r="JIH187" s="1228"/>
      <c r="JII187" s="1228"/>
      <c r="JIJ187" s="1228"/>
      <c r="JIK187" s="1228"/>
      <c r="JIL187" s="1228"/>
      <c r="JIM187" s="1228"/>
      <c r="JIN187" s="1228"/>
      <c r="JIO187" s="1228"/>
      <c r="JIP187" s="1228"/>
      <c r="JIQ187" s="1228"/>
      <c r="JIR187" s="1228"/>
      <c r="JIS187" s="1228"/>
      <c r="JIT187" s="1228"/>
      <c r="JIU187" s="1228"/>
      <c r="JIV187" s="1228"/>
      <c r="JIW187" s="1228"/>
      <c r="JIX187" s="1228"/>
      <c r="JIY187" s="1228"/>
      <c r="JIZ187" s="1228"/>
      <c r="JJA187" s="1228"/>
      <c r="JJB187" s="1228"/>
      <c r="JJC187" s="1228"/>
      <c r="JJD187" s="1228"/>
      <c r="JJE187" s="1228"/>
      <c r="JJF187" s="1228"/>
      <c r="JJG187" s="1228"/>
      <c r="JJH187" s="1228"/>
      <c r="JJI187" s="1228"/>
      <c r="JJJ187" s="1228"/>
      <c r="JJK187" s="1228"/>
      <c r="JJL187" s="1228"/>
      <c r="JJM187" s="1228"/>
      <c r="JJN187" s="1228"/>
      <c r="JJO187" s="1228"/>
      <c r="JJP187" s="1228"/>
      <c r="JJQ187" s="1228"/>
      <c r="JJR187" s="1228"/>
      <c r="JJS187" s="1228"/>
      <c r="JJT187" s="1228"/>
      <c r="JJU187" s="1228"/>
      <c r="JJV187" s="1228"/>
      <c r="JJW187" s="1228"/>
      <c r="JJX187" s="1228"/>
      <c r="JJY187" s="1228"/>
      <c r="JJZ187" s="1228"/>
      <c r="JKA187" s="1228"/>
      <c r="JKB187" s="1228"/>
      <c r="JKC187" s="1228"/>
      <c r="JKD187" s="1228"/>
      <c r="JKE187" s="1228"/>
      <c r="JKF187" s="1228"/>
      <c r="JKG187" s="1228"/>
      <c r="JKH187" s="1228"/>
      <c r="JKI187" s="1228"/>
      <c r="JKJ187" s="1228"/>
      <c r="JKK187" s="1228"/>
      <c r="JKL187" s="1228"/>
      <c r="JKM187" s="1228"/>
      <c r="JKN187" s="1228"/>
      <c r="JKO187" s="1228"/>
      <c r="JKP187" s="1228"/>
      <c r="JKQ187" s="1228"/>
      <c r="JKR187" s="1228"/>
      <c r="JKS187" s="1228"/>
      <c r="JKT187" s="1228"/>
      <c r="JKU187" s="1228"/>
      <c r="JKV187" s="1228"/>
      <c r="JKW187" s="1228"/>
      <c r="JKX187" s="1228"/>
      <c r="JKY187" s="1228"/>
      <c r="JKZ187" s="1228"/>
      <c r="JLA187" s="1228"/>
      <c r="JLB187" s="1228"/>
      <c r="JLC187" s="1228"/>
      <c r="JLD187" s="1228"/>
      <c r="JLE187" s="1228"/>
      <c r="JLF187" s="1228"/>
      <c r="JLG187" s="1228"/>
      <c r="JLH187" s="1228"/>
      <c r="JLI187" s="1228"/>
      <c r="JLJ187" s="1228"/>
      <c r="JLK187" s="1228"/>
      <c r="JLL187" s="1228"/>
      <c r="JLM187" s="1228"/>
      <c r="JLN187" s="1228"/>
      <c r="JLO187" s="1228"/>
      <c r="JLP187" s="1228"/>
      <c r="JLQ187" s="1228"/>
      <c r="JLR187" s="1228"/>
      <c r="JLS187" s="1228"/>
      <c r="JLT187" s="1228"/>
      <c r="JLU187" s="1228"/>
      <c r="JLV187" s="1228"/>
      <c r="JLW187" s="1228"/>
      <c r="JLX187" s="1228"/>
      <c r="JLY187" s="1228"/>
      <c r="JLZ187" s="1228"/>
      <c r="JMA187" s="1228"/>
      <c r="JMB187" s="1228"/>
      <c r="JMC187" s="1228"/>
      <c r="JMD187" s="1228"/>
      <c r="JME187" s="1228"/>
      <c r="JMF187" s="1228"/>
      <c r="JMG187" s="1228"/>
      <c r="JMH187" s="1228"/>
      <c r="JMI187" s="1228"/>
      <c r="JMJ187" s="1228"/>
      <c r="JMK187" s="1228"/>
      <c r="JML187" s="1228"/>
      <c r="JMM187" s="1228"/>
      <c r="JMN187" s="1228"/>
      <c r="JMO187" s="1228"/>
      <c r="JMP187" s="1228"/>
      <c r="JMQ187" s="1228"/>
      <c r="JMR187" s="1228"/>
      <c r="JMS187" s="1228"/>
      <c r="JMT187" s="1228"/>
      <c r="JMU187" s="1228"/>
      <c r="JMV187" s="1228"/>
      <c r="JMW187" s="1228"/>
      <c r="JMX187" s="1228"/>
      <c r="JMY187" s="1228"/>
      <c r="JMZ187" s="1228"/>
      <c r="JNA187" s="1228"/>
      <c r="JNB187" s="1228"/>
      <c r="JNC187" s="1228"/>
      <c r="JND187" s="1228"/>
      <c r="JNE187" s="1228"/>
      <c r="JNF187" s="1228"/>
      <c r="JNG187" s="1228"/>
      <c r="JNH187" s="1228"/>
      <c r="JNI187" s="1228"/>
      <c r="JNJ187" s="1228"/>
      <c r="JNK187" s="1228"/>
      <c r="JNL187" s="1228"/>
      <c r="JNM187" s="1228"/>
      <c r="JNN187" s="1228"/>
      <c r="JNO187" s="1228"/>
      <c r="JNP187" s="1228"/>
      <c r="JNQ187" s="1228"/>
      <c r="JNR187" s="1228"/>
      <c r="JNS187" s="1228"/>
      <c r="JNT187" s="1228"/>
      <c r="JNU187" s="1228"/>
      <c r="JNV187" s="1228"/>
      <c r="JNW187" s="1228"/>
      <c r="JNX187" s="1228"/>
      <c r="JNY187" s="1228"/>
      <c r="JNZ187" s="1228"/>
      <c r="JOA187" s="1228"/>
      <c r="JOB187" s="1228"/>
      <c r="JOC187" s="1228"/>
      <c r="JOD187" s="1228"/>
      <c r="JOE187" s="1228"/>
      <c r="JOF187" s="1228"/>
      <c r="JOG187" s="1228"/>
      <c r="JOH187" s="1228"/>
      <c r="JOI187" s="1228"/>
      <c r="JOJ187" s="1228"/>
      <c r="JOK187" s="1228"/>
      <c r="JOL187" s="1228"/>
      <c r="JOM187" s="1228"/>
      <c r="JON187" s="1228"/>
      <c r="JOO187" s="1228"/>
      <c r="JOP187" s="1228"/>
      <c r="JOQ187" s="1228"/>
      <c r="JOR187" s="1228"/>
      <c r="JOS187" s="1228"/>
      <c r="JOT187" s="1228"/>
      <c r="JOU187" s="1228"/>
      <c r="JOV187" s="1228"/>
      <c r="JOW187" s="1228"/>
      <c r="JOX187" s="1228"/>
      <c r="JOY187" s="1228"/>
      <c r="JOZ187" s="1228"/>
      <c r="JPA187" s="1228"/>
      <c r="JPB187" s="1228"/>
      <c r="JPC187" s="1228"/>
      <c r="JPD187" s="1228"/>
      <c r="JPE187" s="1228"/>
      <c r="JPF187" s="1228"/>
      <c r="JPG187" s="1228"/>
      <c r="JPH187" s="1228"/>
      <c r="JPI187" s="1228"/>
      <c r="JPJ187" s="1228"/>
      <c r="JPK187" s="1228"/>
      <c r="JPL187" s="1228"/>
      <c r="JPM187" s="1228"/>
      <c r="JPN187" s="1228"/>
      <c r="JPO187" s="1228"/>
      <c r="JPP187" s="1228"/>
      <c r="JPQ187" s="1228"/>
      <c r="JPR187" s="1228"/>
      <c r="JPS187" s="1228"/>
      <c r="JPT187" s="1228"/>
      <c r="JPU187" s="1228"/>
      <c r="JPV187" s="1228"/>
      <c r="JPW187" s="1228"/>
      <c r="JPX187" s="1228"/>
      <c r="JPY187" s="1228"/>
      <c r="JPZ187" s="1228"/>
      <c r="JQA187" s="1228"/>
      <c r="JQB187" s="1228"/>
      <c r="JQC187" s="1228"/>
      <c r="JQD187" s="1228"/>
      <c r="JQE187" s="1228"/>
      <c r="JQF187" s="1228"/>
      <c r="JQG187" s="1228"/>
      <c r="JQH187" s="1228"/>
      <c r="JQI187" s="1228"/>
      <c r="JQJ187" s="1228"/>
      <c r="JQK187" s="1228"/>
      <c r="JQL187" s="1228"/>
      <c r="JQM187" s="1228"/>
      <c r="JQN187" s="1228"/>
      <c r="JQO187" s="1228"/>
      <c r="JQP187" s="1228"/>
      <c r="JQQ187" s="1228"/>
      <c r="JQR187" s="1228"/>
      <c r="JQS187" s="1228"/>
      <c r="JQT187" s="1228"/>
      <c r="JQU187" s="1228"/>
      <c r="JQV187" s="1228"/>
      <c r="JQW187" s="1228"/>
      <c r="JQX187" s="1228"/>
      <c r="JQY187" s="1228"/>
      <c r="JQZ187" s="1228"/>
      <c r="JRA187" s="1228"/>
      <c r="JRB187" s="1228"/>
      <c r="JRC187" s="1228"/>
      <c r="JRD187" s="1228"/>
      <c r="JRE187" s="1228"/>
      <c r="JRF187" s="1228"/>
      <c r="JRG187" s="1228"/>
      <c r="JRH187" s="1228"/>
      <c r="JRI187" s="1228"/>
      <c r="JRJ187" s="1228"/>
      <c r="JRK187" s="1228"/>
      <c r="JRL187" s="1228"/>
      <c r="JRM187" s="1228"/>
      <c r="JRN187" s="1228"/>
      <c r="JRO187" s="1228"/>
      <c r="JRP187" s="1228"/>
      <c r="JRQ187" s="1228"/>
      <c r="JRR187" s="1228"/>
      <c r="JRS187" s="1228"/>
      <c r="JRT187" s="1228"/>
      <c r="JRU187" s="1228"/>
      <c r="JRV187" s="1228"/>
      <c r="JRW187" s="1228"/>
      <c r="JRX187" s="1228"/>
      <c r="JRY187" s="1228"/>
      <c r="JRZ187" s="1228"/>
      <c r="JSA187" s="1228"/>
      <c r="JSB187" s="1228"/>
      <c r="JSC187" s="1228"/>
      <c r="JSD187" s="1228"/>
      <c r="JSE187" s="1228"/>
      <c r="JSF187" s="1228"/>
      <c r="JSG187" s="1228"/>
      <c r="JSH187" s="1228"/>
      <c r="JSI187" s="1228"/>
      <c r="JSJ187" s="1228"/>
      <c r="JSK187" s="1228"/>
      <c r="JSL187" s="1228"/>
      <c r="JSM187" s="1228"/>
      <c r="JSN187" s="1228"/>
      <c r="JSO187" s="1228"/>
      <c r="JSP187" s="1228"/>
      <c r="JSQ187" s="1228"/>
      <c r="JSR187" s="1228"/>
      <c r="JSS187" s="1228"/>
      <c r="JST187" s="1228"/>
      <c r="JSU187" s="1228"/>
      <c r="JSV187" s="1228"/>
      <c r="JSW187" s="1228"/>
      <c r="JSX187" s="1228"/>
      <c r="JSY187" s="1228"/>
      <c r="JSZ187" s="1228"/>
      <c r="JTA187" s="1228"/>
      <c r="JTB187" s="1228"/>
      <c r="JTC187" s="1228"/>
      <c r="JTD187" s="1228"/>
      <c r="JTE187" s="1228"/>
      <c r="JTF187" s="1228"/>
      <c r="JTG187" s="1228"/>
      <c r="JTH187" s="1228"/>
      <c r="JTI187" s="1228"/>
      <c r="JTJ187" s="1228"/>
      <c r="JTK187" s="1228"/>
      <c r="JTL187" s="1228"/>
      <c r="JTM187" s="1228"/>
      <c r="JTN187" s="1228"/>
      <c r="JTO187" s="1228"/>
      <c r="JTP187" s="1228"/>
      <c r="JTQ187" s="1228"/>
      <c r="JTR187" s="1228"/>
      <c r="JTS187" s="1228"/>
      <c r="JTT187" s="1228"/>
      <c r="JTU187" s="1228"/>
      <c r="JTV187" s="1228"/>
      <c r="JTW187" s="1228"/>
      <c r="JTX187" s="1228"/>
      <c r="JTY187" s="1228"/>
      <c r="JTZ187" s="1228"/>
      <c r="JUA187" s="1228"/>
      <c r="JUB187" s="1228"/>
      <c r="JUC187" s="1228"/>
      <c r="JUD187" s="1228"/>
      <c r="JUE187" s="1228"/>
      <c r="JUF187" s="1228"/>
      <c r="JUG187" s="1228"/>
      <c r="JUH187" s="1228"/>
      <c r="JUI187" s="1228"/>
      <c r="JUJ187" s="1228"/>
      <c r="JUK187" s="1228"/>
      <c r="JUL187" s="1228"/>
      <c r="JUM187" s="1228"/>
      <c r="JUN187" s="1228"/>
      <c r="JUO187" s="1228"/>
      <c r="JUP187" s="1228"/>
      <c r="JUQ187" s="1228"/>
      <c r="JUR187" s="1228"/>
      <c r="JUS187" s="1228"/>
      <c r="JUT187" s="1228"/>
      <c r="JUU187" s="1228"/>
      <c r="JUV187" s="1228"/>
      <c r="JUW187" s="1228"/>
      <c r="JUX187" s="1228"/>
      <c r="JUY187" s="1228"/>
      <c r="JUZ187" s="1228"/>
      <c r="JVA187" s="1228"/>
      <c r="JVB187" s="1228"/>
      <c r="JVC187" s="1228"/>
      <c r="JVD187" s="1228"/>
      <c r="JVE187" s="1228"/>
      <c r="JVF187" s="1228"/>
      <c r="JVG187" s="1228"/>
      <c r="JVH187" s="1228"/>
      <c r="JVI187" s="1228"/>
      <c r="JVJ187" s="1228"/>
      <c r="JVK187" s="1228"/>
      <c r="JVL187" s="1228"/>
      <c r="JVM187" s="1228"/>
      <c r="JVN187" s="1228"/>
      <c r="JVO187" s="1228"/>
      <c r="JVP187" s="1228"/>
      <c r="JVQ187" s="1228"/>
      <c r="JVR187" s="1228"/>
      <c r="JVS187" s="1228"/>
      <c r="JVT187" s="1228"/>
      <c r="JVU187" s="1228"/>
      <c r="JVV187" s="1228"/>
      <c r="JVW187" s="1228"/>
      <c r="JVX187" s="1228"/>
      <c r="JVY187" s="1228"/>
      <c r="JVZ187" s="1228"/>
      <c r="JWA187" s="1228"/>
      <c r="JWB187" s="1228"/>
      <c r="JWC187" s="1228"/>
      <c r="JWD187" s="1228"/>
      <c r="JWE187" s="1228"/>
      <c r="JWF187" s="1228"/>
      <c r="JWG187" s="1228"/>
      <c r="JWH187" s="1228"/>
      <c r="JWI187" s="1228"/>
      <c r="JWJ187" s="1228"/>
      <c r="JWK187" s="1228"/>
      <c r="JWL187" s="1228"/>
      <c r="JWM187" s="1228"/>
      <c r="JWN187" s="1228"/>
      <c r="JWO187" s="1228"/>
      <c r="JWP187" s="1228"/>
      <c r="JWQ187" s="1228"/>
      <c r="JWR187" s="1228"/>
      <c r="JWS187" s="1228"/>
      <c r="JWT187" s="1228"/>
      <c r="JWU187" s="1228"/>
      <c r="JWV187" s="1228"/>
      <c r="JWW187" s="1228"/>
      <c r="JWX187" s="1228"/>
      <c r="JWY187" s="1228"/>
      <c r="JWZ187" s="1228"/>
      <c r="JXA187" s="1228"/>
      <c r="JXB187" s="1228"/>
      <c r="JXC187" s="1228"/>
      <c r="JXD187" s="1228"/>
      <c r="JXE187" s="1228"/>
      <c r="JXF187" s="1228"/>
      <c r="JXG187" s="1228"/>
      <c r="JXH187" s="1228"/>
      <c r="JXI187" s="1228"/>
      <c r="JXJ187" s="1228"/>
      <c r="JXK187" s="1228"/>
      <c r="JXL187" s="1228"/>
      <c r="JXM187" s="1228"/>
      <c r="JXN187" s="1228"/>
      <c r="JXO187" s="1228"/>
      <c r="JXP187" s="1228"/>
      <c r="JXQ187" s="1228"/>
      <c r="JXR187" s="1228"/>
      <c r="JXS187" s="1228"/>
      <c r="JXT187" s="1228"/>
      <c r="JXU187" s="1228"/>
      <c r="JXV187" s="1228"/>
      <c r="JXW187" s="1228"/>
      <c r="JXX187" s="1228"/>
      <c r="JXY187" s="1228"/>
      <c r="JXZ187" s="1228"/>
      <c r="JYA187" s="1228"/>
      <c r="JYB187" s="1228"/>
      <c r="JYC187" s="1228"/>
      <c r="JYD187" s="1228"/>
      <c r="JYE187" s="1228"/>
      <c r="JYF187" s="1228"/>
      <c r="JYG187" s="1228"/>
      <c r="JYH187" s="1228"/>
      <c r="JYI187" s="1228"/>
      <c r="JYJ187" s="1228"/>
      <c r="JYK187" s="1228"/>
      <c r="JYL187" s="1228"/>
      <c r="JYM187" s="1228"/>
      <c r="JYN187" s="1228"/>
      <c r="JYO187" s="1228"/>
      <c r="JYP187" s="1228"/>
      <c r="JYQ187" s="1228"/>
      <c r="JYR187" s="1228"/>
      <c r="JYS187" s="1228"/>
      <c r="JYT187" s="1228"/>
      <c r="JYU187" s="1228"/>
      <c r="JYV187" s="1228"/>
      <c r="JYW187" s="1228"/>
      <c r="JYX187" s="1228"/>
      <c r="JYY187" s="1228"/>
      <c r="JYZ187" s="1228"/>
      <c r="JZA187" s="1228"/>
      <c r="JZB187" s="1228"/>
      <c r="JZC187" s="1228"/>
      <c r="JZD187" s="1228"/>
      <c r="JZE187" s="1228"/>
      <c r="JZF187" s="1228"/>
      <c r="JZG187" s="1228"/>
      <c r="JZH187" s="1228"/>
      <c r="JZI187" s="1228"/>
      <c r="JZJ187" s="1228"/>
      <c r="JZK187" s="1228"/>
      <c r="JZL187" s="1228"/>
      <c r="JZM187" s="1228"/>
      <c r="JZN187" s="1228"/>
      <c r="JZO187" s="1228"/>
      <c r="JZP187" s="1228"/>
      <c r="JZQ187" s="1228"/>
      <c r="JZR187" s="1228"/>
      <c r="JZS187" s="1228"/>
      <c r="JZT187" s="1228"/>
      <c r="JZU187" s="1228"/>
      <c r="JZV187" s="1228"/>
      <c r="JZW187" s="1228"/>
      <c r="JZX187" s="1228"/>
      <c r="JZY187" s="1228"/>
      <c r="JZZ187" s="1228"/>
      <c r="KAA187" s="1228"/>
      <c r="KAB187" s="1228"/>
      <c r="KAC187" s="1228"/>
      <c r="KAD187" s="1228"/>
      <c r="KAE187" s="1228"/>
      <c r="KAF187" s="1228"/>
      <c r="KAG187" s="1228"/>
      <c r="KAH187" s="1228"/>
      <c r="KAI187" s="1228"/>
      <c r="KAJ187" s="1228"/>
      <c r="KAK187" s="1228"/>
      <c r="KAL187" s="1228"/>
      <c r="KAM187" s="1228"/>
      <c r="KAN187" s="1228"/>
      <c r="KAO187" s="1228"/>
      <c r="KAP187" s="1228"/>
      <c r="KAQ187" s="1228"/>
      <c r="KAR187" s="1228"/>
      <c r="KAS187" s="1228"/>
      <c r="KAT187" s="1228"/>
      <c r="KAU187" s="1228"/>
      <c r="KAV187" s="1228"/>
      <c r="KAW187" s="1228"/>
      <c r="KAX187" s="1228"/>
      <c r="KAY187" s="1228"/>
      <c r="KAZ187" s="1228"/>
      <c r="KBA187" s="1228"/>
      <c r="KBB187" s="1228"/>
      <c r="KBC187" s="1228"/>
      <c r="KBD187" s="1228"/>
      <c r="KBE187" s="1228"/>
      <c r="KBF187" s="1228"/>
      <c r="KBG187" s="1228"/>
      <c r="KBH187" s="1228"/>
      <c r="KBI187" s="1228"/>
      <c r="KBJ187" s="1228"/>
      <c r="KBK187" s="1228"/>
      <c r="KBL187" s="1228"/>
      <c r="KBM187" s="1228"/>
      <c r="KBN187" s="1228"/>
      <c r="KBO187" s="1228"/>
      <c r="KBP187" s="1228"/>
      <c r="KBQ187" s="1228"/>
      <c r="KBR187" s="1228"/>
      <c r="KBS187" s="1228"/>
      <c r="KBT187" s="1228"/>
      <c r="KBU187" s="1228"/>
      <c r="KBV187" s="1228"/>
      <c r="KBW187" s="1228"/>
      <c r="KBX187" s="1228"/>
      <c r="KBY187" s="1228"/>
      <c r="KBZ187" s="1228"/>
      <c r="KCA187" s="1228"/>
      <c r="KCB187" s="1228"/>
      <c r="KCC187" s="1228"/>
      <c r="KCD187" s="1228"/>
      <c r="KCE187" s="1228"/>
      <c r="KCF187" s="1228"/>
      <c r="KCG187" s="1228"/>
      <c r="KCH187" s="1228"/>
      <c r="KCI187" s="1228"/>
      <c r="KCJ187" s="1228"/>
      <c r="KCK187" s="1228"/>
      <c r="KCL187" s="1228"/>
      <c r="KCM187" s="1228"/>
      <c r="KCN187" s="1228"/>
      <c r="KCO187" s="1228"/>
      <c r="KCP187" s="1228"/>
      <c r="KCQ187" s="1228"/>
      <c r="KCR187" s="1228"/>
      <c r="KCS187" s="1228"/>
      <c r="KCT187" s="1228"/>
      <c r="KCU187" s="1228"/>
      <c r="KCV187" s="1228"/>
      <c r="KCW187" s="1228"/>
      <c r="KCX187" s="1228"/>
      <c r="KCY187" s="1228"/>
      <c r="KCZ187" s="1228"/>
      <c r="KDA187" s="1228"/>
      <c r="KDB187" s="1228"/>
      <c r="KDC187" s="1228"/>
      <c r="KDD187" s="1228"/>
      <c r="KDE187" s="1228"/>
      <c r="KDF187" s="1228"/>
      <c r="KDG187" s="1228"/>
      <c r="KDH187" s="1228"/>
      <c r="KDI187" s="1228"/>
      <c r="KDJ187" s="1228"/>
      <c r="KDK187" s="1228"/>
      <c r="KDL187" s="1228"/>
      <c r="KDM187" s="1228"/>
      <c r="KDN187" s="1228"/>
      <c r="KDO187" s="1228"/>
      <c r="KDP187" s="1228"/>
      <c r="KDQ187" s="1228"/>
      <c r="KDR187" s="1228"/>
      <c r="KDS187" s="1228"/>
      <c r="KDT187" s="1228"/>
      <c r="KDU187" s="1228"/>
      <c r="KDV187" s="1228"/>
      <c r="KDW187" s="1228"/>
      <c r="KDX187" s="1228"/>
      <c r="KDY187" s="1228"/>
      <c r="KDZ187" s="1228"/>
      <c r="KEA187" s="1228"/>
      <c r="KEB187" s="1228"/>
      <c r="KEC187" s="1228"/>
      <c r="KED187" s="1228"/>
      <c r="KEE187" s="1228"/>
      <c r="KEF187" s="1228"/>
      <c r="KEG187" s="1228"/>
      <c r="KEH187" s="1228"/>
      <c r="KEI187" s="1228"/>
      <c r="KEJ187" s="1228"/>
      <c r="KEK187" s="1228"/>
      <c r="KEL187" s="1228"/>
      <c r="KEM187" s="1228"/>
      <c r="KEN187" s="1228"/>
      <c r="KEO187" s="1228"/>
      <c r="KEP187" s="1228"/>
      <c r="KEQ187" s="1228"/>
      <c r="KER187" s="1228"/>
      <c r="KES187" s="1228"/>
      <c r="KET187" s="1228"/>
      <c r="KEU187" s="1228"/>
      <c r="KEV187" s="1228"/>
      <c r="KEW187" s="1228"/>
      <c r="KEX187" s="1228"/>
      <c r="KEY187" s="1228"/>
      <c r="KEZ187" s="1228"/>
      <c r="KFA187" s="1228"/>
      <c r="KFB187" s="1228"/>
      <c r="KFC187" s="1228"/>
      <c r="KFD187" s="1228"/>
      <c r="KFE187" s="1228"/>
      <c r="KFF187" s="1228"/>
      <c r="KFG187" s="1228"/>
      <c r="KFH187" s="1228"/>
      <c r="KFI187" s="1228"/>
      <c r="KFJ187" s="1228"/>
      <c r="KFK187" s="1228"/>
      <c r="KFL187" s="1228"/>
      <c r="KFM187" s="1228"/>
      <c r="KFN187" s="1228"/>
      <c r="KFO187" s="1228"/>
      <c r="KFP187" s="1228"/>
      <c r="KFQ187" s="1228"/>
      <c r="KFR187" s="1228"/>
      <c r="KFS187" s="1228"/>
      <c r="KFT187" s="1228"/>
      <c r="KFU187" s="1228"/>
      <c r="KFV187" s="1228"/>
      <c r="KFW187" s="1228"/>
      <c r="KFX187" s="1228"/>
      <c r="KFY187" s="1228"/>
      <c r="KFZ187" s="1228"/>
      <c r="KGA187" s="1228"/>
      <c r="KGB187" s="1228"/>
      <c r="KGC187" s="1228"/>
      <c r="KGD187" s="1228"/>
      <c r="KGE187" s="1228"/>
      <c r="KGF187" s="1228"/>
      <c r="KGG187" s="1228"/>
      <c r="KGH187" s="1228"/>
      <c r="KGI187" s="1228"/>
      <c r="KGJ187" s="1228"/>
      <c r="KGK187" s="1228"/>
      <c r="KGL187" s="1228"/>
      <c r="KGM187" s="1228"/>
      <c r="KGN187" s="1228"/>
      <c r="KGO187" s="1228"/>
      <c r="KGP187" s="1228"/>
      <c r="KGQ187" s="1228"/>
      <c r="KGR187" s="1228"/>
      <c r="KGS187" s="1228"/>
      <c r="KGT187" s="1228"/>
      <c r="KGU187" s="1228"/>
      <c r="KGV187" s="1228"/>
      <c r="KGW187" s="1228"/>
      <c r="KGX187" s="1228"/>
      <c r="KGY187" s="1228"/>
      <c r="KGZ187" s="1228"/>
      <c r="KHA187" s="1228"/>
      <c r="KHB187" s="1228"/>
      <c r="KHC187" s="1228"/>
      <c r="KHD187" s="1228"/>
      <c r="KHE187" s="1228"/>
      <c r="KHF187" s="1228"/>
      <c r="KHG187" s="1228"/>
      <c r="KHH187" s="1228"/>
      <c r="KHI187" s="1228"/>
      <c r="KHJ187" s="1228"/>
      <c r="KHK187" s="1228"/>
      <c r="KHL187" s="1228"/>
      <c r="KHM187" s="1228"/>
      <c r="KHN187" s="1228"/>
      <c r="KHO187" s="1228"/>
      <c r="KHP187" s="1228"/>
      <c r="KHQ187" s="1228"/>
      <c r="KHR187" s="1228"/>
      <c r="KHS187" s="1228"/>
      <c r="KHT187" s="1228"/>
      <c r="KHU187" s="1228"/>
      <c r="KHV187" s="1228"/>
      <c r="KHW187" s="1228"/>
      <c r="KHX187" s="1228"/>
      <c r="KHY187" s="1228"/>
      <c r="KHZ187" s="1228"/>
      <c r="KIA187" s="1228"/>
      <c r="KIB187" s="1228"/>
      <c r="KIC187" s="1228"/>
      <c r="KID187" s="1228"/>
      <c r="KIE187" s="1228"/>
      <c r="KIF187" s="1228"/>
      <c r="KIG187" s="1228"/>
      <c r="KIH187" s="1228"/>
      <c r="KII187" s="1228"/>
      <c r="KIJ187" s="1228"/>
      <c r="KIK187" s="1228"/>
      <c r="KIL187" s="1228"/>
      <c r="KIM187" s="1228"/>
      <c r="KIN187" s="1228"/>
      <c r="KIO187" s="1228"/>
      <c r="KIP187" s="1228"/>
      <c r="KIQ187" s="1228"/>
      <c r="KIR187" s="1228"/>
      <c r="KIS187" s="1228"/>
      <c r="KIT187" s="1228"/>
      <c r="KIU187" s="1228"/>
      <c r="KIV187" s="1228"/>
      <c r="KIW187" s="1228"/>
      <c r="KIX187" s="1228"/>
      <c r="KIY187" s="1228"/>
      <c r="KIZ187" s="1228"/>
      <c r="KJA187" s="1228"/>
      <c r="KJB187" s="1228"/>
      <c r="KJC187" s="1228"/>
      <c r="KJD187" s="1228"/>
      <c r="KJE187" s="1228"/>
      <c r="KJF187" s="1228"/>
      <c r="KJG187" s="1228"/>
      <c r="KJH187" s="1228"/>
      <c r="KJI187" s="1228"/>
      <c r="KJJ187" s="1228"/>
      <c r="KJK187" s="1228"/>
      <c r="KJL187" s="1228"/>
      <c r="KJM187" s="1228"/>
      <c r="KJN187" s="1228"/>
      <c r="KJO187" s="1228"/>
      <c r="KJP187" s="1228"/>
      <c r="KJQ187" s="1228"/>
      <c r="KJR187" s="1228"/>
      <c r="KJS187" s="1228"/>
      <c r="KJT187" s="1228"/>
      <c r="KJU187" s="1228"/>
      <c r="KJV187" s="1228"/>
      <c r="KJW187" s="1228"/>
      <c r="KJX187" s="1228"/>
      <c r="KJY187" s="1228"/>
      <c r="KJZ187" s="1228"/>
      <c r="KKA187" s="1228"/>
      <c r="KKB187" s="1228"/>
      <c r="KKC187" s="1228"/>
      <c r="KKD187" s="1228"/>
      <c r="KKE187" s="1228"/>
      <c r="KKF187" s="1228"/>
      <c r="KKG187" s="1228"/>
      <c r="KKH187" s="1228"/>
      <c r="KKI187" s="1228"/>
      <c r="KKJ187" s="1228"/>
      <c r="KKK187" s="1228"/>
      <c r="KKL187" s="1228"/>
      <c r="KKM187" s="1228"/>
      <c r="KKN187" s="1228"/>
      <c r="KKO187" s="1228"/>
      <c r="KKP187" s="1228"/>
      <c r="KKQ187" s="1228"/>
      <c r="KKR187" s="1228"/>
      <c r="KKS187" s="1228"/>
      <c r="KKT187" s="1228"/>
      <c r="KKU187" s="1228"/>
      <c r="KKV187" s="1228"/>
      <c r="KKW187" s="1228"/>
      <c r="KKX187" s="1228"/>
      <c r="KKY187" s="1228"/>
      <c r="KKZ187" s="1228"/>
      <c r="KLA187" s="1228"/>
      <c r="KLB187" s="1228"/>
      <c r="KLC187" s="1228"/>
      <c r="KLD187" s="1228"/>
      <c r="KLE187" s="1228"/>
      <c r="KLF187" s="1228"/>
      <c r="KLG187" s="1228"/>
      <c r="KLH187" s="1228"/>
      <c r="KLI187" s="1228"/>
      <c r="KLJ187" s="1228"/>
      <c r="KLK187" s="1228"/>
      <c r="KLL187" s="1228"/>
      <c r="KLM187" s="1228"/>
      <c r="KLN187" s="1228"/>
      <c r="KLO187" s="1228"/>
      <c r="KLP187" s="1228"/>
      <c r="KLQ187" s="1228"/>
      <c r="KLR187" s="1228"/>
      <c r="KLS187" s="1228"/>
      <c r="KLT187" s="1228"/>
      <c r="KLU187" s="1228"/>
      <c r="KLV187" s="1228"/>
      <c r="KLW187" s="1228"/>
      <c r="KLX187" s="1228"/>
      <c r="KLY187" s="1228"/>
      <c r="KLZ187" s="1228"/>
      <c r="KMA187" s="1228"/>
      <c r="KMB187" s="1228"/>
      <c r="KMC187" s="1228"/>
      <c r="KMD187" s="1228"/>
      <c r="KME187" s="1228"/>
      <c r="KMF187" s="1228"/>
      <c r="KMG187" s="1228"/>
      <c r="KMH187" s="1228"/>
      <c r="KMI187" s="1228"/>
      <c r="KMJ187" s="1228"/>
      <c r="KMK187" s="1228"/>
      <c r="KML187" s="1228"/>
      <c r="KMM187" s="1228"/>
      <c r="KMN187" s="1228"/>
      <c r="KMO187" s="1228"/>
      <c r="KMP187" s="1228"/>
      <c r="KMQ187" s="1228"/>
      <c r="KMR187" s="1228"/>
      <c r="KMS187" s="1228"/>
      <c r="KMT187" s="1228"/>
      <c r="KMU187" s="1228"/>
      <c r="KMV187" s="1228"/>
      <c r="KMW187" s="1228"/>
      <c r="KMX187" s="1228"/>
      <c r="KMY187" s="1228"/>
      <c r="KMZ187" s="1228"/>
      <c r="KNA187" s="1228"/>
      <c r="KNB187" s="1228"/>
      <c r="KNC187" s="1228"/>
      <c r="KND187" s="1228"/>
      <c r="KNE187" s="1228"/>
      <c r="KNF187" s="1228"/>
      <c r="KNG187" s="1228"/>
      <c r="KNH187" s="1228"/>
      <c r="KNI187" s="1228"/>
      <c r="KNJ187" s="1228"/>
      <c r="KNK187" s="1228"/>
      <c r="KNL187" s="1228"/>
      <c r="KNM187" s="1228"/>
      <c r="KNN187" s="1228"/>
      <c r="KNO187" s="1228"/>
      <c r="KNP187" s="1228"/>
      <c r="KNQ187" s="1228"/>
      <c r="KNR187" s="1228"/>
      <c r="KNS187" s="1228"/>
      <c r="KNT187" s="1228"/>
      <c r="KNU187" s="1228"/>
      <c r="KNV187" s="1228"/>
      <c r="KNW187" s="1228"/>
      <c r="KNX187" s="1228"/>
      <c r="KNY187" s="1228"/>
      <c r="KNZ187" s="1228"/>
      <c r="KOA187" s="1228"/>
      <c r="KOB187" s="1228"/>
      <c r="KOC187" s="1228"/>
      <c r="KOD187" s="1228"/>
      <c r="KOE187" s="1228"/>
      <c r="KOF187" s="1228"/>
      <c r="KOG187" s="1228"/>
      <c r="KOH187" s="1228"/>
      <c r="KOI187" s="1228"/>
      <c r="KOJ187" s="1228"/>
      <c r="KOK187" s="1228"/>
      <c r="KOL187" s="1228"/>
      <c r="KOM187" s="1228"/>
      <c r="KON187" s="1228"/>
      <c r="KOO187" s="1228"/>
      <c r="KOP187" s="1228"/>
      <c r="KOQ187" s="1228"/>
      <c r="KOR187" s="1228"/>
      <c r="KOS187" s="1228"/>
      <c r="KOT187" s="1228"/>
      <c r="KOU187" s="1228"/>
      <c r="KOV187" s="1228"/>
      <c r="KOW187" s="1228"/>
      <c r="KOX187" s="1228"/>
      <c r="KOY187" s="1228"/>
      <c r="KOZ187" s="1228"/>
      <c r="KPA187" s="1228"/>
      <c r="KPB187" s="1228"/>
      <c r="KPC187" s="1228"/>
      <c r="KPD187" s="1228"/>
      <c r="KPE187" s="1228"/>
      <c r="KPF187" s="1228"/>
      <c r="KPG187" s="1228"/>
      <c r="KPH187" s="1228"/>
      <c r="KPI187" s="1228"/>
      <c r="KPJ187" s="1228"/>
      <c r="KPK187" s="1228"/>
      <c r="KPL187" s="1228"/>
      <c r="KPM187" s="1228"/>
      <c r="KPN187" s="1228"/>
      <c r="KPO187" s="1228"/>
      <c r="KPP187" s="1228"/>
      <c r="KPQ187" s="1228"/>
      <c r="KPR187" s="1228"/>
      <c r="KPS187" s="1228"/>
      <c r="KPT187" s="1228"/>
      <c r="KPU187" s="1228"/>
      <c r="KPV187" s="1228"/>
      <c r="KPW187" s="1228"/>
      <c r="KPX187" s="1228"/>
      <c r="KPY187" s="1228"/>
      <c r="KPZ187" s="1228"/>
      <c r="KQA187" s="1228"/>
      <c r="KQB187" s="1228"/>
      <c r="KQC187" s="1228"/>
      <c r="KQD187" s="1228"/>
      <c r="KQE187" s="1228"/>
      <c r="KQF187" s="1228"/>
      <c r="KQG187" s="1228"/>
      <c r="KQH187" s="1228"/>
      <c r="KQI187" s="1228"/>
      <c r="KQJ187" s="1228"/>
      <c r="KQK187" s="1228"/>
      <c r="KQL187" s="1228"/>
      <c r="KQM187" s="1228"/>
      <c r="KQN187" s="1228"/>
      <c r="KQO187" s="1228"/>
      <c r="KQP187" s="1228"/>
      <c r="KQQ187" s="1228"/>
      <c r="KQR187" s="1228"/>
      <c r="KQS187" s="1228"/>
      <c r="KQT187" s="1228"/>
      <c r="KQU187" s="1228"/>
      <c r="KQV187" s="1228"/>
      <c r="KQW187" s="1228"/>
      <c r="KQX187" s="1228"/>
      <c r="KQY187" s="1228"/>
      <c r="KQZ187" s="1228"/>
      <c r="KRA187" s="1228"/>
      <c r="KRB187" s="1228"/>
      <c r="KRC187" s="1228"/>
      <c r="KRD187" s="1228"/>
      <c r="KRE187" s="1228"/>
      <c r="KRF187" s="1228"/>
      <c r="KRG187" s="1228"/>
      <c r="KRH187" s="1228"/>
      <c r="KRI187" s="1228"/>
      <c r="KRJ187" s="1228"/>
      <c r="KRK187" s="1228"/>
      <c r="KRL187" s="1228"/>
      <c r="KRM187" s="1228"/>
      <c r="KRN187" s="1228"/>
      <c r="KRO187" s="1228"/>
      <c r="KRP187" s="1228"/>
      <c r="KRQ187" s="1228"/>
      <c r="KRR187" s="1228"/>
      <c r="KRS187" s="1228"/>
      <c r="KRT187" s="1228"/>
      <c r="KRU187" s="1228"/>
      <c r="KRV187" s="1228"/>
      <c r="KRW187" s="1228"/>
      <c r="KRX187" s="1228"/>
      <c r="KRY187" s="1228"/>
      <c r="KRZ187" s="1228"/>
      <c r="KSA187" s="1228"/>
      <c r="KSB187" s="1228"/>
      <c r="KSC187" s="1228"/>
      <c r="KSD187" s="1228"/>
      <c r="KSE187" s="1228"/>
      <c r="KSF187" s="1228"/>
      <c r="KSG187" s="1228"/>
      <c r="KSH187" s="1228"/>
      <c r="KSI187" s="1228"/>
      <c r="KSJ187" s="1228"/>
      <c r="KSK187" s="1228"/>
      <c r="KSL187" s="1228"/>
      <c r="KSM187" s="1228"/>
      <c r="KSN187" s="1228"/>
      <c r="KSO187" s="1228"/>
      <c r="KSP187" s="1228"/>
      <c r="KSQ187" s="1228"/>
      <c r="KSR187" s="1228"/>
      <c r="KSS187" s="1228"/>
      <c r="KST187" s="1228"/>
      <c r="KSU187" s="1228"/>
      <c r="KSV187" s="1228"/>
      <c r="KSW187" s="1228"/>
      <c r="KSX187" s="1228"/>
      <c r="KSY187" s="1228"/>
      <c r="KSZ187" s="1228"/>
      <c r="KTA187" s="1228"/>
      <c r="KTB187" s="1228"/>
      <c r="KTC187" s="1228"/>
      <c r="KTD187" s="1228"/>
      <c r="KTE187" s="1228"/>
      <c r="KTF187" s="1228"/>
      <c r="KTG187" s="1228"/>
      <c r="KTH187" s="1228"/>
      <c r="KTI187" s="1228"/>
      <c r="KTJ187" s="1228"/>
      <c r="KTK187" s="1228"/>
      <c r="KTL187" s="1228"/>
      <c r="KTM187" s="1228"/>
      <c r="KTN187" s="1228"/>
      <c r="KTO187" s="1228"/>
      <c r="KTP187" s="1228"/>
      <c r="KTQ187" s="1228"/>
      <c r="KTR187" s="1228"/>
      <c r="KTS187" s="1228"/>
      <c r="KTT187" s="1228"/>
      <c r="KTU187" s="1228"/>
      <c r="KTV187" s="1228"/>
      <c r="KTW187" s="1228"/>
      <c r="KTX187" s="1228"/>
      <c r="KTY187" s="1228"/>
      <c r="KTZ187" s="1228"/>
      <c r="KUA187" s="1228"/>
      <c r="KUB187" s="1228"/>
      <c r="KUC187" s="1228"/>
      <c r="KUD187" s="1228"/>
      <c r="KUE187" s="1228"/>
      <c r="KUF187" s="1228"/>
      <c r="KUG187" s="1228"/>
      <c r="KUH187" s="1228"/>
      <c r="KUI187" s="1228"/>
      <c r="KUJ187" s="1228"/>
      <c r="KUK187" s="1228"/>
      <c r="KUL187" s="1228"/>
      <c r="KUM187" s="1228"/>
      <c r="KUN187" s="1228"/>
      <c r="KUO187" s="1228"/>
      <c r="KUP187" s="1228"/>
      <c r="KUQ187" s="1228"/>
      <c r="KUR187" s="1228"/>
      <c r="KUS187" s="1228"/>
      <c r="KUT187" s="1228"/>
      <c r="KUU187" s="1228"/>
      <c r="KUV187" s="1228"/>
      <c r="KUW187" s="1228"/>
      <c r="KUX187" s="1228"/>
      <c r="KUY187" s="1228"/>
      <c r="KUZ187" s="1228"/>
      <c r="KVA187" s="1228"/>
      <c r="KVB187" s="1228"/>
      <c r="KVC187" s="1228"/>
      <c r="KVD187" s="1228"/>
      <c r="KVE187" s="1228"/>
      <c r="KVF187" s="1228"/>
      <c r="KVG187" s="1228"/>
      <c r="KVH187" s="1228"/>
      <c r="KVI187" s="1228"/>
      <c r="KVJ187" s="1228"/>
      <c r="KVK187" s="1228"/>
      <c r="KVL187" s="1228"/>
      <c r="KVM187" s="1228"/>
      <c r="KVN187" s="1228"/>
      <c r="KVO187" s="1228"/>
      <c r="KVP187" s="1228"/>
      <c r="KVQ187" s="1228"/>
      <c r="KVR187" s="1228"/>
      <c r="KVS187" s="1228"/>
      <c r="KVT187" s="1228"/>
      <c r="KVU187" s="1228"/>
      <c r="KVV187" s="1228"/>
      <c r="KVW187" s="1228"/>
      <c r="KVX187" s="1228"/>
      <c r="KVY187" s="1228"/>
      <c r="KVZ187" s="1228"/>
      <c r="KWA187" s="1228"/>
      <c r="KWB187" s="1228"/>
      <c r="KWC187" s="1228"/>
      <c r="KWD187" s="1228"/>
      <c r="KWE187" s="1228"/>
      <c r="KWF187" s="1228"/>
      <c r="KWG187" s="1228"/>
      <c r="KWH187" s="1228"/>
      <c r="KWI187" s="1228"/>
      <c r="KWJ187" s="1228"/>
      <c r="KWK187" s="1228"/>
      <c r="KWL187" s="1228"/>
      <c r="KWM187" s="1228"/>
      <c r="KWN187" s="1228"/>
      <c r="KWO187" s="1228"/>
      <c r="KWP187" s="1228"/>
      <c r="KWQ187" s="1228"/>
      <c r="KWR187" s="1228"/>
      <c r="KWS187" s="1228"/>
      <c r="KWT187" s="1228"/>
      <c r="KWU187" s="1228"/>
      <c r="KWV187" s="1228"/>
      <c r="KWW187" s="1228"/>
      <c r="KWX187" s="1228"/>
      <c r="KWY187" s="1228"/>
      <c r="KWZ187" s="1228"/>
      <c r="KXA187" s="1228"/>
      <c r="KXB187" s="1228"/>
      <c r="KXC187" s="1228"/>
      <c r="KXD187" s="1228"/>
      <c r="KXE187" s="1228"/>
      <c r="KXF187" s="1228"/>
      <c r="KXG187" s="1228"/>
      <c r="KXH187" s="1228"/>
      <c r="KXI187" s="1228"/>
      <c r="KXJ187" s="1228"/>
      <c r="KXK187" s="1228"/>
      <c r="KXL187" s="1228"/>
      <c r="KXM187" s="1228"/>
      <c r="KXN187" s="1228"/>
      <c r="KXO187" s="1228"/>
      <c r="KXP187" s="1228"/>
      <c r="KXQ187" s="1228"/>
      <c r="KXR187" s="1228"/>
      <c r="KXS187" s="1228"/>
      <c r="KXT187" s="1228"/>
      <c r="KXU187" s="1228"/>
      <c r="KXV187" s="1228"/>
      <c r="KXW187" s="1228"/>
      <c r="KXX187" s="1228"/>
      <c r="KXY187" s="1228"/>
      <c r="KXZ187" s="1228"/>
      <c r="KYA187" s="1228"/>
      <c r="KYB187" s="1228"/>
      <c r="KYC187" s="1228"/>
      <c r="KYD187" s="1228"/>
      <c r="KYE187" s="1228"/>
      <c r="KYF187" s="1228"/>
      <c r="KYG187" s="1228"/>
      <c r="KYH187" s="1228"/>
      <c r="KYI187" s="1228"/>
      <c r="KYJ187" s="1228"/>
      <c r="KYK187" s="1228"/>
      <c r="KYL187" s="1228"/>
      <c r="KYM187" s="1228"/>
      <c r="KYN187" s="1228"/>
      <c r="KYO187" s="1228"/>
      <c r="KYP187" s="1228"/>
      <c r="KYQ187" s="1228"/>
      <c r="KYR187" s="1228"/>
      <c r="KYS187" s="1228"/>
      <c r="KYT187" s="1228"/>
      <c r="KYU187" s="1228"/>
      <c r="KYV187" s="1228"/>
      <c r="KYW187" s="1228"/>
      <c r="KYX187" s="1228"/>
      <c r="KYY187" s="1228"/>
      <c r="KYZ187" s="1228"/>
      <c r="KZA187" s="1228"/>
      <c r="KZB187" s="1228"/>
      <c r="KZC187" s="1228"/>
      <c r="KZD187" s="1228"/>
      <c r="KZE187" s="1228"/>
      <c r="KZF187" s="1228"/>
      <c r="KZG187" s="1228"/>
      <c r="KZH187" s="1228"/>
      <c r="KZI187" s="1228"/>
      <c r="KZJ187" s="1228"/>
      <c r="KZK187" s="1228"/>
      <c r="KZL187" s="1228"/>
      <c r="KZM187" s="1228"/>
      <c r="KZN187" s="1228"/>
      <c r="KZO187" s="1228"/>
      <c r="KZP187" s="1228"/>
      <c r="KZQ187" s="1228"/>
      <c r="KZR187" s="1228"/>
      <c r="KZS187" s="1228"/>
      <c r="KZT187" s="1228"/>
      <c r="KZU187" s="1228"/>
      <c r="KZV187" s="1228"/>
      <c r="KZW187" s="1228"/>
      <c r="KZX187" s="1228"/>
      <c r="KZY187" s="1228"/>
      <c r="KZZ187" s="1228"/>
      <c r="LAA187" s="1228"/>
      <c r="LAB187" s="1228"/>
      <c r="LAC187" s="1228"/>
      <c r="LAD187" s="1228"/>
      <c r="LAE187" s="1228"/>
      <c r="LAF187" s="1228"/>
      <c r="LAG187" s="1228"/>
      <c r="LAH187" s="1228"/>
      <c r="LAI187" s="1228"/>
      <c r="LAJ187" s="1228"/>
      <c r="LAK187" s="1228"/>
      <c r="LAL187" s="1228"/>
      <c r="LAM187" s="1228"/>
      <c r="LAN187" s="1228"/>
      <c r="LAO187" s="1228"/>
      <c r="LAP187" s="1228"/>
      <c r="LAQ187" s="1228"/>
      <c r="LAR187" s="1228"/>
      <c r="LAS187" s="1228"/>
      <c r="LAT187" s="1228"/>
      <c r="LAU187" s="1228"/>
      <c r="LAV187" s="1228"/>
      <c r="LAW187" s="1228"/>
      <c r="LAX187" s="1228"/>
      <c r="LAY187" s="1228"/>
      <c r="LAZ187" s="1228"/>
      <c r="LBA187" s="1228"/>
      <c r="LBB187" s="1228"/>
      <c r="LBC187" s="1228"/>
      <c r="LBD187" s="1228"/>
      <c r="LBE187" s="1228"/>
      <c r="LBF187" s="1228"/>
      <c r="LBG187" s="1228"/>
      <c r="LBH187" s="1228"/>
      <c r="LBI187" s="1228"/>
      <c r="LBJ187" s="1228"/>
      <c r="LBK187" s="1228"/>
      <c r="LBL187" s="1228"/>
      <c r="LBM187" s="1228"/>
      <c r="LBN187" s="1228"/>
      <c r="LBO187" s="1228"/>
      <c r="LBP187" s="1228"/>
      <c r="LBQ187" s="1228"/>
      <c r="LBR187" s="1228"/>
      <c r="LBS187" s="1228"/>
      <c r="LBT187" s="1228"/>
      <c r="LBU187" s="1228"/>
      <c r="LBV187" s="1228"/>
      <c r="LBW187" s="1228"/>
      <c r="LBX187" s="1228"/>
      <c r="LBY187" s="1228"/>
      <c r="LBZ187" s="1228"/>
      <c r="LCA187" s="1228"/>
      <c r="LCB187" s="1228"/>
      <c r="LCC187" s="1228"/>
      <c r="LCD187" s="1228"/>
      <c r="LCE187" s="1228"/>
      <c r="LCF187" s="1228"/>
      <c r="LCG187" s="1228"/>
      <c r="LCH187" s="1228"/>
      <c r="LCI187" s="1228"/>
      <c r="LCJ187" s="1228"/>
      <c r="LCK187" s="1228"/>
      <c r="LCL187" s="1228"/>
      <c r="LCM187" s="1228"/>
      <c r="LCN187" s="1228"/>
      <c r="LCO187" s="1228"/>
      <c r="LCP187" s="1228"/>
      <c r="LCQ187" s="1228"/>
      <c r="LCR187" s="1228"/>
      <c r="LCS187" s="1228"/>
      <c r="LCT187" s="1228"/>
      <c r="LCU187" s="1228"/>
      <c r="LCV187" s="1228"/>
      <c r="LCW187" s="1228"/>
      <c r="LCX187" s="1228"/>
      <c r="LCY187" s="1228"/>
      <c r="LCZ187" s="1228"/>
      <c r="LDA187" s="1228"/>
      <c r="LDB187" s="1228"/>
      <c r="LDC187" s="1228"/>
      <c r="LDD187" s="1228"/>
      <c r="LDE187" s="1228"/>
      <c r="LDF187" s="1228"/>
      <c r="LDG187" s="1228"/>
      <c r="LDH187" s="1228"/>
      <c r="LDI187" s="1228"/>
      <c r="LDJ187" s="1228"/>
      <c r="LDK187" s="1228"/>
      <c r="LDL187" s="1228"/>
      <c r="LDM187" s="1228"/>
      <c r="LDN187" s="1228"/>
      <c r="LDO187" s="1228"/>
      <c r="LDP187" s="1228"/>
      <c r="LDQ187" s="1228"/>
      <c r="LDR187" s="1228"/>
      <c r="LDS187" s="1228"/>
      <c r="LDT187" s="1228"/>
      <c r="LDU187" s="1228"/>
      <c r="LDV187" s="1228"/>
      <c r="LDW187" s="1228"/>
      <c r="LDX187" s="1228"/>
      <c r="LDY187" s="1228"/>
      <c r="LDZ187" s="1228"/>
      <c r="LEA187" s="1228"/>
      <c r="LEB187" s="1228"/>
      <c r="LEC187" s="1228"/>
      <c r="LED187" s="1228"/>
      <c r="LEE187" s="1228"/>
      <c r="LEF187" s="1228"/>
      <c r="LEG187" s="1228"/>
      <c r="LEH187" s="1228"/>
      <c r="LEI187" s="1228"/>
      <c r="LEJ187" s="1228"/>
      <c r="LEK187" s="1228"/>
      <c r="LEL187" s="1228"/>
      <c r="LEM187" s="1228"/>
      <c r="LEN187" s="1228"/>
      <c r="LEO187" s="1228"/>
      <c r="LEP187" s="1228"/>
      <c r="LEQ187" s="1228"/>
      <c r="LER187" s="1228"/>
      <c r="LES187" s="1228"/>
      <c r="LET187" s="1228"/>
      <c r="LEU187" s="1228"/>
      <c r="LEV187" s="1228"/>
      <c r="LEW187" s="1228"/>
      <c r="LEX187" s="1228"/>
      <c r="LEY187" s="1228"/>
      <c r="LEZ187" s="1228"/>
      <c r="LFA187" s="1228"/>
      <c r="LFB187" s="1228"/>
      <c r="LFC187" s="1228"/>
      <c r="LFD187" s="1228"/>
      <c r="LFE187" s="1228"/>
      <c r="LFF187" s="1228"/>
      <c r="LFG187" s="1228"/>
      <c r="LFH187" s="1228"/>
      <c r="LFI187" s="1228"/>
      <c r="LFJ187" s="1228"/>
      <c r="LFK187" s="1228"/>
      <c r="LFL187" s="1228"/>
      <c r="LFM187" s="1228"/>
      <c r="LFN187" s="1228"/>
      <c r="LFO187" s="1228"/>
      <c r="LFP187" s="1228"/>
      <c r="LFQ187" s="1228"/>
      <c r="LFR187" s="1228"/>
      <c r="LFS187" s="1228"/>
      <c r="LFT187" s="1228"/>
      <c r="LFU187" s="1228"/>
      <c r="LFV187" s="1228"/>
      <c r="LFW187" s="1228"/>
      <c r="LFX187" s="1228"/>
      <c r="LFY187" s="1228"/>
      <c r="LFZ187" s="1228"/>
      <c r="LGA187" s="1228"/>
      <c r="LGB187" s="1228"/>
      <c r="LGC187" s="1228"/>
      <c r="LGD187" s="1228"/>
      <c r="LGE187" s="1228"/>
      <c r="LGF187" s="1228"/>
      <c r="LGG187" s="1228"/>
      <c r="LGH187" s="1228"/>
      <c r="LGI187" s="1228"/>
      <c r="LGJ187" s="1228"/>
      <c r="LGK187" s="1228"/>
      <c r="LGL187" s="1228"/>
      <c r="LGM187" s="1228"/>
      <c r="LGN187" s="1228"/>
      <c r="LGO187" s="1228"/>
      <c r="LGP187" s="1228"/>
      <c r="LGQ187" s="1228"/>
      <c r="LGR187" s="1228"/>
      <c r="LGS187" s="1228"/>
      <c r="LGT187" s="1228"/>
      <c r="LGU187" s="1228"/>
      <c r="LGV187" s="1228"/>
      <c r="LGW187" s="1228"/>
      <c r="LGX187" s="1228"/>
      <c r="LGY187" s="1228"/>
      <c r="LGZ187" s="1228"/>
      <c r="LHA187" s="1228"/>
      <c r="LHB187" s="1228"/>
      <c r="LHC187" s="1228"/>
      <c r="LHD187" s="1228"/>
      <c r="LHE187" s="1228"/>
      <c r="LHF187" s="1228"/>
      <c r="LHG187" s="1228"/>
      <c r="LHH187" s="1228"/>
      <c r="LHI187" s="1228"/>
      <c r="LHJ187" s="1228"/>
      <c r="LHK187" s="1228"/>
      <c r="LHL187" s="1228"/>
      <c r="LHM187" s="1228"/>
      <c r="LHN187" s="1228"/>
      <c r="LHO187" s="1228"/>
      <c r="LHP187" s="1228"/>
      <c r="LHQ187" s="1228"/>
      <c r="LHR187" s="1228"/>
      <c r="LHS187" s="1228"/>
      <c r="LHT187" s="1228"/>
      <c r="LHU187" s="1228"/>
      <c r="LHV187" s="1228"/>
      <c r="LHW187" s="1228"/>
      <c r="LHX187" s="1228"/>
      <c r="LHY187" s="1228"/>
      <c r="LHZ187" s="1228"/>
      <c r="LIA187" s="1228"/>
      <c r="LIB187" s="1228"/>
      <c r="LIC187" s="1228"/>
      <c r="LID187" s="1228"/>
      <c r="LIE187" s="1228"/>
      <c r="LIF187" s="1228"/>
      <c r="LIG187" s="1228"/>
      <c r="LIH187" s="1228"/>
      <c r="LII187" s="1228"/>
      <c r="LIJ187" s="1228"/>
      <c r="LIK187" s="1228"/>
      <c r="LIL187" s="1228"/>
      <c r="LIM187" s="1228"/>
      <c r="LIN187" s="1228"/>
      <c r="LIO187" s="1228"/>
      <c r="LIP187" s="1228"/>
      <c r="LIQ187" s="1228"/>
      <c r="LIR187" s="1228"/>
      <c r="LIS187" s="1228"/>
      <c r="LIT187" s="1228"/>
      <c r="LIU187" s="1228"/>
      <c r="LIV187" s="1228"/>
      <c r="LIW187" s="1228"/>
      <c r="LIX187" s="1228"/>
      <c r="LIY187" s="1228"/>
      <c r="LIZ187" s="1228"/>
      <c r="LJA187" s="1228"/>
      <c r="LJB187" s="1228"/>
      <c r="LJC187" s="1228"/>
      <c r="LJD187" s="1228"/>
      <c r="LJE187" s="1228"/>
      <c r="LJF187" s="1228"/>
      <c r="LJG187" s="1228"/>
      <c r="LJH187" s="1228"/>
      <c r="LJI187" s="1228"/>
      <c r="LJJ187" s="1228"/>
      <c r="LJK187" s="1228"/>
      <c r="LJL187" s="1228"/>
      <c r="LJM187" s="1228"/>
      <c r="LJN187" s="1228"/>
      <c r="LJO187" s="1228"/>
      <c r="LJP187" s="1228"/>
      <c r="LJQ187" s="1228"/>
      <c r="LJR187" s="1228"/>
      <c r="LJS187" s="1228"/>
      <c r="LJT187" s="1228"/>
      <c r="LJU187" s="1228"/>
      <c r="LJV187" s="1228"/>
      <c r="LJW187" s="1228"/>
      <c r="LJX187" s="1228"/>
      <c r="LJY187" s="1228"/>
      <c r="LJZ187" s="1228"/>
      <c r="LKA187" s="1228"/>
      <c r="LKB187" s="1228"/>
      <c r="LKC187" s="1228"/>
      <c r="LKD187" s="1228"/>
      <c r="LKE187" s="1228"/>
      <c r="LKF187" s="1228"/>
      <c r="LKG187" s="1228"/>
      <c r="LKH187" s="1228"/>
      <c r="LKI187" s="1228"/>
      <c r="LKJ187" s="1228"/>
      <c r="LKK187" s="1228"/>
      <c r="LKL187" s="1228"/>
      <c r="LKM187" s="1228"/>
      <c r="LKN187" s="1228"/>
      <c r="LKO187" s="1228"/>
      <c r="LKP187" s="1228"/>
      <c r="LKQ187" s="1228"/>
      <c r="LKR187" s="1228"/>
      <c r="LKS187" s="1228"/>
      <c r="LKT187" s="1228"/>
      <c r="LKU187" s="1228"/>
      <c r="LKV187" s="1228"/>
      <c r="LKW187" s="1228"/>
      <c r="LKX187" s="1228"/>
      <c r="LKY187" s="1228"/>
      <c r="LKZ187" s="1228"/>
      <c r="LLA187" s="1228"/>
      <c r="LLB187" s="1228"/>
      <c r="LLC187" s="1228"/>
      <c r="LLD187" s="1228"/>
      <c r="LLE187" s="1228"/>
      <c r="LLF187" s="1228"/>
      <c r="LLG187" s="1228"/>
      <c r="LLH187" s="1228"/>
      <c r="LLI187" s="1228"/>
      <c r="LLJ187" s="1228"/>
      <c r="LLK187" s="1228"/>
      <c r="LLL187" s="1228"/>
      <c r="LLM187" s="1228"/>
      <c r="LLN187" s="1228"/>
      <c r="LLO187" s="1228"/>
      <c r="LLP187" s="1228"/>
      <c r="LLQ187" s="1228"/>
      <c r="LLR187" s="1228"/>
      <c r="LLS187" s="1228"/>
      <c r="LLT187" s="1228"/>
      <c r="LLU187" s="1228"/>
      <c r="LLV187" s="1228"/>
      <c r="LLW187" s="1228"/>
      <c r="LLX187" s="1228"/>
      <c r="LLY187" s="1228"/>
      <c r="LLZ187" s="1228"/>
      <c r="LMA187" s="1228"/>
      <c r="LMB187" s="1228"/>
      <c r="LMC187" s="1228"/>
      <c r="LMD187" s="1228"/>
      <c r="LME187" s="1228"/>
      <c r="LMF187" s="1228"/>
      <c r="LMG187" s="1228"/>
      <c r="LMH187" s="1228"/>
      <c r="LMI187" s="1228"/>
      <c r="LMJ187" s="1228"/>
      <c r="LMK187" s="1228"/>
      <c r="LML187" s="1228"/>
      <c r="LMM187" s="1228"/>
      <c r="LMN187" s="1228"/>
      <c r="LMO187" s="1228"/>
      <c r="LMP187" s="1228"/>
      <c r="LMQ187" s="1228"/>
      <c r="LMR187" s="1228"/>
      <c r="LMS187" s="1228"/>
      <c r="LMT187" s="1228"/>
      <c r="LMU187" s="1228"/>
      <c r="LMV187" s="1228"/>
      <c r="LMW187" s="1228"/>
      <c r="LMX187" s="1228"/>
      <c r="LMY187" s="1228"/>
      <c r="LMZ187" s="1228"/>
      <c r="LNA187" s="1228"/>
      <c r="LNB187" s="1228"/>
      <c r="LNC187" s="1228"/>
      <c r="LND187" s="1228"/>
      <c r="LNE187" s="1228"/>
      <c r="LNF187" s="1228"/>
      <c r="LNG187" s="1228"/>
      <c r="LNH187" s="1228"/>
      <c r="LNI187" s="1228"/>
      <c r="LNJ187" s="1228"/>
      <c r="LNK187" s="1228"/>
      <c r="LNL187" s="1228"/>
      <c r="LNM187" s="1228"/>
      <c r="LNN187" s="1228"/>
      <c r="LNO187" s="1228"/>
      <c r="LNP187" s="1228"/>
      <c r="LNQ187" s="1228"/>
      <c r="LNR187" s="1228"/>
      <c r="LNS187" s="1228"/>
      <c r="LNT187" s="1228"/>
      <c r="LNU187" s="1228"/>
      <c r="LNV187" s="1228"/>
      <c r="LNW187" s="1228"/>
      <c r="LNX187" s="1228"/>
      <c r="LNY187" s="1228"/>
      <c r="LNZ187" s="1228"/>
      <c r="LOA187" s="1228"/>
      <c r="LOB187" s="1228"/>
      <c r="LOC187" s="1228"/>
      <c r="LOD187" s="1228"/>
      <c r="LOE187" s="1228"/>
      <c r="LOF187" s="1228"/>
      <c r="LOG187" s="1228"/>
      <c r="LOH187" s="1228"/>
      <c r="LOI187" s="1228"/>
      <c r="LOJ187" s="1228"/>
      <c r="LOK187" s="1228"/>
      <c r="LOL187" s="1228"/>
      <c r="LOM187" s="1228"/>
      <c r="LON187" s="1228"/>
      <c r="LOO187" s="1228"/>
      <c r="LOP187" s="1228"/>
      <c r="LOQ187" s="1228"/>
      <c r="LOR187" s="1228"/>
      <c r="LOS187" s="1228"/>
      <c r="LOT187" s="1228"/>
      <c r="LOU187" s="1228"/>
      <c r="LOV187" s="1228"/>
      <c r="LOW187" s="1228"/>
      <c r="LOX187" s="1228"/>
      <c r="LOY187" s="1228"/>
      <c r="LOZ187" s="1228"/>
      <c r="LPA187" s="1228"/>
      <c r="LPB187" s="1228"/>
      <c r="LPC187" s="1228"/>
      <c r="LPD187" s="1228"/>
      <c r="LPE187" s="1228"/>
      <c r="LPF187" s="1228"/>
      <c r="LPG187" s="1228"/>
      <c r="LPH187" s="1228"/>
      <c r="LPI187" s="1228"/>
      <c r="LPJ187" s="1228"/>
      <c r="LPK187" s="1228"/>
      <c r="LPL187" s="1228"/>
      <c r="LPM187" s="1228"/>
      <c r="LPN187" s="1228"/>
      <c r="LPO187" s="1228"/>
      <c r="LPP187" s="1228"/>
      <c r="LPQ187" s="1228"/>
      <c r="LPR187" s="1228"/>
      <c r="LPS187" s="1228"/>
      <c r="LPT187" s="1228"/>
      <c r="LPU187" s="1228"/>
      <c r="LPV187" s="1228"/>
      <c r="LPW187" s="1228"/>
      <c r="LPX187" s="1228"/>
      <c r="LPY187" s="1228"/>
      <c r="LPZ187" s="1228"/>
      <c r="LQA187" s="1228"/>
      <c r="LQB187" s="1228"/>
      <c r="LQC187" s="1228"/>
      <c r="LQD187" s="1228"/>
      <c r="LQE187" s="1228"/>
      <c r="LQF187" s="1228"/>
      <c r="LQG187" s="1228"/>
      <c r="LQH187" s="1228"/>
      <c r="LQI187" s="1228"/>
      <c r="LQJ187" s="1228"/>
      <c r="LQK187" s="1228"/>
      <c r="LQL187" s="1228"/>
      <c r="LQM187" s="1228"/>
      <c r="LQN187" s="1228"/>
      <c r="LQO187" s="1228"/>
      <c r="LQP187" s="1228"/>
      <c r="LQQ187" s="1228"/>
      <c r="LQR187" s="1228"/>
      <c r="LQS187" s="1228"/>
      <c r="LQT187" s="1228"/>
      <c r="LQU187" s="1228"/>
      <c r="LQV187" s="1228"/>
      <c r="LQW187" s="1228"/>
      <c r="LQX187" s="1228"/>
      <c r="LQY187" s="1228"/>
      <c r="LQZ187" s="1228"/>
      <c r="LRA187" s="1228"/>
      <c r="LRB187" s="1228"/>
      <c r="LRC187" s="1228"/>
      <c r="LRD187" s="1228"/>
      <c r="LRE187" s="1228"/>
      <c r="LRF187" s="1228"/>
      <c r="LRG187" s="1228"/>
      <c r="LRH187" s="1228"/>
      <c r="LRI187" s="1228"/>
      <c r="LRJ187" s="1228"/>
      <c r="LRK187" s="1228"/>
      <c r="LRL187" s="1228"/>
      <c r="LRM187" s="1228"/>
      <c r="LRN187" s="1228"/>
      <c r="LRO187" s="1228"/>
      <c r="LRP187" s="1228"/>
      <c r="LRQ187" s="1228"/>
      <c r="LRR187" s="1228"/>
      <c r="LRS187" s="1228"/>
      <c r="LRT187" s="1228"/>
      <c r="LRU187" s="1228"/>
      <c r="LRV187" s="1228"/>
      <c r="LRW187" s="1228"/>
      <c r="LRX187" s="1228"/>
      <c r="LRY187" s="1228"/>
      <c r="LRZ187" s="1228"/>
      <c r="LSA187" s="1228"/>
      <c r="LSB187" s="1228"/>
      <c r="LSC187" s="1228"/>
      <c r="LSD187" s="1228"/>
      <c r="LSE187" s="1228"/>
      <c r="LSF187" s="1228"/>
      <c r="LSG187" s="1228"/>
      <c r="LSH187" s="1228"/>
      <c r="LSI187" s="1228"/>
      <c r="LSJ187" s="1228"/>
      <c r="LSK187" s="1228"/>
      <c r="LSL187" s="1228"/>
      <c r="LSM187" s="1228"/>
      <c r="LSN187" s="1228"/>
      <c r="LSO187" s="1228"/>
      <c r="LSP187" s="1228"/>
      <c r="LSQ187" s="1228"/>
      <c r="LSR187" s="1228"/>
      <c r="LSS187" s="1228"/>
      <c r="LST187" s="1228"/>
      <c r="LSU187" s="1228"/>
      <c r="LSV187" s="1228"/>
      <c r="LSW187" s="1228"/>
      <c r="LSX187" s="1228"/>
      <c r="LSY187" s="1228"/>
      <c r="LSZ187" s="1228"/>
      <c r="LTA187" s="1228"/>
      <c r="LTB187" s="1228"/>
      <c r="LTC187" s="1228"/>
      <c r="LTD187" s="1228"/>
      <c r="LTE187" s="1228"/>
      <c r="LTF187" s="1228"/>
      <c r="LTG187" s="1228"/>
      <c r="LTH187" s="1228"/>
      <c r="LTI187" s="1228"/>
      <c r="LTJ187" s="1228"/>
      <c r="LTK187" s="1228"/>
      <c r="LTL187" s="1228"/>
      <c r="LTM187" s="1228"/>
      <c r="LTN187" s="1228"/>
      <c r="LTO187" s="1228"/>
      <c r="LTP187" s="1228"/>
      <c r="LTQ187" s="1228"/>
      <c r="LTR187" s="1228"/>
      <c r="LTS187" s="1228"/>
      <c r="LTT187" s="1228"/>
      <c r="LTU187" s="1228"/>
      <c r="LTV187" s="1228"/>
      <c r="LTW187" s="1228"/>
      <c r="LTX187" s="1228"/>
      <c r="LTY187" s="1228"/>
      <c r="LTZ187" s="1228"/>
      <c r="LUA187" s="1228"/>
      <c r="LUB187" s="1228"/>
      <c r="LUC187" s="1228"/>
      <c r="LUD187" s="1228"/>
      <c r="LUE187" s="1228"/>
      <c r="LUF187" s="1228"/>
      <c r="LUG187" s="1228"/>
      <c r="LUH187" s="1228"/>
      <c r="LUI187" s="1228"/>
      <c r="LUJ187" s="1228"/>
      <c r="LUK187" s="1228"/>
      <c r="LUL187" s="1228"/>
      <c r="LUM187" s="1228"/>
      <c r="LUN187" s="1228"/>
      <c r="LUO187" s="1228"/>
      <c r="LUP187" s="1228"/>
      <c r="LUQ187" s="1228"/>
      <c r="LUR187" s="1228"/>
      <c r="LUS187" s="1228"/>
      <c r="LUT187" s="1228"/>
      <c r="LUU187" s="1228"/>
      <c r="LUV187" s="1228"/>
      <c r="LUW187" s="1228"/>
      <c r="LUX187" s="1228"/>
      <c r="LUY187" s="1228"/>
      <c r="LUZ187" s="1228"/>
      <c r="LVA187" s="1228"/>
      <c r="LVB187" s="1228"/>
      <c r="LVC187" s="1228"/>
      <c r="LVD187" s="1228"/>
      <c r="LVE187" s="1228"/>
      <c r="LVF187" s="1228"/>
      <c r="LVG187" s="1228"/>
      <c r="LVH187" s="1228"/>
      <c r="LVI187" s="1228"/>
      <c r="LVJ187" s="1228"/>
      <c r="LVK187" s="1228"/>
      <c r="LVL187" s="1228"/>
      <c r="LVM187" s="1228"/>
      <c r="LVN187" s="1228"/>
      <c r="LVO187" s="1228"/>
      <c r="LVP187" s="1228"/>
      <c r="LVQ187" s="1228"/>
      <c r="LVR187" s="1228"/>
      <c r="LVS187" s="1228"/>
      <c r="LVT187" s="1228"/>
      <c r="LVU187" s="1228"/>
      <c r="LVV187" s="1228"/>
      <c r="LVW187" s="1228"/>
      <c r="LVX187" s="1228"/>
      <c r="LVY187" s="1228"/>
      <c r="LVZ187" s="1228"/>
      <c r="LWA187" s="1228"/>
      <c r="LWB187" s="1228"/>
      <c r="LWC187" s="1228"/>
      <c r="LWD187" s="1228"/>
      <c r="LWE187" s="1228"/>
      <c r="LWF187" s="1228"/>
      <c r="LWG187" s="1228"/>
      <c r="LWH187" s="1228"/>
      <c r="LWI187" s="1228"/>
      <c r="LWJ187" s="1228"/>
      <c r="LWK187" s="1228"/>
      <c r="LWL187" s="1228"/>
      <c r="LWM187" s="1228"/>
      <c r="LWN187" s="1228"/>
      <c r="LWO187" s="1228"/>
      <c r="LWP187" s="1228"/>
      <c r="LWQ187" s="1228"/>
      <c r="LWR187" s="1228"/>
      <c r="LWS187" s="1228"/>
      <c r="LWT187" s="1228"/>
      <c r="LWU187" s="1228"/>
      <c r="LWV187" s="1228"/>
      <c r="LWW187" s="1228"/>
      <c r="LWX187" s="1228"/>
      <c r="LWY187" s="1228"/>
      <c r="LWZ187" s="1228"/>
      <c r="LXA187" s="1228"/>
      <c r="LXB187" s="1228"/>
      <c r="LXC187" s="1228"/>
      <c r="LXD187" s="1228"/>
      <c r="LXE187" s="1228"/>
      <c r="LXF187" s="1228"/>
      <c r="LXG187" s="1228"/>
      <c r="LXH187" s="1228"/>
      <c r="LXI187" s="1228"/>
      <c r="LXJ187" s="1228"/>
      <c r="LXK187" s="1228"/>
      <c r="LXL187" s="1228"/>
      <c r="LXM187" s="1228"/>
      <c r="LXN187" s="1228"/>
      <c r="LXO187" s="1228"/>
      <c r="LXP187" s="1228"/>
      <c r="LXQ187" s="1228"/>
      <c r="LXR187" s="1228"/>
      <c r="LXS187" s="1228"/>
      <c r="LXT187" s="1228"/>
      <c r="LXU187" s="1228"/>
      <c r="LXV187" s="1228"/>
      <c r="LXW187" s="1228"/>
      <c r="LXX187" s="1228"/>
      <c r="LXY187" s="1228"/>
      <c r="LXZ187" s="1228"/>
      <c r="LYA187" s="1228"/>
      <c r="LYB187" s="1228"/>
      <c r="LYC187" s="1228"/>
      <c r="LYD187" s="1228"/>
      <c r="LYE187" s="1228"/>
      <c r="LYF187" s="1228"/>
      <c r="LYG187" s="1228"/>
      <c r="LYH187" s="1228"/>
      <c r="LYI187" s="1228"/>
      <c r="LYJ187" s="1228"/>
      <c r="LYK187" s="1228"/>
      <c r="LYL187" s="1228"/>
      <c r="LYM187" s="1228"/>
      <c r="LYN187" s="1228"/>
      <c r="LYO187" s="1228"/>
      <c r="LYP187" s="1228"/>
      <c r="LYQ187" s="1228"/>
      <c r="LYR187" s="1228"/>
      <c r="LYS187" s="1228"/>
      <c r="LYT187" s="1228"/>
      <c r="LYU187" s="1228"/>
      <c r="LYV187" s="1228"/>
      <c r="LYW187" s="1228"/>
      <c r="LYX187" s="1228"/>
      <c r="LYY187" s="1228"/>
      <c r="LYZ187" s="1228"/>
      <c r="LZA187" s="1228"/>
      <c r="LZB187" s="1228"/>
      <c r="LZC187" s="1228"/>
      <c r="LZD187" s="1228"/>
      <c r="LZE187" s="1228"/>
      <c r="LZF187" s="1228"/>
      <c r="LZG187" s="1228"/>
      <c r="LZH187" s="1228"/>
      <c r="LZI187" s="1228"/>
      <c r="LZJ187" s="1228"/>
      <c r="LZK187" s="1228"/>
      <c r="LZL187" s="1228"/>
      <c r="LZM187" s="1228"/>
      <c r="LZN187" s="1228"/>
      <c r="LZO187" s="1228"/>
      <c r="LZP187" s="1228"/>
      <c r="LZQ187" s="1228"/>
      <c r="LZR187" s="1228"/>
      <c r="LZS187" s="1228"/>
      <c r="LZT187" s="1228"/>
      <c r="LZU187" s="1228"/>
      <c r="LZV187" s="1228"/>
      <c r="LZW187" s="1228"/>
      <c r="LZX187" s="1228"/>
      <c r="LZY187" s="1228"/>
      <c r="LZZ187" s="1228"/>
      <c r="MAA187" s="1228"/>
      <c r="MAB187" s="1228"/>
      <c r="MAC187" s="1228"/>
      <c r="MAD187" s="1228"/>
      <c r="MAE187" s="1228"/>
      <c r="MAF187" s="1228"/>
      <c r="MAG187" s="1228"/>
      <c r="MAH187" s="1228"/>
      <c r="MAI187" s="1228"/>
      <c r="MAJ187" s="1228"/>
      <c r="MAK187" s="1228"/>
      <c r="MAL187" s="1228"/>
      <c r="MAM187" s="1228"/>
      <c r="MAN187" s="1228"/>
      <c r="MAO187" s="1228"/>
      <c r="MAP187" s="1228"/>
      <c r="MAQ187" s="1228"/>
      <c r="MAR187" s="1228"/>
      <c r="MAS187" s="1228"/>
      <c r="MAT187" s="1228"/>
      <c r="MAU187" s="1228"/>
      <c r="MAV187" s="1228"/>
      <c r="MAW187" s="1228"/>
      <c r="MAX187" s="1228"/>
      <c r="MAY187" s="1228"/>
      <c r="MAZ187" s="1228"/>
      <c r="MBA187" s="1228"/>
      <c r="MBB187" s="1228"/>
      <c r="MBC187" s="1228"/>
      <c r="MBD187" s="1228"/>
      <c r="MBE187" s="1228"/>
      <c r="MBF187" s="1228"/>
      <c r="MBG187" s="1228"/>
      <c r="MBH187" s="1228"/>
      <c r="MBI187" s="1228"/>
      <c r="MBJ187" s="1228"/>
      <c r="MBK187" s="1228"/>
      <c r="MBL187" s="1228"/>
      <c r="MBM187" s="1228"/>
      <c r="MBN187" s="1228"/>
      <c r="MBO187" s="1228"/>
      <c r="MBP187" s="1228"/>
      <c r="MBQ187" s="1228"/>
      <c r="MBR187" s="1228"/>
      <c r="MBS187" s="1228"/>
      <c r="MBT187" s="1228"/>
      <c r="MBU187" s="1228"/>
      <c r="MBV187" s="1228"/>
      <c r="MBW187" s="1228"/>
      <c r="MBX187" s="1228"/>
      <c r="MBY187" s="1228"/>
      <c r="MBZ187" s="1228"/>
      <c r="MCA187" s="1228"/>
      <c r="MCB187" s="1228"/>
      <c r="MCC187" s="1228"/>
      <c r="MCD187" s="1228"/>
      <c r="MCE187" s="1228"/>
      <c r="MCF187" s="1228"/>
      <c r="MCG187" s="1228"/>
      <c r="MCH187" s="1228"/>
      <c r="MCI187" s="1228"/>
      <c r="MCJ187" s="1228"/>
      <c r="MCK187" s="1228"/>
      <c r="MCL187" s="1228"/>
      <c r="MCM187" s="1228"/>
      <c r="MCN187" s="1228"/>
      <c r="MCO187" s="1228"/>
      <c r="MCP187" s="1228"/>
      <c r="MCQ187" s="1228"/>
      <c r="MCR187" s="1228"/>
      <c r="MCS187" s="1228"/>
      <c r="MCT187" s="1228"/>
      <c r="MCU187" s="1228"/>
      <c r="MCV187" s="1228"/>
      <c r="MCW187" s="1228"/>
      <c r="MCX187" s="1228"/>
      <c r="MCY187" s="1228"/>
      <c r="MCZ187" s="1228"/>
      <c r="MDA187" s="1228"/>
      <c r="MDB187" s="1228"/>
      <c r="MDC187" s="1228"/>
      <c r="MDD187" s="1228"/>
      <c r="MDE187" s="1228"/>
      <c r="MDF187" s="1228"/>
      <c r="MDG187" s="1228"/>
      <c r="MDH187" s="1228"/>
      <c r="MDI187" s="1228"/>
      <c r="MDJ187" s="1228"/>
      <c r="MDK187" s="1228"/>
      <c r="MDL187" s="1228"/>
      <c r="MDM187" s="1228"/>
      <c r="MDN187" s="1228"/>
      <c r="MDO187" s="1228"/>
      <c r="MDP187" s="1228"/>
      <c r="MDQ187" s="1228"/>
      <c r="MDR187" s="1228"/>
      <c r="MDS187" s="1228"/>
      <c r="MDT187" s="1228"/>
      <c r="MDU187" s="1228"/>
      <c r="MDV187" s="1228"/>
      <c r="MDW187" s="1228"/>
      <c r="MDX187" s="1228"/>
      <c r="MDY187" s="1228"/>
      <c r="MDZ187" s="1228"/>
      <c r="MEA187" s="1228"/>
      <c r="MEB187" s="1228"/>
      <c r="MEC187" s="1228"/>
      <c r="MED187" s="1228"/>
      <c r="MEE187" s="1228"/>
      <c r="MEF187" s="1228"/>
      <c r="MEG187" s="1228"/>
      <c r="MEH187" s="1228"/>
      <c r="MEI187" s="1228"/>
      <c r="MEJ187" s="1228"/>
      <c r="MEK187" s="1228"/>
      <c r="MEL187" s="1228"/>
      <c r="MEM187" s="1228"/>
      <c r="MEN187" s="1228"/>
      <c r="MEO187" s="1228"/>
      <c r="MEP187" s="1228"/>
      <c r="MEQ187" s="1228"/>
      <c r="MER187" s="1228"/>
      <c r="MES187" s="1228"/>
      <c r="MET187" s="1228"/>
      <c r="MEU187" s="1228"/>
      <c r="MEV187" s="1228"/>
      <c r="MEW187" s="1228"/>
      <c r="MEX187" s="1228"/>
      <c r="MEY187" s="1228"/>
      <c r="MEZ187" s="1228"/>
      <c r="MFA187" s="1228"/>
      <c r="MFB187" s="1228"/>
      <c r="MFC187" s="1228"/>
      <c r="MFD187" s="1228"/>
      <c r="MFE187" s="1228"/>
      <c r="MFF187" s="1228"/>
      <c r="MFG187" s="1228"/>
      <c r="MFH187" s="1228"/>
      <c r="MFI187" s="1228"/>
      <c r="MFJ187" s="1228"/>
      <c r="MFK187" s="1228"/>
      <c r="MFL187" s="1228"/>
      <c r="MFM187" s="1228"/>
      <c r="MFN187" s="1228"/>
      <c r="MFO187" s="1228"/>
      <c r="MFP187" s="1228"/>
      <c r="MFQ187" s="1228"/>
      <c r="MFR187" s="1228"/>
      <c r="MFS187" s="1228"/>
      <c r="MFT187" s="1228"/>
      <c r="MFU187" s="1228"/>
      <c r="MFV187" s="1228"/>
      <c r="MFW187" s="1228"/>
      <c r="MFX187" s="1228"/>
      <c r="MFY187" s="1228"/>
      <c r="MFZ187" s="1228"/>
      <c r="MGA187" s="1228"/>
      <c r="MGB187" s="1228"/>
      <c r="MGC187" s="1228"/>
      <c r="MGD187" s="1228"/>
      <c r="MGE187" s="1228"/>
      <c r="MGF187" s="1228"/>
      <c r="MGG187" s="1228"/>
      <c r="MGH187" s="1228"/>
      <c r="MGI187" s="1228"/>
      <c r="MGJ187" s="1228"/>
      <c r="MGK187" s="1228"/>
      <c r="MGL187" s="1228"/>
      <c r="MGM187" s="1228"/>
      <c r="MGN187" s="1228"/>
      <c r="MGO187" s="1228"/>
      <c r="MGP187" s="1228"/>
      <c r="MGQ187" s="1228"/>
      <c r="MGR187" s="1228"/>
      <c r="MGS187" s="1228"/>
      <c r="MGT187" s="1228"/>
      <c r="MGU187" s="1228"/>
      <c r="MGV187" s="1228"/>
      <c r="MGW187" s="1228"/>
      <c r="MGX187" s="1228"/>
      <c r="MGY187" s="1228"/>
      <c r="MGZ187" s="1228"/>
      <c r="MHA187" s="1228"/>
      <c r="MHB187" s="1228"/>
      <c r="MHC187" s="1228"/>
      <c r="MHD187" s="1228"/>
      <c r="MHE187" s="1228"/>
      <c r="MHF187" s="1228"/>
      <c r="MHG187" s="1228"/>
      <c r="MHH187" s="1228"/>
      <c r="MHI187" s="1228"/>
      <c r="MHJ187" s="1228"/>
      <c r="MHK187" s="1228"/>
      <c r="MHL187" s="1228"/>
      <c r="MHM187" s="1228"/>
      <c r="MHN187" s="1228"/>
      <c r="MHO187" s="1228"/>
      <c r="MHP187" s="1228"/>
      <c r="MHQ187" s="1228"/>
      <c r="MHR187" s="1228"/>
      <c r="MHS187" s="1228"/>
      <c r="MHT187" s="1228"/>
      <c r="MHU187" s="1228"/>
      <c r="MHV187" s="1228"/>
      <c r="MHW187" s="1228"/>
      <c r="MHX187" s="1228"/>
      <c r="MHY187" s="1228"/>
      <c r="MHZ187" s="1228"/>
      <c r="MIA187" s="1228"/>
      <c r="MIB187" s="1228"/>
      <c r="MIC187" s="1228"/>
      <c r="MID187" s="1228"/>
      <c r="MIE187" s="1228"/>
      <c r="MIF187" s="1228"/>
      <c r="MIG187" s="1228"/>
      <c r="MIH187" s="1228"/>
      <c r="MII187" s="1228"/>
      <c r="MIJ187" s="1228"/>
      <c r="MIK187" s="1228"/>
      <c r="MIL187" s="1228"/>
      <c r="MIM187" s="1228"/>
      <c r="MIN187" s="1228"/>
      <c r="MIO187" s="1228"/>
      <c r="MIP187" s="1228"/>
      <c r="MIQ187" s="1228"/>
      <c r="MIR187" s="1228"/>
      <c r="MIS187" s="1228"/>
      <c r="MIT187" s="1228"/>
      <c r="MIU187" s="1228"/>
      <c r="MIV187" s="1228"/>
      <c r="MIW187" s="1228"/>
      <c r="MIX187" s="1228"/>
      <c r="MIY187" s="1228"/>
      <c r="MIZ187" s="1228"/>
      <c r="MJA187" s="1228"/>
      <c r="MJB187" s="1228"/>
      <c r="MJC187" s="1228"/>
      <c r="MJD187" s="1228"/>
      <c r="MJE187" s="1228"/>
      <c r="MJF187" s="1228"/>
      <c r="MJG187" s="1228"/>
      <c r="MJH187" s="1228"/>
      <c r="MJI187" s="1228"/>
      <c r="MJJ187" s="1228"/>
      <c r="MJK187" s="1228"/>
      <c r="MJL187" s="1228"/>
      <c r="MJM187" s="1228"/>
      <c r="MJN187" s="1228"/>
      <c r="MJO187" s="1228"/>
      <c r="MJP187" s="1228"/>
      <c r="MJQ187" s="1228"/>
      <c r="MJR187" s="1228"/>
      <c r="MJS187" s="1228"/>
      <c r="MJT187" s="1228"/>
      <c r="MJU187" s="1228"/>
      <c r="MJV187" s="1228"/>
      <c r="MJW187" s="1228"/>
      <c r="MJX187" s="1228"/>
      <c r="MJY187" s="1228"/>
      <c r="MJZ187" s="1228"/>
      <c r="MKA187" s="1228"/>
      <c r="MKB187" s="1228"/>
      <c r="MKC187" s="1228"/>
      <c r="MKD187" s="1228"/>
      <c r="MKE187" s="1228"/>
      <c r="MKF187" s="1228"/>
      <c r="MKG187" s="1228"/>
      <c r="MKH187" s="1228"/>
      <c r="MKI187" s="1228"/>
      <c r="MKJ187" s="1228"/>
      <c r="MKK187" s="1228"/>
      <c r="MKL187" s="1228"/>
      <c r="MKM187" s="1228"/>
      <c r="MKN187" s="1228"/>
      <c r="MKO187" s="1228"/>
      <c r="MKP187" s="1228"/>
      <c r="MKQ187" s="1228"/>
      <c r="MKR187" s="1228"/>
      <c r="MKS187" s="1228"/>
      <c r="MKT187" s="1228"/>
      <c r="MKU187" s="1228"/>
      <c r="MKV187" s="1228"/>
      <c r="MKW187" s="1228"/>
      <c r="MKX187" s="1228"/>
      <c r="MKY187" s="1228"/>
      <c r="MKZ187" s="1228"/>
      <c r="MLA187" s="1228"/>
      <c r="MLB187" s="1228"/>
      <c r="MLC187" s="1228"/>
      <c r="MLD187" s="1228"/>
      <c r="MLE187" s="1228"/>
      <c r="MLF187" s="1228"/>
      <c r="MLG187" s="1228"/>
      <c r="MLH187" s="1228"/>
      <c r="MLI187" s="1228"/>
      <c r="MLJ187" s="1228"/>
      <c r="MLK187" s="1228"/>
      <c r="MLL187" s="1228"/>
      <c r="MLM187" s="1228"/>
      <c r="MLN187" s="1228"/>
      <c r="MLO187" s="1228"/>
      <c r="MLP187" s="1228"/>
      <c r="MLQ187" s="1228"/>
      <c r="MLR187" s="1228"/>
      <c r="MLS187" s="1228"/>
      <c r="MLT187" s="1228"/>
      <c r="MLU187" s="1228"/>
      <c r="MLV187" s="1228"/>
      <c r="MLW187" s="1228"/>
      <c r="MLX187" s="1228"/>
      <c r="MLY187" s="1228"/>
      <c r="MLZ187" s="1228"/>
      <c r="MMA187" s="1228"/>
      <c r="MMB187" s="1228"/>
      <c r="MMC187" s="1228"/>
      <c r="MMD187" s="1228"/>
      <c r="MME187" s="1228"/>
      <c r="MMF187" s="1228"/>
      <c r="MMG187" s="1228"/>
      <c r="MMH187" s="1228"/>
      <c r="MMI187" s="1228"/>
      <c r="MMJ187" s="1228"/>
      <c r="MMK187" s="1228"/>
      <c r="MML187" s="1228"/>
      <c r="MMM187" s="1228"/>
      <c r="MMN187" s="1228"/>
      <c r="MMO187" s="1228"/>
      <c r="MMP187" s="1228"/>
      <c r="MMQ187" s="1228"/>
      <c r="MMR187" s="1228"/>
      <c r="MMS187" s="1228"/>
      <c r="MMT187" s="1228"/>
      <c r="MMU187" s="1228"/>
      <c r="MMV187" s="1228"/>
      <c r="MMW187" s="1228"/>
      <c r="MMX187" s="1228"/>
      <c r="MMY187" s="1228"/>
      <c r="MMZ187" s="1228"/>
      <c r="MNA187" s="1228"/>
      <c r="MNB187" s="1228"/>
      <c r="MNC187" s="1228"/>
      <c r="MND187" s="1228"/>
      <c r="MNE187" s="1228"/>
      <c r="MNF187" s="1228"/>
      <c r="MNG187" s="1228"/>
      <c r="MNH187" s="1228"/>
      <c r="MNI187" s="1228"/>
      <c r="MNJ187" s="1228"/>
      <c r="MNK187" s="1228"/>
      <c r="MNL187" s="1228"/>
      <c r="MNM187" s="1228"/>
      <c r="MNN187" s="1228"/>
      <c r="MNO187" s="1228"/>
      <c r="MNP187" s="1228"/>
      <c r="MNQ187" s="1228"/>
      <c r="MNR187" s="1228"/>
      <c r="MNS187" s="1228"/>
      <c r="MNT187" s="1228"/>
      <c r="MNU187" s="1228"/>
      <c r="MNV187" s="1228"/>
      <c r="MNW187" s="1228"/>
      <c r="MNX187" s="1228"/>
      <c r="MNY187" s="1228"/>
      <c r="MNZ187" s="1228"/>
      <c r="MOA187" s="1228"/>
      <c r="MOB187" s="1228"/>
      <c r="MOC187" s="1228"/>
      <c r="MOD187" s="1228"/>
      <c r="MOE187" s="1228"/>
      <c r="MOF187" s="1228"/>
      <c r="MOG187" s="1228"/>
      <c r="MOH187" s="1228"/>
      <c r="MOI187" s="1228"/>
      <c r="MOJ187" s="1228"/>
      <c r="MOK187" s="1228"/>
      <c r="MOL187" s="1228"/>
      <c r="MOM187" s="1228"/>
      <c r="MON187" s="1228"/>
      <c r="MOO187" s="1228"/>
      <c r="MOP187" s="1228"/>
      <c r="MOQ187" s="1228"/>
      <c r="MOR187" s="1228"/>
      <c r="MOS187" s="1228"/>
      <c r="MOT187" s="1228"/>
      <c r="MOU187" s="1228"/>
      <c r="MOV187" s="1228"/>
      <c r="MOW187" s="1228"/>
      <c r="MOX187" s="1228"/>
      <c r="MOY187" s="1228"/>
      <c r="MOZ187" s="1228"/>
      <c r="MPA187" s="1228"/>
      <c r="MPB187" s="1228"/>
      <c r="MPC187" s="1228"/>
      <c r="MPD187" s="1228"/>
      <c r="MPE187" s="1228"/>
      <c r="MPF187" s="1228"/>
      <c r="MPG187" s="1228"/>
      <c r="MPH187" s="1228"/>
      <c r="MPI187" s="1228"/>
      <c r="MPJ187" s="1228"/>
      <c r="MPK187" s="1228"/>
      <c r="MPL187" s="1228"/>
      <c r="MPM187" s="1228"/>
      <c r="MPN187" s="1228"/>
      <c r="MPO187" s="1228"/>
      <c r="MPP187" s="1228"/>
      <c r="MPQ187" s="1228"/>
      <c r="MPR187" s="1228"/>
      <c r="MPS187" s="1228"/>
      <c r="MPT187" s="1228"/>
      <c r="MPU187" s="1228"/>
      <c r="MPV187" s="1228"/>
      <c r="MPW187" s="1228"/>
      <c r="MPX187" s="1228"/>
      <c r="MPY187" s="1228"/>
      <c r="MPZ187" s="1228"/>
      <c r="MQA187" s="1228"/>
      <c r="MQB187" s="1228"/>
      <c r="MQC187" s="1228"/>
      <c r="MQD187" s="1228"/>
      <c r="MQE187" s="1228"/>
      <c r="MQF187" s="1228"/>
      <c r="MQG187" s="1228"/>
      <c r="MQH187" s="1228"/>
      <c r="MQI187" s="1228"/>
      <c r="MQJ187" s="1228"/>
      <c r="MQK187" s="1228"/>
      <c r="MQL187" s="1228"/>
      <c r="MQM187" s="1228"/>
      <c r="MQN187" s="1228"/>
      <c r="MQO187" s="1228"/>
      <c r="MQP187" s="1228"/>
      <c r="MQQ187" s="1228"/>
      <c r="MQR187" s="1228"/>
      <c r="MQS187" s="1228"/>
      <c r="MQT187" s="1228"/>
      <c r="MQU187" s="1228"/>
      <c r="MQV187" s="1228"/>
      <c r="MQW187" s="1228"/>
      <c r="MQX187" s="1228"/>
      <c r="MQY187" s="1228"/>
      <c r="MQZ187" s="1228"/>
      <c r="MRA187" s="1228"/>
      <c r="MRB187" s="1228"/>
      <c r="MRC187" s="1228"/>
      <c r="MRD187" s="1228"/>
      <c r="MRE187" s="1228"/>
      <c r="MRF187" s="1228"/>
      <c r="MRG187" s="1228"/>
      <c r="MRH187" s="1228"/>
      <c r="MRI187" s="1228"/>
      <c r="MRJ187" s="1228"/>
      <c r="MRK187" s="1228"/>
      <c r="MRL187" s="1228"/>
      <c r="MRM187" s="1228"/>
      <c r="MRN187" s="1228"/>
      <c r="MRO187" s="1228"/>
      <c r="MRP187" s="1228"/>
      <c r="MRQ187" s="1228"/>
      <c r="MRR187" s="1228"/>
      <c r="MRS187" s="1228"/>
      <c r="MRT187" s="1228"/>
      <c r="MRU187" s="1228"/>
      <c r="MRV187" s="1228"/>
      <c r="MRW187" s="1228"/>
      <c r="MRX187" s="1228"/>
      <c r="MRY187" s="1228"/>
      <c r="MRZ187" s="1228"/>
      <c r="MSA187" s="1228"/>
      <c r="MSB187" s="1228"/>
      <c r="MSC187" s="1228"/>
      <c r="MSD187" s="1228"/>
      <c r="MSE187" s="1228"/>
      <c r="MSF187" s="1228"/>
      <c r="MSG187" s="1228"/>
      <c r="MSH187" s="1228"/>
      <c r="MSI187" s="1228"/>
      <c r="MSJ187" s="1228"/>
      <c r="MSK187" s="1228"/>
      <c r="MSL187" s="1228"/>
      <c r="MSM187" s="1228"/>
      <c r="MSN187" s="1228"/>
      <c r="MSO187" s="1228"/>
      <c r="MSP187" s="1228"/>
      <c r="MSQ187" s="1228"/>
      <c r="MSR187" s="1228"/>
      <c r="MSS187" s="1228"/>
      <c r="MST187" s="1228"/>
      <c r="MSU187" s="1228"/>
      <c r="MSV187" s="1228"/>
      <c r="MSW187" s="1228"/>
      <c r="MSX187" s="1228"/>
      <c r="MSY187" s="1228"/>
      <c r="MSZ187" s="1228"/>
      <c r="MTA187" s="1228"/>
      <c r="MTB187" s="1228"/>
      <c r="MTC187" s="1228"/>
      <c r="MTD187" s="1228"/>
      <c r="MTE187" s="1228"/>
      <c r="MTF187" s="1228"/>
      <c r="MTG187" s="1228"/>
      <c r="MTH187" s="1228"/>
      <c r="MTI187" s="1228"/>
      <c r="MTJ187" s="1228"/>
      <c r="MTK187" s="1228"/>
      <c r="MTL187" s="1228"/>
      <c r="MTM187" s="1228"/>
      <c r="MTN187" s="1228"/>
      <c r="MTO187" s="1228"/>
      <c r="MTP187" s="1228"/>
      <c r="MTQ187" s="1228"/>
      <c r="MTR187" s="1228"/>
      <c r="MTS187" s="1228"/>
      <c r="MTT187" s="1228"/>
      <c r="MTU187" s="1228"/>
      <c r="MTV187" s="1228"/>
      <c r="MTW187" s="1228"/>
      <c r="MTX187" s="1228"/>
      <c r="MTY187" s="1228"/>
      <c r="MTZ187" s="1228"/>
      <c r="MUA187" s="1228"/>
      <c r="MUB187" s="1228"/>
      <c r="MUC187" s="1228"/>
      <c r="MUD187" s="1228"/>
      <c r="MUE187" s="1228"/>
      <c r="MUF187" s="1228"/>
      <c r="MUG187" s="1228"/>
      <c r="MUH187" s="1228"/>
      <c r="MUI187" s="1228"/>
      <c r="MUJ187" s="1228"/>
      <c r="MUK187" s="1228"/>
      <c r="MUL187" s="1228"/>
      <c r="MUM187" s="1228"/>
      <c r="MUN187" s="1228"/>
      <c r="MUO187" s="1228"/>
      <c r="MUP187" s="1228"/>
      <c r="MUQ187" s="1228"/>
      <c r="MUR187" s="1228"/>
      <c r="MUS187" s="1228"/>
      <c r="MUT187" s="1228"/>
      <c r="MUU187" s="1228"/>
      <c r="MUV187" s="1228"/>
      <c r="MUW187" s="1228"/>
      <c r="MUX187" s="1228"/>
      <c r="MUY187" s="1228"/>
      <c r="MUZ187" s="1228"/>
      <c r="MVA187" s="1228"/>
      <c r="MVB187" s="1228"/>
      <c r="MVC187" s="1228"/>
      <c r="MVD187" s="1228"/>
      <c r="MVE187" s="1228"/>
      <c r="MVF187" s="1228"/>
      <c r="MVG187" s="1228"/>
      <c r="MVH187" s="1228"/>
      <c r="MVI187" s="1228"/>
      <c r="MVJ187" s="1228"/>
      <c r="MVK187" s="1228"/>
      <c r="MVL187" s="1228"/>
      <c r="MVM187" s="1228"/>
      <c r="MVN187" s="1228"/>
      <c r="MVO187" s="1228"/>
      <c r="MVP187" s="1228"/>
      <c r="MVQ187" s="1228"/>
      <c r="MVR187" s="1228"/>
      <c r="MVS187" s="1228"/>
      <c r="MVT187" s="1228"/>
      <c r="MVU187" s="1228"/>
      <c r="MVV187" s="1228"/>
      <c r="MVW187" s="1228"/>
      <c r="MVX187" s="1228"/>
      <c r="MVY187" s="1228"/>
      <c r="MVZ187" s="1228"/>
      <c r="MWA187" s="1228"/>
      <c r="MWB187" s="1228"/>
      <c r="MWC187" s="1228"/>
      <c r="MWD187" s="1228"/>
      <c r="MWE187" s="1228"/>
      <c r="MWF187" s="1228"/>
      <c r="MWG187" s="1228"/>
      <c r="MWH187" s="1228"/>
      <c r="MWI187" s="1228"/>
      <c r="MWJ187" s="1228"/>
      <c r="MWK187" s="1228"/>
      <c r="MWL187" s="1228"/>
      <c r="MWM187" s="1228"/>
      <c r="MWN187" s="1228"/>
      <c r="MWO187" s="1228"/>
      <c r="MWP187" s="1228"/>
      <c r="MWQ187" s="1228"/>
      <c r="MWR187" s="1228"/>
      <c r="MWS187" s="1228"/>
      <c r="MWT187" s="1228"/>
      <c r="MWU187" s="1228"/>
      <c r="MWV187" s="1228"/>
      <c r="MWW187" s="1228"/>
      <c r="MWX187" s="1228"/>
      <c r="MWY187" s="1228"/>
      <c r="MWZ187" s="1228"/>
      <c r="MXA187" s="1228"/>
      <c r="MXB187" s="1228"/>
      <c r="MXC187" s="1228"/>
      <c r="MXD187" s="1228"/>
      <c r="MXE187" s="1228"/>
      <c r="MXF187" s="1228"/>
      <c r="MXG187" s="1228"/>
      <c r="MXH187" s="1228"/>
      <c r="MXI187" s="1228"/>
      <c r="MXJ187" s="1228"/>
      <c r="MXK187" s="1228"/>
      <c r="MXL187" s="1228"/>
      <c r="MXM187" s="1228"/>
      <c r="MXN187" s="1228"/>
      <c r="MXO187" s="1228"/>
      <c r="MXP187" s="1228"/>
      <c r="MXQ187" s="1228"/>
      <c r="MXR187" s="1228"/>
      <c r="MXS187" s="1228"/>
      <c r="MXT187" s="1228"/>
      <c r="MXU187" s="1228"/>
      <c r="MXV187" s="1228"/>
      <c r="MXW187" s="1228"/>
      <c r="MXX187" s="1228"/>
      <c r="MXY187" s="1228"/>
      <c r="MXZ187" s="1228"/>
      <c r="MYA187" s="1228"/>
      <c r="MYB187" s="1228"/>
      <c r="MYC187" s="1228"/>
      <c r="MYD187" s="1228"/>
      <c r="MYE187" s="1228"/>
      <c r="MYF187" s="1228"/>
      <c r="MYG187" s="1228"/>
      <c r="MYH187" s="1228"/>
      <c r="MYI187" s="1228"/>
      <c r="MYJ187" s="1228"/>
      <c r="MYK187" s="1228"/>
      <c r="MYL187" s="1228"/>
      <c r="MYM187" s="1228"/>
      <c r="MYN187" s="1228"/>
      <c r="MYO187" s="1228"/>
      <c r="MYP187" s="1228"/>
      <c r="MYQ187" s="1228"/>
      <c r="MYR187" s="1228"/>
      <c r="MYS187" s="1228"/>
      <c r="MYT187" s="1228"/>
      <c r="MYU187" s="1228"/>
      <c r="MYV187" s="1228"/>
      <c r="MYW187" s="1228"/>
      <c r="MYX187" s="1228"/>
      <c r="MYY187" s="1228"/>
      <c r="MYZ187" s="1228"/>
      <c r="MZA187" s="1228"/>
      <c r="MZB187" s="1228"/>
      <c r="MZC187" s="1228"/>
      <c r="MZD187" s="1228"/>
      <c r="MZE187" s="1228"/>
      <c r="MZF187" s="1228"/>
      <c r="MZG187" s="1228"/>
      <c r="MZH187" s="1228"/>
      <c r="MZI187" s="1228"/>
      <c r="MZJ187" s="1228"/>
      <c r="MZK187" s="1228"/>
      <c r="MZL187" s="1228"/>
      <c r="MZM187" s="1228"/>
      <c r="MZN187" s="1228"/>
      <c r="MZO187" s="1228"/>
      <c r="MZP187" s="1228"/>
      <c r="MZQ187" s="1228"/>
      <c r="MZR187" s="1228"/>
      <c r="MZS187" s="1228"/>
      <c r="MZT187" s="1228"/>
      <c r="MZU187" s="1228"/>
      <c r="MZV187" s="1228"/>
      <c r="MZW187" s="1228"/>
      <c r="MZX187" s="1228"/>
      <c r="MZY187" s="1228"/>
      <c r="MZZ187" s="1228"/>
      <c r="NAA187" s="1228"/>
      <c r="NAB187" s="1228"/>
      <c r="NAC187" s="1228"/>
      <c r="NAD187" s="1228"/>
      <c r="NAE187" s="1228"/>
      <c r="NAF187" s="1228"/>
      <c r="NAG187" s="1228"/>
      <c r="NAH187" s="1228"/>
      <c r="NAI187" s="1228"/>
      <c r="NAJ187" s="1228"/>
      <c r="NAK187" s="1228"/>
      <c r="NAL187" s="1228"/>
      <c r="NAM187" s="1228"/>
      <c r="NAN187" s="1228"/>
      <c r="NAO187" s="1228"/>
      <c r="NAP187" s="1228"/>
      <c r="NAQ187" s="1228"/>
      <c r="NAR187" s="1228"/>
      <c r="NAS187" s="1228"/>
      <c r="NAT187" s="1228"/>
      <c r="NAU187" s="1228"/>
      <c r="NAV187" s="1228"/>
      <c r="NAW187" s="1228"/>
      <c r="NAX187" s="1228"/>
      <c r="NAY187" s="1228"/>
      <c r="NAZ187" s="1228"/>
      <c r="NBA187" s="1228"/>
      <c r="NBB187" s="1228"/>
      <c r="NBC187" s="1228"/>
      <c r="NBD187" s="1228"/>
      <c r="NBE187" s="1228"/>
      <c r="NBF187" s="1228"/>
      <c r="NBG187" s="1228"/>
      <c r="NBH187" s="1228"/>
      <c r="NBI187" s="1228"/>
      <c r="NBJ187" s="1228"/>
      <c r="NBK187" s="1228"/>
      <c r="NBL187" s="1228"/>
      <c r="NBM187" s="1228"/>
      <c r="NBN187" s="1228"/>
      <c r="NBO187" s="1228"/>
      <c r="NBP187" s="1228"/>
      <c r="NBQ187" s="1228"/>
      <c r="NBR187" s="1228"/>
      <c r="NBS187" s="1228"/>
      <c r="NBT187" s="1228"/>
      <c r="NBU187" s="1228"/>
      <c r="NBV187" s="1228"/>
      <c r="NBW187" s="1228"/>
      <c r="NBX187" s="1228"/>
      <c r="NBY187" s="1228"/>
      <c r="NBZ187" s="1228"/>
      <c r="NCA187" s="1228"/>
      <c r="NCB187" s="1228"/>
      <c r="NCC187" s="1228"/>
      <c r="NCD187" s="1228"/>
      <c r="NCE187" s="1228"/>
      <c r="NCF187" s="1228"/>
      <c r="NCG187" s="1228"/>
      <c r="NCH187" s="1228"/>
      <c r="NCI187" s="1228"/>
      <c r="NCJ187" s="1228"/>
      <c r="NCK187" s="1228"/>
      <c r="NCL187" s="1228"/>
      <c r="NCM187" s="1228"/>
      <c r="NCN187" s="1228"/>
      <c r="NCO187" s="1228"/>
      <c r="NCP187" s="1228"/>
      <c r="NCQ187" s="1228"/>
      <c r="NCR187" s="1228"/>
      <c r="NCS187" s="1228"/>
      <c r="NCT187" s="1228"/>
      <c r="NCU187" s="1228"/>
      <c r="NCV187" s="1228"/>
      <c r="NCW187" s="1228"/>
      <c r="NCX187" s="1228"/>
      <c r="NCY187" s="1228"/>
      <c r="NCZ187" s="1228"/>
      <c r="NDA187" s="1228"/>
      <c r="NDB187" s="1228"/>
      <c r="NDC187" s="1228"/>
      <c r="NDD187" s="1228"/>
      <c r="NDE187" s="1228"/>
      <c r="NDF187" s="1228"/>
      <c r="NDG187" s="1228"/>
      <c r="NDH187" s="1228"/>
      <c r="NDI187" s="1228"/>
      <c r="NDJ187" s="1228"/>
      <c r="NDK187" s="1228"/>
      <c r="NDL187" s="1228"/>
      <c r="NDM187" s="1228"/>
      <c r="NDN187" s="1228"/>
      <c r="NDO187" s="1228"/>
      <c r="NDP187" s="1228"/>
      <c r="NDQ187" s="1228"/>
      <c r="NDR187" s="1228"/>
      <c r="NDS187" s="1228"/>
      <c r="NDT187" s="1228"/>
      <c r="NDU187" s="1228"/>
      <c r="NDV187" s="1228"/>
      <c r="NDW187" s="1228"/>
      <c r="NDX187" s="1228"/>
      <c r="NDY187" s="1228"/>
      <c r="NDZ187" s="1228"/>
      <c r="NEA187" s="1228"/>
      <c r="NEB187" s="1228"/>
      <c r="NEC187" s="1228"/>
      <c r="NED187" s="1228"/>
      <c r="NEE187" s="1228"/>
      <c r="NEF187" s="1228"/>
      <c r="NEG187" s="1228"/>
      <c r="NEH187" s="1228"/>
      <c r="NEI187" s="1228"/>
      <c r="NEJ187" s="1228"/>
      <c r="NEK187" s="1228"/>
      <c r="NEL187" s="1228"/>
      <c r="NEM187" s="1228"/>
      <c r="NEN187" s="1228"/>
      <c r="NEO187" s="1228"/>
      <c r="NEP187" s="1228"/>
      <c r="NEQ187" s="1228"/>
      <c r="NER187" s="1228"/>
      <c r="NES187" s="1228"/>
      <c r="NET187" s="1228"/>
      <c r="NEU187" s="1228"/>
      <c r="NEV187" s="1228"/>
      <c r="NEW187" s="1228"/>
      <c r="NEX187" s="1228"/>
      <c r="NEY187" s="1228"/>
      <c r="NEZ187" s="1228"/>
      <c r="NFA187" s="1228"/>
      <c r="NFB187" s="1228"/>
      <c r="NFC187" s="1228"/>
      <c r="NFD187" s="1228"/>
      <c r="NFE187" s="1228"/>
      <c r="NFF187" s="1228"/>
      <c r="NFG187" s="1228"/>
      <c r="NFH187" s="1228"/>
      <c r="NFI187" s="1228"/>
      <c r="NFJ187" s="1228"/>
      <c r="NFK187" s="1228"/>
      <c r="NFL187" s="1228"/>
      <c r="NFM187" s="1228"/>
      <c r="NFN187" s="1228"/>
      <c r="NFO187" s="1228"/>
      <c r="NFP187" s="1228"/>
      <c r="NFQ187" s="1228"/>
      <c r="NFR187" s="1228"/>
      <c r="NFS187" s="1228"/>
      <c r="NFT187" s="1228"/>
      <c r="NFU187" s="1228"/>
      <c r="NFV187" s="1228"/>
      <c r="NFW187" s="1228"/>
      <c r="NFX187" s="1228"/>
      <c r="NFY187" s="1228"/>
      <c r="NFZ187" s="1228"/>
      <c r="NGA187" s="1228"/>
      <c r="NGB187" s="1228"/>
      <c r="NGC187" s="1228"/>
      <c r="NGD187" s="1228"/>
      <c r="NGE187" s="1228"/>
      <c r="NGF187" s="1228"/>
      <c r="NGG187" s="1228"/>
      <c r="NGH187" s="1228"/>
      <c r="NGI187" s="1228"/>
      <c r="NGJ187" s="1228"/>
      <c r="NGK187" s="1228"/>
      <c r="NGL187" s="1228"/>
      <c r="NGM187" s="1228"/>
      <c r="NGN187" s="1228"/>
      <c r="NGO187" s="1228"/>
      <c r="NGP187" s="1228"/>
      <c r="NGQ187" s="1228"/>
      <c r="NGR187" s="1228"/>
      <c r="NGS187" s="1228"/>
      <c r="NGT187" s="1228"/>
      <c r="NGU187" s="1228"/>
      <c r="NGV187" s="1228"/>
      <c r="NGW187" s="1228"/>
      <c r="NGX187" s="1228"/>
      <c r="NGY187" s="1228"/>
      <c r="NGZ187" s="1228"/>
      <c r="NHA187" s="1228"/>
      <c r="NHB187" s="1228"/>
      <c r="NHC187" s="1228"/>
      <c r="NHD187" s="1228"/>
      <c r="NHE187" s="1228"/>
      <c r="NHF187" s="1228"/>
      <c r="NHG187" s="1228"/>
      <c r="NHH187" s="1228"/>
      <c r="NHI187" s="1228"/>
      <c r="NHJ187" s="1228"/>
      <c r="NHK187" s="1228"/>
      <c r="NHL187" s="1228"/>
      <c r="NHM187" s="1228"/>
      <c r="NHN187" s="1228"/>
      <c r="NHO187" s="1228"/>
      <c r="NHP187" s="1228"/>
      <c r="NHQ187" s="1228"/>
      <c r="NHR187" s="1228"/>
      <c r="NHS187" s="1228"/>
      <c r="NHT187" s="1228"/>
      <c r="NHU187" s="1228"/>
      <c r="NHV187" s="1228"/>
      <c r="NHW187" s="1228"/>
      <c r="NHX187" s="1228"/>
      <c r="NHY187" s="1228"/>
      <c r="NHZ187" s="1228"/>
      <c r="NIA187" s="1228"/>
      <c r="NIB187" s="1228"/>
      <c r="NIC187" s="1228"/>
      <c r="NID187" s="1228"/>
      <c r="NIE187" s="1228"/>
      <c r="NIF187" s="1228"/>
      <c r="NIG187" s="1228"/>
      <c r="NIH187" s="1228"/>
      <c r="NII187" s="1228"/>
      <c r="NIJ187" s="1228"/>
      <c r="NIK187" s="1228"/>
      <c r="NIL187" s="1228"/>
      <c r="NIM187" s="1228"/>
      <c r="NIN187" s="1228"/>
      <c r="NIO187" s="1228"/>
      <c r="NIP187" s="1228"/>
      <c r="NIQ187" s="1228"/>
      <c r="NIR187" s="1228"/>
      <c r="NIS187" s="1228"/>
      <c r="NIT187" s="1228"/>
      <c r="NIU187" s="1228"/>
      <c r="NIV187" s="1228"/>
      <c r="NIW187" s="1228"/>
      <c r="NIX187" s="1228"/>
      <c r="NIY187" s="1228"/>
      <c r="NIZ187" s="1228"/>
      <c r="NJA187" s="1228"/>
      <c r="NJB187" s="1228"/>
      <c r="NJC187" s="1228"/>
      <c r="NJD187" s="1228"/>
      <c r="NJE187" s="1228"/>
      <c r="NJF187" s="1228"/>
      <c r="NJG187" s="1228"/>
      <c r="NJH187" s="1228"/>
      <c r="NJI187" s="1228"/>
      <c r="NJJ187" s="1228"/>
      <c r="NJK187" s="1228"/>
      <c r="NJL187" s="1228"/>
      <c r="NJM187" s="1228"/>
      <c r="NJN187" s="1228"/>
      <c r="NJO187" s="1228"/>
      <c r="NJP187" s="1228"/>
      <c r="NJQ187" s="1228"/>
      <c r="NJR187" s="1228"/>
      <c r="NJS187" s="1228"/>
      <c r="NJT187" s="1228"/>
      <c r="NJU187" s="1228"/>
      <c r="NJV187" s="1228"/>
      <c r="NJW187" s="1228"/>
      <c r="NJX187" s="1228"/>
      <c r="NJY187" s="1228"/>
      <c r="NJZ187" s="1228"/>
      <c r="NKA187" s="1228"/>
      <c r="NKB187" s="1228"/>
      <c r="NKC187" s="1228"/>
      <c r="NKD187" s="1228"/>
      <c r="NKE187" s="1228"/>
      <c r="NKF187" s="1228"/>
      <c r="NKG187" s="1228"/>
      <c r="NKH187" s="1228"/>
      <c r="NKI187" s="1228"/>
      <c r="NKJ187" s="1228"/>
      <c r="NKK187" s="1228"/>
      <c r="NKL187" s="1228"/>
      <c r="NKM187" s="1228"/>
      <c r="NKN187" s="1228"/>
      <c r="NKO187" s="1228"/>
      <c r="NKP187" s="1228"/>
      <c r="NKQ187" s="1228"/>
      <c r="NKR187" s="1228"/>
      <c r="NKS187" s="1228"/>
      <c r="NKT187" s="1228"/>
      <c r="NKU187" s="1228"/>
      <c r="NKV187" s="1228"/>
      <c r="NKW187" s="1228"/>
      <c r="NKX187" s="1228"/>
      <c r="NKY187" s="1228"/>
      <c r="NKZ187" s="1228"/>
      <c r="NLA187" s="1228"/>
      <c r="NLB187" s="1228"/>
      <c r="NLC187" s="1228"/>
      <c r="NLD187" s="1228"/>
      <c r="NLE187" s="1228"/>
      <c r="NLF187" s="1228"/>
      <c r="NLG187" s="1228"/>
      <c r="NLH187" s="1228"/>
      <c r="NLI187" s="1228"/>
      <c r="NLJ187" s="1228"/>
      <c r="NLK187" s="1228"/>
      <c r="NLL187" s="1228"/>
      <c r="NLM187" s="1228"/>
      <c r="NLN187" s="1228"/>
      <c r="NLO187" s="1228"/>
      <c r="NLP187" s="1228"/>
      <c r="NLQ187" s="1228"/>
      <c r="NLR187" s="1228"/>
      <c r="NLS187" s="1228"/>
      <c r="NLT187" s="1228"/>
      <c r="NLU187" s="1228"/>
      <c r="NLV187" s="1228"/>
      <c r="NLW187" s="1228"/>
      <c r="NLX187" s="1228"/>
      <c r="NLY187" s="1228"/>
      <c r="NLZ187" s="1228"/>
      <c r="NMA187" s="1228"/>
      <c r="NMB187" s="1228"/>
      <c r="NMC187" s="1228"/>
      <c r="NMD187" s="1228"/>
      <c r="NME187" s="1228"/>
      <c r="NMF187" s="1228"/>
      <c r="NMG187" s="1228"/>
      <c r="NMH187" s="1228"/>
      <c r="NMI187" s="1228"/>
      <c r="NMJ187" s="1228"/>
      <c r="NMK187" s="1228"/>
      <c r="NML187" s="1228"/>
      <c r="NMM187" s="1228"/>
      <c r="NMN187" s="1228"/>
      <c r="NMO187" s="1228"/>
      <c r="NMP187" s="1228"/>
      <c r="NMQ187" s="1228"/>
      <c r="NMR187" s="1228"/>
      <c r="NMS187" s="1228"/>
      <c r="NMT187" s="1228"/>
      <c r="NMU187" s="1228"/>
      <c r="NMV187" s="1228"/>
      <c r="NMW187" s="1228"/>
      <c r="NMX187" s="1228"/>
      <c r="NMY187" s="1228"/>
      <c r="NMZ187" s="1228"/>
      <c r="NNA187" s="1228"/>
      <c r="NNB187" s="1228"/>
      <c r="NNC187" s="1228"/>
      <c r="NND187" s="1228"/>
      <c r="NNE187" s="1228"/>
      <c r="NNF187" s="1228"/>
      <c r="NNG187" s="1228"/>
      <c r="NNH187" s="1228"/>
      <c r="NNI187" s="1228"/>
      <c r="NNJ187" s="1228"/>
      <c r="NNK187" s="1228"/>
      <c r="NNL187" s="1228"/>
      <c r="NNM187" s="1228"/>
      <c r="NNN187" s="1228"/>
      <c r="NNO187" s="1228"/>
      <c r="NNP187" s="1228"/>
      <c r="NNQ187" s="1228"/>
      <c r="NNR187" s="1228"/>
      <c r="NNS187" s="1228"/>
      <c r="NNT187" s="1228"/>
      <c r="NNU187" s="1228"/>
      <c r="NNV187" s="1228"/>
      <c r="NNW187" s="1228"/>
      <c r="NNX187" s="1228"/>
      <c r="NNY187" s="1228"/>
      <c r="NNZ187" s="1228"/>
      <c r="NOA187" s="1228"/>
      <c r="NOB187" s="1228"/>
      <c r="NOC187" s="1228"/>
      <c r="NOD187" s="1228"/>
      <c r="NOE187" s="1228"/>
      <c r="NOF187" s="1228"/>
      <c r="NOG187" s="1228"/>
      <c r="NOH187" s="1228"/>
      <c r="NOI187" s="1228"/>
      <c r="NOJ187" s="1228"/>
      <c r="NOK187" s="1228"/>
      <c r="NOL187" s="1228"/>
      <c r="NOM187" s="1228"/>
      <c r="NON187" s="1228"/>
      <c r="NOO187" s="1228"/>
      <c r="NOP187" s="1228"/>
      <c r="NOQ187" s="1228"/>
      <c r="NOR187" s="1228"/>
      <c r="NOS187" s="1228"/>
      <c r="NOT187" s="1228"/>
      <c r="NOU187" s="1228"/>
      <c r="NOV187" s="1228"/>
      <c r="NOW187" s="1228"/>
      <c r="NOX187" s="1228"/>
      <c r="NOY187" s="1228"/>
      <c r="NOZ187" s="1228"/>
      <c r="NPA187" s="1228"/>
      <c r="NPB187" s="1228"/>
      <c r="NPC187" s="1228"/>
      <c r="NPD187" s="1228"/>
      <c r="NPE187" s="1228"/>
      <c r="NPF187" s="1228"/>
      <c r="NPG187" s="1228"/>
      <c r="NPH187" s="1228"/>
      <c r="NPI187" s="1228"/>
      <c r="NPJ187" s="1228"/>
      <c r="NPK187" s="1228"/>
      <c r="NPL187" s="1228"/>
      <c r="NPM187" s="1228"/>
      <c r="NPN187" s="1228"/>
      <c r="NPO187" s="1228"/>
      <c r="NPP187" s="1228"/>
      <c r="NPQ187" s="1228"/>
      <c r="NPR187" s="1228"/>
      <c r="NPS187" s="1228"/>
      <c r="NPT187" s="1228"/>
      <c r="NPU187" s="1228"/>
      <c r="NPV187" s="1228"/>
      <c r="NPW187" s="1228"/>
      <c r="NPX187" s="1228"/>
      <c r="NPY187" s="1228"/>
      <c r="NPZ187" s="1228"/>
      <c r="NQA187" s="1228"/>
      <c r="NQB187" s="1228"/>
      <c r="NQC187" s="1228"/>
      <c r="NQD187" s="1228"/>
      <c r="NQE187" s="1228"/>
      <c r="NQF187" s="1228"/>
      <c r="NQG187" s="1228"/>
      <c r="NQH187" s="1228"/>
      <c r="NQI187" s="1228"/>
      <c r="NQJ187" s="1228"/>
      <c r="NQK187" s="1228"/>
      <c r="NQL187" s="1228"/>
      <c r="NQM187" s="1228"/>
      <c r="NQN187" s="1228"/>
      <c r="NQO187" s="1228"/>
      <c r="NQP187" s="1228"/>
      <c r="NQQ187" s="1228"/>
      <c r="NQR187" s="1228"/>
      <c r="NQS187" s="1228"/>
      <c r="NQT187" s="1228"/>
      <c r="NQU187" s="1228"/>
      <c r="NQV187" s="1228"/>
      <c r="NQW187" s="1228"/>
      <c r="NQX187" s="1228"/>
      <c r="NQY187" s="1228"/>
      <c r="NQZ187" s="1228"/>
      <c r="NRA187" s="1228"/>
      <c r="NRB187" s="1228"/>
      <c r="NRC187" s="1228"/>
      <c r="NRD187" s="1228"/>
      <c r="NRE187" s="1228"/>
      <c r="NRF187" s="1228"/>
      <c r="NRG187" s="1228"/>
      <c r="NRH187" s="1228"/>
      <c r="NRI187" s="1228"/>
      <c r="NRJ187" s="1228"/>
      <c r="NRK187" s="1228"/>
      <c r="NRL187" s="1228"/>
      <c r="NRM187" s="1228"/>
      <c r="NRN187" s="1228"/>
      <c r="NRO187" s="1228"/>
      <c r="NRP187" s="1228"/>
      <c r="NRQ187" s="1228"/>
      <c r="NRR187" s="1228"/>
      <c r="NRS187" s="1228"/>
      <c r="NRT187" s="1228"/>
      <c r="NRU187" s="1228"/>
      <c r="NRV187" s="1228"/>
      <c r="NRW187" s="1228"/>
      <c r="NRX187" s="1228"/>
      <c r="NRY187" s="1228"/>
      <c r="NRZ187" s="1228"/>
      <c r="NSA187" s="1228"/>
      <c r="NSB187" s="1228"/>
      <c r="NSC187" s="1228"/>
      <c r="NSD187" s="1228"/>
      <c r="NSE187" s="1228"/>
      <c r="NSF187" s="1228"/>
      <c r="NSG187" s="1228"/>
      <c r="NSH187" s="1228"/>
      <c r="NSI187" s="1228"/>
      <c r="NSJ187" s="1228"/>
      <c r="NSK187" s="1228"/>
      <c r="NSL187" s="1228"/>
      <c r="NSM187" s="1228"/>
      <c r="NSN187" s="1228"/>
      <c r="NSO187" s="1228"/>
      <c r="NSP187" s="1228"/>
      <c r="NSQ187" s="1228"/>
      <c r="NSR187" s="1228"/>
      <c r="NSS187" s="1228"/>
      <c r="NST187" s="1228"/>
      <c r="NSU187" s="1228"/>
      <c r="NSV187" s="1228"/>
      <c r="NSW187" s="1228"/>
      <c r="NSX187" s="1228"/>
      <c r="NSY187" s="1228"/>
      <c r="NSZ187" s="1228"/>
      <c r="NTA187" s="1228"/>
      <c r="NTB187" s="1228"/>
      <c r="NTC187" s="1228"/>
      <c r="NTD187" s="1228"/>
      <c r="NTE187" s="1228"/>
      <c r="NTF187" s="1228"/>
      <c r="NTG187" s="1228"/>
      <c r="NTH187" s="1228"/>
      <c r="NTI187" s="1228"/>
      <c r="NTJ187" s="1228"/>
      <c r="NTK187" s="1228"/>
      <c r="NTL187" s="1228"/>
      <c r="NTM187" s="1228"/>
      <c r="NTN187" s="1228"/>
      <c r="NTO187" s="1228"/>
      <c r="NTP187" s="1228"/>
      <c r="NTQ187" s="1228"/>
      <c r="NTR187" s="1228"/>
      <c r="NTS187" s="1228"/>
      <c r="NTT187" s="1228"/>
      <c r="NTU187" s="1228"/>
      <c r="NTV187" s="1228"/>
      <c r="NTW187" s="1228"/>
      <c r="NTX187" s="1228"/>
      <c r="NTY187" s="1228"/>
      <c r="NTZ187" s="1228"/>
      <c r="NUA187" s="1228"/>
      <c r="NUB187" s="1228"/>
      <c r="NUC187" s="1228"/>
      <c r="NUD187" s="1228"/>
      <c r="NUE187" s="1228"/>
      <c r="NUF187" s="1228"/>
      <c r="NUG187" s="1228"/>
      <c r="NUH187" s="1228"/>
      <c r="NUI187" s="1228"/>
      <c r="NUJ187" s="1228"/>
      <c r="NUK187" s="1228"/>
      <c r="NUL187" s="1228"/>
      <c r="NUM187" s="1228"/>
      <c r="NUN187" s="1228"/>
      <c r="NUO187" s="1228"/>
      <c r="NUP187" s="1228"/>
      <c r="NUQ187" s="1228"/>
      <c r="NUR187" s="1228"/>
      <c r="NUS187" s="1228"/>
      <c r="NUT187" s="1228"/>
      <c r="NUU187" s="1228"/>
      <c r="NUV187" s="1228"/>
      <c r="NUW187" s="1228"/>
      <c r="NUX187" s="1228"/>
      <c r="NUY187" s="1228"/>
      <c r="NUZ187" s="1228"/>
      <c r="NVA187" s="1228"/>
      <c r="NVB187" s="1228"/>
      <c r="NVC187" s="1228"/>
      <c r="NVD187" s="1228"/>
      <c r="NVE187" s="1228"/>
      <c r="NVF187" s="1228"/>
      <c r="NVG187" s="1228"/>
      <c r="NVH187" s="1228"/>
      <c r="NVI187" s="1228"/>
      <c r="NVJ187" s="1228"/>
      <c r="NVK187" s="1228"/>
      <c r="NVL187" s="1228"/>
      <c r="NVM187" s="1228"/>
      <c r="NVN187" s="1228"/>
      <c r="NVO187" s="1228"/>
      <c r="NVP187" s="1228"/>
      <c r="NVQ187" s="1228"/>
      <c r="NVR187" s="1228"/>
      <c r="NVS187" s="1228"/>
      <c r="NVT187" s="1228"/>
      <c r="NVU187" s="1228"/>
      <c r="NVV187" s="1228"/>
      <c r="NVW187" s="1228"/>
      <c r="NVX187" s="1228"/>
      <c r="NVY187" s="1228"/>
      <c r="NVZ187" s="1228"/>
      <c r="NWA187" s="1228"/>
      <c r="NWB187" s="1228"/>
      <c r="NWC187" s="1228"/>
      <c r="NWD187" s="1228"/>
      <c r="NWE187" s="1228"/>
      <c r="NWF187" s="1228"/>
      <c r="NWG187" s="1228"/>
      <c r="NWH187" s="1228"/>
      <c r="NWI187" s="1228"/>
      <c r="NWJ187" s="1228"/>
      <c r="NWK187" s="1228"/>
      <c r="NWL187" s="1228"/>
      <c r="NWM187" s="1228"/>
      <c r="NWN187" s="1228"/>
      <c r="NWO187" s="1228"/>
      <c r="NWP187" s="1228"/>
      <c r="NWQ187" s="1228"/>
      <c r="NWR187" s="1228"/>
      <c r="NWS187" s="1228"/>
      <c r="NWT187" s="1228"/>
      <c r="NWU187" s="1228"/>
      <c r="NWV187" s="1228"/>
      <c r="NWW187" s="1228"/>
      <c r="NWX187" s="1228"/>
      <c r="NWY187" s="1228"/>
      <c r="NWZ187" s="1228"/>
      <c r="NXA187" s="1228"/>
      <c r="NXB187" s="1228"/>
      <c r="NXC187" s="1228"/>
      <c r="NXD187" s="1228"/>
      <c r="NXE187" s="1228"/>
      <c r="NXF187" s="1228"/>
      <c r="NXG187" s="1228"/>
      <c r="NXH187" s="1228"/>
      <c r="NXI187" s="1228"/>
      <c r="NXJ187" s="1228"/>
      <c r="NXK187" s="1228"/>
      <c r="NXL187" s="1228"/>
      <c r="NXM187" s="1228"/>
      <c r="NXN187" s="1228"/>
      <c r="NXO187" s="1228"/>
      <c r="NXP187" s="1228"/>
      <c r="NXQ187" s="1228"/>
      <c r="NXR187" s="1228"/>
      <c r="NXS187" s="1228"/>
      <c r="NXT187" s="1228"/>
      <c r="NXU187" s="1228"/>
      <c r="NXV187" s="1228"/>
      <c r="NXW187" s="1228"/>
      <c r="NXX187" s="1228"/>
      <c r="NXY187" s="1228"/>
      <c r="NXZ187" s="1228"/>
      <c r="NYA187" s="1228"/>
      <c r="NYB187" s="1228"/>
      <c r="NYC187" s="1228"/>
      <c r="NYD187" s="1228"/>
      <c r="NYE187" s="1228"/>
      <c r="NYF187" s="1228"/>
      <c r="NYG187" s="1228"/>
      <c r="NYH187" s="1228"/>
      <c r="NYI187" s="1228"/>
      <c r="NYJ187" s="1228"/>
      <c r="NYK187" s="1228"/>
      <c r="NYL187" s="1228"/>
      <c r="NYM187" s="1228"/>
      <c r="NYN187" s="1228"/>
      <c r="NYO187" s="1228"/>
      <c r="NYP187" s="1228"/>
      <c r="NYQ187" s="1228"/>
      <c r="NYR187" s="1228"/>
      <c r="NYS187" s="1228"/>
      <c r="NYT187" s="1228"/>
      <c r="NYU187" s="1228"/>
      <c r="NYV187" s="1228"/>
      <c r="NYW187" s="1228"/>
      <c r="NYX187" s="1228"/>
      <c r="NYY187" s="1228"/>
      <c r="NYZ187" s="1228"/>
      <c r="NZA187" s="1228"/>
      <c r="NZB187" s="1228"/>
      <c r="NZC187" s="1228"/>
      <c r="NZD187" s="1228"/>
      <c r="NZE187" s="1228"/>
      <c r="NZF187" s="1228"/>
      <c r="NZG187" s="1228"/>
      <c r="NZH187" s="1228"/>
      <c r="NZI187" s="1228"/>
      <c r="NZJ187" s="1228"/>
      <c r="NZK187" s="1228"/>
      <c r="NZL187" s="1228"/>
      <c r="NZM187" s="1228"/>
      <c r="NZN187" s="1228"/>
      <c r="NZO187" s="1228"/>
      <c r="NZP187" s="1228"/>
      <c r="NZQ187" s="1228"/>
      <c r="NZR187" s="1228"/>
      <c r="NZS187" s="1228"/>
      <c r="NZT187" s="1228"/>
      <c r="NZU187" s="1228"/>
      <c r="NZV187" s="1228"/>
      <c r="NZW187" s="1228"/>
      <c r="NZX187" s="1228"/>
      <c r="NZY187" s="1228"/>
      <c r="NZZ187" s="1228"/>
      <c r="OAA187" s="1228"/>
      <c r="OAB187" s="1228"/>
      <c r="OAC187" s="1228"/>
      <c r="OAD187" s="1228"/>
      <c r="OAE187" s="1228"/>
      <c r="OAF187" s="1228"/>
      <c r="OAG187" s="1228"/>
      <c r="OAH187" s="1228"/>
      <c r="OAI187" s="1228"/>
      <c r="OAJ187" s="1228"/>
      <c r="OAK187" s="1228"/>
      <c r="OAL187" s="1228"/>
      <c r="OAM187" s="1228"/>
      <c r="OAN187" s="1228"/>
      <c r="OAO187" s="1228"/>
      <c r="OAP187" s="1228"/>
      <c r="OAQ187" s="1228"/>
      <c r="OAR187" s="1228"/>
      <c r="OAS187" s="1228"/>
      <c r="OAT187" s="1228"/>
      <c r="OAU187" s="1228"/>
      <c r="OAV187" s="1228"/>
      <c r="OAW187" s="1228"/>
      <c r="OAX187" s="1228"/>
      <c r="OAY187" s="1228"/>
      <c r="OAZ187" s="1228"/>
      <c r="OBA187" s="1228"/>
      <c r="OBB187" s="1228"/>
      <c r="OBC187" s="1228"/>
      <c r="OBD187" s="1228"/>
      <c r="OBE187" s="1228"/>
      <c r="OBF187" s="1228"/>
      <c r="OBG187" s="1228"/>
      <c r="OBH187" s="1228"/>
      <c r="OBI187" s="1228"/>
      <c r="OBJ187" s="1228"/>
      <c r="OBK187" s="1228"/>
      <c r="OBL187" s="1228"/>
      <c r="OBM187" s="1228"/>
      <c r="OBN187" s="1228"/>
      <c r="OBO187" s="1228"/>
      <c r="OBP187" s="1228"/>
      <c r="OBQ187" s="1228"/>
      <c r="OBR187" s="1228"/>
      <c r="OBS187" s="1228"/>
      <c r="OBT187" s="1228"/>
      <c r="OBU187" s="1228"/>
      <c r="OBV187" s="1228"/>
      <c r="OBW187" s="1228"/>
      <c r="OBX187" s="1228"/>
      <c r="OBY187" s="1228"/>
      <c r="OBZ187" s="1228"/>
      <c r="OCA187" s="1228"/>
      <c r="OCB187" s="1228"/>
      <c r="OCC187" s="1228"/>
      <c r="OCD187" s="1228"/>
      <c r="OCE187" s="1228"/>
      <c r="OCF187" s="1228"/>
      <c r="OCG187" s="1228"/>
      <c r="OCH187" s="1228"/>
      <c r="OCI187" s="1228"/>
      <c r="OCJ187" s="1228"/>
      <c r="OCK187" s="1228"/>
      <c r="OCL187" s="1228"/>
      <c r="OCM187" s="1228"/>
      <c r="OCN187" s="1228"/>
      <c r="OCO187" s="1228"/>
      <c r="OCP187" s="1228"/>
      <c r="OCQ187" s="1228"/>
      <c r="OCR187" s="1228"/>
      <c r="OCS187" s="1228"/>
      <c r="OCT187" s="1228"/>
      <c r="OCU187" s="1228"/>
      <c r="OCV187" s="1228"/>
      <c r="OCW187" s="1228"/>
      <c r="OCX187" s="1228"/>
      <c r="OCY187" s="1228"/>
      <c r="OCZ187" s="1228"/>
      <c r="ODA187" s="1228"/>
      <c r="ODB187" s="1228"/>
      <c r="ODC187" s="1228"/>
      <c r="ODD187" s="1228"/>
      <c r="ODE187" s="1228"/>
      <c r="ODF187" s="1228"/>
      <c r="ODG187" s="1228"/>
      <c r="ODH187" s="1228"/>
      <c r="ODI187" s="1228"/>
      <c r="ODJ187" s="1228"/>
      <c r="ODK187" s="1228"/>
      <c r="ODL187" s="1228"/>
      <c r="ODM187" s="1228"/>
      <c r="ODN187" s="1228"/>
      <c r="ODO187" s="1228"/>
      <c r="ODP187" s="1228"/>
      <c r="ODQ187" s="1228"/>
      <c r="ODR187" s="1228"/>
      <c r="ODS187" s="1228"/>
      <c r="ODT187" s="1228"/>
      <c r="ODU187" s="1228"/>
      <c r="ODV187" s="1228"/>
      <c r="ODW187" s="1228"/>
      <c r="ODX187" s="1228"/>
      <c r="ODY187" s="1228"/>
      <c r="ODZ187" s="1228"/>
      <c r="OEA187" s="1228"/>
      <c r="OEB187" s="1228"/>
      <c r="OEC187" s="1228"/>
      <c r="OED187" s="1228"/>
      <c r="OEE187" s="1228"/>
      <c r="OEF187" s="1228"/>
      <c r="OEG187" s="1228"/>
      <c r="OEH187" s="1228"/>
      <c r="OEI187" s="1228"/>
      <c r="OEJ187" s="1228"/>
      <c r="OEK187" s="1228"/>
      <c r="OEL187" s="1228"/>
      <c r="OEM187" s="1228"/>
      <c r="OEN187" s="1228"/>
      <c r="OEO187" s="1228"/>
      <c r="OEP187" s="1228"/>
      <c r="OEQ187" s="1228"/>
      <c r="OER187" s="1228"/>
      <c r="OES187" s="1228"/>
      <c r="OET187" s="1228"/>
      <c r="OEU187" s="1228"/>
      <c r="OEV187" s="1228"/>
      <c r="OEW187" s="1228"/>
      <c r="OEX187" s="1228"/>
      <c r="OEY187" s="1228"/>
      <c r="OEZ187" s="1228"/>
      <c r="OFA187" s="1228"/>
      <c r="OFB187" s="1228"/>
      <c r="OFC187" s="1228"/>
      <c r="OFD187" s="1228"/>
      <c r="OFE187" s="1228"/>
      <c r="OFF187" s="1228"/>
      <c r="OFG187" s="1228"/>
      <c r="OFH187" s="1228"/>
      <c r="OFI187" s="1228"/>
      <c r="OFJ187" s="1228"/>
      <c r="OFK187" s="1228"/>
      <c r="OFL187" s="1228"/>
      <c r="OFM187" s="1228"/>
      <c r="OFN187" s="1228"/>
      <c r="OFO187" s="1228"/>
      <c r="OFP187" s="1228"/>
      <c r="OFQ187" s="1228"/>
      <c r="OFR187" s="1228"/>
      <c r="OFS187" s="1228"/>
      <c r="OFT187" s="1228"/>
      <c r="OFU187" s="1228"/>
      <c r="OFV187" s="1228"/>
      <c r="OFW187" s="1228"/>
      <c r="OFX187" s="1228"/>
      <c r="OFY187" s="1228"/>
      <c r="OFZ187" s="1228"/>
      <c r="OGA187" s="1228"/>
      <c r="OGB187" s="1228"/>
      <c r="OGC187" s="1228"/>
      <c r="OGD187" s="1228"/>
      <c r="OGE187" s="1228"/>
      <c r="OGF187" s="1228"/>
      <c r="OGG187" s="1228"/>
      <c r="OGH187" s="1228"/>
      <c r="OGI187" s="1228"/>
      <c r="OGJ187" s="1228"/>
      <c r="OGK187" s="1228"/>
      <c r="OGL187" s="1228"/>
      <c r="OGM187" s="1228"/>
      <c r="OGN187" s="1228"/>
      <c r="OGO187" s="1228"/>
      <c r="OGP187" s="1228"/>
      <c r="OGQ187" s="1228"/>
      <c r="OGR187" s="1228"/>
      <c r="OGS187" s="1228"/>
      <c r="OGT187" s="1228"/>
      <c r="OGU187" s="1228"/>
      <c r="OGV187" s="1228"/>
      <c r="OGW187" s="1228"/>
      <c r="OGX187" s="1228"/>
      <c r="OGY187" s="1228"/>
      <c r="OGZ187" s="1228"/>
      <c r="OHA187" s="1228"/>
      <c r="OHB187" s="1228"/>
      <c r="OHC187" s="1228"/>
      <c r="OHD187" s="1228"/>
      <c r="OHE187" s="1228"/>
      <c r="OHF187" s="1228"/>
      <c r="OHG187" s="1228"/>
      <c r="OHH187" s="1228"/>
      <c r="OHI187" s="1228"/>
      <c r="OHJ187" s="1228"/>
      <c r="OHK187" s="1228"/>
      <c r="OHL187" s="1228"/>
      <c r="OHM187" s="1228"/>
      <c r="OHN187" s="1228"/>
      <c r="OHO187" s="1228"/>
      <c r="OHP187" s="1228"/>
      <c r="OHQ187" s="1228"/>
      <c r="OHR187" s="1228"/>
      <c r="OHS187" s="1228"/>
      <c r="OHT187" s="1228"/>
      <c r="OHU187" s="1228"/>
      <c r="OHV187" s="1228"/>
      <c r="OHW187" s="1228"/>
      <c r="OHX187" s="1228"/>
      <c r="OHY187" s="1228"/>
      <c r="OHZ187" s="1228"/>
      <c r="OIA187" s="1228"/>
      <c r="OIB187" s="1228"/>
      <c r="OIC187" s="1228"/>
      <c r="OID187" s="1228"/>
      <c r="OIE187" s="1228"/>
      <c r="OIF187" s="1228"/>
      <c r="OIG187" s="1228"/>
      <c r="OIH187" s="1228"/>
      <c r="OII187" s="1228"/>
      <c r="OIJ187" s="1228"/>
      <c r="OIK187" s="1228"/>
      <c r="OIL187" s="1228"/>
      <c r="OIM187" s="1228"/>
      <c r="OIN187" s="1228"/>
      <c r="OIO187" s="1228"/>
      <c r="OIP187" s="1228"/>
      <c r="OIQ187" s="1228"/>
      <c r="OIR187" s="1228"/>
      <c r="OIS187" s="1228"/>
      <c r="OIT187" s="1228"/>
      <c r="OIU187" s="1228"/>
      <c r="OIV187" s="1228"/>
      <c r="OIW187" s="1228"/>
      <c r="OIX187" s="1228"/>
      <c r="OIY187" s="1228"/>
      <c r="OIZ187" s="1228"/>
      <c r="OJA187" s="1228"/>
      <c r="OJB187" s="1228"/>
      <c r="OJC187" s="1228"/>
      <c r="OJD187" s="1228"/>
      <c r="OJE187" s="1228"/>
      <c r="OJF187" s="1228"/>
      <c r="OJG187" s="1228"/>
      <c r="OJH187" s="1228"/>
      <c r="OJI187" s="1228"/>
      <c r="OJJ187" s="1228"/>
      <c r="OJK187" s="1228"/>
      <c r="OJL187" s="1228"/>
      <c r="OJM187" s="1228"/>
      <c r="OJN187" s="1228"/>
      <c r="OJO187" s="1228"/>
      <c r="OJP187" s="1228"/>
      <c r="OJQ187" s="1228"/>
      <c r="OJR187" s="1228"/>
      <c r="OJS187" s="1228"/>
      <c r="OJT187" s="1228"/>
      <c r="OJU187" s="1228"/>
      <c r="OJV187" s="1228"/>
      <c r="OJW187" s="1228"/>
      <c r="OJX187" s="1228"/>
      <c r="OJY187" s="1228"/>
      <c r="OJZ187" s="1228"/>
      <c r="OKA187" s="1228"/>
      <c r="OKB187" s="1228"/>
      <c r="OKC187" s="1228"/>
      <c r="OKD187" s="1228"/>
      <c r="OKE187" s="1228"/>
      <c r="OKF187" s="1228"/>
      <c r="OKG187" s="1228"/>
      <c r="OKH187" s="1228"/>
      <c r="OKI187" s="1228"/>
      <c r="OKJ187" s="1228"/>
      <c r="OKK187" s="1228"/>
      <c r="OKL187" s="1228"/>
      <c r="OKM187" s="1228"/>
      <c r="OKN187" s="1228"/>
      <c r="OKO187" s="1228"/>
      <c r="OKP187" s="1228"/>
      <c r="OKQ187" s="1228"/>
      <c r="OKR187" s="1228"/>
      <c r="OKS187" s="1228"/>
      <c r="OKT187" s="1228"/>
      <c r="OKU187" s="1228"/>
      <c r="OKV187" s="1228"/>
      <c r="OKW187" s="1228"/>
      <c r="OKX187" s="1228"/>
      <c r="OKY187" s="1228"/>
      <c r="OKZ187" s="1228"/>
      <c r="OLA187" s="1228"/>
      <c r="OLB187" s="1228"/>
      <c r="OLC187" s="1228"/>
      <c r="OLD187" s="1228"/>
      <c r="OLE187" s="1228"/>
      <c r="OLF187" s="1228"/>
      <c r="OLG187" s="1228"/>
      <c r="OLH187" s="1228"/>
      <c r="OLI187" s="1228"/>
      <c r="OLJ187" s="1228"/>
      <c r="OLK187" s="1228"/>
      <c r="OLL187" s="1228"/>
      <c r="OLM187" s="1228"/>
      <c r="OLN187" s="1228"/>
      <c r="OLO187" s="1228"/>
      <c r="OLP187" s="1228"/>
      <c r="OLQ187" s="1228"/>
      <c r="OLR187" s="1228"/>
      <c r="OLS187" s="1228"/>
      <c r="OLT187" s="1228"/>
      <c r="OLU187" s="1228"/>
      <c r="OLV187" s="1228"/>
      <c r="OLW187" s="1228"/>
      <c r="OLX187" s="1228"/>
      <c r="OLY187" s="1228"/>
      <c r="OLZ187" s="1228"/>
      <c r="OMA187" s="1228"/>
      <c r="OMB187" s="1228"/>
      <c r="OMC187" s="1228"/>
      <c r="OMD187" s="1228"/>
      <c r="OME187" s="1228"/>
      <c r="OMF187" s="1228"/>
      <c r="OMG187" s="1228"/>
      <c r="OMH187" s="1228"/>
      <c r="OMI187" s="1228"/>
      <c r="OMJ187" s="1228"/>
      <c r="OMK187" s="1228"/>
      <c r="OML187" s="1228"/>
      <c r="OMM187" s="1228"/>
      <c r="OMN187" s="1228"/>
      <c r="OMO187" s="1228"/>
      <c r="OMP187" s="1228"/>
      <c r="OMQ187" s="1228"/>
      <c r="OMR187" s="1228"/>
      <c r="OMS187" s="1228"/>
      <c r="OMT187" s="1228"/>
      <c r="OMU187" s="1228"/>
      <c r="OMV187" s="1228"/>
      <c r="OMW187" s="1228"/>
      <c r="OMX187" s="1228"/>
      <c r="OMY187" s="1228"/>
      <c r="OMZ187" s="1228"/>
      <c r="ONA187" s="1228"/>
      <c r="ONB187" s="1228"/>
      <c r="ONC187" s="1228"/>
      <c r="OND187" s="1228"/>
      <c r="ONE187" s="1228"/>
      <c r="ONF187" s="1228"/>
      <c r="ONG187" s="1228"/>
      <c r="ONH187" s="1228"/>
      <c r="ONI187" s="1228"/>
      <c r="ONJ187" s="1228"/>
      <c r="ONK187" s="1228"/>
      <c r="ONL187" s="1228"/>
      <c r="ONM187" s="1228"/>
      <c r="ONN187" s="1228"/>
      <c r="ONO187" s="1228"/>
      <c r="ONP187" s="1228"/>
      <c r="ONQ187" s="1228"/>
      <c r="ONR187" s="1228"/>
      <c r="ONS187" s="1228"/>
      <c r="ONT187" s="1228"/>
      <c r="ONU187" s="1228"/>
      <c r="ONV187" s="1228"/>
      <c r="ONW187" s="1228"/>
      <c r="ONX187" s="1228"/>
      <c r="ONY187" s="1228"/>
      <c r="ONZ187" s="1228"/>
      <c r="OOA187" s="1228"/>
      <c r="OOB187" s="1228"/>
      <c r="OOC187" s="1228"/>
      <c r="OOD187" s="1228"/>
      <c r="OOE187" s="1228"/>
      <c r="OOF187" s="1228"/>
      <c r="OOG187" s="1228"/>
      <c r="OOH187" s="1228"/>
      <c r="OOI187" s="1228"/>
      <c r="OOJ187" s="1228"/>
      <c r="OOK187" s="1228"/>
      <c r="OOL187" s="1228"/>
      <c r="OOM187" s="1228"/>
      <c r="OON187" s="1228"/>
      <c r="OOO187" s="1228"/>
      <c r="OOP187" s="1228"/>
      <c r="OOQ187" s="1228"/>
      <c r="OOR187" s="1228"/>
      <c r="OOS187" s="1228"/>
      <c r="OOT187" s="1228"/>
      <c r="OOU187" s="1228"/>
      <c r="OOV187" s="1228"/>
      <c r="OOW187" s="1228"/>
      <c r="OOX187" s="1228"/>
      <c r="OOY187" s="1228"/>
      <c r="OOZ187" s="1228"/>
      <c r="OPA187" s="1228"/>
      <c r="OPB187" s="1228"/>
      <c r="OPC187" s="1228"/>
      <c r="OPD187" s="1228"/>
      <c r="OPE187" s="1228"/>
      <c r="OPF187" s="1228"/>
      <c r="OPG187" s="1228"/>
      <c r="OPH187" s="1228"/>
      <c r="OPI187" s="1228"/>
      <c r="OPJ187" s="1228"/>
      <c r="OPK187" s="1228"/>
      <c r="OPL187" s="1228"/>
      <c r="OPM187" s="1228"/>
      <c r="OPN187" s="1228"/>
      <c r="OPO187" s="1228"/>
      <c r="OPP187" s="1228"/>
      <c r="OPQ187" s="1228"/>
      <c r="OPR187" s="1228"/>
      <c r="OPS187" s="1228"/>
      <c r="OPT187" s="1228"/>
      <c r="OPU187" s="1228"/>
      <c r="OPV187" s="1228"/>
      <c r="OPW187" s="1228"/>
      <c r="OPX187" s="1228"/>
      <c r="OPY187" s="1228"/>
      <c r="OPZ187" s="1228"/>
      <c r="OQA187" s="1228"/>
      <c r="OQB187" s="1228"/>
      <c r="OQC187" s="1228"/>
      <c r="OQD187" s="1228"/>
      <c r="OQE187" s="1228"/>
      <c r="OQF187" s="1228"/>
      <c r="OQG187" s="1228"/>
      <c r="OQH187" s="1228"/>
      <c r="OQI187" s="1228"/>
      <c r="OQJ187" s="1228"/>
      <c r="OQK187" s="1228"/>
      <c r="OQL187" s="1228"/>
      <c r="OQM187" s="1228"/>
      <c r="OQN187" s="1228"/>
      <c r="OQO187" s="1228"/>
      <c r="OQP187" s="1228"/>
      <c r="OQQ187" s="1228"/>
      <c r="OQR187" s="1228"/>
      <c r="OQS187" s="1228"/>
      <c r="OQT187" s="1228"/>
      <c r="OQU187" s="1228"/>
      <c r="OQV187" s="1228"/>
      <c r="OQW187" s="1228"/>
      <c r="OQX187" s="1228"/>
      <c r="OQY187" s="1228"/>
      <c r="OQZ187" s="1228"/>
      <c r="ORA187" s="1228"/>
      <c r="ORB187" s="1228"/>
      <c r="ORC187" s="1228"/>
      <c r="ORD187" s="1228"/>
      <c r="ORE187" s="1228"/>
      <c r="ORF187" s="1228"/>
      <c r="ORG187" s="1228"/>
      <c r="ORH187" s="1228"/>
      <c r="ORI187" s="1228"/>
      <c r="ORJ187" s="1228"/>
      <c r="ORK187" s="1228"/>
      <c r="ORL187" s="1228"/>
      <c r="ORM187" s="1228"/>
      <c r="ORN187" s="1228"/>
      <c r="ORO187" s="1228"/>
      <c r="ORP187" s="1228"/>
      <c r="ORQ187" s="1228"/>
      <c r="ORR187" s="1228"/>
      <c r="ORS187" s="1228"/>
      <c r="ORT187" s="1228"/>
      <c r="ORU187" s="1228"/>
      <c r="ORV187" s="1228"/>
      <c r="ORW187" s="1228"/>
      <c r="ORX187" s="1228"/>
      <c r="ORY187" s="1228"/>
      <c r="ORZ187" s="1228"/>
      <c r="OSA187" s="1228"/>
      <c r="OSB187" s="1228"/>
      <c r="OSC187" s="1228"/>
      <c r="OSD187" s="1228"/>
      <c r="OSE187" s="1228"/>
      <c r="OSF187" s="1228"/>
      <c r="OSG187" s="1228"/>
      <c r="OSH187" s="1228"/>
      <c r="OSI187" s="1228"/>
      <c r="OSJ187" s="1228"/>
      <c r="OSK187" s="1228"/>
      <c r="OSL187" s="1228"/>
      <c r="OSM187" s="1228"/>
      <c r="OSN187" s="1228"/>
      <c r="OSO187" s="1228"/>
      <c r="OSP187" s="1228"/>
      <c r="OSQ187" s="1228"/>
      <c r="OSR187" s="1228"/>
      <c r="OSS187" s="1228"/>
      <c r="OST187" s="1228"/>
      <c r="OSU187" s="1228"/>
      <c r="OSV187" s="1228"/>
      <c r="OSW187" s="1228"/>
      <c r="OSX187" s="1228"/>
      <c r="OSY187" s="1228"/>
      <c r="OSZ187" s="1228"/>
      <c r="OTA187" s="1228"/>
      <c r="OTB187" s="1228"/>
      <c r="OTC187" s="1228"/>
      <c r="OTD187" s="1228"/>
      <c r="OTE187" s="1228"/>
      <c r="OTF187" s="1228"/>
      <c r="OTG187" s="1228"/>
      <c r="OTH187" s="1228"/>
      <c r="OTI187" s="1228"/>
      <c r="OTJ187" s="1228"/>
      <c r="OTK187" s="1228"/>
      <c r="OTL187" s="1228"/>
      <c r="OTM187" s="1228"/>
      <c r="OTN187" s="1228"/>
      <c r="OTO187" s="1228"/>
      <c r="OTP187" s="1228"/>
      <c r="OTQ187" s="1228"/>
      <c r="OTR187" s="1228"/>
      <c r="OTS187" s="1228"/>
      <c r="OTT187" s="1228"/>
      <c r="OTU187" s="1228"/>
      <c r="OTV187" s="1228"/>
      <c r="OTW187" s="1228"/>
      <c r="OTX187" s="1228"/>
      <c r="OTY187" s="1228"/>
      <c r="OTZ187" s="1228"/>
      <c r="OUA187" s="1228"/>
      <c r="OUB187" s="1228"/>
      <c r="OUC187" s="1228"/>
      <c r="OUD187" s="1228"/>
      <c r="OUE187" s="1228"/>
      <c r="OUF187" s="1228"/>
      <c r="OUG187" s="1228"/>
      <c r="OUH187" s="1228"/>
      <c r="OUI187" s="1228"/>
      <c r="OUJ187" s="1228"/>
      <c r="OUK187" s="1228"/>
      <c r="OUL187" s="1228"/>
      <c r="OUM187" s="1228"/>
      <c r="OUN187" s="1228"/>
      <c r="OUO187" s="1228"/>
      <c r="OUP187" s="1228"/>
      <c r="OUQ187" s="1228"/>
      <c r="OUR187" s="1228"/>
      <c r="OUS187" s="1228"/>
      <c r="OUT187" s="1228"/>
      <c r="OUU187" s="1228"/>
      <c r="OUV187" s="1228"/>
      <c r="OUW187" s="1228"/>
      <c r="OUX187" s="1228"/>
      <c r="OUY187" s="1228"/>
      <c r="OUZ187" s="1228"/>
      <c r="OVA187" s="1228"/>
      <c r="OVB187" s="1228"/>
      <c r="OVC187" s="1228"/>
      <c r="OVD187" s="1228"/>
      <c r="OVE187" s="1228"/>
      <c r="OVF187" s="1228"/>
      <c r="OVG187" s="1228"/>
      <c r="OVH187" s="1228"/>
      <c r="OVI187" s="1228"/>
      <c r="OVJ187" s="1228"/>
      <c r="OVK187" s="1228"/>
      <c r="OVL187" s="1228"/>
      <c r="OVM187" s="1228"/>
      <c r="OVN187" s="1228"/>
      <c r="OVO187" s="1228"/>
      <c r="OVP187" s="1228"/>
      <c r="OVQ187" s="1228"/>
      <c r="OVR187" s="1228"/>
      <c r="OVS187" s="1228"/>
      <c r="OVT187" s="1228"/>
      <c r="OVU187" s="1228"/>
      <c r="OVV187" s="1228"/>
      <c r="OVW187" s="1228"/>
      <c r="OVX187" s="1228"/>
      <c r="OVY187" s="1228"/>
      <c r="OVZ187" s="1228"/>
      <c r="OWA187" s="1228"/>
      <c r="OWB187" s="1228"/>
      <c r="OWC187" s="1228"/>
      <c r="OWD187" s="1228"/>
      <c r="OWE187" s="1228"/>
      <c r="OWF187" s="1228"/>
      <c r="OWG187" s="1228"/>
      <c r="OWH187" s="1228"/>
      <c r="OWI187" s="1228"/>
      <c r="OWJ187" s="1228"/>
      <c r="OWK187" s="1228"/>
      <c r="OWL187" s="1228"/>
      <c r="OWM187" s="1228"/>
      <c r="OWN187" s="1228"/>
      <c r="OWO187" s="1228"/>
      <c r="OWP187" s="1228"/>
      <c r="OWQ187" s="1228"/>
      <c r="OWR187" s="1228"/>
      <c r="OWS187" s="1228"/>
      <c r="OWT187" s="1228"/>
      <c r="OWU187" s="1228"/>
      <c r="OWV187" s="1228"/>
      <c r="OWW187" s="1228"/>
      <c r="OWX187" s="1228"/>
      <c r="OWY187" s="1228"/>
      <c r="OWZ187" s="1228"/>
      <c r="OXA187" s="1228"/>
      <c r="OXB187" s="1228"/>
      <c r="OXC187" s="1228"/>
      <c r="OXD187" s="1228"/>
      <c r="OXE187" s="1228"/>
      <c r="OXF187" s="1228"/>
      <c r="OXG187" s="1228"/>
      <c r="OXH187" s="1228"/>
      <c r="OXI187" s="1228"/>
      <c r="OXJ187" s="1228"/>
      <c r="OXK187" s="1228"/>
      <c r="OXL187" s="1228"/>
      <c r="OXM187" s="1228"/>
      <c r="OXN187" s="1228"/>
      <c r="OXO187" s="1228"/>
      <c r="OXP187" s="1228"/>
      <c r="OXQ187" s="1228"/>
      <c r="OXR187" s="1228"/>
      <c r="OXS187" s="1228"/>
      <c r="OXT187" s="1228"/>
      <c r="OXU187" s="1228"/>
      <c r="OXV187" s="1228"/>
      <c r="OXW187" s="1228"/>
      <c r="OXX187" s="1228"/>
      <c r="OXY187" s="1228"/>
      <c r="OXZ187" s="1228"/>
      <c r="OYA187" s="1228"/>
      <c r="OYB187" s="1228"/>
      <c r="OYC187" s="1228"/>
      <c r="OYD187" s="1228"/>
      <c r="OYE187" s="1228"/>
      <c r="OYF187" s="1228"/>
      <c r="OYG187" s="1228"/>
      <c r="OYH187" s="1228"/>
      <c r="OYI187" s="1228"/>
      <c r="OYJ187" s="1228"/>
      <c r="OYK187" s="1228"/>
      <c r="OYL187" s="1228"/>
      <c r="OYM187" s="1228"/>
      <c r="OYN187" s="1228"/>
      <c r="OYO187" s="1228"/>
      <c r="OYP187" s="1228"/>
      <c r="OYQ187" s="1228"/>
      <c r="OYR187" s="1228"/>
      <c r="OYS187" s="1228"/>
      <c r="OYT187" s="1228"/>
      <c r="OYU187" s="1228"/>
      <c r="OYV187" s="1228"/>
      <c r="OYW187" s="1228"/>
      <c r="OYX187" s="1228"/>
      <c r="OYY187" s="1228"/>
      <c r="OYZ187" s="1228"/>
      <c r="OZA187" s="1228"/>
      <c r="OZB187" s="1228"/>
      <c r="OZC187" s="1228"/>
      <c r="OZD187" s="1228"/>
      <c r="OZE187" s="1228"/>
      <c r="OZF187" s="1228"/>
      <c r="OZG187" s="1228"/>
      <c r="OZH187" s="1228"/>
      <c r="OZI187" s="1228"/>
      <c r="OZJ187" s="1228"/>
      <c r="OZK187" s="1228"/>
      <c r="OZL187" s="1228"/>
      <c r="OZM187" s="1228"/>
      <c r="OZN187" s="1228"/>
      <c r="OZO187" s="1228"/>
      <c r="OZP187" s="1228"/>
      <c r="OZQ187" s="1228"/>
      <c r="OZR187" s="1228"/>
      <c r="OZS187" s="1228"/>
      <c r="OZT187" s="1228"/>
      <c r="OZU187" s="1228"/>
      <c r="OZV187" s="1228"/>
      <c r="OZW187" s="1228"/>
      <c r="OZX187" s="1228"/>
      <c r="OZY187" s="1228"/>
      <c r="OZZ187" s="1228"/>
      <c r="PAA187" s="1228"/>
      <c r="PAB187" s="1228"/>
      <c r="PAC187" s="1228"/>
      <c r="PAD187" s="1228"/>
      <c r="PAE187" s="1228"/>
      <c r="PAF187" s="1228"/>
      <c r="PAG187" s="1228"/>
      <c r="PAH187" s="1228"/>
      <c r="PAI187" s="1228"/>
      <c r="PAJ187" s="1228"/>
      <c r="PAK187" s="1228"/>
      <c r="PAL187" s="1228"/>
      <c r="PAM187" s="1228"/>
      <c r="PAN187" s="1228"/>
      <c r="PAO187" s="1228"/>
      <c r="PAP187" s="1228"/>
      <c r="PAQ187" s="1228"/>
      <c r="PAR187" s="1228"/>
      <c r="PAS187" s="1228"/>
      <c r="PAT187" s="1228"/>
      <c r="PAU187" s="1228"/>
      <c r="PAV187" s="1228"/>
      <c r="PAW187" s="1228"/>
      <c r="PAX187" s="1228"/>
      <c r="PAY187" s="1228"/>
      <c r="PAZ187" s="1228"/>
      <c r="PBA187" s="1228"/>
      <c r="PBB187" s="1228"/>
      <c r="PBC187" s="1228"/>
      <c r="PBD187" s="1228"/>
      <c r="PBE187" s="1228"/>
      <c r="PBF187" s="1228"/>
      <c r="PBG187" s="1228"/>
      <c r="PBH187" s="1228"/>
      <c r="PBI187" s="1228"/>
      <c r="PBJ187" s="1228"/>
      <c r="PBK187" s="1228"/>
      <c r="PBL187" s="1228"/>
      <c r="PBM187" s="1228"/>
      <c r="PBN187" s="1228"/>
      <c r="PBO187" s="1228"/>
      <c r="PBP187" s="1228"/>
      <c r="PBQ187" s="1228"/>
      <c r="PBR187" s="1228"/>
      <c r="PBS187" s="1228"/>
      <c r="PBT187" s="1228"/>
      <c r="PBU187" s="1228"/>
      <c r="PBV187" s="1228"/>
      <c r="PBW187" s="1228"/>
      <c r="PBX187" s="1228"/>
      <c r="PBY187" s="1228"/>
      <c r="PBZ187" s="1228"/>
      <c r="PCA187" s="1228"/>
      <c r="PCB187" s="1228"/>
      <c r="PCC187" s="1228"/>
      <c r="PCD187" s="1228"/>
      <c r="PCE187" s="1228"/>
      <c r="PCF187" s="1228"/>
      <c r="PCG187" s="1228"/>
      <c r="PCH187" s="1228"/>
      <c r="PCI187" s="1228"/>
      <c r="PCJ187" s="1228"/>
      <c r="PCK187" s="1228"/>
      <c r="PCL187" s="1228"/>
      <c r="PCM187" s="1228"/>
      <c r="PCN187" s="1228"/>
      <c r="PCO187" s="1228"/>
      <c r="PCP187" s="1228"/>
      <c r="PCQ187" s="1228"/>
      <c r="PCR187" s="1228"/>
      <c r="PCS187" s="1228"/>
      <c r="PCT187" s="1228"/>
      <c r="PCU187" s="1228"/>
      <c r="PCV187" s="1228"/>
      <c r="PCW187" s="1228"/>
      <c r="PCX187" s="1228"/>
      <c r="PCY187" s="1228"/>
      <c r="PCZ187" s="1228"/>
      <c r="PDA187" s="1228"/>
      <c r="PDB187" s="1228"/>
      <c r="PDC187" s="1228"/>
      <c r="PDD187" s="1228"/>
      <c r="PDE187" s="1228"/>
      <c r="PDF187" s="1228"/>
      <c r="PDG187" s="1228"/>
      <c r="PDH187" s="1228"/>
      <c r="PDI187" s="1228"/>
      <c r="PDJ187" s="1228"/>
      <c r="PDK187" s="1228"/>
      <c r="PDL187" s="1228"/>
      <c r="PDM187" s="1228"/>
      <c r="PDN187" s="1228"/>
      <c r="PDO187" s="1228"/>
      <c r="PDP187" s="1228"/>
      <c r="PDQ187" s="1228"/>
      <c r="PDR187" s="1228"/>
      <c r="PDS187" s="1228"/>
      <c r="PDT187" s="1228"/>
      <c r="PDU187" s="1228"/>
      <c r="PDV187" s="1228"/>
      <c r="PDW187" s="1228"/>
      <c r="PDX187" s="1228"/>
      <c r="PDY187" s="1228"/>
      <c r="PDZ187" s="1228"/>
      <c r="PEA187" s="1228"/>
      <c r="PEB187" s="1228"/>
      <c r="PEC187" s="1228"/>
      <c r="PED187" s="1228"/>
      <c r="PEE187" s="1228"/>
      <c r="PEF187" s="1228"/>
      <c r="PEG187" s="1228"/>
      <c r="PEH187" s="1228"/>
      <c r="PEI187" s="1228"/>
      <c r="PEJ187" s="1228"/>
      <c r="PEK187" s="1228"/>
      <c r="PEL187" s="1228"/>
      <c r="PEM187" s="1228"/>
      <c r="PEN187" s="1228"/>
      <c r="PEO187" s="1228"/>
      <c r="PEP187" s="1228"/>
      <c r="PEQ187" s="1228"/>
      <c r="PER187" s="1228"/>
      <c r="PES187" s="1228"/>
      <c r="PET187" s="1228"/>
      <c r="PEU187" s="1228"/>
      <c r="PEV187" s="1228"/>
      <c r="PEW187" s="1228"/>
      <c r="PEX187" s="1228"/>
      <c r="PEY187" s="1228"/>
      <c r="PEZ187" s="1228"/>
      <c r="PFA187" s="1228"/>
      <c r="PFB187" s="1228"/>
      <c r="PFC187" s="1228"/>
      <c r="PFD187" s="1228"/>
      <c r="PFE187" s="1228"/>
      <c r="PFF187" s="1228"/>
      <c r="PFG187" s="1228"/>
      <c r="PFH187" s="1228"/>
      <c r="PFI187" s="1228"/>
      <c r="PFJ187" s="1228"/>
      <c r="PFK187" s="1228"/>
      <c r="PFL187" s="1228"/>
      <c r="PFM187" s="1228"/>
      <c r="PFN187" s="1228"/>
      <c r="PFO187" s="1228"/>
      <c r="PFP187" s="1228"/>
      <c r="PFQ187" s="1228"/>
      <c r="PFR187" s="1228"/>
      <c r="PFS187" s="1228"/>
      <c r="PFT187" s="1228"/>
      <c r="PFU187" s="1228"/>
      <c r="PFV187" s="1228"/>
      <c r="PFW187" s="1228"/>
      <c r="PFX187" s="1228"/>
      <c r="PFY187" s="1228"/>
      <c r="PFZ187" s="1228"/>
      <c r="PGA187" s="1228"/>
      <c r="PGB187" s="1228"/>
      <c r="PGC187" s="1228"/>
      <c r="PGD187" s="1228"/>
      <c r="PGE187" s="1228"/>
      <c r="PGF187" s="1228"/>
      <c r="PGG187" s="1228"/>
      <c r="PGH187" s="1228"/>
      <c r="PGI187" s="1228"/>
      <c r="PGJ187" s="1228"/>
      <c r="PGK187" s="1228"/>
      <c r="PGL187" s="1228"/>
      <c r="PGM187" s="1228"/>
      <c r="PGN187" s="1228"/>
      <c r="PGO187" s="1228"/>
      <c r="PGP187" s="1228"/>
      <c r="PGQ187" s="1228"/>
      <c r="PGR187" s="1228"/>
      <c r="PGS187" s="1228"/>
      <c r="PGT187" s="1228"/>
      <c r="PGU187" s="1228"/>
      <c r="PGV187" s="1228"/>
      <c r="PGW187" s="1228"/>
      <c r="PGX187" s="1228"/>
      <c r="PGY187" s="1228"/>
      <c r="PGZ187" s="1228"/>
      <c r="PHA187" s="1228"/>
      <c r="PHB187" s="1228"/>
      <c r="PHC187" s="1228"/>
      <c r="PHD187" s="1228"/>
      <c r="PHE187" s="1228"/>
      <c r="PHF187" s="1228"/>
      <c r="PHG187" s="1228"/>
      <c r="PHH187" s="1228"/>
      <c r="PHI187" s="1228"/>
      <c r="PHJ187" s="1228"/>
      <c r="PHK187" s="1228"/>
      <c r="PHL187" s="1228"/>
      <c r="PHM187" s="1228"/>
      <c r="PHN187" s="1228"/>
      <c r="PHO187" s="1228"/>
      <c r="PHP187" s="1228"/>
      <c r="PHQ187" s="1228"/>
      <c r="PHR187" s="1228"/>
      <c r="PHS187" s="1228"/>
      <c r="PHT187" s="1228"/>
      <c r="PHU187" s="1228"/>
      <c r="PHV187" s="1228"/>
      <c r="PHW187" s="1228"/>
      <c r="PHX187" s="1228"/>
      <c r="PHY187" s="1228"/>
      <c r="PHZ187" s="1228"/>
      <c r="PIA187" s="1228"/>
      <c r="PIB187" s="1228"/>
      <c r="PIC187" s="1228"/>
      <c r="PID187" s="1228"/>
      <c r="PIE187" s="1228"/>
      <c r="PIF187" s="1228"/>
      <c r="PIG187" s="1228"/>
      <c r="PIH187" s="1228"/>
      <c r="PII187" s="1228"/>
      <c r="PIJ187" s="1228"/>
      <c r="PIK187" s="1228"/>
      <c r="PIL187" s="1228"/>
      <c r="PIM187" s="1228"/>
      <c r="PIN187" s="1228"/>
      <c r="PIO187" s="1228"/>
      <c r="PIP187" s="1228"/>
      <c r="PIQ187" s="1228"/>
      <c r="PIR187" s="1228"/>
      <c r="PIS187" s="1228"/>
      <c r="PIT187" s="1228"/>
      <c r="PIU187" s="1228"/>
      <c r="PIV187" s="1228"/>
      <c r="PIW187" s="1228"/>
      <c r="PIX187" s="1228"/>
      <c r="PIY187" s="1228"/>
      <c r="PIZ187" s="1228"/>
      <c r="PJA187" s="1228"/>
      <c r="PJB187" s="1228"/>
      <c r="PJC187" s="1228"/>
      <c r="PJD187" s="1228"/>
      <c r="PJE187" s="1228"/>
      <c r="PJF187" s="1228"/>
      <c r="PJG187" s="1228"/>
      <c r="PJH187" s="1228"/>
      <c r="PJI187" s="1228"/>
      <c r="PJJ187" s="1228"/>
      <c r="PJK187" s="1228"/>
      <c r="PJL187" s="1228"/>
      <c r="PJM187" s="1228"/>
      <c r="PJN187" s="1228"/>
      <c r="PJO187" s="1228"/>
      <c r="PJP187" s="1228"/>
      <c r="PJQ187" s="1228"/>
      <c r="PJR187" s="1228"/>
      <c r="PJS187" s="1228"/>
      <c r="PJT187" s="1228"/>
      <c r="PJU187" s="1228"/>
      <c r="PJV187" s="1228"/>
      <c r="PJW187" s="1228"/>
      <c r="PJX187" s="1228"/>
      <c r="PJY187" s="1228"/>
      <c r="PJZ187" s="1228"/>
      <c r="PKA187" s="1228"/>
      <c r="PKB187" s="1228"/>
      <c r="PKC187" s="1228"/>
      <c r="PKD187" s="1228"/>
      <c r="PKE187" s="1228"/>
      <c r="PKF187" s="1228"/>
      <c r="PKG187" s="1228"/>
      <c r="PKH187" s="1228"/>
      <c r="PKI187" s="1228"/>
      <c r="PKJ187" s="1228"/>
      <c r="PKK187" s="1228"/>
      <c r="PKL187" s="1228"/>
      <c r="PKM187" s="1228"/>
      <c r="PKN187" s="1228"/>
      <c r="PKO187" s="1228"/>
      <c r="PKP187" s="1228"/>
      <c r="PKQ187" s="1228"/>
      <c r="PKR187" s="1228"/>
      <c r="PKS187" s="1228"/>
      <c r="PKT187" s="1228"/>
      <c r="PKU187" s="1228"/>
      <c r="PKV187" s="1228"/>
      <c r="PKW187" s="1228"/>
      <c r="PKX187" s="1228"/>
      <c r="PKY187" s="1228"/>
      <c r="PKZ187" s="1228"/>
      <c r="PLA187" s="1228"/>
      <c r="PLB187" s="1228"/>
      <c r="PLC187" s="1228"/>
      <c r="PLD187" s="1228"/>
      <c r="PLE187" s="1228"/>
      <c r="PLF187" s="1228"/>
      <c r="PLG187" s="1228"/>
      <c r="PLH187" s="1228"/>
      <c r="PLI187" s="1228"/>
      <c r="PLJ187" s="1228"/>
      <c r="PLK187" s="1228"/>
      <c r="PLL187" s="1228"/>
      <c r="PLM187" s="1228"/>
      <c r="PLN187" s="1228"/>
      <c r="PLO187" s="1228"/>
      <c r="PLP187" s="1228"/>
      <c r="PLQ187" s="1228"/>
      <c r="PLR187" s="1228"/>
      <c r="PLS187" s="1228"/>
      <c r="PLT187" s="1228"/>
      <c r="PLU187" s="1228"/>
      <c r="PLV187" s="1228"/>
      <c r="PLW187" s="1228"/>
      <c r="PLX187" s="1228"/>
      <c r="PLY187" s="1228"/>
      <c r="PLZ187" s="1228"/>
      <c r="PMA187" s="1228"/>
      <c r="PMB187" s="1228"/>
      <c r="PMC187" s="1228"/>
      <c r="PMD187" s="1228"/>
      <c r="PME187" s="1228"/>
      <c r="PMF187" s="1228"/>
      <c r="PMG187" s="1228"/>
      <c r="PMH187" s="1228"/>
      <c r="PMI187" s="1228"/>
      <c r="PMJ187" s="1228"/>
      <c r="PMK187" s="1228"/>
      <c r="PML187" s="1228"/>
      <c r="PMM187" s="1228"/>
      <c r="PMN187" s="1228"/>
      <c r="PMO187" s="1228"/>
      <c r="PMP187" s="1228"/>
      <c r="PMQ187" s="1228"/>
      <c r="PMR187" s="1228"/>
      <c r="PMS187" s="1228"/>
      <c r="PMT187" s="1228"/>
      <c r="PMU187" s="1228"/>
      <c r="PMV187" s="1228"/>
      <c r="PMW187" s="1228"/>
      <c r="PMX187" s="1228"/>
      <c r="PMY187" s="1228"/>
      <c r="PMZ187" s="1228"/>
      <c r="PNA187" s="1228"/>
      <c r="PNB187" s="1228"/>
      <c r="PNC187" s="1228"/>
      <c r="PND187" s="1228"/>
      <c r="PNE187" s="1228"/>
      <c r="PNF187" s="1228"/>
      <c r="PNG187" s="1228"/>
      <c r="PNH187" s="1228"/>
      <c r="PNI187" s="1228"/>
      <c r="PNJ187" s="1228"/>
      <c r="PNK187" s="1228"/>
      <c r="PNL187" s="1228"/>
      <c r="PNM187" s="1228"/>
      <c r="PNN187" s="1228"/>
      <c r="PNO187" s="1228"/>
      <c r="PNP187" s="1228"/>
      <c r="PNQ187" s="1228"/>
      <c r="PNR187" s="1228"/>
      <c r="PNS187" s="1228"/>
      <c r="PNT187" s="1228"/>
      <c r="PNU187" s="1228"/>
      <c r="PNV187" s="1228"/>
      <c r="PNW187" s="1228"/>
      <c r="PNX187" s="1228"/>
      <c r="PNY187" s="1228"/>
      <c r="PNZ187" s="1228"/>
      <c r="POA187" s="1228"/>
      <c r="POB187" s="1228"/>
      <c r="POC187" s="1228"/>
      <c r="POD187" s="1228"/>
      <c r="POE187" s="1228"/>
      <c r="POF187" s="1228"/>
      <c r="POG187" s="1228"/>
      <c r="POH187" s="1228"/>
      <c r="POI187" s="1228"/>
      <c r="POJ187" s="1228"/>
      <c r="POK187" s="1228"/>
      <c r="POL187" s="1228"/>
      <c r="POM187" s="1228"/>
      <c r="PON187" s="1228"/>
      <c r="POO187" s="1228"/>
      <c r="POP187" s="1228"/>
      <c r="POQ187" s="1228"/>
      <c r="POR187" s="1228"/>
      <c r="POS187" s="1228"/>
      <c r="POT187" s="1228"/>
      <c r="POU187" s="1228"/>
      <c r="POV187" s="1228"/>
      <c r="POW187" s="1228"/>
      <c r="POX187" s="1228"/>
      <c r="POY187" s="1228"/>
      <c r="POZ187" s="1228"/>
      <c r="PPA187" s="1228"/>
      <c r="PPB187" s="1228"/>
      <c r="PPC187" s="1228"/>
      <c r="PPD187" s="1228"/>
      <c r="PPE187" s="1228"/>
      <c r="PPF187" s="1228"/>
      <c r="PPG187" s="1228"/>
      <c r="PPH187" s="1228"/>
      <c r="PPI187" s="1228"/>
      <c r="PPJ187" s="1228"/>
      <c r="PPK187" s="1228"/>
      <c r="PPL187" s="1228"/>
      <c r="PPM187" s="1228"/>
      <c r="PPN187" s="1228"/>
      <c r="PPO187" s="1228"/>
      <c r="PPP187" s="1228"/>
      <c r="PPQ187" s="1228"/>
      <c r="PPR187" s="1228"/>
      <c r="PPS187" s="1228"/>
      <c r="PPT187" s="1228"/>
      <c r="PPU187" s="1228"/>
      <c r="PPV187" s="1228"/>
      <c r="PPW187" s="1228"/>
      <c r="PPX187" s="1228"/>
      <c r="PPY187" s="1228"/>
      <c r="PPZ187" s="1228"/>
      <c r="PQA187" s="1228"/>
      <c r="PQB187" s="1228"/>
      <c r="PQC187" s="1228"/>
      <c r="PQD187" s="1228"/>
      <c r="PQE187" s="1228"/>
      <c r="PQF187" s="1228"/>
      <c r="PQG187" s="1228"/>
      <c r="PQH187" s="1228"/>
      <c r="PQI187" s="1228"/>
      <c r="PQJ187" s="1228"/>
      <c r="PQK187" s="1228"/>
      <c r="PQL187" s="1228"/>
      <c r="PQM187" s="1228"/>
      <c r="PQN187" s="1228"/>
      <c r="PQO187" s="1228"/>
      <c r="PQP187" s="1228"/>
      <c r="PQQ187" s="1228"/>
      <c r="PQR187" s="1228"/>
      <c r="PQS187" s="1228"/>
      <c r="PQT187" s="1228"/>
      <c r="PQU187" s="1228"/>
      <c r="PQV187" s="1228"/>
      <c r="PQW187" s="1228"/>
      <c r="PQX187" s="1228"/>
      <c r="PQY187" s="1228"/>
      <c r="PQZ187" s="1228"/>
      <c r="PRA187" s="1228"/>
      <c r="PRB187" s="1228"/>
      <c r="PRC187" s="1228"/>
      <c r="PRD187" s="1228"/>
      <c r="PRE187" s="1228"/>
      <c r="PRF187" s="1228"/>
      <c r="PRG187" s="1228"/>
      <c r="PRH187" s="1228"/>
      <c r="PRI187" s="1228"/>
      <c r="PRJ187" s="1228"/>
      <c r="PRK187" s="1228"/>
      <c r="PRL187" s="1228"/>
      <c r="PRM187" s="1228"/>
      <c r="PRN187" s="1228"/>
      <c r="PRO187" s="1228"/>
      <c r="PRP187" s="1228"/>
      <c r="PRQ187" s="1228"/>
      <c r="PRR187" s="1228"/>
      <c r="PRS187" s="1228"/>
      <c r="PRT187" s="1228"/>
      <c r="PRU187" s="1228"/>
      <c r="PRV187" s="1228"/>
      <c r="PRW187" s="1228"/>
      <c r="PRX187" s="1228"/>
      <c r="PRY187" s="1228"/>
      <c r="PRZ187" s="1228"/>
      <c r="PSA187" s="1228"/>
      <c r="PSB187" s="1228"/>
      <c r="PSC187" s="1228"/>
      <c r="PSD187" s="1228"/>
      <c r="PSE187" s="1228"/>
      <c r="PSF187" s="1228"/>
      <c r="PSG187" s="1228"/>
      <c r="PSH187" s="1228"/>
      <c r="PSI187" s="1228"/>
      <c r="PSJ187" s="1228"/>
      <c r="PSK187" s="1228"/>
      <c r="PSL187" s="1228"/>
      <c r="PSM187" s="1228"/>
      <c r="PSN187" s="1228"/>
      <c r="PSO187" s="1228"/>
      <c r="PSP187" s="1228"/>
      <c r="PSQ187" s="1228"/>
      <c r="PSR187" s="1228"/>
      <c r="PSS187" s="1228"/>
      <c r="PST187" s="1228"/>
      <c r="PSU187" s="1228"/>
      <c r="PSV187" s="1228"/>
      <c r="PSW187" s="1228"/>
      <c r="PSX187" s="1228"/>
      <c r="PSY187" s="1228"/>
      <c r="PSZ187" s="1228"/>
      <c r="PTA187" s="1228"/>
      <c r="PTB187" s="1228"/>
      <c r="PTC187" s="1228"/>
      <c r="PTD187" s="1228"/>
      <c r="PTE187" s="1228"/>
      <c r="PTF187" s="1228"/>
      <c r="PTG187" s="1228"/>
      <c r="PTH187" s="1228"/>
      <c r="PTI187" s="1228"/>
      <c r="PTJ187" s="1228"/>
      <c r="PTK187" s="1228"/>
      <c r="PTL187" s="1228"/>
      <c r="PTM187" s="1228"/>
      <c r="PTN187" s="1228"/>
      <c r="PTO187" s="1228"/>
      <c r="PTP187" s="1228"/>
      <c r="PTQ187" s="1228"/>
      <c r="PTR187" s="1228"/>
      <c r="PTS187" s="1228"/>
      <c r="PTT187" s="1228"/>
      <c r="PTU187" s="1228"/>
      <c r="PTV187" s="1228"/>
      <c r="PTW187" s="1228"/>
      <c r="PTX187" s="1228"/>
      <c r="PTY187" s="1228"/>
      <c r="PTZ187" s="1228"/>
      <c r="PUA187" s="1228"/>
      <c r="PUB187" s="1228"/>
      <c r="PUC187" s="1228"/>
      <c r="PUD187" s="1228"/>
      <c r="PUE187" s="1228"/>
      <c r="PUF187" s="1228"/>
      <c r="PUG187" s="1228"/>
      <c r="PUH187" s="1228"/>
      <c r="PUI187" s="1228"/>
      <c r="PUJ187" s="1228"/>
      <c r="PUK187" s="1228"/>
      <c r="PUL187" s="1228"/>
      <c r="PUM187" s="1228"/>
      <c r="PUN187" s="1228"/>
      <c r="PUO187" s="1228"/>
      <c r="PUP187" s="1228"/>
      <c r="PUQ187" s="1228"/>
      <c r="PUR187" s="1228"/>
      <c r="PUS187" s="1228"/>
      <c r="PUT187" s="1228"/>
      <c r="PUU187" s="1228"/>
      <c r="PUV187" s="1228"/>
      <c r="PUW187" s="1228"/>
      <c r="PUX187" s="1228"/>
      <c r="PUY187" s="1228"/>
      <c r="PUZ187" s="1228"/>
      <c r="PVA187" s="1228"/>
      <c r="PVB187" s="1228"/>
      <c r="PVC187" s="1228"/>
      <c r="PVD187" s="1228"/>
      <c r="PVE187" s="1228"/>
      <c r="PVF187" s="1228"/>
      <c r="PVG187" s="1228"/>
      <c r="PVH187" s="1228"/>
      <c r="PVI187" s="1228"/>
      <c r="PVJ187" s="1228"/>
      <c r="PVK187" s="1228"/>
      <c r="PVL187" s="1228"/>
      <c r="PVM187" s="1228"/>
      <c r="PVN187" s="1228"/>
      <c r="PVO187" s="1228"/>
      <c r="PVP187" s="1228"/>
      <c r="PVQ187" s="1228"/>
      <c r="PVR187" s="1228"/>
      <c r="PVS187" s="1228"/>
      <c r="PVT187" s="1228"/>
      <c r="PVU187" s="1228"/>
      <c r="PVV187" s="1228"/>
      <c r="PVW187" s="1228"/>
      <c r="PVX187" s="1228"/>
      <c r="PVY187" s="1228"/>
      <c r="PVZ187" s="1228"/>
      <c r="PWA187" s="1228"/>
      <c r="PWB187" s="1228"/>
      <c r="PWC187" s="1228"/>
      <c r="PWD187" s="1228"/>
      <c r="PWE187" s="1228"/>
      <c r="PWF187" s="1228"/>
      <c r="PWG187" s="1228"/>
      <c r="PWH187" s="1228"/>
      <c r="PWI187" s="1228"/>
      <c r="PWJ187" s="1228"/>
      <c r="PWK187" s="1228"/>
      <c r="PWL187" s="1228"/>
      <c r="PWM187" s="1228"/>
      <c r="PWN187" s="1228"/>
      <c r="PWO187" s="1228"/>
      <c r="PWP187" s="1228"/>
      <c r="PWQ187" s="1228"/>
      <c r="PWR187" s="1228"/>
      <c r="PWS187" s="1228"/>
      <c r="PWT187" s="1228"/>
      <c r="PWU187" s="1228"/>
      <c r="PWV187" s="1228"/>
      <c r="PWW187" s="1228"/>
      <c r="PWX187" s="1228"/>
      <c r="PWY187" s="1228"/>
      <c r="PWZ187" s="1228"/>
      <c r="PXA187" s="1228"/>
      <c r="PXB187" s="1228"/>
      <c r="PXC187" s="1228"/>
      <c r="PXD187" s="1228"/>
      <c r="PXE187" s="1228"/>
      <c r="PXF187" s="1228"/>
      <c r="PXG187" s="1228"/>
      <c r="PXH187" s="1228"/>
      <c r="PXI187" s="1228"/>
      <c r="PXJ187" s="1228"/>
      <c r="PXK187" s="1228"/>
      <c r="PXL187" s="1228"/>
      <c r="PXM187" s="1228"/>
      <c r="PXN187" s="1228"/>
      <c r="PXO187" s="1228"/>
      <c r="PXP187" s="1228"/>
      <c r="PXQ187" s="1228"/>
      <c r="PXR187" s="1228"/>
      <c r="PXS187" s="1228"/>
      <c r="PXT187" s="1228"/>
      <c r="PXU187" s="1228"/>
      <c r="PXV187" s="1228"/>
      <c r="PXW187" s="1228"/>
      <c r="PXX187" s="1228"/>
      <c r="PXY187" s="1228"/>
      <c r="PXZ187" s="1228"/>
      <c r="PYA187" s="1228"/>
      <c r="PYB187" s="1228"/>
      <c r="PYC187" s="1228"/>
      <c r="PYD187" s="1228"/>
      <c r="PYE187" s="1228"/>
      <c r="PYF187" s="1228"/>
      <c r="PYG187" s="1228"/>
      <c r="PYH187" s="1228"/>
      <c r="PYI187" s="1228"/>
      <c r="PYJ187" s="1228"/>
      <c r="PYK187" s="1228"/>
      <c r="PYL187" s="1228"/>
      <c r="PYM187" s="1228"/>
      <c r="PYN187" s="1228"/>
      <c r="PYO187" s="1228"/>
      <c r="PYP187" s="1228"/>
      <c r="PYQ187" s="1228"/>
      <c r="PYR187" s="1228"/>
      <c r="PYS187" s="1228"/>
      <c r="PYT187" s="1228"/>
      <c r="PYU187" s="1228"/>
      <c r="PYV187" s="1228"/>
      <c r="PYW187" s="1228"/>
      <c r="PYX187" s="1228"/>
      <c r="PYY187" s="1228"/>
      <c r="PYZ187" s="1228"/>
      <c r="PZA187" s="1228"/>
      <c r="PZB187" s="1228"/>
      <c r="PZC187" s="1228"/>
      <c r="PZD187" s="1228"/>
      <c r="PZE187" s="1228"/>
      <c r="PZF187" s="1228"/>
      <c r="PZG187" s="1228"/>
      <c r="PZH187" s="1228"/>
      <c r="PZI187" s="1228"/>
      <c r="PZJ187" s="1228"/>
      <c r="PZK187" s="1228"/>
      <c r="PZL187" s="1228"/>
      <c r="PZM187" s="1228"/>
      <c r="PZN187" s="1228"/>
      <c r="PZO187" s="1228"/>
      <c r="PZP187" s="1228"/>
      <c r="PZQ187" s="1228"/>
      <c r="PZR187" s="1228"/>
      <c r="PZS187" s="1228"/>
      <c r="PZT187" s="1228"/>
      <c r="PZU187" s="1228"/>
      <c r="PZV187" s="1228"/>
      <c r="PZW187" s="1228"/>
      <c r="PZX187" s="1228"/>
      <c r="PZY187" s="1228"/>
      <c r="PZZ187" s="1228"/>
      <c r="QAA187" s="1228"/>
      <c r="QAB187" s="1228"/>
      <c r="QAC187" s="1228"/>
      <c r="QAD187" s="1228"/>
      <c r="QAE187" s="1228"/>
      <c r="QAF187" s="1228"/>
      <c r="QAG187" s="1228"/>
      <c r="QAH187" s="1228"/>
      <c r="QAI187" s="1228"/>
      <c r="QAJ187" s="1228"/>
      <c r="QAK187" s="1228"/>
      <c r="QAL187" s="1228"/>
      <c r="QAM187" s="1228"/>
      <c r="QAN187" s="1228"/>
      <c r="QAO187" s="1228"/>
      <c r="QAP187" s="1228"/>
      <c r="QAQ187" s="1228"/>
      <c r="QAR187" s="1228"/>
      <c r="QAS187" s="1228"/>
      <c r="QAT187" s="1228"/>
      <c r="QAU187" s="1228"/>
      <c r="QAV187" s="1228"/>
      <c r="QAW187" s="1228"/>
      <c r="QAX187" s="1228"/>
      <c r="QAY187" s="1228"/>
      <c r="QAZ187" s="1228"/>
      <c r="QBA187" s="1228"/>
      <c r="QBB187" s="1228"/>
      <c r="QBC187" s="1228"/>
      <c r="QBD187" s="1228"/>
      <c r="QBE187" s="1228"/>
      <c r="QBF187" s="1228"/>
      <c r="QBG187" s="1228"/>
      <c r="QBH187" s="1228"/>
      <c r="QBI187" s="1228"/>
      <c r="QBJ187" s="1228"/>
      <c r="QBK187" s="1228"/>
      <c r="QBL187" s="1228"/>
      <c r="QBM187" s="1228"/>
      <c r="QBN187" s="1228"/>
      <c r="QBO187" s="1228"/>
      <c r="QBP187" s="1228"/>
      <c r="QBQ187" s="1228"/>
      <c r="QBR187" s="1228"/>
      <c r="QBS187" s="1228"/>
      <c r="QBT187" s="1228"/>
      <c r="QBU187" s="1228"/>
      <c r="QBV187" s="1228"/>
      <c r="QBW187" s="1228"/>
      <c r="QBX187" s="1228"/>
      <c r="QBY187" s="1228"/>
      <c r="QBZ187" s="1228"/>
      <c r="QCA187" s="1228"/>
      <c r="QCB187" s="1228"/>
      <c r="QCC187" s="1228"/>
      <c r="QCD187" s="1228"/>
      <c r="QCE187" s="1228"/>
      <c r="QCF187" s="1228"/>
      <c r="QCG187" s="1228"/>
      <c r="QCH187" s="1228"/>
      <c r="QCI187" s="1228"/>
      <c r="QCJ187" s="1228"/>
      <c r="QCK187" s="1228"/>
      <c r="QCL187" s="1228"/>
      <c r="QCM187" s="1228"/>
      <c r="QCN187" s="1228"/>
      <c r="QCO187" s="1228"/>
      <c r="QCP187" s="1228"/>
      <c r="QCQ187" s="1228"/>
      <c r="QCR187" s="1228"/>
      <c r="QCS187" s="1228"/>
      <c r="QCT187" s="1228"/>
      <c r="QCU187" s="1228"/>
      <c r="QCV187" s="1228"/>
      <c r="QCW187" s="1228"/>
      <c r="QCX187" s="1228"/>
      <c r="QCY187" s="1228"/>
      <c r="QCZ187" s="1228"/>
      <c r="QDA187" s="1228"/>
      <c r="QDB187" s="1228"/>
      <c r="QDC187" s="1228"/>
      <c r="QDD187" s="1228"/>
      <c r="QDE187" s="1228"/>
      <c r="QDF187" s="1228"/>
      <c r="QDG187" s="1228"/>
      <c r="QDH187" s="1228"/>
      <c r="QDI187" s="1228"/>
      <c r="QDJ187" s="1228"/>
      <c r="QDK187" s="1228"/>
      <c r="QDL187" s="1228"/>
      <c r="QDM187" s="1228"/>
      <c r="QDN187" s="1228"/>
      <c r="QDO187" s="1228"/>
      <c r="QDP187" s="1228"/>
      <c r="QDQ187" s="1228"/>
      <c r="QDR187" s="1228"/>
      <c r="QDS187" s="1228"/>
      <c r="QDT187" s="1228"/>
      <c r="QDU187" s="1228"/>
      <c r="QDV187" s="1228"/>
      <c r="QDW187" s="1228"/>
      <c r="QDX187" s="1228"/>
      <c r="QDY187" s="1228"/>
      <c r="QDZ187" s="1228"/>
      <c r="QEA187" s="1228"/>
      <c r="QEB187" s="1228"/>
      <c r="QEC187" s="1228"/>
      <c r="QED187" s="1228"/>
      <c r="QEE187" s="1228"/>
      <c r="QEF187" s="1228"/>
      <c r="QEG187" s="1228"/>
      <c r="QEH187" s="1228"/>
      <c r="QEI187" s="1228"/>
      <c r="QEJ187" s="1228"/>
      <c r="QEK187" s="1228"/>
      <c r="QEL187" s="1228"/>
      <c r="QEM187" s="1228"/>
      <c r="QEN187" s="1228"/>
      <c r="QEO187" s="1228"/>
      <c r="QEP187" s="1228"/>
      <c r="QEQ187" s="1228"/>
      <c r="QER187" s="1228"/>
      <c r="QES187" s="1228"/>
      <c r="QET187" s="1228"/>
      <c r="QEU187" s="1228"/>
      <c r="QEV187" s="1228"/>
      <c r="QEW187" s="1228"/>
      <c r="QEX187" s="1228"/>
      <c r="QEY187" s="1228"/>
      <c r="QEZ187" s="1228"/>
      <c r="QFA187" s="1228"/>
      <c r="QFB187" s="1228"/>
      <c r="QFC187" s="1228"/>
      <c r="QFD187" s="1228"/>
      <c r="QFE187" s="1228"/>
      <c r="QFF187" s="1228"/>
      <c r="QFG187" s="1228"/>
      <c r="QFH187" s="1228"/>
      <c r="QFI187" s="1228"/>
      <c r="QFJ187" s="1228"/>
      <c r="QFK187" s="1228"/>
      <c r="QFL187" s="1228"/>
      <c r="QFM187" s="1228"/>
      <c r="QFN187" s="1228"/>
      <c r="QFO187" s="1228"/>
      <c r="QFP187" s="1228"/>
      <c r="QFQ187" s="1228"/>
      <c r="QFR187" s="1228"/>
      <c r="QFS187" s="1228"/>
      <c r="QFT187" s="1228"/>
      <c r="QFU187" s="1228"/>
      <c r="QFV187" s="1228"/>
      <c r="QFW187" s="1228"/>
      <c r="QFX187" s="1228"/>
      <c r="QFY187" s="1228"/>
      <c r="QFZ187" s="1228"/>
      <c r="QGA187" s="1228"/>
      <c r="QGB187" s="1228"/>
      <c r="QGC187" s="1228"/>
      <c r="QGD187" s="1228"/>
      <c r="QGE187" s="1228"/>
      <c r="QGF187" s="1228"/>
      <c r="QGG187" s="1228"/>
      <c r="QGH187" s="1228"/>
      <c r="QGI187" s="1228"/>
      <c r="QGJ187" s="1228"/>
      <c r="QGK187" s="1228"/>
      <c r="QGL187" s="1228"/>
      <c r="QGM187" s="1228"/>
      <c r="QGN187" s="1228"/>
      <c r="QGO187" s="1228"/>
      <c r="QGP187" s="1228"/>
      <c r="QGQ187" s="1228"/>
      <c r="QGR187" s="1228"/>
      <c r="QGS187" s="1228"/>
      <c r="QGT187" s="1228"/>
      <c r="QGU187" s="1228"/>
      <c r="QGV187" s="1228"/>
      <c r="QGW187" s="1228"/>
      <c r="QGX187" s="1228"/>
      <c r="QGY187" s="1228"/>
      <c r="QGZ187" s="1228"/>
      <c r="QHA187" s="1228"/>
      <c r="QHB187" s="1228"/>
      <c r="QHC187" s="1228"/>
      <c r="QHD187" s="1228"/>
      <c r="QHE187" s="1228"/>
      <c r="QHF187" s="1228"/>
      <c r="QHG187" s="1228"/>
      <c r="QHH187" s="1228"/>
      <c r="QHI187" s="1228"/>
      <c r="QHJ187" s="1228"/>
      <c r="QHK187" s="1228"/>
      <c r="QHL187" s="1228"/>
      <c r="QHM187" s="1228"/>
      <c r="QHN187" s="1228"/>
      <c r="QHO187" s="1228"/>
      <c r="QHP187" s="1228"/>
      <c r="QHQ187" s="1228"/>
      <c r="QHR187" s="1228"/>
      <c r="QHS187" s="1228"/>
      <c r="QHT187" s="1228"/>
      <c r="QHU187" s="1228"/>
      <c r="QHV187" s="1228"/>
      <c r="QHW187" s="1228"/>
      <c r="QHX187" s="1228"/>
      <c r="QHY187" s="1228"/>
      <c r="QHZ187" s="1228"/>
      <c r="QIA187" s="1228"/>
      <c r="QIB187" s="1228"/>
      <c r="QIC187" s="1228"/>
      <c r="QID187" s="1228"/>
      <c r="QIE187" s="1228"/>
      <c r="QIF187" s="1228"/>
      <c r="QIG187" s="1228"/>
      <c r="QIH187" s="1228"/>
      <c r="QII187" s="1228"/>
      <c r="QIJ187" s="1228"/>
      <c r="QIK187" s="1228"/>
      <c r="QIL187" s="1228"/>
      <c r="QIM187" s="1228"/>
      <c r="QIN187" s="1228"/>
      <c r="QIO187" s="1228"/>
      <c r="QIP187" s="1228"/>
      <c r="QIQ187" s="1228"/>
      <c r="QIR187" s="1228"/>
      <c r="QIS187" s="1228"/>
      <c r="QIT187" s="1228"/>
      <c r="QIU187" s="1228"/>
      <c r="QIV187" s="1228"/>
      <c r="QIW187" s="1228"/>
      <c r="QIX187" s="1228"/>
      <c r="QIY187" s="1228"/>
      <c r="QIZ187" s="1228"/>
      <c r="QJA187" s="1228"/>
      <c r="QJB187" s="1228"/>
      <c r="QJC187" s="1228"/>
      <c r="QJD187" s="1228"/>
      <c r="QJE187" s="1228"/>
      <c r="QJF187" s="1228"/>
      <c r="QJG187" s="1228"/>
      <c r="QJH187" s="1228"/>
      <c r="QJI187" s="1228"/>
      <c r="QJJ187" s="1228"/>
      <c r="QJK187" s="1228"/>
      <c r="QJL187" s="1228"/>
      <c r="QJM187" s="1228"/>
      <c r="QJN187" s="1228"/>
      <c r="QJO187" s="1228"/>
      <c r="QJP187" s="1228"/>
      <c r="QJQ187" s="1228"/>
      <c r="QJR187" s="1228"/>
      <c r="QJS187" s="1228"/>
      <c r="QJT187" s="1228"/>
      <c r="QJU187" s="1228"/>
      <c r="QJV187" s="1228"/>
      <c r="QJW187" s="1228"/>
      <c r="QJX187" s="1228"/>
      <c r="QJY187" s="1228"/>
      <c r="QJZ187" s="1228"/>
      <c r="QKA187" s="1228"/>
      <c r="QKB187" s="1228"/>
      <c r="QKC187" s="1228"/>
      <c r="QKD187" s="1228"/>
      <c r="QKE187" s="1228"/>
      <c r="QKF187" s="1228"/>
      <c r="QKG187" s="1228"/>
      <c r="QKH187" s="1228"/>
      <c r="QKI187" s="1228"/>
      <c r="QKJ187" s="1228"/>
      <c r="QKK187" s="1228"/>
      <c r="QKL187" s="1228"/>
      <c r="QKM187" s="1228"/>
      <c r="QKN187" s="1228"/>
      <c r="QKO187" s="1228"/>
      <c r="QKP187" s="1228"/>
      <c r="QKQ187" s="1228"/>
      <c r="QKR187" s="1228"/>
      <c r="QKS187" s="1228"/>
      <c r="QKT187" s="1228"/>
      <c r="QKU187" s="1228"/>
      <c r="QKV187" s="1228"/>
      <c r="QKW187" s="1228"/>
      <c r="QKX187" s="1228"/>
      <c r="QKY187" s="1228"/>
      <c r="QKZ187" s="1228"/>
      <c r="QLA187" s="1228"/>
      <c r="QLB187" s="1228"/>
      <c r="QLC187" s="1228"/>
      <c r="QLD187" s="1228"/>
      <c r="QLE187" s="1228"/>
      <c r="QLF187" s="1228"/>
      <c r="QLG187" s="1228"/>
      <c r="QLH187" s="1228"/>
      <c r="QLI187" s="1228"/>
      <c r="QLJ187" s="1228"/>
      <c r="QLK187" s="1228"/>
      <c r="QLL187" s="1228"/>
      <c r="QLM187" s="1228"/>
      <c r="QLN187" s="1228"/>
      <c r="QLO187" s="1228"/>
      <c r="QLP187" s="1228"/>
      <c r="QLQ187" s="1228"/>
      <c r="QLR187" s="1228"/>
      <c r="QLS187" s="1228"/>
      <c r="QLT187" s="1228"/>
      <c r="QLU187" s="1228"/>
      <c r="QLV187" s="1228"/>
      <c r="QLW187" s="1228"/>
      <c r="QLX187" s="1228"/>
      <c r="QLY187" s="1228"/>
      <c r="QLZ187" s="1228"/>
      <c r="QMA187" s="1228"/>
      <c r="QMB187" s="1228"/>
      <c r="QMC187" s="1228"/>
      <c r="QMD187" s="1228"/>
      <c r="QME187" s="1228"/>
      <c r="QMF187" s="1228"/>
      <c r="QMG187" s="1228"/>
      <c r="QMH187" s="1228"/>
      <c r="QMI187" s="1228"/>
      <c r="QMJ187" s="1228"/>
      <c r="QMK187" s="1228"/>
      <c r="QML187" s="1228"/>
      <c r="QMM187" s="1228"/>
      <c r="QMN187" s="1228"/>
      <c r="QMO187" s="1228"/>
      <c r="QMP187" s="1228"/>
      <c r="QMQ187" s="1228"/>
      <c r="QMR187" s="1228"/>
      <c r="QMS187" s="1228"/>
      <c r="QMT187" s="1228"/>
      <c r="QMU187" s="1228"/>
      <c r="QMV187" s="1228"/>
      <c r="QMW187" s="1228"/>
      <c r="QMX187" s="1228"/>
      <c r="QMY187" s="1228"/>
      <c r="QMZ187" s="1228"/>
      <c r="QNA187" s="1228"/>
      <c r="QNB187" s="1228"/>
      <c r="QNC187" s="1228"/>
      <c r="QND187" s="1228"/>
      <c r="QNE187" s="1228"/>
      <c r="QNF187" s="1228"/>
      <c r="QNG187" s="1228"/>
      <c r="QNH187" s="1228"/>
      <c r="QNI187" s="1228"/>
      <c r="QNJ187" s="1228"/>
      <c r="QNK187" s="1228"/>
      <c r="QNL187" s="1228"/>
      <c r="QNM187" s="1228"/>
      <c r="QNN187" s="1228"/>
      <c r="QNO187" s="1228"/>
      <c r="QNP187" s="1228"/>
      <c r="QNQ187" s="1228"/>
      <c r="QNR187" s="1228"/>
      <c r="QNS187" s="1228"/>
      <c r="QNT187" s="1228"/>
      <c r="QNU187" s="1228"/>
      <c r="QNV187" s="1228"/>
      <c r="QNW187" s="1228"/>
      <c r="QNX187" s="1228"/>
      <c r="QNY187" s="1228"/>
      <c r="QNZ187" s="1228"/>
      <c r="QOA187" s="1228"/>
      <c r="QOB187" s="1228"/>
      <c r="QOC187" s="1228"/>
      <c r="QOD187" s="1228"/>
      <c r="QOE187" s="1228"/>
      <c r="QOF187" s="1228"/>
      <c r="QOG187" s="1228"/>
      <c r="QOH187" s="1228"/>
      <c r="QOI187" s="1228"/>
      <c r="QOJ187" s="1228"/>
      <c r="QOK187" s="1228"/>
      <c r="QOL187" s="1228"/>
      <c r="QOM187" s="1228"/>
      <c r="QON187" s="1228"/>
      <c r="QOO187" s="1228"/>
      <c r="QOP187" s="1228"/>
      <c r="QOQ187" s="1228"/>
      <c r="QOR187" s="1228"/>
      <c r="QOS187" s="1228"/>
      <c r="QOT187" s="1228"/>
      <c r="QOU187" s="1228"/>
      <c r="QOV187" s="1228"/>
      <c r="QOW187" s="1228"/>
      <c r="QOX187" s="1228"/>
      <c r="QOY187" s="1228"/>
      <c r="QOZ187" s="1228"/>
      <c r="QPA187" s="1228"/>
      <c r="QPB187" s="1228"/>
      <c r="QPC187" s="1228"/>
      <c r="QPD187" s="1228"/>
      <c r="QPE187" s="1228"/>
      <c r="QPF187" s="1228"/>
      <c r="QPG187" s="1228"/>
      <c r="QPH187" s="1228"/>
      <c r="QPI187" s="1228"/>
      <c r="QPJ187" s="1228"/>
      <c r="QPK187" s="1228"/>
      <c r="QPL187" s="1228"/>
      <c r="QPM187" s="1228"/>
      <c r="QPN187" s="1228"/>
      <c r="QPO187" s="1228"/>
      <c r="QPP187" s="1228"/>
      <c r="QPQ187" s="1228"/>
      <c r="QPR187" s="1228"/>
      <c r="QPS187" s="1228"/>
      <c r="QPT187" s="1228"/>
      <c r="QPU187" s="1228"/>
      <c r="QPV187" s="1228"/>
      <c r="QPW187" s="1228"/>
      <c r="QPX187" s="1228"/>
      <c r="QPY187" s="1228"/>
      <c r="QPZ187" s="1228"/>
      <c r="QQA187" s="1228"/>
      <c r="QQB187" s="1228"/>
      <c r="QQC187" s="1228"/>
      <c r="QQD187" s="1228"/>
      <c r="QQE187" s="1228"/>
      <c r="QQF187" s="1228"/>
      <c r="QQG187" s="1228"/>
      <c r="QQH187" s="1228"/>
      <c r="QQI187" s="1228"/>
      <c r="QQJ187" s="1228"/>
      <c r="QQK187" s="1228"/>
      <c r="QQL187" s="1228"/>
      <c r="QQM187" s="1228"/>
      <c r="QQN187" s="1228"/>
      <c r="QQO187" s="1228"/>
      <c r="QQP187" s="1228"/>
      <c r="QQQ187" s="1228"/>
      <c r="QQR187" s="1228"/>
      <c r="QQS187" s="1228"/>
      <c r="QQT187" s="1228"/>
      <c r="QQU187" s="1228"/>
      <c r="QQV187" s="1228"/>
      <c r="QQW187" s="1228"/>
      <c r="QQX187" s="1228"/>
      <c r="QQY187" s="1228"/>
      <c r="QQZ187" s="1228"/>
      <c r="QRA187" s="1228"/>
      <c r="QRB187" s="1228"/>
      <c r="QRC187" s="1228"/>
      <c r="QRD187" s="1228"/>
      <c r="QRE187" s="1228"/>
      <c r="QRF187" s="1228"/>
      <c r="QRG187" s="1228"/>
      <c r="QRH187" s="1228"/>
      <c r="QRI187" s="1228"/>
      <c r="QRJ187" s="1228"/>
      <c r="QRK187" s="1228"/>
      <c r="QRL187" s="1228"/>
      <c r="QRM187" s="1228"/>
      <c r="QRN187" s="1228"/>
      <c r="QRO187" s="1228"/>
      <c r="QRP187" s="1228"/>
      <c r="QRQ187" s="1228"/>
      <c r="QRR187" s="1228"/>
      <c r="QRS187" s="1228"/>
      <c r="QRT187" s="1228"/>
      <c r="QRU187" s="1228"/>
      <c r="QRV187" s="1228"/>
      <c r="QRW187" s="1228"/>
      <c r="QRX187" s="1228"/>
      <c r="QRY187" s="1228"/>
      <c r="QRZ187" s="1228"/>
      <c r="QSA187" s="1228"/>
      <c r="QSB187" s="1228"/>
      <c r="QSC187" s="1228"/>
      <c r="QSD187" s="1228"/>
      <c r="QSE187" s="1228"/>
      <c r="QSF187" s="1228"/>
      <c r="QSG187" s="1228"/>
      <c r="QSH187" s="1228"/>
      <c r="QSI187" s="1228"/>
      <c r="QSJ187" s="1228"/>
      <c r="QSK187" s="1228"/>
      <c r="QSL187" s="1228"/>
      <c r="QSM187" s="1228"/>
      <c r="QSN187" s="1228"/>
      <c r="QSO187" s="1228"/>
      <c r="QSP187" s="1228"/>
      <c r="QSQ187" s="1228"/>
      <c r="QSR187" s="1228"/>
      <c r="QSS187" s="1228"/>
      <c r="QST187" s="1228"/>
      <c r="QSU187" s="1228"/>
      <c r="QSV187" s="1228"/>
      <c r="QSW187" s="1228"/>
      <c r="QSX187" s="1228"/>
      <c r="QSY187" s="1228"/>
      <c r="QSZ187" s="1228"/>
      <c r="QTA187" s="1228"/>
      <c r="QTB187" s="1228"/>
      <c r="QTC187" s="1228"/>
      <c r="QTD187" s="1228"/>
      <c r="QTE187" s="1228"/>
      <c r="QTF187" s="1228"/>
      <c r="QTG187" s="1228"/>
      <c r="QTH187" s="1228"/>
      <c r="QTI187" s="1228"/>
      <c r="QTJ187" s="1228"/>
      <c r="QTK187" s="1228"/>
      <c r="QTL187" s="1228"/>
      <c r="QTM187" s="1228"/>
      <c r="QTN187" s="1228"/>
      <c r="QTO187" s="1228"/>
      <c r="QTP187" s="1228"/>
      <c r="QTQ187" s="1228"/>
      <c r="QTR187" s="1228"/>
      <c r="QTS187" s="1228"/>
      <c r="QTT187" s="1228"/>
      <c r="QTU187" s="1228"/>
      <c r="QTV187" s="1228"/>
      <c r="QTW187" s="1228"/>
      <c r="QTX187" s="1228"/>
      <c r="QTY187" s="1228"/>
      <c r="QTZ187" s="1228"/>
      <c r="QUA187" s="1228"/>
      <c r="QUB187" s="1228"/>
      <c r="QUC187" s="1228"/>
      <c r="QUD187" s="1228"/>
      <c r="QUE187" s="1228"/>
      <c r="QUF187" s="1228"/>
      <c r="QUG187" s="1228"/>
      <c r="QUH187" s="1228"/>
      <c r="QUI187" s="1228"/>
      <c r="QUJ187" s="1228"/>
      <c r="QUK187" s="1228"/>
      <c r="QUL187" s="1228"/>
      <c r="QUM187" s="1228"/>
      <c r="QUN187" s="1228"/>
      <c r="QUO187" s="1228"/>
      <c r="QUP187" s="1228"/>
      <c r="QUQ187" s="1228"/>
      <c r="QUR187" s="1228"/>
      <c r="QUS187" s="1228"/>
      <c r="QUT187" s="1228"/>
      <c r="QUU187" s="1228"/>
      <c r="QUV187" s="1228"/>
      <c r="QUW187" s="1228"/>
      <c r="QUX187" s="1228"/>
      <c r="QUY187" s="1228"/>
      <c r="QUZ187" s="1228"/>
      <c r="QVA187" s="1228"/>
      <c r="QVB187" s="1228"/>
      <c r="QVC187" s="1228"/>
      <c r="QVD187" s="1228"/>
      <c r="QVE187" s="1228"/>
      <c r="QVF187" s="1228"/>
      <c r="QVG187" s="1228"/>
      <c r="QVH187" s="1228"/>
      <c r="QVI187" s="1228"/>
      <c r="QVJ187" s="1228"/>
      <c r="QVK187" s="1228"/>
      <c r="QVL187" s="1228"/>
      <c r="QVM187" s="1228"/>
      <c r="QVN187" s="1228"/>
      <c r="QVO187" s="1228"/>
      <c r="QVP187" s="1228"/>
      <c r="QVQ187" s="1228"/>
      <c r="QVR187" s="1228"/>
      <c r="QVS187" s="1228"/>
      <c r="QVT187" s="1228"/>
      <c r="QVU187" s="1228"/>
      <c r="QVV187" s="1228"/>
      <c r="QVW187" s="1228"/>
      <c r="QVX187" s="1228"/>
      <c r="QVY187" s="1228"/>
      <c r="QVZ187" s="1228"/>
      <c r="QWA187" s="1228"/>
      <c r="QWB187" s="1228"/>
      <c r="QWC187" s="1228"/>
      <c r="QWD187" s="1228"/>
      <c r="QWE187" s="1228"/>
      <c r="QWF187" s="1228"/>
      <c r="QWG187" s="1228"/>
      <c r="QWH187" s="1228"/>
      <c r="QWI187" s="1228"/>
      <c r="QWJ187" s="1228"/>
      <c r="QWK187" s="1228"/>
      <c r="QWL187" s="1228"/>
      <c r="QWM187" s="1228"/>
      <c r="QWN187" s="1228"/>
      <c r="QWO187" s="1228"/>
      <c r="QWP187" s="1228"/>
      <c r="QWQ187" s="1228"/>
      <c r="QWR187" s="1228"/>
      <c r="QWS187" s="1228"/>
      <c r="QWT187" s="1228"/>
      <c r="QWU187" s="1228"/>
      <c r="QWV187" s="1228"/>
      <c r="QWW187" s="1228"/>
      <c r="QWX187" s="1228"/>
      <c r="QWY187" s="1228"/>
      <c r="QWZ187" s="1228"/>
      <c r="QXA187" s="1228"/>
      <c r="QXB187" s="1228"/>
      <c r="QXC187" s="1228"/>
      <c r="QXD187" s="1228"/>
      <c r="QXE187" s="1228"/>
      <c r="QXF187" s="1228"/>
      <c r="QXG187" s="1228"/>
      <c r="QXH187" s="1228"/>
      <c r="QXI187" s="1228"/>
      <c r="QXJ187" s="1228"/>
      <c r="QXK187" s="1228"/>
      <c r="QXL187" s="1228"/>
      <c r="QXM187" s="1228"/>
      <c r="QXN187" s="1228"/>
      <c r="QXO187" s="1228"/>
      <c r="QXP187" s="1228"/>
      <c r="QXQ187" s="1228"/>
      <c r="QXR187" s="1228"/>
      <c r="QXS187" s="1228"/>
      <c r="QXT187" s="1228"/>
      <c r="QXU187" s="1228"/>
      <c r="QXV187" s="1228"/>
      <c r="QXW187" s="1228"/>
      <c r="QXX187" s="1228"/>
      <c r="QXY187" s="1228"/>
      <c r="QXZ187" s="1228"/>
      <c r="QYA187" s="1228"/>
      <c r="QYB187" s="1228"/>
      <c r="QYC187" s="1228"/>
      <c r="QYD187" s="1228"/>
      <c r="QYE187" s="1228"/>
      <c r="QYF187" s="1228"/>
      <c r="QYG187" s="1228"/>
      <c r="QYH187" s="1228"/>
      <c r="QYI187" s="1228"/>
      <c r="QYJ187" s="1228"/>
      <c r="QYK187" s="1228"/>
      <c r="QYL187" s="1228"/>
      <c r="QYM187" s="1228"/>
      <c r="QYN187" s="1228"/>
      <c r="QYO187" s="1228"/>
      <c r="QYP187" s="1228"/>
      <c r="QYQ187" s="1228"/>
      <c r="QYR187" s="1228"/>
      <c r="QYS187" s="1228"/>
      <c r="QYT187" s="1228"/>
      <c r="QYU187" s="1228"/>
      <c r="QYV187" s="1228"/>
      <c r="QYW187" s="1228"/>
      <c r="QYX187" s="1228"/>
      <c r="QYY187" s="1228"/>
      <c r="QYZ187" s="1228"/>
      <c r="QZA187" s="1228"/>
      <c r="QZB187" s="1228"/>
      <c r="QZC187" s="1228"/>
      <c r="QZD187" s="1228"/>
      <c r="QZE187" s="1228"/>
      <c r="QZF187" s="1228"/>
      <c r="QZG187" s="1228"/>
      <c r="QZH187" s="1228"/>
      <c r="QZI187" s="1228"/>
      <c r="QZJ187" s="1228"/>
      <c r="QZK187" s="1228"/>
      <c r="QZL187" s="1228"/>
      <c r="QZM187" s="1228"/>
      <c r="QZN187" s="1228"/>
      <c r="QZO187" s="1228"/>
      <c r="QZP187" s="1228"/>
      <c r="QZQ187" s="1228"/>
      <c r="QZR187" s="1228"/>
      <c r="QZS187" s="1228"/>
      <c r="QZT187" s="1228"/>
      <c r="QZU187" s="1228"/>
      <c r="QZV187" s="1228"/>
      <c r="QZW187" s="1228"/>
      <c r="QZX187" s="1228"/>
      <c r="QZY187" s="1228"/>
      <c r="QZZ187" s="1228"/>
      <c r="RAA187" s="1228"/>
      <c r="RAB187" s="1228"/>
      <c r="RAC187" s="1228"/>
      <c r="RAD187" s="1228"/>
      <c r="RAE187" s="1228"/>
      <c r="RAF187" s="1228"/>
      <c r="RAG187" s="1228"/>
      <c r="RAH187" s="1228"/>
      <c r="RAI187" s="1228"/>
      <c r="RAJ187" s="1228"/>
      <c r="RAK187" s="1228"/>
      <c r="RAL187" s="1228"/>
      <c r="RAM187" s="1228"/>
      <c r="RAN187" s="1228"/>
      <c r="RAO187" s="1228"/>
      <c r="RAP187" s="1228"/>
      <c r="RAQ187" s="1228"/>
      <c r="RAR187" s="1228"/>
      <c r="RAS187" s="1228"/>
      <c r="RAT187" s="1228"/>
      <c r="RAU187" s="1228"/>
      <c r="RAV187" s="1228"/>
      <c r="RAW187" s="1228"/>
      <c r="RAX187" s="1228"/>
      <c r="RAY187" s="1228"/>
      <c r="RAZ187" s="1228"/>
      <c r="RBA187" s="1228"/>
      <c r="RBB187" s="1228"/>
      <c r="RBC187" s="1228"/>
      <c r="RBD187" s="1228"/>
      <c r="RBE187" s="1228"/>
      <c r="RBF187" s="1228"/>
      <c r="RBG187" s="1228"/>
      <c r="RBH187" s="1228"/>
      <c r="RBI187" s="1228"/>
      <c r="RBJ187" s="1228"/>
      <c r="RBK187" s="1228"/>
      <c r="RBL187" s="1228"/>
      <c r="RBM187" s="1228"/>
      <c r="RBN187" s="1228"/>
      <c r="RBO187" s="1228"/>
      <c r="RBP187" s="1228"/>
      <c r="RBQ187" s="1228"/>
      <c r="RBR187" s="1228"/>
      <c r="RBS187" s="1228"/>
      <c r="RBT187" s="1228"/>
      <c r="RBU187" s="1228"/>
      <c r="RBV187" s="1228"/>
      <c r="RBW187" s="1228"/>
      <c r="RBX187" s="1228"/>
      <c r="RBY187" s="1228"/>
      <c r="RBZ187" s="1228"/>
      <c r="RCA187" s="1228"/>
      <c r="RCB187" s="1228"/>
      <c r="RCC187" s="1228"/>
      <c r="RCD187" s="1228"/>
      <c r="RCE187" s="1228"/>
      <c r="RCF187" s="1228"/>
      <c r="RCG187" s="1228"/>
      <c r="RCH187" s="1228"/>
      <c r="RCI187" s="1228"/>
      <c r="RCJ187" s="1228"/>
      <c r="RCK187" s="1228"/>
      <c r="RCL187" s="1228"/>
      <c r="RCM187" s="1228"/>
      <c r="RCN187" s="1228"/>
      <c r="RCO187" s="1228"/>
      <c r="RCP187" s="1228"/>
      <c r="RCQ187" s="1228"/>
      <c r="RCR187" s="1228"/>
      <c r="RCS187" s="1228"/>
      <c r="RCT187" s="1228"/>
      <c r="RCU187" s="1228"/>
      <c r="RCV187" s="1228"/>
      <c r="RCW187" s="1228"/>
      <c r="RCX187" s="1228"/>
      <c r="RCY187" s="1228"/>
      <c r="RCZ187" s="1228"/>
      <c r="RDA187" s="1228"/>
      <c r="RDB187" s="1228"/>
      <c r="RDC187" s="1228"/>
      <c r="RDD187" s="1228"/>
      <c r="RDE187" s="1228"/>
      <c r="RDF187" s="1228"/>
      <c r="RDG187" s="1228"/>
      <c r="RDH187" s="1228"/>
      <c r="RDI187" s="1228"/>
      <c r="RDJ187" s="1228"/>
      <c r="RDK187" s="1228"/>
      <c r="RDL187" s="1228"/>
      <c r="RDM187" s="1228"/>
      <c r="RDN187" s="1228"/>
      <c r="RDO187" s="1228"/>
      <c r="RDP187" s="1228"/>
      <c r="RDQ187" s="1228"/>
      <c r="RDR187" s="1228"/>
      <c r="RDS187" s="1228"/>
      <c r="RDT187" s="1228"/>
      <c r="RDU187" s="1228"/>
      <c r="RDV187" s="1228"/>
      <c r="RDW187" s="1228"/>
      <c r="RDX187" s="1228"/>
      <c r="RDY187" s="1228"/>
      <c r="RDZ187" s="1228"/>
      <c r="REA187" s="1228"/>
      <c r="REB187" s="1228"/>
      <c r="REC187" s="1228"/>
      <c r="RED187" s="1228"/>
      <c r="REE187" s="1228"/>
      <c r="REF187" s="1228"/>
      <c r="REG187" s="1228"/>
      <c r="REH187" s="1228"/>
      <c r="REI187" s="1228"/>
      <c r="REJ187" s="1228"/>
      <c r="REK187" s="1228"/>
      <c r="REL187" s="1228"/>
      <c r="REM187" s="1228"/>
      <c r="REN187" s="1228"/>
      <c r="REO187" s="1228"/>
      <c r="REP187" s="1228"/>
      <c r="REQ187" s="1228"/>
      <c r="RER187" s="1228"/>
      <c r="RES187" s="1228"/>
      <c r="RET187" s="1228"/>
      <c r="REU187" s="1228"/>
      <c r="REV187" s="1228"/>
      <c r="REW187" s="1228"/>
      <c r="REX187" s="1228"/>
      <c r="REY187" s="1228"/>
      <c r="REZ187" s="1228"/>
      <c r="RFA187" s="1228"/>
      <c r="RFB187" s="1228"/>
      <c r="RFC187" s="1228"/>
      <c r="RFD187" s="1228"/>
      <c r="RFE187" s="1228"/>
      <c r="RFF187" s="1228"/>
      <c r="RFG187" s="1228"/>
      <c r="RFH187" s="1228"/>
      <c r="RFI187" s="1228"/>
      <c r="RFJ187" s="1228"/>
      <c r="RFK187" s="1228"/>
      <c r="RFL187" s="1228"/>
      <c r="RFM187" s="1228"/>
      <c r="RFN187" s="1228"/>
      <c r="RFO187" s="1228"/>
      <c r="RFP187" s="1228"/>
      <c r="RFQ187" s="1228"/>
      <c r="RFR187" s="1228"/>
      <c r="RFS187" s="1228"/>
      <c r="RFT187" s="1228"/>
      <c r="RFU187" s="1228"/>
      <c r="RFV187" s="1228"/>
      <c r="RFW187" s="1228"/>
      <c r="RFX187" s="1228"/>
      <c r="RFY187" s="1228"/>
      <c r="RFZ187" s="1228"/>
      <c r="RGA187" s="1228"/>
      <c r="RGB187" s="1228"/>
      <c r="RGC187" s="1228"/>
      <c r="RGD187" s="1228"/>
      <c r="RGE187" s="1228"/>
      <c r="RGF187" s="1228"/>
      <c r="RGG187" s="1228"/>
      <c r="RGH187" s="1228"/>
      <c r="RGI187" s="1228"/>
      <c r="RGJ187" s="1228"/>
      <c r="RGK187" s="1228"/>
      <c r="RGL187" s="1228"/>
      <c r="RGM187" s="1228"/>
      <c r="RGN187" s="1228"/>
      <c r="RGO187" s="1228"/>
      <c r="RGP187" s="1228"/>
      <c r="RGQ187" s="1228"/>
      <c r="RGR187" s="1228"/>
      <c r="RGS187" s="1228"/>
      <c r="RGT187" s="1228"/>
      <c r="RGU187" s="1228"/>
      <c r="RGV187" s="1228"/>
      <c r="RGW187" s="1228"/>
      <c r="RGX187" s="1228"/>
      <c r="RGY187" s="1228"/>
      <c r="RGZ187" s="1228"/>
      <c r="RHA187" s="1228"/>
      <c r="RHB187" s="1228"/>
      <c r="RHC187" s="1228"/>
      <c r="RHD187" s="1228"/>
      <c r="RHE187" s="1228"/>
      <c r="RHF187" s="1228"/>
      <c r="RHG187" s="1228"/>
      <c r="RHH187" s="1228"/>
      <c r="RHI187" s="1228"/>
      <c r="RHJ187" s="1228"/>
      <c r="RHK187" s="1228"/>
      <c r="RHL187" s="1228"/>
      <c r="RHM187" s="1228"/>
      <c r="RHN187" s="1228"/>
      <c r="RHO187" s="1228"/>
      <c r="RHP187" s="1228"/>
      <c r="RHQ187" s="1228"/>
      <c r="RHR187" s="1228"/>
      <c r="RHS187" s="1228"/>
      <c r="RHT187" s="1228"/>
      <c r="RHU187" s="1228"/>
      <c r="RHV187" s="1228"/>
      <c r="RHW187" s="1228"/>
      <c r="RHX187" s="1228"/>
      <c r="RHY187" s="1228"/>
      <c r="RHZ187" s="1228"/>
      <c r="RIA187" s="1228"/>
      <c r="RIB187" s="1228"/>
      <c r="RIC187" s="1228"/>
      <c r="RID187" s="1228"/>
      <c r="RIE187" s="1228"/>
      <c r="RIF187" s="1228"/>
      <c r="RIG187" s="1228"/>
      <c r="RIH187" s="1228"/>
      <c r="RII187" s="1228"/>
      <c r="RIJ187" s="1228"/>
      <c r="RIK187" s="1228"/>
      <c r="RIL187" s="1228"/>
      <c r="RIM187" s="1228"/>
      <c r="RIN187" s="1228"/>
      <c r="RIO187" s="1228"/>
      <c r="RIP187" s="1228"/>
      <c r="RIQ187" s="1228"/>
      <c r="RIR187" s="1228"/>
      <c r="RIS187" s="1228"/>
      <c r="RIT187" s="1228"/>
      <c r="RIU187" s="1228"/>
      <c r="RIV187" s="1228"/>
      <c r="RIW187" s="1228"/>
      <c r="RIX187" s="1228"/>
      <c r="RIY187" s="1228"/>
      <c r="RIZ187" s="1228"/>
      <c r="RJA187" s="1228"/>
      <c r="RJB187" s="1228"/>
      <c r="RJC187" s="1228"/>
      <c r="RJD187" s="1228"/>
      <c r="RJE187" s="1228"/>
      <c r="RJF187" s="1228"/>
      <c r="RJG187" s="1228"/>
      <c r="RJH187" s="1228"/>
      <c r="RJI187" s="1228"/>
      <c r="RJJ187" s="1228"/>
      <c r="RJK187" s="1228"/>
      <c r="RJL187" s="1228"/>
      <c r="RJM187" s="1228"/>
      <c r="RJN187" s="1228"/>
      <c r="RJO187" s="1228"/>
      <c r="RJP187" s="1228"/>
      <c r="RJQ187" s="1228"/>
      <c r="RJR187" s="1228"/>
      <c r="RJS187" s="1228"/>
      <c r="RJT187" s="1228"/>
      <c r="RJU187" s="1228"/>
      <c r="RJV187" s="1228"/>
      <c r="RJW187" s="1228"/>
      <c r="RJX187" s="1228"/>
      <c r="RJY187" s="1228"/>
      <c r="RJZ187" s="1228"/>
      <c r="RKA187" s="1228"/>
      <c r="RKB187" s="1228"/>
      <c r="RKC187" s="1228"/>
      <c r="RKD187" s="1228"/>
      <c r="RKE187" s="1228"/>
      <c r="RKF187" s="1228"/>
      <c r="RKG187" s="1228"/>
      <c r="RKH187" s="1228"/>
      <c r="RKI187" s="1228"/>
      <c r="RKJ187" s="1228"/>
      <c r="RKK187" s="1228"/>
      <c r="RKL187" s="1228"/>
      <c r="RKM187" s="1228"/>
      <c r="RKN187" s="1228"/>
      <c r="RKO187" s="1228"/>
      <c r="RKP187" s="1228"/>
      <c r="RKQ187" s="1228"/>
      <c r="RKR187" s="1228"/>
      <c r="RKS187" s="1228"/>
      <c r="RKT187" s="1228"/>
      <c r="RKU187" s="1228"/>
      <c r="RKV187" s="1228"/>
      <c r="RKW187" s="1228"/>
      <c r="RKX187" s="1228"/>
      <c r="RKY187" s="1228"/>
      <c r="RKZ187" s="1228"/>
      <c r="RLA187" s="1228"/>
      <c r="RLB187" s="1228"/>
      <c r="RLC187" s="1228"/>
      <c r="RLD187" s="1228"/>
      <c r="RLE187" s="1228"/>
      <c r="RLF187" s="1228"/>
      <c r="RLG187" s="1228"/>
      <c r="RLH187" s="1228"/>
      <c r="RLI187" s="1228"/>
      <c r="RLJ187" s="1228"/>
      <c r="RLK187" s="1228"/>
      <c r="RLL187" s="1228"/>
      <c r="RLM187" s="1228"/>
      <c r="RLN187" s="1228"/>
      <c r="RLO187" s="1228"/>
      <c r="RLP187" s="1228"/>
      <c r="RLQ187" s="1228"/>
      <c r="RLR187" s="1228"/>
      <c r="RLS187" s="1228"/>
      <c r="RLT187" s="1228"/>
      <c r="RLU187" s="1228"/>
      <c r="RLV187" s="1228"/>
      <c r="RLW187" s="1228"/>
      <c r="RLX187" s="1228"/>
      <c r="RLY187" s="1228"/>
      <c r="RLZ187" s="1228"/>
      <c r="RMA187" s="1228"/>
      <c r="RMB187" s="1228"/>
      <c r="RMC187" s="1228"/>
      <c r="RMD187" s="1228"/>
      <c r="RME187" s="1228"/>
      <c r="RMF187" s="1228"/>
      <c r="RMG187" s="1228"/>
      <c r="RMH187" s="1228"/>
      <c r="RMI187" s="1228"/>
      <c r="RMJ187" s="1228"/>
      <c r="RMK187" s="1228"/>
      <c r="RML187" s="1228"/>
      <c r="RMM187" s="1228"/>
      <c r="RMN187" s="1228"/>
      <c r="RMO187" s="1228"/>
      <c r="RMP187" s="1228"/>
      <c r="RMQ187" s="1228"/>
      <c r="RMR187" s="1228"/>
      <c r="RMS187" s="1228"/>
      <c r="RMT187" s="1228"/>
      <c r="RMU187" s="1228"/>
      <c r="RMV187" s="1228"/>
      <c r="RMW187" s="1228"/>
      <c r="RMX187" s="1228"/>
      <c r="RMY187" s="1228"/>
      <c r="RMZ187" s="1228"/>
      <c r="RNA187" s="1228"/>
      <c r="RNB187" s="1228"/>
      <c r="RNC187" s="1228"/>
      <c r="RND187" s="1228"/>
      <c r="RNE187" s="1228"/>
      <c r="RNF187" s="1228"/>
      <c r="RNG187" s="1228"/>
      <c r="RNH187" s="1228"/>
      <c r="RNI187" s="1228"/>
      <c r="RNJ187" s="1228"/>
      <c r="RNK187" s="1228"/>
      <c r="RNL187" s="1228"/>
      <c r="RNM187" s="1228"/>
      <c r="RNN187" s="1228"/>
      <c r="RNO187" s="1228"/>
      <c r="RNP187" s="1228"/>
      <c r="RNQ187" s="1228"/>
      <c r="RNR187" s="1228"/>
      <c r="RNS187" s="1228"/>
      <c r="RNT187" s="1228"/>
      <c r="RNU187" s="1228"/>
      <c r="RNV187" s="1228"/>
      <c r="RNW187" s="1228"/>
      <c r="RNX187" s="1228"/>
      <c r="RNY187" s="1228"/>
      <c r="RNZ187" s="1228"/>
      <c r="ROA187" s="1228"/>
      <c r="ROB187" s="1228"/>
      <c r="ROC187" s="1228"/>
      <c r="ROD187" s="1228"/>
      <c r="ROE187" s="1228"/>
      <c r="ROF187" s="1228"/>
      <c r="ROG187" s="1228"/>
      <c r="ROH187" s="1228"/>
      <c r="ROI187" s="1228"/>
      <c r="ROJ187" s="1228"/>
      <c r="ROK187" s="1228"/>
      <c r="ROL187" s="1228"/>
      <c r="ROM187" s="1228"/>
      <c r="RON187" s="1228"/>
      <c r="ROO187" s="1228"/>
      <c r="ROP187" s="1228"/>
      <c r="ROQ187" s="1228"/>
      <c r="ROR187" s="1228"/>
      <c r="ROS187" s="1228"/>
      <c r="ROT187" s="1228"/>
      <c r="ROU187" s="1228"/>
      <c r="ROV187" s="1228"/>
      <c r="ROW187" s="1228"/>
      <c r="ROX187" s="1228"/>
      <c r="ROY187" s="1228"/>
      <c r="ROZ187" s="1228"/>
      <c r="RPA187" s="1228"/>
      <c r="RPB187" s="1228"/>
      <c r="RPC187" s="1228"/>
      <c r="RPD187" s="1228"/>
      <c r="RPE187" s="1228"/>
      <c r="RPF187" s="1228"/>
      <c r="RPG187" s="1228"/>
      <c r="RPH187" s="1228"/>
      <c r="RPI187" s="1228"/>
      <c r="RPJ187" s="1228"/>
      <c r="RPK187" s="1228"/>
      <c r="RPL187" s="1228"/>
      <c r="RPM187" s="1228"/>
      <c r="RPN187" s="1228"/>
      <c r="RPO187" s="1228"/>
      <c r="RPP187" s="1228"/>
      <c r="RPQ187" s="1228"/>
      <c r="RPR187" s="1228"/>
      <c r="RPS187" s="1228"/>
      <c r="RPT187" s="1228"/>
      <c r="RPU187" s="1228"/>
      <c r="RPV187" s="1228"/>
      <c r="RPW187" s="1228"/>
      <c r="RPX187" s="1228"/>
      <c r="RPY187" s="1228"/>
      <c r="RPZ187" s="1228"/>
      <c r="RQA187" s="1228"/>
      <c r="RQB187" s="1228"/>
      <c r="RQC187" s="1228"/>
      <c r="RQD187" s="1228"/>
      <c r="RQE187" s="1228"/>
      <c r="RQF187" s="1228"/>
      <c r="RQG187" s="1228"/>
      <c r="RQH187" s="1228"/>
      <c r="RQI187" s="1228"/>
      <c r="RQJ187" s="1228"/>
      <c r="RQK187" s="1228"/>
      <c r="RQL187" s="1228"/>
      <c r="RQM187" s="1228"/>
      <c r="RQN187" s="1228"/>
      <c r="RQO187" s="1228"/>
      <c r="RQP187" s="1228"/>
      <c r="RQQ187" s="1228"/>
      <c r="RQR187" s="1228"/>
      <c r="RQS187" s="1228"/>
      <c r="RQT187" s="1228"/>
      <c r="RQU187" s="1228"/>
      <c r="RQV187" s="1228"/>
      <c r="RQW187" s="1228"/>
      <c r="RQX187" s="1228"/>
      <c r="RQY187" s="1228"/>
      <c r="RQZ187" s="1228"/>
      <c r="RRA187" s="1228"/>
      <c r="RRB187" s="1228"/>
      <c r="RRC187" s="1228"/>
      <c r="RRD187" s="1228"/>
      <c r="RRE187" s="1228"/>
      <c r="RRF187" s="1228"/>
      <c r="RRG187" s="1228"/>
      <c r="RRH187" s="1228"/>
      <c r="RRI187" s="1228"/>
      <c r="RRJ187" s="1228"/>
      <c r="RRK187" s="1228"/>
      <c r="RRL187" s="1228"/>
      <c r="RRM187" s="1228"/>
      <c r="RRN187" s="1228"/>
      <c r="RRO187" s="1228"/>
      <c r="RRP187" s="1228"/>
      <c r="RRQ187" s="1228"/>
      <c r="RRR187" s="1228"/>
      <c r="RRS187" s="1228"/>
      <c r="RRT187" s="1228"/>
      <c r="RRU187" s="1228"/>
      <c r="RRV187" s="1228"/>
      <c r="RRW187" s="1228"/>
      <c r="RRX187" s="1228"/>
      <c r="RRY187" s="1228"/>
      <c r="RRZ187" s="1228"/>
      <c r="RSA187" s="1228"/>
      <c r="RSB187" s="1228"/>
      <c r="RSC187" s="1228"/>
      <c r="RSD187" s="1228"/>
      <c r="RSE187" s="1228"/>
      <c r="RSF187" s="1228"/>
      <c r="RSG187" s="1228"/>
      <c r="RSH187" s="1228"/>
      <c r="RSI187" s="1228"/>
      <c r="RSJ187" s="1228"/>
      <c r="RSK187" s="1228"/>
      <c r="RSL187" s="1228"/>
      <c r="RSM187" s="1228"/>
      <c r="RSN187" s="1228"/>
      <c r="RSO187" s="1228"/>
      <c r="RSP187" s="1228"/>
      <c r="RSQ187" s="1228"/>
      <c r="RSR187" s="1228"/>
      <c r="RSS187" s="1228"/>
      <c r="RST187" s="1228"/>
      <c r="RSU187" s="1228"/>
      <c r="RSV187" s="1228"/>
      <c r="RSW187" s="1228"/>
      <c r="RSX187" s="1228"/>
      <c r="RSY187" s="1228"/>
      <c r="RSZ187" s="1228"/>
      <c r="RTA187" s="1228"/>
      <c r="RTB187" s="1228"/>
      <c r="RTC187" s="1228"/>
      <c r="RTD187" s="1228"/>
      <c r="RTE187" s="1228"/>
      <c r="RTF187" s="1228"/>
      <c r="RTG187" s="1228"/>
      <c r="RTH187" s="1228"/>
      <c r="RTI187" s="1228"/>
      <c r="RTJ187" s="1228"/>
      <c r="RTK187" s="1228"/>
      <c r="RTL187" s="1228"/>
      <c r="RTM187" s="1228"/>
      <c r="RTN187" s="1228"/>
      <c r="RTO187" s="1228"/>
      <c r="RTP187" s="1228"/>
      <c r="RTQ187" s="1228"/>
      <c r="RTR187" s="1228"/>
      <c r="RTS187" s="1228"/>
      <c r="RTT187" s="1228"/>
      <c r="RTU187" s="1228"/>
      <c r="RTV187" s="1228"/>
      <c r="RTW187" s="1228"/>
      <c r="RTX187" s="1228"/>
      <c r="RTY187" s="1228"/>
      <c r="RTZ187" s="1228"/>
      <c r="RUA187" s="1228"/>
      <c r="RUB187" s="1228"/>
      <c r="RUC187" s="1228"/>
      <c r="RUD187" s="1228"/>
      <c r="RUE187" s="1228"/>
      <c r="RUF187" s="1228"/>
      <c r="RUG187" s="1228"/>
      <c r="RUH187" s="1228"/>
      <c r="RUI187" s="1228"/>
      <c r="RUJ187" s="1228"/>
      <c r="RUK187" s="1228"/>
      <c r="RUL187" s="1228"/>
      <c r="RUM187" s="1228"/>
      <c r="RUN187" s="1228"/>
      <c r="RUO187" s="1228"/>
      <c r="RUP187" s="1228"/>
      <c r="RUQ187" s="1228"/>
      <c r="RUR187" s="1228"/>
      <c r="RUS187" s="1228"/>
      <c r="RUT187" s="1228"/>
      <c r="RUU187" s="1228"/>
      <c r="RUV187" s="1228"/>
      <c r="RUW187" s="1228"/>
      <c r="RUX187" s="1228"/>
      <c r="RUY187" s="1228"/>
      <c r="RUZ187" s="1228"/>
      <c r="RVA187" s="1228"/>
      <c r="RVB187" s="1228"/>
      <c r="RVC187" s="1228"/>
      <c r="RVD187" s="1228"/>
      <c r="RVE187" s="1228"/>
      <c r="RVF187" s="1228"/>
      <c r="RVG187" s="1228"/>
      <c r="RVH187" s="1228"/>
      <c r="RVI187" s="1228"/>
      <c r="RVJ187" s="1228"/>
      <c r="RVK187" s="1228"/>
      <c r="RVL187" s="1228"/>
      <c r="RVM187" s="1228"/>
      <c r="RVN187" s="1228"/>
      <c r="RVO187" s="1228"/>
      <c r="RVP187" s="1228"/>
      <c r="RVQ187" s="1228"/>
      <c r="RVR187" s="1228"/>
      <c r="RVS187" s="1228"/>
      <c r="RVT187" s="1228"/>
      <c r="RVU187" s="1228"/>
      <c r="RVV187" s="1228"/>
      <c r="RVW187" s="1228"/>
      <c r="RVX187" s="1228"/>
      <c r="RVY187" s="1228"/>
      <c r="RVZ187" s="1228"/>
      <c r="RWA187" s="1228"/>
      <c r="RWB187" s="1228"/>
      <c r="RWC187" s="1228"/>
      <c r="RWD187" s="1228"/>
      <c r="RWE187" s="1228"/>
      <c r="RWF187" s="1228"/>
      <c r="RWG187" s="1228"/>
      <c r="RWH187" s="1228"/>
      <c r="RWI187" s="1228"/>
      <c r="RWJ187" s="1228"/>
      <c r="RWK187" s="1228"/>
      <c r="RWL187" s="1228"/>
      <c r="RWM187" s="1228"/>
      <c r="RWN187" s="1228"/>
      <c r="RWO187" s="1228"/>
      <c r="RWP187" s="1228"/>
      <c r="RWQ187" s="1228"/>
      <c r="RWR187" s="1228"/>
      <c r="RWS187" s="1228"/>
      <c r="RWT187" s="1228"/>
      <c r="RWU187" s="1228"/>
      <c r="RWV187" s="1228"/>
      <c r="RWW187" s="1228"/>
      <c r="RWX187" s="1228"/>
      <c r="RWY187" s="1228"/>
      <c r="RWZ187" s="1228"/>
      <c r="RXA187" s="1228"/>
      <c r="RXB187" s="1228"/>
      <c r="RXC187" s="1228"/>
      <c r="RXD187" s="1228"/>
      <c r="RXE187" s="1228"/>
      <c r="RXF187" s="1228"/>
      <c r="RXG187" s="1228"/>
      <c r="RXH187" s="1228"/>
      <c r="RXI187" s="1228"/>
      <c r="RXJ187" s="1228"/>
      <c r="RXK187" s="1228"/>
      <c r="RXL187" s="1228"/>
      <c r="RXM187" s="1228"/>
      <c r="RXN187" s="1228"/>
      <c r="RXO187" s="1228"/>
      <c r="RXP187" s="1228"/>
      <c r="RXQ187" s="1228"/>
      <c r="RXR187" s="1228"/>
      <c r="RXS187" s="1228"/>
      <c r="RXT187" s="1228"/>
      <c r="RXU187" s="1228"/>
      <c r="RXV187" s="1228"/>
      <c r="RXW187" s="1228"/>
      <c r="RXX187" s="1228"/>
      <c r="RXY187" s="1228"/>
      <c r="RXZ187" s="1228"/>
      <c r="RYA187" s="1228"/>
      <c r="RYB187" s="1228"/>
      <c r="RYC187" s="1228"/>
      <c r="RYD187" s="1228"/>
      <c r="RYE187" s="1228"/>
      <c r="RYF187" s="1228"/>
      <c r="RYG187" s="1228"/>
      <c r="RYH187" s="1228"/>
      <c r="RYI187" s="1228"/>
      <c r="RYJ187" s="1228"/>
      <c r="RYK187" s="1228"/>
      <c r="RYL187" s="1228"/>
      <c r="RYM187" s="1228"/>
      <c r="RYN187" s="1228"/>
      <c r="RYO187" s="1228"/>
      <c r="RYP187" s="1228"/>
      <c r="RYQ187" s="1228"/>
      <c r="RYR187" s="1228"/>
      <c r="RYS187" s="1228"/>
      <c r="RYT187" s="1228"/>
      <c r="RYU187" s="1228"/>
      <c r="RYV187" s="1228"/>
      <c r="RYW187" s="1228"/>
      <c r="RYX187" s="1228"/>
      <c r="RYY187" s="1228"/>
      <c r="RYZ187" s="1228"/>
      <c r="RZA187" s="1228"/>
      <c r="RZB187" s="1228"/>
      <c r="RZC187" s="1228"/>
      <c r="RZD187" s="1228"/>
      <c r="RZE187" s="1228"/>
      <c r="RZF187" s="1228"/>
      <c r="RZG187" s="1228"/>
      <c r="RZH187" s="1228"/>
      <c r="RZI187" s="1228"/>
      <c r="RZJ187" s="1228"/>
      <c r="RZK187" s="1228"/>
      <c r="RZL187" s="1228"/>
      <c r="RZM187" s="1228"/>
      <c r="RZN187" s="1228"/>
      <c r="RZO187" s="1228"/>
      <c r="RZP187" s="1228"/>
      <c r="RZQ187" s="1228"/>
      <c r="RZR187" s="1228"/>
      <c r="RZS187" s="1228"/>
      <c r="RZT187" s="1228"/>
      <c r="RZU187" s="1228"/>
      <c r="RZV187" s="1228"/>
      <c r="RZW187" s="1228"/>
      <c r="RZX187" s="1228"/>
      <c r="RZY187" s="1228"/>
      <c r="RZZ187" s="1228"/>
      <c r="SAA187" s="1228"/>
      <c r="SAB187" s="1228"/>
      <c r="SAC187" s="1228"/>
      <c r="SAD187" s="1228"/>
      <c r="SAE187" s="1228"/>
      <c r="SAF187" s="1228"/>
      <c r="SAG187" s="1228"/>
      <c r="SAH187" s="1228"/>
      <c r="SAI187" s="1228"/>
      <c r="SAJ187" s="1228"/>
      <c r="SAK187" s="1228"/>
      <c r="SAL187" s="1228"/>
      <c r="SAM187" s="1228"/>
      <c r="SAN187" s="1228"/>
      <c r="SAO187" s="1228"/>
      <c r="SAP187" s="1228"/>
      <c r="SAQ187" s="1228"/>
      <c r="SAR187" s="1228"/>
      <c r="SAS187" s="1228"/>
      <c r="SAT187" s="1228"/>
      <c r="SAU187" s="1228"/>
      <c r="SAV187" s="1228"/>
      <c r="SAW187" s="1228"/>
      <c r="SAX187" s="1228"/>
      <c r="SAY187" s="1228"/>
      <c r="SAZ187" s="1228"/>
      <c r="SBA187" s="1228"/>
      <c r="SBB187" s="1228"/>
      <c r="SBC187" s="1228"/>
      <c r="SBD187" s="1228"/>
      <c r="SBE187" s="1228"/>
      <c r="SBF187" s="1228"/>
      <c r="SBG187" s="1228"/>
      <c r="SBH187" s="1228"/>
      <c r="SBI187" s="1228"/>
      <c r="SBJ187" s="1228"/>
      <c r="SBK187" s="1228"/>
      <c r="SBL187" s="1228"/>
      <c r="SBM187" s="1228"/>
      <c r="SBN187" s="1228"/>
      <c r="SBO187" s="1228"/>
      <c r="SBP187" s="1228"/>
      <c r="SBQ187" s="1228"/>
      <c r="SBR187" s="1228"/>
      <c r="SBS187" s="1228"/>
      <c r="SBT187" s="1228"/>
      <c r="SBU187" s="1228"/>
      <c r="SBV187" s="1228"/>
      <c r="SBW187" s="1228"/>
      <c r="SBX187" s="1228"/>
      <c r="SBY187" s="1228"/>
      <c r="SBZ187" s="1228"/>
      <c r="SCA187" s="1228"/>
      <c r="SCB187" s="1228"/>
      <c r="SCC187" s="1228"/>
      <c r="SCD187" s="1228"/>
      <c r="SCE187" s="1228"/>
      <c r="SCF187" s="1228"/>
      <c r="SCG187" s="1228"/>
      <c r="SCH187" s="1228"/>
      <c r="SCI187" s="1228"/>
      <c r="SCJ187" s="1228"/>
      <c r="SCK187" s="1228"/>
      <c r="SCL187" s="1228"/>
      <c r="SCM187" s="1228"/>
      <c r="SCN187" s="1228"/>
      <c r="SCO187" s="1228"/>
      <c r="SCP187" s="1228"/>
      <c r="SCQ187" s="1228"/>
      <c r="SCR187" s="1228"/>
      <c r="SCS187" s="1228"/>
      <c r="SCT187" s="1228"/>
      <c r="SCU187" s="1228"/>
      <c r="SCV187" s="1228"/>
      <c r="SCW187" s="1228"/>
      <c r="SCX187" s="1228"/>
      <c r="SCY187" s="1228"/>
      <c r="SCZ187" s="1228"/>
      <c r="SDA187" s="1228"/>
      <c r="SDB187" s="1228"/>
      <c r="SDC187" s="1228"/>
      <c r="SDD187" s="1228"/>
      <c r="SDE187" s="1228"/>
      <c r="SDF187" s="1228"/>
      <c r="SDG187" s="1228"/>
      <c r="SDH187" s="1228"/>
      <c r="SDI187" s="1228"/>
      <c r="SDJ187" s="1228"/>
      <c r="SDK187" s="1228"/>
      <c r="SDL187" s="1228"/>
      <c r="SDM187" s="1228"/>
      <c r="SDN187" s="1228"/>
      <c r="SDO187" s="1228"/>
      <c r="SDP187" s="1228"/>
      <c r="SDQ187" s="1228"/>
      <c r="SDR187" s="1228"/>
      <c r="SDS187" s="1228"/>
      <c r="SDT187" s="1228"/>
      <c r="SDU187" s="1228"/>
      <c r="SDV187" s="1228"/>
      <c r="SDW187" s="1228"/>
      <c r="SDX187" s="1228"/>
      <c r="SDY187" s="1228"/>
      <c r="SDZ187" s="1228"/>
      <c r="SEA187" s="1228"/>
      <c r="SEB187" s="1228"/>
      <c r="SEC187" s="1228"/>
      <c r="SED187" s="1228"/>
      <c r="SEE187" s="1228"/>
      <c r="SEF187" s="1228"/>
      <c r="SEG187" s="1228"/>
      <c r="SEH187" s="1228"/>
      <c r="SEI187" s="1228"/>
      <c r="SEJ187" s="1228"/>
      <c r="SEK187" s="1228"/>
      <c r="SEL187" s="1228"/>
      <c r="SEM187" s="1228"/>
      <c r="SEN187" s="1228"/>
      <c r="SEO187" s="1228"/>
      <c r="SEP187" s="1228"/>
      <c r="SEQ187" s="1228"/>
      <c r="SER187" s="1228"/>
      <c r="SES187" s="1228"/>
      <c r="SET187" s="1228"/>
      <c r="SEU187" s="1228"/>
      <c r="SEV187" s="1228"/>
      <c r="SEW187" s="1228"/>
      <c r="SEX187" s="1228"/>
      <c r="SEY187" s="1228"/>
      <c r="SEZ187" s="1228"/>
      <c r="SFA187" s="1228"/>
      <c r="SFB187" s="1228"/>
      <c r="SFC187" s="1228"/>
      <c r="SFD187" s="1228"/>
      <c r="SFE187" s="1228"/>
      <c r="SFF187" s="1228"/>
      <c r="SFG187" s="1228"/>
      <c r="SFH187" s="1228"/>
      <c r="SFI187" s="1228"/>
      <c r="SFJ187" s="1228"/>
      <c r="SFK187" s="1228"/>
      <c r="SFL187" s="1228"/>
      <c r="SFM187" s="1228"/>
      <c r="SFN187" s="1228"/>
      <c r="SFO187" s="1228"/>
      <c r="SFP187" s="1228"/>
      <c r="SFQ187" s="1228"/>
      <c r="SFR187" s="1228"/>
      <c r="SFS187" s="1228"/>
      <c r="SFT187" s="1228"/>
      <c r="SFU187" s="1228"/>
      <c r="SFV187" s="1228"/>
      <c r="SFW187" s="1228"/>
      <c r="SFX187" s="1228"/>
      <c r="SFY187" s="1228"/>
      <c r="SFZ187" s="1228"/>
      <c r="SGA187" s="1228"/>
      <c r="SGB187" s="1228"/>
      <c r="SGC187" s="1228"/>
      <c r="SGD187" s="1228"/>
      <c r="SGE187" s="1228"/>
      <c r="SGF187" s="1228"/>
      <c r="SGG187" s="1228"/>
      <c r="SGH187" s="1228"/>
      <c r="SGI187" s="1228"/>
      <c r="SGJ187" s="1228"/>
      <c r="SGK187" s="1228"/>
      <c r="SGL187" s="1228"/>
      <c r="SGM187" s="1228"/>
      <c r="SGN187" s="1228"/>
      <c r="SGO187" s="1228"/>
      <c r="SGP187" s="1228"/>
      <c r="SGQ187" s="1228"/>
      <c r="SGR187" s="1228"/>
      <c r="SGS187" s="1228"/>
      <c r="SGT187" s="1228"/>
      <c r="SGU187" s="1228"/>
      <c r="SGV187" s="1228"/>
      <c r="SGW187" s="1228"/>
      <c r="SGX187" s="1228"/>
      <c r="SGY187" s="1228"/>
      <c r="SGZ187" s="1228"/>
      <c r="SHA187" s="1228"/>
      <c r="SHB187" s="1228"/>
      <c r="SHC187" s="1228"/>
      <c r="SHD187" s="1228"/>
      <c r="SHE187" s="1228"/>
      <c r="SHF187" s="1228"/>
      <c r="SHG187" s="1228"/>
      <c r="SHH187" s="1228"/>
      <c r="SHI187" s="1228"/>
      <c r="SHJ187" s="1228"/>
      <c r="SHK187" s="1228"/>
      <c r="SHL187" s="1228"/>
      <c r="SHM187" s="1228"/>
      <c r="SHN187" s="1228"/>
      <c r="SHO187" s="1228"/>
      <c r="SHP187" s="1228"/>
      <c r="SHQ187" s="1228"/>
      <c r="SHR187" s="1228"/>
      <c r="SHS187" s="1228"/>
      <c r="SHT187" s="1228"/>
      <c r="SHU187" s="1228"/>
      <c r="SHV187" s="1228"/>
      <c r="SHW187" s="1228"/>
      <c r="SHX187" s="1228"/>
      <c r="SHY187" s="1228"/>
      <c r="SHZ187" s="1228"/>
      <c r="SIA187" s="1228"/>
      <c r="SIB187" s="1228"/>
      <c r="SIC187" s="1228"/>
      <c r="SID187" s="1228"/>
      <c r="SIE187" s="1228"/>
      <c r="SIF187" s="1228"/>
      <c r="SIG187" s="1228"/>
      <c r="SIH187" s="1228"/>
      <c r="SII187" s="1228"/>
      <c r="SIJ187" s="1228"/>
      <c r="SIK187" s="1228"/>
      <c r="SIL187" s="1228"/>
      <c r="SIM187" s="1228"/>
      <c r="SIN187" s="1228"/>
      <c r="SIO187" s="1228"/>
      <c r="SIP187" s="1228"/>
      <c r="SIQ187" s="1228"/>
      <c r="SIR187" s="1228"/>
      <c r="SIS187" s="1228"/>
      <c r="SIT187" s="1228"/>
      <c r="SIU187" s="1228"/>
      <c r="SIV187" s="1228"/>
      <c r="SIW187" s="1228"/>
      <c r="SIX187" s="1228"/>
      <c r="SIY187" s="1228"/>
      <c r="SIZ187" s="1228"/>
      <c r="SJA187" s="1228"/>
      <c r="SJB187" s="1228"/>
      <c r="SJC187" s="1228"/>
      <c r="SJD187" s="1228"/>
      <c r="SJE187" s="1228"/>
      <c r="SJF187" s="1228"/>
      <c r="SJG187" s="1228"/>
      <c r="SJH187" s="1228"/>
      <c r="SJI187" s="1228"/>
      <c r="SJJ187" s="1228"/>
      <c r="SJK187" s="1228"/>
      <c r="SJL187" s="1228"/>
      <c r="SJM187" s="1228"/>
      <c r="SJN187" s="1228"/>
      <c r="SJO187" s="1228"/>
      <c r="SJP187" s="1228"/>
      <c r="SJQ187" s="1228"/>
      <c r="SJR187" s="1228"/>
      <c r="SJS187" s="1228"/>
      <c r="SJT187" s="1228"/>
      <c r="SJU187" s="1228"/>
      <c r="SJV187" s="1228"/>
      <c r="SJW187" s="1228"/>
      <c r="SJX187" s="1228"/>
      <c r="SJY187" s="1228"/>
      <c r="SJZ187" s="1228"/>
      <c r="SKA187" s="1228"/>
      <c r="SKB187" s="1228"/>
      <c r="SKC187" s="1228"/>
      <c r="SKD187" s="1228"/>
      <c r="SKE187" s="1228"/>
      <c r="SKF187" s="1228"/>
      <c r="SKG187" s="1228"/>
      <c r="SKH187" s="1228"/>
      <c r="SKI187" s="1228"/>
      <c r="SKJ187" s="1228"/>
      <c r="SKK187" s="1228"/>
      <c r="SKL187" s="1228"/>
      <c r="SKM187" s="1228"/>
      <c r="SKN187" s="1228"/>
      <c r="SKO187" s="1228"/>
      <c r="SKP187" s="1228"/>
      <c r="SKQ187" s="1228"/>
      <c r="SKR187" s="1228"/>
      <c r="SKS187" s="1228"/>
      <c r="SKT187" s="1228"/>
      <c r="SKU187" s="1228"/>
      <c r="SKV187" s="1228"/>
      <c r="SKW187" s="1228"/>
      <c r="SKX187" s="1228"/>
      <c r="SKY187" s="1228"/>
      <c r="SKZ187" s="1228"/>
      <c r="SLA187" s="1228"/>
      <c r="SLB187" s="1228"/>
      <c r="SLC187" s="1228"/>
      <c r="SLD187" s="1228"/>
      <c r="SLE187" s="1228"/>
      <c r="SLF187" s="1228"/>
      <c r="SLG187" s="1228"/>
      <c r="SLH187" s="1228"/>
      <c r="SLI187" s="1228"/>
      <c r="SLJ187" s="1228"/>
      <c r="SLK187" s="1228"/>
      <c r="SLL187" s="1228"/>
      <c r="SLM187" s="1228"/>
      <c r="SLN187" s="1228"/>
      <c r="SLO187" s="1228"/>
      <c r="SLP187" s="1228"/>
      <c r="SLQ187" s="1228"/>
      <c r="SLR187" s="1228"/>
      <c r="SLS187" s="1228"/>
      <c r="SLT187" s="1228"/>
      <c r="SLU187" s="1228"/>
      <c r="SLV187" s="1228"/>
      <c r="SLW187" s="1228"/>
      <c r="SLX187" s="1228"/>
      <c r="SLY187" s="1228"/>
      <c r="SLZ187" s="1228"/>
      <c r="SMA187" s="1228"/>
      <c r="SMB187" s="1228"/>
      <c r="SMC187" s="1228"/>
      <c r="SMD187" s="1228"/>
      <c r="SME187" s="1228"/>
      <c r="SMF187" s="1228"/>
      <c r="SMG187" s="1228"/>
      <c r="SMH187" s="1228"/>
      <c r="SMI187" s="1228"/>
      <c r="SMJ187" s="1228"/>
      <c r="SMK187" s="1228"/>
      <c r="SML187" s="1228"/>
      <c r="SMM187" s="1228"/>
      <c r="SMN187" s="1228"/>
      <c r="SMO187" s="1228"/>
      <c r="SMP187" s="1228"/>
      <c r="SMQ187" s="1228"/>
      <c r="SMR187" s="1228"/>
      <c r="SMS187" s="1228"/>
      <c r="SMT187" s="1228"/>
      <c r="SMU187" s="1228"/>
      <c r="SMV187" s="1228"/>
      <c r="SMW187" s="1228"/>
      <c r="SMX187" s="1228"/>
      <c r="SMY187" s="1228"/>
      <c r="SMZ187" s="1228"/>
      <c r="SNA187" s="1228"/>
      <c r="SNB187" s="1228"/>
      <c r="SNC187" s="1228"/>
      <c r="SND187" s="1228"/>
      <c r="SNE187" s="1228"/>
      <c r="SNF187" s="1228"/>
      <c r="SNG187" s="1228"/>
      <c r="SNH187" s="1228"/>
      <c r="SNI187" s="1228"/>
      <c r="SNJ187" s="1228"/>
      <c r="SNK187" s="1228"/>
      <c r="SNL187" s="1228"/>
      <c r="SNM187" s="1228"/>
      <c r="SNN187" s="1228"/>
      <c r="SNO187" s="1228"/>
      <c r="SNP187" s="1228"/>
      <c r="SNQ187" s="1228"/>
      <c r="SNR187" s="1228"/>
      <c r="SNS187" s="1228"/>
      <c r="SNT187" s="1228"/>
      <c r="SNU187" s="1228"/>
      <c r="SNV187" s="1228"/>
      <c r="SNW187" s="1228"/>
      <c r="SNX187" s="1228"/>
      <c r="SNY187" s="1228"/>
      <c r="SNZ187" s="1228"/>
      <c r="SOA187" s="1228"/>
      <c r="SOB187" s="1228"/>
      <c r="SOC187" s="1228"/>
      <c r="SOD187" s="1228"/>
      <c r="SOE187" s="1228"/>
      <c r="SOF187" s="1228"/>
      <c r="SOG187" s="1228"/>
      <c r="SOH187" s="1228"/>
      <c r="SOI187" s="1228"/>
      <c r="SOJ187" s="1228"/>
      <c r="SOK187" s="1228"/>
      <c r="SOL187" s="1228"/>
      <c r="SOM187" s="1228"/>
      <c r="SON187" s="1228"/>
      <c r="SOO187" s="1228"/>
      <c r="SOP187" s="1228"/>
      <c r="SOQ187" s="1228"/>
      <c r="SOR187" s="1228"/>
      <c r="SOS187" s="1228"/>
      <c r="SOT187" s="1228"/>
      <c r="SOU187" s="1228"/>
      <c r="SOV187" s="1228"/>
      <c r="SOW187" s="1228"/>
      <c r="SOX187" s="1228"/>
      <c r="SOY187" s="1228"/>
      <c r="SOZ187" s="1228"/>
      <c r="SPA187" s="1228"/>
      <c r="SPB187" s="1228"/>
      <c r="SPC187" s="1228"/>
      <c r="SPD187" s="1228"/>
      <c r="SPE187" s="1228"/>
      <c r="SPF187" s="1228"/>
      <c r="SPG187" s="1228"/>
      <c r="SPH187" s="1228"/>
      <c r="SPI187" s="1228"/>
      <c r="SPJ187" s="1228"/>
      <c r="SPK187" s="1228"/>
      <c r="SPL187" s="1228"/>
      <c r="SPM187" s="1228"/>
      <c r="SPN187" s="1228"/>
      <c r="SPO187" s="1228"/>
      <c r="SPP187" s="1228"/>
      <c r="SPQ187" s="1228"/>
      <c r="SPR187" s="1228"/>
      <c r="SPS187" s="1228"/>
      <c r="SPT187" s="1228"/>
      <c r="SPU187" s="1228"/>
      <c r="SPV187" s="1228"/>
      <c r="SPW187" s="1228"/>
      <c r="SPX187" s="1228"/>
      <c r="SPY187" s="1228"/>
      <c r="SPZ187" s="1228"/>
      <c r="SQA187" s="1228"/>
      <c r="SQB187" s="1228"/>
      <c r="SQC187" s="1228"/>
      <c r="SQD187" s="1228"/>
      <c r="SQE187" s="1228"/>
      <c r="SQF187" s="1228"/>
      <c r="SQG187" s="1228"/>
      <c r="SQH187" s="1228"/>
      <c r="SQI187" s="1228"/>
      <c r="SQJ187" s="1228"/>
      <c r="SQK187" s="1228"/>
      <c r="SQL187" s="1228"/>
      <c r="SQM187" s="1228"/>
      <c r="SQN187" s="1228"/>
      <c r="SQO187" s="1228"/>
      <c r="SQP187" s="1228"/>
      <c r="SQQ187" s="1228"/>
      <c r="SQR187" s="1228"/>
      <c r="SQS187" s="1228"/>
      <c r="SQT187" s="1228"/>
      <c r="SQU187" s="1228"/>
      <c r="SQV187" s="1228"/>
      <c r="SQW187" s="1228"/>
      <c r="SQX187" s="1228"/>
      <c r="SQY187" s="1228"/>
      <c r="SQZ187" s="1228"/>
      <c r="SRA187" s="1228"/>
      <c r="SRB187" s="1228"/>
      <c r="SRC187" s="1228"/>
      <c r="SRD187" s="1228"/>
      <c r="SRE187" s="1228"/>
      <c r="SRF187" s="1228"/>
      <c r="SRG187" s="1228"/>
      <c r="SRH187" s="1228"/>
      <c r="SRI187" s="1228"/>
      <c r="SRJ187" s="1228"/>
      <c r="SRK187" s="1228"/>
      <c r="SRL187" s="1228"/>
      <c r="SRM187" s="1228"/>
      <c r="SRN187" s="1228"/>
      <c r="SRO187" s="1228"/>
      <c r="SRP187" s="1228"/>
      <c r="SRQ187" s="1228"/>
      <c r="SRR187" s="1228"/>
      <c r="SRS187" s="1228"/>
      <c r="SRT187" s="1228"/>
      <c r="SRU187" s="1228"/>
      <c r="SRV187" s="1228"/>
      <c r="SRW187" s="1228"/>
      <c r="SRX187" s="1228"/>
      <c r="SRY187" s="1228"/>
      <c r="SRZ187" s="1228"/>
      <c r="SSA187" s="1228"/>
      <c r="SSB187" s="1228"/>
      <c r="SSC187" s="1228"/>
      <c r="SSD187" s="1228"/>
      <c r="SSE187" s="1228"/>
      <c r="SSF187" s="1228"/>
      <c r="SSG187" s="1228"/>
      <c r="SSH187" s="1228"/>
      <c r="SSI187" s="1228"/>
      <c r="SSJ187" s="1228"/>
      <c r="SSK187" s="1228"/>
      <c r="SSL187" s="1228"/>
      <c r="SSM187" s="1228"/>
      <c r="SSN187" s="1228"/>
      <c r="SSO187" s="1228"/>
      <c r="SSP187" s="1228"/>
      <c r="SSQ187" s="1228"/>
      <c r="SSR187" s="1228"/>
      <c r="SSS187" s="1228"/>
      <c r="SST187" s="1228"/>
      <c r="SSU187" s="1228"/>
      <c r="SSV187" s="1228"/>
      <c r="SSW187" s="1228"/>
      <c r="SSX187" s="1228"/>
      <c r="SSY187" s="1228"/>
      <c r="SSZ187" s="1228"/>
      <c r="STA187" s="1228"/>
      <c r="STB187" s="1228"/>
      <c r="STC187" s="1228"/>
      <c r="STD187" s="1228"/>
      <c r="STE187" s="1228"/>
      <c r="STF187" s="1228"/>
      <c r="STG187" s="1228"/>
      <c r="STH187" s="1228"/>
      <c r="STI187" s="1228"/>
      <c r="STJ187" s="1228"/>
      <c r="STK187" s="1228"/>
      <c r="STL187" s="1228"/>
      <c r="STM187" s="1228"/>
      <c r="STN187" s="1228"/>
      <c r="STO187" s="1228"/>
      <c r="STP187" s="1228"/>
      <c r="STQ187" s="1228"/>
      <c r="STR187" s="1228"/>
      <c r="STS187" s="1228"/>
      <c r="STT187" s="1228"/>
      <c r="STU187" s="1228"/>
      <c r="STV187" s="1228"/>
      <c r="STW187" s="1228"/>
      <c r="STX187" s="1228"/>
      <c r="STY187" s="1228"/>
      <c r="STZ187" s="1228"/>
      <c r="SUA187" s="1228"/>
      <c r="SUB187" s="1228"/>
      <c r="SUC187" s="1228"/>
      <c r="SUD187" s="1228"/>
      <c r="SUE187" s="1228"/>
      <c r="SUF187" s="1228"/>
      <c r="SUG187" s="1228"/>
      <c r="SUH187" s="1228"/>
      <c r="SUI187" s="1228"/>
      <c r="SUJ187" s="1228"/>
      <c r="SUK187" s="1228"/>
      <c r="SUL187" s="1228"/>
      <c r="SUM187" s="1228"/>
      <c r="SUN187" s="1228"/>
      <c r="SUO187" s="1228"/>
      <c r="SUP187" s="1228"/>
      <c r="SUQ187" s="1228"/>
      <c r="SUR187" s="1228"/>
      <c r="SUS187" s="1228"/>
      <c r="SUT187" s="1228"/>
      <c r="SUU187" s="1228"/>
      <c r="SUV187" s="1228"/>
      <c r="SUW187" s="1228"/>
      <c r="SUX187" s="1228"/>
      <c r="SUY187" s="1228"/>
      <c r="SUZ187" s="1228"/>
      <c r="SVA187" s="1228"/>
      <c r="SVB187" s="1228"/>
      <c r="SVC187" s="1228"/>
      <c r="SVD187" s="1228"/>
      <c r="SVE187" s="1228"/>
      <c r="SVF187" s="1228"/>
      <c r="SVG187" s="1228"/>
      <c r="SVH187" s="1228"/>
      <c r="SVI187" s="1228"/>
      <c r="SVJ187" s="1228"/>
      <c r="SVK187" s="1228"/>
      <c r="SVL187" s="1228"/>
      <c r="SVM187" s="1228"/>
      <c r="SVN187" s="1228"/>
      <c r="SVO187" s="1228"/>
      <c r="SVP187" s="1228"/>
      <c r="SVQ187" s="1228"/>
      <c r="SVR187" s="1228"/>
      <c r="SVS187" s="1228"/>
      <c r="SVT187" s="1228"/>
      <c r="SVU187" s="1228"/>
      <c r="SVV187" s="1228"/>
      <c r="SVW187" s="1228"/>
      <c r="SVX187" s="1228"/>
      <c r="SVY187" s="1228"/>
      <c r="SVZ187" s="1228"/>
      <c r="SWA187" s="1228"/>
      <c r="SWB187" s="1228"/>
      <c r="SWC187" s="1228"/>
      <c r="SWD187" s="1228"/>
      <c r="SWE187" s="1228"/>
      <c r="SWF187" s="1228"/>
      <c r="SWG187" s="1228"/>
      <c r="SWH187" s="1228"/>
      <c r="SWI187" s="1228"/>
      <c r="SWJ187" s="1228"/>
      <c r="SWK187" s="1228"/>
      <c r="SWL187" s="1228"/>
      <c r="SWM187" s="1228"/>
      <c r="SWN187" s="1228"/>
      <c r="SWO187" s="1228"/>
      <c r="SWP187" s="1228"/>
      <c r="SWQ187" s="1228"/>
      <c r="SWR187" s="1228"/>
      <c r="SWS187" s="1228"/>
      <c r="SWT187" s="1228"/>
      <c r="SWU187" s="1228"/>
      <c r="SWV187" s="1228"/>
      <c r="SWW187" s="1228"/>
      <c r="SWX187" s="1228"/>
      <c r="SWY187" s="1228"/>
      <c r="SWZ187" s="1228"/>
      <c r="SXA187" s="1228"/>
      <c r="SXB187" s="1228"/>
      <c r="SXC187" s="1228"/>
      <c r="SXD187" s="1228"/>
      <c r="SXE187" s="1228"/>
      <c r="SXF187" s="1228"/>
      <c r="SXG187" s="1228"/>
      <c r="SXH187" s="1228"/>
      <c r="SXI187" s="1228"/>
      <c r="SXJ187" s="1228"/>
      <c r="SXK187" s="1228"/>
      <c r="SXL187" s="1228"/>
      <c r="SXM187" s="1228"/>
      <c r="SXN187" s="1228"/>
      <c r="SXO187" s="1228"/>
      <c r="SXP187" s="1228"/>
      <c r="SXQ187" s="1228"/>
      <c r="SXR187" s="1228"/>
      <c r="SXS187" s="1228"/>
      <c r="SXT187" s="1228"/>
      <c r="SXU187" s="1228"/>
      <c r="SXV187" s="1228"/>
      <c r="SXW187" s="1228"/>
      <c r="SXX187" s="1228"/>
      <c r="SXY187" s="1228"/>
      <c r="SXZ187" s="1228"/>
      <c r="SYA187" s="1228"/>
      <c r="SYB187" s="1228"/>
      <c r="SYC187" s="1228"/>
      <c r="SYD187" s="1228"/>
      <c r="SYE187" s="1228"/>
      <c r="SYF187" s="1228"/>
      <c r="SYG187" s="1228"/>
      <c r="SYH187" s="1228"/>
      <c r="SYI187" s="1228"/>
      <c r="SYJ187" s="1228"/>
      <c r="SYK187" s="1228"/>
      <c r="SYL187" s="1228"/>
      <c r="SYM187" s="1228"/>
      <c r="SYN187" s="1228"/>
      <c r="SYO187" s="1228"/>
      <c r="SYP187" s="1228"/>
      <c r="SYQ187" s="1228"/>
      <c r="SYR187" s="1228"/>
      <c r="SYS187" s="1228"/>
      <c r="SYT187" s="1228"/>
      <c r="SYU187" s="1228"/>
      <c r="SYV187" s="1228"/>
      <c r="SYW187" s="1228"/>
      <c r="SYX187" s="1228"/>
      <c r="SYY187" s="1228"/>
      <c r="SYZ187" s="1228"/>
      <c r="SZA187" s="1228"/>
      <c r="SZB187" s="1228"/>
      <c r="SZC187" s="1228"/>
      <c r="SZD187" s="1228"/>
      <c r="SZE187" s="1228"/>
      <c r="SZF187" s="1228"/>
      <c r="SZG187" s="1228"/>
      <c r="SZH187" s="1228"/>
      <c r="SZI187" s="1228"/>
      <c r="SZJ187" s="1228"/>
      <c r="SZK187" s="1228"/>
      <c r="SZL187" s="1228"/>
      <c r="SZM187" s="1228"/>
      <c r="SZN187" s="1228"/>
      <c r="SZO187" s="1228"/>
      <c r="SZP187" s="1228"/>
      <c r="SZQ187" s="1228"/>
      <c r="SZR187" s="1228"/>
      <c r="SZS187" s="1228"/>
      <c r="SZT187" s="1228"/>
      <c r="SZU187" s="1228"/>
      <c r="SZV187" s="1228"/>
      <c r="SZW187" s="1228"/>
      <c r="SZX187" s="1228"/>
      <c r="SZY187" s="1228"/>
      <c r="SZZ187" s="1228"/>
      <c r="TAA187" s="1228"/>
      <c r="TAB187" s="1228"/>
      <c r="TAC187" s="1228"/>
      <c r="TAD187" s="1228"/>
      <c r="TAE187" s="1228"/>
      <c r="TAF187" s="1228"/>
      <c r="TAG187" s="1228"/>
      <c r="TAH187" s="1228"/>
      <c r="TAI187" s="1228"/>
      <c r="TAJ187" s="1228"/>
      <c r="TAK187" s="1228"/>
      <c r="TAL187" s="1228"/>
      <c r="TAM187" s="1228"/>
      <c r="TAN187" s="1228"/>
      <c r="TAO187" s="1228"/>
      <c r="TAP187" s="1228"/>
      <c r="TAQ187" s="1228"/>
      <c r="TAR187" s="1228"/>
      <c r="TAS187" s="1228"/>
      <c r="TAT187" s="1228"/>
      <c r="TAU187" s="1228"/>
      <c r="TAV187" s="1228"/>
      <c r="TAW187" s="1228"/>
      <c r="TAX187" s="1228"/>
      <c r="TAY187" s="1228"/>
      <c r="TAZ187" s="1228"/>
      <c r="TBA187" s="1228"/>
      <c r="TBB187" s="1228"/>
      <c r="TBC187" s="1228"/>
      <c r="TBD187" s="1228"/>
      <c r="TBE187" s="1228"/>
      <c r="TBF187" s="1228"/>
      <c r="TBG187" s="1228"/>
      <c r="TBH187" s="1228"/>
      <c r="TBI187" s="1228"/>
      <c r="TBJ187" s="1228"/>
      <c r="TBK187" s="1228"/>
      <c r="TBL187" s="1228"/>
      <c r="TBM187" s="1228"/>
      <c r="TBN187" s="1228"/>
      <c r="TBO187" s="1228"/>
      <c r="TBP187" s="1228"/>
      <c r="TBQ187" s="1228"/>
      <c r="TBR187" s="1228"/>
      <c r="TBS187" s="1228"/>
      <c r="TBT187" s="1228"/>
      <c r="TBU187" s="1228"/>
      <c r="TBV187" s="1228"/>
      <c r="TBW187" s="1228"/>
      <c r="TBX187" s="1228"/>
      <c r="TBY187" s="1228"/>
      <c r="TBZ187" s="1228"/>
      <c r="TCA187" s="1228"/>
      <c r="TCB187" s="1228"/>
      <c r="TCC187" s="1228"/>
      <c r="TCD187" s="1228"/>
      <c r="TCE187" s="1228"/>
      <c r="TCF187" s="1228"/>
      <c r="TCG187" s="1228"/>
      <c r="TCH187" s="1228"/>
      <c r="TCI187" s="1228"/>
      <c r="TCJ187" s="1228"/>
      <c r="TCK187" s="1228"/>
      <c r="TCL187" s="1228"/>
      <c r="TCM187" s="1228"/>
      <c r="TCN187" s="1228"/>
      <c r="TCO187" s="1228"/>
      <c r="TCP187" s="1228"/>
      <c r="TCQ187" s="1228"/>
      <c r="TCR187" s="1228"/>
      <c r="TCS187" s="1228"/>
      <c r="TCT187" s="1228"/>
      <c r="TCU187" s="1228"/>
      <c r="TCV187" s="1228"/>
      <c r="TCW187" s="1228"/>
      <c r="TCX187" s="1228"/>
      <c r="TCY187" s="1228"/>
      <c r="TCZ187" s="1228"/>
      <c r="TDA187" s="1228"/>
      <c r="TDB187" s="1228"/>
      <c r="TDC187" s="1228"/>
      <c r="TDD187" s="1228"/>
      <c r="TDE187" s="1228"/>
      <c r="TDF187" s="1228"/>
      <c r="TDG187" s="1228"/>
      <c r="TDH187" s="1228"/>
      <c r="TDI187" s="1228"/>
      <c r="TDJ187" s="1228"/>
      <c r="TDK187" s="1228"/>
      <c r="TDL187" s="1228"/>
      <c r="TDM187" s="1228"/>
      <c r="TDN187" s="1228"/>
      <c r="TDO187" s="1228"/>
      <c r="TDP187" s="1228"/>
      <c r="TDQ187" s="1228"/>
      <c r="TDR187" s="1228"/>
      <c r="TDS187" s="1228"/>
      <c r="TDT187" s="1228"/>
      <c r="TDU187" s="1228"/>
      <c r="TDV187" s="1228"/>
      <c r="TDW187" s="1228"/>
      <c r="TDX187" s="1228"/>
      <c r="TDY187" s="1228"/>
      <c r="TDZ187" s="1228"/>
      <c r="TEA187" s="1228"/>
      <c r="TEB187" s="1228"/>
      <c r="TEC187" s="1228"/>
      <c r="TED187" s="1228"/>
      <c r="TEE187" s="1228"/>
      <c r="TEF187" s="1228"/>
      <c r="TEG187" s="1228"/>
      <c r="TEH187" s="1228"/>
      <c r="TEI187" s="1228"/>
      <c r="TEJ187" s="1228"/>
      <c r="TEK187" s="1228"/>
      <c r="TEL187" s="1228"/>
      <c r="TEM187" s="1228"/>
      <c r="TEN187" s="1228"/>
      <c r="TEO187" s="1228"/>
      <c r="TEP187" s="1228"/>
      <c r="TEQ187" s="1228"/>
      <c r="TER187" s="1228"/>
      <c r="TES187" s="1228"/>
      <c r="TET187" s="1228"/>
      <c r="TEU187" s="1228"/>
      <c r="TEV187" s="1228"/>
      <c r="TEW187" s="1228"/>
      <c r="TEX187" s="1228"/>
      <c r="TEY187" s="1228"/>
      <c r="TEZ187" s="1228"/>
      <c r="TFA187" s="1228"/>
      <c r="TFB187" s="1228"/>
      <c r="TFC187" s="1228"/>
      <c r="TFD187" s="1228"/>
      <c r="TFE187" s="1228"/>
      <c r="TFF187" s="1228"/>
      <c r="TFG187" s="1228"/>
      <c r="TFH187" s="1228"/>
      <c r="TFI187" s="1228"/>
      <c r="TFJ187" s="1228"/>
      <c r="TFK187" s="1228"/>
      <c r="TFL187" s="1228"/>
      <c r="TFM187" s="1228"/>
      <c r="TFN187" s="1228"/>
      <c r="TFO187" s="1228"/>
      <c r="TFP187" s="1228"/>
      <c r="TFQ187" s="1228"/>
      <c r="TFR187" s="1228"/>
      <c r="TFS187" s="1228"/>
      <c r="TFT187" s="1228"/>
      <c r="TFU187" s="1228"/>
      <c r="TFV187" s="1228"/>
      <c r="TFW187" s="1228"/>
      <c r="TFX187" s="1228"/>
      <c r="TFY187" s="1228"/>
      <c r="TFZ187" s="1228"/>
      <c r="TGA187" s="1228"/>
      <c r="TGB187" s="1228"/>
      <c r="TGC187" s="1228"/>
      <c r="TGD187" s="1228"/>
      <c r="TGE187" s="1228"/>
      <c r="TGF187" s="1228"/>
      <c r="TGG187" s="1228"/>
      <c r="TGH187" s="1228"/>
      <c r="TGI187" s="1228"/>
      <c r="TGJ187" s="1228"/>
      <c r="TGK187" s="1228"/>
      <c r="TGL187" s="1228"/>
      <c r="TGM187" s="1228"/>
      <c r="TGN187" s="1228"/>
      <c r="TGO187" s="1228"/>
      <c r="TGP187" s="1228"/>
      <c r="TGQ187" s="1228"/>
      <c r="TGR187" s="1228"/>
      <c r="TGS187" s="1228"/>
      <c r="TGT187" s="1228"/>
      <c r="TGU187" s="1228"/>
      <c r="TGV187" s="1228"/>
      <c r="TGW187" s="1228"/>
      <c r="TGX187" s="1228"/>
      <c r="TGY187" s="1228"/>
      <c r="TGZ187" s="1228"/>
      <c r="THA187" s="1228"/>
      <c r="THB187" s="1228"/>
      <c r="THC187" s="1228"/>
      <c r="THD187" s="1228"/>
      <c r="THE187" s="1228"/>
      <c r="THF187" s="1228"/>
      <c r="THG187" s="1228"/>
      <c r="THH187" s="1228"/>
      <c r="THI187" s="1228"/>
      <c r="THJ187" s="1228"/>
      <c r="THK187" s="1228"/>
      <c r="THL187" s="1228"/>
      <c r="THM187" s="1228"/>
      <c r="THN187" s="1228"/>
      <c r="THO187" s="1228"/>
      <c r="THP187" s="1228"/>
      <c r="THQ187" s="1228"/>
      <c r="THR187" s="1228"/>
      <c r="THS187" s="1228"/>
      <c r="THT187" s="1228"/>
      <c r="THU187" s="1228"/>
      <c r="THV187" s="1228"/>
      <c r="THW187" s="1228"/>
      <c r="THX187" s="1228"/>
      <c r="THY187" s="1228"/>
      <c r="THZ187" s="1228"/>
      <c r="TIA187" s="1228"/>
      <c r="TIB187" s="1228"/>
      <c r="TIC187" s="1228"/>
      <c r="TID187" s="1228"/>
      <c r="TIE187" s="1228"/>
      <c r="TIF187" s="1228"/>
      <c r="TIG187" s="1228"/>
      <c r="TIH187" s="1228"/>
      <c r="TII187" s="1228"/>
      <c r="TIJ187" s="1228"/>
      <c r="TIK187" s="1228"/>
      <c r="TIL187" s="1228"/>
      <c r="TIM187" s="1228"/>
      <c r="TIN187" s="1228"/>
      <c r="TIO187" s="1228"/>
      <c r="TIP187" s="1228"/>
      <c r="TIQ187" s="1228"/>
      <c r="TIR187" s="1228"/>
      <c r="TIS187" s="1228"/>
      <c r="TIT187" s="1228"/>
      <c r="TIU187" s="1228"/>
      <c r="TIV187" s="1228"/>
      <c r="TIW187" s="1228"/>
      <c r="TIX187" s="1228"/>
      <c r="TIY187" s="1228"/>
      <c r="TIZ187" s="1228"/>
      <c r="TJA187" s="1228"/>
      <c r="TJB187" s="1228"/>
      <c r="TJC187" s="1228"/>
      <c r="TJD187" s="1228"/>
      <c r="TJE187" s="1228"/>
      <c r="TJF187" s="1228"/>
      <c r="TJG187" s="1228"/>
      <c r="TJH187" s="1228"/>
      <c r="TJI187" s="1228"/>
      <c r="TJJ187" s="1228"/>
      <c r="TJK187" s="1228"/>
      <c r="TJL187" s="1228"/>
      <c r="TJM187" s="1228"/>
      <c r="TJN187" s="1228"/>
      <c r="TJO187" s="1228"/>
      <c r="TJP187" s="1228"/>
      <c r="TJQ187" s="1228"/>
      <c r="TJR187" s="1228"/>
      <c r="TJS187" s="1228"/>
      <c r="TJT187" s="1228"/>
      <c r="TJU187" s="1228"/>
      <c r="TJV187" s="1228"/>
      <c r="TJW187" s="1228"/>
      <c r="TJX187" s="1228"/>
      <c r="TJY187" s="1228"/>
      <c r="TJZ187" s="1228"/>
      <c r="TKA187" s="1228"/>
      <c r="TKB187" s="1228"/>
      <c r="TKC187" s="1228"/>
      <c r="TKD187" s="1228"/>
      <c r="TKE187" s="1228"/>
      <c r="TKF187" s="1228"/>
      <c r="TKG187" s="1228"/>
      <c r="TKH187" s="1228"/>
      <c r="TKI187" s="1228"/>
      <c r="TKJ187" s="1228"/>
      <c r="TKK187" s="1228"/>
      <c r="TKL187" s="1228"/>
      <c r="TKM187" s="1228"/>
      <c r="TKN187" s="1228"/>
      <c r="TKO187" s="1228"/>
      <c r="TKP187" s="1228"/>
      <c r="TKQ187" s="1228"/>
      <c r="TKR187" s="1228"/>
      <c r="TKS187" s="1228"/>
      <c r="TKT187" s="1228"/>
      <c r="TKU187" s="1228"/>
      <c r="TKV187" s="1228"/>
      <c r="TKW187" s="1228"/>
      <c r="TKX187" s="1228"/>
      <c r="TKY187" s="1228"/>
      <c r="TKZ187" s="1228"/>
      <c r="TLA187" s="1228"/>
      <c r="TLB187" s="1228"/>
      <c r="TLC187" s="1228"/>
      <c r="TLD187" s="1228"/>
      <c r="TLE187" s="1228"/>
      <c r="TLF187" s="1228"/>
      <c r="TLG187" s="1228"/>
      <c r="TLH187" s="1228"/>
      <c r="TLI187" s="1228"/>
      <c r="TLJ187" s="1228"/>
      <c r="TLK187" s="1228"/>
      <c r="TLL187" s="1228"/>
      <c r="TLM187" s="1228"/>
      <c r="TLN187" s="1228"/>
      <c r="TLO187" s="1228"/>
      <c r="TLP187" s="1228"/>
      <c r="TLQ187" s="1228"/>
      <c r="TLR187" s="1228"/>
      <c r="TLS187" s="1228"/>
      <c r="TLT187" s="1228"/>
      <c r="TLU187" s="1228"/>
      <c r="TLV187" s="1228"/>
      <c r="TLW187" s="1228"/>
      <c r="TLX187" s="1228"/>
      <c r="TLY187" s="1228"/>
      <c r="TLZ187" s="1228"/>
      <c r="TMA187" s="1228"/>
      <c r="TMB187" s="1228"/>
      <c r="TMC187" s="1228"/>
      <c r="TMD187" s="1228"/>
      <c r="TME187" s="1228"/>
      <c r="TMF187" s="1228"/>
      <c r="TMG187" s="1228"/>
      <c r="TMH187" s="1228"/>
      <c r="TMI187" s="1228"/>
      <c r="TMJ187" s="1228"/>
      <c r="TMK187" s="1228"/>
      <c r="TML187" s="1228"/>
      <c r="TMM187" s="1228"/>
      <c r="TMN187" s="1228"/>
      <c r="TMO187" s="1228"/>
      <c r="TMP187" s="1228"/>
      <c r="TMQ187" s="1228"/>
      <c r="TMR187" s="1228"/>
      <c r="TMS187" s="1228"/>
      <c r="TMT187" s="1228"/>
      <c r="TMU187" s="1228"/>
      <c r="TMV187" s="1228"/>
      <c r="TMW187" s="1228"/>
      <c r="TMX187" s="1228"/>
      <c r="TMY187" s="1228"/>
      <c r="TMZ187" s="1228"/>
      <c r="TNA187" s="1228"/>
      <c r="TNB187" s="1228"/>
      <c r="TNC187" s="1228"/>
      <c r="TND187" s="1228"/>
      <c r="TNE187" s="1228"/>
      <c r="TNF187" s="1228"/>
      <c r="TNG187" s="1228"/>
      <c r="TNH187" s="1228"/>
      <c r="TNI187" s="1228"/>
      <c r="TNJ187" s="1228"/>
      <c r="TNK187" s="1228"/>
      <c r="TNL187" s="1228"/>
      <c r="TNM187" s="1228"/>
      <c r="TNN187" s="1228"/>
      <c r="TNO187" s="1228"/>
      <c r="TNP187" s="1228"/>
      <c r="TNQ187" s="1228"/>
      <c r="TNR187" s="1228"/>
      <c r="TNS187" s="1228"/>
      <c r="TNT187" s="1228"/>
      <c r="TNU187" s="1228"/>
      <c r="TNV187" s="1228"/>
      <c r="TNW187" s="1228"/>
      <c r="TNX187" s="1228"/>
      <c r="TNY187" s="1228"/>
      <c r="TNZ187" s="1228"/>
      <c r="TOA187" s="1228"/>
      <c r="TOB187" s="1228"/>
      <c r="TOC187" s="1228"/>
      <c r="TOD187" s="1228"/>
      <c r="TOE187" s="1228"/>
      <c r="TOF187" s="1228"/>
      <c r="TOG187" s="1228"/>
      <c r="TOH187" s="1228"/>
      <c r="TOI187" s="1228"/>
      <c r="TOJ187" s="1228"/>
      <c r="TOK187" s="1228"/>
      <c r="TOL187" s="1228"/>
      <c r="TOM187" s="1228"/>
      <c r="TON187" s="1228"/>
      <c r="TOO187" s="1228"/>
      <c r="TOP187" s="1228"/>
      <c r="TOQ187" s="1228"/>
      <c r="TOR187" s="1228"/>
      <c r="TOS187" s="1228"/>
      <c r="TOT187" s="1228"/>
      <c r="TOU187" s="1228"/>
      <c r="TOV187" s="1228"/>
      <c r="TOW187" s="1228"/>
      <c r="TOX187" s="1228"/>
      <c r="TOY187" s="1228"/>
      <c r="TOZ187" s="1228"/>
      <c r="TPA187" s="1228"/>
      <c r="TPB187" s="1228"/>
      <c r="TPC187" s="1228"/>
      <c r="TPD187" s="1228"/>
      <c r="TPE187" s="1228"/>
      <c r="TPF187" s="1228"/>
      <c r="TPG187" s="1228"/>
      <c r="TPH187" s="1228"/>
      <c r="TPI187" s="1228"/>
      <c r="TPJ187" s="1228"/>
      <c r="TPK187" s="1228"/>
      <c r="TPL187" s="1228"/>
      <c r="TPM187" s="1228"/>
      <c r="TPN187" s="1228"/>
      <c r="TPO187" s="1228"/>
      <c r="TPP187" s="1228"/>
      <c r="TPQ187" s="1228"/>
      <c r="TPR187" s="1228"/>
      <c r="TPS187" s="1228"/>
      <c r="TPT187" s="1228"/>
      <c r="TPU187" s="1228"/>
      <c r="TPV187" s="1228"/>
      <c r="TPW187" s="1228"/>
      <c r="TPX187" s="1228"/>
      <c r="TPY187" s="1228"/>
      <c r="TPZ187" s="1228"/>
      <c r="TQA187" s="1228"/>
      <c r="TQB187" s="1228"/>
      <c r="TQC187" s="1228"/>
      <c r="TQD187" s="1228"/>
      <c r="TQE187" s="1228"/>
      <c r="TQF187" s="1228"/>
      <c r="TQG187" s="1228"/>
      <c r="TQH187" s="1228"/>
      <c r="TQI187" s="1228"/>
      <c r="TQJ187" s="1228"/>
      <c r="TQK187" s="1228"/>
      <c r="TQL187" s="1228"/>
      <c r="TQM187" s="1228"/>
      <c r="TQN187" s="1228"/>
      <c r="TQO187" s="1228"/>
      <c r="TQP187" s="1228"/>
      <c r="TQQ187" s="1228"/>
      <c r="TQR187" s="1228"/>
      <c r="TQS187" s="1228"/>
      <c r="TQT187" s="1228"/>
      <c r="TQU187" s="1228"/>
      <c r="TQV187" s="1228"/>
      <c r="TQW187" s="1228"/>
      <c r="TQX187" s="1228"/>
      <c r="TQY187" s="1228"/>
      <c r="TQZ187" s="1228"/>
      <c r="TRA187" s="1228"/>
      <c r="TRB187" s="1228"/>
      <c r="TRC187" s="1228"/>
      <c r="TRD187" s="1228"/>
      <c r="TRE187" s="1228"/>
      <c r="TRF187" s="1228"/>
      <c r="TRG187" s="1228"/>
      <c r="TRH187" s="1228"/>
      <c r="TRI187" s="1228"/>
      <c r="TRJ187" s="1228"/>
      <c r="TRK187" s="1228"/>
      <c r="TRL187" s="1228"/>
      <c r="TRM187" s="1228"/>
      <c r="TRN187" s="1228"/>
      <c r="TRO187" s="1228"/>
      <c r="TRP187" s="1228"/>
      <c r="TRQ187" s="1228"/>
      <c r="TRR187" s="1228"/>
      <c r="TRS187" s="1228"/>
      <c r="TRT187" s="1228"/>
      <c r="TRU187" s="1228"/>
      <c r="TRV187" s="1228"/>
      <c r="TRW187" s="1228"/>
      <c r="TRX187" s="1228"/>
      <c r="TRY187" s="1228"/>
      <c r="TRZ187" s="1228"/>
      <c r="TSA187" s="1228"/>
      <c r="TSB187" s="1228"/>
      <c r="TSC187" s="1228"/>
      <c r="TSD187" s="1228"/>
      <c r="TSE187" s="1228"/>
      <c r="TSF187" s="1228"/>
      <c r="TSG187" s="1228"/>
      <c r="TSH187" s="1228"/>
      <c r="TSI187" s="1228"/>
      <c r="TSJ187" s="1228"/>
      <c r="TSK187" s="1228"/>
      <c r="TSL187" s="1228"/>
      <c r="TSM187" s="1228"/>
      <c r="TSN187" s="1228"/>
      <c r="TSO187" s="1228"/>
      <c r="TSP187" s="1228"/>
      <c r="TSQ187" s="1228"/>
      <c r="TSR187" s="1228"/>
      <c r="TSS187" s="1228"/>
      <c r="TST187" s="1228"/>
      <c r="TSU187" s="1228"/>
      <c r="TSV187" s="1228"/>
      <c r="TSW187" s="1228"/>
      <c r="TSX187" s="1228"/>
      <c r="TSY187" s="1228"/>
      <c r="TSZ187" s="1228"/>
      <c r="TTA187" s="1228"/>
      <c r="TTB187" s="1228"/>
      <c r="TTC187" s="1228"/>
      <c r="TTD187" s="1228"/>
      <c r="TTE187" s="1228"/>
      <c r="TTF187" s="1228"/>
      <c r="TTG187" s="1228"/>
      <c r="TTH187" s="1228"/>
      <c r="TTI187" s="1228"/>
      <c r="TTJ187" s="1228"/>
      <c r="TTK187" s="1228"/>
      <c r="TTL187" s="1228"/>
      <c r="TTM187" s="1228"/>
      <c r="TTN187" s="1228"/>
      <c r="TTO187" s="1228"/>
      <c r="TTP187" s="1228"/>
      <c r="TTQ187" s="1228"/>
      <c r="TTR187" s="1228"/>
      <c r="TTS187" s="1228"/>
      <c r="TTT187" s="1228"/>
      <c r="TTU187" s="1228"/>
      <c r="TTV187" s="1228"/>
      <c r="TTW187" s="1228"/>
      <c r="TTX187" s="1228"/>
      <c r="TTY187" s="1228"/>
      <c r="TTZ187" s="1228"/>
      <c r="TUA187" s="1228"/>
      <c r="TUB187" s="1228"/>
      <c r="TUC187" s="1228"/>
      <c r="TUD187" s="1228"/>
      <c r="TUE187" s="1228"/>
      <c r="TUF187" s="1228"/>
      <c r="TUG187" s="1228"/>
      <c r="TUH187" s="1228"/>
      <c r="TUI187" s="1228"/>
      <c r="TUJ187" s="1228"/>
      <c r="TUK187" s="1228"/>
      <c r="TUL187" s="1228"/>
      <c r="TUM187" s="1228"/>
      <c r="TUN187" s="1228"/>
      <c r="TUO187" s="1228"/>
      <c r="TUP187" s="1228"/>
      <c r="TUQ187" s="1228"/>
      <c r="TUR187" s="1228"/>
      <c r="TUS187" s="1228"/>
      <c r="TUT187" s="1228"/>
      <c r="TUU187" s="1228"/>
      <c r="TUV187" s="1228"/>
      <c r="TUW187" s="1228"/>
      <c r="TUX187" s="1228"/>
      <c r="TUY187" s="1228"/>
      <c r="TUZ187" s="1228"/>
      <c r="TVA187" s="1228"/>
      <c r="TVB187" s="1228"/>
      <c r="TVC187" s="1228"/>
      <c r="TVD187" s="1228"/>
      <c r="TVE187" s="1228"/>
      <c r="TVF187" s="1228"/>
      <c r="TVG187" s="1228"/>
      <c r="TVH187" s="1228"/>
      <c r="TVI187" s="1228"/>
      <c r="TVJ187" s="1228"/>
      <c r="TVK187" s="1228"/>
      <c r="TVL187" s="1228"/>
      <c r="TVM187" s="1228"/>
      <c r="TVN187" s="1228"/>
      <c r="TVO187" s="1228"/>
      <c r="TVP187" s="1228"/>
      <c r="TVQ187" s="1228"/>
      <c r="TVR187" s="1228"/>
      <c r="TVS187" s="1228"/>
      <c r="TVT187" s="1228"/>
      <c r="TVU187" s="1228"/>
      <c r="TVV187" s="1228"/>
      <c r="TVW187" s="1228"/>
      <c r="TVX187" s="1228"/>
      <c r="TVY187" s="1228"/>
      <c r="TVZ187" s="1228"/>
      <c r="TWA187" s="1228"/>
      <c r="TWB187" s="1228"/>
      <c r="TWC187" s="1228"/>
      <c r="TWD187" s="1228"/>
      <c r="TWE187" s="1228"/>
      <c r="TWF187" s="1228"/>
      <c r="TWG187" s="1228"/>
      <c r="TWH187" s="1228"/>
      <c r="TWI187" s="1228"/>
      <c r="TWJ187" s="1228"/>
      <c r="TWK187" s="1228"/>
      <c r="TWL187" s="1228"/>
      <c r="TWM187" s="1228"/>
      <c r="TWN187" s="1228"/>
      <c r="TWO187" s="1228"/>
      <c r="TWP187" s="1228"/>
      <c r="TWQ187" s="1228"/>
      <c r="TWR187" s="1228"/>
      <c r="TWS187" s="1228"/>
      <c r="TWT187" s="1228"/>
      <c r="TWU187" s="1228"/>
      <c r="TWV187" s="1228"/>
      <c r="TWW187" s="1228"/>
      <c r="TWX187" s="1228"/>
      <c r="TWY187" s="1228"/>
      <c r="TWZ187" s="1228"/>
      <c r="TXA187" s="1228"/>
      <c r="TXB187" s="1228"/>
      <c r="TXC187" s="1228"/>
      <c r="TXD187" s="1228"/>
      <c r="TXE187" s="1228"/>
      <c r="TXF187" s="1228"/>
      <c r="TXG187" s="1228"/>
      <c r="TXH187" s="1228"/>
      <c r="TXI187" s="1228"/>
      <c r="TXJ187" s="1228"/>
      <c r="TXK187" s="1228"/>
      <c r="TXL187" s="1228"/>
      <c r="TXM187" s="1228"/>
      <c r="TXN187" s="1228"/>
      <c r="TXO187" s="1228"/>
      <c r="TXP187" s="1228"/>
      <c r="TXQ187" s="1228"/>
      <c r="TXR187" s="1228"/>
      <c r="TXS187" s="1228"/>
      <c r="TXT187" s="1228"/>
      <c r="TXU187" s="1228"/>
      <c r="TXV187" s="1228"/>
      <c r="TXW187" s="1228"/>
      <c r="TXX187" s="1228"/>
      <c r="TXY187" s="1228"/>
      <c r="TXZ187" s="1228"/>
      <c r="TYA187" s="1228"/>
      <c r="TYB187" s="1228"/>
      <c r="TYC187" s="1228"/>
      <c r="TYD187" s="1228"/>
      <c r="TYE187" s="1228"/>
      <c r="TYF187" s="1228"/>
      <c r="TYG187" s="1228"/>
      <c r="TYH187" s="1228"/>
      <c r="TYI187" s="1228"/>
      <c r="TYJ187" s="1228"/>
      <c r="TYK187" s="1228"/>
      <c r="TYL187" s="1228"/>
      <c r="TYM187" s="1228"/>
      <c r="TYN187" s="1228"/>
      <c r="TYO187" s="1228"/>
      <c r="TYP187" s="1228"/>
      <c r="TYQ187" s="1228"/>
      <c r="TYR187" s="1228"/>
      <c r="TYS187" s="1228"/>
      <c r="TYT187" s="1228"/>
      <c r="TYU187" s="1228"/>
      <c r="TYV187" s="1228"/>
      <c r="TYW187" s="1228"/>
      <c r="TYX187" s="1228"/>
      <c r="TYY187" s="1228"/>
      <c r="TYZ187" s="1228"/>
      <c r="TZA187" s="1228"/>
      <c r="TZB187" s="1228"/>
      <c r="TZC187" s="1228"/>
      <c r="TZD187" s="1228"/>
      <c r="TZE187" s="1228"/>
      <c r="TZF187" s="1228"/>
      <c r="TZG187" s="1228"/>
      <c r="TZH187" s="1228"/>
      <c r="TZI187" s="1228"/>
      <c r="TZJ187" s="1228"/>
      <c r="TZK187" s="1228"/>
      <c r="TZL187" s="1228"/>
      <c r="TZM187" s="1228"/>
      <c r="TZN187" s="1228"/>
      <c r="TZO187" s="1228"/>
      <c r="TZP187" s="1228"/>
      <c r="TZQ187" s="1228"/>
      <c r="TZR187" s="1228"/>
      <c r="TZS187" s="1228"/>
      <c r="TZT187" s="1228"/>
      <c r="TZU187" s="1228"/>
      <c r="TZV187" s="1228"/>
      <c r="TZW187" s="1228"/>
      <c r="TZX187" s="1228"/>
      <c r="TZY187" s="1228"/>
      <c r="TZZ187" s="1228"/>
      <c r="UAA187" s="1228"/>
      <c r="UAB187" s="1228"/>
      <c r="UAC187" s="1228"/>
      <c r="UAD187" s="1228"/>
      <c r="UAE187" s="1228"/>
      <c r="UAF187" s="1228"/>
      <c r="UAG187" s="1228"/>
      <c r="UAH187" s="1228"/>
      <c r="UAI187" s="1228"/>
      <c r="UAJ187" s="1228"/>
      <c r="UAK187" s="1228"/>
      <c r="UAL187" s="1228"/>
      <c r="UAM187" s="1228"/>
      <c r="UAN187" s="1228"/>
      <c r="UAO187" s="1228"/>
      <c r="UAP187" s="1228"/>
      <c r="UAQ187" s="1228"/>
      <c r="UAR187" s="1228"/>
      <c r="UAS187" s="1228"/>
      <c r="UAT187" s="1228"/>
      <c r="UAU187" s="1228"/>
      <c r="UAV187" s="1228"/>
      <c r="UAW187" s="1228"/>
      <c r="UAX187" s="1228"/>
      <c r="UAY187" s="1228"/>
      <c r="UAZ187" s="1228"/>
      <c r="UBA187" s="1228"/>
      <c r="UBB187" s="1228"/>
      <c r="UBC187" s="1228"/>
      <c r="UBD187" s="1228"/>
      <c r="UBE187" s="1228"/>
      <c r="UBF187" s="1228"/>
      <c r="UBG187" s="1228"/>
      <c r="UBH187" s="1228"/>
      <c r="UBI187" s="1228"/>
      <c r="UBJ187" s="1228"/>
      <c r="UBK187" s="1228"/>
      <c r="UBL187" s="1228"/>
      <c r="UBM187" s="1228"/>
      <c r="UBN187" s="1228"/>
      <c r="UBO187" s="1228"/>
      <c r="UBP187" s="1228"/>
      <c r="UBQ187" s="1228"/>
      <c r="UBR187" s="1228"/>
      <c r="UBS187" s="1228"/>
      <c r="UBT187" s="1228"/>
      <c r="UBU187" s="1228"/>
      <c r="UBV187" s="1228"/>
      <c r="UBW187" s="1228"/>
      <c r="UBX187" s="1228"/>
      <c r="UBY187" s="1228"/>
      <c r="UBZ187" s="1228"/>
      <c r="UCA187" s="1228"/>
      <c r="UCB187" s="1228"/>
      <c r="UCC187" s="1228"/>
      <c r="UCD187" s="1228"/>
      <c r="UCE187" s="1228"/>
      <c r="UCF187" s="1228"/>
      <c r="UCG187" s="1228"/>
      <c r="UCH187" s="1228"/>
      <c r="UCI187" s="1228"/>
      <c r="UCJ187" s="1228"/>
      <c r="UCK187" s="1228"/>
      <c r="UCL187" s="1228"/>
      <c r="UCM187" s="1228"/>
      <c r="UCN187" s="1228"/>
      <c r="UCO187" s="1228"/>
      <c r="UCP187" s="1228"/>
      <c r="UCQ187" s="1228"/>
      <c r="UCR187" s="1228"/>
      <c r="UCS187" s="1228"/>
      <c r="UCT187" s="1228"/>
      <c r="UCU187" s="1228"/>
      <c r="UCV187" s="1228"/>
      <c r="UCW187" s="1228"/>
      <c r="UCX187" s="1228"/>
      <c r="UCY187" s="1228"/>
      <c r="UCZ187" s="1228"/>
      <c r="UDA187" s="1228"/>
      <c r="UDB187" s="1228"/>
      <c r="UDC187" s="1228"/>
      <c r="UDD187" s="1228"/>
      <c r="UDE187" s="1228"/>
      <c r="UDF187" s="1228"/>
      <c r="UDG187" s="1228"/>
      <c r="UDH187" s="1228"/>
      <c r="UDI187" s="1228"/>
      <c r="UDJ187" s="1228"/>
      <c r="UDK187" s="1228"/>
      <c r="UDL187" s="1228"/>
      <c r="UDM187" s="1228"/>
      <c r="UDN187" s="1228"/>
      <c r="UDO187" s="1228"/>
      <c r="UDP187" s="1228"/>
      <c r="UDQ187" s="1228"/>
      <c r="UDR187" s="1228"/>
      <c r="UDS187" s="1228"/>
      <c r="UDT187" s="1228"/>
      <c r="UDU187" s="1228"/>
      <c r="UDV187" s="1228"/>
      <c r="UDW187" s="1228"/>
      <c r="UDX187" s="1228"/>
      <c r="UDY187" s="1228"/>
      <c r="UDZ187" s="1228"/>
      <c r="UEA187" s="1228"/>
      <c r="UEB187" s="1228"/>
      <c r="UEC187" s="1228"/>
      <c r="UED187" s="1228"/>
      <c r="UEE187" s="1228"/>
      <c r="UEF187" s="1228"/>
      <c r="UEG187" s="1228"/>
      <c r="UEH187" s="1228"/>
      <c r="UEI187" s="1228"/>
      <c r="UEJ187" s="1228"/>
      <c r="UEK187" s="1228"/>
      <c r="UEL187" s="1228"/>
      <c r="UEM187" s="1228"/>
      <c r="UEN187" s="1228"/>
      <c r="UEO187" s="1228"/>
      <c r="UEP187" s="1228"/>
      <c r="UEQ187" s="1228"/>
      <c r="UER187" s="1228"/>
      <c r="UES187" s="1228"/>
      <c r="UET187" s="1228"/>
      <c r="UEU187" s="1228"/>
      <c r="UEV187" s="1228"/>
      <c r="UEW187" s="1228"/>
      <c r="UEX187" s="1228"/>
      <c r="UEY187" s="1228"/>
      <c r="UEZ187" s="1228"/>
      <c r="UFA187" s="1228"/>
      <c r="UFB187" s="1228"/>
      <c r="UFC187" s="1228"/>
      <c r="UFD187" s="1228"/>
      <c r="UFE187" s="1228"/>
      <c r="UFF187" s="1228"/>
      <c r="UFG187" s="1228"/>
      <c r="UFH187" s="1228"/>
      <c r="UFI187" s="1228"/>
      <c r="UFJ187" s="1228"/>
      <c r="UFK187" s="1228"/>
      <c r="UFL187" s="1228"/>
      <c r="UFM187" s="1228"/>
      <c r="UFN187" s="1228"/>
      <c r="UFO187" s="1228"/>
      <c r="UFP187" s="1228"/>
      <c r="UFQ187" s="1228"/>
      <c r="UFR187" s="1228"/>
      <c r="UFS187" s="1228"/>
      <c r="UFT187" s="1228"/>
      <c r="UFU187" s="1228"/>
      <c r="UFV187" s="1228"/>
      <c r="UFW187" s="1228"/>
      <c r="UFX187" s="1228"/>
      <c r="UFY187" s="1228"/>
      <c r="UFZ187" s="1228"/>
      <c r="UGA187" s="1228"/>
      <c r="UGB187" s="1228"/>
      <c r="UGC187" s="1228"/>
      <c r="UGD187" s="1228"/>
      <c r="UGE187" s="1228"/>
      <c r="UGF187" s="1228"/>
      <c r="UGG187" s="1228"/>
      <c r="UGH187" s="1228"/>
      <c r="UGI187" s="1228"/>
      <c r="UGJ187" s="1228"/>
      <c r="UGK187" s="1228"/>
      <c r="UGL187" s="1228"/>
      <c r="UGM187" s="1228"/>
      <c r="UGN187" s="1228"/>
      <c r="UGO187" s="1228"/>
      <c r="UGP187" s="1228"/>
      <c r="UGQ187" s="1228"/>
      <c r="UGR187" s="1228"/>
      <c r="UGS187" s="1228"/>
      <c r="UGT187" s="1228"/>
      <c r="UGU187" s="1228"/>
      <c r="UGV187" s="1228"/>
      <c r="UGW187" s="1228"/>
      <c r="UGX187" s="1228"/>
      <c r="UGY187" s="1228"/>
      <c r="UGZ187" s="1228"/>
      <c r="UHA187" s="1228"/>
      <c r="UHB187" s="1228"/>
      <c r="UHC187" s="1228"/>
      <c r="UHD187" s="1228"/>
      <c r="UHE187" s="1228"/>
      <c r="UHF187" s="1228"/>
      <c r="UHG187" s="1228"/>
      <c r="UHH187" s="1228"/>
      <c r="UHI187" s="1228"/>
      <c r="UHJ187" s="1228"/>
      <c r="UHK187" s="1228"/>
      <c r="UHL187" s="1228"/>
      <c r="UHM187" s="1228"/>
      <c r="UHN187" s="1228"/>
      <c r="UHO187" s="1228"/>
      <c r="UHP187" s="1228"/>
      <c r="UHQ187" s="1228"/>
      <c r="UHR187" s="1228"/>
      <c r="UHS187" s="1228"/>
      <c r="UHT187" s="1228"/>
      <c r="UHU187" s="1228"/>
      <c r="UHV187" s="1228"/>
      <c r="UHW187" s="1228"/>
      <c r="UHX187" s="1228"/>
      <c r="UHY187" s="1228"/>
      <c r="UHZ187" s="1228"/>
      <c r="UIA187" s="1228"/>
      <c r="UIB187" s="1228"/>
      <c r="UIC187" s="1228"/>
      <c r="UID187" s="1228"/>
      <c r="UIE187" s="1228"/>
      <c r="UIF187" s="1228"/>
      <c r="UIG187" s="1228"/>
      <c r="UIH187" s="1228"/>
      <c r="UII187" s="1228"/>
      <c r="UIJ187" s="1228"/>
      <c r="UIK187" s="1228"/>
      <c r="UIL187" s="1228"/>
      <c r="UIM187" s="1228"/>
      <c r="UIN187" s="1228"/>
      <c r="UIO187" s="1228"/>
      <c r="UIP187" s="1228"/>
      <c r="UIQ187" s="1228"/>
      <c r="UIR187" s="1228"/>
      <c r="UIS187" s="1228"/>
      <c r="UIT187" s="1228"/>
      <c r="UIU187" s="1228"/>
      <c r="UIV187" s="1228"/>
      <c r="UIW187" s="1228"/>
      <c r="UIX187" s="1228"/>
      <c r="UIY187" s="1228"/>
      <c r="UIZ187" s="1228"/>
      <c r="UJA187" s="1228"/>
      <c r="UJB187" s="1228"/>
      <c r="UJC187" s="1228"/>
      <c r="UJD187" s="1228"/>
      <c r="UJE187" s="1228"/>
      <c r="UJF187" s="1228"/>
      <c r="UJG187" s="1228"/>
      <c r="UJH187" s="1228"/>
      <c r="UJI187" s="1228"/>
      <c r="UJJ187" s="1228"/>
      <c r="UJK187" s="1228"/>
      <c r="UJL187" s="1228"/>
      <c r="UJM187" s="1228"/>
      <c r="UJN187" s="1228"/>
      <c r="UJO187" s="1228"/>
      <c r="UJP187" s="1228"/>
      <c r="UJQ187" s="1228"/>
      <c r="UJR187" s="1228"/>
      <c r="UJS187" s="1228"/>
      <c r="UJT187" s="1228"/>
      <c r="UJU187" s="1228"/>
      <c r="UJV187" s="1228"/>
      <c r="UJW187" s="1228"/>
      <c r="UJX187" s="1228"/>
      <c r="UJY187" s="1228"/>
      <c r="UJZ187" s="1228"/>
      <c r="UKA187" s="1228"/>
      <c r="UKB187" s="1228"/>
      <c r="UKC187" s="1228"/>
      <c r="UKD187" s="1228"/>
      <c r="UKE187" s="1228"/>
      <c r="UKF187" s="1228"/>
      <c r="UKG187" s="1228"/>
      <c r="UKH187" s="1228"/>
      <c r="UKI187" s="1228"/>
      <c r="UKJ187" s="1228"/>
      <c r="UKK187" s="1228"/>
      <c r="UKL187" s="1228"/>
      <c r="UKM187" s="1228"/>
      <c r="UKN187" s="1228"/>
      <c r="UKO187" s="1228"/>
      <c r="UKP187" s="1228"/>
      <c r="UKQ187" s="1228"/>
      <c r="UKR187" s="1228"/>
      <c r="UKS187" s="1228"/>
      <c r="UKT187" s="1228"/>
      <c r="UKU187" s="1228"/>
      <c r="UKV187" s="1228"/>
      <c r="UKW187" s="1228"/>
      <c r="UKX187" s="1228"/>
      <c r="UKY187" s="1228"/>
      <c r="UKZ187" s="1228"/>
      <c r="ULA187" s="1228"/>
      <c r="ULB187" s="1228"/>
      <c r="ULC187" s="1228"/>
      <c r="ULD187" s="1228"/>
      <c r="ULE187" s="1228"/>
      <c r="ULF187" s="1228"/>
      <c r="ULG187" s="1228"/>
      <c r="ULH187" s="1228"/>
      <c r="ULI187" s="1228"/>
      <c r="ULJ187" s="1228"/>
      <c r="ULK187" s="1228"/>
      <c r="ULL187" s="1228"/>
      <c r="ULM187" s="1228"/>
      <c r="ULN187" s="1228"/>
      <c r="ULO187" s="1228"/>
      <c r="ULP187" s="1228"/>
      <c r="ULQ187" s="1228"/>
      <c r="ULR187" s="1228"/>
      <c r="ULS187" s="1228"/>
      <c r="ULT187" s="1228"/>
      <c r="ULU187" s="1228"/>
      <c r="ULV187" s="1228"/>
      <c r="ULW187" s="1228"/>
      <c r="ULX187" s="1228"/>
      <c r="ULY187" s="1228"/>
      <c r="ULZ187" s="1228"/>
      <c r="UMA187" s="1228"/>
      <c r="UMB187" s="1228"/>
      <c r="UMC187" s="1228"/>
      <c r="UMD187" s="1228"/>
      <c r="UME187" s="1228"/>
      <c r="UMF187" s="1228"/>
      <c r="UMG187" s="1228"/>
      <c r="UMH187" s="1228"/>
      <c r="UMI187" s="1228"/>
      <c r="UMJ187" s="1228"/>
      <c r="UMK187" s="1228"/>
      <c r="UML187" s="1228"/>
      <c r="UMM187" s="1228"/>
      <c r="UMN187" s="1228"/>
      <c r="UMO187" s="1228"/>
      <c r="UMP187" s="1228"/>
      <c r="UMQ187" s="1228"/>
      <c r="UMR187" s="1228"/>
      <c r="UMS187" s="1228"/>
      <c r="UMT187" s="1228"/>
      <c r="UMU187" s="1228"/>
      <c r="UMV187" s="1228"/>
      <c r="UMW187" s="1228"/>
      <c r="UMX187" s="1228"/>
      <c r="UMY187" s="1228"/>
      <c r="UMZ187" s="1228"/>
      <c r="UNA187" s="1228"/>
      <c r="UNB187" s="1228"/>
      <c r="UNC187" s="1228"/>
      <c r="UND187" s="1228"/>
      <c r="UNE187" s="1228"/>
      <c r="UNF187" s="1228"/>
      <c r="UNG187" s="1228"/>
      <c r="UNH187" s="1228"/>
      <c r="UNI187" s="1228"/>
      <c r="UNJ187" s="1228"/>
      <c r="UNK187" s="1228"/>
      <c r="UNL187" s="1228"/>
      <c r="UNM187" s="1228"/>
      <c r="UNN187" s="1228"/>
      <c r="UNO187" s="1228"/>
      <c r="UNP187" s="1228"/>
      <c r="UNQ187" s="1228"/>
      <c r="UNR187" s="1228"/>
      <c r="UNS187" s="1228"/>
      <c r="UNT187" s="1228"/>
      <c r="UNU187" s="1228"/>
      <c r="UNV187" s="1228"/>
      <c r="UNW187" s="1228"/>
      <c r="UNX187" s="1228"/>
      <c r="UNY187" s="1228"/>
      <c r="UNZ187" s="1228"/>
      <c r="UOA187" s="1228"/>
      <c r="UOB187" s="1228"/>
      <c r="UOC187" s="1228"/>
      <c r="UOD187" s="1228"/>
      <c r="UOE187" s="1228"/>
      <c r="UOF187" s="1228"/>
      <c r="UOG187" s="1228"/>
      <c r="UOH187" s="1228"/>
      <c r="UOI187" s="1228"/>
      <c r="UOJ187" s="1228"/>
      <c r="UOK187" s="1228"/>
      <c r="UOL187" s="1228"/>
      <c r="UOM187" s="1228"/>
      <c r="UON187" s="1228"/>
      <c r="UOO187" s="1228"/>
      <c r="UOP187" s="1228"/>
      <c r="UOQ187" s="1228"/>
      <c r="UOR187" s="1228"/>
      <c r="UOS187" s="1228"/>
      <c r="UOT187" s="1228"/>
      <c r="UOU187" s="1228"/>
      <c r="UOV187" s="1228"/>
      <c r="UOW187" s="1228"/>
      <c r="UOX187" s="1228"/>
      <c r="UOY187" s="1228"/>
      <c r="UOZ187" s="1228"/>
      <c r="UPA187" s="1228"/>
      <c r="UPB187" s="1228"/>
      <c r="UPC187" s="1228"/>
      <c r="UPD187" s="1228"/>
      <c r="UPE187" s="1228"/>
      <c r="UPF187" s="1228"/>
      <c r="UPG187" s="1228"/>
      <c r="UPH187" s="1228"/>
      <c r="UPI187" s="1228"/>
      <c r="UPJ187" s="1228"/>
      <c r="UPK187" s="1228"/>
      <c r="UPL187" s="1228"/>
      <c r="UPM187" s="1228"/>
      <c r="UPN187" s="1228"/>
      <c r="UPO187" s="1228"/>
      <c r="UPP187" s="1228"/>
      <c r="UPQ187" s="1228"/>
      <c r="UPR187" s="1228"/>
      <c r="UPS187" s="1228"/>
      <c r="UPT187" s="1228"/>
      <c r="UPU187" s="1228"/>
      <c r="UPV187" s="1228"/>
      <c r="UPW187" s="1228"/>
      <c r="UPX187" s="1228"/>
      <c r="UPY187" s="1228"/>
      <c r="UPZ187" s="1228"/>
      <c r="UQA187" s="1228"/>
      <c r="UQB187" s="1228"/>
      <c r="UQC187" s="1228"/>
      <c r="UQD187" s="1228"/>
      <c r="UQE187" s="1228"/>
      <c r="UQF187" s="1228"/>
      <c r="UQG187" s="1228"/>
      <c r="UQH187" s="1228"/>
      <c r="UQI187" s="1228"/>
      <c r="UQJ187" s="1228"/>
      <c r="UQK187" s="1228"/>
      <c r="UQL187" s="1228"/>
      <c r="UQM187" s="1228"/>
      <c r="UQN187" s="1228"/>
      <c r="UQO187" s="1228"/>
      <c r="UQP187" s="1228"/>
      <c r="UQQ187" s="1228"/>
      <c r="UQR187" s="1228"/>
      <c r="UQS187" s="1228"/>
      <c r="UQT187" s="1228"/>
      <c r="UQU187" s="1228"/>
      <c r="UQV187" s="1228"/>
      <c r="UQW187" s="1228"/>
      <c r="UQX187" s="1228"/>
      <c r="UQY187" s="1228"/>
      <c r="UQZ187" s="1228"/>
      <c r="URA187" s="1228"/>
      <c r="URB187" s="1228"/>
      <c r="URC187" s="1228"/>
      <c r="URD187" s="1228"/>
      <c r="URE187" s="1228"/>
      <c r="URF187" s="1228"/>
      <c r="URG187" s="1228"/>
      <c r="URH187" s="1228"/>
      <c r="URI187" s="1228"/>
      <c r="URJ187" s="1228"/>
      <c r="URK187" s="1228"/>
      <c r="URL187" s="1228"/>
      <c r="URM187" s="1228"/>
      <c r="URN187" s="1228"/>
      <c r="URO187" s="1228"/>
      <c r="URP187" s="1228"/>
      <c r="URQ187" s="1228"/>
      <c r="URR187" s="1228"/>
      <c r="URS187" s="1228"/>
      <c r="URT187" s="1228"/>
      <c r="URU187" s="1228"/>
      <c r="URV187" s="1228"/>
      <c r="URW187" s="1228"/>
      <c r="URX187" s="1228"/>
      <c r="URY187" s="1228"/>
      <c r="URZ187" s="1228"/>
      <c r="USA187" s="1228"/>
      <c r="USB187" s="1228"/>
      <c r="USC187" s="1228"/>
      <c r="USD187" s="1228"/>
      <c r="USE187" s="1228"/>
      <c r="USF187" s="1228"/>
      <c r="USG187" s="1228"/>
      <c r="USH187" s="1228"/>
      <c r="USI187" s="1228"/>
      <c r="USJ187" s="1228"/>
      <c r="USK187" s="1228"/>
      <c r="USL187" s="1228"/>
      <c r="USM187" s="1228"/>
      <c r="USN187" s="1228"/>
      <c r="USO187" s="1228"/>
      <c r="USP187" s="1228"/>
      <c r="USQ187" s="1228"/>
      <c r="USR187" s="1228"/>
      <c r="USS187" s="1228"/>
      <c r="UST187" s="1228"/>
      <c r="USU187" s="1228"/>
      <c r="USV187" s="1228"/>
      <c r="USW187" s="1228"/>
      <c r="USX187" s="1228"/>
      <c r="USY187" s="1228"/>
      <c r="USZ187" s="1228"/>
      <c r="UTA187" s="1228"/>
      <c r="UTB187" s="1228"/>
      <c r="UTC187" s="1228"/>
      <c r="UTD187" s="1228"/>
      <c r="UTE187" s="1228"/>
      <c r="UTF187" s="1228"/>
      <c r="UTG187" s="1228"/>
      <c r="UTH187" s="1228"/>
      <c r="UTI187" s="1228"/>
      <c r="UTJ187" s="1228"/>
      <c r="UTK187" s="1228"/>
      <c r="UTL187" s="1228"/>
      <c r="UTM187" s="1228"/>
      <c r="UTN187" s="1228"/>
      <c r="UTO187" s="1228"/>
      <c r="UTP187" s="1228"/>
      <c r="UTQ187" s="1228"/>
      <c r="UTR187" s="1228"/>
      <c r="UTS187" s="1228"/>
      <c r="UTT187" s="1228"/>
      <c r="UTU187" s="1228"/>
      <c r="UTV187" s="1228"/>
      <c r="UTW187" s="1228"/>
      <c r="UTX187" s="1228"/>
      <c r="UTY187" s="1228"/>
      <c r="UTZ187" s="1228"/>
      <c r="UUA187" s="1228"/>
      <c r="UUB187" s="1228"/>
      <c r="UUC187" s="1228"/>
      <c r="UUD187" s="1228"/>
      <c r="UUE187" s="1228"/>
      <c r="UUF187" s="1228"/>
      <c r="UUG187" s="1228"/>
      <c r="UUH187" s="1228"/>
      <c r="UUI187" s="1228"/>
      <c r="UUJ187" s="1228"/>
      <c r="UUK187" s="1228"/>
      <c r="UUL187" s="1228"/>
      <c r="UUM187" s="1228"/>
      <c r="UUN187" s="1228"/>
      <c r="UUO187" s="1228"/>
      <c r="UUP187" s="1228"/>
      <c r="UUQ187" s="1228"/>
      <c r="UUR187" s="1228"/>
      <c r="UUS187" s="1228"/>
      <c r="UUT187" s="1228"/>
      <c r="UUU187" s="1228"/>
      <c r="UUV187" s="1228"/>
      <c r="UUW187" s="1228"/>
      <c r="UUX187" s="1228"/>
      <c r="UUY187" s="1228"/>
      <c r="UUZ187" s="1228"/>
      <c r="UVA187" s="1228"/>
      <c r="UVB187" s="1228"/>
      <c r="UVC187" s="1228"/>
      <c r="UVD187" s="1228"/>
      <c r="UVE187" s="1228"/>
      <c r="UVF187" s="1228"/>
      <c r="UVG187" s="1228"/>
      <c r="UVH187" s="1228"/>
      <c r="UVI187" s="1228"/>
      <c r="UVJ187" s="1228"/>
      <c r="UVK187" s="1228"/>
      <c r="UVL187" s="1228"/>
      <c r="UVM187" s="1228"/>
      <c r="UVN187" s="1228"/>
      <c r="UVO187" s="1228"/>
      <c r="UVP187" s="1228"/>
      <c r="UVQ187" s="1228"/>
      <c r="UVR187" s="1228"/>
      <c r="UVS187" s="1228"/>
      <c r="UVT187" s="1228"/>
      <c r="UVU187" s="1228"/>
      <c r="UVV187" s="1228"/>
      <c r="UVW187" s="1228"/>
      <c r="UVX187" s="1228"/>
      <c r="UVY187" s="1228"/>
      <c r="UVZ187" s="1228"/>
      <c r="UWA187" s="1228"/>
      <c r="UWB187" s="1228"/>
      <c r="UWC187" s="1228"/>
      <c r="UWD187" s="1228"/>
      <c r="UWE187" s="1228"/>
      <c r="UWF187" s="1228"/>
      <c r="UWG187" s="1228"/>
      <c r="UWH187" s="1228"/>
      <c r="UWI187" s="1228"/>
      <c r="UWJ187" s="1228"/>
      <c r="UWK187" s="1228"/>
      <c r="UWL187" s="1228"/>
      <c r="UWM187" s="1228"/>
      <c r="UWN187" s="1228"/>
      <c r="UWO187" s="1228"/>
      <c r="UWP187" s="1228"/>
      <c r="UWQ187" s="1228"/>
      <c r="UWR187" s="1228"/>
      <c r="UWS187" s="1228"/>
      <c r="UWT187" s="1228"/>
      <c r="UWU187" s="1228"/>
      <c r="UWV187" s="1228"/>
      <c r="UWW187" s="1228"/>
      <c r="UWX187" s="1228"/>
      <c r="UWY187" s="1228"/>
      <c r="UWZ187" s="1228"/>
      <c r="UXA187" s="1228"/>
      <c r="UXB187" s="1228"/>
      <c r="UXC187" s="1228"/>
      <c r="UXD187" s="1228"/>
      <c r="UXE187" s="1228"/>
      <c r="UXF187" s="1228"/>
      <c r="UXG187" s="1228"/>
      <c r="UXH187" s="1228"/>
      <c r="UXI187" s="1228"/>
      <c r="UXJ187" s="1228"/>
      <c r="UXK187" s="1228"/>
      <c r="UXL187" s="1228"/>
      <c r="UXM187" s="1228"/>
      <c r="UXN187" s="1228"/>
      <c r="UXO187" s="1228"/>
      <c r="UXP187" s="1228"/>
      <c r="UXQ187" s="1228"/>
      <c r="UXR187" s="1228"/>
      <c r="UXS187" s="1228"/>
      <c r="UXT187" s="1228"/>
      <c r="UXU187" s="1228"/>
      <c r="UXV187" s="1228"/>
      <c r="UXW187" s="1228"/>
      <c r="UXX187" s="1228"/>
      <c r="UXY187" s="1228"/>
      <c r="UXZ187" s="1228"/>
      <c r="UYA187" s="1228"/>
      <c r="UYB187" s="1228"/>
      <c r="UYC187" s="1228"/>
      <c r="UYD187" s="1228"/>
      <c r="UYE187" s="1228"/>
      <c r="UYF187" s="1228"/>
      <c r="UYG187" s="1228"/>
      <c r="UYH187" s="1228"/>
      <c r="UYI187" s="1228"/>
      <c r="UYJ187" s="1228"/>
      <c r="UYK187" s="1228"/>
      <c r="UYL187" s="1228"/>
      <c r="UYM187" s="1228"/>
      <c r="UYN187" s="1228"/>
      <c r="UYO187" s="1228"/>
      <c r="UYP187" s="1228"/>
      <c r="UYQ187" s="1228"/>
      <c r="UYR187" s="1228"/>
      <c r="UYS187" s="1228"/>
      <c r="UYT187" s="1228"/>
      <c r="UYU187" s="1228"/>
      <c r="UYV187" s="1228"/>
      <c r="UYW187" s="1228"/>
      <c r="UYX187" s="1228"/>
      <c r="UYY187" s="1228"/>
      <c r="UYZ187" s="1228"/>
      <c r="UZA187" s="1228"/>
      <c r="UZB187" s="1228"/>
      <c r="UZC187" s="1228"/>
      <c r="UZD187" s="1228"/>
      <c r="UZE187" s="1228"/>
      <c r="UZF187" s="1228"/>
      <c r="UZG187" s="1228"/>
      <c r="UZH187" s="1228"/>
      <c r="UZI187" s="1228"/>
      <c r="UZJ187" s="1228"/>
      <c r="UZK187" s="1228"/>
      <c r="UZL187" s="1228"/>
      <c r="UZM187" s="1228"/>
      <c r="UZN187" s="1228"/>
      <c r="UZO187" s="1228"/>
      <c r="UZP187" s="1228"/>
      <c r="UZQ187" s="1228"/>
      <c r="UZR187" s="1228"/>
      <c r="UZS187" s="1228"/>
      <c r="UZT187" s="1228"/>
      <c r="UZU187" s="1228"/>
      <c r="UZV187" s="1228"/>
      <c r="UZW187" s="1228"/>
      <c r="UZX187" s="1228"/>
      <c r="UZY187" s="1228"/>
      <c r="UZZ187" s="1228"/>
      <c r="VAA187" s="1228"/>
      <c r="VAB187" s="1228"/>
      <c r="VAC187" s="1228"/>
      <c r="VAD187" s="1228"/>
      <c r="VAE187" s="1228"/>
      <c r="VAF187" s="1228"/>
      <c r="VAG187" s="1228"/>
      <c r="VAH187" s="1228"/>
      <c r="VAI187" s="1228"/>
      <c r="VAJ187" s="1228"/>
      <c r="VAK187" s="1228"/>
      <c r="VAL187" s="1228"/>
      <c r="VAM187" s="1228"/>
      <c r="VAN187" s="1228"/>
      <c r="VAO187" s="1228"/>
      <c r="VAP187" s="1228"/>
      <c r="VAQ187" s="1228"/>
      <c r="VAR187" s="1228"/>
      <c r="VAS187" s="1228"/>
      <c r="VAT187" s="1228"/>
      <c r="VAU187" s="1228"/>
      <c r="VAV187" s="1228"/>
      <c r="VAW187" s="1228"/>
      <c r="VAX187" s="1228"/>
      <c r="VAY187" s="1228"/>
      <c r="VAZ187" s="1228"/>
      <c r="VBA187" s="1228"/>
      <c r="VBB187" s="1228"/>
      <c r="VBC187" s="1228"/>
      <c r="VBD187" s="1228"/>
      <c r="VBE187" s="1228"/>
      <c r="VBF187" s="1228"/>
      <c r="VBG187" s="1228"/>
      <c r="VBH187" s="1228"/>
      <c r="VBI187" s="1228"/>
      <c r="VBJ187" s="1228"/>
      <c r="VBK187" s="1228"/>
      <c r="VBL187" s="1228"/>
      <c r="VBM187" s="1228"/>
      <c r="VBN187" s="1228"/>
      <c r="VBO187" s="1228"/>
      <c r="VBP187" s="1228"/>
      <c r="VBQ187" s="1228"/>
      <c r="VBR187" s="1228"/>
      <c r="VBS187" s="1228"/>
      <c r="VBT187" s="1228"/>
      <c r="VBU187" s="1228"/>
      <c r="VBV187" s="1228"/>
      <c r="VBW187" s="1228"/>
      <c r="VBX187" s="1228"/>
      <c r="VBY187" s="1228"/>
      <c r="VBZ187" s="1228"/>
      <c r="VCA187" s="1228"/>
      <c r="VCB187" s="1228"/>
      <c r="VCC187" s="1228"/>
      <c r="VCD187" s="1228"/>
      <c r="VCE187" s="1228"/>
      <c r="VCF187" s="1228"/>
      <c r="VCG187" s="1228"/>
      <c r="VCH187" s="1228"/>
      <c r="VCI187" s="1228"/>
      <c r="VCJ187" s="1228"/>
      <c r="VCK187" s="1228"/>
      <c r="VCL187" s="1228"/>
      <c r="VCM187" s="1228"/>
      <c r="VCN187" s="1228"/>
      <c r="VCO187" s="1228"/>
      <c r="VCP187" s="1228"/>
      <c r="VCQ187" s="1228"/>
      <c r="VCR187" s="1228"/>
      <c r="VCS187" s="1228"/>
      <c r="VCT187" s="1228"/>
      <c r="VCU187" s="1228"/>
      <c r="VCV187" s="1228"/>
      <c r="VCW187" s="1228"/>
      <c r="VCX187" s="1228"/>
      <c r="VCY187" s="1228"/>
      <c r="VCZ187" s="1228"/>
      <c r="VDA187" s="1228"/>
      <c r="VDB187" s="1228"/>
      <c r="VDC187" s="1228"/>
      <c r="VDD187" s="1228"/>
      <c r="VDE187" s="1228"/>
      <c r="VDF187" s="1228"/>
      <c r="VDG187" s="1228"/>
      <c r="VDH187" s="1228"/>
      <c r="VDI187" s="1228"/>
      <c r="VDJ187" s="1228"/>
      <c r="VDK187" s="1228"/>
      <c r="VDL187" s="1228"/>
      <c r="VDM187" s="1228"/>
      <c r="VDN187" s="1228"/>
      <c r="VDO187" s="1228"/>
      <c r="VDP187" s="1228"/>
      <c r="VDQ187" s="1228"/>
      <c r="VDR187" s="1228"/>
      <c r="VDS187" s="1228"/>
      <c r="VDT187" s="1228"/>
      <c r="VDU187" s="1228"/>
      <c r="VDV187" s="1228"/>
      <c r="VDW187" s="1228"/>
      <c r="VDX187" s="1228"/>
      <c r="VDY187" s="1228"/>
      <c r="VDZ187" s="1228"/>
      <c r="VEA187" s="1228"/>
      <c r="VEB187" s="1228"/>
      <c r="VEC187" s="1228"/>
      <c r="VED187" s="1228"/>
      <c r="VEE187" s="1228"/>
      <c r="VEF187" s="1228"/>
      <c r="VEG187" s="1228"/>
      <c r="VEH187" s="1228"/>
      <c r="VEI187" s="1228"/>
      <c r="VEJ187" s="1228"/>
      <c r="VEK187" s="1228"/>
      <c r="VEL187" s="1228"/>
      <c r="VEM187" s="1228"/>
      <c r="VEN187" s="1228"/>
      <c r="VEO187" s="1228"/>
      <c r="VEP187" s="1228"/>
      <c r="VEQ187" s="1228"/>
      <c r="VER187" s="1228"/>
      <c r="VES187" s="1228"/>
      <c r="VET187" s="1228"/>
      <c r="VEU187" s="1228"/>
      <c r="VEV187" s="1228"/>
      <c r="VEW187" s="1228"/>
      <c r="VEX187" s="1228"/>
      <c r="VEY187" s="1228"/>
      <c r="VEZ187" s="1228"/>
      <c r="VFA187" s="1228"/>
      <c r="VFB187" s="1228"/>
      <c r="VFC187" s="1228"/>
      <c r="VFD187" s="1228"/>
      <c r="VFE187" s="1228"/>
      <c r="VFF187" s="1228"/>
      <c r="VFG187" s="1228"/>
      <c r="VFH187" s="1228"/>
      <c r="VFI187" s="1228"/>
      <c r="VFJ187" s="1228"/>
      <c r="VFK187" s="1228"/>
      <c r="VFL187" s="1228"/>
      <c r="VFM187" s="1228"/>
      <c r="VFN187" s="1228"/>
      <c r="VFO187" s="1228"/>
      <c r="VFP187" s="1228"/>
      <c r="VFQ187" s="1228"/>
      <c r="VFR187" s="1228"/>
      <c r="VFS187" s="1228"/>
      <c r="VFT187" s="1228"/>
      <c r="VFU187" s="1228"/>
      <c r="VFV187" s="1228"/>
      <c r="VFW187" s="1228"/>
      <c r="VFX187" s="1228"/>
      <c r="VFY187" s="1228"/>
      <c r="VFZ187" s="1228"/>
      <c r="VGA187" s="1228"/>
      <c r="VGB187" s="1228"/>
      <c r="VGC187" s="1228"/>
      <c r="VGD187" s="1228"/>
      <c r="VGE187" s="1228"/>
      <c r="VGF187" s="1228"/>
      <c r="VGG187" s="1228"/>
      <c r="VGH187" s="1228"/>
      <c r="VGI187" s="1228"/>
      <c r="VGJ187" s="1228"/>
      <c r="VGK187" s="1228"/>
      <c r="VGL187" s="1228"/>
      <c r="VGM187" s="1228"/>
      <c r="VGN187" s="1228"/>
      <c r="VGO187" s="1228"/>
      <c r="VGP187" s="1228"/>
      <c r="VGQ187" s="1228"/>
      <c r="VGR187" s="1228"/>
      <c r="VGS187" s="1228"/>
      <c r="VGT187" s="1228"/>
      <c r="VGU187" s="1228"/>
      <c r="VGV187" s="1228"/>
      <c r="VGW187" s="1228"/>
      <c r="VGX187" s="1228"/>
      <c r="VGY187" s="1228"/>
      <c r="VGZ187" s="1228"/>
      <c r="VHA187" s="1228"/>
      <c r="VHB187" s="1228"/>
      <c r="VHC187" s="1228"/>
      <c r="VHD187" s="1228"/>
      <c r="VHE187" s="1228"/>
      <c r="VHF187" s="1228"/>
      <c r="VHG187" s="1228"/>
      <c r="VHH187" s="1228"/>
      <c r="VHI187" s="1228"/>
      <c r="VHJ187" s="1228"/>
      <c r="VHK187" s="1228"/>
      <c r="VHL187" s="1228"/>
      <c r="VHM187" s="1228"/>
      <c r="VHN187" s="1228"/>
      <c r="VHO187" s="1228"/>
      <c r="VHP187" s="1228"/>
      <c r="VHQ187" s="1228"/>
      <c r="VHR187" s="1228"/>
      <c r="VHS187" s="1228"/>
      <c r="VHT187" s="1228"/>
      <c r="VHU187" s="1228"/>
      <c r="VHV187" s="1228"/>
      <c r="VHW187" s="1228"/>
      <c r="VHX187" s="1228"/>
      <c r="VHY187" s="1228"/>
      <c r="VHZ187" s="1228"/>
      <c r="VIA187" s="1228"/>
      <c r="VIB187" s="1228"/>
      <c r="VIC187" s="1228"/>
      <c r="VID187" s="1228"/>
      <c r="VIE187" s="1228"/>
      <c r="VIF187" s="1228"/>
      <c r="VIG187" s="1228"/>
      <c r="VIH187" s="1228"/>
      <c r="VII187" s="1228"/>
      <c r="VIJ187" s="1228"/>
      <c r="VIK187" s="1228"/>
      <c r="VIL187" s="1228"/>
      <c r="VIM187" s="1228"/>
      <c r="VIN187" s="1228"/>
      <c r="VIO187" s="1228"/>
      <c r="VIP187" s="1228"/>
      <c r="VIQ187" s="1228"/>
      <c r="VIR187" s="1228"/>
      <c r="VIS187" s="1228"/>
      <c r="VIT187" s="1228"/>
      <c r="VIU187" s="1228"/>
      <c r="VIV187" s="1228"/>
      <c r="VIW187" s="1228"/>
      <c r="VIX187" s="1228"/>
      <c r="VIY187" s="1228"/>
      <c r="VIZ187" s="1228"/>
      <c r="VJA187" s="1228"/>
      <c r="VJB187" s="1228"/>
      <c r="VJC187" s="1228"/>
      <c r="VJD187" s="1228"/>
      <c r="VJE187" s="1228"/>
      <c r="VJF187" s="1228"/>
      <c r="VJG187" s="1228"/>
      <c r="VJH187" s="1228"/>
      <c r="VJI187" s="1228"/>
      <c r="VJJ187" s="1228"/>
      <c r="VJK187" s="1228"/>
      <c r="VJL187" s="1228"/>
      <c r="VJM187" s="1228"/>
      <c r="VJN187" s="1228"/>
      <c r="VJO187" s="1228"/>
      <c r="VJP187" s="1228"/>
      <c r="VJQ187" s="1228"/>
      <c r="VJR187" s="1228"/>
      <c r="VJS187" s="1228"/>
      <c r="VJT187" s="1228"/>
      <c r="VJU187" s="1228"/>
      <c r="VJV187" s="1228"/>
      <c r="VJW187" s="1228"/>
      <c r="VJX187" s="1228"/>
      <c r="VJY187" s="1228"/>
      <c r="VJZ187" s="1228"/>
      <c r="VKA187" s="1228"/>
      <c r="VKB187" s="1228"/>
      <c r="VKC187" s="1228"/>
      <c r="VKD187" s="1228"/>
      <c r="VKE187" s="1228"/>
      <c r="VKF187" s="1228"/>
      <c r="VKG187" s="1228"/>
      <c r="VKH187" s="1228"/>
      <c r="VKI187" s="1228"/>
      <c r="VKJ187" s="1228"/>
      <c r="VKK187" s="1228"/>
      <c r="VKL187" s="1228"/>
      <c r="VKM187" s="1228"/>
      <c r="VKN187" s="1228"/>
      <c r="VKO187" s="1228"/>
      <c r="VKP187" s="1228"/>
      <c r="VKQ187" s="1228"/>
      <c r="VKR187" s="1228"/>
      <c r="VKS187" s="1228"/>
      <c r="VKT187" s="1228"/>
      <c r="VKU187" s="1228"/>
      <c r="VKV187" s="1228"/>
      <c r="VKW187" s="1228"/>
      <c r="VKX187" s="1228"/>
      <c r="VKY187" s="1228"/>
      <c r="VKZ187" s="1228"/>
      <c r="VLA187" s="1228"/>
      <c r="VLB187" s="1228"/>
      <c r="VLC187" s="1228"/>
      <c r="VLD187" s="1228"/>
      <c r="VLE187" s="1228"/>
      <c r="VLF187" s="1228"/>
      <c r="VLG187" s="1228"/>
      <c r="VLH187" s="1228"/>
      <c r="VLI187" s="1228"/>
      <c r="VLJ187" s="1228"/>
      <c r="VLK187" s="1228"/>
      <c r="VLL187" s="1228"/>
      <c r="VLM187" s="1228"/>
      <c r="VLN187" s="1228"/>
      <c r="VLO187" s="1228"/>
      <c r="VLP187" s="1228"/>
      <c r="VLQ187" s="1228"/>
      <c r="VLR187" s="1228"/>
      <c r="VLS187" s="1228"/>
      <c r="VLT187" s="1228"/>
      <c r="VLU187" s="1228"/>
      <c r="VLV187" s="1228"/>
      <c r="VLW187" s="1228"/>
      <c r="VLX187" s="1228"/>
      <c r="VLY187" s="1228"/>
      <c r="VLZ187" s="1228"/>
      <c r="VMA187" s="1228"/>
      <c r="VMB187" s="1228"/>
      <c r="VMC187" s="1228"/>
      <c r="VMD187" s="1228"/>
      <c r="VME187" s="1228"/>
      <c r="VMF187" s="1228"/>
      <c r="VMG187" s="1228"/>
      <c r="VMH187" s="1228"/>
      <c r="VMI187" s="1228"/>
      <c r="VMJ187" s="1228"/>
      <c r="VMK187" s="1228"/>
      <c r="VML187" s="1228"/>
      <c r="VMM187" s="1228"/>
      <c r="VMN187" s="1228"/>
      <c r="VMO187" s="1228"/>
      <c r="VMP187" s="1228"/>
      <c r="VMQ187" s="1228"/>
      <c r="VMR187" s="1228"/>
      <c r="VMS187" s="1228"/>
      <c r="VMT187" s="1228"/>
      <c r="VMU187" s="1228"/>
      <c r="VMV187" s="1228"/>
      <c r="VMW187" s="1228"/>
      <c r="VMX187" s="1228"/>
      <c r="VMY187" s="1228"/>
      <c r="VMZ187" s="1228"/>
      <c r="VNA187" s="1228"/>
      <c r="VNB187" s="1228"/>
      <c r="VNC187" s="1228"/>
      <c r="VND187" s="1228"/>
      <c r="VNE187" s="1228"/>
      <c r="VNF187" s="1228"/>
      <c r="VNG187" s="1228"/>
      <c r="VNH187" s="1228"/>
      <c r="VNI187" s="1228"/>
      <c r="VNJ187" s="1228"/>
      <c r="VNK187" s="1228"/>
      <c r="VNL187" s="1228"/>
      <c r="VNM187" s="1228"/>
      <c r="VNN187" s="1228"/>
      <c r="VNO187" s="1228"/>
      <c r="VNP187" s="1228"/>
      <c r="VNQ187" s="1228"/>
      <c r="VNR187" s="1228"/>
      <c r="VNS187" s="1228"/>
      <c r="VNT187" s="1228"/>
      <c r="VNU187" s="1228"/>
      <c r="VNV187" s="1228"/>
      <c r="VNW187" s="1228"/>
      <c r="VNX187" s="1228"/>
      <c r="VNY187" s="1228"/>
      <c r="VNZ187" s="1228"/>
      <c r="VOA187" s="1228"/>
      <c r="VOB187" s="1228"/>
      <c r="VOC187" s="1228"/>
      <c r="VOD187" s="1228"/>
      <c r="VOE187" s="1228"/>
      <c r="VOF187" s="1228"/>
      <c r="VOG187" s="1228"/>
      <c r="VOH187" s="1228"/>
      <c r="VOI187" s="1228"/>
      <c r="VOJ187" s="1228"/>
      <c r="VOK187" s="1228"/>
      <c r="VOL187" s="1228"/>
      <c r="VOM187" s="1228"/>
      <c r="VON187" s="1228"/>
      <c r="VOO187" s="1228"/>
      <c r="VOP187" s="1228"/>
      <c r="VOQ187" s="1228"/>
      <c r="VOR187" s="1228"/>
      <c r="VOS187" s="1228"/>
      <c r="VOT187" s="1228"/>
      <c r="VOU187" s="1228"/>
      <c r="VOV187" s="1228"/>
      <c r="VOW187" s="1228"/>
      <c r="VOX187" s="1228"/>
      <c r="VOY187" s="1228"/>
      <c r="VOZ187" s="1228"/>
      <c r="VPA187" s="1228"/>
      <c r="VPB187" s="1228"/>
      <c r="VPC187" s="1228"/>
      <c r="VPD187" s="1228"/>
      <c r="VPE187" s="1228"/>
      <c r="VPF187" s="1228"/>
      <c r="VPG187" s="1228"/>
      <c r="VPH187" s="1228"/>
      <c r="VPI187" s="1228"/>
      <c r="VPJ187" s="1228"/>
      <c r="VPK187" s="1228"/>
      <c r="VPL187" s="1228"/>
      <c r="VPM187" s="1228"/>
      <c r="VPN187" s="1228"/>
      <c r="VPO187" s="1228"/>
      <c r="VPP187" s="1228"/>
      <c r="VPQ187" s="1228"/>
      <c r="VPR187" s="1228"/>
      <c r="VPS187" s="1228"/>
      <c r="VPT187" s="1228"/>
      <c r="VPU187" s="1228"/>
      <c r="VPV187" s="1228"/>
      <c r="VPW187" s="1228"/>
      <c r="VPX187" s="1228"/>
      <c r="VPY187" s="1228"/>
      <c r="VPZ187" s="1228"/>
      <c r="VQA187" s="1228"/>
      <c r="VQB187" s="1228"/>
      <c r="VQC187" s="1228"/>
      <c r="VQD187" s="1228"/>
      <c r="VQE187" s="1228"/>
      <c r="VQF187" s="1228"/>
      <c r="VQG187" s="1228"/>
      <c r="VQH187" s="1228"/>
      <c r="VQI187" s="1228"/>
      <c r="VQJ187" s="1228"/>
      <c r="VQK187" s="1228"/>
      <c r="VQL187" s="1228"/>
      <c r="VQM187" s="1228"/>
      <c r="VQN187" s="1228"/>
      <c r="VQO187" s="1228"/>
      <c r="VQP187" s="1228"/>
      <c r="VQQ187" s="1228"/>
      <c r="VQR187" s="1228"/>
      <c r="VQS187" s="1228"/>
      <c r="VQT187" s="1228"/>
      <c r="VQU187" s="1228"/>
      <c r="VQV187" s="1228"/>
      <c r="VQW187" s="1228"/>
      <c r="VQX187" s="1228"/>
      <c r="VQY187" s="1228"/>
      <c r="VQZ187" s="1228"/>
      <c r="VRA187" s="1228"/>
      <c r="VRB187" s="1228"/>
      <c r="VRC187" s="1228"/>
      <c r="VRD187" s="1228"/>
      <c r="VRE187" s="1228"/>
      <c r="VRF187" s="1228"/>
      <c r="VRG187" s="1228"/>
      <c r="VRH187" s="1228"/>
      <c r="VRI187" s="1228"/>
      <c r="VRJ187" s="1228"/>
      <c r="VRK187" s="1228"/>
      <c r="VRL187" s="1228"/>
      <c r="VRM187" s="1228"/>
      <c r="VRN187" s="1228"/>
      <c r="VRO187" s="1228"/>
      <c r="VRP187" s="1228"/>
      <c r="VRQ187" s="1228"/>
      <c r="VRR187" s="1228"/>
      <c r="VRS187" s="1228"/>
      <c r="VRT187" s="1228"/>
      <c r="VRU187" s="1228"/>
      <c r="VRV187" s="1228"/>
      <c r="VRW187" s="1228"/>
      <c r="VRX187" s="1228"/>
      <c r="VRY187" s="1228"/>
      <c r="VRZ187" s="1228"/>
      <c r="VSA187" s="1228"/>
      <c r="VSB187" s="1228"/>
      <c r="VSC187" s="1228"/>
      <c r="VSD187" s="1228"/>
      <c r="VSE187" s="1228"/>
      <c r="VSF187" s="1228"/>
      <c r="VSG187" s="1228"/>
      <c r="VSH187" s="1228"/>
      <c r="VSI187" s="1228"/>
      <c r="VSJ187" s="1228"/>
      <c r="VSK187" s="1228"/>
      <c r="VSL187" s="1228"/>
      <c r="VSM187" s="1228"/>
      <c r="VSN187" s="1228"/>
      <c r="VSO187" s="1228"/>
      <c r="VSP187" s="1228"/>
      <c r="VSQ187" s="1228"/>
      <c r="VSR187" s="1228"/>
      <c r="VSS187" s="1228"/>
      <c r="VST187" s="1228"/>
      <c r="VSU187" s="1228"/>
      <c r="VSV187" s="1228"/>
      <c r="VSW187" s="1228"/>
      <c r="VSX187" s="1228"/>
      <c r="VSY187" s="1228"/>
      <c r="VSZ187" s="1228"/>
      <c r="VTA187" s="1228"/>
      <c r="VTB187" s="1228"/>
      <c r="VTC187" s="1228"/>
      <c r="VTD187" s="1228"/>
      <c r="VTE187" s="1228"/>
      <c r="VTF187" s="1228"/>
      <c r="VTG187" s="1228"/>
      <c r="VTH187" s="1228"/>
      <c r="VTI187" s="1228"/>
      <c r="VTJ187" s="1228"/>
      <c r="VTK187" s="1228"/>
      <c r="VTL187" s="1228"/>
      <c r="VTM187" s="1228"/>
      <c r="VTN187" s="1228"/>
      <c r="VTO187" s="1228"/>
      <c r="VTP187" s="1228"/>
      <c r="VTQ187" s="1228"/>
      <c r="VTR187" s="1228"/>
      <c r="VTS187" s="1228"/>
      <c r="VTT187" s="1228"/>
      <c r="VTU187" s="1228"/>
      <c r="VTV187" s="1228"/>
      <c r="VTW187" s="1228"/>
      <c r="VTX187" s="1228"/>
      <c r="VTY187" s="1228"/>
      <c r="VTZ187" s="1228"/>
      <c r="VUA187" s="1228"/>
      <c r="VUB187" s="1228"/>
      <c r="VUC187" s="1228"/>
      <c r="VUD187" s="1228"/>
      <c r="VUE187" s="1228"/>
      <c r="VUF187" s="1228"/>
      <c r="VUG187" s="1228"/>
      <c r="VUH187" s="1228"/>
      <c r="VUI187" s="1228"/>
      <c r="VUJ187" s="1228"/>
      <c r="VUK187" s="1228"/>
      <c r="VUL187" s="1228"/>
      <c r="VUM187" s="1228"/>
      <c r="VUN187" s="1228"/>
      <c r="VUO187" s="1228"/>
      <c r="VUP187" s="1228"/>
      <c r="VUQ187" s="1228"/>
      <c r="VUR187" s="1228"/>
      <c r="VUS187" s="1228"/>
      <c r="VUT187" s="1228"/>
      <c r="VUU187" s="1228"/>
      <c r="VUV187" s="1228"/>
      <c r="VUW187" s="1228"/>
      <c r="VUX187" s="1228"/>
      <c r="VUY187" s="1228"/>
      <c r="VUZ187" s="1228"/>
      <c r="VVA187" s="1228"/>
      <c r="VVB187" s="1228"/>
      <c r="VVC187" s="1228"/>
      <c r="VVD187" s="1228"/>
      <c r="VVE187" s="1228"/>
      <c r="VVF187" s="1228"/>
      <c r="VVG187" s="1228"/>
      <c r="VVH187" s="1228"/>
      <c r="VVI187" s="1228"/>
      <c r="VVJ187" s="1228"/>
      <c r="VVK187" s="1228"/>
      <c r="VVL187" s="1228"/>
      <c r="VVM187" s="1228"/>
      <c r="VVN187" s="1228"/>
      <c r="VVO187" s="1228"/>
      <c r="VVP187" s="1228"/>
      <c r="VVQ187" s="1228"/>
      <c r="VVR187" s="1228"/>
      <c r="VVS187" s="1228"/>
      <c r="VVT187" s="1228"/>
      <c r="VVU187" s="1228"/>
      <c r="VVV187" s="1228"/>
      <c r="VVW187" s="1228"/>
      <c r="VVX187" s="1228"/>
      <c r="VVY187" s="1228"/>
      <c r="VVZ187" s="1228"/>
      <c r="VWA187" s="1228"/>
      <c r="VWB187" s="1228"/>
      <c r="VWC187" s="1228"/>
      <c r="VWD187" s="1228"/>
      <c r="VWE187" s="1228"/>
      <c r="VWF187" s="1228"/>
      <c r="VWG187" s="1228"/>
      <c r="VWH187" s="1228"/>
      <c r="VWI187" s="1228"/>
      <c r="VWJ187" s="1228"/>
      <c r="VWK187" s="1228"/>
      <c r="VWL187" s="1228"/>
      <c r="VWM187" s="1228"/>
      <c r="VWN187" s="1228"/>
      <c r="VWO187" s="1228"/>
      <c r="VWP187" s="1228"/>
      <c r="VWQ187" s="1228"/>
      <c r="VWR187" s="1228"/>
      <c r="VWS187" s="1228"/>
      <c r="VWT187" s="1228"/>
      <c r="VWU187" s="1228"/>
      <c r="VWV187" s="1228"/>
      <c r="VWW187" s="1228"/>
      <c r="VWX187" s="1228"/>
      <c r="VWY187" s="1228"/>
      <c r="VWZ187" s="1228"/>
      <c r="VXA187" s="1228"/>
      <c r="VXB187" s="1228"/>
      <c r="VXC187" s="1228"/>
      <c r="VXD187" s="1228"/>
      <c r="VXE187" s="1228"/>
      <c r="VXF187" s="1228"/>
      <c r="VXG187" s="1228"/>
      <c r="VXH187" s="1228"/>
      <c r="VXI187" s="1228"/>
      <c r="VXJ187" s="1228"/>
      <c r="VXK187" s="1228"/>
      <c r="VXL187" s="1228"/>
      <c r="VXM187" s="1228"/>
      <c r="VXN187" s="1228"/>
      <c r="VXO187" s="1228"/>
      <c r="VXP187" s="1228"/>
      <c r="VXQ187" s="1228"/>
      <c r="VXR187" s="1228"/>
      <c r="VXS187" s="1228"/>
      <c r="VXT187" s="1228"/>
      <c r="VXU187" s="1228"/>
      <c r="VXV187" s="1228"/>
      <c r="VXW187" s="1228"/>
      <c r="VXX187" s="1228"/>
      <c r="VXY187" s="1228"/>
      <c r="VXZ187" s="1228"/>
      <c r="VYA187" s="1228"/>
      <c r="VYB187" s="1228"/>
      <c r="VYC187" s="1228"/>
      <c r="VYD187" s="1228"/>
      <c r="VYE187" s="1228"/>
      <c r="VYF187" s="1228"/>
      <c r="VYG187" s="1228"/>
      <c r="VYH187" s="1228"/>
      <c r="VYI187" s="1228"/>
      <c r="VYJ187" s="1228"/>
      <c r="VYK187" s="1228"/>
      <c r="VYL187" s="1228"/>
      <c r="VYM187" s="1228"/>
      <c r="VYN187" s="1228"/>
      <c r="VYO187" s="1228"/>
      <c r="VYP187" s="1228"/>
      <c r="VYQ187" s="1228"/>
      <c r="VYR187" s="1228"/>
      <c r="VYS187" s="1228"/>
      <c r="VYT187" s="1228"/>
      <c r="VYU187" s="1228"/>
      <c r="VYV187" s="1228"/>
      <c r="VYW187" s="1228"/>
      <c r="VYX187" s="1228"/>
      <c r="VYY187" s="1228"/>
      <c r="VYZ187" s="1228"/>
      <c r="VZA187" s="1228"/>
      <c r="VZB187" s="1228"/>
      <c r="VZC187" s="1228"/>
      <c r="VZD187" s="1228"/>
      <c r="VZE187" s="1228"/>
      <c r="VZF187" s="1228"/>
      <c r="VZG187" s="1228"/>
      <c r="VZH187" s="1228"/>
      <c r="VZI187" s="1228"/>
      <c r="VZJ187" s="1228"/>
      <c r="VZK187" s="1228"/>
      <c r="VZL187" s="1228"/>
      <c r="VZM187" s="1228"/>
      <c r="VZN187" s="1228"/>
      <c r="VZO187" s="1228"/>
      <c r="VZP187" s="1228"/>
      <c r="VZQ187" s="1228"/>
      <c r="VZR187" s="1228"/>
      <c r="VZS187" s="1228"/>
      <c r="VZT187" s="1228"/>
      <c r="VZU187" s="1228"/>
      <c r="VZV187" s="1228"/>
      <c r="VZW187" s="1228"/>
      <c r="VZX187" s="1228"/>
      <c r="VZY187" s="1228"/>
      <c r="VZZ187" s="1228"/>
      <c r="WAA187" s="1228"/>
      <c r="WAB187" s="1228"/>
      <c r="WAC187" s="1228"/>
      <c r="WAD187" s="1228"/>
      <c r="WAE187" s="1228"/>
      <c r="WAF187" s="1228"/>
      <c r="WAG187" s="1228"/>
      <c r="WAH187" s="1228"/>
      <c r="WAI187" s="1228"/>
      <c r="WAJ187" s="1228"/>
      <c r="WAK187" s="1228"/>
      <c r="WAL187" s="1228"/>
      <c r="WAM187" s="1228"/>
      <c r="WAN187" s="1228"/>
      <c r="WAO187" s="1228"/>
      <c r="WAP187" s="1228"/>
      <c r="WAQ187" s="1228"/>
      <c r="WAR187" s="1228"/>
      <c r="WAS187" s="1228"/>
      <c r="WAT187" s="1228"/>
      <c r="WAU187" s="1228"/>
      <c r="WAV187" s="1228"/>
      <c r="WAW187" s="1228"/>
      <c r="WAX187" s="1228"/>
      <c r="WAY187" s="1228"/>
      <c r="WAZ187" s="1228"/>
      <c r="WBA187" s="1228"/>
      <c r="WBB187" s="1228"/>
      <c r="WBC187" s="1228"/>
      <c r="WBD187" s="1228"/>
      <c r="WBE187" s="1228"/>
      <c r="WBF187" s="1228"/>
      <c r="WBG187" s="1228"/>
      <c r="WBH187" s="1228"/>
      <c r="WBI187" s="1228"/>
      <c r="WBJ187" s="1228"/>
      <c r="WBK187" s="1228"/>
      <c r="WBL187" s="1228"/>
      <c r="WBM187" s="1228"/>
      <c r="WBN187" s="1228"/>
      <c r="WBO187" s="1228"/>
      <c r="WBP187" s="1228"/>
      <c r="WBQ187" s="1228"/>
      <c r="WBR187" s="1228"/>
      <c r="WBS187" s="1228"/>
      <c r="WBT187" s="1228"/>
      <c r="WBU187" s="1228"/>
      <c r="WBV187" s="1228"/>
      <c r="WBW187" s="1228"/>
      <c r="WBX187" s="1228"/>
      <c r="WBY187" s="1228"/>
      <c r="WBZ187" s="1228"/>
      <c r="WCA187" s="1228"/>
      <c r="WCB187" s="1228"/>
      <c r="WCC187" s="1228"/>
      <c r="WCD187" s="1228"/>
      <c r="WCE187" s="1228"/>
      <c r="WCF187" s="1228"/>
      <c r="WCG187" s="1228"/>
      <c r="WCH187" s="1228"/>
      <c r="WCI187" s="1228"/>
      <c r="WCJ187" s="1228"/>
      <c r="WCK187" s="1228"/>
      <c r="WCL187" s="1228"/>
      <c r="WCM187" s="1228"/>
      <c r="WCN187" s="1228"/>
      <c r="WCO187" s="1228"/>
      <c r="WCP187" s="1228"/>
      <c r="WCQ187" s="1228"/>
      <c r="WCR187" s="1228"/>
      <c r="WCS187" s="1228"/>
      <c r="WCT187" s="1228"/>
      <c r="WCU187" s="1228"/>
      <c r="WCV187" s="1228"/>
      <c r="WCW187" s="1228"/>
      <c r="WCX187" s="1228"/>
      <c r="WCY187" s="1228"/>
      <c r="WCZ187" s="1228"/>
      <c r="WDA187" s="1228"/>
      <c r="WDB187" s="1228"/>
      <c r="WDC187" s="1228"/>
      <c r="WDD187" s="1228"/>
      <c r="WDE187" s="1228"/>
      <c r="WDF187" s="1228"/>
      <c r="WDG187" s="1228"/>
      <c r="WDH187" s="1228"/>
      <c r="WDI187" s="1228"/>
      <c r="WDJ187" s="1228"/>
      <c r="WDK187" s="1228"/>
      <c r="WDL187" s="1228"/>
      <c r="WDM187" s="1228"/>
      <c r="WDN187" s="1228"/>
      <c r="WDO187" s="1228"/>
      <c r="WDP187" s="1228"/>
      <c r="WDQ187" s="1228"/>
      <c r="WDR187" s="1228"/>
      <c r="WDS187" s="1228"/>
      <c r="WDT187" s="1228"/>
      <c r="WDU187" s="1228"/>
      <c r="WDV187" s="1228"/>
      <c r="WDW187" s="1228"/>
      <c r="WDX187" s="1228"/>
      <c r="WDY187" s="1228"/>
      <c r="WDZ187" s="1228"/>
      <c r="WEA187" s="1228"/>
      <c r="WEB187" s="1228"/>
      <c r="WEC187" s="1228"/>
      <c r="WED187" s="1228"/>
      <c r="WEE187" s="1228"/>
      <c r="WEF187" s="1228"/>
      <c r="WEG187" s="1228"/>
      <c r="WEH187" s="1228"/>
      <c r="WEI187" s="1228"/>
      <c r="WEJ187" s="1228"/>
      <c r="WEK187" s="1228"/>
      <c r="WEL187" s="1228"/>
      <c r="WEM187" s="1228"/>
      <c r="WEN187" s="1228"/>
      <c r="WEO187" s="1228"/>
      <c r="WEP187" s="1228"/>
      <c r="WEQ187" s="1228"/>
      <c r="WER187" s="1228"/>
      <c r="WES187" s="1228"/>
      <c r="WET187" s="1228"/>
      <c r="WEU187" s="1228"/>
      <c r="WEV187" s="1228"/>
      <c r="WEW187" s="1228"/>
      <c r="WEX187" s="1228"/>
      <c r="WEY187" s="1228"/>
      <c r="WEZ187" s="1228"/>
      <c r="WFA187" s="1228"/>
      <c r="WFB187" s="1228"/>
      <c r="WFC187" s="1228"/>
      <c r="WFD187" s="1228"/>
      <c r="WFE187" s="1228"/>
      <c r="WFF187" s="1228"/>
      <c r="WFG187" s="1228"/>
      <c r="WFH187" s="1228"/>
      <c r="WFI187" s="1228"/>
      <c r="WFJ187" s="1228"/>
      <c r="WFK187" s="1228"/>
      <c r="WFL187" s="1228"/>
      <c r="WFM187" s="1228"/>
      <c r="WFN187" s="1228"/>
      <c r="WFO187" s="1228"/>
      <c r="WFP187" s="1228"/>
      <c r="WFQ187" s="1228"/>
      <c r="WFR187" s="1228"/>
      <c r="WFS187" s="1228"/>
      <c r="WFT187" s="1228"/>
      <c r="WFU187" s="1228"/>
      <c r="WFV187" s="1228"/>
      <c r="WFW187" s="1228"/>
      <c r="WFX187" s="1228"/>
      <c r="WFY187" s="1228"/>
      <c r="WFZ187" s="1228"/>
      <c r="WGA187" s="1228"/>
      <c r="WGB187" s="1228"/>
      <c r="WGC187" s="1228"/>
      <c r="WGD187" s="1228"/>
      <c r="WGE187" s="1228"/>
      <c r="WGF187" s="1228"/>
      <c r="WGG187" s="1228"/>
      <c r="WGH187" s="1228"/>
      <c r="WGI187" s="1228"/>
      <c r="WGJ187" s="1228"/>
      <c r="WGK187" s="1228"/>
      <c r="WGL187" s="1228"/>
      <c r="WGM187" s="1228"/>
      <c r="WGN187" s="1228"/>
      <c r="WGO187" s="1228"/>
      <c r="WGP187" s="1228"/>
      <c r="WGQ187" s="1228"/>
      <c r="WGR187" s="1228"/>
      <c r="WGS187" s="1228"/>
      <c r="WGT187" s="1228"/>
      <c r="WGU187" s="1228"/>
      <c r="WGV187" s="1228"/>
      <c r="WGW187" s="1228"/>
      <c r="WGX187" s="1228"/>
      <c r="WGY187" s="1228"/>
      <c r="WGZ187" s="1228"/>
      <c r="WHA187" s="1228"/>
      <c r="WHB187" s="1228"/>
      <c r="WHC187" s="1228"/>
      <c r="WHD187" s="1228"/>
      <c r="WHE187" s="1228"/>
      <c r="WHF187" s="1228"/>
      <c r="WHG187" s="1228"/>
      <c r="WHH187" s="1228"/>
      <c r="WHI187" s="1228"/>
      <c r="WHJ187" s="1228"/>
      <c r="WHK187" s="1228"/>
      <c r="WHL187" s="1228"/>
      <c r="WHM187" s="1228"/>
      <c r="WHN187" s="1228"/>
      <c r="WHO187" s="1228"/>
      <c r="WHP187" s="1228"/>
      <c r="WHQ187" s="1228"/>
      <c r="WHR187" s="1228"/>
      <c r="WHS187" s="1228"/>
      <c r="WHT187" s="1228"/>
      <c r="WHU187" s="1228"/>
      <c r="WHV187" s="1228"/>
      <c r="WHW187" s="1228"/>
      <c r="WHX187" s="1228"/>
      <c r="WHY187" s="1228"/>
      <c r="WHZ187" s="1228"/>
      <c r="WIA187" s="1228"/>
      <c r="WIB187" s="1228"/>
      <c r="WIC187" s="1228"/>
      <c r="WID187" s="1228"/>
      <c r="WIE187" s="1228"/>
      <c r="WIF187" s="1228"/>
      <c r="WIG187" s="1228"/>
      <c r="WIH187" s="1228"/>
      <c r="WII187" s="1228"/>
      <c r="WIJ187" s="1228"/>
      <c r="WIK187" s="1228"/>
      <c r="WIL187" s="1228"/>
      <c r="WIM187" s="1228"/>
      <c r="WIN187" s="1228"/>
      <c r="WIO187" s="1228"/>
      <c r="WIP187" s="1228"/>
      <c r="WIQ187" s="1228"/>
      <c r="WIR187" s="1228"/>
      <c r="WIS187" s="1228"/>
      <c r="WIT187" s="1228"/>
      <c r="WIU187" s="1228"/>
      <c r="WIV187" s="1228"/>
      <c r="WIW187" s="1228"/>
      <c r="WIX187" s="1228"/>
      <c r="WIY187" s="1228"/>
      <c r="WIZ187" s="1228"/>
      <c r="WJA187" s="1228"/>
      <c r="WJB187" s="1228"/>
      <c r="WJC187" s="1228"/>
      <c r="WJD187" s="1228"/>
      <c r="WJE187" s="1228"/>
      <c r="WJF187" s="1228"/>
      <c r="WJG187" s="1228"/>
      <c r="WJH187" s="1228"/>
      <c r="WJI187" s="1228"/>
      <c r="WJJ187" s="1228"/>
      <c r="WJK187" s="1228"/>
      <c r="WJL187" s="1228"/>
      <c r="WJM187" s="1228"/>
      <c r="WJN187" s="1228"/>
      <c r="WJO187" s="1228"/>
      <c r="WJP187" s="1228"/>
      <c r="WJQ187" s="1228"/>
      <c r="WJR187" s="1228"/>
      <c r="WJS187" s="1228"/>
      <c r="WJT187" s="1228"/>
      <c r="WJU187" s="1228"/>
      <c r="WJV187" s="1228"/>
      <c r="WJW187" s="1228"/>
      <c r="WJX187" s="1228"/>
      <c r="WJY187" s="1228"/>
      <c r="WJZ187" s="1228"/>
      <c r="WKA187" s="1228"/>
      <c r="WKB187" s="1228"/>
      <c r="WKC187" s="1228"/>
      <c r="WKD187" s="1228"/>
      <c r="WKE187" s="1228"/>
      <c r="WKF187" s="1228"/>
      <c r="WKG187" s="1228"/>
      <c r="WKH187" s="1228"/>
      <c r="WKI187" s="1228"/>
      <c r="WKJ187" s="1228"/>
      <c r="WKK187" s="1228"/>
      <c r="WKL187" s="1228"/>
      <c r="WKM187" s="1228"/>
      <c r="WKN187" s="1228"/>
      <c r="WKO187" s="1228"/>
      <c r="WKP187" s="1228"/>
      <c r="WKQ187" s="1228"/>
      <c r="WKR187" s="1228"/>
      <c r="WKS187" s="1228"/>
      <c r="WKT187" s="1228"/>
      <c r="WKU187" s="1228"/>
      <c r="WKV187" s="1228"/>
      <c r="WKW187" s="1228"/>
      <c r="WKX187" s="1228"/>
      <c r="WKY187" s="1228"/>
      <c r="WKZ187" s="1228"/>
      <c r="WLA187" s="1228"/>
      <c r="WLB187" s="1228"/>
      <c r="WLC187" s="1228"/>
      <c r="WLD187" s="1228"/>
      <c r="WLE187" s="1228"/>
      <c r="WLF187" s="1228"/>
      <c r="WLG187" s="1228"/>
      <c r="WLH187" s="1228"/>
      <c r="WLI187" s="1228"/>
      <c r="WLJ187" s="1228"/>
      <c r="WLK187" s="1228"/>
      <c r="WLL187" s="1228"/>
      <c r="WLM187" s="1228"/>
      <c r="WLN187" s="1228"/>
      <c r="WLO187" s="1228"/>
      <c r="WLP187" s="1228"/>
      <c r="WLQ187" s="1228"/>
      <c r="WLR187" s="1228"/>
      <c r="WLS187" s="1228"/>
      <c r="WLT187" s="1228"/>
      <c r="WLU187" s="1228"/>
      <c r="WLV187" s="1228"/>
      <c r="WLW187" s="1228"/>
      <c r="WLX187" s="1228"/>
      <c r="WLY187" s="1228"/>
      <c r="WLZ187" s="1228"/>
      <c r="WMA187" s="1228"/>
      <c r="WMB187" s="1228"/>
      <c r="WMC187" s="1228"/>
      <c r="WMD187" s="1228"/>
      <c r="WME187" s="1228"/>
      <c r="WMF187" s="1228"/>
      <c r="WMG187" s="1228"/>
      <c r="WMH187" s="1228"/>
      <c r="WMI187" s="1228"/>
      <c r="WMJ187" s="1228"/>
      <c r="WMK187" s="1228"/>
      <c r="WML187" s="1228"/>
      <c r="WMM187" s="1228"/>
      <c r="WMN187" s="1228"/>
      <c r="WMO187" s="1228"/>
      <c r="WMP187" s="1228"/>
      <c r="WMQ187" s="1228"/>
      <c r="WMR187" s="1228"/>
      <c r="WMS187" s="1228"/>
      <c r="WMT187" s="1228"/>
      <c r="WMU187" s="1228"/>
      <c r="WMV187" s="1228"/>
      <c r="WMW187" s="1228"/>
      <c r="WMX187" s="1228"/>
      <c r="WMY187" s="1228"/>
      <c r="WMZ187" s="1228"/>
      <c r="WNA187" s="1228"/>
      <c r="WNB187" s="1228"/>
      <c r="WNC187" s="1228"/>
      <c r="WND187" s="1228"/>
      <c r="WNE187" s="1228"/>
      <c r="WNF187" s="1228"/>
      <c r="WNG187" s="1228"/>
      <c r="WNH187" s="1228"/>
      <c r="WNI187" s="1228"/>
      <c r="WNJ187" s="1228"/>
      <c r="WNK187" s="1228"/>
      <c r="WNL187" s="1228"/>
      <c r="WNM187" s="1228"/>
      <c r="WNN187" s="1228"/>
      <c r="WNO187" s="1228"/>
      <c r="WNP187" s="1228"/>
      <c r="WNQ187" s="1228"/>
      <c r="WNR187" s="1228"/>
      <c r="WNS187" s="1228"/>
      <c r="WNT187" s="1228"/>
      <c r="WNU187" s="1228"/>
      <c r="WNV187" s="1228"/>
      <c r="WNW187" s="1228"/>
      <c r="WNX187" s="1228"/>
      <c r="WNY187" s="1228"/>
      <c r="WNZ187" s="1228"/>
      <c r="WOA187" s="1228"/>
      <c r="WOB187" s="1228"/>
      <c r="WOC187" s="1228"/>
      <c r="WOD187" s="1228"/>
      <c r="WOE187" s="1228"/>
      <c r="WOF187" s="1228"/>
      <c r="WOG187" s="1228"/>
      <c r="WOH187" s="1228"/>
      <c r="WOI187" s="1228"/>
      <c r="WOJ187" s="1228"/>
      <c r="WOK187" s="1228"/>
      <c r="WOL187" s="1228"/>
      <c r="WOM187" s="1228"/>
      <c r="WON187" s="1228"/>
      <c r="WOO187" s="1228"/>
      <c r="WOP187" s="1228"/>
      <c r="WOQ187" s="1228"/>
      <c r="WOR187" s="1228"/>
      <c r="WOS187" s="1228"/>
      <c r="WOT187" s="1228"/>
      <c r="WOU187" s="1228"/>
      <c r="WOV187" s="1228"/>
      <c r="WOW187" s="1228"/>
      <c r="WOX187" s="1228"/>
      <c r="WOY187" s="1228"/>
      <c r="WOZ187" s="1228"/>
      <c r="WPA187" s="1228"/>
      <c r="WPB187" s="1228"/>
      <c r="WPC187" s="1228"/>
      <c r="WPD187" s="1228"/>
      <c r="WPE187" s="1228"/>
      <c r="WPF187" s="1228"/>
      <c r="WPG187" s="1228"/>
      <c r="WPH187" s="1228"/>
      <c r="WPI187" s="1228"/>
      <c r="WPJ187" s="1228"/>
      <c r="WPK187" s="1228"/>
      <c r="WPL187" s="1228"/>
      <c r="WPM187" s="1228"/>
      <c r="WPN187" s="1228"/>
      <c r="WPO187" s="1228"/>
      <c r="WPP187" s="1228"/>
      <c r="WPQ187" s="1228"/>
      <c r="WPR187" s="1228"/>
      <c r="WPS187" s="1228"/>
      <c r="WPT187" s="1228"/>
      <c r="WPU187" s="1228"/>
      <c r="WPV187" s="1228"/>
      <c r="WPW187" s="1228"/>
      <c r="WPX187" s="1228"/>
      <c r="WPY187" s="1228"/>
      <c r="WPZ187" s="1228"/>
      <c r="WQA187" s="1228"/>
      <c r="WQB187" s="1228"/>
      <c r="WQC187" s="1228"/>
      <c r="WQD187" s="1228"/>
      <c r="WQE187" s="1228"/>
      <c r="WQF187" s="1228"/>
      <c r="WQG187" s="1228"/>
      <c r="WQH187" s="1228"/>
      <c r="WQI187" s="1228"/>
      <c r="WQJ187" s="1228"/>
      <c r="WQK187" s="1228"/>
      <c r="WQL187" s="1228"/>
      <c r="WQM187" s="1228"/>
      <c r="WQN187" s="1228"/>
      <c r="WQO187" s="1228"/>
      <c r="WQP187" s="1228"/>
      <c r="WQQ187" s="1228"/>
      <c r="WQR187" s="1228"/>
      <c r="WQS187" s="1228"/>
      <c r="WQT187" s="1228"/>
      <c r="WQU187" s="1228"/>
      <c r="WQV187" s="1228"/>
      <c r="WQW187" s="1228"/>
      <c r="WQX187" s="1228"/>
      <c r="WQY187" s="1228"/>
      <c r="WQZ187" s="1228"/>
      <c r="WRA187" s="1228"/>
      <c r="WRB187" s="1228"/>
      <c r="WRC187" s="1228"/>
      <c r="WRD187" s="1228"/>
      <c r="WRE187" s="1228"/>
      <c r="WRF187" s="1228"/>
      <c r="WRG187" s="1228"/>
      <c r="WRH187" s="1228"/>
      <c r="WRI187" s="1228"/>
      <c r="WRJ187" s="1228"/>
      <c r="WRK187" s="1228"/>
      <c r="WRL187" s="1228"/>
      <c r="WRM187" s="1228"/>
      <c r="WRN187" s="1228"/>
      <c r="WRO187" s="1228"/>
      <c r="WRP187" s="1228"/>
      <c r="WRQ187" s="1228"/>
      <c r="WRR187" s="1228"/>
      <c r="WRS187" s="1228"/>
      <c r="WRT187" s="1228"/>
      <c r="WRU187" s="1228"/>
      <c r="WRV187" s="1228"/>
      <c r="WRW187" s="1228"/>
      <c r="WRX187" s="1228"/>
      <c r="WRY187" s="1228"/>
      <c r="WRZ187" s="1228"/>
      <c r="WSA187" s="1228"/>
      <c r="WSB187" s="1228"/>
      <c r="WSC187" s="1228"/>
      <c r="WSD187" s="1228"/>
      <c r="WSE187" s="1228"/>
      <c r="WSF187" s="1228"/>
      <c r="WSG187" s="1228"/>
      <c r="WSH187" s="1228"/>
      <c r="WSI187" s="1228"/>
      <c r="WSJ187" s="1228"/>
      <c r="WSK187" s="1228"/>
      <c r="WSL187" s="1228"/>
      <c r="WSM187" s="1228"/>
      <c r="WSN187" s="1228"/>
      <c r="WSO187" s="1228"/>
      <c r="WSP187" s="1228"/>
      <c r="WSQ187" s="1228"/>
      <c r="WSR187" s="1228"/>
      <c r="WSS187" s="1228"/>
      <c r="WST187" s="1228"/>
      <c r="WSU187" s="1228"/>
      <c r="WSV187" s="1228"/>
      <c r="WSW187" s="1228"/>
      <c r="WSX187" s="1228"/>
      <c r="WSY187" s="1228"/>
      <c r="WSZ187" s="1228"/>
      <c r="WTA187" s="1228"/>
      <c r="WTB187" s="1228"/>
      <c r="WTC187" s="1228"/>
      <c r="WTD187" s="1228"/>
      <c r="WTE187" s="1228"/>
      <c r="WTF187" s="1228"/>
      <c r="WTG187" s="1228"/>
      <c r="WTH187" s="1228"/>
      <c r="WTI187" s="1228"/>
      <c r="WTJ187" s="1228"/>
      <c r="WTK187" s="1228"/>
      <c r="WTL187" s="1228"/>
      <c r="WTM187" s="1228"/>
      <c r="WTN187" s="1228"/>
      <c r="WTO187" s="1228"/>
      <c r="WTP187" s="1228"/>
      <c r="WTQ187" s="1228"/>
      <c r="WTR187" s="1228"/>
      <c r="WTS187" s="1228"/>
      <c r="WTT187" s="1228"/>
      <c r="WTU187" s="1228"/>
      <c r="WTV187" s="1228"/>
      <c r="WTW187" s="1228"/>
      <c r="WTX187" s="1228"/>
      <c r="WTY187" s="1228"/>
      <c r="WTZ187" s="1228"/>
      <c r="WUA187" s="1228"/>
      <c r="WUB187" s="1228"/>
      <c r="WUC187" s="1228"/>
      <c r="WUD187" s="1228"/>
      <c r="WUE187" s="1228"/>
      <c r="WUF187" s="1228"/>
      <c r="WUG187" s="1228"/>
      <c r="WUH187" s="1228"/>
      <c r="WUI187" s="1228"/>
      <c r="WUJ187" s="1228"/>
      <c r="WUK187" s="1228"/>
      <c r="WUL187" s="1228"/>
      <c r="WUM187" s="1228"/>
      <c r="WUN187" s="1228"/>
      <c r="WUO187" s="1228"/>
      <c r="WUP187" s="1228"/>
      <c r="WUQ187" s="1228"/>
      <c r="WUR187" s="1228"/>
      <c r="WUS187" s="1228"/>
      <c r="WUT187" s="1228"/>
      <c r="WUU187" s="1228"/>
      <c r="WUV187" s="1228"/>
      <c r="WUW187" s="1228"/>
      <c r="WUX187" s="1228"/>
      <c r="WUY187" s="1228"/>
      <c r="WUZ187" s="1228"/>
      <c r="WVA187" s="1228"/>
      <c r="WVB187" s="1228"/>
      <c r="WVC187" s="1228"/>
      <c r="WVD187" s="1228"/>
      <c r="WVE187" s="1228"/>
      <c r="WVF187" s="1228"/>
      <c r="WVG187" s="1228"/>
      <c r="WVH187" s="1228"/>
      <c r="WVI187" s="1228"/>
      <c r="WVJ187" s="1228"/>
      <c r="WVK187" s="1228"/>
      <c r="WVL187" s="1228"/>
      <c r="WVM187" s="1228"/>
      <c r="WVN187" s="1228"/>
      <c r="WVO187" s="1228"/>
      <c r="WVP187" s="1228"/>
      <c r="WVQ187" s="1228"/>
      <c r="WVR187" s="1228"/>
      <c r="WVS187" s="1228"/>
      <c r="WVT187" s="1228"/>
      <c r="WVU187" s="1228"/>
      <c r="WVV187" s="1228"/>
      <c r="WVW187" s="1228"/>
      <c r="WVX187" s="1228"/>
      <c r="WVY187" s="1228"/>
      <c r="WVZ187" s="1228"/>
      <c r="WWA187" s="1228"/>
      <c r="WWB187" s="1228"/>
      <c r="WWC187" s="1228"/>
      <c r="WWD187" s="1228"/>
      <c r="WWE187" s="1228"/>
      <c r="WWF187" s="1228"/>
      <c r="WWG187" s="1228"/>
      <c r="WWH187" s="1228"/>
      <c r="WWI187" s="1228"/>
      <c r="WWJ187" s="1228"/>
      <c r="WWK187" s="1228"/>
      <c r="WWL187" s="1228"/>
      <c r="WWM187" s="1228"/>
      <c r="WWN187" s="1228"/>
      <c r="WWO187" s="1228"/>
      <c r="WWP187" s="1228"/>
      <c r="WWQ187" s="1228"/>
      <c r="WWR187" s="1228"/>
      <c r="WWS187" s="1228"/>
      <c r="WWT187" s="1228"/>
      <c r="WWU187" s="1228"/>
      <c r="WWV187" s="1228"/>
      <c r="WWW187" s="1228"/>
      <c r="WWX187" s="1228"/>
      <c r="WWY187" s="1228"/>
      <c r="WWZ187" s="1228"/>
      <c r="WXA187" s="1228"/>
      <c r="WXB187" s="1228"/>
      <c r="WXC187" s="1228"/>
      <c r="WXD187" s="1228"/>
      <c r="WXE187" s="1228"/>
      <c r="WXF187" s="1228"/>
      <c r="WXG187" s="1228"/>
      <c r="WXH187" s="1228"/>
      <c r="WXI187" s="1228"/>
      <c r="WXJ187" s="1228"/>
      <c r="WXK187" s="1228"/>
      <c r="WXL187" s="1228"/>
      <c r="WXM187" s="1228"/>
      <c r="WXN187" s="1228"/>
      <c r="WXO187" s="1228"/>
      <c r="WXP187" s="1228"/>
      <c r="WXQ187" s="1228"/>
      <c r="WXR187" s="1228"/>
      <c r="WXS187" s="1228"/>
      <c r="WXT187" s="1228"/>
      <c r="WXU187" s="1228"/>
      <c r="WXV187" s="1228"/>
      <c r="WXW187" s="1228"/>
      <c r="WXX187" s="1228"/>
      <c r="WXY187" s="1228"/>
      <c r="WXZ187" s="1228"/>
      <c r="WYA187" s="1228"/>
      <c r="WYB187" s="1228"/>
      <c r="WYC187" s="1228"/>
      <c r="WYD187" s="1228"/>
      <c r="WYE187" s="1228"/>
      <c r="WYF187" s="1228"/>
      <c r="WYG187" s="1228"/>
      <c r="WYH187" s="1228"/>
      <c r="WYI187" s="1228"/>
      <c r="WYJ187" s="1228"/>
      <c r="WYK187" s="1228"/>
      <c r="WYL187" s="1228"/>
      <c r="WYM187" s="1228"/>
      <c r="WYN187" s="1228"/>
      <c r="WYO187" s="1228"/>
      <c r="WYP187" s="1228"/>
      <c r="WYQ187" s="1228"/>
      <c r="WYR187" s="1228"/>
      <c r="WYS187" s="1228"/>
      <c r="WYT187" s="1228"/>
      <c r="WYU187" s="1228"/>
      <c r="WYV187" s="1228"/>
      <c r="WYW187" s="1228"/>
      <c r="WYX187" s="1228"/>
      <c r="WYY187" s="1228"/>
      <c r="WYZ187" s="1228"/>
      <c r="WZA187" s="1228"/>
      <c r="WZB187" s="1228"/>
      <c r="WZC187" s="1228"/>
      <c r="WZD187" s="1228"/>
      <c r="WZE187" s="1228"/>
      <c r="WZF187" s="1228"/>
      <c r="WZG187" s="1228"/>
      <c r="WZH187" s="1228"/>
      <c r="WZI187" s="1228"/>
      <c r="WZJ187" s="1228"/>
      <c r="WZK187" s="1228"/>
      <c r="WZL187" s="1228"/>
      <c r="WZM187" s="1228"/>
      <c r="WZN187" s="1228"/>
      <c r="WZO187" s="1228"/>
      <c r="WZP187" s="1228"/>
      <c r="WZQ187" s="1228"/>
      <c r="WZR187" s="1228"/>
      <c r="WZS187" s="1228"/>
      <c r="WZT187" s="1228"/>
      <c r="WZU187" s="1228"/>
      <c r="WZV187" s="1228"/>
      <c r="WZW187" s="1228"/>
      <c r="WZX187" s="1228"/>
      <c r="WZY187" s="1228"/>
      <c r="WZZ187" s="1228"/>
      <c r="XAA187" s="1228"/>
      <c r="XAB187" s="1228"/>
      <c r="XAC187" s="1228"/>
      <c r="XAD187" s="1228"/>
      <c r="XAE187" s="1228"/>
      <c r="XAF187" s="1228"/>
      <c r="XAG187" s="1228"/>
      <c r="XAH187" s="1228"/>
      <c r="XAI187" s="1228"/>
      <c r="XAJ187" s="1228"/>
      <c r="XAK187" s="1228"/>
      <c r="XAL187" s="1228"/>
      <c r="XAM187" s="1228"/>
      <c r="XAN187" s="1228"/>
      <c r="XAO187" s="1228"/>
      <c r="XAP187" s="1228"/>
      <c r="XAQ187" s="1228"/>
      <c r="XAR187" s="1228"/>
      <c r="XAS187" s="1228"/>
      <c r="XAT187" s="1228"/>
      <c r="XAU187" s="1228"/>
      <c r="XAV187" s="1228"/>
      <c r="XAW187" s="1228"/>
      <c r="XAX187" s="1228"/>
      <c r="XAY187" s="1228"/>
      <c r="XAZ187" s="1228"/>
      <c r="XBA187" s="1228"/>
      <c r="XBB187" s="1228"/>
      <c r="XBC187" s="1228"/>
      <c r="XBD187" s="1228"/>
      <c r="XBE187" s="1228"/>
      <c r="XBF187" s="1228"/>
      <c r="XBG187" s="1228"/>
      <c r="XBH187" s="1228"/>
      <c r="XBI187" s="1228"/>
      <c r="XBJ187" s="1228"/>
      <c r="XBK187" s="1228"/>
      <c r="XBL187" s="1228"/>
      <c r="XBM187" s="1228"/>
      <c r="XBN187" s="1228"/>
      <c r="XBO187" s="1228"/>
      <c r="XBP187" s="1228"/>
      <c r="XBQ187" s="1228"/>
      <c r="XBR187" s="1228"/>
      <c r="XBS187" s="1228"/>
      <c r="XBT187" s="1228"/>
      <c r="XBU187" s="1228"/>
      <c r="XBV187" s="1228"/>
      <c r="XBW187" s="1228"/>
      <c r="XBX187" s="1228"/>
      <c r="XBY187" s="1228"/>
      <c r="XBZ187" s="1228"/>
      <c r="XCA187" s="1228"/>
      <c r="XCB187" s="1228"/>
      <c r="XCC187" s="1228"/>
      <c r="XCD187" s="1228"/>
      <c r="XCE187" s="1228"/>
      <c r="XCF187" s="1228"/>
      <c r="XCG187" s="1228"/>
      <c r="XCH187" s="1228"/>
      <c r="XCI187" s="1228"/>
      <c r="XCJ187" s="1228"/>
      <c r="XCK187" s="1228"/>
      <c r="XCL187" s="1228"/>
      <c r="XCM187" s="1228"/>
      <c r="XCN187" s="1228"/>
      <c r="XCO187" s="1228"/>
      <c r="XCP187" s="1228"/>
      <c r="XCQ187" s="1228"/>
      <c r="XCR187" s="1228"/>
      <c r="XCS187" s="1228"/>
      <c r="XCT187" s="1228"/>
      <c r="XCU187" s="1228"/>
      <c r="XCV187" s="1228"/>
      <c r="XCW187" s="1228"/>
      <c r="XCX187" s="1228"/>
      <c r="XCY187" s="1228"/>
      <c r="XCZ187" s="1228"/>
      <c r="XDA187" s="1228"/>
      <c r="XDB187" s="1228"/>
      <c r="XDC187" s="1228"/>
      <c r="XDD187" s="1228"/>
      <c r="XDE187" s="1228"/>
      <c r="XDF187" s="1228"/>
      <c r="XDG187" s="1228"/>
      <c r="XDH187" s="1228"/>
      <c r="XDI187" s="1228"/>
      <c r="XDJ187" s="1228"/>
      <c r="XDK187" s="1228"/>
      <c r="XDL187" s="1228"/>
      <c r="XDM187" s="1228"/>
      <c r="XDN187" s="1228"/>
      <c r="XDO187" s="1228"/>
      <c r="XDP187" s="1228"/>
      <c r="XDQ187" s="1228"/>
      <c r="XDR187" s="1228"/>
      <c r="XDS187" s="1228"/>
    </row>
    <row r="188" spans="1:16347">
      <c r="C188" t="s">
        <v>908</v>
      </c>
      <c r="E188" s="2473"/>
      <c r="F188" s="984"/>
      <c r="G188" s="984"/>
      <c r="H188" s="984"/>
      <c r="I188" s="984"/>
      <c r="J188" s="984"/>
      <c r="K188" s="984"/>
      <c r="L188" s="984"/>
      <c r="M188" s="984"/>
      <c r="N188" s="984"/>
    </row>
    <row r="189" spans="1:16347" ht="15" customHeight="1">
      <c r="C189" t="s">
        <v>909</v>
      </c>
      <c r="E189" s="2473" t="s">
        <v>741</v>
      </c>
      <c r="F189" s="984">
        <f>F167/$F$79</f>
        <v>0</v>
      </c>
      <c r="G189" s="984">
        <f t="shared" ref="G189:N189" si="25">G167/$F$79</f>
        <v>0</v>
      </c>
      <c r="H189" s="984">
        <f t="shared" si="25"/>
        <v>0</v>
      </c>
      <c r="I189" s="984">
        <f t="shared" si="25"/>
        <v>0</v>
      </c>
      <c r="J189" s="984">
        <f t="shared" si="25"/>
        <v>0</v>
      </c>
      <c r="K189" s="984">
        <f t="shared" si="25"/>
        <v>0</v>
      </c>
      <c r="L189" s="984">
        <f t="shared" si="25"/>
        <v>0</v>
      </c>
      <c r="M189" s="984">
        <f t="shared" si="25"/>
        <v>0</v>
      </c>
      <c r="N189" s="984">
        <f t="shared" si="25"/>
        <v>0</v>
      </c>
    </row>
    <row r="190" spans="1:16347">
      <c r="C190" t="s">
        <v>910</v>
      </c>
      <c r="E190" s="2473" t="str">
        <f>Preferences.AreaUnits</f>
        <v>km^2</v>
      </c>
      <c r="F190" s="984">
        <f>F167/$F$80</f>
        <v>0</v>
      </c>
      <c r="G190" s="984">
        <f t="shared" ref="G190:N190" si="26">G167/$F$80</f>
        <v>0</v>
      </c>
      <c r="H190" s="984">
        <f t="shared" si="26"/>
        <v>0</v>
      </c>
      <c r="I190" s="984">
        <f t="shared" si="26"/>
        <v>0</v>
      </c>
      <c r="J190" s="984">
        <f t="shared" si="26"/>
        <v>0</v>
      </c>
      <c r="K190" s="984">
        <f t="shared" si="26"/>
        <v>0</v>
      </c>
      <c r="L190" s="984">
        <f t="shared" si="26"/>
        <v>0</v>
      </c>
      <c r="M190" s="984">
        <f t="shared" si="26"/>
        <v>0</v>
      </c>
      <c r="N190" s="984">
        <f t="shared" si="26"/>
        <v>0</v>
      </c>
    </row>
    <row r="191" spans="1:16347">
      <c r="C191" t="s">
        <v>819</v>
      </c>
      <c r="F191" s="984"/>
      <c r="G191" s="984"/>
      <c r="H191" s="984"/>
      <c r="I191" s="984"/>
      <c r="J191" s="984"/>
      <c r="K191" s="984"/>
      <c r="L191" s="984"/>
      <c r="M191" s="984"/>
      <c r="N191" s="984"/>
    </row>
    <row r="192" spans="1:16347">
      <c r="C192" t="s">
        <v>903</v>
      </c>
      <c r="F192" s="984"/>
      <c r="G192" s="984">
        <f t="shared" ref="G192:N192" si="27">IF((G189-F189+G191)/(G$69-F$69)&gt;0,(G189-F189+G191)/(G$69-F$69),0)</f>
        <v>0</v>
      </c>
      <c r="H192" s="984">
        <f t="shared" si="27"/>
        <v>0</v>
      </c>
      <c r="I192" s="984">
        <f t="shared" si="27"/>
        <v>0</v>
      </c>
      <c r="J192" s="984">
        <f t="shared" si="27"/>
        <v>0</v>
      </c>
      <c r="K192" s="984">
        <f t="shared" si="27"/>
        <v>0</v>
      </c>
      <c r="L192" s="984">
        <f t="shared" si="27"/>
        <v>0</v>
      </c>
      <c r="M192" s="984">
        <f t="shared" si="27"/>
        <v>0</v>
      </c>
      <c r="N192" s="984">
        <f t="shared" si="27"/>
        <v>0</v>
      </c>
    </row>
    <row r="193" spans="1:15">
      <c r="F193" s="984"/>
      <c r="G193" s="984"/>
      <c r="H193" s="984"/>
      <c r="I193" s="984"/>
      <c r="J193" s="984"/>
      <c r="K193" s="984"/>
      <c r="L193" s="984"/>
      <c r="M193" s="984"/>
      <c r="N193" s="984"/>
    </row>
    <row r="194" spans="1:15">
      <c r="B194" s="3578" t="s">
        <v>2723</v>
      </c>
      <c r="F194" s="984"/>
      <c r="G194" s="984"/>
      <c r="H194" s="984"/>
      <c r="I194" s="984"/>
      <c r="J194" s="984"/>
      <c r="K194" s="984"/>
      <c r="L194" s="984"/>
      <c r="M194" s="984"/>
      <c r="N194" s="984"/>
      <c r="O194" s="984"/>
    </row>
    <row r="195" spans="1:15" hidden="1">
      <c r="C195" t="s">
        <v>168</v>
      </c>
      <c r="E195" s="3578" t="s">
        <v>2736</v>
      </c>
      <c r="F195" s="984"/>
      <c r="G195" s="984"/>
      <c r="H195" s="984"/>
      <c r="I195" s="984"/>
      <c r="J195" s="984"/>
      <c r="K195" s="984"/>
      <c r="L195" s="984"/>
      <c r="M195" s="984"/>
      <c r="N195" s="984"/>
      <c r="O195" s="984"/>
    </row>
    <row r="196" spans="1:15" hidden="1">
      <c r="C196" t="s">
        <v>172</v>
      </c>
      <c r="E196" s="3578" t="s">
        <v>2736</v>
      </c>
      <c r="F196" s="984"/>
      <c r="G196" s="984"/>
      <c r="H196" s="984"/>
      <c r="I196" s="984"/>
      <c r="J196" s="984"/>
      <c r="K196" s="984"/>
      <c r="L196" s="984"/>
      <c r="M196" s="984"/>
      <c r="N196" s="984"/>
      <c r="O196" s="984"/>
    </row>
    <row r="197" spans="1:15" hidden="1">
      <c r="C197" t="s">
        <v>291</v>
      </c>
      <c r="E197" s="3578" t="s">
        <v>2736</v>
      </c>
      <c r="F197" s="984"/>
      <c r="G197" s="984"/>
      <c r="H197" s="984"/>
      <c r="I197" s="984"/>
      <c r="J197" s="984"/>
      <c r="K197" s="984"/>
      <c r="L197" s="984"/>
      <c r="M197" s="984"/>
      <c r="N197" s="984"/>
      <c r="O197" s="984"/>
    </row>
    <row r="198" spans="1:15" hidden="1">
      <c r="F198" s="984"/>
      <c r="G198" s="984"/>
      <c r="H198" s="984"/>
      <c r="I198" s="984"/>
      <c r="J198" s="984"/>
      <c r="K198" s="984"/>
      <c r="L198" s="984"/>
      <c r="M198" s="984"/>
      <c r="N198" s="984"/>
      <c r="O198" s="984"/>
    </row>
    <row r="199" spans="1:15" hidden="1">
      <c r="B199" t="s">
        <v>292</v>
      </c>
      <c r="F199" s="984"/>
      <c r="G199" s="984"/>
      <c r="H199" s="984"/>
      <c r="I199" s="984"/>
      <c r="J199" s="984"/>
      <c r="K199" s="984"/>
      <c r="L199" s="984"/>
      <c r="M199" s="984"/>
      <c r="N199" s="984"/>
      <c r="O199" s="984"/>
    </row>
    <row r="200" spans="1:15" hidden="1">
      <c r="C200" t="s">
        <v>168</v>
      </c>
      <c r="E200" s="3578" t="s">
        <v>2736</v>
      </c>
      <c r="F200" s="984"/>
      <c r="G200" s="984"/>
      <c r="H200" s="984"/>
      <c r="I200" s="984"/>
      <c r="J200" s="984"/>
      <c r="K200" s="984"/>
      <c r="L200" s="984"/>
      <c r="M200" s="984"/>
      <c r="N200" s="984"/>
      <c r="O200" s="984"/>
    </row>
    <row r="201" spans="1:15" hidden="1">
      <c r="C201" t="s">
        <v>172</v>
      </c>
      <c r="E201" s="3578" t="s">
        <v>2736</v>
      </c>
      <c r="F201" s="984"/>
      <c r="G201" s="984"/>
      <c r="H201" s="984"/>
      <c r="I201" s="984"/>
      <c r="J201" s="984"/>
      <c r="K201" s="984"/>
      <c r="L201" s="984"/>
      <c r="M201" s="984"/>
      <c r="N201" s="984"/>
      <c r="O201" s="984"/>
    </row>
    <row r="202" spans="1:15" hidden="1">
      <c r="C202" t="s">
        <v>291</v>
      </c>
      <c r="E202" s="3578" t="s">
        <v>2736</v>
      </c>
      <c r="F202" s="984"/>
      <c r="G202" s="984"/>
      <c r="H202" s="984"/>
      <c r="I202" s="984"/>
      <c r="J202" s="984"/>
      <c r="K202" s="984"/>
      <c r="L202" s="984"/>
      <c r="M202" s="984"/>
      <c r="N202" s="984"/>
    </row>
    <row r="203" spans="1:15" hidden="1">
      <c r="F203" s="984"/>
      <c r="G203" s="984"/>
      <c r="H203" s="984"/>
      <c r="I203" s="984"/>
      <c r="J203" s="984"/>
      <c r="K203" s="984"/>
      <c r="L203" s="984"/>
      <c r="M203" s="984"/>
      <c r="N203" s="984"/>
    </row>
    <row r="204" spans="1:15" hidden="1">
      <c r="B204" t="s">
        <v>290</v>
      </c>
      <c r="F204" s="984"/>
      <c r="G204" s="984"/>
      <c r="H204" s="984"/>
      <c r="I204" s="984"/>
      <c r="J204" s="984"/>
      <c r="K204" s="984"/>
      <c r="L204" s="984"/>
      <c r="M204" s="984"/>
      <c r="N204" s="984"/>
    </row>
    <row r="205" spans="1:15" ht="23.5" hidden="1">
      <c r="A205" s="7"/>
      <c r="C205" t="s">
        <v>168</v>
      </c>
      <c r="E205" s="3578" t="s">
        <v>2736</v>
      </c>
      <c r="F205" s="984"/>
      <c r="G205" s="984"/>
      <c r="H205" s="984"/>
      <c r="I205" s="984"/>
      <c r="J205" s="984"/>
      <c r="K205" s="984"/>
      <c r="L205" s="984"/>
      <c r="M205" s="984"/>
      <c r="N205" s="984"/>
    </row>
    <row r="206" spans="1:15" hidden="1">
      <c r="C206" t="s">
        <v>172</v>
      </c>
      <c r="E206" s="3578" t="s">
        <v>2736</v>
      </c>
      <c r="F206" s="984"/>
      <c r="G206" s="984"/>
      <c r="H206" s="984"/>
      <c r="I206" s="984"/>
      <c r="J206" s="984"/>
      <c r="K206" s="984"/>
      <c r="L206" s="984"/>
      <c r="M206" s="984"/>
      <c r="N206" s="984"/>
    </row>
    <row r="207" spans="1:15" hidden="1">
      <c r="C207" t="s">
        <v>291</v>
      </c>
      <c r="E207" s="3578" t="s">
        <v>2736</v>
      </c>
      <c r="F207" s="984"/>
      <c r="G207" s="984"/>
      <c r="H207" s="984"/>
      <c r="I207" s="984"/>
      <c r="J207" s="984"/>
      <c r="K207" s="984"/>
      <c r="L207" s="984"/>
      <c r="M207" s="984"/>
      <c r="N207" s="984"/>
    </row>
    <row r="209" spans="1:17" ht="15.5">
      <c r="A209" s="434"/>
      <c r="B209" s="502" t="s">
        <v>296</v>
      </c>
      <c r="C209" s="503"/>
      <c r="D209" s="503"/>
      <c r="E209" s="503"/>
      <c r="F209" s="503"/>
      <c r="G209" s="503"/>
      <c r="H209" s="503"/>
      <c r="I209" s="503"/>
      <c r="J209" s="503"/>
      <c r="K209" s="503"/>
      <c r="L209" s="503"/>
      <c r="M209" s="503"/>
      <c r="N209" s="503"/>
      <c r="O209" s="857"/>
    </row>
    <row r="210" spans="1:17" ht="15.5">
      <c r="A210" s="434"/>
      <c r="B210" s="505"/>
      <c r="C210" s="506"/>
      <c r="D210" s="506"/>
      <c r="E210" s="506"/>
      <c r="F210" s="506"/>
      <c r="G210" s="506"/>
      <c r="H210" s="506"/>
      <c r="I210" s="506"/>
      <c r="J210" s="506"/>
      <c r="K210" s="506"/>
      <c r="L210" s="506"/>
      <c r="M210" s="506"/>
      <c r="N210" s="506"/>
      <c r="O210" s="858"/>
    </row>
    <row r="211" spans="1:17" ht="15.5">
      <c r="A211" s="434"/>
      <c r="B211" s="505"/>
      <c r="C211" s="34" t="s">
        <v>911</v>
      </c>
      <c r="D211" s="506"/>
      <c r="E211" s="507"/>
      <c r="F211" s="506"/>
      <c r="G211" s="506"/>
      <c r="H211" s="506"/>
      <c r="I211" s="506"/>
      <c r="J211" s="506"/>
      <c r="K211" s="506"/>
      <c r="L211" s="506"/>
      <c r="M211" s="506"/>
      <c r="N211" s="507" t="str">
        <f>Preferences.EnergyUnits</f>
        <v>TWh</v>
      </c>
      <c r="O211" s="858"/>
    </row>
    <row r="212" spans="1:17" ht="15.5">
      <c r="A212" s="434"/>
      <c r="B212" s="505"/>
      <c r="C212" s="506"/>
      <c r="D212" s="506"/>
      <c r="E212" s="506"/>
      <c r="F212" s="506"/>
      <c r="G212" s="506"/>
      <c r="H212" s="506"/>
      <c r="I212" s="506"/>
      <c r="J212" s="506"/>
      <c r="K212" s="506"/>
      <c r="L212" s="506"/>
      <c r="M212" s="506"/>
      <c r="N212" s="506"/>
      <c r="O212" s="858"/>
    </row>
    <row r="213" spans="1:17" ht="15.5">
      <c r="A213" s="434"/>
      <c r="B213" s="15"/>
      <c r="C213" s="1712" t="s">
        <v>28</v>
      </c>
      <c r="D213" s="1712" t="s">
        <v>29</v>
      </c>
      <c r="E213" s="1712" t="s">
        <v>30</v>
      </c>
      <c r="F213" s="1712" t="s">
        <v>588</v>
      </c>
      <c r="G213" s="1712" t="s">
        <v>132</v>
      </c>
      <c r="H213" s="1712" t="s">
        <v>133</v>
      </c>
      <c r="I213" s="1712" t="s">
        <v>134</v>
      </c>
      <c r="J213" s="1712" t="s">
        <v>135</v>
      </c>
      <c r="K213" s="1712" t="s">
        <v>136</v>
      </c>
      <c r="L213" s="1712" t="s">
        <v>137</v>
      </c>
      <c r="M213" s="1712" t="s">
        <v>138</v>
      </c>
      <c r="N213" s="1712" t="s">
        <v>139</v>
      </c>
      <c r="O213" s="858"/>
    </row>
    <row r="214" spans="1:17" ht="15.5">
      <c r="A214" s="434"/>
      <c r="B214" s="15"/>
      <c r="C214" s="716" t="s">
        <v>96</v>
      </c>
      <c r="D214" s="17" t="str">
        <f>INDEX(Vectors[Description], MATCH($C214, Vectors[Code], 0))</f>
        <v>Electricity (supplied to grid)</v>
      </c>
      <c r="E214" s="716"/>
      <c r="F214" s="717">
        <f t="shared" ref="F214:N214" si="28">F156+F172+F164</f>
        <v>0</v>
      </c>
      <c r="G214" s="2496">
        <f>G156+G172+G164</f>
        <v>3.9627123287671231E-3</v>
      </c>
      <c r="H214" s="2496">
        <f>H156+H172+H164</f>
        <v>1.3017510000000001E-2</v>
      </c>
      <c r="I214" s="2496">
        <f t="shared" si="28"/>
        <v>1.3017510000000001E-2</v>
      </c>
      <c r="J214" s="2496">
        <f t="shared" si="28"/>
        <v>1.3017510000000001E-2</v>
      </c>
      <c r="K214" s="2496">
        <f t="shared" si="28"/>
        <v>1.3017510000000001E-2</v>
      </c>
      <c r="L214" s="2496">
        <f t="shared" si="28"/>
        <v>1.3017510000000001E-2</v>
      </c>
      <c r="M214" s="717">
        <f t="shared" si="28"/>
        <v>0</v>
      </c>
      <c r="N214" s="717">
        <f t="shared" si="28"/>
        <v>0</v>
      </c>
      <c r="O214" s="858"/>
    </row>
    <row r="215" spans="1:17" ht="15.5">
      <c r="A215" s="434"/>
      <c r="B215" s="15"/>
      <c r="C215" s="716" t="s">
        <v>440</v>
      </c>
      <c r="D215" s="17" t="str">
        <f>INDEX(Vectors[Description], MATCH($C215, Vectors[Code], 0))</f>
        <v>Wave</v>
      </c>
      <c r="E215" s="716"/>
      <c r="F215" s="717">
        <f t="shared" ref="F215:N215" si="29">-F156</f>
        <v>0</v>
      </c>
      <c r="G215" s="717">
        <f t="shared" si="29"/>
        <v>-3.9627123287671231E-3</v>
      </c>
      <c r="H215" s="717">
        <f t="shared" si="29"/>
        <v>-1.3017510000000001E-2</v>
      </c>
      <c r="I215" s="717">
        <f t="shared" si="29"/>
        <v>-1.3017510000000001E-2</v>
      </c>
      <c r="J215" s="717">
        <f t="shared" si="29"/>
        <v>-1.3017510000000001E-2</v>
      </c>
      <c r="K215" s="717">
        <f t="shared" si="29"/>
        <v>-1.3017510000000001E-2</v>
      </c>
      <c r="L215" s="717">
        <f t="shared" si="29"/>
        <v>-1.3017510000000001E-2</v>
      </c>
      <c r="M215" s="717">
        <f t="shared" si="29"/>
        <v>0</v>
      </c>
      <c r="N215" s="717">
        <f t="shared" si="29"/>
        <v>0</v>
      </c>
      <c r="O215" s="858"/>
    </row>
    <row r="216" spans="1:17" ht="15.5">
      <c r="A216" s="434"/>
      <c r="B216" s="15"/>
      <c r="C216" s="716" t="s">
        <v>439</v>
      </c>
      <c r="D216" s="17" t="str">
        <f>INDEX(Vectors[Description], MATCH($C216, Vectors[Code], 0))</f>
        <v>Tidal</v>
      </c>
      <c r="E216" s="716"/>
      <c r="F216" s="717">
        <f t="shared" ref="F216:N216" si="30">-(F172+F164)</f>
        <v>0</v>
      </c>
      <c r="G216" s="717">
        <f t="shared" si="30"/>
        <v>0</v>
      </c>
      <c r="H216" s="717">
        <f t="shared" si="30"/>
        <v>0</v>
      </c>
      <c r="I216" s="717">
        <f t="shared" si="30"/>
        <v>0</v>
      </c>
      <c r="J216" s="717">
        <f t="shared" si="30"/>
        <v>0</v>
      </c>
      <c r="K216" s="717">
        <f t="shared" si="30"/>
        <v>0</v>
      </c>
      <c r="L216" s="717">
        <f t="shared" si="30"/>
        <v>0</v>
      </c>
      <c r="M216" s="717">
        <f t="shared" si="30"/>
        <v>0</v>
      </c>
      <c r="N216" s="717">
        <f t="shared" si="30"/>
        <v>0</v>
      </c>
      <c r="O216" s="858"/>
    </row>
    <row r="217" spans="1:17" ht="15.5">
      <c r="A217" s="434"/>
      <c r="B217" s="15"/>
      <c r="C217" s="2433" t="s">
        <v>58</v>
      </c>
      <c r="D217" s="2433"/>
      <c r="E217" s="2433"/>
      <c r="F217" s="2434">
        <f>SUBTOTAL(109,III.c.Outputs[2013])</f>
        <v>0</v>
      </c>
      <c r="G217" s="2434">
        <f>SUBTOTAL(109,III.c.Outputs[2015])</f>
        <v>0</v>
      </c>
      <c r="H217" s="2434">
        <f>SUBTOTAL(109,III.c.Outputs[2020])</f>
        <v>0</v>
      </c>
      <c r="I217" s="2434">
        <f>SUBTOTAL(109,III.c.Outputs[2025])</f>
        <v>0</v>
      </c>
      <c r="J217" s="2434">
        <f>SUBTOTAL(109,III.c.Outputs[2030])</f>
        <v>0</v>
      </c>
      <c r="K217" s="2434">
        <f>SUBTOTAL(109,III.c.Outputs[2035])</f>
        <v>0</v>
      </c>
      <c r="L217" s="2434">
        <f>SUBTOTAL(109,III.c.Outputs[2040])</f>
        <v>0</v>
      </c>
      <c r="M217" s="2434">
        <f>SUBTOTAL(109,III.c.Outputs[2045])</f>
        <v>0</v>
      </c>
      <c r="N217" s="2434">
        <f>SUBTOTAL(109,III.c.Outputs[2050])</f>
        <v>0</v>
      </c>
      <c r="O217" s="858"/>
    </row>
    <row r="218" spans="1:17" ht="15.5">
      <c r="A218" s="434"/>
      <c r="B218" s="15"/>
      <c r="C218" s="17"/>
      <c r="D218" s="17"/>
      <c r="E218" s="17"/>
      <c r="F218" s="440"/>
      <c r="G218" s="440"/>
      <c r="H218" s="440"/>
      <c r="I218" s="440"/>
      <c r="J218" s="440"/>
      <c r="K218" s="440"/>
      <c r="L218" s="440"/>
      <c r="M218" s="440"/>
      <c r="N218" s="440"/>
      <c r="O218" s="858"/>
      <c r="P218" s="1068"/>
      <c r="Q218" s="1068"/>
    </row>
    <row r="219" spans="1:17" ht="15.5">
      <c r="A219" s="434"/>
      <c r="B219" s="15"/>
      <c r="C219" s="34" t="s">
        <v>912</v>
      </c>
      <c r="D219" s="17"/>
      <c r="E219" s="17"/>
      <c r="F219" s="440"/>
      <c r="G219" s="440"/>
      <c r="H219" s="440"/>
      <c r="I219" s="440"/>
      <c r="J219" s="440"/>
      <c r="K219" s="440"/>
      <c r="L219" s="440"/>
      <c r="M219" s="440"/>
      <c r="N219" s="440"/>
      <c r="O219" s="858"/>
      <c r="P219" s="1068"/>
      <c r="Q219" s="1068"/>
    </row>
    <row r="220" spans="1:17" ht="15.5">
      <c r="A220" s="434"/>
      <c r="B220" s="15"/>
      <c r="C220" s="17"/>
      <c r="D220" s="17"/>
      <c r="E220" s="17"/>
      <c r="F220" s="440"/>
      <c r="G220" s="440"/>
      <c r="H220" s="440"/>
      <c r="I220" s="440"/>
      <c r="J220" s="440"/>
      <c r="K220" s="440"/>
      <c r="L220" s="440"/>
      <c r="M220" s="440"/>
      <c r="N220" s="507" t="str">
        <f>Preferences.EnergyUnits</f>
        <v>TWh</v>
      </c>
      <c r="O220" s="858"/>
      <c r="P220" s="1068"/>
      <c r="Q220" s="1068"/>
    </row>
    <row r="221" spans="1:17" ht="15.5">
      <c r="A221" s="434"/>
      <c r="B221" s="15"/>
      <c r="C221" s="864" t="s">
        <v>28</v>
      </c>
      <c r="D221" s="864" t="s">
        <v>29</v>
      </c>
      <c r="E221" s="864" t="s">
        <v>30</v>
      </c>
      <c r="F221" s="864" t="s">
        <v>588</v>
      </c>
      <c r="G221" s="864" t="s">
        <v>132</v>
      </c>
      <c r="H221" s="864" t="s">
        <v>133</v>
      </c>
      <c r="I221" s="864" t="s">
        <v>134</v>
      </c>
      <c r="J221" s="864" t="s">
        <v>135</v>
      </c>
      <c r="K221" s="864" t="s">
        <v>136</v>
      </c>
      <c r="L221" s="864" t="s">
        <v>137</v>
      </c>
      <c r="M221" s="864" t="s">
        <v>138</v>
      </c>
      <c r="N221" s="864" t="s">
        <v>139</v>
      </c>
      <c r="O221" s="858"/>
      <c r="P221" s="1068"/>
      <c r="Q221" s="1068"/>
    </row>
    <row r="222" spans="1:17" ht="15.5">
      <c r="A222" s="434"/>
      <c r="B222" s="15"/>
      <c r="C222" s="17" t="s">
        <v>96</v>
      </c>
      <c r="D222" s="17" t="str">
        <f>INDEX(Vectors[Description], MATCH($C222, Vectors[Code], 0))</f>
        <v>Electricity (supplied to grid)</v>
      </c>
      <c r="E222" s="17"/>
      <c r="F222" s="22">
        <f t="shared" ref="F222:N222" si="31">F156</f>
        <v>0</v>
      </c>
      <c r="G222" s="22">
        <f t="shared" si="31"/>
        <v>3.9627123287671231E-3</v>
      </c>
      <c r="H222" s="2497">
        <f t="shared" si="31"/>
        <v>1.3017510000000001E-2</v>
      </c>
      <c r="I222" s="22">
        <f t="shared" si="31"/>
        <v>1.3017510000000001E-2</v>
      </c>
      <c r="J222" s="22">
        <f t="shared" si="31"/>
        <v>1.3017510000000001E-2</v>
      </c>
      <c r="K222" s="22">
        <f t="shared" si="31"/>
        <v>1.3017510000000001E-2</v>
      </c>
      <c r="L222" s="22">
        <f t="shared" si="31"/>
        <v>1.3017510000000001E-2</v>
      </c>
      <c r="M222" s="22">
        <f t="shared" si="31"/>
        <v>0</v>
      </c>
      <c r="N222" s="22">
        <f t="shared" si="31"/>
        <v>0</v>
      </c>
      <c r="O222" s="858"/>
      <c r="P222" s="1068"/>
      <c r="Q222" s="1068"/>
    </row>
    <row r="223" spans="1:17" ht="15.5">
      <c r="A223" s="434"/>
      <c r="B223" s="15"/>
      <c r="C223" s="17" t="s">
        <v>440</v>
      </c>
      <c r="D223" s="17" t="str">
        <f>INDEX(Vectors[Description], MATCH($C223, Vectors[Code], 0))</f>
        <v>Wave</v>
      </c>
      <c r="E223" s="17"/>
      <c r="F223" s="22">
        <f t="shared" ref="F223:N223" si="32">-F156</f>
        <v>0</v>
      </c>
      <c r="G223" s="22">
        <f t="shared" si="32"/>
        <v>-3.9627123287671231E-3</v>
      </c>
      <c r="H223" s="22">
        <f t="shared" si="32"/>
        <v>-1.3017510000000001E-2</v>
      </c>
      <c r="I223" s="22">
        <f t="shared" si="32"/>
        <v>-1.3017510000000001E-2</v>
      </c>
      <c r="J223" s="22">
        <f t="shared" si="32"/>
        <v>-1.3017510000000001E-2</v>
      </c>
      <c r="K223" s="22">
        <f t="shared" si="32"/>
        <v>-1.3017510000000001E-2</v>
      </c>
      <c r="L223" s="22">
        <f t="shared" si="32"/>
        <v>-1.3017510000000001E-2</v>
      </c>
      <c r="M223" s="22">
        <f t="shared" si="32"/>
        <v>0</v>
      </c>
      <c r="N223" s="22">
        <f t="shared" si="32"/>
        <v>0</v>
      </c>
      <c r="O223" s="858"/>
      <c r="P223" s="1068"/>
      <c r="Q223" s="1068"/>
    </row>
    <row r="224" spans="1:17" ht="15.5">
      <c r="A224" s="434"/>
      <c r="B224" s="15"/>
      <c r="C224" s="17" t="s">
        <v>439</v>
      </c>
      <c r="D224" s="17" t="str">
        <f>INDEX(Vectors[Description], MATCH($C224, Vectors[Code], 0))</f>
        <v>Tidal</v>
      </c>
      <c r="E224" s="17"/>
      <c r="F224" s="22">
        <v>0</v>
      </c>
      <c r="G224" s="22">
        <v>0</v>
      </c>
      <c r="H224" s="22">
        <v>0</v>
      </c>
      <c r="I224" s="22">
        <v>0</v>
      </c>
      <c r="J224" s="22">
        <v>0</v>
      </c>
      <c r="K224" s="22">
        <v>0</v>
      </c>
      <c r="L224" s="22">
        <v>0</v>
      </c>
      <c r="M224" s="22">
        <v>0</v>
      </c>
      <c r="N224" s="22">
        <v>0</v>
      </c>
      <c r="O224" s="858"/>
    </row>
    <row r="225" spans="1:17" ht="15.5">
      <c r="A225" s="434"/>
      <c r="B225" s="15"/>
      <c r="C225" s="2432" t="s">
        <v>58</v>
      </c>
      <c r="D225" s="2432"/>
      <c r="E225" s="2432"/>
      <c r="F225" s="2435">
        <f>SUBTOTAL(109,III.c.Wave.Outputs[2013])</f>
        <v>0</v>
      </c>
      <c r="G225" s="2435">
        <f>SUBTOTAL(109,III.c.Wave.Outputs[2015])</f>
        <v>0</v>
      </c>
      <c r="H225" s="2435">
        <f>SUBTOTAL(109,III.c.Wave.Outputs[2020])</f>
        <v>0</v>
      </c>
      <c r="I225" s="2435">
        <f>SUBTOTAL(109,III.c.Wave.Outputs[2025])</f>
        <v>0</v>
      </c>
      <c r="J225" s="2435">
        <f>SUBTOTAL(109,III.c.Wave.Outputs[2030])</f>
        <v>0</v>
      </c>
      <c r="K225" s="2435">
        <f>SUBTOTAL(109,III.c.Wave.Outputs[2035])</f>
        <v>0</v>
      </c>
      <c r="L225" s="2435">
        <f>SUBTOTAL(109,III.c.Wave.Outputs[2040])</f>
        <v>0</v>
      </c>
      <c r="M225" s="2435">
        <f>SUBTOTAL(109,III.c.Wave.Outputs[2045])</f>
        <v>0</v>
      </c>
      <c r="N225" s="2435">
        <f>SUBTOTAL(109,III.c.Wave.Outputs[2050])</f>
        <v>0</v>
      </c>
      <c r="O225" s="858"/>
      <c r="P225" s="1068"/>
      <c r="Q225" s="1068"/>
    </row>
    <row r="226" spans="1:17" ht="15.5">
      <c r="A226" s="434"/>
      <c r="B226" s="15"/>
      <c r="C226" s="17"/>
      <c r="D226" s="17"/>
      <c r="E226" s="17"/>
      <c r="F226" s="440"/>
      <c r="G226" s="440"/>
      <c r="H226" s="440"/>
      <c r="I226" s="440"/>
      <c r="J226" s="440"/>
      <c r="K226" s="440"/>
      <c r="L226" s="440"/>
      <c r="M226" s="440"/>
      <c r="N226" s="440"/>
      <c r="O226" s="858"/>
      <c r="P226" s="1068"/>
      <c r="Q226" s="1068"/>
    </row>
    <row r="227" spans="1:17" ht="15.5">
      <c r="A227" s="434"/>
      <c r="B227" s="15"/>
      <c r="C227" s="34" t="s">
        <v>913</v>
      </c>
      <c r="D227" s="17"/>
      <c r="E227" s="17"/>
      <c r="F227" s="440"/>
      <c r="G227" s="440"/>
      <c r="H227" s="440"/>
      <c r="I227" s="440"/>
      <c r="J227" s="440"/>
      <c r="K227" s="440"/>
      <c r="L227" s="440"/>
      <c r="M227" s="440"/>
      <c r="N227" s="440"/>
      <c r="O227" s="858"/>
      <c r="P227" s="1068"/>
      <c r="Q227" s="1068"/>
    </row>
    <row r="228" spans="1:17" ht="15.5">
      <c r="A228" s="434"/>
      <c r="B228" s="15"/>
      <c r="C228" s="17"/>
      <c r="D228" s="17"/>
      <c r="E228" s="17"/>
      <c r="F228" s="440"/>
      <c r="G228" s="440"/>
      <c r="H228" s="440"/>
      <c r="I228" s="440"/>
      <c r="J228" s="440"/>
      <c r="K228" s="440"/>
      <c r="L228" s="440"/>
      <c r="M228" s="440"/>
      <c r="N228" s="507" t="str">
        <f>Preferences.EnergyUnits</f>
        <v>TWh</v>
      </c>
      <c r="O228" s="858"/>
      <c r="P228" s="1068"/>
      <c r="Q228" s="1068"/>
    </row>
    <row r="229" spans="1:17" ht="15.5">
      <c r="A229" s="434"/>
      <c r="B229" s="15"/>
      <c r="C229" s="864" t="s">
        <v>28</v>
      </c>
      <c r="D229" s="864" t="s">
        <v>29</v>
      </c>
      <c r="E229" s="864" t="s">
        <v>30</v>
      </c>
      <c r="F229" s="864" t="s">
        <v>588</v>
      </c>
      <c r="G229" s="864" t="s">
        <v>132</v>
      </c>
      <c r="H229" s="864" t="s">
        <v>133</v>
      </c>
      <c r="I229" s="864" t="s">
        <v>134</v>
      </c>
      <c r="J229" s="864" t="s">
        <v>135</v>
      </c>
      <c r="K229" s="864" t="s">
        <v>136</v>
      </c>
      <c r="L229" s="864" t="s">
        <v>137</v>
      </c>
      <c r="M229" s="864" t="s">
        <v>138</v>
      </c>
      <c r="N229" s="864" t="s">
        <v>139</v>
      </c>
      <c r="O229" s="858"/>
      <c r="P229" s="1068"/>
      <c r="Q229" s="1068"/>
    </row>
    <row r="230" spans="1:17" ht="15.5">
      <c r="A230" s="434"/>
      <c r="B230" s="15"/>
      <c r="C230" s="17" t="s">
        <v>96</v>
      </c>
      <c r="D230" s="17" t="str">
        <f>INDEX(Vectors[Description], MATCH($C230, Vectors[Code], 0))</f>
        <v>Electricity (supplied to grid)</v>
      </c>
      <c r="E230" s="17"/>
      <c r="F230" s="22">
        <f t="shared" ref="F230:N230" si="33">F164</f>
        <v>0</v>
      </c>
      <c r="G230" s="22">
        <f t="shared" si="33"/>
        <v>0</v>
      </c>
      <c r="H230" s="22">
        <f t="shared" si="33"/>
        <v>0</v>
      </c>
      <c r="I230" s="22">
        <f t="shared" si="33"/>
        <v>0</v>
      </c>
      <c r="J230" s="22">
        <f t="shared" si="33"/>
        <v>0</v>
      </c>
      <c r="K230" s="22">
        <f t="shared" si="33"/>
        <v>0</v>
      </c>
      <c r="L230" s="22">
        <f t="shared" si="33"/>
        <v>0</v>
      </c>
      <c r="M230" s="22">
        <f t="shared" si="33"/>
        <v>0</v>
      </c>
      <c r="N230" s="22">
        <f t="shared" si="33"/>
        <v>0</v>
      </c>
      <c r="O230" s="858"/>
    </row>
    <row r="231" spans="1:17" ht="15.5">
      <c r="A231" s="434"/>
      <c r="B231" s="15"/>
      <c r="C231" s="17" t="s">
        <v>440</v>
      </c>
      <c r="D231" s="17" t="str">
        <f>INDEX(Vectors[Description], MATCH($C231, Vectors[Code], 0))</f>
        <v>Wave</v>
      </c>
      <c r="E231" s="17"/>
      <c r="F231" s="22">
        <v>0</v>
      </c>
      <c r="G231" s="22">
        <v>0</v>
      </c>
      <c r="H231" s="22">
        <v>0</v>
      </c>
      <c r="I231" s="22">
        <v>0</v>
      </c>
      <c r="J231" s="22">
        <v>0</v>
      </c>
      <c r="K231" s="22">
        <v>0</v>
      </c>
      <c r="L231" s="22">
        <v>0</v>
      </c>
      <c r="M231" s="22">
        <v>0</v>
      </c>
      <c r="N231" s="22">
        <v>0</v>
      </c>
      <c r="O231" s="858"/>
    </row>
    <row r="232" spans="1:17" ht="15.5">
      <c r="A232" s="434"/>
      <c r="B232" s="15"/>
      <c r="C232" s="17" t="s">
        <v>439</v>
      </c>
      <c r="D232" s="17" t="str">
        <f>INDEX(Vectors[Description], MATCH($C232, Vectors[Code], 0))</f>
        <v>Tidal</v>
      </c>
      <c r="E232" s="17"/>
      <c r="F232" s="22">
        <f t="shared" ref="F232:N232" si="34">-F164</f>
        <v>0</v>
      </c>
      <c r="G232" s="22">
        <f t="shared" si="34"/>
        <v>0</v>
      </c>
      <c r="H232" s="22">
        <f t="shared" si="34"/>
        <v>0</v>
      </c>
      <c r="I232" s="22">
        <f t="shared" si="34"/>
        <v>0</v>
      </c>
      <c r="J232" s="22">
        <f t="shared" si="34"/>
        <v>0</v>
      </c>
      <c r="K232" s="22">
        <f t="shared" si="34"/>
        <v>0</v>
      </c>
      <c r="L232" s="22">
        <f t="shared" si="34"/>
        <v>0</v>
      </c>
      <c r="M232" s="22">
        <f t="shared" si="34"/>
        <v>0</v>
      </c>
      <c r="N232" s="22">
        <f t="shared" si="34"/>
        <v>0</v>
      </c>
      <c r="O232" s="858"/>
    </row>
    <row r="233" spans="1:17" ht="15.5">
      <c r="A233" s="434"/>
      <c r="B233" s="15"/>
      <c r="C233" s="2432" t="s">
        <v>58</v>
      </c>
      <c r="D233" s="2432"/>
      <c r="E233" s="2432"/>
      <c r="F233" s="2435">
        <f>SUBTOTAL(109,III.c.TidalStream.Outputs[2013])</f>
        <v>0</v>
      </c>
      <c r="G233" s="2435">
        <f>SUBTOTAL(109,III.c.TidalStream.Outputs[2015])</f>
        <v>0</v>
      </c>
      <c r="H233" s="2435">
        <f>SUBTOTAL(109,III.c.TidalStream.Outputs[2020])</f>
        <v>0</v>
      </c>
      <c r="I233" s="2435">
        <f>SUBTOTAL(109,III.c.TidalStream.Outputs[2025])</f>
        <v>0</v>
      </c>
      <c r="J233" s="2435">
        <f>SUBTOTAL(109,III.c.TidalStream.Outputs[2030])</f>
        <v>0</v>
      </c>
      <c r="K233" s="2435">
        <f>SUBTOTAL(109,III.c.TidalStream.Outputs[2035])</f>
        <v>0</v>
      </c>
      <c r="L233" s="2435">
        <f>SUBTOTAL(109,III.c.TidalStream.Outputs[2040])</f>
        <v>0</v>
      </c>
      <c r="M233" s="2435">
        <f>SUBTOTAL(109,III.c.TidalStream.Outputs[2045])</f>
        <v>0</v>
      </c>
      <c r="N233" s="2435">
        <f>SUBTOTAL(109,III.c.TidalStream.Outputs[2050])</f>
        <v>0</v>
      </c>
      <c r="O233" s="858"/>
    </row>
    <row r="234" spans="1:17" ht="15.5">
      <c r="A234" s="434"/>
      <c r="B234" s="15"/>
      <c r="C234" s="17"/>
      <c r="D234" s="17"/>
      <c r="E234" s="17"/>
      <c r="F234" s="440"/>
      <c r="G234" s="440"/>
      <c r="H234" s="440"/>
      <c r="I234" s="440"/>
      <c r="J234" s="440"/>
      <c r="K234" s="440"/>
      <c r="L234" s="440"/>
      <c r="M234" s="440"/>
      <c r="N234" s="440"/>
      <c r="O234" s="858"/>
    </row>
    <row r="235" spans="1:17" ht="15.5">
      <c r="A235" s="434"/>
      <c r="B235" s="15"/>
      <c r="C235" s="34" t="s">
        <v>914</v>
      </c>
      <c r="D235" s="17"/>
      <c r="E235" s="17"/>
      <c r="F235" s="440"/>
      <c r="G235" s="440"/>
      <c r="H235" s="440"/>
      <c r="I235" s="440"/>
      <c r="J235" s="440"/>
      <c r="K235" s="440"/>
      <c r="L235" s="440"/>
      <c r="M235" s="440"/>
      <c r="N235" s="507" t="str">
        <f>Preferences.EnergyUnits</f>
        <v>TWh</v>
      </c>
      <c r="O235" s="858"/>
    </row>
    <row r="236" spans="1:17" ht="15.5">
      <c r="B236" s="15"/>
      <c r="C236" s="17"/>
      <c r="D236" s="17"/>
      <c r="E236" s="17"/>
      <c r="F236" s="440"/>
      <c r="G236" s="440"/>
      <c r="H236" s="440"/>
      <c r="I236" s="440"/>
      <c r="J236" s="440"/>
      <c r="K236" s="440"/>
      <c r="L236" s="440"/>
      <c r="M236" s="440"/>
      <c r="N236" s="440"/>
      <c r="O236" s="858"/>
    </row>
    <row r="237" spans="1:17" ht="15.5">
      <c r="B237" s="15"/>
      <c r="C237" s="864" t="s">
        <v>28</v>
      </c>
      <c r="D237" s="864" t="s">
        <v>29</v>
      </c>
      <c r="E237" s="864" t="s">
        <v>30</v>
      </c>
      <c r="F237" s="864" t="s">
        <v>588</v>
      </c>
      <c r="G237" s="864" t="s">
        <v>132</v>
      </c>
      <c r="H237" s="864" t="s">
        <v>133</v>
      </c>
      <c r="I237" s="864" t="s">
        <v>134</v>
      </c>
      <c r="J237" s="864" t="s">
        <v>135</v>
      </c>
      <c r="K237" s="864" t="s">
        <v>136</v>
      </c>
      <c r="L237" s="864" t="s">
        <v>137</v>
      </c>
      <c r="M237" s="864" t="s">
        <v>138</v>
      </c>
      <c r="N237" s="864" t="s">
        <v>139</v>
      </c>
      <c r="O237" s="858"/>
    </row>
    <row r="238" spans="1:17" ht="15.5">
      <c r="A238" s="434"/>
      <c r="B238" s="15"/>
      <c r="C238" s="17" t="s">
        <v>96</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58"/>
    </row>
    <row r="239" spans="1:17" ht="15.5">
      <c r="B239" s="15"/>
      <c r="C239" s="17" t="s">
        <v>440</v>
      </c>
      <c r="D239" s="17" t="str">
        <f>INDEX(Vectors[Description], MATCH($C239, Vectors[Code], 0))</f>
        <v>Wave</v>
      </c>
      <c r="E239" s="17"/>
      <c r="F239" s="22">
        <v>0</v>
      </c>
      <c r="G239" s="22">
        <v>0</v>
      </c>
      <c r="H239" s="22">
        <v>0</v>
      </c>
      <c r="I239" s="22">
        <v>0</v>
      </c>
      <c r="J239" s="22">
        <v>0</v>
      </c>
      <c r="K239" s="22">
        <v>0</v>
      </c>
      <c r="L239" s="22">
        <v>0</v>
      </c>
      <c r="M239" s="22">
        <v>0</v>
      </c>
      <c r="N239" s="22">
        <v>0</v>
      </c>
      <c r="O239" s="858"/>
    </row>
    <row r="240" spans="1:17" ht="15.5">
      <c r="B240" s="15"/>
      <c r="C240" s="17" t="s">
        <v>439</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58"/>
    </row>
    <row r="241" spans="2:15" ht="15.5">
      <c r="B241" s="15"/>
      <c r="C241" s="2432" t="s">
        <v>58</v>
      </c>
      <c r="D241" s="2432"/>
      <c r="E241" s="2432"/>
      <c r="F241" s="2435">
        <f>SUBTOTAL(109,III.c.TidalRange.Outputs[2013])</f>
        <v>0</v>
      </c>
      <c r="G241" s="2435">
        <f>SUBTOTAL(109,III.c.TidalRange.Outputs[2015])</f>
        <v>0</v>
      </c>
      <c r="H241" s="2435">
        <f>SUBTOTAL(109,III.c.TidalRange.Outputs[2020])</f>
        <v>0</v>
      </c>
      <c r="I241" s="2435">
        <f>SUBTOTAL(109,III.c.TidalRange.Outputs[2025])</f>
        <v>0</v>
      </c>
      <c r="J241" s="2435">
        <f>SUBTOTAL(109,III.c.TidalRange.Outputs[2030])</f>
        <v>0</v>
      </c>
      <c r="K241" s="2435">
        <f>SUBTOTAL(109,III.c.TidalRange.Outputs[2035])</f>
        <v>0</v>
      </c>
      <c r="L241" s="2435">
        <f>SUBTOTAL(109,III.c.TidalRange.Outputs[2040])</f>
        <v>0</v>
      </c>
      <c r="M241" s="2435">
        <f>SUBTOTAL(109,III.c.TidalRange.Outputs[2045])</f>
        <v>0</v>
      </c>
      <c r="N241" s="2435">
        <f>SUBTOTAL(109,III.c.TidalRange.Outputs[2050])</f>
        <v>0</v>
      </c>
      <c r="O241" s="858"/>
    </row>
    <row r="242" spans="2:15" ht="15.5">
      <c r="B242" s="15"/>
      <c r="C242" s="443"/>
      <c r="D242" s="443"/>
      <c r="E242" s="443"/>
      <c r="F242" s="443"/>
      <c r="G242" s="443"/>
      <c r="H242" s="443"/>
      <c r="I242" s="443"/>
      <c r="J242" s="443"/>
      <c r="K242" s="443"/>
      <c r="L242" s="443"/>
      <c r="M242" s="443"/>
      <c r="N242" s="443"/>
      <c r="O242" s="858"/>
    </row>
    <row r="243" spans="2:15">
      <c r="D243" s="2473" t="s">
        <v>5</v>
      </c>
      <c r="E243" t="s">
        <v>5</v>
      </c>
    </row>
    <row r="244" spans="2:15" ht="15">
      <c r="B244" s="986" t="s">
        <v>5</v>
      </c>
      <c r="C244" s="987"/>
      <c r="D244" s="988"/>
      <c r="E244" s="988"/>
      <c r="F244" s="988"/>
      <c r="G244" s="988"/>
      <c r="H244" s="988"/>
      <c r="I244" s="988"/>
      <c r="J244" s="988"/>
      <c r="K244" s="988"/>
      <c r="L244" s="988"/>
      <c r="M244" s="988"/>
      <c r="N244" s="988"/>
      <c r="O244" s="988"/>
    </row>
    <row r="245" spans="2:15">
      <c r="B245" s="990"/>
      <c r="C245" s="991"/>
      <c r="D245" s="991"/>
      <c r="E245" s="991"/>
      <c r="F245" s="991"/>
      <c r="G245" s="991"/>
      <c r="H245" s="991"/>
      <c r="I245" s="991"/>
      <c r="J245" s="991"/>
      <c r="K245" s="991"/>
      <c r="L245" s="991"/>
      <c r="M245" s="991"/>
      <c r="N245" s="991"/>
      <c r="O245" s="991"/>
    </row>
    <row r="246" spans="2:15">
      <c r="B246" s="993"/>
      <c r="C246" s="479" t="s">
        <v>915</v>
      </c>
      <c r="D246" s="994"/>
      <c r="E246" s="995"/>
      <c r="F246" s="994"/>
      <c r="G246" s="994"/>
      <c r="H246" s="994"/>
      <c r="I246" s="994"/>
      <c r="J246" s="994"/>
      <c r="K246" s="994"/>
      <c r="L246" s="994"/>
      <c r="M246" s="994"/>
      <c r="N246" s="995"/>
      <c r="O246" s="994"/>
    </row>
    <row r="247" spans="2:15">
      <c r="B247" s="993"/>
      <c r="C247" s="994"/>
      <c r="D247" s="994"/>
      <c r="E247" s="994"/>
      <c r="F247" s="994"/>
      <c r="G247" s="994"/>
      <c r="H247" s="994"/>
      <c r="I247" s="994"/>
      <c r="J247" s="994"/>
      <c r="K247" s="994"/>
      <c r="L247" s="994"/>
      <c r="M247" s="994"/>
      <c r="N247" s="994"/>
      <c r="O247" s="994"/>
    </row>
    <row r="248" spans="2:15" ht="15.5">
      <c r="B248" s="483"/>
      <c r="C248" s="997" t="s">
        <v>28</v>
      </c>
      <c r="D248" s="997" t="s">
        <v>312</v>
      </c>
      <c r="E248" s="997" t="s">
        <v>30</v>
      </c>
      <c r="F248" s="997" t="s">
        <v>588</v>
      </c>
      <c r="G248" s="997" t="s">
        <v>132</v>
      </c>
      <c r="H248" s="997" t="s">
        <v>133</v>
      </c>
      <c r="I248" s="997" t="s">
        <v>134</v>
      </c>
      <c r="J248" s="997" t="s">
        <v>135</v>
      </c>
      <c r="K248" s="997" t="s">
        <v>136</v>
      </c>
      <c r="L248" s="997" t="s">
        <v>137</v>
      </c>
      <c r="M248" s="997" t="s">
        <v>138</v>
      </c>
      <c r="N248" s="997" t="s">
        <v>139</v>
      </c>
      <c r="O248" s="994"/>
    </row>
    <row r="249" spans="2:15" ht="15.5">
      <c r="B249" s="483"/>
      <c r="C249" s="998" t="s">
        <v>916</v>
      </c>
      <c r="D249" s="998" t="s">
        <v>917</v>
      </c>
      <c r="E249" s="485" t="str">
        <f>Preferences.AreaUnits</f>
        <v>km^2</v>
      </c>
      <c r="F249" s="999">
        <f t="shared" ref="F249:N249" si="37">F178</f>
        <v>0</v>
      </c>
      <c r="G249" s="999">
        <f t="shared" si="37"/>
        <v>2.6435952895938475E-2</v>
      </c>
      <c r="H249" s="999">
        <f t="shared" si="37"/>
        <v>8.6842105263157901E-2</v>
      </c>
      <c r="I249" s="999">
        <f t="shared" si="37"/>
        <v>8.6842105263157901E-2</v>
      </c>
      <c r="J249" s="999">
        <f t="shared" si="37"/>
        <v>8.6842105263157901E-2</v>
      </c>
      <c r="K249" s="999">
        <f t="shared" si="37"/>
        <v>8.6842105263157901E-2</v>
      </c>
      <c r="L249" s="999">
        <f t="shared" si="37"/>
        <v>8.6842105263157901E-2</v>
      </c>
      <c r="M249" s="999">
        <f t="shared" si="37"/>
        <v>0</v>
      </c>
      <c r="N249" s="999">
        <f t="shared" si="37"/>
        <v>0</v>
      </c>
      <c r="O249" s="994"/>
    </row>
    <row r="250" spans="2:15" ht="15.5">
      <c r="B250" s="483"/>
      <c r="C250" s="998" t="s">
        <v>748</v>
      </c>
      <c r="D250" s="485" t="str">
        <f>INDEX(Vectors[Description], MATCH($C250, Vectors[Code], 0))</f>
        <v xml:space="preserve">Installed Capacity </v>
      </c>
      <c r="E250" s="485" t="str">
        <f>Preferences.PowerUnits</f>
        <v>GW</v>
      </c>
      <c r="F250" s="999">
        <f t="shared" ref="F250:N250" si="38">F151</f>
        <v>0</v>
      </c>
      <c r="G250" s="999">
        <f t="shared" si="38"/>
        <v>1.5220700152207001E-3</v>
      </c>
      <c r="H250" s="999">
        <f t="shared" si="38"/>
        <v>5.0000000000000001E-3</v>
      </c>
      <c r="I250" s="999">
        <f t="shared" si="38"/>
        <v>5.0000000000000001E-3</v>
      </c>
      <c r="J250" s="999">
        <f t="shared" si="38"/>
        <v>5.0000000000000001E-3</v>
      </c>
      <c r="K250" s="999">
        <f t="shared" si="38"/>
        <v>5.0000000000000001E-3</v>
      </c>
      <c r="L250" s="999">
        <f t="shared" si="38"/>
        <v>5.0000000000000001E-3</v>
      </c>
      <c r="M250" s="999">
        <f t="shared" si="38"/>
        <v>0</v>
      </c>
      <c r="N250" s="999">
        <f t="shared" si="38"/>
        <v>0</v>
      </c>
      <c r="O250" s="994"/>
    </row>
    <row r="251" spans="2:15" ht="15.5">
      <c r="B251" s="483"/>
      <c r="C251" s="998" t="s">
        <v>313</v>
      </c>
      <c r="D251" s="485" t="s">
        <v>900</v>
      </c>
      <c r="E251" s="998" t="s">
        <v>741</v>
      </c>
      <c r="F251" s="1184">
        <f t="shared" ref="F251:N251" si="39">F177</f>
        <v>0</v>
      </c>
      <c r="G251" s="487">
        <f t="shared" si="39"/>
        <v>1.0147133434804667</v>
      </c>
      <c r="H251" s="487">
        <f t="shared" si="39"/>
        <v>3.3333333333333335</v>
      </c>
      <c r="I251" s="487">
        <f t="shared" si="39"/>
        <v>3.3333333333333335</v>
      </c>
      <c r="J251" s="487">
        <f t="shared" si="39"/>
        <v>3.3333333333333335</v>
      </c>
      <c r="K251" s="487">
        <f t="shared" si="39"/>
        <v>3.3333333333333335</v>
      </c>
      <c r="L251" s="487">
        <f t="shared" si="39"/>
        <v>3.3333333333333335</v>
      </c>
      <c r="M251" s="487">
        <f t="shared" si="39"/>
        <v>0</v>
      </c>
      <c r="N251" s="487">
        <f t="shared" si="39"/>
        <v>0</v>
      </c>
      <c r="O251" s="994"/>
    </row>
    <row r="252" spans="2:15" ht="15.5">
      <c r="B252" s="483"/>
      <c r="C252" s="994"/>
      <c r="D252" s="994"/>
      <c r="E252" s="994"/>
      <c r="F252" s="994"/>
      <c r="G252" s="994"/>
      <c r="H252" s="994"/>
      <c r="I252" s="994"/>
      <c r="J252" s="994"/>
      <c r="K252" s="994"/>
      <c r="L252" s="994"/>
      <c r="M252" s="994"/>
      <c r="N252" s="994"/>
      <c r="O252" s="994"/>
    </row>
    <row r="253" spans="2:15">
      <c r="B253" s="993"/>
      <c r="C253" s="479" t="s">
        <v>918</v>
      </c>
      <c r="D253" s="994"/>
      <c r="E253" s="995"/>
      <c r="F253" s="994"/>
      <c r="G253" s="994"/>
      <c r="H253" s="994"/>
      <c r="I253" s="994"/>
      <c r="J253" s="994"/>
      <c r="K253" s="994"/>
      <c r="L253" s="994"/>
      <c r="M253" s="994"/>
      <c r="N253" s="995"/>
      <c r="O253" s="994"/>
    </row>
    <row r="254" spans="2:15">
      <c r="B254" s="993"/>
      <c r="C254" s="994"/>
      <c r="D254" s="994"/>
      <c r="E254" s="994"/>
      <c r="F254" s="994"/>
      <c r="G254" s="994"/>
      <c r="H254" s="994"/>
      <c r="I254" s="994"/>
      <c r="J254" s="994"/>
      <c r="K254" s="994"/>
      <c r="L254" s="994"/>
      <c r="M254" s="994"/>
      <c r="N254" s="994"/>
      <c r="O254" s="994"/>
    </row>
    <row r="255" spans="2:15" ht="15.5">
      <c r="B255" s="483"/>
      <c r="C255" s="997" t="s">
        <v>28</v>
      </c>
      <c r="D255" s="997" t="s">
        <v>312</v>
      </c>
      <c r="E255" s="997" t="s">
        <v>30</v>
      </c>
      <c r="F255" s="997" t="s">
        <v>588</v>
      </c>
      <c r="G255" s="997" t="s">
        <v>132</v>
      </c>
      <c r="H255" s="997" t="s">
        <v>133</v>
      </c>
      <c r="I255" s="997" t="s">
        <v>134</v>
      </c>
      <c r="J255" s="997" t="s">
        <v>135</v>
      </c>
      <c r="K255" s="997" t="s">
        <v>136</v>
      </c>
      <c r="L255" s="997" t="s">
        <v>137</v>
      </c>
      <c r="M255" s="997" t="s">
        <v>138</v>
      </c>
      <c r="N255" s="997" t="s">
        <v>139</v>
      </c>
      <c r="O255" s="994"/>
    </row>
    <row r="256" spans="2:15" ht="15.5">
      <c r="B256" s="483"/>
      <c r="C256" s="998" t="s">
        <v>859</v>
      </c>
      <c r="D256" s="998" t="s">
        <v>919</v>
      </c>
      <c r="E256" s="485" t="str">
        <f>Preferences.AreaUnits</f>
        <v>km^2</v>
      </c>
      <c r="F256" s="999">
        <f t="shared" ref="F256:N256" si="40">F184</f>
        <v>0</v>
      </c>
      <c r="G256" s="999">
        <f t="shared" si="40"/>
        <v>0</v>
      </c>
      <c r="H256" s="999">
        <f t="shared" si="40"/>
        <v>0</v>
      </c>
      <c r="I256" s="999">
        <f t="shared" si="40"/>
        <v>0</v>
      </c>
      <c r="J256" s="999">
        <f t="shared" si="40"/>
        <v>0</v>
      </c>
      <c r="K256" s="999">
        <f t="shared" si="40"/>
        <v>0</v>
      </c>
      <c r="L256" s="999">
        <f t="shared" si="40"/>
        <v>0</v>
      </c>
      <c r="M256" s="999">
        <f t="shared" si="40"/>
        <v>0</v>
      </c>
      <c r="N256" s="999">
        <f t="shared" si="40"/>
        <v>0</v>
      </c>
      <c r="O256" s="994"/>
    </row>
    <row r="257" spans="2:15" ht="15.5">
      <c r="B257" s="483"/>
      <c r="C257" s="998" t="s">
        <v>748</v>
      </c>
      <c r="D257" s="485" t="str">
        <f>INDEX(Vectors[Description], MATCH($C257, Vectors[Code], 0))</f>
        <v xml:space="preserve">Installed Capacity </v>
      </c>
      <c r="E257" s="485" t="str">
        <f>Preferences.PowerUnits</f>
        <v>GW</v>
      </c>
      <c r="F257" s="999">
        <f t="shared" ref="F257:N257" si="41">F159</f>
        <v>0</v>
      </c>
      <c r="G257" s="999">
        <f t="shared" si="41"/>
        <v>0</v>
      </c>
      <c r="H257" s="999">
        <f t="shared" si="41"/>
        <v>0</v>
      </c>
      <c r="I257" s="999">
        <f t="shared" si="41"/>
        <v>0</v>
      </c>
      <c r="J257" s="999">
        <f t="shared" si="41"/>
        <v>0</v>
      </c>
      <c r="K257" s="999">
        <f t="shared" si="41"/>
        <v>0</v>
      </c>
      <c r="L257" s="999">
        <f t="shared" si="41"/>
        <v>0</v>
      </c>
      <c r="M257" s="999">
        <f t="shared" si="41"/>
        <v>0</v>
      </c>
      <c r="N257" s="999">
        <f t="shared" si="41"/>
        <v>0</v>
      </c>
      <c r="O257" s="994"/>
    </row>
    <row r="258" spans="2:15" ht="15.5">
      <c r="B258" s="483"/>
      <c r="C258" s="998" t="s">
        <v>313</v>
      </c>
      <c r="D258" s="998" t="s">
        <v>920</v>
      </c>
      <c r="E258" s="998" t="s">
        <v>741</v>
      </c>
      <c r="F258" s="1184">
        <f t="shared" ref="F258:N258" si="42">F183</f>
        <v>0</v>
      </c>
      <c r="G258" s="1184">
        <f t="shared" si="42"/>
        <v>0</v>
      </c>
      <c r="H258" s="1184">
        <f t="shared" si="42"/>
        <v>0</v>
      </c>
      <c r="I258" s="1184">
        <f t="shared" si="42"/>
        <v>0</v>
      </c>
      <c r="J258" s="1184">
        <f t="shared" si="42"/>
        <v>0</v>
      </c>
      <c r="K258" s="1184">
        <f t="shared" si="42"/>
        <v>0</v>
      </c>
      <c r="L258" s="1184">
        <f t="shared" si="42"/>
        <v>0</v>
      </c>
      <c r="M258" s="1184">
        <f t="shared" si="42"/>
        <v>0</v>
      </c>
      <c r="N258" s="1184">
        <f t="shared" si="42"/>
        <v>0</v>
      </c>
      <c r="O258" s="994"/>
    </row>
    <row r="259" spans="2:15">
      <c r="B259" s="993"/>
      <c r="C259" s="479"/>
      <c r="D259" s="994"/>
      <c r="E259" s="995"/>
      <c r="F259" s="994"/>
      <c r="G259" s="994"/>
      <c r="H259" s="994"/>
      <c r="I259" s="994"/>
      <c r="J259" s="994"/>
      <c r="K259" s="994"/>
      <c r="L259" s="994"/>
      <c r="M259" s="994"/>
      <c r="N259" s="995"/>
      <c r="O259" s="994"/>
    </row>
    <row r="260" spans="2:15" s="2473" customFormat="1">
      <c r="B260" s="993"/>
      <c r="C260" s="479" t="s">
        <v>921</v>
      </c>
      <c r="D260" s="994"/>
      <c r="E260" s="995"/>
      <c r="F260" s="994"/>
      <c r="G260" s="994"/>
      <c r="H260" s="994"/>
      <c r="I260" s="994"/>
      <c r="J260" s="994"/>
      <c r="K260" s="994"/>
      <c r="L260" s="994"/>
      <c r="M260" s="994"/>
      <c r="N260" s="995"/>
      <c r="O260" s="994"/>
    </row>
    <row r="261" spans="2:15">
      <c r="B261" s="993"/>
      <c r="C261" s="994"/>
      <c r="D261" s="994"/>
      <c r="E261" s="994"/>
      <c r="F261" s="994"/>
      <c r="G261" s="994"/>
      <c r="H261" s="994"/>
      <c r="I261" s="994"/>
      <c r="J261" s="994"/>
      <c r="K261" s="994"/>
      <c r="L261" s="994"/>
      <c r="M261" s="994"/>
      <c r="N261" s="994"/>
      <c r="O261" s="994"/>
    </row>
    <row r="262" spans="2:15" ht="15.5">
      <c r="B262" s="483"/>
      <c r="C262" s="997" t="s">
        <v>28</v>
      </c>
      <c r="D262" s="997" t="s">
        <v>312</v>
      </c>
      <c r="E262" s="997" t="s">
        <v>30</v>
      </c>
      <c r="F262" s="997" t="s">
        <v>588</v>
      </c>
      <c r="G262" s="997" t="s">
        <v>132</v>
      </c>
      <c r="H262" s="997" t="s">
        <v>133</v>
      </c>
      <c r="I262" s="997" t="s">
        <v>134</v>
      </c>
      <c r="J262" s="997" t="s">
        <v>135</v>
      </c>
      <c r="K262" s="997" t="s">
        <v>136</v>
      </c>
      <c r="L262" s="997" t="s">
        <v>137</v>
      </c>
      <c r="M262" s="997" t="s">
        <v>138</v>
      </c>
      <c r="N262" s="997" t="s">
        <v>139</v>
      </c>
      <c r="O262" s="994"/>
    </row>
    <row r="263" spans="2:15" ht="15.5">
      <c r="B263" s="483"/>
      <c r="C263" s="998" t="s">
        <v>859</v>
      </c>
      <c r="D263" s="998" t="s">
        <v>922</v>
      </c>
      <c r="E263" s="485" t="str">
        <f>Preferences.AreaUnits</f>
        <v>km^2</v>
      </c>
      <c r="F263" s="999">
        <f t="shared" ref="F263:N263" si="43">F190</f>
        <v>0</v>
      </c>
      <c r="G263" s="999">
        <f t="shared" si="43"/>
        <v>0</v>
      </c>
      <c r="H263" s="999">
        <f t="shared" si="43"/>
        <v>0</v>
      </c>
      <c r="I263" s="999">
        <f t="shared" si="43"/>
        <v>0</v>
      </c>
      <c r="J263" s="999">
        <f t="shared" si="43"/>
        <v>0</v>
      </c>
      <c r="K263" s="999">
        <f t="shared" si="43"/>
        <v>0</v>
      </c>
      <c r="L263" s="999">
        <f t="shared" si="43"/>
        <v>0</v>
      </c>
      <c r="M263" s="999">
        <f t="shared" si="43"/>
        <v>0</v>
      </c>
      <c r="N263" s="999">
        <f t="shared" si="43"/>
        <v>0</v>
      </c>
      <c r="O263" s="994"/>
    </row>
    <row r="264" spans="2:15" ht="15.5">
      <c r="B264" s="483"/>
      <c r="C264" s="998" t="s">
        <v>748</v>
      </c>
      <c r="D264" s="485" t="str">
        <f>INDEX(Vectors[Description], MATCH($C264, Vectors[Code], 0))</f>
        <v xml:space="preserve">Installed Capacity </v>
      </c>
      <c r="E264" s="485" t="str">
        <f>Preferences.PowerUnits</f>
        <v>GW</v>
      </c>
      <c r="F264" s="999">
        <f t="shared" ref="F264:N264" si="44">F167</f>
        <v>0</v>
      </c>
      <c r="G264" s="999">
        <f t="shared" si="44"/>
        <v>0</v>
      </c>
      <c r="H264" s="999">
        <f t="shared" si="44"/>
        <v>0</v>
      </c>
      <c r="I264" s="999">
        <f t="shared" si="44"/>
        <v>0</v>
      </c>
      <c r="J264" s="999">
        <f t="shared" si="44"/>
        <v>0</v>
      </c>
      <c r="K264" s="999">
        <f t="shared" si="44"/>
        <v>0</v>
      </c>
      <c r="L264" s="999">
        <f t="shared" si="44"/>
        <v>0</v>
      </c>
      <c r="M264" s="999">
        <f t="shared" si="44"/>
        <v>0</v>
      </c>
      <c r="N264" s="999">
        <f t="shared" si="44"/>
        <v>0</v>
      </c>
      <c r="O264" s="994"/>
    </row>
    <row r="265" spans="2:15" ht="15.5">
      <c r="B265" s="483"/>
      <c r="C265" s="998" t="s">
        <v>313</v>
      </c>
      <c r="D265" s="998" t="s">
        <v>923</v>
      </c>
      <c r="E265" s="998" t="s">
        <v>741</v>
      </c>
      <c r="F265" s="1184">
        <f t="shared" ref="F265:N265" si="45">F189</f>
        <v>0</v>
      </c>
      <c r="G265" s="1184">
        <f t="shared" si="45"/>
        <v>0</v>
      </c>
      <c r="H265" s="1184">
        <f t="shared" si="45"/>
        <v>0</v>
      </c>
      <c r="I265" s="1184">
        <f t="shared" si="45"/>
        <v>0</v>
      </c>
      <c r="J265" s="1184">
        <f t="shared" si="45"/>
        <v>0</v>
      </c>
      <c r="K265" s="1184">
        <f t="shared" si="45"/>
        <v>0</v>
      </c>
      <c r="L265" s="1184">
        <f t="shared" si="45"/>
        <v>0</v>
      </c>
      <c r="M265" s="1184">
        <f t="shared" si="45"/>
        <v>0</v>
      </c>
      <c r="N265" s="1184">
        <f t="shared" si="45"/>
        <v>0</v>
      </c>
      <c r="O265" s="994"/>
    </row>
    <row r="266" spans="2:15" ht="15.5">
      <c r="B266" s="488"/>
      <c r="C266" s="1001"/>
      <c r="D266" s="1001"/>
      <c r="E266" s="1001"/>
      <c r="F266" s="1001"/>
      <c r="G266" s="1001"/>
      <c r="H266" s="1001"/>
      <c r="I266" s="1001"/>
      <c r="J266" s="1001"/>
      <c r="K266" s="1001"/>
      <c r="L266" s="1001"/>
      <c r="M266" s="1001"/>
      <c r="N266" s="1001"/>
      <c r="O266" s="994"/>
    </row>
    <row r="267" spans="2:15">
      <c r="F267" t="s">
        <v>5</v>
      </c>
    </row>
    <row r="268" spans="2:15" ht="15">
      <c r="B268" s="986" t="s">
        <v>2720</v>
      </c>
      <c r="C268" s="988"/>
      <c r="D268" s="988"/>
      <c r="E268" s="988"/>
      <c r="F268" s="988"/>
      <c r="G268" s="988"/>
      <c r="H268" s="988"/>
      <c r="I268" s="988"/>
      <c r="J268" s="988"/>
      <c r="K268" s="988"/>
      <c r="L268" s="988"/>
      <c r="M268" s="988"/>
      <c r="N268" s="988"/>
      <c r="O268" s="988"/>
    </row>
    <row r="269" spans="2:15" hidden="1">
      <c r="B269" s="993"/>
      <c r="C269" s="994"/>
      <c r="D269" s="994"/>
      <c r="E269" s="994"/>
      <c r="F269" s="994"/>
      <c r="G269" s="994"/>
      <c r="H269" s="994"/>
      <c r="I269" s="994"/>
      <c r="J269" s="994"/>
      <c r="K269" s="994"/>
      <c r="L269" s="994"/>
      <c r="M269" s="994"/>
      <c r="N269" s="994"/>
      <c r="O269" s="994"/>
    </row>
    <row r="270" spans="2:15" ht="15.5" hidden="1">
      <c r="B270" s="483"/>
      <c r="C270" s="491" t="s">
        <v>751</v>
      </c>
      <c r="D270" s="1003"/>
      <c r="E270" s="1003"/>
      <c r="F270" s="1003"/>
      <c r="G270" s="1003"/>
      <c r="H270" s="1003"/>
      <c r="I270" s="1003"/>
      <c r="J270" s="1003"/>
      <c r="K270" s="1003"/>
      <c r="L270" s="1003"/>
      <c r="M270" s="1003"/>
      <c r="N270" s="1004" t="s">
        <v>2736</v>
      </c>
      <c r="O270" s="1231"/>
    </row>
    <row r="271" spans="2:15" ht="15.5" hidden="1">
      <c r="B271" s="483"/>
      <c r="C271" s="994"/>
      <c r="D271" s="994"/>
      <c r="E271" s="994"/>
      <c r="F271" s="994"/>
      <c r="G271" s="994"/>
      <c r="H271" s="994"/>
      <c r="I271" s="994"/>
      <c r="J271" s="994"/>
      <c r="K271" s="994"/>
      <c r="L271" s="994"/>
      <c r="M271" s="994"/>
      <c r="N271" s="994"/>
      <c r="O271" s="1231"/>
    </row>
    <row r="272" spans="2:15" ht="15.5" hidden="1">
      <c r="B272" s="483"/>
      <c r="C272" s="997" t="s">
        <v>28</v>
      </c>
      <c r="D272" s="997" t="s">
        <v>29</v>
      </c>
      <c r="E272" s="997" t="s">
        <v>30</v>
      </c>
      <c r="F272" s="997">
        <v>2013</v>
      </c>
      <c r="G272" s="997" t="s">
        <v>132</v>
      </c>
      <c r="H272" s="997" t="s">
        <v>133</v>
      </c>
      <c r="I272" s="997" t="s">
        <v>134</v>
      </c>
      <c r="J272" s="997" t="s">
        <v>135</v>
      </c>
      <c r="K272" s="997" t="s">
        <v>136</v>
      </c>
      <c r="L272" s="997" t="s">
        <v>137</v>
      </c>
      <c r="M272" s="997" t="s">
        <v>138</v>
      </c>
      <c r="N272" s="997" t="s">
        <v>139</v>
      </c>
      <c r="O272" s="1231"/>
    </row>
    <row r="273" spans="2:15" ht="15.5" hidden="1">
      <c r="B273" s="483"/>
      <c r="C273" s="998" t="s">
        <v>325</v>
      </c>
      <c r="D273" s="485" t="s">
        <v>326</v>
      </c>
      <c r="E273" s="485"/>
      <c r="F273" s="999">
        <f>F195</f>
        <v>0</v>
      </c>
      <c r="G273" s="999">
        <f t="shared" ref="G273:N274" si="46">G195</f>
        <v>0</v>
      </c>
      <c r="H273" s="999">
        <f t="shared" si="46"/>
        <v>0</v>
      </c>
      <c r="I273" s="999">
        <f t="shared" si="46"/>
        <v>0</v>
      </c>
      <c r="J273" s="999">
        <f t="shared" si="46"/>
        <v>0</v>
      </c>
      <c r="K273" s="999">
        <f t="shared" si="46"/>
        <v>0</v>
      </c>
      <c r="L273" s="999">
        <f t="shared" si="46"/>
        <v>0</v>
      </c>
      <c r="M273" s="999">
        <f t="shared" si="46"/>
        <v>0</v>
      </c>
      <c r="N273" s="999">
        <f t="shared" si="46"/>
        <v>0</v>
      </c>
      <c r="O273" s="1231"/>
    </row>
    <row r="274" spans="2:15" ht="15.5" hidden="1">
      <c r="B274" s="483"/>
      <c r="C274" s="998" t="s">
        <v>332</v>
      </c>
      <c r="D274" s="485" t="s">
        <v>333</v>
      </c>
      <c r="E274" s="485"/>
      <c r="F274" s="999">
        <f>F196</f>
        <v>0</v>
      </c>
      <c r="G274" s="999">
        <f t="shared" si="46"/>
        <v>0</v>
      </c>
      <c r="H274" s="999">
        <f t="shared" si="46"/>
        <v>0</v>
      </c>
      <c r="I274" s="999">
        <f t="shared" si="46"/>
        <v>0</v>
      </c>
      <c r="J274" s="999">
        <f t="shared" si="46"/>
        <v>0</v>
      </c>
      <c r="K274" s="999">
        <f t="shared" si="46"/>
        <v>0</v>
      </c>
      <c r="L274" s="999">
        <f>L196</f>
        <v>0</v>
      </c>
      <c r="M274" s="999">
        <f t="shared" si="46"/>
        <v>0</v>
      </c>
      <c r="N274" s="999">
        <f t="shared" si="46"/>
        <v>0</v>
      </c>
      <c r="O274" s="1231"/>
    </row>
    <row r="275" spans="2:15" hidden="1">
      <c r="B275" s="494"/>
      <c r="C275" s="998" t="s">
        <v>323</v>
      </c>
      <c r="D275" s="485" t="s">
        <v>324</v>
      </c>
      <c r="E275" s="485"/>
      <c r="F275" s="999">
        <f>F200</f>
        <v>0</v>
      </c>
      <c r="G275" s="999">
        <f t="shared" ref="G275:N276" si="47">G200</f>
        <v>0</v>
      </c>
      <c r="H275" s="999">
        <f t="shared" si="47"/>
        <v>0</v>
      </c>
      <c r="I275" s="999">
        <f t="shared" si="47"/>
        <v>0</v>
      </c>
      <c r="J275" s="999">
        <f t="shared" si="47"/>
        <v>0</v>
      </c>
      <c r="K275" s="999">
        <f t="shared" si="47"/>
        <v>0</v>
      </c>
      <c r="L275" s="999">
        <f t="shared" si="47"/>
        <v>0</v>
      </c>
      <c r="M275" s="999">
        <f t="shared" si="47"/>
        <v>0</v>
      </c>
      <c r="N275" s="999">
        <f t="shared" si="47"/>
        <v>0</v>
      </c>
      <c r="O275" s="1232"/>
    </row>
    <row r="276" spans="2:15" hidden="1">
      <c r="B276" s="494"/>
      <c r="C276" s="998" t="s">
        <v>330</v>
      </c>
      <c r="D276" s="485" t="s">
        <v>331</v>
      </c>
      <c r="E276" s="485"/>
      <c r="F276" s="999">
        <f>F201</f>
        <v>0</v>
      </c>
      <c r="G276" s="999">
        <f t="shared" si="47"/>
        <v>0</v>
      </c>
      <c r="H276" s="999">
        <f t="shared" si="47"/>
        <v>0</v>
      </c>
      <c r="I276" s="999">
        <f t="shared" si="47"/>
        <v>0</v>
      </c>
      <c r="J276" s="999">
        <f t="shared" si="47"/>
        <v>0</v>
      </c>
      <c r="K276" s="999">
        <f>K201</f>
        <v>0</v>
      </c>
      <c r="L276" s="999">
        <f t="shared" si="47"/>
        <v>0</v>
      </c>
      <c r="M276" s="999">
        <f t="shared" si="47"/>
        <v>0</v>
      </c>
      <c r="N276" s="999">
        <f t="shared" si="47"/>
        <v>0</v>
      </c>
      <c r="O276" s="1232"/>
    </row>
    <row r="277" spans="2:15" hidden="1">
      <c r="B277" s="494"/>
      <c r="C277" s="998" t="s">
        <v>321</v>
      </c>
      <c r="D277" s="485" t="s">
        <v>322</v>
      </c>
      <c r="E277" s="485"/>
      <c r="F277" s="999">
        <f>F205</f>
        <v>0</v>
      </c>
      <c r="G277" s="999">
        <f>G205</f>
        <v>0</v>
      </c>
      <c r="H277" s="999">
        <f t="shared" ref="G277:N278" si="48">H205</f>
        <v>0</v>
      </c>
      <c r="I277" s="999">
        <f t="shared" si="48"/>
        <v>0</v>
      </c>
      <c r="J277" s="999">
        <f t="shared" si="48"/>
        <v>0</v>
      </c>
      <c r="K277" s="999">
        <f t="shared" si="48"/>
        <v>0</v>
      </c>
      <c r="L277" s="999">
        <f t="shared" si="48"/>
        <v>0</v>
      </c>
      <c r="M277" s="999">
        <f t="shared" si="48"/>
        <v>0</v>
      </c>
      <c r="N277" s="999">
        <f t="shared" si="48"/>
        <v>0</v>
      </c>
      <c r="O277" s="1232"/>
    </row>
    <row r="278" spans="2:15" hidden="1">
      <c r="B278" s="2499"/>
      <c r="C278" s="998" t="s">
        <v>328</v>
      </c>
      <c r="D278" s="485" t="s">
        <v>329</v>
      </c>
      <c r="E278" s="485"/>
      <c r="F278" s="1185">
        <f>F206</f>
        <v>0</v>
      </c>
      <c r="G278" s="1185">
        <f t="shared" si="48"/>
        <v>0</v>
      </c>
      <c r="H278" s="1185">
        <f t="shared" si="48"/>
        <v>0</v>
      </c>
      <c r="I278" s="1185">
        <f t="shared" si="48"/>
        <v>0</v>
      </c>
      <c r="J278" s="1185">
        <f t="shared" si="48"/>
        <v>0</v>
      </c>
      <c r="K278" s="1185">
        <f t="shared" si="48"/>
        <v>0</v>
      </c>
      <c r="L278" s="1185">
        <f>L206</f>
        <v>0</v>
      </c>
      <c r="M278" s="1185">
        <f t="shared" si="48"/>
        <v>0</v>
      </c>
      <c r="N278" s="1185">
        <f t="shared" si="48"/>
        <v>0</v>
      </c>
      <c r="O278" s="1232"/>
    </row>
    <row r="279" spans="2:15" hidden="1">
      <c r="B279" s="1005"/>
      <c r="C279" s="1001"/>
      <c r="D279" s="1001"/>
      <c r="E279" s="1001"/>
      <c r="F279" s="1001"/>
      <c r="G279" s="1001"/>
      <c r="H279" s="1001"/>
      <c r="I279" s="1001"/>
      <c r="J279" s="1001"/>
      <c r="K279" s="1001"/>
      <c r="L279" s="1001"/>
      <c r="M279" s="1001"/>
      <c r="N279" s="1001"/>
      <c r="O279" s="1233"/>
    </row>
    <row r="280" spans="2:15">
      <c r="M280" s="2473"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9"/>
  </sheetPr>
  <dimension ref="A1:DI137"/>
  <sheetViews>
    <sheetView showGridLines="0" zoomScale="80" zoomScaleNormal="80" workbookViewId="0">
      <selection activeCell="E8" sqref="E8"/>
    </sheetView>
  </sheetViews>
  <sheetFormatPr defaultColWidth="8.81640625" defaultRowHeight="14.5"/>
  <cols>
    <col min="1" max="1" width="7.7265625" style="2473" customWidth="1"/>
    <col min="2" max="2" width="5.81640625" style="2473" customWidth="1"/>
    <col min="3" max="3" width="20.453125" style="2473" customWidth="1"/>
    <col min="4" max="4" width="30.7265625" style="2473" customWidth="1"/>
    <col min="5" max="5" width="20.7265625" style="2473" customWidth="1"/>
    <col min="6" max="14" width="17.7265625" style="2473" customWidth="1"/>
    <col min="15" max="15" width="2" style="2473" customWidth="1"/>
    <col min="16" max="16" width="10.81640625" style="2473" customWidth="1"/>
    <col min="17" max="17" width="10.81640625" style="2473" bestFit="1" customWidth="1"/>
    <col min="18" max="18" width="8.81640625" style="2473"/>
    <col min="19" max="19" width="10.81640625" style="2473" bestFit="1" customWidth="1"/>
    <col min="20" max="22" width="8.81640625" style="2473"/>
    <col min="23" max="23" width="9.54296875" style="2473" bestFit="1" customWidth="1"/>
    <col min="24" max="16384" width="8.81640625" style="2473"/>
  </cols>
  <sheetData>
    <row r="1" spans="1:15" ht="20">
      <c r="A1" s="854" t="s">
        <v>529</v>
      </c>
      <c r="B1" s="854" t="s">
        <v>530</v>
      </c>
      <c r="C1" s="854"/>
    </row>
    <row r="2" spans="1:15" s="6" customFormat="1" ht="15">
      <c r="A2" s="855" t="s">
        <v>525</v>
      </c>
      <c r="B2" s="855" t="s">
        <v>526</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IV.a.Scenario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t="s">
        <v>5</v>
      </c>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1858</v>
      </c>
      <c r="D13" s="67"/>
      <c r="E13" s="51"/>
      <c r="F13" s="67"/>
      <c r="G13" s="67"/>
      <c r="H13" s="67"/>
      <c r="I13" s="67"/>
      <c r="J13" s="67"/>
      <c r="K13" s="67"/>
      <c r="L13" s="67"/>
      <c r="M13" s="67"/>
      <c r="N13" s="51" t="str">
        <f>Preferences.PowerUnits</f>
        <v>GW</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5" ht="15.5">
      <c r="B16" s="966"/>
      <c r="C16" s="65">
        <v>1</v>
      </c>
      <c r="D16" s="103"/>
      <c r="E16" s="881"/>
      <c r="F16" s="59">
        <v>0</v>
      </c>
      <c r="G16" s="883">
        <v>0</v>
      </c>
      <c r="H16" s="59">
        <v>0</v>
      </c>
      <c r="I16" s="59">
        <v>0</v>
      </c>
      <c r="J16" s="59">
        <v>0</v>
      </c>
      <c r="K16" s="59">
        <v>0</v>
      </c>
      <c r="L16" s="59">
        <v>0</v>
      </c>
      <c r="M16" s="59">
        <v>0</v>
      </c>
      <c r="N16" s="59">
        <v>0</v>
      </c>
      <c r="O16" s="884"/>
    </row>
    <row r="17" spans="1:15" ht="15.5">
      <c r="B17" s="55"/>
      <c r="C17" s="65">
        <v>2</v>
      </c>
      <c r="D17" s="103"/>
      <c r="E17" s="103"/>
      <c r="F17" s="59">
        <v>0</v>
      </c>
      <c r="G17" s="60">
        <v>0</v>
      </c>
      <c r="H17" s="60">
        <v>0</v>
      </c>
      <c r="I17" s="60">
        <f>(Unit.GW)*0.5</f>
        <v>0.5</v>
      </c>
      <c r="J17" s="60">
        <f>(Unit.GW)*0.5</f>
        <v>0.5</v>
      </c>
      <c r="K17" s="60">
        <f>(Unit.GW)*1</f>
        <v>1</v>
      </c>
      <c r="L17" s="60">
        <f>(Unit.GW)*1</f>
        <v>1</v>
      </c>
      <c r="M17" s="60">
        <v>1.5</v>
      </c>
      <c r="N17" s="60">
        <f>(Unit.GW)*2</f>
        <v>2</v>
      </c>
      <c r="O17" s="876"/>
    </row>
    <row r="18" spans="1:15" ht="15.5">
      <c r="B18" s="55"/>
      <c r="C18" s="65">
        <v>3</v>
      </c>
      <c r="D18" s="103"/>
      <c r="E18" s="103"/>
      <c r="F18" s="59">
        <v>0</v>
      </c>
      <c r="G18" s="60">
        <v>0</v>
      </c>
      <c r="H18" s="60">
        <f>(Unit.GW)*0.5</f>
        <v>0.5</v>
      </c>
      <c r="I18" s="60">
        <v>0.75</v>
      </c>
      <c r="J18" s="60">
        <v>1</v>
      </c>
      <c r="K18" s="60">
        <v>2</v>
      </c>
      <c r="L18" s="60">
        <v>2.5</v>
      </c>
      <c r="M18" s="60">
        <v>3</v>
      </c>
      <c r="N18" s="60">
        <v>3.5</v>
      </c>
      <c r="O18" s="876"/>
    </row>
    <row r="19" spans="1:15" ht="15.5">
      <c r="B19" s="55"/>
      <c r="C19" s="887">
        <v>4</v>
      </c>
      <c r="D19" s="888"/>
      <c r="E19" s="888"/>
      <c r="F19" s="1178">
        <v>0</v>
      </c>
      <c r="G19" s="898">
        <v>0</v>
      </c>
      <c r="H19" s="60">
        <f>(Unit.GW)*0.5</f>
        <v>0.5</v>
      </c>
      <c r="I19" s="60">
        <f>(Unit.GW)*1</f>
        <v>1</v>
      </c>
      <c r="J19" s="60">
        <f>(Unit.GW)*2</f>
        <v>2</v>
      </c>
      <c r="K19" s="60">
        <v>3</v>
      </c>
      <c r="L19" s="60">
        <v>4</v>
      </c>
      <c r="M19" s="60">
        <v>4.5</v>
      </c>
      <c r="N19" s="60">
        <v>5</v>
      </c>
      <c r="O19" s="876"/>
    </row>
    <row r="20" spans="1:15" ht="15.5">
      <c r="B20" s="55"/>
      <c r="C20" s="1015" t="s">
        <v>37</v>
      </c>
      <c r="D20" s="892"/>
      <c r="E20" s="892"/>
      <c r="F20" s="893">
        <f>(INDEX(F$16:F$19,ROUNDDOWN($E$8,0))*(1-MOD($E$8,1)))+(INDEX(F$16:F$19,ROUNDUP($E$8,0))*MOD($E$8,1))</f>
        <v>0</v>
      </c>
      <c r="G20" s="2462">
        <f t="shared" ref="G20:N20" si="0">(INDEX(G$16:G$19,ROUNDDOWN($E$8,0))*(1-MOD($E$8,1)))+(INDEX(G$16:G$19,ROUNDUP($E$8,0))*MOD($E$8,1))</f>
        <v>0</v>
      </c>
      <c r="H20" s="893">
        <f t="shared" si="0"/>
        <v>0</v>
      </c>
      <c r="I20" s="893">
        <f t="shared" si="0"/>
        <v>0</v>
      </c>
      <c r="J20" s="893">
        <f t="shared" si="0"/>
        <v>0</v>
      </c>
      <c r="K20" s="893">
        <f t="shared" si="0"/>
        <v>0</v>
      </c>
      <c r="L20" s="893">
        <f t="shared" si="0"/>
        <v>0</v>
      </c>
      <c r="M20" s="893">
        <f t="shared" si="0"/>
        <v>0</v>
      </c>
      <c r="N20" s="893">
        <f t="shared" si="0"/>
        <v>0</v>
      </c>
      <c r="O20" s="876"/>
    </row>
    <row r="21" spans="1:15">
      <c r="B21" s="45"/>
      <c r="C21" s="67"/>
      <c r="D21" s="195"/>
      <c r="E21" s="67"/>
      <c r="F21" s="67"/>
      <c r="G21" s="1086"/>
      <c r="H21" s="1086" t="s">
        <v>5</v>
      </c>
      <c r="I21" s="1086"/>
      <c r="J21" s="1086"/>
      <c r="K21" s="1086"/>
      <c r="L21" s="1086"/>
      <c r="M21" s="1086"/>
      <c r="N21" s="1086"/>
      <c r="O21" s="876"/>
    </row>
    <row r="22" spans="1:15">
      <c r="B22" s="45"/>
      <c r="C22" s="3826" t="s">
        <v>63</v>
      </c>
      <c r="D22" s="195"/>
      <c r="E22" s="67"/>
      <c r="F22" s="67"/>
      <c r="G22" s="67"/>
      <c r="H22" s="67"/>
      <c r="I22" s="67"/>
      <c r="J22" s="67" t="s">
        <v>5</v>
      </c>
      <c r="K22" s="67"/>
      <c r="L22" s="67"/>
      <c r="M22" s="67"/>
      <c r="N22" s="67"/>
      <c r="O22" s="876"/>
    </row>
    <row r="23" spans="1:15">
      <c r="B23" s="45"/>
      <c r="C23" s="3827" t="s">
        <v>64</v>
      </c>
      <c r="D23" s="3830" t="s">
        <v>3007</v>
      </c>
      <c r="E23" s="67"/>
      <c r="F23" s="67"/>
      <c r="G23" s="67"/>
      <c r="H23" s="67"/>
      <c r="I23" s="67"/>
      <c r="J23" s="67"/>
      <c r="K23" s="67"/>
      <c r="L23" s="67"/>
      <c r="M23" s="67" t="s">
        <v>5</v>
      </c>
      <c r="N23" s="67"/>
      <c r="O23" s="876"/>
    </row>
    <row r="24" spans="1:15">
      <c r="B24" s="106"/>
      <c r="C24" s="1065"/>
      <c r="D24" s="1150"/>
      <c r="E24" s="1065"/>
      <c r="F24" s="1065"/>
      <c r="G24" s="1065"/>
      <c r="H24" s="1065"/>
      <c r="I24" s="1065"/>
      <c r="J24" s="1065" t="s">
        <v>5</v>
      </c>
      <c r="K24" s="1065"/>
      <c r="L24" s="1065"/>
      <c r="M24" s="1065"/>
      <c r="N24" s="1065"/>
      <c r="O24" s="1100"/>
    </row>
    <row r="26" spans="1:15" s="6" customFormat="1" ht="23.5">
      <c r="A26" s="40"/>
      <c r="B26" s="869" t="s">
        <v>69</v>
      </c>
      <c r="C26" s="870"/>
      <c r="D26" s="870"/>
      <c r="E26" s="870"/>
      <c r="F26" s="870"/>
      <c r="G26" s="870"/>
      <c r="H26" s="870"/>
      <c r="I26" s="870"/>
      <c r="J26" s="870"/>
      <c r="K26" s="870"/>
      <c r="L26" s="870"/>
      <c r="M26" s="870"/>
      <c r="N26" s="870"/>
      <c r="O26" s="871"/>
    </row>
    <row r="27" spans="1:15">
      <c r="B27" s="105"/>
      <c r="C27" s="67"/>
      <c r="D27" s="67"/>
      <c r="E27" s="67"/>
      <c r="F27" s="67"/>
      <c r="G27" s="67"/>
      <c r="H27" s="67"/>
      <c r="I27" s="67"/>
      <c r="J27" s="67"/>
      <c r="K27" s="67"/>
      <c r="L27" s="67"/>
      <c r="M27" s="67"/>
      <c r="N27" s="67"/>
      <c r="O27" s="876"/>
    </row>
    <row r="28" spans="1:15">
      <c r="B28" s="105"/>
      <c r="C28" s="49" t="s">
        <v>839</v>
      </c>
      <c r="D28" s="67"/>
      <c r="E28" s="67"/>
      <c r="F28" s="67"/>
      <c r="G28" s="67"/>
      <c r="H28" s="67"/>
      <c r="I28" s="67"/>
      <c r="J28" s="67"/>
      <c r="K28" s="67"/>
      <c r="L28" s="67"/>
      <c r="M28" s="67"/>
      <c r="N28" s="67"/>
      <c r="O28" s="876"/>
    </row>
    <row r="29" spans="1:15">
      <c r="B29" s="105"/>
      <c r="C29" s="67"/>
      <c r="D29" s="67"/>
      <c r="E29" s="67"/>
      <c r="F29" s="67"/>
      <c r="G29" s="67"/>
      <c r="H29" s="67"/>
      <c r="I29" s="67"/>
      <c r="J29" s="67"/>
      <c r="K29" s="67"/>
      <c r="L29" s="67"/>
      <c r="M29" s="67"/>
      <c r="N29" s="67"/>
      <c r="O29" s="876"/>
    </row>
    <row r="30" spans="1:15" ht="15.5">
      <c r="B30" s="55"/>
      <c r="C30" s="878" t="s">
        <v>131</v>
      </c>
      <c r="D30" s="878" t="s">
        <v>712</v>
      </c>
      <c r="E30" s="878" t="s">
        <v>30</v>
      </c>
      <c r="F30" s="87">
        <v>2013</v>
      </c>
      <c r="G30" s="87">
        <v>2015</v>
      </c>
      <c r="H30" s="87">
        <v>2020</v>
      </c>
      <c r="I30" s="87">
        <v>2025</v>
      </c>
      <c r="J30" s="87">
        <v>2030</v>
      </c>
      <c r="K30" s="87">
        <v>2035</v>
      </c>
      <c r="L30" s="87">
        <v>2040</v>
      </c>
      <c r="M30" s="87">
        <v>2045</v>
      </c>
      <c r="N30" s="87">
        <v>2050</v>
      </c>
      <c r="O30" s="876"/>
    </row>
    <row r="31" spans="1:15" ht="15.5">
      <c r="B31" s="55"/>
      <c r="C31" s="907" t="s">
        <v>437</v>
      </c>
      <c r="D31" s="908" t="s">
        <v>78</v>
      </c>
      <c r="E31" s="908"/>
      <c r="F31" s="2463">
        <v>9.7000000000000003E-2</v>
      </c>
      <c r="G31" s="910">
        <v>9.7000000000000003E-2</v>
      </c>
      <c r="H31" s="910">
        <v>9.7000000000000003E-2</v>
      </c>
      <c r="I31" s="910">
        <v>9.7000000000000003E-2</v>
      </c>
      <c r="J31" s="910">
        <v>9.7000000000000003E-2</v>
      </c>
      <c r="K31" s="910">
        <v>9.7000000000000003E-2</v>
      </c>
      <c r="L31" s="910">
        <v>9.7000000000000003E-2</v>
      </c>
      <c r="M31" s="910">
        <v>9.7000000000000003E-2</v>
      </c>
      <c r="N31" s="910">
        <v>9.7000000000000003E-2</v>
      </c>
      <c r="O31" s="876"/>
    </row>
    <row r="32" spans="1:15">
      <c r="B32" s="105"/>
      <c r="C32" s="67"/>
      <c r="D32" s="67"/>
      <c r="E32" s="67"/>
      <c r="F32" s="67"/>
      <c r="G32" s="67"/>
      <c r="H32" s="67"/>
      <c r="I32" s="67"/>
      <c r="J32" s="67"/>
      <c r="K32" s="67"/>
      <c r="L32" s="67"/>
      <c r="M32" s="67"/>
      <c r="N32" s="67"/>
      <c r="O32" s="876"/>
    </row>
    <row r="33" spans="1:113">
      <c r="B33" s="105"/>
      <c r="C33" s="49" t="s">
        <v>3378</v>
      </c>
      <c r="D33" s="67"/>
      <c r="E33" s="51"/>
      <c r="F33" s="67"/>
      <c r="G33" s="67"/>
      <c r="H33" s="67"/>
      <c r="I33" s="67"/>
      <c r="J33" s="67"/>
      <c r="K33" s="67"/>
      <c r="L33" s="67"/>
      <c r="M33" s="67"/>
      <c r="N33" s="51" t="s">
        <v>42</v>
      </c>
      <c r="O33" s="876"/>
    </row>
    <row r="34" spans="1:113" ht="5.25" customHeight="1">
      <c r="B34" s="105"/>
      <c r="C34" s="67"/>
      <c r="D34" s="67"/>
      <c r="E34" s="67"/>
      <c r="F34" s="67"/>
      <c r="G34" s="67"/>
      <c r="H34" s="67"/>
      <c r="I34" s="67"/>
      <c r="J34" s="67"/>
      <c r="K34" s="67"/>
      <c r="L34" s="67"/>
      <c r="M34" s="67"/>
      <c r="N34" s="67"/>
      <c r="O34" s="876"/>
    </row>
    <row r="35" spans="1:113" ht="15.5">
      <c r="B35" s="55"/>
      <c r="C35" s="878" t="s">
        <v>131</v>
      </c>
      <c r="D35" s="878" t="s">
        <v>712</v>
      </c>
      <c r="E35" s="878" t="s">
        <v>30</v>
      </c>
      <c r="F35" s="87">
        <v>2013</v>
      </c>
      <c r="G35" s="87">
        <v>2015</v>
      </c>
      <c r="H35" s="87">
        <v>2020</v>
      </c>
      <c r="I35" s="87">
        <v>2025</v>
      </c>
      <c r="J35" s="87">
        <v>2030</v>
      </c>
      <c r="K35" s="87">
        <v>2035</v>
      </c>
      <c r="L35" s="87">
        <v>2040</v>
      </c>
      <c r="M35" s="87">
        <v>2045</v>
      </c>
      <c r="N35" s="87">
        <v>2050</v>
      </c>
      <c r="O35" s="876"/>
    </row>
    <row r="36" spans="1:113" s="6" customFormat="1" ht="15.5">
      <c r="B36" s="966"/>
      <c r="C36" s="907" t="s">
        <v>437</v>
      </c>
      <c r="D36" s="908" t="s">
        <v>78</v>
      </c>
      <c r="E36" s="908"/>
      <c r="F36" s="909">
        <v>0.12</v>
      </c>
      <c r="G36" s="910">
        <v>0.12</v>
      </c>
      <c r="H36" s="910">
        <v>0.12</v>
      </c>
      <c r="I36" s="910">
        <v>0.15</v>
      </c>
      <c r="J36" s="910">
        <v>0.2</v>
      </c>
      <c r="K36" s="910">
        <v>0.2</v>
      </c>
      <c r="L36" s="910">
        <v>0.2</v>
      </c>
      <c r="M36" s="910">
        <v>0.2</v>
      </c>
      <c r="N36" s="910">
        <v>0.2</v>
      </c>
      <c r="O36" s="884"/>
    </row>
    <row r="37" spans="1:113" s="6" customFormat="1" ht="15.5">
      <c r="B37" s="966"/>
      <c r="C37" s="65"/>
      <c r="D37" s="103"/>
      <c r="E37" s="103"/>
      <c r="F37" s="88"/>
      <c r="G37" s="88"/>
      <c r="H37" s="88"/>
      <c r="I37" s="88"/>
      <c r="J37" s="88"/>
      <c r="K37" s="88"/>
      <c r="L37" s="88"/>
      <c r="M37" s="88"/>
      <c r="N37" s="88"/>
      <c r="O37" s="884"/>
    </row>
    <row r="38" spans="1:113" s="6" customFormat="1" ht="15.5">
      <c r="B38" s="966"/>
      <c r="C38" s="65"/>
      <c r="D38" s="3838" t="s">
        <v>1859</v>
      </c>
      <c r="E38" s="3839">
        <f>2.5*Unit.kW</f>
        <v>2.4999999999999998E-6</v>
      </c>
      <c r="F38" s="3837" t="str">
        <f>Preferences.PowerUnits</f>
        <v>GW</v>
      </c>
      <c r="G38" s="88"/>
      <c r="H38" s="88"/>
      <c r="I38" s="88"/>
      <c r="J38" s="88"/>
      <c r="K38" s="88"/>
      <c r="L38" s="88"/>
      <c r="M38" s="88"/>
      <c r="N38" s="88"/>
      <c r="O38" s="884"/>
    </row>
    <row r="39" spans="1:113">
      <c r="B39" s="45"/>
      <c r="C39" s="3828"/>
      <c r="D39" s="195"/>
      <c r="E39" s="67"/>
      <c r="F39" s="67"/>
      <c r="G39" s="67"/>
      <c r="H39" s="67"/>
      <c r="I39" s="67"/>
      <c r="J39" s="67"/>
      <c r="K39" s="67"/>
      <c r="L39" s="67"/>
      <c r="M39" s="67"/>
      <c r="N39" s="67"/>
      <c r="O39" s="876"/>
    </row>
    <row r="41" spans="1:113" s="6" customFormat="1" ht="23.5">
      <c r="A41" s="40"/>
      <c r="B41" s="869" t="s">
        <v>2719</v>
      </c>
      <c r="C41" s="870"/>
      <c r="D41" s="870"/>
      <c r="E41" s="870"/>
      <c r="F41" s="870"/>
      <c r="G41" s="870"/>
      <c r="H41" s="870"/>
      <c r="I41" s="870"/>
      <c r="J41" s="870"/>
      <c r="K41" s="870"/>
      <c r="L41" s="870"/>
      <c r="M41" s="870"/>
      <c r="N41" s="870"/>
      <c r="O41" s="870"/>
      <c r="P41" s="647"/>
      <c r="Q41" s="2500"/>
      <c r="R41" s="647"/>
      <c r="S41" s="647"/>
      <c r="T41" s="647"/>
      <c r="U41" s="647"/>
      <c r="V41" s="647"/>
      <c r="W41" s="647"/>
      <c r="X41" s="647"/>
      <c r="Y41" s="647"/>
      <c r="Z41" s="647"/>
      <c r="AA41" s="647"/>
      <c r="AB41" s="647"/>
      <c r="AC41" s="647"/>
      <c r="AD41" s="647"/>
      <c r="AE41" s="647"/>
    </row>
    <row r="42" spans="1:113" s="6" customFormat="1" hidden="1">
      <c r="A42" s="2473"/>
      <c r="B42" s="872"/>
      <c r="C42" s="873"/>
      <c r="D42" s="873"/>
      <c r="E42" s="873"/>
      <c r="F42" s="873"/>
      <c r="G42" s="873"/>
      <c r="H42" s="873"/>
      <c r="I42" s="873"/>
      <c r="J42" s="873"/>
      <c r="K42" s="873"/>
      <c r="L42" s="873"/>
      <c r="M42" s="873"/>
      <c r="N42" s="873"/>
      <c r="O42" s="873"/>
      <c r="P42" s="1068"/>
      <c r="Q42" s="2471"/>
      <c r="R42" s="1167"/>
      <c r="S42" s="1167"/>
      <c r="T42" s="1167"/>
      <c r="U42" s="1167"/>
      <c r="V42" s="1167"/>
      <c r="W42" s="1167"/>
      <c r="X42" s="1167"/>
      <c r="Y42" s="1167"/>
      <c r="Z42" s="1167"/>
      <c r="AA42" s="1167"/>
      <c r="AB42" s="1167"/>
      <c r="AC42" s="1167"/>
      <c r="AD42" s="1167"/>
      <c r="AE42" s="1167"/>
      <c r="AF42" s="2473"/>
      <c r="AG42" s="2473"/>
      <c r="AH42" s="2473"/>
      <c r="AI42" s="2473"/>
      <c r="AJ42" s="2473"/>
      <c r="AK42" s="2473"/>
      <c r="AL42" s="2473"/>
      <c r="AM42" s="2473"/>
      <c r="AN42" s="2473"/>
      <c r="AO42" s="2473"/>
      <c r="AP42" s="2473"/>
      <c r="AQ42" s="2473"/>
      <c r="AR42" s="2473"/>
      <c r="AS42" s="2473"/>
      <c r="AT42" s="2473"/>
      <c r="AU42" s="2473"/>
      <c r="AV42" s="2473"/>
      <c r="AW42" s="2473"/>
      <c r="AX42" s="2473"/>
      <c r="AY42" s="2473"/>
      <c r="AZ42" s="2473"/>
      <c r="BA42" s="2473"/>
      <c r="BB42" s="2473"/>
      <c r="BC42" s="2473"/>
      <c r="BD42" s="2473"/>
      <c r="BE42" s="2473"/>
      <c r="BF42" s="2473"/>
      <c r="BG42" s="2473"/>
      <c r="BH42" s="2473"/>
      <c r="BI42" s="2473"/>
      <c r="BJ42" s="2473"/>
      <c r="BK42" s="2473"/>
      <c r="BL42" s="2473"/>
      <c r="BM42" s="2473"/>
      <c r="BN42" s="2473"/>
      <c r="BO42" s="2473"/>
      <c r="BP42" s="2473"/>
      <c r="BQ42" s="2473"/>
      <c r="BR42" s="2473"/>
      <c r="BS42" s="2473"/>
      <c r="BT42" s="2473"/>
      <c r="BU42" s="2473"/>
      <c r="BV42" s="2473"/>
      <c r="BW42" s="2473"/>
      <c r="BX42" s="2473"/>
      <c r="BY42" s="2473"/>
      <c r="BZ42" s="2473"/>
      <c r="CA42" s="2473"/>
      <c r="CB42" s="2473"/>
      <c r="CC42" s="2473"/>
      <c r="CD42" s="2473"/>
      <c r="CE42" s="2473"/>
      <c r="CF42" s="2473"/>
      <c r="CG42" s="2473"/>
      <c r="CH42" s="2473"/>
      <c r="CI42" s="2473"/>
      <c r="CJ42" s="2473"/>
      <c r="CK42" s="2473"/>
      <c r="CL42" s="2473"/>
      <c r="CM42" s="2473"/>
      <c r="CN42" s="2473"/>
      <c r="CO42" s="2473"/>
      <c r="CP42" s="2473"/>
      <c r="CQ42" s="2473"/>
      <c r="CR42" s="2473"/>
      <c r="CS42" s="2473"/>
      <c r="CT42" s="2473"/>
      <c r="CU42" s="2473"/>
      <c r="CV42" s="2473"/>
      <c r="CW42" s="2473"/>
      <c r="CX42" s="2473"/>
      <c r="CY42" s="2473"/>
      <c r="CZ42" s="2473"/>
      <c r="DA42" s="2473"/>
      <c r="DB42" s="2473"/>
      <c r="DC42" s="2473"/>
      <c r="DD42" s="2473"/>
      <c r="DE42" s="2473"/>
      <c r="DF42" s="2473"/>
      <c r="DG42" s="2473"/>
      <c r="DH42" s="2473"/>
      <c r="DI42" s="2473"/>
    </row>
    <row r="43" spans="1:113" s="6" customFormat="1" ht="15.75" hidden="1" customHeight="1">
      <c r="A43" s="2473"/>
      <c r="B43" s="105"/>
      <c r="C43" s="49" t="s">
        <v>1860</v>
      </c>
      <c r="D43" s="915"/>
      <c r="E43" s="932"/>
      <c r="F43" s="933"/>
      <c r="G43" s="934"/>
      <c r="H43" s="934"/>
      <c r="I43" s="934"/>
      <c r="J43" s="934"/>
      <c r="K43" s="934"/>
      <c r="L43" s="934"/>
      <c r="M43" s="934"/>
      <c r="N43" s="935" t="s">
        <v>2745</v>
      </c>
      <c r="O43" s="67"/>
      <c r="P43" s="1068"/>
      <c r="Q43" s="2471"/>
      <c r="R43" s="1079"/>
      <c r="S43" s="1167"/>
      <c r="T43" s="1167"/>
      <c r="U43" s="1167"/>
      <c r="V43" s="1167"/>
      <c r="W43" s="1167"/>
      <c r="X43" s="1167"/>
      <c r="Y43" s="1167"/>
      <c r="Z43" s="1167"/>
      <c r="AA43" s="1167"/>
      <c r="AB43" s="1167"/>
      <c r="AC43" s="1167"/>
      <c r="AD43" s="1167"/>
      <c r="AE43" s="1167"/>
      <c r="AF43" s="2473"/>
      <c r="AG43" s="2473"/>
      <c r="AH43" s="2473"/>
      <c r="AI43" s="2473"/>
      <c r="AJ43" s="2473"/>
      <c r="AK43" s="2473"/>
      <c r="AL43" s="2473"/>
      <c r="AM43" s="2473"/>
      <c r="AN43" s="2473"/>
      <c r="AO43" s="2473"/>
      <c r="AP43" s="2473"/>
      <c r="AQ43" s="2473"/>
      <c r="AR43" s="2473"/>
      <c r="AS43" s="2473"/>
      <c r="AT43" s="2473"/>
      <c r="AU43" s="2473"/>
      <c r="AV43" s="2473"/>
      <c r="AW43" s="2473"/>
      <c r="AX43" s="2473"/>
      <c r="AY43" s="2473"/>
      <c r="AZ43" s="2473"/>
      <c r="BA43" s="2473"/>
      <c r="BB43" s="2473"/>
      <c r="BC43" s="2473"/>
      <c r="BD43" s="2473"/>
      <c r="BE43" s="2473"/>
      <c r="BF43" s="2473"/>
      <c r="BG43" s="2473"/>
      <c r="BH43" s="2473"/>
      <c r="BI43" s="2473"/>
      <c r="BJ43" s="2473"/>
      <c r="BK43" s="2473"/>
      <c r="BL43" s="2473"/>
      <c r="BM43" s="2473"/>
      <c r="BN43" s="2473"/>
      <c r="BO43" s="2473"/>
      <c r="BP43" s="2473"/>
      <c r="BQ43" s="2473"/>
      <c r="BR43" s="2473"/>
      <c r="BS43" s="2473"/>
      <c r="BT43" s="2473"/>
      <c r="BU43" s="2473"/>
      <c r="BV43" s="2473"/>
      <c r="BW43" s="2473"/>
      <c r="BX43" s="2473"/>
      <c r="BY43" s="2473"/>
      <c r="BZ43" s="2473"/>
      <c r="CA43" s="2473"/>
      <c r="CB43" s="2473"/>
      <c r="CC43" s="2473"/>
      <c r="CD43" s="2473"/>
      <c r="CE43" s="2473"/>
      <c r="CF43" s="2473"/>
      <c r="CG43" s="2473"/>
      <c r="CH43" s="2473"/>
      <c r="CI43" s="2473"/>
      <c r="CJ43" s="2473"/>
      <c r="CK43" s="2473"/>
      <c r="CL43" s="2473"/>
      <c r="CM43" s="2473"/>
      <c r="CN43" s="2473"/>
      <c r="CO43" s="2473"/>
      <c r="CP43" s="2473"/>
      <c r="CQ43" s="2473"/>
      <c r="CR43" s="2473"/>
      <c r="CS43" s="2473"/>
      <c r="CT43" s="2473"/>
      <c r="CU43" s="2473"/>
      <c r="CV43" s="2473"/>
      <c r="CW43" s="2473"/>
      <c r="CX43" s="2473"/>
      <c r="CY43" s="2473"/>
      <c r="CZ43" s="2473"/>
      <c r="DA43" s="2473"/>
      <c r="DB43" s="2473"/>
      <c r="DC43" s="2473"/>
      <c r="DD43" s="2473"/>
      <c r="DE43" s="2473"/>
      <c r="DF43" s="2473"/>
      <c r="DG43" s="2473"/>
      <c r="DH43" s="2473"/>
      <c r="DI43" s="2473"/>
    </row>
    <row r="44" spans="1:113" s="6" customFormat="1" ht="4.5" hidden="1" customHeight="1">
      <c r="A44" s="2473"/>
      <c r="B44" s="105"/>
      <c r="C44" s="937"/>
      <c r="D44" s="915"/>
      <c r="E44" s="932"/>
      <c r="F44" s="933"/>
      <c r="G44" s="934"/>
      <c r="H44" s="934"/>
      <c r="I44" s="934"/>
      <c r="J44" s="934"/>
      <c r="K44" s="934"/>
      <c r="L44" s="934"/>
      <c r="M44" s="934"/>
      <c r="N44" s="67"/>
      <c r="O44" s="67"/>
      <c r="P44" s="1068"/>
      <c r="Q44" s="2471"/>
      <c r="R44" s="1167"/>
      <c r="S44" s="1167"/>
      <c r="T44" s="1167"/>
      <c r="U44" s="1167"/>
      <c r="V44" s="1167"/>
      <c r="W44" s="1167"/>
      <c r="X44" s="1167"/>
      <c r="Y44" s="1167"/>
      <c r="Z44" s="1167"/>
      <c r="AA44" s="1167"/>
      <c r="AB44" s="1167"/>
      <c r="AC44" s="1167"/>
      <c r="AD44" s="1167"/>
      <c r="AE44" s="1167"/>
      <c r="AF44" s="2473"/>
      <c r="AG44" s="2473"/>
      <c r="AH44" s="2473"/>
      <c r="AI44" s="2473"/>
      <c r="AJ44" s="2473"/>
      <c r="AK44" s="2473"/>
      <c r="AL44" s="2473"/>
      <c r="AM44" s="2473"/>
      <c r="AN44" s="2473"/>
      <c r="AO44" s="2473"/>
      <c r="AP44" s="2473"/>
      <c r="AQ44" s="2473"/>
      <c r="AR44" s="2473"/>
      <c r="AS44" s="2473"/>
      <c r="AT44" s="2473"/>
      <c r="AU44" s="2473"/>
      <c r="AV44" s="2473"/>
      <c r="AW44" s="2473"/>
      <c r="AX44" s="2473"/>
      <c r="AY44" s="2473"/>
      <c r="AZ44" s="2473"/>
      <c r="BA44" s="2473"/>
      <c r="BB44" s="2473"/>
      <c r="BC44" s="2473"/>
      <c r="BD44" s="2473"/>
      <c r="BE44" s="2473"/>
      <c r="BF44" s="2473"/>
      <c r="BG44" s="2473"/>
      <c r="BH44" s="2473"/>
      <c r="BI44" s="2473"/>
      <c r="BJ44" s="2473"/>
      <c r="BK44" s="2473"/>
      <c r="BL44" s="2473"/>
      <c r="BM44" s="2473"/>
      <c r="BN44" s="2473"/>
      <c r="BO44" s="2473"/>
      <c r="BP44" s="2473"/>
      <c r="BQ44" s="2473"/>
      <c r="BR44" s="2473"/>
      <c r="BS44" s="2473"/>
      <c r="BT44" s="2473"/>
      <c r="BU44" s="2473"/>
      <c r="BV44" s="2473"/>
      <c r="BW44" s="2473"/>
      <c r="BX44" s="2473"/>
      <c r="BY44" s="2473"/>
      <c r="BZ44" s="2473"/>
      <c r="CA44" s="2473"/>
      <c r="CB44" s="2473"/>
      <c r="CC44" s="2473"/>
      <c r="CD44" s="2473"/>
      <c r="CE44" s="2473"/>
      <c r="CF44" s="2473"/>
      <c r="CG44" s="2473"/>
      <c r="CH44" s="2473"/>
      <c r="CI44" s="2473"/>
      <c r="CJ44" s="2473"/>
      <c r="CK44" s="2473"/>
      <c r="CL44" s="2473"/>
      <c r="CM44" s="2473"/>
      <c r="CN44" s="2473"/>
      <c r="CO44" s="2473"/>
      <c r="CP44" s="2473"/>
      <c r="CQ44" s="2473"/>
      <c r="CR44" s="2473"/>
      <c r="CS44" s="2473"/>
      <c r="CT44" s="2473"/>
      <c r="CU44" s="2473"/>
      <c r="CV44" s="2473"/>
      <c r="CW44" s="2473"/>
      <c r="CX44" s="2473"/>
      <c r="CY44" s="2473"/>
      <c r="CZ44" s="2473"/>
      <c r="DA44" s="2473"/>
      <c r="DB44" s="2473"/>
      <c r="DC44" s="2473"/>
      <c r="DD44" s="2473"/>
      <c r="DE44" s="2473"/>
      <c r="DF44" s="2473"/>
      <c r="DG44" s="2473"/>
      <c r="DH44" s="2473"/>
      <c r="DI44" s="2473"/>
    </row>
    <row r="45" spans="1:113" s="6" customFormat="1" hidden="1">
      <c r="A45" s="2473"/>
      <c r="B45" s="105"/>
      <c r="C45" s="1170"/>
      <c r="D45" s="1070"/>
      <c r="E45" s="971" t="s">
        <v>159</v>
      </c>
      <c r="F45" s="972">
        <v>2013</v>
      </c>
      <c r="G45" s="965">
        <v>2015</v>
      </c>
      <c r="H45" s="965">
        <v>2020</v>
      </c>
      <c r="I45" s="965">
        <v>2025</v>
      </c>
      <c r="J45" s="965">
        <v>2030</v>
      </c>
      <c r="K45" s="965">
        <v>2035</v>
      </c>
      <c r="L45" s="965">
        <v>2040</v>
      </c>
      <c r="M45" s="965">
        <v>2045</v>
      </c>
      <c r="N45" s="965">
        <v>2050</v>
      </c>
      <c r="O45" s="67"/>
      <c r="P45" s="647"/>
      <c r="Q45" s="2471"/>
      <c r="R45" s="1167"/>
      <c r="S45" s="1167"/>
      <c r="T45" s="1167"/>
      <c r="U45" s="1167"/>
      <c r="V45" s="1167"/>
      <c r="W45" s="1167"/>
      <c r="X45" s="1167"/>
      <c r="Y45" s="1167"/>
      <c r="Z45" s="1167"/>
      <c r="AA45" s="1167"/>
      <c r="AB45" s="1167"/>
      <c r="AC45" s="1167"/>
      <c r="AD45" s="1167"/>
      <c r="AE45" s="1167"/>
      <c r="AF45" s="2473"/>
      <c r="AG45" s="2473"/>
      <c r="AH45" s="2473"/>
      <c r="AI45" s="2473"/>
      <c r="AJ45" s="2473"/>
      <c r="AK45" s="2473"/>
      <c r="AL45" s="2473"/>
      <c r="AM45" s="2473"/>
      <c r="AN45" s="2473"/>
      <c r="AO45" s="2473"/>
      <c r="AP45" s="2473"/>
      <c r="AQ45" s="2473"/>
      <c r="AR45" s="2473"/>
      <c r="AS45" s="2473"/>
      <c r="AT45" s="2473"/>
      <c r="AU45" s="2473"/>
      <c r="AV45" s="2473"/>
      <c r="AW45" s="2473"/>
      <c r="AX45" s="2473"/>
      <c r="AY45" s="2473"/>
      <c r="AZ45" s="2473"/>
      <c r="BA45" s="2473"/>
      <c r="BB45" s="2473"/>
      <c r="BC45" s="2473"/>
      <c r="BD45" s="2473"/>
      <c r="BE45" s="2473"/>
      <c r="BF45" s="2473"/>
      <c r="BG45" s="2473"/>
      <c r="BH45" s="2473"/>
      <c r="BI45" s="2473"/>
      <c r="BJ45" s="2473"/>
      <c r="BK45" s="2473"/>
      <c r="BL45" s="2473"/>
      <c r="BM45" s="2473"/>
      <c r="BN45" s="2473"/>
      <c r="BO45" s="2473"/>
      <c r="BP45" s="2473"/>
      <c r="BQ45" s="2473"/>
      <c r="BR45" s="2473"/>
      <c r="BS45" s="2473"/>
      <c r="BT45" s="2473"/>
      <c r="BU45" s="2473"/>
      <c r="BV45" s="2473"/>
      <c r="BW45" s="2473"/>
      <c r="BX45" s="2473"/>
      <c r="BY45" s="2473"/>
      <c r="BZ45" s="2473"/>
      <c r="CA45" s="2473"/>
      <c r="CB45" s="2473"/>
      <c r="CC45" s="2473"/>
      <c r="CD45" s="2473"/>
      <c r="CE45" s="2473"/>
      <c r="CF45" s="2473"/>
      <c r="CG45" s="2473"/>
      <c r="CH45" s="2473"/>
      <c r="CI45" s="2473"/>
      <c r="CJ45" s="2473"/>
      <c r="CK45" s="2473"/>
      <c r="CL45" s="2473"/>
      <c r="CM45" s="2473"/>
      <c r="CN45" s="2473"/>
      <c r="CO45" s="2473"/>
      <c r="CP45" s="2473"/>
      <c r="CQ45" s="2473"/>
      <c r="CR45" s="2473"/>
      <c r="CS45" s="2473"/>
      <c r="CT45" s="2473"/>
      <c r="CU45" s="2473"/>
      <c r="CV45" s="2473"/>
      <c r="CW45" s="2473"/>
      <c r="CX45" s="2473"/>
      <c r="CY45" s="2473"/>
      <c r="CZ45" s="2473"/>
      <c r="DA45" s="2473"/>
      <c r="DB45" s="2473"/>
      <c r="DC45" s="2473"/>
      <c r="DD45" s="2473"/>
      <c r="DE45" s="2473"/>
      <c r="DF45" s="2473"/>
      <c r="DG45" s="2473"/>
      <c r="DH45" s="2473"/>
      <c r="DI45" s="2473"/>
    </row>
    <row r="46" spans="1:113" s="6" customFormat="1" ht="15.75" hidden="1" customHeight="1">
      <c r="A46" s="2473"/>
      <c r="B46" s="105"/>
      <c r="C46" s="967" t="s">
        <v>719</v>
      </c>
      <c r="D46" s="1070"/>
      <c r="E46" s="957"/>
      <c r="F46" s="1071"/>
      <c r="G46" s="1071"/>
      <c r="H46" s="1071"/>
      <c r="I46" s="1071"/>
      <c r="J46" s="1071"/>
      <c r="K46" s="1071"/>
      <c r="L46" s="1071"/>
      <c r="M46" s="1071"/>
      <c r="N46" s="1071"/>
      <c r="O46" s="67"/>
      <c r="P46" s="1068"/>
      <c r="Q46" s="2471"/>
      <c r="R46" s="1167"/>
      <c r="S46" s="1167"/>
      <c r="T46" s="1167"/>
      <c r="U46" s="1167"/>
      <c r="V46" s="1167"/>
      <c r="W46" s="1167"/>
      <c r="X46" s="1167"/>
      <c r="Y46" s="1167"/>
      <c r="Z46" s="1167"/>
      <c r="AA46" s="1167"/>
      <c r="AB46" s="1167"/>
      <c r="AC46" s="1167"/>
      <c r="AD46" s="1167"/>
      <c r="AE46" s="1167"/>
      <c r="AF46" s="2473"/>
      <c r="AG46" s="2473"/>
      <c r="AH46" s="2473"/>
      <c r="AI46" s="2473"/>
      <c r="AJ46" s="2473"/>
      <c r="AK46" s="2473"/>
      <c r="AL46" s="2473"/>
      <c r="AM46" s="2473"/>
      <c r="AN46" s="2473"/>
      <c r="AO46" s="2473"/>
      <c r="AP46" s="2473"/>
      <c r="AQ46" s="2473"/>
      <c r="AR46" s="2473"/>
      <c r="AS46" s="2473"/>
      <c r="AT46" s="2473"/>
      <c r="AU46" s="2473"/>
      <c r="AV46" s="2473"/>
      <c r="AW46" s="2473"/>
      <c r="AX46" s="2473"/>
      <c r="AY46" s="2473"/>
      <c r="AZ46" s="2473"/>
      <c r="BA46" s="2473"/>
      <c r="BB46" s="2473"/>
      <c r="BC46" s="2473"/>
      <c r="BD46" s="2473"/>
      <c r="BE46" s="2473"/>
      <c r="BF46" s="2473"/>
      <c r="BG46" s="2473"/>
      <c r="BH46" s="2473"/>
      <c r="BI46" s="2473"/>
      <c r="BJ46" s="2473"/>
      <c r="BK46" s="2473"/>
      <c r="BL46" s="2473"/>
      <c r="BM46" s="2473"/>
      <c r="BN46" s="2473"/>
      <c r="BO46" s="2473"/>
      <c r="BP46" s="2473"/>
      <c r="BQ46" s="2473"/>
      <c r="BR46" s="2473"/>
      <c r="BS46" s="2473"/>
      <c r="BT46" s="2473"/>
      <c r="BU46" s="2473"/>
      <c r="BV46" s="2473"/>
      <c r="BW46" s="2473"/>
      <c r="BX46" s="2473"/>
      <c r="BY46" s="2473"/>
      <c r="BZ46" s="2473"/>
      <c r="CA46" s="2473"/>
      <c r="CB46" s="2473"/>
      <c r="CC46" s="2473"/>
      <c r="CD46" s="2473"/>
      <c r="CE46" s="2473"/>
      <c r="CF46" s="2473"/>
      <c r="CG46" s="2473"/>
      <c r="CH46" s="2473"/>
      <c r="CI46" s="2473"/>
      <c r="CJ46" s="2473"/>
      <c r="CK46" s="2473"/>
      <c r="CL46" s="2473"/>
      <c r="CM46" s="2473"/>
      <c r="CN46" s="2473"/>
      <c r="CO46" s="2473"/>
      <c r="CP46" s="2473"/>
      <c r="CQ46" s="2473"/>
      <c r="CR46" s="2473"/>
      <c r="CS46" s="2473"/>
      <c r="CT46" s="2473"/>
      <c r="CU46" s="2473"/>
      <c r="CV46" s="2473"/>
      <c r="CW46" s="2473"/>
      <c r="CX46" s="2473"/>
      <c r="CY46" s="2473"/>
      <c r="CZ46" s="2473"/>
      <c r="DA46" s="2473"/>
      <c r="DB46" s="2473"/>
      <c r="DC46" s="2473"/>
      <c r="DD46" s="2473"/>
      <c r="DE46" s="2473"/>
      <c r="DF46" s="2473"/>
      <c r="DG46" s="2473"/>
      <c r="DH46" s="2473"/>
      <c r="DI46" s="2473"/>
    </row>
    <row r="47" spans="1:113" s="6" customFormat="1" ht="15.75" hidden="1" customHeight="1">
      <c r="A47" s="2473"/>
      <c r="B47" s="105"/>
      <c r="C47" s="943" t="s">
        <v>720</v>
      </c>
      <c r="D47" s="915"/>
      <c r="E47" s="944"/>
      <c r="F47" s="945"/>
      <c r="G47" s="945"/>
      <c r="H47" s="945"/>
      <c r="I47" s="945"/>
      <c r="J47" s="945"/>
      <c r="K47" s="945"/>
      <c r="L47" s="945"/>
      <c r="M47" s="945"/>
      <c r="N47" s="945"/>
      <c r="O47" s="67"/>
      <c r="P47" s="1068"/>
      <c r="Q47" s="2471"/>
      <c r="R47" s="1167"/>
      <c r="S47" s="2501"/>
      <c r="T47" s="1167"/>
      <c r="U47" s="1167"/>
      <c r="V47" s="1167"/>
      <c r="W47" s="2501"/>
      <c r="X47" s="1167"/>
      <c r="Y47" s="1167"/>
      <c r="Z47" s="1167"/>
      <c r="AA47" s="1167"/>
      <c r="AB47" s="1167"/>
      <c r="AC47" s="1167"/>
      <c r="AD47" s="1167"/>
      <c r="AE47" s="1167"/>
      <c r="AF47" s="2473"/>
      <c r="AG47" s="2473"/>
      <c r="AH47" s="2473"/>
      <c r="AI47" s="2473"/>
      <c r="AJ47" s="2473"/>
      <c r="AK47" s="2473"/>
      <c r="AL47" s="2473"/>
      <c r="AM47" s="2473"/>
      <c r="AN47" s="2473"/>
      <c r="AO47" s="2473"/>
      <c r="AP47" s="2473"/>
      <c r="AQ47" s="2473"/>
      <c r="AR47" s="2473"/>
      <c r="AS47" s="2473"/>
      <c r="AT47" s="2473"/>
      <c r="AU47" s="2473"/>
      <c r="AV47" s="2473"/>
      <c r="AW47" s="2473"/>
      <c r="AX47" s="2473"/>
      <c r="AY47" s="2473"/>
      <c r="AZ47" s="2473"/>
      <c r="BA47" s="2473"/>
      <c r="BB47" s="2473"/>
      <c r="BC47" s="2473"/>
      <c r="BD47" s="2473"/>
      <c r="BE47" s="2473"/>
      <c r="BF47" s="2473"/>
      <c r="BG47" s="2473"/>
      <c r="BH47" s="2473"/>
      <c r="BI47" s="2473"/>
      <c r="BJ47" s="2473"/>
      <c r="BK47" s="2473"/>
      <c r="BL47" s="2473"/>
      <c r="BM47" s="2473"/>
      <c r="BN47" s="2473"/>
      <c r="BO47" s="2473"/>
      <c r="BP47" s="2473"/>
      <c r="BQ47" s="2473"/>
      <c r="BR47" s="2473"/>
      <c r="BS47" s="2473"/>
      <c r="BT47" s="2473"/>
      <c r="BU47" s="2473"/>
      <c r="BV47" s="2473"/>
      <c r="BW47" s="2473"/>
      <c r="BX47" s="2473"/>
      <c r="BY47" s="2473"/>
      <c r="BZ47" s="2473"/>
      <c r="CA47" s="2473"/>
      <c r="CB47" s="2473"/>
      <c r="CC47" s="2473"/>
      <c r="CD47" s="2473"/>
      <c r="CE47" s="2473"/>
      <c r="CF47" s="2473"/>
      <c r="CG47" s="2473"/>
      <c r="CH47" s="2473"/>
      <c r="CI47" s="2473"/>
      <c r="CJ47" s="2473"/>
      <c r="CK47" s="2473"/>
      <c r="CL47" s="2473"/>
      <c r="CM47" s="2473"/>
      <c r="CN47" s="2473"/>
      <c r="CO47" s="2473"/>
      <c r="CP47" s="2473"/>
      <c r="CQ47" s="2473"/>
      <c r="CR47" s="2473"/>
      <c r="CS47" s="2473"/>
      <c r="CT47" s="2473"/>
      <c r="CU47" s="2473"/>
      <c r="CV47" s="2473"/>
      <c r="CW47" s="2473"/>
      <c r="CX47" s="2473"/>
      <c r="CY47" s="2473"/>
      <c r="CZ47" s="2473"/>
      <c r="DA47" s="2473"/>
      <c r="DB47" s="2473"/>
      <c r="DC47" s="2473"/>
      <c r="DD47" s="2473"/>
      <c r="DE47" s="2473"/>
      <c r="DF47" s="2473"/>
      <c r="DG47" s="2473"/>
      <c r="DH47" s="2473"/>
      <c r="DI47" s="2473"/>
    </row>
    <row r="48" spans="1:113" s="6" customFormat="1" ht="15.75" hidden="1" customHeight="1">
      <c r="A48" s="2473"/>
      <c r="B48" s="105"/>
      <c r="C48" s="947" t="s">
        <v>721</v>
      </c>
      <c r="D48" s="948"/>
      <c r="E48" s="949"/>
      <c r="F48" s="950"/>
      <c r="G48" s="950"/>
      <c r="H48" s="950"/>
      <c r="I48" s="950"/>
      <c r="J48" s="950"/>
      <c r="K48" s="950"/>
      <c r="L48" s="950"/>
      <c r="M48" s="950"/>
      <c r="N48" s="950"/>
      <c r="O48" s="67"/>
      <c r="P48" s="1068"/>
      <c r="Q48" s="2471"/>
      <c r="R48" s="1167"/>
      <c r="S48" s="1167"/>
      <c r="T48" s="1167"/>
      <c r="U48" s="1167"/>
      <c r="V48" s="1167"/>
      <c r="W48" s="1167"/>
      <c r="X48" s="1167"/>
      <c r="Y48" s="1167"/>
      <c r="Z48" s="1167"/>
      <c r="AA48" s="1167"/>
      <c r="AB48" s="1167"/>
      <c r="AC48" s="1167"/>
      <c r="AD48" s="1167"/>
      <c r="AE48" s="1167"/>
      <c r="AF48" s="2473"/>
      <c r="AG48" s="2473"/>
      <c r="AH48" s="2473"/>
      <c r="AI48" s="2473"/>
      <c r="AJ48" s="2473"/>
      <c r="AK48" s="2473"/>
      <c r="AL48" s="2473"/>
      <c r="AM48" s="2473"/>
      <c r="AN48" s="2473"/>
      <c r="AO48" s="2473"/>
      <c r="AP48" s="2473"/>
      <c r="AQ48" s="2473"/>
      <c r="AR48" s="2473"/>
      <c r="AS48" s="2473"/>
      <c r="AT48" s="2473"/>
      <c r="AU48" s="2473"/>
      <c r="AV48" s="2473"/>
      <c r="AW48" s="2473"/>
      <c r="AX48" s="2473"/>
      <c r="AY48" s="2473"/>
      <c r="AZ48" s="2473"/>
      <c r="BA48" s="2473"/>
      <c r="BB48" s="2473"/>
      <c r="BC48" s="2473"/>
      <c r="BD48" s="2473"/>
      <c r="BE48" s="2473"/>
      <c r="BF48" s="2473"/>
      <c r="BG48" s="2473"/>
      <c r="BH48" s="2473"/>
      <c r="BI48" s="2473"/>
      <c r="BJ48" s="2473"/>
      <c r="BK48" s="2473"/>
      <c r="BL48" s="2473"/>
      <c r="BM48" s="2473"/>
      <c r="BN48" s="2473"/>
      <c r="BO48" s="2473"/>
      <c r="BP48" s="2473"/>
      <c r="BQ48" s="2473"/>
      <c r="BR48" s="2473"/>
      <c r="BS48" s="2473"/>
      <c r="BT48" s="2473"/>
      <c r="BU48" s="2473"/>
      <c r="BV48" s="2473"/>
      <c r="BW48" s="2473"/>
      <c r="BX48" s="2473"/>
      <c r="BY48" s="2473"/>
      <c r="BZ48" s="2473"/>
      <c r="CA48" s="2473"/>
      <c r="CB48" s="2473"/>
      <c r="CC48" s="2473"/>
      <c r="CD48" s="2473"/>
      <c r="CE48" s="2473"/>
      <c r="CF48" s="2473"/>
      <c r="CG48" s="2473"/>
      <c r="CH48" s="2473"/>
      <c r="CI48" s="2473"/>
      <c r="CJ48" s="2473"/>
      <c r="CK48" s="2473"/>
      <c r="CL48" s="2473"/>
      <c r="CM48" s="2473"/>
      <c r="CN48" s="2473"/>
      <c r="CO48" s="2473"/>
      <c r="CP48" s="2473"/>
      <c r="CQ48" s="2473"/>
      <c r="CR48" s="2473"/>
      <c r="CS48" s="2473"/>
      <c r="CT48" s="2473"/>
      <c r="CU48" s="2473"/>
      <c r="CV48" s="2473"/>
      <c r="CW48" s="2473"/>
      <c r="CX48" s="2473"/>
      <c r="CY48" s="2473"/>
      <c r="CZ48" s="2473"/>
      <c r="DA48" s="2473"/>
      <c r="DB48" s="2473"/>
      <c r="DC48" s="2473"/>
      <c r="DD48" s="2473"/>
      <c r="DE48" s="2473"/>
      <c r="DF48" s="2473"/>
      <c r="DG48" s="2473"/>
      <c r="DH48" s="2473"/>
      <c r="DI48" s="2473"/>
    </row>
    <row r="49" spans="1:113" s="6" customFormat="1" hidden="1">
      <c r="A49" s="2473"/>
      <c r="B49" s="105"/>
      <c r="C49" s="937"/>
      <c r="D49" s="915"/>
      <c r="E49" s="932"/>
      <c r="F49" s="933"/>
      <c r="G49" s="934"/>
      <c r="H49" s="934"/>
      <c r="I49" s="934"/>
      <c r="J49" s="934"/>
      <c r="K49" s="934"/>
      <c r="L49" s="934"/>
      <c r="M49" s="934"/>
      <c r="N49" s="67"/>
      <c r="O49" s="67"/>
      <c r="P49" s="1068"/>
      <c r="Q49" s="2471"/>
      <c r="R49" s="1079"/>
      <c r="S49" s="1167"/>
      <c r="T49" s="1167"/>
      <c r="U49" s="1167"/>
      <c r="V49" s="1167"/>
      <c r="W49" s="1167"/>
      <c r="X49" s="1167"/>
      <c r="Y49" s="1167"/>
      <c r="Z49" s="1167"/>
      <c r="AA49" s="1167"/>
      <c r="AB49" s="1167"/>
      <c r="AC49" s="1167"/>
      <c r="AD49" s="1167"/>
      <c r="AE49" s="1167"/>
      <c r="AF49" s="2473"/>
      <c r="AG49" s="2473"/>
      <c r="AH49" s="2473"/>
      <c r="AI49" s="2473"/>
      <c r="AJ49" s="2473"/>
      <c r="AK49" s="2473"/>
      <c r="AL49" s="2473"/>
      <c r="AM49" s="2473"/>
      <c r="AN49" s="2473"/>
      <c r="AO49" s="2473"/>
      <c r="AP49" s="2473"/>
      <c r="AQ49" s="2473"/>
      <c r="AR49" s="2473"/>
      <c r="AS49" s="2473"/>
      <c r="AT49" s="2473"/>
      <c r="AU49" s="2473"/>
      <c r="AV49" s="2473"/>
      <c r="AW49" s="2473"/>
      <c r="AX49" s="2473"/>
      <c r="AY49" s="2473"/>
      <c r="AZ49" s="2473"/>
      <c r="BA49" s="2473"/>
      <c r="BB49" s="2473"/>
      <c r="BC49" s="2473"/>
      <c r="BD49" s="2473"/>
      <c r="BE49" s="2473"/>
      <c r="BF49" s="2473"/>
      <c r="BG49" s="2473"/>
      <c r="BH49" s="2473"/>
      <c r="BI49" s="2473"/>
      <c r="BJ49" s="2473"/>
      <c r="BK49" s="2473"/>
      <c r="BL49" s="2473"/>
      <c r="BM49" s="2473"/>
      <c r="BN49" s="2473"/>
      <c r="BO49" s="2473"/>
      <c r="BP49" s="2473"/>
      <c r="BQ49" s="2473"/>
      <c r="BR49" s="2473"/>
      <c r="BS49" s="2473"/>
      <c r="BT49" s="2473"/>
      <c r="BU49" s="2473"/>
      <c r="BV49" s="2473"/>
      <c r="BW49" s="2473"/>
      <c r="BX49" s="2473"/>
      <c r="BY49" s="2473"/>
      <c r="BZ49" s="2473"/>
      <c r="CA49" s="2473"/>
      <c r="CB49" s="2473"/>
      <c r="CC49" s="2473"/>
      <c r="CD49" s="2473"/>
      <c r="CE49" s="2473"/>
      <c r="CF49" s="2473"/>
      <c r="CG49" s="2473"/>
      <c r="CH49" s="2473"/>
      <c r="CI49" s="2473"/>
      <c r="CJ49" s="2473"/>
      <c r="CK49" s="2473"/>
      <c r="CL49" s="2473"/>
      <c r="CM49" s="2473"/>
      <c r="CN49" s="2473"/>
      <c r="CO49" s="2473"/>
      <c r="CP49" s="2473"/>
      <c r="CQ49" s="2473"/>
      <c r="CR49" s="2473"/>
      <c r="CS49" s="2473"/>
      <c r="CT49" s="2473"/>
      <c r="CU49" s="2473"/>
      <c r="CV49" s="2473"/>
      <c r="CW49" s="2473"/>
      <c r="CX49" s="2473"/>
      <c r="CY49" s="2473"/>
      <c r="CZ49" s="2473"/>
      <c r="DA49" s="2473"/>
      <c r="DB49" s="2473"/>
      <c r="DC49" s="2473"/>
      <c r="DD49" s="2473"/>
      <c r="DE49" s="2473"/>
      <c r="DF49" s="2473"/>
      <c r="DG49" s="2473"/>
      <c r="DH49" s="2473"/>
      <c r="DI49" s="2473"/>
    </row>
    <row r="50" spans="1:113" ht="15.75" hidden="1" customHeight="1">
      <c r="B50" s="105"/>
      <c r="C50" s="49" t="s">
        <v>1861</v>
      </c>
      <c r="D50" s="915"/>
      <c r="E50" s="932"/>
      <c r="F50" s="933"/>
      <c r="G50" s="934"/>
      <c r="H50" s="934"/>
      <c r="I50" s="934"/>
      <c r="J50" s="934"/>
      <c r="K50" s="934"/>
      <c r="L50" s="934"/>
      <c r="M50" s="934"/>
      <c r="N50" s="935" t="s">
        <v>2745</v>
      </c>
      <c r="O50" s="67"/>
      <c r="P50" s="1068"/>
      <c r="Q50" s="1074"/>
      <c r="R50" s="509"/>
      <c r="S50" s="4331"/>
      <c r="T50" s="4331"/>
      <c r="U50" s="4331"/>
      <c r="V50" s="4331"/>
      <c r="W50" s="1166"/>
      <c r="X50" s="4331"/>
      <c r="Y50" s="4331"/>
      <c r="Z50" s="1167"/>
      <c r="AA50" s="1074"/>
      <c r="AB50" s="1074"/>
      <c r="AC50" s="1074"/>
      <c r="AD50" s="1074"/>
      <c r="AE50" s="1074"/>
    </row>
    <row r="51" spans="1:113" ht="6" hidden="1" customHeight="1">
      <c r="B51" s="105"/>
      <c r="C51" s="937"/>
      <c r="D51" s="915"/>
      <c r="E51" s="932"/>
      <c r="F51" s="933"/>
      <c r="G51" s="934"/>
      <c r="H51" s="934"/>
      <c r="I51" s="934"/>
      <c r="J51" s="934"/>
      <c r="K51" s="934"/>
      <c r="L51" s="934"/>
      <c r="M51" s="934"/>
      <c r="N51" s="67"/>
      <c r="O51" s="67"/>
      <c r="P51" s="1068"/>
      <c r="Q51" s="1074"/>
      <c r="R51" s="1166"/>
      <c r="S51" s="4332"/>
      <c r="T51" s="4332"/>
      <c r="U51" s="4331"/>
      <c r="V51" s="4331"/>
      <c r="W51" s="1166"/>
      <c r="X51" s="2475"/>
      <c r="Y51" s="2475"/>
      <c r="Z51" s="1168"/>
      <c r="AA51" s="1074"/>
      <c r="AB51" s="1074"/>
      <c r="AC51" s="1074"/>
      <c r="AD51" s="1074"/>
      <c r="AE51" s="1074"/>
    </row>
    <row r="52" spans="1:113" hidden="1">
      <c r="B52" s="105"/>
      <c r="C52" s="1170"/>
      <c r="D52" s="1070"/>
      <c r="E52" s="971" t="s">
        <v>159</v>
      </c>
      <c r="F52" s="972">
        <v>2013</v>
      </c>
      <c r="G52" s="965">
        <v>2015</v>
      </c>
      <c r="H52" s="965">
        <v>2020</v>
      </c>
      <c r="I52" s="965">
        <v>2025</v>
      </c>
      <c r="J52" s="965">
        <v>2030</v>
      </c>
      <c r="K52" s="965">
        <v>2035</v>
      </c>
      <c r="L52" s="965">
        <v>2040</v>
      </c>
      <c r="M52" s="965">
        <v>2045</v>
      </c>
      <c r="N52" s="965">
        <v>2050</v>
      </c>
      <c r="O52" s="67"/>
      <c r="P52" s="1068"/>
      <c r="Q52" s="1074"/>
      <c r="R52" s="1068"/>
      <c r="S52" s="620"/>
      <c r="T52" s="620"/>
      <c r="U52" s="1068"/>
      <c r="V52" s="620"/>
      <c r="W52" s="1166"/>
      <c r="X52" s="620"/>
      <c r="Y52" s="620"/>
      <c r="Z52" s="1074"/>
      <c r="AA52" s="1074"/>
      <c r="AB52" s="1074"/>
      <c r="AC52" s="1074"/>
      <c r="AD52" s="1074"/>
      <c r="AE52" s="1074"/>
    </row>
    <row r="53" spans="1:113" ht="15.75" hidden="1" customHeight="1">
      <c r="B53" s="105"/>
      <c r="C53" s="967" t="s">
        <v>719</v>
      </c>
      <c r="D53" s="1070"/>
      <c r="E53" s="957"/>
      <c r="F53" s="1071"/>
      <c r="G53" s="1071"/>
      <c r="H53" s="1071"/>
      <c r="I53" s="1071"/>
      <c r="J53" s="1071"/>
      <c r="K53" s="1071"/>
      <c r="L53" s="1071"/>
      <c r="M53" s="1071"/>
      <c r="N53" s="1071"/>
      <c r="O53" s="67"/>
      <c r="P53" s="1068"/>
      <c r="Q53" s="1074"/>
      <c r="R53" s="1068"/>
      <c r="S53" s="620"/>
      <c r="T53" s="620"/>
      <c r="U53" s="1068"/>
      <c r="V53" s="620"/>
      <c r="W53" s="1166"/>
      <c r="X53" s="620"/>
      <c r="Y53" s="620"/>
      <c r="Z53" s="1074"/>
      <c r="AA53" s="1074"/>
      <c r="AB53" s="1074"/>
      <c r="AC53" s="1074"/>
      <c r="AD53" s="1074"/>
      <c r="AE53" s="1074"/>
    </row>
    <row r="54" spans="1:113" ht="15.75" hidden="1" customHeight="1">
      <c r="B54" s="105"/>
      <c r="C54" s="943" t="s">
        <v>720</v>
      </c>
      <c r="D54" s="915"/>
      <c r="E54" s="944"/>
      <c r="F54" s="945"/>
      <c r="G54" s="945"/>
      <c r="H54" s="945"/>
      <c r="I54" s="945"/>
      <c r="J54" s="945"/>
      <c r="K54" s="945"/>
      <c r="L54" s="945"/>
      <c r="M54" s="945"/>
      <c r="N54" s="945"/>
      <c r="O54" s="67"/>
      <c r="P54" s="1068"/>
      <c r="Q54" s="1074"/>
      <c r="R54" s="2502"/>
      <c r="S54" s="2503"/>
      <c r="T54" s="1169"/>
      <c r="U54" s="2503"/>
      <c r="V54" s="1169"/>
      <c r="W54" s="1169"/>
      <c r="X54" s="2504"/>
      <c r="Y54" s="2505"/>
      <c r="Z54" s="1074"/>
      <c r="AA54" s="1074"/>
      <c r="AB54" s="1074"/>
      <c r="AC54" s="1074"/>
      <c r="AD54" s="1074"/>
      <c r="AE54" s="1068"/>
    </row>
    <row r="55" spans="1:113" ht="15.75" hidden="1" customHeight="1">
      <c r="B55" s="105"/>
      <c r="C55" s="947" t="s">
        <v>721</v>
      </c>
      <c r="D55" s="948"/>
      <c r="E55" s="949"/>
      <c r="F55" s="950"/>
      <c r="G55" s="950"/>
      <c r="H55" s="950"/>
      <c r="I55" s="950"/>
      <c r="J55" s="950"/>
      <c r="K55" s="950"/>
      <c r="L55" s="950"/>
      <c r="M55" s="950"/>
      <c r="N55" s="950"/>
      <c r="O55" s="67"/>
      <c r="P55" s="1068"/>
      <c r="Q55" s="1074"/>
      <c r="R55" s="2502"/>
      <c r="S55" s="2502"/>
      <c r="T55" s="2503"/>
      <c r="U55" s="2503"/>
      <c r="V55" s="2504"/>
      <c r="W55" s="2502"/>
      <c r="X55" s="2502"/>
      <c r="Y55" s="2502"/>
      <c r="Z55" s="2502"/>
      <c r="AA55" s="2502"/>
      <c r="AB55" s="2502"/>
      <c r="AC55" s="2502"/>
      <c r="AD55" s="2502"/>
      <c r="AE55" s="2506"/>
    </row>
    <row r="56" spans="1:113" ht="15.75" hidden="1" customHeight="1">
      <c r="B56" s="47"/>
      <c r="C56" s="47"/>
      <c r="D56" s="67"/>
      <c r="E56" s="934"/>
      <c r="F56" s="67"/>
      <c r="G56" s="67"/>
      <c r="H56" s="67"/>
      <c r="I56" s="1176"/>
      <c r="J56" s="1176"/>
      <c r="K56" s="47"/>
      <c r="L56" s="47"/>
      <c r="M56" s="47"/>
      <c r="N56" s="47"/>
      <c r="O56" s="47"/>
      <c r="Q56" s="1074"/>
      <c r="R56" s="1079"/>
      <c r="S56" s="2502"/>
      <c r="T56" s="2503"/>
      <c r="U56" s="2503"/>
      <c r="V56" s="2504"/>
      <c r="W56" s="2502"/>
      <c r="X56" s="2502"/>
      <c r="Y56" s="2502"/>
      <c r="Z56" s="2502"/>
      <c r="AA56" s="2502"/>
      <c r="AB56" s="2502"/>
      <c r="AC56" s="2502"/>
      <c r="AD56" s="2502"/>
      <c r="AE56" s="2506"/>
    </row>
    <row r="57" spans="1:113" ht="11.25" customHeight="1">
      <c r="B57" s="1073"/>
      <c r="C57" s="1079"/>
      <c r="D57" s="2502"/>
      <c r="E57" s="2503"/>
      <c r="F57" s="2503"/>
      <c r="G57" s="2502"/>
      <c r="H57" s="2502"/>
      <c r="I57" s="2502"/>
      <c r="J57" s="2502"/>
      <c r="K57" s="2502"/>
      <c r="L57" s="2502"/>
      <c r="M57" s="2507"/>
      <c r="N57" s="2507" t="s">
        <v>5</v>
      </c>
      <c r="O57" s="2508"/>
      <c r="Q57" s="1074"/>
      <c r="R57" s="1079"/>
      <c r="S57" s="2502"/>
      <c r="T57" s="2503"/>
      <c r="U57" s="2503"/>
      <c r="V57" s="2504"/>
      <c r="W57" s="2502"/>
      <c r="X57" s="2502"/>
      <c r="Y57" s="2502"/>
      <c r="Z57" s="2502"/>
      <c r="AA57" s="2502"/>
      <c r="AB57" s="2502"/>
      <c r="AC57" s="2502"/>
      <c r="AD57" s="2502"/>
      <c r="AE57" s="2506"/>
    </row>
    <row r="58" spans="1:113" ht="15">
      <c r="B58" s="869" t="s">
        <v>177</v>
      </c>
      <c r="C58" s="870"/>
      <c r="D58" s="870"/>
      <c r="E58" s="870"/>
      <c r="F58" s="870"/>
      <c r="G58" s="870"/>
      <c r="H58" s="870"/>
      <c r="I58" s="870"/>
      <c r="J58" s="870"/>
      <c r="K58" s="870"/>
      <c r="L58" s="870"/>
      <c r="M58" s="870"/>
      <c r="N58" s="870"/>
      <c r="O58" s="871"/>
      <c r="Q58" s="1068"/>
      <c r="R58" s="1068"/>
      <c r="S58" s="1068"/>
      <c r="T58" s="1672"/>
      <c r="U58" s="1672"/>
      <c r="V58" s="1068"/>
      <c r="W58" s="1068"/>
      <c r="X58" s="1068"/>
      <c r="Y58" s="1068"/>
      <c r="Z58" s="1068"/>
      <c r="AA58" s="1068"/>
      <c r="AB58" s="1068"/>
      <c r="AC58" s="1068"/>
      <c r="AD58" s="1068"/>
      <c r="AE58" s="1068"/>
    </row>
    <row r="59" spans="1:113">
      <c r="B59" s="105"/>
      <c r="C59" s="67"/>
      <c r="D59" s="67"/>
      <c r="E59" s="67"/>
      <c r="F59" s="67"/>
      <c r="G59" s="67"/>
      <c r="H59" s="67"/>
      <c r="I59" s="67"/>
      <c r="J59" s="67"/>
      <c r="K59" s="67"/>
      <c r="L59" s="67"/>
      <c r="M59" s="67"/>
      <c r="N59" s="67"/>
      <c r="O59" s="876"/>
      <c r="Q59" s="1074"/>
      <c r="R59" s="608"/>
      <c r="S59" s="608"/>
      <c r="T59" s="607"/>
      <c r="U59" s="207"/>
      <c r="V59" s="207"/>
      <c r="W59" s="2509"/>
      <c r="X59" s="1074"/>
      <c r="Y59" s="1074"/>
      <c r="Z59" s="1074"/>
      <c r="AA59" s="1074"/>
      <c r="AB59" s="1074"/>
      <c r="AC59" s="1074"/>
      <c r="AD59" s="1074"/>
      <c r="AE59" s="1068"/>
    </row>
    <row r="60" spans="1:113">
      <c r="B60" s="105"/>
      <c r="C60" s="49" t="s">
        <v>726</v>
      </c>
      <c r="D60" s="67"/>
      <c r="E60" s="51"/>
      <c r="F60" s="67"/>
      <c r="G60" s="67"/>
      <c r="H60" s="67"/>
      <c r="I60" s="67"/>
      <c r="J60" s="67"/>
      <c r="K60" s="67"/>
      <c r="L60" s="67"/>
      <c r="M60" s="67"/>
      <c r="N60" s="51" t="str">
        <f>Preferences.PowerUnits</f>
        <v>GW</v>
      </c>
      <c r="O60" s="876"/>
      <c r="Q60" s="1074"/>
      <c r="R60" s="608"/>
      <c r="S60" s="510"/>
      <c r="T60" s="1076"/>
      <c r="U60" s="1077"/>
      <c r="V60" s="1077"/>
      <c r="W60" s="2509"/>
      <c r="X60" s="1074"/>
      <c r="Y60" s="1074"/>
      <c r="Z60" s="1074"/>
      <c r="AA60" s="1074"/>
      <c r="AB60" s="1074"/>
      <c r="AC60" s="1074"/>
      <c r="AD60" s="1074"/>
      <c r="AE60" s="1068"/>
    </row>
    <row r="61" spans="1:113">
      <c r="B61" s="105"/>
      <c r="C61" s="67"/>
      <c r="D61" s="67"/>
      <c r="E61" s="67"/>
      <c r="F61" s="67"/>
      <c r="G61" s="67"/>
      <c r="H61" s="67"/>
      <c r="I61" s="67"/>
      <c r="J61" s="67"/>
      <c r="K61" s="67"/>
      <c r="L61" s="67"/>
      <c r="M61" s="67"/>
      <c r="N61" s="67"/>
      <c r="O61" s="876"/>
      <c r="Q61" s="1074"/>
      <c r="R61" s="1075"/>
      <c r="S61" s="510"/>
      <c r="T61" s="1076"/>
      <c r="U61" s="1077"/>
      <c r="V61" s="1077"/>
      <c r="W61" s="1078"/>
      <c r="X61" s="1074"/>
      <c r="Y61" s="1074"/>
      <c r="Z61" s="1074"/>
      <c r="AA61" s="1074"/>
      <c r="AB61" s="1074"/>
      <c r="AC61" s="1074"/>
      <c r="AD61" s="1074"/>
      <c r="AE61" s="1068"/>
    </row>
    <row r="62" spans="1:113" ht="15.5">
      <c r="B62" s="55"/>
      <c r="C62" s="878" t="s">
        <v>131</v>
      </c>
      <c r="D62" s="878" t="s">
        <v>71</v>
      </c>
      <c r="E62" s="878" t="s">
        <v>30</v>
      </c>
      <c r="F62" s="87">
        <v>2013</v>
      </c>
      <c r="G62" s="87">
        <v>2015</v>
      </c>
      <c r="H62" s="87">
        <v>2020</v>
      </c>
      <c r="I62" s="87">
        <v>2025</v>
      </c>
      <c r="J62" s="87">
        <v>2030</v>
      </c>
      <c r="K62" s="87">
        <v>2035</v>
      </c>
      <c r="L62" s="87">
        <v>2040</v>
      </c>
      <c r="M62" s="87">
        <v>2045</v>
      </c>
      <c r="N62" s="87">
        <v>2050</v>
      </c>
      <c r="O62" s="876"/>
      <c r="Q62" s="1074"/>
      <c r="R62" s="1075"/>
      <c r="S62" s="510"/>
      <c r="T62" s="1076"/>
      <c r="U62" s="1077"/>
      <c r="V62" s="1077"/>
      <c r="W62" s="1078"/>
      <c r="X62" s="1074"/>
      <c r="Y62" s="1074"/>
      <c r="Z62" s="1074"/>
      <c r="AA62" s="1074"/>
      <c r="AB62" s="1074"/>
      <c r="AC62" s="1074"/>
      <c r="AD62" s="1074"/>
      <c r="AE62" s="1068"/>
    </row>
    <row r="63" spans="1:113" ht="15.5">
      <c r="B63" s="966"/>
      <c r="C63" s="907" t="s">
        <v>437</v>
      </c>
      <c r="D63" s="908" t="s">
        <v>78</v>
      </c>
      <c r="E63" s="908"/>
      <c r="F63" s="912">
        <f t="shared" ref="F63:N63" si="1">F20</f>
        <v>0</v>
      </c>
      <c r="G63" s="2510">
        <f t="shared" si="1"/>
        <v>0</v>
      </c>
      <c r="H63" s="912">
        <f t="shared" si="1"/>
        <v>0</v>
      </c>
      <c r="I63" s="912">
        <f t="shared" si="1"/>
        <v>0</v>
      </c>
      <c r="J63" s="912">
        <f t="shared" si="1"/>
        <v>0</v>
      </c>
      <c r="K63" s="912">
        <f t="shared" si="1"/>
        <v>0</v>
      </c>
      <c r="L63" s="912">
        <f t="shared" si="1"/>
        <v>0</v>
      </c>
      <c r="M63" s="912">
        <f t="shared" si="1"/>
        <v>0</v>
      </c>
      <c r="N63" s="912">
        <f t="shared" si="1"/>
        <v>0</v>
      </c>
      <c r="O63" s="884"/>
      <c r="Q63" s="1074"/>
      <c r="R63" s="1079"/>
      <c r="S63" s="510"/>
      <c r="T63" s="1076"/>
      <c r="U63" s="1077"/>
      <c r="V63" s="1077"/>
      <c r="W63" s="1078"/>
      <c r="X63" s="1074"/>
      <c r="Y63" s="1074"/>
      <c r="Z63" s="1074"/>
      <c r="AA63" s="1074"/>
      <c r="AB63" s="1074"/>
      <c r="AC63" s="1074"/>
      <c r="AD63" s="1074"/>
      <c r="AE63" s="1068"/>
    </row>
    <row r="64" spans="1:113" ht="11.25" customHeight="1">
      <c r="B64" s="45"/>
      <c r="C64" s="65"/>
      <c r="D64" s="103"/>
      <c r="E64" s="103"/>
      <c r="F64" s="167"/>
      <c r="G64" s="160"/>
      <c r="H64" s="160"/>
      <c r="I64" s="160"/>
      <c r="J64" s="160"/>
      <c r="K64" s="160"/>
      <c r="L64" s="160"/>
      <c r="M64" s="160"/>
      <c r="N64" s="160"/>
      <c r="O64" s="876"/>
      <c r="Q64" s="1074"/>
      <c r="R64" s="1075"/>
      <c r="S64" s="510"/>
      <c r="T64" s="1076"/>
      <c r="U64" s="1077"/>
      <c r="V64" s="1077"/>
      <c r="W64" s="1078"/>
      <c r="X64" s="1074"/>
      <c r="Y64" s="1074"/>
      <c r="Z64" s="1074"/>
      <c r="AA64" s="1074"/>
      <c r="AB64" s="1074"/>
      <c r="AC64" s="1074"/>
      <c r="AD64" s="1074"/>
      <c r="AE64" s="1068"/>
    </row>
    <row r="65" spans="1:31">
      <c r="Q65" s="1074"/>
      <c r="R65" s="2474"/>
      <c r="S65" s="509"/>
      <c r="T65" s="509"/>
      <c r="U65" s="2511"/>
      <c r="V65" s="2512"/>
      <c r="W65" s="2512"/>
      <c r="X65" s="2512"/>
      <c r="Y65" s="2512"/>
      <c r="Z65" s="2512"/>
      <c r="AA65" s="2512"/>
      <c r="AB65" s="2512"/>
      <c r="AC65" s="2512"/>
      <c r="AD65" s="2512"/>
      <c r="AE65" s="1068"/>
    </row>
    <row r="66" spans="1:31">
      <c r="B66" s="2473" t="s">
        <v>1862</v>
      </c>
      <c r="F66" s="2473">
        <v>2013</v>
      </c>
      <c r="G66" s="2473">
        <v>2015</v>
      </c>
      <c r="H66" s="2473">
        <v>2020</v>
      </c>
      <c r="I66" s="2473">
        <v>2025</v>
      </c>
      <c r="J66" s="2473">
        <v>2030</v>
      </c>
      <c r="K66" s="2473">
        <v>2035</v>
      </c>
      <c r="L66" s="2473">
        <v>2040</v>
      </c>
      <c r="M66" s="2473">
        <v>2045</v>
      </c>
      <c r="N66" s="2473">
        <v>2050</v>
      </c>
      <c r="Q66" s="1074"/>
      <c r="R66" s="2474"/>
      <c r="S66" s="2513"/>
      <c r="T66" s="509"/>
      <c r="U66" s="2514"/>
      <c r="V66" s="2514"/>
      <c r="W66" s="2515"/>
      <c r="X66" s="2515"/>
      <c r="Y66" s="2515"/>
      <c r="Z66" s="2515"/>
      <c r="AA66" s="2515"/>
      <c r="AB66" s="2515"/>
      <c r="AC66" s="2515"/>
      <c r="AD66" s="2515"/>
      <c r="AE66" s="1068"/>
    </row>
    <row r="67" spans="1:31">
      <c r="Q67" s="1074"/>
      <c r="R67" s="2474"/>
      <c r="S67" s="2513"/>
      <c r="T67" s="509"/>
      <c r="U67" s="2514"/>
      <c r="V67" s="2514"/>
      <c r="W67" s="2515"/>
      <c r="X67" s="2515"/>
      <c r="Y67" s="2515"/>
      <c r="Z67" s="2515"/>
      <c r="AA67" s="2515"/>
      <c r="AB67" s="2515"/>
      <c r="AC67" s="2515"/>
      <c r="AD67" s="2515"/>
      <c r="AE67" s="1068"/>
    </row>
    <row r="68" spans="1:31">
      <c r="C68" s="354" t="s">
        <v>852</v>
      </c>
      <c r="E68" s="373" t="str">
        <f>Preferences.PowerUnits</f>
        <v>GW</v>
      </c>
      <c r="F68" s="365">
        <f t="shared" ref="F68:N68" si="2">F$63</f>
        <v>0</v>
      </c>
      <c r="G68" s="365">
        <f t="shared" si="2"/>
        <v>0</v>
      </c>
      <c r="H68" s="365">
        <f t="shared" si="2"/>
        <v>0</v>
      </c>
      <c r="I68" s="365">
        <f t="shared" si="2"/>
        <v>0</v>
      </c>
      <c r="J68" s="365">
        <f t="shared" si="2"/>
        <v>0</v>
      </c>
      <c r="K68" s="365">
        <f t="shared" si="2"/>
        <v>0</v>
      </c>
      <c r="L68" s="365">
        <f t="shared" si="2"/>
        <v>0</v>
      </c>
      <c r="M68" s="365">
        <f t="shared" si="2"/>
        <v>0</v>
      </c>
      <c r="N68" s="365">
        <f t="shared" si="2"/>
        <v>0</v>
      </c>
      <c r="Q68" s="1074"/>
      <c r="R68" s="2474"/>
      <c r="S68" s="509"/>
      <c r="T68" s="509"/>
      <c r="U68" s="2516"/>
      <c r="V68" s="2516"/>
      <c r="W68" s="2517"/>
      <c r="X68" s="2517"/>
      <c r="Y68" s="2517"/>
      <c r="Z68" s="2517"/>
      <c r="AA68" s="2517"/>
      <c r="AB68" s="2517"/>
      <c r="AC68" s="2517"/>
      <c r="AD68" s="2517"/>
      <c r="AE68" s="1068"/>
    </row>
    <row r="69" spans="1:31">
      <c r="B69" s="2473" t="s">
        <v>218</v>
      </c>
      <c r="C69" s="2473" t="s">
        <v>839</v>
      </c>
      <c r="E69" s="373"/>
      <c r="F69" s="980">
        <f t="shared" ref="F69:N69" si="3">F$31</f>
        <v>9.7000000000000003E-2</v>
      </c>
      <c r="G69" s="980">
        <f t="shared" si="3"/>
        <v>9.7000000000000003E-2</v>
      </c>
      <c r="H69" s="980">
        <f t="shared" si="3"/>
        <v>9.7000000000000003E-2</v>
      </c>
      <c r="I69" s="980">
        <f t="shared" si="3"/>
        <v>9.7000000000000003E-2</v>
      </c>
      <c r="J69" s="980">
        <f t="shared" si="3"/>
        <v>9.7000000000000003E-2</v>
      </c>
      <c r="K69" s="980">
        <f t="shared" si="3"/>
        <v>9.7000000000000003E-2</v>
      </c>
      <c r="L69" s="980">
        <f t="shared" si="3"/>
        <v>9.7000000000000003E-2</v>
      </c>
      <c r="M69" s="980">
        <f t="shared" si="3"/>
        <v>9.7000000000000003E-2</v>
      </c>
      <c r="N69" s="980">
        <f t="shared" si="3"/>
        <v>9.7000000000000003E-2</v>
      </c>
      <c r="Q69" s="1074"/>
      <c r="R69" s="2474"/>
      <c r="S69" s="509"/>
      <c r="T69" s="509"/>
      <c r="U69" s="2511"/>
      <c r="V69" s="2512"/>
      <c r="W69" s="2512"/>
      <c r="X69" s="2512"/>
      <c r="Y69" s="2512"/>
      <c r="Z69" s="2512"/>
      <c r="AA69" s="2512"/>
      <c r="AB69" s="2512"/>
      <c r="AC69" s="2512"/>
      <c r="AD69" s="2512"/>
      <c r="AE69" s="1068"/>
    </row>
    <row r="70" spans="1:31">
      <c r="B70" s="979" t="s">
        <v>220</v>
      </c>
      <c r="C70" s="354" t="s">
        <v>853</v>
      </c>
      <c r="E70" s="373"/>
      <c r="F70" s="357">
        <f t="shared" ref="F70:N70" si="4">F68*F69</f>
        <v>0</v>
      </c>
      <c r="G70" s="357">
        <f t="shared" si="4"/>
        <v>0</v>
      </c>
      <c r="H70" s="357">
        <f t="shared" si="4"/>
        <v>0</v>
      </c>
      <c r="I70" s="357">
        <f t="shared" si="4"/>
        <v>0</v>
      </c>
      <c r="J70" s="357">
        <f t="shared" si="4"/>
        <v>0</v>
      </c>
      <c r="K70" s="357">
        <f t="shared" si="4"/>
        <v>0</v>
      </c>
      <c r="L70" s="357">
        <f t="shared" si="4"/>
        <v>0</v>
      </c>
      <c r="M70" s="357">
        <f t="shared" si="4"/>
        <v>0</v>
      </c>
      <c r="N70" s="357">
        <f t="shared" si="4"/>
        <v>0</v>
      </c>
      <c r="Q70" s="1074"/>
      <c r="R70" s="2474"/>
      <c r="S70" s="2513"/>
      <c r="T70" s="509"/>
      <c r="U70" s="2516"/>
      <c r="V70" s="2516"/>
      <c r="W70" s="2516"/>
      <c r="X70" s="2516"/>
      <c r="Y70" s="2516"/>
      <c r="Z70" s="2516"/>
      <c r="AA70" s="2516"/>
      <c r="AB70" s="2516"/>
      <c r="AC70" s="2516"/>
      <c r="AD70" s="2516"/>
      <c r="AE70" s="1068"/>
    </row>
    <row r="71" spans="1:31">
      <c r="C71" s="354" t="s">
        <v>854</v>
      </c>
      <c r="E71" s="373" t="str">
        <f>Preferences.EnergyUnits</f>
        <v>TWh</v>
      </c>
      <c r="F71" s="357">
        <f t="shared" ref="F71:N71" si="5">F70*Preferences.Unit.Power*Unit.year/Preferences.Unit.Energy</f>
        <v>0</v>
      </c>
      <c r="G71" s="357">
        <f t="shared" si="5"/>
        <v>0</v>
      </c>
      <c r="H71" s="357">
        <f t="shared" si="5"/>
        <v>0</v>
      </c>
      <c r="I71" s="357">
        <f t="shared" si="5"/>
        <v>0</v>
      </c>
      <c r="J71" s="1181">
        <f t="shared" si="5"/>
        <v>0</v>
      </c>
      <c r="K71" s="357">
        <f t="shared" si="5"/>
        <v>0</v>
      </c>
      <c r="L71" s="357">
        <f t="shared" si="5"/>
        <v>0</v>
      </c>
      <c r="M71" s="357">
        <f t="shared" si="5"/>
        <v>0</v>
      </c>
      <c r="N71" s="357">
        <f t="shared" si="5"/>
        <v>0</v>
      </c>
      <c r="Q71" s="1074"/>
      <c r="R71" s="2474"/>
      <c r="S71" s="2513"/>
      <c r="T71" s="509"/>
      <c r="U71" s="2516"/>
      <c r="V71" s="2516"/>
      <c r="W71" s="2516"/>
      <c r="X71" s="2516"/>
      <c r="Y71" s="2516"/>
      <c r="Z71" s="2516"/>
      <c r="AA71" s="2516"/>
      <c r="AB71" s="2516"/>
      <c r="AC71" s="2516"/>
      <c r="AD71" s="2516"/>
      <c r="AE71" s="1068"/>
    </row>
    <row r="72" spans="1:31">
      <c r="E72" s="373"/>
      <c r="P72" s="4230" t="s">
        <v>5</v>
      </c>
      <c r="Q72" s="1068"/>
      <c r="R72" s="1068"/>
      <c r="S72" s="1068"/>
      <c r="T72" s="1219"/>
      <c r="U72" s="1068"/>
      <c r="V72" s="1068"/>
      <c r="W72" s="1068"/>
      <c r="X72" s="1068"/>
      <c r="Y72" s="2518"/>
      <c r="Z72" s="2518"/>
      <c r="AA72" s="1068"/>
      <c r="AB72" s="1068"/>
      <c r="AC72" s="1068"/>
      <c r="AD72" s="1068"/>
      <c r="AE72" s="1068"/>
    </row>
    <row r="73" spans="1:31">
      <c r="B73" s="405" t="s">
        <v>1863</v>
      </c>
      <c r="E73" s="373"/>
      <c r="Q73" s="1068"/>
      <c r="R73" s="1068"/>
      <c r="S73" s="1068"/>
      <c r="T73" s="1068"/>
      <c r="U73" s="1068"/>
      <c r="V73" s="1068"/>
      <c r="W73" s="1068"/>
      <c r="X73" s="1068"/>
      <c r="Y73" s="1068"/>
      <c r="Z73" s="1068"/>
      <c r="AA73" s="1068"/>
      <c r="AB73" s="1068"/>
      <c r="AC73" s="1068"/>
      <c r="AD73" s="1068"/>
      <c r="AE73" s="1068"/>
    </row>
    <row r="74" spans="1:31">
      <c r="B74" s="405"/>
      <c r="C74" s="354" t="s">
        <v>1864</v>
      </c>
      <c r="E74" s="355" t="str">
        <f>Preferences.PowerUnits</f>
        <v>GW</v>
      </c>
      <c r="F74" s="357">
        <f t="shared" ref="F74:N74" si="6">F70/F$36</f>
        <v>0</v>
      </c>
      <c r="G74" s="357">
        <f t="shared" si="6"/>
        <v>0</v>
      </c>
      <c r="H74" s="357">
        <f t="shared" si="6"/>
        <v>0</v>
      </c>
      <c r="I74" s="357">
        <f t="shared" si="6"/>
        <v>0</v>
      </c>
      <c r="J74" s="357">
        <f t="shared" si="6"/>
        <v>0</v>
      </c>
      <c r="K74" s="357">
        <f t="shared" si="6"/>
        <v>0</v>
      </c>
      <c r="L74" s="357">
        <f t="shared" si="6"/>
        <v>0</v>
      </c>
      <c r="M74" s="357">
        <f t="shared" si="6"/>
        <v>0</v>
      </c>
      <c r="N74" s="357">
        <f t="shared" si="6"/>
        <v>0</v>
      </c>
      <c r="Q74" s="81"/>
      <c r="R74" s="203"/>
      <c r="S74" s="2519"/>
      <c r="T74" s="1068"/>
      <c r="U74" s="1068"/>
      <c r="V74" s="1068"/>
      <c r="W74" s="1068"/>
      <c r="X74" s="1068"/>
      <c r="Y74" s="1068"/>
      <c r="Z74" s="1068"/>
      <c r="AA74" s="1068"/>
      <c r="AB74" s="1068"/>
      <c r="AC74" s="1068"/>
      <c r="AD74" s="1068"/>
      <c r="AE74" s="1068"/>
    </row>
    <row r="75" spans="1:31">
      <c r="B75" s="2520" t="s">
        <v>1704</v>
      </c>
      <c r="C75" s="2473" t="s">
        <v>1865</v>
      </c>
      <c r="E75" s="373" t="str">
        <f>Preferences.PowerUnits &amp; " / m2"</f>
        <v>GW / m2</v>
      </c>
      <c r="F75" s="2530">
        <f t="shared" ref="F75:N75" si="7">Global.IrelandIncidentSolarEnergy*Unit.W</f>
        <v>1.0000000000000001E-7</v>
      </c>
      <c r="G75" s="2530">
        <f t="shared" si="7"/>
        <v>1.0000000000000001E-7</v>
      </c>
      <c r="H75" s="2530">
        <f t="shared" si="7"/>
        <v>1.0000000000000001E-7</v>
      </c>
      <c r="I75" s="2530">
        <f t="shared" si="7"/>
        <v>1.0000000000000001E-7</v>
      </c>
      <c r="J75" s="2530">
        <f t="shared" si="7"/>
        <v>1.0000000000000001E-7</v>
      </c>
      <c r="K75" s="2530">
        <f t="shared" si="7"/>
        <v>1.0000000000000001E-7</v>
      </c>
      <c r="L75" s="2530">
        <f t="shared" si="7"/>
        <v>1.0000000000000001E-7</v>
      </c>
      <c r="M75" s="2530">
        <f t="shared" si="7"/>
        <v>1.0000000000000001E-7</v>
      </c>
      <c r="N75" s="2530">
        <f t="shared" si="7"/>
        <v>1.0000000000000001E-7</v>
      </c>
      <c r="Q75" s="1068"/>
      <c r="R75" s="1068"/>
      <c r="S75" s="1068"/>
      <c r="T75" s="1068"/>
      <c r="U75" s="1068"/>
      <c r="V75" s="1068"/>
      <c r="W75" s="1068"/>
      <c r="X75" s="1068"/>
      <c r="Y75" s="1068"/>
      <c r="Z75" s="1068"/>
      <c r="AA75" s="1068"/>
      <c r="AB75" s="1068"/>
      <c r="AC75" s="1068"/>
      <c r="AD75" s="1068"/>
      <c r="AE75" s="1068"/>
    </row>
    <row r="76" spans="1:31">
      <c r="B76" s="2473" t="s">
        <v>220</v>
      </c>
      <c r="C76" s="354" t="s">
        <v>1866</v>
      </c>
      <c r="E76" s="373" t="s">
        <v>1867</v>
      </c>
      <c r="F76" s="2521">
        <f>F74/F75</f>
        <v>0</v>
      </c>
      <c r="G76" s="2521">
        <f t="shared" ref="G76:N76" si="8">G74/G75</f>
        <v>0</v>
      </c>
      <c r="H76" s="2521">
        <f t="shared" si="8"/>
        <v>0</v>
      </c>
      <c r="I76" s="2521">
        <f t="shared" si="8"/>
        <v>0</v>
      </c>
      <c r="J76" s="2521">
        <f t="shared" si="8"/>
        <v>0</v>
      </c>
      <c r="K76" s="2521">
        <f t="shared" si="8"/>
        <v>0</v>
      </c>
      <c r="L76" s="2521">
        <f t="shared" si="8"/>
        <v>0</v>
      </c>
      <c r="M76" s="2521">
        <f t="shared" si="8"/>
        <v>0</v>
      </c>
      <c r="N76" s="2521">
        <f t="shared" si="8"/>
        <v>0</v>
      </c>
      <c r="Q76" s="1068"/>
      <c r="R76" s="1068"/>
      <c r="S76" s="1068"/>
      <c r="T76" s="1068"/>
      <c r="U76" s="1068"/>
      <c r="V76" s="1068"/>
      <c r="W76" s="1068"/>
      <c r="X76" s="1068"/>
      <c r="Y76" s="1068"/>
      <c r="Z76" s="1068"/>
      <c r="AA76" s="1068"/>
      <c r="AB76" s="1068"/>
      <c r="AC76" s="1068"/>
      <c r="AD76" s="1068"/>
      <c r="AE76" s="1068"/>
    </row>
    <row r="77" spans="1:31" ht="15">
      <c r="C77" s="354"/>
      <c r="E77" s="373"/>
      <c r="F77" s="2521"/>
      <c r="G77" s="2521" t="s">
        <v>5</v>
      </c>
      <c r="H77" s="2521"/>
      <c r="I77" s="2521"/>
      <c r="J77" s="2521"/>
      <c r="K77" s="2521"/>
      <c r="L77" s="2521"/>
      <c r="M77" s="2521"/>
      <c r="N77" s="2521"/>
      <c r="Q77" s="2500"/>
      <c r="R77" s="647"/>
      <c r="S77" s="647"/>
      <c r="T77" s="647"/>
      <c r="U77" s="647"/>
      <c r="V77" s="647"/>
      <c r="W77" s="647"/>
      <c r="X77" s="647"/>
      <c r="Y77" s="647"/>
      <c r="Z77" s="647"/>
      <c r="AA77" s="647"/>
      <c r="AB77" s="647"/>
      <c r="AC77" s="647"/>
      <c r="AD77" s="647"/>
      <c r="AE77" s="647"/>
    </row>
    <row r="78" spans="1:31">
      <c r="A78" s="39"/>
      <c r="C78" s="405" t="s">
        <v>1868</v>
      </c>
      <c r="E78" s="1369" t="s">
        <v>1867</v>
      </c>
      <c r="F78" s="2531">
        <f>F76/INDEX(Global.Assumptions[Households], MATCH(F$66, Global.Assumptions[Year], 0))</f>
        <v>0</v>
      </c>
      <c r="G78" s="2531">
        <f>G76/INDEX(Global.Assumptions[Households], MATCH(G$66, Global.Assumptions[Year], 0))</f>
        <v>0</v>
      </c>
      <c r="H78" s="2531">
        <f>H76/INDEX(Global.Assumptions[Households], MATCH(H$66, Global.Assumptions[Year], 0))</f>
        <v>0</v>
      </c>
      <c r="I78" s="2531">
        <f>I76/INDEX(Global.Assumptions[Households], MATCH(I$66, Global.Assumptions[Year], 0))</f>
        <v>0</v>
      </c>
      <c r="J78" s="2531">
        <f>J76/INDEX(Global.Assumptions[Households], MATCH(J$66, Global.Assumptions[Year], 0))</f>
        <v>0</v>
      </c>
      <c r="K78" s="2531">
        <f>K76/INDEX(Global.Assumptions[Households], MATCH(K$66, Global.Assumptions[Year], 0))</f>
        <v>0</v>
      </c>
      <c r="L78" s="2531">
        <f>L76/INDEX(Global.Assumptions[Households], MATCH(L$66, Global.Assumptions[Year], 0))</f>
        <v>0</v>
      </c>
      <c r="M78" s="2531">
        <f>M76/INDEX(Global.Assumptions[Households], MATCH(M$66, Global.Assumptions[Year], 0))</f>
        <v>0</v>
      </c>
      <c r="N78" s="2531">
        <f>N76/INDEX(Global.Assumptions[Households], MATCH(N$66, Global.Assumptions[Year], 0))</f>
        <v>0</v>
      </c>
      <c r="Q78" s="2470"/>
      <c r="R78" s="1068"/>
      <c r="S78" s="1068"/>
      <c r="T78" s="1068"/>
      <c r="U78" s="1068"/>
      <c r="V78" s="1068"/>
      <c r="W78" s="1068"/>
      <c r="X78" s="1068"/>
      <c r="Y78" s="1068"/>
      <c r="Z78" s="1068"/>
      <c r="AA78" s="1068"/>
      <c r="AB78" s="1068"/>
      <c r="AC78" s="1068"/>
      <c r="AD78" s="1068"/>
      <c r="AE78" s="1068"/>
    </row>
    <row r="79" spans="1:31">
      <c r="A79" s="39"/>
      <c r="C79" s="405" t="s">
        <v>1869</v>
      </c>
      <c r="E79" s="1369" t="s">
        <v>1867</v>
      </c>
      <c r="F79" s="981">
        <f>F76/INDEX(Global.Assumptions[Population], MATCH(F$66, Global.Assumptions[Year], 0))</f>
        <v>0</v>
      </c>
      <c r="G79" s="981">
        <f>G76/INDEX(Global.Assumptions[Population], MATCH(G$66, Global.Assumptions[Year], 0))</f>
        <v>0</v>
      </c>
      <c r="H79" s="981">
        <f>H76/INDEX(Global.Assumptions[Population], MATCH(H$66, Global.Assumptions[Year], 0))</f>
        <v>0</v>
      </c>
      <c r="I79" s="981">
        <f>I76/INDEX(Global.Assumptions[Population], MATCH(I$66, Global.Assumptions[Year], 0))</f>
        <v>0</v>
      </c>
      <c r="J79" s="981">
        <f>J76/INDEX(Global.Assumptions[Population], MATCH(J$66, Global.Assumptions[Year], 0))</f>
        <v>0</v>
      </c>
      <c r="K79" s="981">
        <f>K76/INDEX(Global.Assumptions[Population], MATCH(K$66, Global.Assumptions[Year], 0))</f>
        <v>0</v>
      </c>
      <c r="L79" s="981">
        <f>L76/INDEX(Global.Assumptions[Population], MATCH(L$66, Global.Assumptions[Year], 0))</f>
        <v>0</v>
      </c>
      <c r="M79" s="981">
        <f>M76/INDEX(Global.Assumptions[Population], MATCH(M$66, Global.Assumptions[Year], 0))</f>
        <v>0</v>
      </c>
      <c r="N79" s="981">
        <f>N76/INDEX(Global.Assumptions[Population], MATCH(N$66, Global.Assumptions[Year], 0))</f>
        <v>0</v>
      </c>
      <c r="Q79" s="1068"/>
      <c r="R79" s="202"/>
      <c r="S79" s="512"/>
      <c r="T79" s="2522"/>
      <c r="U79" s="1227"/>
      <c r="V79" s="1227"/>
      <c r="W79" s="1219"/>
      <c r="X79" s="1219"/>
      <c r="Y79" s="1219"/>
      <c r="Z79" s="1219"/>
      <c r="AA79" s="1219"/>
      <c r="AB79" s="1219"/>
      <c r="AC79" s="1219"/>
      <c r="AD79" s="2523"/>
      <c r="AE79" s="1068"/>
    </row>
    <row r="80" spans="1:31">
      <c r="C80" s="405"/>
      <c r="E80" s="1369"/>
      <c r="F80" s="981"/>
      <c r="G80" s="981"/>
      <c r="H80" s="981" t="s">
        <v>5</v>
      </c>
      <c r="I80" s="981"/>
      <c r="J80" s="981"/>
      <c r="K80" s="981"/>
      <c r="L80" s="981"/>
      <c r="M80" s="981"/>
      <c r="N80" s="981"/>
      <c r="Q80" s="1068"/>
      <c r="R80" s="2524"/>
      <c r="S80" s="512"/>
      <c r="T80" s="2522"/>
      <c r="U80" s="1227"/>
      <c r="V80" s="1227"/>
      <c r="W80" s="1219"/>
      <c r="X80" s="1219"/>
      <c r="Y80" s="1219"/>
      <c r="Z80" s="1219"/>
      <c r="AA80" s="1219"/>
      <c r="AB80" s="1219"/>
      <c r="AC80" s="1219"/>
      <c r="AD80" s="1068"/>
      <c r="AE80" s="1068"/>
    </row>
    <row r="81" spans="2:31">
      <c r="B81" s="2473" t="s">
        <v>738</v>
      </c>
      <c r="C81" s="354"/>
      <c r="F81" s="357"/>
      <c r="G81" s="357"/>
      <c r="H81" s="357"/>
      <c r="I81" s="357"/>
      <c r="J81" s="357"/>
      <c r="K81" s="357"/>
      <c r="L81" s="357"/>
      <c r="M81" s="357"/>
      <c r="N81" s="357"/>
      <c r="Q81" s="1068"/>
      <c r="R81" s="2525"/>
      <c r="S81" s="512"/>
      <c r="T81" s="2522"/>
      <c r="U81" s="2526"/>
      <c r="V81" s="1221"/>
      <c r="W81" s="1221"/>
      <c r="X81" s="1221"/>
      <c r="Y81" s="1221"/>
      <c r="Z81" s="1221"/>
      <c r="AA81" s="1221"/>
      <c r="AB81" s="1221"/>
      <c r="AC81" s="1221"/>
      <c r="AD81" s="1221"/>
      <c r="AE81" s="1068"/>
    </row>
    <row r="82" spans="2:31">
      <c r="F82" s="984"/>
      <c r="G82" s="984"/>
      <c r="H82" s="984"/>
      <c r="I82" s="984"/>
      <c r="J82" s="984"/>
      <c r="K82" s="984"/>
      <c r="L82" s="984"/>
      <c r="M82" s="984"/>
      <c r="N82" s="984"/>
      <c r="Q82" s="1068"/>
      <c r="R82" s="2527"/>
      <c r="S82" s="512"/>
      <c r="T82" s="2528"/>
      <c r="U82" s="2529"/>
      <c r="V82" s="2529"/>
      <c r="W82" s="2529"/>
      <c r="X82" s="2529"/>
      <c r="Y82" s="2529"/>
      <c r="Z82" s="2529"/>
      <c r="AA82" s="2529"/>
      <c r="AB82" s="2529"/>
      <c r="AC82" s="2529"/>
      <c r="AD82" s="2529"/>
      <c r="AE82" s="1068"/>
    </row>
    <row r="83" spans="2:31">
      <c r="C83" s="2473" t="s">
        <v>1870</v>
      </c>
      <c r="E83" s="2473" t="s">
        <v>741</v>
      </c>
      <c r="F83" s="2485">
        <f>F68/plantsize.IV.a</f>
        <v>0</v>
      </c>
      <c r="G83" s="2485">
        <f t="shared" ref="G83:N83" si="9">G68/plantsize.IV.a</f>
        <v>0</v>
      </c>
      <c r="H83" s="2485">
        <f t="shared" si="9"/>
        <v>0</v>
      </c>
      <c r="I83" s="2485">
        <f>I68/plantsize.IV.a</f>
        <v>0</v>
      </c>
      <c r="J83" s="2485">
        <f t="shared" si="9"/>
        <v>0</v>
      </c>
      <c r="K83" s="2485">
        <f t="shared" si="9"/>
        <v>0</v>
      </c>
      <c r="L83" s="2485">
        <f t="shared" si="9"/>
        <v>0</v>
      </c>
      <c r="M83" s="2485">
        <f t="shared" si="9"/>
        <v>0</v>
      </c>
      <c r="N83" s="2485">
        <f t="shared" si="9"/>
        <v>0</v>
      </c>
      <c r="Q83" s="1068"/>
      <c r="R83" s="2527"/>
      <c r="S83" s="512"/>
      <c r="T83" s="2528"/>
      <c r="U83" s="2529"/>
      <c r="V83" s="2529"/>
      <c r="W83" s="2529"/>
      <c r="X83" s="2529"/>
      <c r="Y83" s="2529"/>
      <c r="Z83" s="2529"/>
      <c r="AA83" s="2529"/>
      <c r="AB83" s="2529"/>
      <c r="AC83" s="2529"/>
      <c r="AD83" s="2529"/>
      <c r="AE83" s="1068"/>
    </row>
    <row r="84" spans="2:31">
      <c r="C84" s="2473" t="s">
        <v>1871</v>
      </c>
      <c r="F84" s="2485"/>
      <c r="G84" s="2485"/>
      <c r="H84" s="2487"/>
      <c r="I84" s="2487"/>
      <c r="J84" s="2487"/>
      <c r="K84" s="2487"/>
      <c r="L84" s="2487">
        <f>IF($E$8=1,0,-G63)</f>
        <v>0</v>
      </c>
      <c r="M84" s="2487">
        <f>IF($E$8=1,0,-H63)</f>
        <v>0</v>
      </c>
      <c r="N84" s="2487">
        <f>IF($E$8=1,0,-I63)</f>
        <v>0</v>
      </c>
      <c r="Q84" s="1068"/>
      <c r="R84" s="2527"/>
      <c r="S84" s="512"/>
      <c r="T84" s="2528"/>
      <c r="U84" s="2529"/>
      <c r="V84" s="2529"/>
      <c r="W84" s="2529"/>
      <c r="X84" s="2529"/>
      <c r="Y84" s="2529"/>
      <c r="Z84" s="2529"/>
      <c r="AA84" s="2529"/>
      <c r="AB84" s="2529"/>
      <c r="AC84" s="2529"/>
      <c r="AD84" s="2529"/>
      <c r="AE84" s="1068"/>
    </row>
    <row r="85" spans="2:31">
      <c r="C85" s="2473" t="s">
        <v>1872</v>
      </c>
      <c r="E85" s="2473" t="s">
        <v>741</v>
      </c>
      <c r="F85" s="2485"/>
      <c r="G85" s="2485"/>
      <c r="H85" s="2485"/>
      <c r="I85" s="2485"/>
      <c r="J85" s="2485">
        <f>J84/plantsize.IV.a</f>
        <v>0</v>
      </c>
      <c r="K85" s="2485">
        <f>K84/plantsize.IV.a</f>
        <v>0</v>
      </c>
      <c r="L85" s="2485">
        <f>L84/plantsize.IV.a</f>
        <v>0</v>
      </c>
      <c r="M85" s="2485">
        <f>M84/plantsize.IV.a</f>
        <v>0</v>
      </c>
      <c r="N85" s="2485">
        <f>N84/plantsize.IV.a</f>
        <v>0</v>
      </c>
      <c r="Q85" s="1068"/>
      <c r="R85" s="2524"/>
      <c r="S85" s="512"/>
      <c r="T85" s="2522"/>
      <c r="U85" s="1227"/>
      <c r="V85" s="1227"/>
      <c r="W85" s="1219"/>
      <c r="X85" s="1219"/>
      <c r="Y85" s="1219"/>
      <c r="Z85" s="1219"/>
      <c r="AA85" s="1219"/>
      <c r="AB85" s="1219"/>
      <c r="AC85" s="1219"/>
      <c r="AD85" s="1068"/>
      <c r="AE85" s="1068"/>
    </row>
    <row r="86" spans="2:31">
      <c r="C86" s="2473" t="s">
        <v>1873</v>
      </c>
      <c r="F86" s="2485"/>
      <c r="G86" s="2485">
        <f>G83-G85</f>
        <v>0</v>
      </c>
      <c r="H86" s="2485">
        <f>H83-H85</f>
        <v>0</v>
      </c>
      <c r="I86" s="2485">
        <f t="shared" ref="I86:N86" si="10">I83-I85</f>
        <v>0</v>
      </c>
      <c r="J86" s="2485">
        <f t="shared" si="10"/>
        <v>0</v>
      </c>
      <c r="K86" s="2485">
        <f t="shared" si="10"/>
        <v>0</v>
      </c>
      <c r="L86" s="2485">
        <f t="shared" si="10"/>
        <v>0</v>
      </c>
      <c r="M86" s="2485">
        <f t="shared" si="10"/>
        <v>0</v>
      </c>
      <c r="N86" s="2485">
        <f t="shared" si="10"/>
        <v>0</v>
      </c>
      <c r="Q86" s="1068"/>
      <c r="R86" s="202"/>
      <c r="S86" s="512"/>
      <c r="T86" s="2522"/>
      <c r="U86" s="1227"/>
      <c r="V86" s="1227"/>
      <c r="W86" s="1219"/>
      <c r="X86" s="1219"/>
      <c r="Y86" s="1219"/>
      <c r="Z86" s="1219"/>
      <c r="AA86" s="1219"/>
      <c r="AB86" s="1219"/>
      <c r="AC86" s="1219"/>
      <c r="AD86" s="2523"/>
      <c r="AE86" s="1068"/>
    </row>
    <row r="87" spans="2:31">
      <c r="C87" s="2473" t="s">
        <v>903</v>
      </c>
      <c r="F87" s="2485"/>
      <c r="G87" s="2485">
        <f t="shared" ref="G87:N87" si="11">IF(((G86-F83)/(G$30-F$30))&gt;0,(G86-F83)/(G$30-F$30),0)</f>
        <v>0</v>
      </c>
      <c r="H87" s="2485">
        <f t="shared" si="11"/>
        <v>0</v>
      </c>
      <c r="I87" s="2485">
        <f t="shared" si="11"/>
        <v>0</v>
      </c>
      <c r="J87" s="2485">
        <f t="shared" si="11"/>
        <v>0</v>
      </c>
      <c r="K87" s="2485">
        <f t="shared" si="11"/>
        <v>0</v>
      </c>
      <c r="L87" s="2485">
        <f t="shared" si="11"/>
        <v>0</v>
      </c>
      <c r="M87" s="2485">
        <f t="shared" si="11"/>
        <v>0</v>
      </c>
      <c r="N87" s="2485">
        <f t="shared" si="11"/>
        <v>0</v>
      </c>
      <c r="Q87" s="1068"/>
      <c r="R87" s="2524"/>
      <c r="S87" s="512"/>
      <c r="T87" s="2522"/>
      <c r="U87" s="1227"/>
      <c r="V87" s="1227"/>
      <c r="W87" s="1219"/>
      <c r="X87" s="1219"/>
      <c r="Y87" s="1219"/>
      <c r="Z87" s="1219"/>
      <c r="AA87" s="1219"/>
      <c r="AB87" s="1219"/>
      <c r="AC87" s="1219"/>
      <c r="AD87" s="1068"/>
      <c r="AE87" s="1068"/>
    </row>
    <row r="88" spans="2:31">
      <c r="F88" s="984"/>
      <c r="G88" s="984"/>
      <c r="H88" s="984"/>
      <c r="I88" s="984"/>
      <c r="J88" s="984"/>
      <c r="K88" s="984"/>
      <c r="L88" s="984"/>
      <c r="M88" s="984"/>
      <c r="N88" s="984"/>
      <c r="Q88" s="1068"/>
      <c r="R88" s="2525"/>
      <c r="S88" s="512"/>
      <c r="T88" s="2522"/>
      <c r="U88" s="2526"/>
      <c r="V88" s="1221"/>
      <c r="W88" s="1221"/>
      <c r="X88" s="1221"/>
      <c r="Y88" s="1221"/>
      <c r="Z88" s="1221"/>
      <c r="AA88" s="1221"/>
      <c r="AB88" s="1221"/>
      <c r="AC88" s="1221"/>
      <c r="AD88" s="1221"/>
      <c r="AE88" s="1068"/>
    </row>
    <row r="89" spans="2:31">
      <c r="B89" s="3578" t="s">
        <v>2723</v>
      </c>
      <c r="F89" s="984"/>
      <c r="G89" s="984"/>
      <c r="H89" s="984"/>
      <c r="I89" s="984"/>
      <c r="J89" s="984"/>
      <c r="K89" s="984"/>
      <c r="L89" s="984"/>
      <c r="M89" s="984"/>
      <c r="N89" s="984"/>
      <c r="O89" s="984"/>
      <c r="Q89" s="1068"/>
      <c r="R89" s="2527"/>
      <c r="S89" s="512"/>
      <c r="T89" s="2528"/>
      <c r="U89" s="1227"/>
      <c r="V89" s="1227"/>
      <c r="W89" s="1227"/>
      <c r="X89" s="1227"/>
      <c r="Y89" s="1227"/>
      <c r="Z89" s="1227"/>
      <c r="AA89" s="1227"/>
      <c r="AB89" s="1227"/>
      <c r="AC89" s="1227"/>
      <c r="AD89" s="1227"/>
      <c r="AE89" s="1068"/>
    </row>
    <row r="90" spans="2:31" hidden="1">
      <c r="C90" s="2473" t="s">
        <v>168</v>
      </c>
      <c r="E90" s="3578" t="s">
        <v>2736</v>
      </c>
      <c r="F90" s="984"/>
      <c r="G90" s="984"/>
      <c r="H90" s="984"/>
      <c r="I90" s="984"/>
      <c r="J90" s="984"/>
      <c r="K90" s="984"/>
      <c r="L90" s="984"/>
      <c r="M90" s="984"/>
      <c r="N90" s="984"/>
      <c r="O90" s="984"/>
      <c r="Q90" s="1068"/>
      <c r="R90" s="2527"/>
      <c r="S90" s="512"/>
      <c r="T90" s="2528"/>
      <c r="U90" s="1227"/>
      <c r="V90" s="1227"/>
      <c r="W90" s="1227"/>
      <c r="X90" s="1227"/>
      <c r="Y90" s="1227"/>
      <c r="Z90" s="1227"/>
      <c r="AA90" s="1227"/>
      <c r="AB90" s="1227"/>
      <c r="AC90" s="1227"/>
      <c r="AD90" s="1227"/>
      <c r="AE90" s="1068"/>
    </row>
    <row r="91" spans="2:31" hidden="1">
      <c r="C91" s="2473" t="s">
        <v>172</v>
      </c>
      <c r="E91" s="3578" t="s">
        <v>2736</v>
      </c>
      <c r="F91" s="984"/>
      <c r="G91" s="984"/>
      <c r="H91" s="984"/>
      <c r="I91" s="984"/>
      <c r="J91" s="984"/>
      <c r="K91" s="984"/>
      <c r="L91" s="984"/>
      <c r="M91" s="984"/>
      <c r="N91" s="984"/>
      <c r="O91" s="984"/>
      <c r="P91" s="365"/>
      <c r="Q91" s="1068"/>
      <c r="R91" s="2527"/>
      <c r="S91" s="512"/>
      <c r="T91" s="2528"/>
      <c r="U91" s="1227"/>
      <c r="V91" s="1227"/>
      <c r="W91" s="1227"/>
      <c r="X91" s="1227"/>
      <c r="Y91" s="1227"/>
      <c r="Z91" s="1227"/>
      <c r="AA91" s="1227"/>
      <c r="AB91" s="1227"/>
      <c r="AC91" s="1227"/>
      <c r="AD91" s="1227"/>
      <c r="AE91" s="1068"/>
    </row>
    <row r="92" spans="2:31" hidden="1">
      <c r="C92" s="2473" t="s">
        <v>291</v>
      </c>
      <c r="E92" s="3578" t="s">
        <v>2736</v>
      </c>
      <c r="F92" s="984"/>
      <c r="G92" s="984"/>
      <c r="H92" s="984"/>
      <c r="I92" s="984"/>
      <c r="J92" s="984"/>
      <c r="K92" s="984"/>
      <c r="L92" s="984"/>
      <c r="M92" s="984"/>
      <c r="N92" s="984"/>
      <c r="O92" s="984"/>
      <c r="Q92" s="1068"/>
      <c r="R92" s="1068"/>
      <c r="S92" s="1068"/>
      <c r="T92" s="1219"/>
      <c r="U92" s="1068"/>
      <c r="V92" s="1068"/>
      <c r="W92" s="1068"/>
      <c r="X92" s="1068"/>
      <c r="Y92" s="2518"/>
      <c r="Z92" s="2518"/>
      <c r="AA92" s="1068"/>
      <c r="AB92" s="1068"/>
      <c r="AC92" s="1068"/>
      <c r="AD92" s="1068"/>
      <c r="AE92" s="1068"/>
    </row>
    <row r="93" spans="2:31" hidden="1">
      <c r="C93" s="354"/>
      <c r="F93" s="357"/>
      <c r="G93" s="357"/>
      <c r="H93" s="357"/>
      <c r="I93" s="357"/>
      <c r="J93" s="357"/>
      <c r="K93" s="357"/>
      <c r="L93" s="357"/>
      <c r="M93" s="357"/>
      <c r="N93" s="357"/>
      <c r="O93" s="984"/>
    </row>
    <row r="94" spans="2:31" hidden="1">
      <c r="B94" s="2473" t="s">
        <v>292</v>
      </c>
      <c r="F94" s="984"/>
      <c r="G94" s="984"/>
      <c r="H94" s="984"/>
      <c r="I94" s="984"/>
      <c r="J94" s="984"/>
      <c r="K94" s="984"/>
      <c r="L94" s="984"/>
      <c r="M94" s="984"/>
      <c r="N94" s="984"/>
      <c r="O94" s="984"/>
      <c r="P94" s="380"/>
    </row>
    <row r="95" spans="2:31" hidden="1">
      <c r="C95" s="2473" t="s">
        <v>168</v>
      </c>
      <c r="E95" s="3578" t="s">
        <v>2736</v>
      </c>
      <c r="F95" s="984"/>
      <c r="G95" s="984"/>
      <c r="H95" s="984"/>
      <c r="I95" s="984"/>
      <c r="J95" s="984"/>
      <c r="K95" s="984"/>
      <c r="L95" s="984"/>
      <c r="M95" s="984"/>
      <c r="N95" s="984"/>
      <c r="O95" s="984"/>
    </row>
    <row r="96" spans="2:31" hidden="1">
      <c r="C96" s="2473" t="s">
        <v>172</v>
      </c>
      <c r="E96" s="3578" t="s">
        <v>2736</v>
      </c>
      <c r="F96" s="984"/>
      <c r="G96" s="984"/>
      <c r="H96" s="984"/>
      <c r="I96" s="984"/>
      <c r="J96" s="984"/>
      <c r="K96" s="984"/>
      <c r="L96" s="984"/>
      <c r="M96" s="984"/>
      <c r="N96" s="984"/>
      <c r="O96" s="984"/>
    </row>
    <row r="97" spans="2:17" hidden="1">
      <c r="C97" s="2473" t="s">
        <v>291</v>
      </c>
      <c r="E97" s="3578" t="s">
        <v>2736</v>
      </c>
      <c r="F97" s="984"/>
      <c r="G97" s="984"/>
      <c r="H97" s="984"/>
      <c r="I97" s="984"/>
      <c r="J97" s="984"/>
      <c r="K97" s="984"/>
      <c r="L97" s="984"/>
      <c r="M97" s="984"/>
      <c r="N97" s="984"/>
    </row>
    <row r="98" spans="2:17" hidden="1">
      <c r="F98" s="984"/>
      <c r="G98" s="984"/>
      <c r="H98" s="984"/>
      <c r="I98" s="984"/>
      <c r="J98" s="984"/>
      <c r="K98" s="984"/>
      <c r="L98" s="984"/>
      <c r="M98" s="984"/>
      <c r="N98" s="984"/>
    </row>
    <row r="99" spans="2:17" hidden="1">
      <c r="B99" s="2473" t="s">
        <v>290</v>
      </c>
      <c r="F99" s="984"/>
      <c r="G99" s="984"/>
      <c r="H99" s="984"/>
      <c r="I99" s="984"/>
      <c r="J99" s="984"/>
      <c r="K99" s="984"/>
      <c r="L99" s="984"/>
      <c r="M99" s="984"/>
      <c r="N99" s="984"/>
    </row>
    <row r="100" spans="2:17" hidden="1">
      <c r="C100" s="2473" t="s">
        <v>168</v>
      </c>
      <c r="E100" s="3578" t="s">
        <v>2736</v>
      </c>
      <c r="F100" s="984"/>
      <c r="G100" s="984"/>
      <c r="H100" s="984"/>
      <c r="I100" s="984"/>
      <c r="J100" s="984"/>
      <c r="K100" s="984"/>
      <c r="L100" s="984"/>
      <c r="M100" s="984"/>
      <c r="N100" s="984"/>
    </row>
    <row r="101" spans="2:17" hidden="1">
      <c r="C101" s="2473" t="s">
        <v>172</v>
      </c>
      <c r="E101" s="3578" t="s">
        <v>2736</v>
      </c>
      <c r="F101" s="984"/>
      <c r="G101" s="984"/>
      <c r="H101" s="984"/>
      <c r="I101" s="984"/>
      <c r="J101" s="984"/>
      <c r="K101" s="984"/>
      <c r="L101" s="984"/>
      <c r="M101" s="984"/>
      <c r="N101" s="984"/>
      <c r="P101" s="985"/>
    </row>
    <row r="102" spans="2:17" hidden="1">
      <c r="C102" s="2473" t="s">
        <v>291</v>
      </c>
      <c r="E102" s="3578" t="s">
        <v>2736</v>
      </c>
      <c r="F102" s="984"/>
      <c r="G102" s="984"/>
      <c r="H102" s="984"/>
      <c r="I102" s="984"/>
      <c r="J102" s="984"/>
      <c r="K102" s="984"/>
      <c r="L102" s="984"/>
      <c r="M102" s="984"/>
      <c r="N102" s="984"/>
      <c r="P102" s="985"/>
    </row>
    <row r="103" spans="2:17">
      <c r="P103" s="985"/>
    </row>
    <row r="104" spans="2:17" ht="15">
      <c r="B104" s="502" t="s">
        <v>296</v>
      </c>
      <c r="C104" s="503"/>
      <c r="D104" s="503"/>
      <c r="E104" s="503"/>
      <c r="F104" s="503"/>
      <c r="G104" s="503"/>
      <c r="H104" s="503"/>
      <c r="I104" s="503"/>
      <c r="J104" s="503"/>
      <c r="K104" s="503"/>
      <c r="L104" s="503"/>
      <c r="M104" s="503"/>
      <c r="N104" s="503"/>
      <c r="O104" s="857"/>
      <c r="P104" s="985"/>
    </row>
    <row r="105" spans="2:17">
      <c r="B105" s="505"/>
      <c r="C105" s="506"/>
      <c r="D105" s="506"/>
      <c r="E105" s="506"/>
      <c r="F105" s="506"/>
      <c r="G105" s="506"/>
      <c r="H105" s="506"/>
      <c r="I105" s="506"/>
      <c r="J105" s="506"/>
      <c r="K105" s="506"/>
      <c r="L105" s="506"/>
      <c r="M105" s="506"/>
      <c r="N105" s="506"/>
      <c r="O105" s="858"/>
      <c r="P105" s="985"/>
    </row>
    <row r="106" spans="2:17">
      <c r="B106" s="505"/>
      <c r="C106" s="34" t="s">
        <v>746</v>
      </c>
      <c r="D106" s="506"/>
      <c r="E106" s="507"/>
      <c r="F106" s="506"/>
      <c r="G106" s="506"/>
      <c r="H106" s="506"/>
      <c r="I106" s="506"/>
      <c r="J106" s="506"/>
      <c r="K106" s="506"/>
      <c r="L106" s="506"/>
      <c r="M106" s="506"/>
      <c r="N106" s="507" t="str">
        <f>Preferences.EnergyUnits</f>
        <v>TWh</v>
      </c>
      <c r="O106" s="858"/>
      <c r="P106" s="985"/>
    </row>
    <row r="107" spans="2:17">
      <c r="B107" s="505"/>
      <c r="C107" s="506"/>
      <c r="D107" s="506"/>
      <c r="E107" s="506"/>
      <c r="F107" s="506"/>
      <c r="G107" s="506"/>
      <c r="H107" s="506"/>
      <c r="I107" s="506"/>
      <c r="J107" s="506"/>
      <c r="K107" s="506"/>
      <c r="L107" s="506"/>
      <c r="M107" s="506"/>
      <c r="N107" s="506"/>
      <c r="O107" s="858"/>
      <c r="P107" s="985"/>
    </row>
    <row r="108" spans="2:17" ht="15.5">
      <c r="B108" s="15"/>
      <c r="C108" s="864" t="s">
        <v>28</v>
      </c>
      <c r="D108" s="864" t="s">
        <v>29</v>
      </c>
      <c r="E108" s="864" t="s">
        <v>30</v>
      </c>
      <c r="F108" s="864" t="s">
        <v>588</v>
      </c>
      <c r="G108" s="864" t="s">
        <v>132</v>
      </c>
      <c r="H108" s="864" t="s">
        <v>133</v>
      </c>
      <c r="I108" s="864" t="s">
        <v>134</v>
      </c>
      <c r="J108" s="864" t="s">
        <v>135</v>
      </c>
      <c r="K108" s="864" t="s">
        <v>136</v>
      </c>
      <c r="L108" s="864" t="s">
        <v>137</v>
      </c>
      <c r="M108" s="864" t="s">
        <v>138</v>
      </c>
      <c r="N108" s="864" t="s">
        <v>139</v>
      </c>
      <c r="O108" s="858"/>
      <c r="P108" s="985"/>
      <c r="Q108" s="2473" t="s">
        <v>5</v>
      </c>
    </row>
    <row r="109" spans="2:17" ht="15.5">
      <c r="B109" s="15"/>
      <c r="C109" s="17" t="s">
        <v>96</v>
      </c>
      <c r="D109" s="17" t="str">
        <f>INDEX(Vectors[Description], MATCH($C109, Vectors[Code], 0))</f>
        <v>Electricity (supplied to grid)</v>
      </c>
      <c r="E109" s="17"/>
      <c r="F109" s="2491">
        <f t="shared" ref="F109:N109" si="12">F$71</f>
        <v>0</v>
      </c>
      <c r="G109" s="2491">
        <f t="shared" si="12"/>
        <v>0</v>
      </c>
      <c r="H109" s="2491">
        <f t="shared" si="12"/>
        <v>0</v>
      </c>
      <c r="I109" s="2491">
        <f t="shared" si="12"/>
        <v>0</v>
      </c>
      <c r="J109" s="2491">
        <f t="shared" si="12"/>
        <v>0</v>
      </c>
      <c r="K109" s="2491">
        <f t="shared" si="12"/>
        <v>0</v>
      </c>
      <c r="L109" s="2491">
        <f t="shared" si="12"/>
        <v>0</v>
      </c>
      <c r="M109" s="2491">
        <f t="shared" si="12"/>
        <v>0</v>
      </c>
      <c r="N109" s="2491">
        <f t="shared" si="12"/>
        <v>0</v>
      </c>
      <c r="O109" s="858"/>
      <c r="P109" s="985"/>
    </row>
    <row r="110" spans="2:17" ht="15.5">
      <c r="B110" s="15"/>
      <c r="C110" s="17" t="s">
        <v>437</v>
      </c>
      <c r="D110" s="17" t="str">
        <f>INDEX(Vectors[Description], MATCH($C110, Vectors[Code], 0))</f>
        <v>Solar</v>
      </c>
      <c r="E110" s="17"/>
      <c r="F110" s="2491">
        <f t="shared" ref="F110:N110" si="13">-F$71</f>
        <v>0</v>
      </c>
      <c r="G110" s="2491">
        <f t="shared" si="13"/>
        <v>0</v>
      </c>
      <c r="H110" s="2491">
        <f t="shared" si="13"/>
        <v>0</v>
      </c>
      <c r="I110" s="2491">
        <f t="shared" si="13"/>
        <v>0</v>
      </c>
      <c r="J110" s="2491">
        <f t="shared" si="13"/>
        <v>0</v>
      </c>
      <c r="K110" s="2491">
        <f t="shared" si="13"/>
        <v>0</v>
      </c>
      <c r="L110" s="2491">
        <f t="shared" si="13"/>
        <v>0</v>
      </c>
      <c r="M110" s="2491">
        <f t="shared" si="13"/>
        <v>0</v>
      </c>
      <c r="N110" s="2491">
        <f t="shared" si="13"/>
        <v>0</v>
      </c>
      <c r="O110" s="858"/>
      <c r="P110" s="985"/>
    </row>
    <row r="111" spans="2:17" ht="15.5">
      <c r="B111" s="15"/>
      <c r="C111" s="2432" t="s">
        <v>58</v>
      </c>
      <c r="D111" s="2432"/>
      <c r="E111" s="2432"/>
      <c r="F111" s="2435">
        <f>SUBTOTAL(105,IV.a.Outputs[2013])</f>
        <v>0</v>
      </c>
      <c r="G111" s="2435">
        <f>SUBTOTAL(105,IV.a.Outputs[2015])</f>
        <v>0</v>
      </c>
      <c r="H111" s="2435">
        <f>SUBTOTAL(105,IV.a.Outputs[2020])</f>
        <v>0</v>
      </c>
      <c r="I111" s="2435">
        <f>SUBTOTAL(105,IV.a.Outputs[2025])</f>
        <v>0</v>
      </c>
      <c r="J111" s="2435">
        <f>SUBTOTAL(105,IV.a.Outputs[2030])</f>
        <v>0</v>
      </c>
      <c r="K111" s="2435">
        <f>SUBTOTAL(105,IV.a.Outputs[2035])</f>
        <v>0</v>
      </c>
      <c r="L111" s="2435">
        <f>SUBTOTAL(105,IV.a.Outputs[2040])</f>
        <v>0</v>
      </c>
      <c r="M111" s="2435">
        <f>SUBTOTAL(105,IV.a.Outputs[2045])</f>
        <v>0</v>
      </c>
      <c r="N111" s="2435">
        <f>SUBTOTAL(105,IV.a.Outputs[2050])</f>
        <v>0</v>
      </c>
      <c r="O111" s="858"/>
      <c r="P111" s="985"/>
    </row>
    <row r="112" spans="2:17" ht="15.5">
      <c r="B112" s="35"/>
      <c r="C112" s="443"/>
      <c r="D112" s="443"/>
      <c r="E112" s="443"/>
      <c r="F112" s="443"/>
      <c r="G112" s="443"/>
      <c r="H112" s="443"/>
      <c r="I112" s="443"/>
      <c r="J112" s="443"/>
      <c r="K112" s="443"/>
      <c r="L112" s="443"/>
      <c r="M112" s="443"/>
      <c r="N112" s="443"/>
      <c r="O112" s="506"/>
    </row>
    <row r="113" spans="2:21">
      <c r="C113" s="2473" t="s">
        <v>5</v>
      </c>
    </row>
    <row r="114" spans="2:21" ht="15">
      <c r="B114" s="986" t="s">
        <v>310</v>
      </c>
      <c r="C114" s="987"/>
      <c r="D114" s="988"/>
      <c r="E114" s="988"/>
      <c r="F114" s="988"/>
      <c r="G114" s="988"/>
      <c r="H114" s="988"/>
      <c r="I114" s="988"/>
      <c r="J114" s="988"/>
      <c r="K114" s="988"/>
      <c r="L114" s="988"/>
      <c r="M114" s="988"/>
      <c r="N114" s="988"/>
      <c r="O114" s="989"/>
    </row>
    <row r="115" spans="2:21">
      <c r="B115" s="990"/>
      <c r="C115" s="991"/>
      <c r="D115" s="991"/>
      <c r="E115" s="991"/>
      <c r="F115" s="991"/>
      <c r="G115" s="991"/>
      <c r="H115" s="991"/>
      <c r="I115" s="991"/>
      <c r="J115" s="991"/>
      <c r="K115" s="991"/>
      <c r="L115" s="991"/>
      <c r="M115" s="991"/>
      <c r="N115" s="991"/>
      <c r="O115" s="992"/>
    </row>
    <row r="116" spans="2:21">
      <c r="B116" s="993"/>
      <c r="C116" s="479" t="s">
        <v>311</v>
      </c>
      <c r="D116" s="994"/>
      <c r="E116" s="995"/>
      <c r="F116" s="994"/>
      <c r="G116" s="994"/>
      <c r="H116" s="994"/>
      <c r="I116" s="994"/>
      <c r="J116" s="994"/>
      <c r="K116" s="994"/>
      <c r="L116" s="994"/>
      <c r="M116" s="994"/>
      <c r="N116" s="995"/>
      <c r="O116" s="996"/>
    </row>
    <row r="117" spans="2:21">
      <c r="B117" s="993"/>
      <c r="C117" s="994"/>
      <c r="D117" s="994"/>
      <c r="E117" s="994"/>
      <c r="F117" s="994"/>
      <c r="G117" s="994"/>
      <c r="H117" s="994"/>
      <c r="I117" s="994"/>
      <c r="J117" s="994"/>
      <c r="K117" s="994"/>
      <c r="L117" s="994"/>
      <c r="M117" s="994"/>
      <c r="N117" s="994"/>
      <c r="O117" s="996"/>
    </row>
    <row r="118" spans="2:21" ht="15.5">
      <c r="B118" s="483"/>
      <c r="C118" s="997" t="s">
        <v>28</v>
      </c>
      <c r="D118" s="997" t="s">
        <v>312</v>
      </c>
      <c r="E118" s="997" t="s">
        <v>30</v>
      </c>
      <c r="F118" s="997" t="s">
        <v>588</v>
      </c>
      <c r="G118" s="997" t="s">
        <v>132</v>
      </c>
      <c r="H118" s="997" t="s">
        <v>133</v>
      </c>
      <c r="I118" s="997" t="s">
        <v>134</v>
      </c>
      <c r="J118" s="997" t="s">
        <v>135</v>
      </c>
      <c r="K118" s="997" t="s">
        <v>136</v>
      </c>
      <c r="L118" s="997" t="s">
        <v>137</v>
      </c>
      <c r="M118" s="997" t="s">
        <v>138</v>
      </c>
      <c r="N118" s="997" t="s">
        <v>139</v>
      </c>
      <c r="O118" s="996"/>
    </row>
    <row r="119" spans="2:21" ht="15.5">
      <c r="B119" s="483"/>
      <c r="C119" s="998" t="s">
        <v>868</v>
      </c>
      <c r="D119" s="998" t="s">
        <v>3377</v>
      </c>
      <c r="E119" s="485" t="str">
        <f>Preferences.AreaUnits</f>
        <v>km^2</v>
      </c>
      <c r="F119" s="2408">
        <f t="shared" ref="F119:N119" si="14">F76*Unit.m2</f>
        <v>0</v>
      </c>
      <c r="G119" s="2408">
        <f t="shared" si="14"/>
        <v>0</v>
      </c>
      <c r="H119" s="2408">
        <f t="shared" si="14"/>
        <v>0</v>
      </c>
      <c r="I119" s="2408">
        <f t="shared" si="14"/>
        <v>0</v>
      </c>
      <c r="J119" s="2408">
        <f t="shared" si="14"/>
        <v>0</v>
      </c>
      <c r="K119" s="2408">
        <f t="shared" si="14"/>
        <v>0</v>
      </c>
      <c r="L119" s="2408">
        <f t="shared" si="14"/>
        <v>0</v>
      </c>
      <c r="M119" s="2408">
        <f t="shared" si="14"/>
        <v>0</v>
      </c>
      <c r="N119" s="2408">
        <f t="shared" si="14"/>
        <v>0</v>
      </c>
      <c r="O119" s="996"/>
    </row>
    <row r="120" spans="2:21" ht="15.5">
      <c r="B120" s="483"/>
      <c r="C120" s="998" t="s">
        <v>748</v>
      </c>
      <c r="D120" s="485" t="str">
        <f>INDEX(Vectors[Description], MATCH($C120, Vectors[Code], 0))</f>
        <v xml:space="preserve">Installed Capacity </v>
      </c>
      <c r="E120" s="485" t="str">
        <f>Preferences.PowerUnits</f>
        <v>GW</v>
      </c>
      <c r="F120" s="2408">
        <f t="shared" ref="F120:N120" si="15">F63</f>
        <v>0</v>
      </c>
      <c r="G120" s="2408">
        <f t="shared" si="15"/>
        <v>0</v>
      </c>
      <c r="H120" s="2408">
        <f t="shared" si="15"/>
        <v>0</v>
      </c>
      <c r="I120" s="2408">
        <f t="shared" si="15"/>
        <v>0</v>
      </c>
      <c r="J120" s="2408">
        <f t="shared" si="15"/>
        <v>0</v>
      </c>
      <c r="K120" s="2408">
        <f t="shared" si="15"/>
        <v>0</v>
      </c>
      <c r="L120" s="2408">
        <f t="shared" si="15"/>
        <v>0</v>
      </c>
      <c r="M120" s="2408">
        <f t="shared" si="15"/>
        <v>0</v>
      </c>
      <c r="N120" s="2408">
        <f t="shared" si="15"/>
        <v>0</v>
      </c>
      <c r="O120" s="996"/>
    </row>
    <row r="121" spans="2:21" ht="15.5">
      <c r="B121" s="488"/>
      <c r="C121" s="1001"/>
      <c r="D121" s="1001"/>
      <c r="E121" s="1001"/>
      <c r="F121" s="1001"/>
      <c r="G121" s="1001"/>
      <c r="H121" s="1001"/>
      <c r="I121" s="1001"/>
      <c r="J121" s="1001"/>
      <c r="K121" s="1001"/>
      <c r="L121" s="1001"/>
      <c r="M121" s="1001"/>
      <c r="N121" s="1001"/>
      <c r="O121" s="1002"/>
    </row>
    <row r="123" spans="2:21" ht="15">
      <c r="B123" s="986" t="s">
        <v>319</v>
      </c>
      <c r="C123" s="988"/>
      <c r="D123" s="988"/>
      <c r="E123" s="988"/>
      <c r="F123" s="988"/>
      <c r="G123" s="988"/>
      <c r="H123" s="988"/>
      <c r="I123" s="988"/>
      <c r="J123" s="988"/>
      <c r="K123" s="988"/>
      <c r="L123" s="988"/>
      <c r="M123" s="988"/>
      <c r="N123" s="988"/>
      <c r="O123" s="989"/>
    </row>
    <row r="124" spans="2:21" hidden="1">
      <c r="B124" s="993"/>
      <c r="C124" s="994"/>
      <c r="D124" s="994"/>
      <c r="E124" s="994"/>
      <c r="F124" s="994"/>
      <c r="G124" s="994"/>
      <c r="H124" s="994"/>
      <c r="I124" s="994"/>
      <c r="J124" s="994"/>
      <c r="K124" s="994"/>
      <c r="L124" s="994"/>
      <c r="M124" s="994"/>
      <c r="N124" s="994"/>
      <c r="O124" s="996"/>
    </row>
    <row r="125" spans="2:21" hidden="1">
      <c r="B125" s="993"/>
      <c r="C125" s="491" t="s">
        <v>751</v>
      </c>
      <c r="D125" s="1003"/>
      <c r="E125" s="1003"/>
      <c r="F125" s="1003"/>
      <c r="G125" s="1003"/>
      <c r="H125" s="1003"/>
      <c r="I125" s="1003"/>
      <c r="J125" s="1003"/>
      <c r="K125" s="1003"/>
      <c r="L125" s="1003"/>
      <c r="M125" s="1003"/>
      <c r="N125" s="1004" t="s">
        <v>2736</v>
      </c>
      <c r="O125" s="996"/>
    </row>
    <row r="126" spans="2:21" hidden="1">
      <c r="B126" s="993"/>
      <c r="C126" s="994"/>
      <c r="D126" s="994"/>
      <c r="E126" s="994"/>
      <c r="F126" s="994"/>
      <c r="G126" s="994"/>
      <c r="H126" s="994"/>
      <c r="I126" s="994"/>
      <c r="J126" s="994"/>
      <c r="K126" s="994"/>
      <c r="L126" s="994"/>
      <c r="M126" s="994"/>
      <c r="N126" s="994"/>
      <c r="O126" s="996"/>
    </row>
    <row r="127" spans="2:21" ht="15.5" hidden="1">
      <c r="B127" s="483"/>
      <c r="C127" s="997" t="s">
        <v>28</v>
      </c>
      <c r="D127" s="997" t="s">
        <v>29</v>
      </c>
      <c r="E127" s="997" t="s">
        <v>30</v>
      </c>
      <c r="F127" s="997">
        <v>2013</v>
      </c>
      <c r="G127" s="997" t="s">
        <v>132</v>
      </c>
      <c r="H127" s="997" t="s">
        <v>133</v>
      </c>
      <c r="I127" s="997" t="s">
        <v>134</v>
      </c>
      <c r="J127" s="997" t="s">
        <v>135</v>
      </c>
      <c r="K127" s="997" t="s">
        <v>136</v>
      </c>
      <c r="L127" s="997" t="s">
        <v>137</v>
      </c>
      <c r="M127" s="997" t="s">
        <v>138</v>
      </c>
      <c r="N127" s="997" t="s">
        <v>139</v>
      </c>
      <c r="O127" s="1141"/>
      <c r="R127" s="1143"/>
      <c r="S127" s="1144"/>
      <c r="T127" s="1143"/>
      <c r="U127" s="1143"/>
    </row>
    <row r="128" spans="2:21" ht="15.5" hidden="1">
      <c r="B128" s="483"/>
      <c r="C128" s="998" t="s">
        <v>325</v>
      </c>
      <c r="D128" s="485" t="s">
        <v>326</v>
      </c>
      <c r="E128" s="485"/>
      <c r="F128" s="999"/>
      <c r="G128" s="999"/>
      <c r="H128" s="999"/>
      <c r="I128" s="999"/>
      <c r="J128" s="999"/>
      <c r="K128" s="999"/>
      <c r="L128" s="999"/>
      <c r="M128" s="999"/>
      <c r="N128" s="999"/>
      <c r="O128" s="1141"/>
      <c r="S128" s="6"/>
    </row>
    <row r="129" spans="2:19" ht="15.5" hidden="1">
      <c r="B129" s="483"/>
      <c r="C129" s="998" t="s">
        <v>332</v>
      </c>
      <c r="D129" s="485" t="s">
        <v>333</v>
      </c>
      <c r="E129" s="485"/>
      <c r="F129" s="999"/>
      <c r="G129" s="999"/>
      <c r="H129" s="999"/>
      <c r="I129" s="999"/>
      <c r="J129" s="999"/>
      <c r="K129" s="999"/>
      <c r="L129" s="999"/>
      <c r="M129" s="999"/>
      <c r="N129" s="999"/>
      <c r="O129" s="1141"/>
      <c r="S129" s="6"/>
    </row>
    <row r="130" spans="2:19" ht="15.5" hidden="1">
      <c r="B130" s="483"/>
      <c r="C130" s="998" t="s">
        <v>323</v>
      </c>
      <c r="D130" s="485" t="s">
        <v>324</v>
      </c>
      <c r="E130" s="485"/>
      <c r="F130" s="999"/>
      <c r="G130" s="999"/>
      <c r="H130" s="999"/>
      <c r="I130" s="999"/>
      <c r="J130" s="999"/>
      <c r="K130" s="999"/>
      <c r="L130" s="999"/>
      <c r="M130" s="999"/>
      <c r="N130" s="999"/>
      <c r="O130" s="1141"/>
      <c r="S130" s="6"/>
    </row>
    <row r="131" spans="2:19" ht="15.5" hidden="1">
      <c r="B131" s="483"/>
      <c r="C131" s="998" t="s">
        <v>330</v>
      </c>
      <c r="D131" s="485" t="s">
        <v>331</v>
      </c>
      <c r="E131" s="485"/>
      <c r="F131" s="999"/>
      <c r="G131" s="999"/>
      <c r="H131" s="999"/>
      <c r="I131" s="999"/>
      <c r="J131" s="999"/>
      <c r="K131" s="999"/>
      <c r="L131" s="999"/>
      <c r="M131" s="999"/>
      <c r="N131" s="999"/>
      <c r="O131" s="1141"/>
    </row>
    <row r="132" spans="2:19" hidden="1">
      <c r="B132" s="494"/>
      <c r="C132" s="998" t="s">
        <v>321</v>
      </c>
      <c r="D132" s="485" t="s">
        <v>322</v>
      </c>
      <c r="E132" s="485"/>
      <c r="F132" s="999"/>
      <c r="G132" s="999"/>
      <c r="H132" s="999"/>
      <c r="I132" s="999"/>
      <c r="J132" s="999"/>
      <c r="K132" s="999"/>
      <c r="L132" s="999"/>
      <c r="M132" s="999"/>
      <c r="N132" s="999"/>
      <c r="O132" s="1142"/>
    </row>
    <row r="133" spans="2:19" hidden="1">
      <c r="B133" s="494"/>
      <c r="C133" s="998" t="s">
        <v>328</v>
      </c>
      <c r="D133" s="485" t="s">
        <v>329</v>
      </c>
      <c r="E133" s="485"/>
      <c r="F133" s="999"/>
      <c r="G133" s="999"/>
      <c r="H133" s="999"/>
      <c r="I133" s="999"/>
      <c r="J133" s="999"/>
      <c r="K133" s="999"/>
      <c r="L133" s="999"/>
      <c r="M133" s="999"/>
      <c r="N133" s="999"/>
      <c r="O133" s="1142"/>
    </row>
    <row r="134" spans="2:19" hidden="1">
      <c r="B134" s="1005"/>
      <c r="C134" s="1001"/>
      <c r="D134" s="1001"/>
      <c r="E134" s="1001"/>
      <c r="F134" s="1001"/>
      <c r="G134" s="1001"/>
      <c r="H134" s="1001"/>
      <c r="I134" s="1001"/>
      <c r="J134" s="1001"/>
      <c r="K134" s="1001"/>
      <c r="L134" s="1001"/>
      <c r="M134" s="1001"/>
      <c r="N134" s="1001"/>
      <c r="O134" s="1006"/>
    </row>
    <row r="137" spans="2:19">
      <c r="D137" s="2473"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9"/>
  </sheetPr>
  <dimension ref="A1:DI128"/>
  <sheetViews>
    <sheetView showGridLines="0" topLeftCell="B1" zoomScale="80" zoomScaleNormal="80" workbookViewId="0">
      <selection activeCell="E8" sqref="E8"/>
    </sheetView>
  </sheetViews>
  <sheetFormatPr defaultColWidth="8.81640625" defaultRowHeight="14.5"/>
  <cols>
    <col min="1" max="1" width="7.7265625" style="3450" customWidth="1"/>
    <col min="2" max="2" width="5.81640625" style="3450" customWidth="1"/>
    <col min="3" max="3" width="20.453125" style="3450" customWidth="1"/>
    <col min="4" max="4" width="30.7265625" style="3450" customWidth="1"/>
    <col min="5" max="5" width="20.7265625" style="3450" customWidth="1"/>
    <col min="6" max="14" width="17.7265625" style="3450" customWidth="1"/>
    <col min="15" max="15" width="2" style="3450" customWidth="1"/>
    <col min="16" max="16" width="10.81640625" style="3450" customWidth="1"/>
    <col min="17" max="16384" width="8.81640625" style="3450"/>
  </cols>
  <sheetData>
    <row r="1" spans="1:15" ht="20">
      <c r="A1" s="854" t="s">
        <v>529</v>
      </c>
      <c r="B1" s="854" t="s">
        <v>530</v>
      </c>
      <c r="C1" s="854"/>
      <c r="E1" s="3802"/>
    </row>
    <row r="2" spans="1:15" s="6" customFormat="1" ht="15">
      <c r="A2" s="855" t="s">
        <v>25</v>
      </c>
      <c r="B2" s="855" t="s">
        <v>26</v>
      </c>
      <c r="C2" s="85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IV.b.Scenario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2667</v>
      </c>
      <c r="D13" s="67"/>
      <c r="E13" s="51"/>
      <c r="F13" s="67"/>
      <c r="G13" s="67"/>
      <c r="H13" s="67"/>
      <c r="I13" s="67"/>
      <c r="J13" s="67"/>
      <c r="K13" s="67"/>
      <c r="L13" s="67"/>
      <c r="M13" s="67"/>
      <c r="N13" s="51" t="s">
        <v>2668</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5" ht="15.5">
      <c r="B16" s="966"/>
      <c r="C16" s="65">
        <v>1</v>
      </c>
      <c r="D16" s="103"/>
      <c r="E16" s="881"/>
      <c r="F16" s="2639">
        <v>0.08</v>
      </c>
      <c r="G16" s="3455">
        <v>0.1</v>
      </c>
      <c r="H16" s="3455">
        <v>0.1</v>
      </c>
      <c r="I16" s="3455">
        <v>0.1</v>
      </c>
      <c r="J16" s="3455">
        <v>0.1</v>
      </c>
      <c r="K16" s="3455">
        <v>0.1</v>
      </c>
      <c r="L16" s="3455">
        <v>0.1</v>
      </c>
      <c r="M16" s="3455">
        <v>0.1</v>
      </c>
      <c r="N16" s="3455">
        <v>0.1</v>
      </c>
      <c r="O16" s="884"/>
    </row>
    <row r="17" spans="1:15" ht="15.5">
      <c r="B17" s="55"/>
      <c r="C17" s="65">
        <v>2</v>
      </c>
      <c r="D17" s="103"/>
      <c r="E17" s="103"/>
      <c r="F17" s="2639">
        <v>0.08</v>
      </c>
      <c r="G17" s="3456">
        <v>0.18604651162790697</v>
      </c>
      <c r="H17" s="3456">
        <v>0.30232558139534882</v>
      </c>
      <c r="I17" s="3456">
        <v>0.41860465116279066</v>
      </c>
      <c r="J17" s="3456">
        <v>0.53488372093023251</v>
      </c>
      <c r="K17" s="3456">
        <v>0.65116279069767447</v>
      </c>
      <c r="L17" s="3456">
        <v>0.76744186046511631</v>
      </c>
      <c r="M17" s="3456">
        <v>0.88372093023255816</v>
      </c>
      <c r="N17" s="2918">
        <v>1</v>
      </c>
      <c r="O17" s="876"/>
    </row>
    <row r="18" spans="1:15" ht="15.5">
      <c r="B18" s="55"/>
      <c r="C18" s="65">
        <v>3</v>
      </c>
      <c r="D18" s="103"/>
      <c r="E18" s="103"/>
      <c r="F18" s="2639">
        <v>0.08</v>
      </c>
      <c r="G18" s="3456">
        <v>0.3</v>
      </c>
      <c r="H18" s="3456">
        <v>0.7</v>
      </c>
      <c r="I18" s="3456">
        <v>1</v>
      </c>
      <c r="J18" s="3456">
        <v>1.3</v>
      </c>
      <c r="K18" s="3456">
        <v>1.6</v>
      </c>
      <c r="L18" s="3456">
        <v>1.9</v>
      </c>
      <c r="M18" s="3456">
        <v>2.2000000000000002</v>
      </c>
      <c r="N18" s="2918">
        <v>2.5</v>
      </c>
      <c r="O18" s="876"/>
    </row>
    <row r="19" spans="1:15" ht="15.5">
      <c r="B19" s="55"/>
      <c r="C19" s="887">
        <v>4</v>
      </c>
      <c r="D19" s="888"/>
      <c r="E19" s="888"/>
      <c r="F19" s="2640">
        <v>0.08</v>
      </c>
      <c r="G19" s="3456">
        <v>0.55813953488372092</v>
      </c>
      <c r="H19" s="3457">
        <v>1</v>
      </c>
      <c r="I19" s="3457">
        <v>1.5</v>
      </c>
      <c r="J19" s="3457">
        <v>2</v>
      </c>
      <c r="K19" s="3457">
        <v>2.5</v>
      </c>
      <c r="L19" s="3457">
        <v>3</v>
      </c>
      <c r="M19" s="3457">
        <v>4</v>
      </c>
      <c r="N19" s="3477">
        <v>5</v>
      </c>
      <c r="O19" s="876"/>
    </row>
    <row r="20" spans="1:15" ht="15.5">
      <c r="B20" s="55"/>
      <c r="C20" s="1015" t="s">
        <v>37</v>
      </c>
      <c r="D20" s="892"/>
      <c r="E20" s="892"/>
      <c r="F20" s="3318">
        <f>(INDEX(F$16:F$19,ROUNDDOWN($E$8,0))*(1-MOD($E$8,1)))+(INDEX(F$16:F$19,ROUNDUP($E$8,0))*MOD($E$8,1))</f>
        <v>0.08</v>
      </c>
      <c r="G20" s="3319">
        <f t="shared" ref="G20:N20" si="0">(INDEX(G$16:G$19,ROUNDDOWN($E$8,0))*(1-MOD($E$8,1)))+(INDEX(G$16:G$19,ROUNDUP($E$8,0))*MOD($E$8,1))</f>
        <v>0.1</v>
      </c>
      <c r="H20" s="3318">
        <f t="shared" si="0"/>
        <v>0.1</v>
      </c>
      <c r="I20" s="3318">
        <f t="shared" si="0"/>
        <v>0.1</v>
      </c>
      <c r="J20" s="3318">
        <f t="shared" si="0"/>
        <v>0.1</v>
      </c>
      <c r="K20" s="3318">
        <f t="shared" si="0"/>
        <v>0.1</v>
      </c>
      <c r="L20" s="3318">
        <f t="shared" si="0"/>
        <v>0.1</v>
      </c>
      <c r="M20" s="3318">
        <f t="shared" si="0"/>
        <v>0.1</v>
      </c>
      <c r="N20" s="3318">
        <f t="shared" si="0"/>
        <v>0.1</v>
      </c>
      <c r="O20" s="876"/>
    </row>
    <row r="21" spans="1:15">
      <c r="B21" s="45"/>
      <c r="C21" s="67"/>
      <c r="D21" s="195"/>
      <c r="E21" s="67"/>
      <c r="F21" s="67"/>
      <c r="G21" s="67"/>
      <c r="H21" s="67"/>
      <c r="I21" s="67"/>
      <c r="J21" s="67"/>
      <c r="K21" s="67"/>
      <c r="L21" s="67"/>
      <c r="M21" s="67"/>
      <c r="N21" s="67"/>
      <c r="O21" s="876"/>
    </row>
    <row r="22" spans="1:15">
      <c r="B22" s="46"/>
      <c r="C22" s="3826" t="s">
        <v>63</v>
      </c>
      <c r="D22" s="195"/>
      <c r="E22" s="67"/>
      <c r="F22" s="67"/>
      <c r="G22" s="67"/>
      <c r="H22" s="67" t="s">
        <v>5</v>
      </c>
      <c r="I22" s="67"/>
      <c r="J22" s="67"/>
      <c r="K22" s="67"/>
      <c r="L22" s="67"/>
      <c r="M22" s="67"/>
      <c r="N22" s="67"/>
      <c r="O22" s="67"/>
    </row>
    <row r="23" spans="1:15">
      <c r="B23" s="46"/>
      <c r="C23" s="3827" t="s">
        <v>64</v>
      </c>
      <c r="D23" s="3830" t="s">
        <v>3006</v>
      </c>
      <c r="E23" s="67"/>
      <c r="F23" s="67"/>
      <c r="G23" s="67"/>
      <c r="H23" s="67"/>
      <c r="I23" s="67"/>
      <c r="J23" s="67"/>
      <c r="K23" s="67"/>
      <c r="L23" s="67"/>
      <c r="M23" s="67"/>
      <c r="N23" s="67"/>
      <c r="O23" s="67"/>
    </row>
    <row r="24" spans="1:15">
      <c r="B24" s="46"/>
      <c r="C24" s="3827"/>
      <c r="D24" s="3830" t="s">
        <v>3008</v>
      </c>
      <c r="E24" s="67"/>
      <c r="F24" s="67"/>
      <c r="G24" s="67"/>
      <c r="H24" s="67"/>
      <c r="I24" s="67"/>
      <c r="J24" s="67"/>
      <c r="K24" s="67"/>
      <c r="L24" s="67"/>
      <c r="M24" s="67"/>
      <c r="N24" s="67"/>
      <c r="O24" s="67"/>
    </row>
    <row r="25" spans="1:15">
      <c r="B25" s="46"/>
      <c r="C25" s="67"/>
      <c r="D25" s="195"/>
      <c r="E25" s="67"/>
      <c r="F25" s="67"/>
      <c r="G25" s="67"/>
      <c r="H25" s="67"/>
      <c r="I25" s="67"/>
      <c r="J25" s="67"/>
      <c r="K25" s="67"/>
      <c r="L25" s="67"/>
      <c r="M25" s="67"/>
      <c r="N25" s="67"/>
      <c r="O25" s="67"/>
    </row>
    <row r="27" spans="1:15" s="6" customFormat="1" ht="23.5">
      <c r="A27" s="40"/>
      <c r="B27" s="869" t="s">
        <v>69</v>
      </c>
      <c r="C27" s="870"/>
      <c r="D27" s="870"/>
      <c r="E27" s="870"/>
      <c r="F27" s="870"/>
      <c r="G27" s="870"/>
      <c r="H27" s="870"/>
      <c r="I27" s="870"/>
      <c r="J27" s="870"/>
      <c r="K27" s="870"/>
      <c r="L27" s="870"/>
      <c r="M27" s="870"/>
      <c r="N27" s="870"/>
      <c r="O27" s="871"/>
    </row>
    <row r="28" spans="1:15">
      <c r="B28" s="105"/>
      <c r="C28" s="67"/>
      <c r="D28" s="67"/>
      <c r="E28" s="67"/>
      <c r="F28" s="67"/>
      <c r="G28" s="67"/>
      <c r="H28" s="67"/>
      <c r="I28" s="67"/>
      <c r="J28" s="67"/>
      <c r="K28" s="67"/>
      <c r="L28" s="67"/>
      <c r="M28" s="67"/>
      <c r="N28" s="67"/>
      <c r="O28" s="876"/>
    </row>
    <row r="29" spans="1:15">
      <c r="B29" s="105"/>
      <c r="C29" s="49" t="s">
        <v>3376</v>
      </c>
      <c r="D29" s="67"/>
      <c r="E29" s="51"/>
      <c r="F29" s="67"/>
      <c r="G29" s="67"/>
      <c r="H29" s="67"/>
      <c r="I29" s="67"/>
      <c r="J29" s="67"/>
      <c r="K29" s="67"/>
      <c r="L29" s="67"/>
      <c r="M29" s="67"/>
      <c r="N29" s="51" t="s">
        <v>42</v>
      </c>
      <c r="O29" s="876"/>
    </row>
    <row r="30" spans="1:15">
      <c r="B30" s="105"/>
      <c r="C30" s="67"/>
      <c r="D30" s="67"/>
      <c r="E30" s="67"/>
      <c r="F30" s="67"/>
      <c r="G30" s="67"/>
      <c r="H30" s="67"/>
      <c r="I30" s="67"/>
      <c r="J30" s="67"/>
      <c r="K30" s="67"/>
      <c r="L30" s="67"/>
      <c r="M30" s="67"/>
      <c r="N30" s="67"/>
      <c r="O30" s="876"/>
    </row>
    <row r="31" spans="1:15" ht="15.5">
      <c r="B31" s="55"/>
      <c r="C31" s="878" t="s">
        <v>131</v>
      </c>
      <c r="D31" s="878" t="s">
        <v>712</v>
      </c>
      <c r="E31" s="878" t="s">
        <v>30</v>
      </c>
      <c r="F31" s="87">
        <v>2013</v>
      </c>
      <c r="G31" s="87">
        <v>2015</v>
      </c>
      <c r="H31" s="87">
        <v>2020</v>
      </c>
      <c r="I31" s="87">
        <v>2025</v>
      </c>
      <c r="J31" s="87">
        <v>2030</v>
      </c>
      <c r="K31" s="87">
        <v>2035</v>
      </c>
      <c r="L31" s="87">
        <v>2040</v>
      </c>
      <c r="M31" s="87">
        <v>2045</v>
      </c>
      <c r="N31" s="87">
        <v>2050</v>
      </c>
      <c r="O31" s="876"/>
    </row>
    <row r="32" spans="1:15" s="6" customFormat="1" ht="15.5">
      <c r="B32" s="966"/>
      <c r="C32" s="907" t="s">
        <v>437</v>
      </c>
      <c r="D32" s="908" t="s">
        <v>78</v>
      </c>
      <c r="E32" s="908"/>
      <c r="F32" s="3478">
        <v>0.35</v>
      </c>
      <c r="G32" s="3479">
        <v>0.35</v>
      </c>
      <c r="H32" s="3479">
        <v>0.35</v>
      </c>
      <c r="I32" s="3479">
        <v>0.35</v>
      </c>
      <c r="J32" s="3479">
        <v>0.4</v>
      </c>
      <c r="K32" s="3479">
        <v>0.4</v>
      </c>
      <c r="L32" s="3479">
        <v>0.4</v>
      </c>
      <c r="M32" s="3479">
        <v>0.4</v>
      </c>
      <c r="N32" s="3480">
        <v>0.4</v>
      </c>
      <c r="O32" s="884"/>
    </row>
    <row r="33" spans="1:113">
      <c r="B33" s="45"/>
      <c r="C33" s="67"/>
      <c r="D33" s="195"/>
      <c r="E33" s="67"/>
      <c r="F33" s="67"/>
      <c r="G33" s="67"/>
      <c r="H33" s="67"/>
      <c r="I33" s="67"/>
      <c r="J33" s="67"/>
      <c r="K33" s="67"/>
      <c r="L33" s="67"/>
      <c r="M33" s="67"/>
      <c r="N33" s="67"/>
      <c r="O33" s="876"/>
    </row>
    <row r="34" spans="1:113">
      <c r="B34" s="46"/>
      <c r="C34" s="49" t="s">
        <v>2669</v>
      </c>
      <c r="D34" s="67"/>
      <c r="E34" s="51"/>
      <c r="F34" s="67"/>
      <c r="G34" s="67"/>
      <c r="H34" s="67"/>
      <c r="I34" s="67"/>
      <c r="J34" s="67"/>
      <c r="K34" s="67"/>
      <c r="L34" s="67"/>
      <c r="M34" s="67"/>
      <c r="N34" s="51" t="s">
        <v>2670</v>
      </c>
      <c r="O34" s="67"/>
    </row>
    <row r="35" spans="1:113" ht="5.25" customHeight="1">
      <c r="B35" s="46"/>
      <c r="C35" s="67"/>
      <c r="D35" s="67"/>
      <c r="E35" s="67"/>
      <c r="F35" s="67"/>
      <c r="G35" s="67"/>
      <c r="H35" s="67"/>
      <c r="I35" s="67"/>
      <c r="J35" s="67"/>
      <c r="K35" s="67"/>
      <c r="L35" s="67"/>
      <c r="M35" s="67"/>
      <c r="N35" s="67"/>
      <c r="O35" s="67"/>
    </row>
    <row r="36" spans="1:113" ht="15.5">
      <c r="B36" s="252"/>
      <c r="C36" s="878" t="s">
        <v>131</v>
      </c>
      <c r="D36" s="878" t="s">
        <v>712</v>
      </c>
      <c r="E36" s="878" t="s">
        <v>30</v>
      </c>
      <c r="F36" s="87">
        <v>2013</v>
      </c>
      <c r="G36" s="87">
        <v>2015</v>
      </c>
      <c r="H36" s="87">
        <v>2020</v>
      </c>
      <c r="I36" s="87">
        <v>2025</v>
      </c>
      <c r="J36" s="87">
        <v>2030</v>
      </c>
      <c r="K36" s="87">
        <v>2035</v>
      </c>
      <c r="L36" s="87">
        <v>2040</v>
      </c>
      <c r="M36" s="87">
        <v>2045</v>
      </c>
      <c r="N36" s="87">
        <v>2050</v>
      </c>
      <c r="O36" s="67"/>
      <c r="P36" s="1068"/>
      <c r="Q36" s="1068"/>
      <c r="R36" s="1068"/>
      <c r="S36" s="1068"/>
      <c r="T36" s="1068"/>
      <c r="U36" s="1068"/>
      <c r="V36" s="1068"/>
      <c r="W36" s="1068"/>
      <c r="X36" s="1068"/>
      <c r="Y36" s="1068"/>
      <c r="Z36" s="1068"/>
      <c r="AA36" s="1068"/>
      <c r="AB36" s="1068"/>
      <c r="AC36" s="1068"/>
      <c r="AD36" s="1068"/>
      <c r="AE36" s="1068"/>
      <c r="AF36" s="1068"/>
      <c r="AG36" s="1068"/>
      <c r="AH36" s="1068"/>
      <c r="AI36" s="1068"/>
      <c r="AJ36" s="1068"/>
      <c r="AK36" s="1068"/>
    </row>
    <row r="37" spans="1:113" ht="15.5">
      <c r="B37" s="252"/>
      <c r="C37" s="907" t="s">
        <v>95</v>
      </c>
      <c r="D37" s="908" t="s">
        <v>85</v>
      </c>
      <c r="E37" s="908"/>
      <c r="F37" s="3478">
        <v>7.1428571428571425E-2</v>
      </c>
      <c r="G37" s="3479">
        <v>7.1428571428571425E-2</v>
      </c>
      <c r="H37" s="3479">
        <v>7.1428571428571425E-2</v>
      </c>
      <c r="I37" s="3479">
        <v>7.1428571428571425E-2</v>
      </c>
      <c r="J37" s="3479">
        <v>7.1428571428571425E-2</v>
      </c>
      <c r="K37" s="3479">
        <v>7.1428571428571425E-2</v>
      </c>
      <c r="L37" s="3479">
        <v>7.1428571428571425E-2</v>
      </c>
      <c r="M37" s="3479">
        <v>7.1428571428571425E-2</v>
      </c>
      <c r="N37" s="3480">
        <v>7.1428571428571425E-2</v>
      </c>
      <c r="O37" s="67"/>
      <c r="P37" s="1068"/>
      <c r="Q37" s="1068"/>
      <c r="R37" s="1068"/>
      <c r="S37" s="1068"/>
      <c r="T37" s="1068"/>
      <c r="U37" s="1068"/>
      <c r="V37" s="1068"/>
      <c r="W37" s="1068"/>
      <c r="X37" s="1068"/>
      <c r="Y37" s="1068"/>
      <c r="Z37" s="1068"/>
      <c r="AA37" s="1068"/>
      <c r="AB37" s="1068"/>
      <c r="AC37" s="1068"/>
      <c r="AD37" s="1068"/>
      <c r="AE37" s="1068"/>
      <c r="AF37" s="1068"/>
      <c r="AG37" s="1068"/>
      <c r="AH37" s="1068"/>
      <c r="AI37" s="1068"/>
      <c r="AJ37" s="1068"/>
      <c r="AK37" s="1068"/>
    </row>
    <row r="38" spans="1:113">
      <c r="B38" s="46"/>
      <c r="C38" s="67"/>
      <c r="D38" s="195"/>
      <c r="E38" s="67"/>
      <c r="F38" s="67"/>
      <c r="G38" s="67"/>
      <c r="H38" s="67"/>
      <c r="I38" s="67"/>
      <c r="J38" s="67"/>
      <c r="K38" s="67"/>
      <c r="L38" s="67"/>
      <c r="M38" s="67"/>
      <c r="N38" s="67"/>
      <c r="O38" s="67"/>
      <c r="P38" s="1068"/>
      <c r="Q38" s="1068"/>
      <c r="R38" s="1068"/>
      <c r="S38" s="1068"/>
      <c r="T38" s="1068"/>
      <c r="U38" s="1068"/>
      <c r="V38" s="1068"/>
      <c r="W38" s="1068"/>
      <c r="X38" s="1068"/>
      <c r="Y38" s="1068"/>
      <c r="Z38" s="1068"/>
      <c r="AA38" s="1068"/>
      <c r="AB38" s="1068"/>
      <c r="AC38" s="1068"/>
      <c r="AD38" s="1068"/>
      <c r="AE38" s="1068"/>
      <c r="AF38" s="1068"/>
      <c r="AG38" s="1068"/>
      <c r="AH38" s="1068"/>
      <c r="AI38" s="1068"/>
      <c r="AJ38" s="1068"/>
      <c r="AK38" s="1068"/>
    </row>
    <row r="39" spans="1:113" s="6" customFormat="1" ht="15.5">
      <c r="B39" s="966"/>
      <c r="C39" s="65"/>
      <c r="D39" s="3838" t="s">
        <v>1859</v>
      </c>
      <c r="E39" s="2248">
        <f>2*Global.IrelandIncidentSolarEnergy_SouthFacing*$F$32*Unit.W</f>
        <v>7.7000000000000001E-8</v>
      </c>
      <c r="F39" s="3837" t="str">
        <f>Preferences.PowerUnits&amp;"/average"</f>
        <v>GW/average</v>
      </c>
      <c r="G39" s="2569"/>
      <c r="H39" s="2569"/>
      <c r="I39" s="2569"/>
      <c r="J39" s="2569"/>
      <c r="K39" s="2569"/>
      <c r="L39" s="2569"/>
      <c r="M39" s="2569"/>
      <c r="N39" s="2569"/>
      <c r="O39" s="103"/>
      <c r="P39" s="647"/>
      <c r="Q39" s="647"/>
      <c r="R39" s="647"/>
      <c r="S39" s="647"/>
      <c r="T39" s="647"/>
      <c r="U39" s="647"/>
      <c r="V39" s="647"/>
      <c r="W39" s="647"/>
      <c r="X39" s="647"/>
      <c r="Y39" s="647"/>
      <c r="Z39" s="647"/>
      <c r="AA39" s="647"/>
      <c r="AB39" s="647"/>
      <c r="AC39" s="647"/>
      <c r="AD39" s="647"/>
      <c r="AE39" s="647"/>
      <c r="AF39" s="647"/>
      <c r="AG39" s="647"/>
      <c r="AH39" s="647"/>
      <c r="AI39" s="647"/>
      <c r="AJ39" s="647"/>
      <c r="AK39" s="647"/>
    </row>
    <row r="40" spans="1:113">
      <c r="B40" s="46"/>
      <c r="C40" s="3828" t="s">
        <v>3375</v>
      </c>
      <c r="D40" s="195"/>
      <c r="E40" s="67"/>
      <c r="F40" s="67"/>
      <c r="G40" s="67"/>
      <c r="H40" s="67"/>
      <c r="I40" s="67"/>
      <c r="J40" s="67"/>
      <c r="K40" s="67"/>
      <c r="L40" s="67"/>
      <c r="M40" s="67"/>
      <c r="N40" s="67"/>
      <c r="O40" s="67"/>
      <c r="P40" s="1068"/>
      <c r="Q40" s="1068"/>
      <c r="R40" s="1068"/>
      <c r="S40" s="1068"/>
      <c r="T40" s="1068"/>
      <c r="U40" s="1068"/>
      <c r="V40" s="1068"/>
      <c r="W40" s="1068"/>
      <c r="X40" s="1068"/>
      <c r="Y40" s="1068"/>
      <c r="Z40" s="1068"/>
      <c r="AA40" s="1068"/>
      <c r="AB40" s="1068"/>
      <c r="AC40" s="1068"/>
      <c r="AD40" s="1068"/>
      <c r="AE40" s="1068"/>
      <c r="AF40" s="1068"/>
      <c r="AG40" s="1068"/>
      <c r="AH40" s="1068"/>
      <c r="AI40" s="1068"/>
      <c r="AJ40" s="1068"/>
      <c r="AK40" s="1068"/>
    </row>
    <row r="41" spans="1:113">
      <c r="P41" s="1068"/>
      <c r="Q41" s="1068"/>
      <c r="R41" s="1068"/>
      <c r="S41" s="1068"/>
      <c r="T41" s="1068"/>
      <c r="U41" s="1068"/>
      <c r="V41" s="1068"/>
      <c r="W41" s="1068"/>
      <c r="X41" s="1068"/>
      <c r="Y41" s="1068"/>
      <c r="Z41" s="1068"/>
      <c r="AA41" s="1068"/>
      <c r="AB41" s="1068"/>
      <c r="AC41" s="1068"/>
      <c r="AD41" s="1068"/>
      <c r="AE41" s="1068"/>
      <c r="AF41" s="1068"/>
      <c r="AG41" s="1068"/>
      <c r="AH41" s="1068"/>
      <c r="AI41" s="1068"/>
      <c r="AJ41" s="1068"/>
      <c r="AK41" s="1068"/>
    </row>
    <row r="42" spans="1:113" s="6" customFormat="1" ht="23.5">
      <c r="A42" s="40"/>
      <c r="B42" s="869" t="s">
        <v>2719</v>
      </c>
      <c r="C42" s="870"/>
      <c r="D42" s="870"/>
      <c r="E42" s="870"/>
      <c r="F42" s="870"/>
      <c r="G42" s="870"/>
      <c r="H42" s="870"/>
      <c r="I42" s="870"/>
      <c r="J42" s="870"/>
      <c r="K42" s="870"/>
      <c r="L42" s="870"/>
      <c r="M42" s="870"/>
      <c r="N42" s="870"/>
      <c r="O42" s="870"/>
      <c r="P42" s="647"/>
      <c r="Q42" s="2500"/>
      <c r="R42" s="647"/>
      <c r="S42" s="647"/>
      <c r="T42" s="647"/>
      <c r="U42" s="647"/>
      <c r="V42" s="647"/>
      <c r="W42" s="647"/>
      <c r="X42" s="647"/>
      <c r="Y42" s="647"/>
      <c r="Z42" s="647"/>
      <c r="AA42" s="647"/>
      <c r="AB42" s="647"/>
      <c r="AC42" s="647"/>
      <c r="AD42" s="647"/>
      <c r="AE42" s="647"/>
      <c r="AF42" s="647"/>
      <c r="AG42" s="647"/>
      <c r="AH42" s="647"/>
      <c r="AI42" s="647"/>
      <c r="AJ42" s="647"/>
      <c r="AK42" s="647"/>
    </row>
    <row r="43" spans="1:113" hidden="1">
      <c r="B43" s="872"/>
      <c r="C43" s="873"/>
      <c r="D43" s="873"/>
      <c r="E43" s="873"/>
      <c r="F43" s="873"/>
      <c r="G43" s="873"/>
      <c r="H43" s="873"/>
      <c r="I43" s="873"/>
      <c r="J43" s="873"/>
      <c r="K43" s="873"/>
      <c r="L43" s="873"/>
      <c r="M43" s="873"/>
      <c r="N43" s="873"/>
      <c r="O43" s="873"/>
      <c r="P43" s="1068"/>
      <c r="Q43" s="2470"/>
      <c r="R43" s="1068"/>
      <c r="S43" s="1068"/>
      <c r="T43" s="1068"/>
      <c r="U43" s="1068"/>
      <c r="V43" s="1068"/>
      <c r="W43" s="1068"/>
      <c r="X43" s="1068"/>
      <c r="Y43" s="1068"/>
      <c r="Z43" s="1068"/>
      <c r="AA43" s="1068"/>
      <c r="AB43" s="1068"/>
      <c r="AC43" s="1068"/>
      <c r="AD43" s="1068"/>
      <c r="AE43" s="1068"/>
      <c r="AF43" s="1068"/>
      <c r="AG43" s="1068"/>
      <c r="AH43" s="1068"/>
      <c r="AI43" s="1068"/>
      <c r="AJ43" s="1068"/>
      <c r="AK43" s="1068"/>
    </row>
    <row r="44" spans="1:113" s="6" customFormat="1" hidden="1">
      <c r="A44" s="3450"/>
      <c r="B44" s="105"/>
      <c r="C44" s="49" t="s">
        <v>2671</v>
      </c>
      <c r="D44" s="915"/>
      <c r="E44" s="932"/>
      <c r="F44" s="2489"/>
      <c r="G44" s="934"/>
      <c r="H44" s="934"/>
      <c r="I44" s="934"/>
      <c r="J44" s="934"/>
      <c r="K44" s="934"/>
      <c r="L44" s="934"/>
      <c r="M44" s="934"/>
      <c r="N44" s="935" t="s">
        <v>2746</v>
      </c>
      <c r="O44" s="67"/>
      <c r="P44" s="1068"/>
      <c r="Q44" s="1068"/>
      <c r="R44" s="202"/>
      <c r="S44" s="512"/>
      <c r="T44" s="2522"/>
      <c r="U44" s="3481"/>
      <c r="V44" s="3481"/>
      <c r="W44" s="1219"/>
      <c r="X44" s="1219"/>
      <c r="Y44" s="1219"/>
      <c r="Z44" s="1219"/>
      <c r="AA44" s="1219"/>
      <c r="AB44" s="1219"/>
      <c r="AC44" s="1219"/>
      <c r="AD44" s="2523"/>
      <c r="AE44" s="1068"/>
      <c r="AF44" s="1068"/>
      <c r="AG44" s="1068"/>
      <c r="AH44" s="1068"/>
      <c r="AI44" s="1068"/>
      <c r="AJ44" s="1068"/>
      <c r="AK44" s="1068"/>
      <c r="AL44" s="3450"/>
      <c r="AM44" s="3450"/>
      <c r="AN44" s="3450"/>
      <c r="AO44" s="3450"/>
      <c r="AP44" s="3450"/>
      <c r="AQ44" s="3450"/>
      <c r="AR44" s="3450"/>
      <c r="AS44" s="3450"/>
      <c r="AT44" s="3450"/>
      <c r="AU44" s="3450"/>
      <c r="AV44" s="3450"/>
      <c r="AW44" s="3450"/>
      <c r="AX44" s="3450"/>
      <c r="AY44" s="3450"/>
      <c r="AZ44" s="3450"/>
      <c r="BA44" s="3450"/>
      <c r="BB44" s="3450"/>
      <c r="BC44" s="3450"/>
      <c r="BD44" s="3450"/>
      <c r="BE44" s="3450"/>
      <c r="BF44" s="3450"/>
      <c r="BG44" s="3450"/>
      <c r="BH44" s="3450"/>
      <c r="BI44" s="3450"/>
      <c r="BJ44" s="3450"/>
      <c r="BK44" s="3450"/>
      <c r="BL44" s="3450"/>
      <c r="BM44" s="3450"/>
      <c r="BN44" s="3450"/>
      <c r="BO44" s="3450"/>
      <c r="BP44" s="3450"/>
      <c r="BQ44" s="3450"/>
      <c r="BR44" s="3450"/>
      <c r="BS44" s="3450"/>
      <c r="BT44" s="3450"/>
      <c r="BU44" s="3450"/>
      <c r="BV44" s="3450"/>
      <c r="BW44" s="3450"/>
      <c r="BX44" s="3450"/>
      <c r="BY44" s="3450"/>
      <c r="BZ44" s="3450"/>
      <c r="CA44" s="3450"/>
      <c r="CB44" s="3450"/>
      <c r="CC44" s="3450"/>
      <c r="CD44" s="3450"/>
      <c r="CE44" s="3450"/>
      <c r="CF44" s="3450"/>
      <c r="CG44" s="3450"/>
      <c r="CH44" s="3450"/>
      <c r="CI44" s="3450"/>
      <c r="CJ44" s="3450"/>
      <c r="CK44" s="3450"/>
      <c r="CL44" s="3450"/>
      <c r="CM44" s="3450"/>
      <c r="CN44" s="3450"/>
      <c r="CO44" s="3450"/>
      <c r="CP44" s="3450"/>
      <c r="CQ44" s="3450"/>
      <c r="CR44" s="3450"/>
      <c r="CS44" s="3450"/>
      <c r="CT44" s="3450"/>
      <c r="CU44" s="3450"/>
      <c r="CV44" s="3450"/>
      <c r="CW44" s="3450"/>
      <c r="CX44" s="3450"/>
      <c r="CY44" s="3450"/>
      <c r="CZ44" s="3450"/>
      <c r="DA44" s="3450"/>
      <c r="DB44" s="3450"/>
      <c r="DC44" s="3450"/>
      <c r="DD44" s="3450"/>
      <c r="DE44" s="3450"/>
      <c r="DF44" s="3450"/>
      <c r="DG44" s="3450"/>
      <c r="DH44" s="3450"/>
      <c r="DI44" s="3450"/>
    </row>
    <row r="45" spans="1:113" s="6" customFormat="1" ht="4.5" hidden="1" customHeight="1">
      <c r="A45" s="3450"/>
      <c r="B45" s="105"/>
      <c r="C45" s="937"/>
      <c r="D45" s="915"/>
      <c r="E45" s="932"/>
      <c r="F45" s="2489"/>
      <c r="G45" s="934"/>
      <c r="H45" s="934"/>
      <c r="I45" s="934"/>
      <c r="J45" s="934"/>
      <c r="K45" s="934"/>
      <c r="L45" s="934"/>
      <c r="M45" s="934"/>
      <c r="N45" s="67"/>
      <c r="O45" s="67"/>
      <c r="P45" s="1068"/>
      <c r="Q45" s="1068"/>
      <c r="R45" s="2524"/>
      <c r="S45" s="512"/>
      <c r="T45" s="2522"/>
      <c r="U45" s="3481"/>
      <c r="V45" s="3481"/>
      <c r="W45" s="1219"/>
      <c r="X45" s="1219"/>
      <c r="Y45" s="1219"/>
      <c r="Z45" s="1219"/>
      <c r="AA45" s="1219"/>
      <c r="AB45" s="1219"/>
      <c r="AC45" s="1219"/>
      <c r="AD45" s="1068"/>
      <c r="AE45" s="1068"/>
      <c r="AF45" s="1068"/>
      <c r="AG45" s="1068"/>
      <c r="AH45" s="1068"/>
      <c r="AI45" s="1068"/>
      <c r="AJ45" s="1068"/>
      <c r="AK45" s="1068"/>
      <c r="AL45" s="3450"/>
      <c r="AM45" s="3450"/>
      <c r="AN45" s="3450"/>
      <c r="AO45" s="3450"/>
      <c r="AP45" s="3450"/>
      <c r="AQ45" s="3450"/>
      <c r="AR45" s="3450"/>
      <c r="AS45" s="3450"/>
      <c r="AT45" s="3450"/>
      <c r="AU45" s="3450"/>
      <c r="AV45" s="3450"/>
      <c r="AW45" s="3450"/>
      <c r="AX45" s="3450"/>
      <c r="AY45" s="3450"/>
      <c r="AZ45" s="3450"/>
      <c r="BA45" s="3450"/>
      <c r="BB45" s="3450"/>
      <c r="BC45" s="3450"/>
      <c r="BD45" s="3450"/>
      <c r="BE45" s="3450"/>
      <c r="BF45" s="3450"/>
      <c r="BG45" s="3450"/>
      <c r="BH45" s="3450"/>
      <c r="BI45" s="3450"/>
      <c r="BJ45" s="3450"/>
      <c r="BK45" s="3450"/>
      <c r="BL45" s="3450"/>
      <c r="BM45" s="3450"/>
      <c r="BN45" s="3450"/>
      <c r="BO45" s="3450"/>
      <c r="BP45" s="3450"/>
      <c r="BQ45" s="3450"/>
      <c r="BR45" s="3450"/>
      <c r="BS45" s="3450"/>
      <c r="BT45" s="3450"/>
      <c r="BU45" s="3450"/>
      <c r="BV45" s="3450"/>
      <c r="BW45" s="3450"/>
      <c r="BX45" s="3450"/>
      <c r="BY45" s="3450"/>
      <c r="BZ45" s="3450"/>
      <c r="CA45" s="3450"/>
      <c r="CB45" s="3450"/>
      <c r="CC45" s="3450"/>
      <c r="CD45" s="3450"/>
      <c r="CE45" s="3450"/>
      <c r="CF45" s="3450"/>
      <c r="CG45" s="3450"/>
      <c r="CH45" s="3450"/>
      <c r="CI45" s="3450"/>
      <c r="CJ45" s="3450"/>
      <c r="CK45" s="3450"/>
      <c r="CL45" s="3450"/>
      <c r="CM45" s="3450"/>
      <c r="CN45" s="3450"/>
      <c r="CO45" s="3450"/>
      <c r="CP45" s="3450"/>
      <c r="CQ45" s="3450"/>
      <c r="CR45" s="3450"/>
      <c r="CS45" s="3450"/>
      <c r="CT45" s="3450"/>
      <c r="CU45" s="3450"/>
      <c r="CV45" s="3450"/>
      <c r="CW45" s="3450"/>
      <c r="CX45" s="3450"/>
      <c r="CY45" s="3450"/>
      <c r="CZ45" s="3450"/>
      <c r="DA45" s="3450"/>
      <c r="DB45" s="3450"/>
      <c r="DC45" s="3450"/>
      <c r="DD45" s="3450"/>
      <c r="DE45" s="3450"/>
      <c r="DF45" s="3450"/>
      <c r="DG45" s="3450"/>
      <c r="DH45" s="3450"/>
      <c r="DI45" s="3450"/>
    </row>
    <row r="46" spans="1:113" s="6" customFormat="1" hidden="1">
      <c r="A46" s="3450"/>
      <c r="B46" s="105"/>
      <c r="C46" s="1170"/>
      <c r="D46" s="1070"/>
      <c r="E46" s="971" t="s">
        <v>159</v>
      </c>
      <c r="F46" s="972">
        <v>2013</v>
      </c>
      <c r="G46" s="965">
        <v>2015</v>
      </c>
      <c r="H46" s="965">
        <v>2020</v>
      </c>
      <c r="I46" s="965">
        <v>2025</v>
      </c>
      <c r="J46" s="965">
        <v>2030</v>
      </c>
      <c r="K46" s="965">
        <v>2035</v>
      </c>
      <c r="L46" s="965">
        <v>2040</v>
      </c>
      <c r="M46" s="965">
        <v>2045</v>
      </c>
      <c r="N46" s="965">
        <v>2050</v>
      </c>
      <c r="O46" s="67"/>
      <c r="P46" s="1068"/>
      <c r="Q46" s="1068"/>
      <c r="R46" s="2525"/>
      <c r="S46" s="512"/>
      <c r="T46" s="2522"/>
      <c r="U46" s="2526"/>
      <c r="V46" s="1221"/>
      <c r="W46" s="1221"/>
      <c r="X46" s="1221"/>
      <c r="Y46" s="1221"/>
      <c r="Z46" s="1221"/>
      <c r="AA46" s="1221"/>
      <c r="AB46" s="1221"/>
      <c r="AC46" s="1221"/>
      <c r="AD46" s="1221"/>
      <c r="AE46" s="1068"/>
      <c r="AF46" s="1068"/>
      <c r="AG46" s="1068"/>
      <c r="AH46" s="1068"/>
      <c r="AI46" s="1068"/>
      <c r="AJ46" s="1068"/>
      <c r="AK46" s="1068"/>
      <c r="AL46" s="3450"/>
      <c r="AM46" s="3450"/>
      <c r="AN46" s="3450"/>
      <c r="AO46" s="3450"/>
      <c r="AP46" s="3450"/>
      <c r="AQ46" s="3450"/>
      <c r="AR46" s="3450"/>
      <c r="AS46" s="3450"/>
      <c r="AT46" s="3450"/>
      <c r="AU46" s="3450"/>
      <c r="AV46" s="3450"/>
      <c r="AW46" s="3450"/>
      <c r="AX46" s="3450"/>
      <c r="AY46" s="3450"/>
      <c r="AZ46" s="3450"/>
      <c r="BA46" s="3450"/>
      <c r="BB46" s="3450"/>
      <c r="BC46" s="3450"/>
      <c r="BD46" s="3450"/>
      <c r="BE46" s="3450"/>
      <c r="BF46" s="3450"/>
      <c r="BG46" s="3450"/>
      <c r="BH46" s="3450"/>
      <c r="BI46" s="3450"/>
      <c r="BJ46" s="3450"/>
      <c r="BK46" s="3450"/>
      <c r="BL46" s="3450"/>
      <c r="BM46" s="3450"/>
      <c r="BN46" s="3450"/>
      <c r="BO46" s="3450"/>
      <c r="BP46" s="3450"/>
      <c r="BQ46" s="3450"/>
      <c r="BR46" s="3450"/>
      <c r="BS46" s="3450"/>
      <c r="BT46" s="3450"/>
      <c r="BU46" s="3450"/>
      <c r="BV46" s="3450"/>
      <c r="BW46" s="3450"/>
      <c r="BX46" s="3450"/>
      <c r="BY46" s="3450"/>
      <c r="BZ46" s="3450"/>
      <c r="CA46" s="3450"/>
      <c r="CB46" s="3450"/>
      <c r="CC46" s="3450"/>
      <c r="CD46" s="3450"/>
      <c r="CE46" s="3450"/>
      <c r="CF46" s="3450"/>
      <c r="CG46" s="3450"/>
      <c r="CH46" s="3450"/>
      <c r="CI46" s="3450"/>
      <c r="CJ46" s="3450"/>
      <c r="CK46" s="3450"/>
      <c r="CL46" s="3450"/>
      <c r="CM46" s="3450"/>
      <c r="CN46" s="3450"/>
      <c r="CO46" s="3450"/>
      <c r="CP46" s="3450"/>
      <c r="CQ46" s="3450"/>
      <c r="CR46" s="3450"/>
      <c r="CS46" s="3450"/>
      <c r="CT46" s="3450"/>
      <c r="CU46" s="3450"/>
      <c r="CV46" s="3450"/>
      <c r="CW46" s="3450"/>
      <c r="CX46" s="3450"/>
      <c r="CY46" s="3450"/>
      <c r="CZ46" s="3450"/>
      <c r="DA46" s="3450"/>
      <c r="DB46" s="3450"/>
      <c r="DC46" s="3450"/>
      <c r="DD46" s="3450"/>
      <c r="DE46" s="3450"/>
      <c r="DF46" s="3450"/>
      <c r="DG46" s="3450"/>
      <c r="DH46" s="3450"/>
      <c r="DI46" s="3450"/>
    </row>
    <row r="47" spans="1:113" s="6" customFormat="1" hidden="1">
      <c r="A47" s="3450"/>
      <c r="B47" s="105"/>
      <c r="C47" s="967" t="s">
        <v>719</v>
      </c>
      <c r="D47" s="1070"/>
      <c r="E47" s="2394"/>
      <c r="F47" s="2397"/>
      <c r="G47" s="2397"/>
      <c r="H47" s="2397"/>
      <c r="I47" s="2397"/>
      <c r="J47" s="2397"/>
      <c r="K47" s="2397"/>
      <c r="L47" s="2397"/>
      <c r="M47" s="2397"/>
      <c r="N47" s="2397"/>
      <c r="O47" s="67"/>
      <c r="P47" s="1068"/>
      <c r="Q47" s="1068"/>
      <c r="R47" s="2527"/>
      <c r="S47" s="512"/>
      <c r="T47" s="3327"/>
      <c r="U47" s="3367"/>
      <c r="V47" s="3367"/>
      <c r="W47" s="3367"/>
      <c r="X47" s="3367"/>
      <c r="Y47" s="3367"/>
      <c r="Z47" s="3367"/>
      <c r="AA47" s="3367"/>
      <c r="AB47" s="3367"/>
      <c r="AC47" s="3367"/>
      <c r="AD47" s="3367"/>
      <c r="AE47" s="1068"/>
      <c r="AF47" s="1068"/>
      <c r="AG47" s="1068"/>
      <c r="AH47" s="1068"/>
      <c r="AI47" s="1068"/>
      <c r="AJ47" s="1068"/>
      <c r="AK47" s="1068"/>
      <c r="AL47" s="3450"/>
      <c r="AM47" s="3450"/>
      <c r="AN47" s="3450"/>
      <c r="AO47" s="3450"/>
      <c r="AP47" s="3450"/>
      <c r="AQ47" s="3450"/>
      <c r="AR47" s="3450"/>
      <c r="AS47" s="3450"/>
      <c r="AT47" s="3450"/>
      <c r="AU47" s="3450"/>
      <c r="AV47" s="3450"/>
      <c r="AW47" s="3450"/>
      <c r="AX47" s="3450"/>
      <c r="AY47" s="3450"/>
      <c r="AZ47" s="3450"/>
      <c r="BA47" s="3450"/>
      <c r="BB47" s="3450"/>
      <c r="BC47" s="3450"/>
      <c r="BD47" s="3450"/>
      <c r="BE47" s="3450"/>
      <c r="BF47" s="3450"/>
      <c r="BG47" s="3450"/>
      <c r="BH47" s="3450"/>
      <c r="BI47" s="3450"/>
      <c r="BJ47" s="3450"/>
      <c r="BK47" s="3450"/>
      <c r="BL47" s="3450"/>
      <c r="BM47" s="3450"/>
      <c r="BN47" s="3450"/>
      <c r="BO47" s="3450"/>
      <c r="BP47" s="3450"/>
      <c r="BQ47" s="3450"/>
      <c r="BR47" s="3450"/>
      <c r="BS47" s="3450"/>
      <c r="BT47" s="3450"/>
      <c r="BU47" s="3450"/>
      <c r="BV47" s="3450"/>
      <c r="BW47" s="3450"/>
      <c r="BX47" s="3450"/>
      <c r="BY47" s="3450"/>
      <c r="BZ47" s="3450"/>
      <c r="CA47" s="3450"/>
      <c r="CB47" s="3450"/>
      <c r="CC47" s="3450"/>
      <c r="CD47" s="3450"/>
      <c r="CE47" s="3450"/>
      <c r="CF47" s="3450"/>
      <c r="CG47" s="3450"/>
      <c r="CH47" s="3450"/>
      <c r="CI47" s="3450"/>
      <c r="CJ47" s="3450"/>
      <c r="CK47" s="3450"/>
      <c r="CL47" s="3450"/>
      <c r="CM47" s="3450"/>
      <c r="CN47" s="3450"/>
      <c r="CO47" s="3450"/>
      <c r="CP47" s="3450"/>
      <c r="CQ47" s="3450"/>
      <c r="CR47" s="3450"/>
      <c r="CS47" s="3450"/>
      <c r="CT47" s="3450"/>
      <c r="CU47" s="3450"/>
      <c r="CV47" s="3450"/>
      <c r="CW47" s="3450"/>
      <c r="CX47" s="3450"/>
      <c r="CY47" s="3450"/>
      <c r="CZ47" s="3450"/>
      <c r="DA47" s="3450"/>
      <c r="DB47" s="3450"/>
      <c r="DC47" s="3450"/>
      <c r="DD47" s="3450"/>
      <c r="DE47" s="3450"/>
      <c r="DF47" s="3450"/>
      <c r="DG47" s="3450"/>
      <c r="DH47" s="3450"/>
      <c r="DI47" s="3450"/>
    </row>
    <row r="48" spans="1:113" s="6" customFormat="1" hidden="1">
      <c r="A48" s="3450"/>
      <c r="B48" s="105"/>
      <c r="C48" s="943" t="s">
        <v>720</v>
      </c>
      <c r="D48" s="915"/>
      <c r="E48" s="2395"/>
      <c r="F48" s="2398"/>
      <c r="G48" s="2398"/>
      <c r="H48" s="2398"/>
      <c r="I48" s="2398"/>
      <c r="J48" s="2398"/>
      <c r="K48" s="2398"/>
      <c r="L48" s="2398"/>
      <c r="M48" s="2398"/>
      <c r="N48" s="2398"/>
      <c r="O48" s="67"/>
      <c r="P48" s="647"/>
      <c r="Q48" s="647"/>
      <c r="R48" s="1068"/>
      <c r="S48" s="512"/>
      <c r="T48" s="3327"/>
      <c r="U48" s="1068"/>
      <c r="V48" s="3367"/>
      <c r="W48" s="3367"/>
      <c r="X48" s="2535"/>
      <c r="Y48" s="2535"/>
      <c r="Z48" s="2535"/>
      <c r="AA48" s="2535"/>
      <c r="AB48" s="2535"/>
      <c r="AC48" s="2535"/>
      <c r="AD48" s="2535"/>
      <c r="AE48" s="2535"/>
      <c r="AF48" s="2535"/>
      <c r="AG48" s="2535"/>
      <c r="AH48" s="1068"/>
      <c r="AI48" s="1068"/>
      <c r="AJ48" s="1068"/>
      <c r="AK48" s="1068"/>
      <c r="AL48" s="3450"/>
      <c r="AM48" s="3450"/>
      <c r="AN48" s="3450"/>
      <c r="AO48" s="3450"/>
      <c r="AP48" s="3450"/>
      <c r="AQ48" s="3450"/>
      <c r="AR48" s="3450"/>
      <c r="AS48" s="3450"/>
      <c r="AT48" s="3450"/>
      <c r="AU48" s="3450"/>
      <c r="AV48" s="3450"/>
      <c r="AW48" s="3450"/>
      <c r="AX48" s="3450"/>
      <c r="AY48" s="3450"/>
      <c r="AZ48" s="3450"/>
      <c r="BA48" s="3450"/>
      <c r="BB48" s="3450"/>
      <c r="BC48" s="3450"/>
      <c r="BD48" s="3450"/>
      <c r="BE48" s="3450"/>
      <c r="BF48" s="3450"/>
      <c r="BG48" s="3450"/>
      <c r="BH48" s="3450"/>
      <c r="BI48" s="3450"/>
      <c r="BJ48" s="3450"/>
      <c r="BK48" s="3450"/>
      <c r="BL48" s="3450"/>
      <c r="BM48" s="3450"/>
      <c r="BN48" s="3450"/>
      <c r="BO48" s="3450"/>
      <c r="BP48" s="3450"/>
      <c r="BQ48" s="3450"/>
      <c r="BR48" s="3450"/>
      <c r="BS48" s="3450"/>
      <c r="BT48" s="3450"/>
      <c r="BU48" s="3450"/>
      <c r="BV48" s="3450"/>
      <c r="BW48" s="3450"/>
      <c r="BX48" s="3450"/>
      <c r="BY48" s="3450"/>
      <c r="BZ48" s="3450"/>
      <c r="CA48" s="3450"/>
      <c r="CB48" s="3450"/>
      <c r="CC48" s="3450"/>
      <c r="CD48" s="3450"/>
      <c r="CE48" s="3450"/>
      <c r="CF48" s="3450"/>
      <c r="CG48" s="3450"/>
      <c r="CH48" s="3450"/>
      <c r="CI48" s="3450"/>
      <c r="CJ48" s="3450"/>
      <c r="CK48" s="3450"/>
      <c r="CL48" s="3450"/>
      <c r="CM48" s="3450"/>
      <c r="CN48" s="3450"/>
      <c r="CO48" s="3450"/>
      <c r="CP48" s="3450"/>
      <c r="CQ48" s="3450"/>
      <c r="CR48" s="3450"/>
      <c r="CS48" s="3450"/>
      <c r="CT48" s="3450"/>
      <c r="CU48" s="3450"/>
      <c r="CV48" s="3450"/>
      <c r="CW48" s="3450"/>
      <c r="CX48" s="3450"/>
      <c r="CY48" s="3450"/>
      <c r="CZ48" s="3450"/>
      <c r="DA48" s="3450"/>
      <c r="DB48" s="3450"/>
      <c r="DC48" s="3450"/>
      <c r="DD48" s="3450"/>
      <c r="DE48" s="3450"/>
      <c r="DF48" s="3450"/>
      <c r="DG48" s="3450"/>
      <c r="DH48" s="3450"/>
      <c r="DI48" s="3450"/>
    </row>
    <row r="49" spans="1:113" hidden="1">
      <c r="B49" s="105"/>
      <c r="C49" s="947" t="s">
        <v>721</v>
      </c>
      <c r="D49" s="948"/>
      <c r="E49" s="2396"/>
      <c r="F49" s="2399"/>
      <c r="G49" s="2399"/>
      <c r="H49" s="2399"/>
      <c r="I49" s="2399"/>
      <c r="J49" s="2399"/>
      <c r="K49" s="2399"/>
      <c r="L49" s="2399"/>
      <c r="M49" s="2399"/>
      <c r="N49" s="2399"/>
      <c r="O49" s="67"/>
      <c r="P49" s="1068"/>
      <c r="Q49" s="1068"/>
      <c r="R49" s="2527"/>
      <c r="S49" s="512"/>
      <c r="T49" s="3327"/>
      <c r="U49" s="3367"/>
      <c r="V49" s="3367"/>
      <c r="W49" s="3367"/>
      <c r="X49" s="3367"/>
      <c r="Y49" s="3367"/>
      <c r="Z49" s="3367"/>
      <c r="AA49" s="3367"/>
      <c r="AB49" s="3367"/>
      <c r="AC49" s="3367"/>
      <c r="AD49" s="3367"/>
      <c r="AE49" s="1068"/>
      <c r="AF49" s="1068"/>
      <c r="AG49" s="1068"/>
      <c r="AH49" s="1068"/>
      <c r="AI49" s="1068"/>
      <c r="AJ49" s="1068"/>
      <c r="AK49" s="1068"/>
    </row>
    <row r="50" spans="1:113" s="6" customFormat="1" hidden="1">
      <c r="A50" s="3450"/>
      <c r="B50" s="105"/>
      <c r="C50" s="937"/>
      <c r="D50" s="915"/>
      <c r="E50" s="932"/>
      <c r="F50" s="2489"/>
      <c r="G50" s="934"/>
      <c r="H50" s="934"/>
      <c r="I50" s="934"/>
      <c r="J50" s="934"/>
      <c r="K50" s="934"/>
      <c r="L50" s="934"/>
      <c r="M50" s="934"/>
      <c r="N50" s="67"/>
      <c r="O50" s="67"/>
      <c r="P50" s="1068"/>
      <c r="Q50" s="1068"/>
      <c r="R50" s="2524"/>
      <c r="S50" s="512"/>
      <c r="T50" s="2522"/>
      <c r="U50" s="3481"/>
      <c r="V50" s="3481"/>
      <c r="W50" s="1219"/>
      <c r="X50" s="1219"/>
      <c r="Y50" s="1219"/>
      <c r="Z50" s="1219"/>
      <c r="AA50" s="1219"/>
      <c r="AB50" s="1219"/>
      <c r="AC50" s="1219"/>
      <c r="AD50" s="1068"/>
      <c r="AE50" s="1068"/>
      <c r="AF50" s="1068"/>
      <c r="AG50" s="1068"/>
      <c r="AH50" s="1068"/>
      <c r="AI50" s="1068"/>
      <c r="AJ50" s="1068"/>
      <c r="AK50" s="1068"/>
      <c r="AL50" s="3450"/>
      <c r="AM50" s="3450"/>
      <c r="AN50" s="3450"/>
      <c r="AO50" s="3450"/>
      <c r="AP50" s="3450"/>
      <c r="AQ50" s="3450"/>
      <c r="AR50" s="3450"/>
      <c r="AS50" s="3450"/>
      <c r="AT50" s="3450"/>
      <c r="AU50" s="3450"/>
      <c r="AV50" s="3450"/>
      <c r="AW50" s="3450"/>
      <c r="AX50" s="3450"/>
      <c r="AY50" s="3450"/>
      <c r="AZ50" s="3450"/>
      <c r="BA50" s="3450"/>
      <c r="BB50" s="3450"/>
      <c r="BC50" s="3450"/>
      <c r="BD50" s="3450"/>
      <c r="BE50" s="3450"/>
      <c r="BF50" s="3450"/>
      <c r="BG50" s="3450"/>
      <c r="BH50" s="3450"/>
      <c r="BI50" s="3450"/>
      <c r="BJ50" s="3450"/>
      <c r="BK50" s="3450"/>
      <c r="BL50" s="3450"/>
      <c r="BM50" s="3450"/>
      <c r="BN50" s="3450"/>
      <c r="BO50" s="3450"/>
      <c r="BP50" s="3450"/>
      <c r="BQ50" s="3450"/>
      <c r="BR50" s="3450"/>
      <c r="BS50" s="3450"/>
      <c r="BT50" s="3450"/>
      <c r="BU50" s="3450"/>
      <c r="BV50" s="3450"/>
      <c r="BW50" s="3450"/>
      <c r="BX50" s="3450"/>
      <c r="BY50" s="3450"/>
      <c r="BZ50" s="3450"/>
      <c r="CA50" s="3450"/>
      <c r="CB50" s="3450"/>
      <c r="CC50" s="3450"/>
      <c r="CD50" s="3450"/>
      <c r="CE50" s="3450"/>
      <c r="CF50" s="3450"/>
      <c r="CG50" s="3450"/>
      <c r="CH50" s="3450"/>
      <c r="CI50" s="3450"/>
      <c r="CJ50" s="3450"/>
      <c r="CK50" s="3450"/>
      <c r="CL50" s="3450"/>
      <c r="CM50" s="3450"/>
      <c r="CN50" s="3450"/>
      <c r="CO50" s="3450"/>
      <c r="CP50" s="3450"/>
      <c r="CQ50" s="3450"/>
      <c r="CR50" s="3450"/>
      <c r="CS50" s="3450"/>
      <c r="CT50" s="3450"/>
      <c r="CU50" s="3450"/>
      <c r="CV50" s="3450"/>
      <c r="CW50" s="3450"/>
      <c r="CX50" s="3450"/>
      <c r="CY50" s="3450"/>
      <c r="CZ50" s="3450"/>
      <c r="DA50" s="3450"/>
      <c r="DB50" s="3450"/>
      <c r="DC50" s="3450"/>
      <c r="DD50" s="3450"/>
      <c r="DE50" s="3450"/>
      <c r="DF50" s="3450"/>
      <c r="DG50" s="3450"/>
      <c r="DH50" s="3450"/>
      <c r="DI50" s="3450"/>
    </row>
    <row r="51" spans="1:113" hidden="1">
      <c r="B51" s="105"/>
      <c r="C51" s="49" t="s">
        <v>2672</v>
      </c>
      <c r="D51" s="915"/>
      <c r="E51" s="932"/>
      <c r="F51" s="2489"/>
      <c r="G51" s="934"/>
      <c r="H51" s="934"/>
      <c r="I51" s="934"/>
      <c r="J51" s="934"/>
      <c r="K51" s="934"/>
      <c r="L51" s="934"/>
      <c r="M51" s="934"/>
      <c r="N51" s="935" t="s">
        <v>2746</v>
      </c>
      <c r="O51" s="67"/>
      <c r="P51" s="1068"/>
      <c r="Q51" s="1068"/>
      <c r="R51" s="202"/>
      <c r="S51" s="512"/>
      <c r="T51" s="2522"/>
      <c r="U51" s="3481"/>
      <c r="V51" s="3481"/>
      <c r="W51" s="1219"/>
      <c r="X51" s="1219"/>
      <c r="Y51" s="1219"/>
      <c r="Z51" s="1219"/>
      <c r="AA51" s="1219"/>
      <c r="AB51" s="1219"/>
      <c r="AC51" s="1219"/>
      <c r="AD51" s="2523"/>
      <c r="AE51" s="1068"/>
      <c r="AF51" s="1068"/>
      <c r="AG51" s="1068"/>
      <c r="AH51" s="1068"/>
      <c r="AI51" s="1068"/>
      <c r="AJ51" s="1068"/>
      <c r="AK51" s="1068"/>
    </row>
    <row r="52" spans="1:113" hidden="1">
      <c r="B52" s="105"/>
      <c r="C52" s="937"/>
      <c r="D52" s="915"/>
      <c r="E52" s="932"/>
      <c r="F52" s="2489"/>
      <c r="G52" s="934"/>
      <c r="H52" s="934"/>
      <c r="I52" s="934"/>
      <c r="J52" s="934"/>
      <c r="K52" s="934"/>
      <c r="L52" s="934"/>
      <c r="M52" s="934"/>
      <c r="N52" s="67"/>
      <c r="O52" s="67"/>
      <c r="P52" s="1068"/>
      <c r="Q52" s="1068"/>
      <c r="R52" s="2524"/>
      <c r="S52" s="512"/>
      <c r="T52" s="2522"/>
      <c r="U52" s="3481"/>
      <c r="V52" s="3481"/>
      <c r="W52" s="1219"/>
      <c r="X52" s="1219"/>
      <c r="Y52" s="1219"/>
      <c r="Z52" s="1219"/>
      <c r="AA52" s="1219"/>
      <c r="AB52" s="1219"/>
      <c r="AC52" s="1219"/>
      <c r="AD52" s="1068"/>
      <c r="AE52" s="1068"/>
      <c r="AF52" s="1068"/>
      <c r="AG52" s="1068"/>
      <c r="AH52" s="1068"/>
      <c r="AI52" s="1068"/>
      <c r="AJ52" s="1068"/>
      <c r="AK52" s="1068"/>
    </row>
    <row r="53" spans="1:113" hidden="1">
      <c r="B53" s="105"/>
      <c r="C53" s="1170"/>
      <c r="D53" s="1070"/>
      <c r="E53" s="971" t="s">
        <v>159</v>
      </c>
      <c r="F53" s="972">
        <v>2013</v>
      </c>
      <c r="G53" s="965">
        <v>2015</v>
      </c>
      <c r="H53" s="965">
        <v>2020</v>
      </c>
      <c r="I53" s="965">
        <v>2025</v>
      </c>
      <c r="J53" s="965">
        <v>2030</v>
      </c>
      <c r="K53" s="965">
        <v>2035</v>
      </c>
      <c r="L53" s="965">
        <v>2040</v>
      </c>
      <c r="M53" s="965">
        <v>2045</v>
      </c>
      <c r="N53" s="965">
        <v>2050</v>
      </c>
      <c r="O53" s="67"/>
      <c r="P53" s="1068"/>
      <c r="Q53" s="1068"/>
      <c r="R53" s="2525"/>
      <c r="S53" s="512"/>
      <c r="T53" s="2522"/>
      <c r="U53" s="2526"/>
      <c r="V53" s="1221"/>
      <c r="W53" s="1221"/>
      <c r="X53" s="1221"/>
      <c r="Y53" s="1221"/>
      <c r="Z53" s="1221"/>
      <c r="AA53" s="1221"/>
      <c r="AB53" s="1221"/>
      <c r="AC53" s="1221"/>
      <c r="AD53" s="1221"/>
      <c r="AE53" s="1068"/>
      <c r="AF53" s="1068"/>
      <c r="AG53" s="1068"/>
      <c r="AH53" s="1068"/>
      <c r="AI53" s="1068"/>
      <c r="AJ53" s="1068"/>
      <c r="AK53" s="1068"/>
    </row>
    <row r="54" spans="1:113" hidden="1">
      <c r="B54" s="105"/>
      <c r="C54" s="967" t="s">
        <v>719</v>
      </c>
      <c r="D54" s="1070"/>
      <c r="E54" s="2394"/>
      <c r="F54" s="2397"/>
      <c r="G54" s="2397"/>
      <c r="H54" s="2397"/>
      <c r="I54" s="2397"/>
      <c r="J54" s="2397"/>
      <c r="K54" s="2397"/>
      <c r="L54" s="2397"/>
      <c r="M54" s="2397"/>
      <c r="N54" s="2397"/>
      <c r="O54" s="67"/>
      <c r="P54" s="1068"/>
      <c r="Q54" s="1068"/>
      <c r="R54" s="2527"/>
      <c r="S54" s="1068"/>
      <c r="T54" s="1068"/>
      <c r="U54" s="3481"/>
      <c r="V54" s="3481"/>
      <c r="W54" s="3481"/>
      <c r="X54" s="3481"/>
      <c r="Y54" s="3481"/>
      <c r="Z54" s="3481"/>
      <c r="AA54" s="3481"/>
      <c r="AB54" s="3481"/>
      <c r="AC54" s="3481"/>
      <c r="AD54" s="3481"/>
      <c r="AE54" s="1068"/>
      <c r="AF54" s="1068"/>
      <c r="AG54" s="1068"/>
      <c r="AH54" s="1068"/>
      <c r="AI54" s="1068"/>
      <c r="AJ54" s="1068"/>
      <c r="AK54" s="1068"/>
    </row>
    <row r="55" spans="1:113" hidden="1">
      <c r="B55" s="105"/>
      <c r="C55" s="943" t="s">
        <v>720</v>
      </c>
      <c r="D55" s="915"/>
      <c r="E55" s="2395"/>
      <c r="F55" s="2398"/>
      <c r="G55" s="2398"/>
      <c r="H55" s="2398"/>
      <c r="I55" s="2398"/>
      <c r="J55" s="2398"/>
      <c r="K55" s="2398"/>
      <c r="L55" s="2398"/>
      <c r="M55" s="2398"/>
      <c r="N55" s="2398"/>
      <c r="O55" s="67"/>
      <c r="P55" s="1068"/>
      <c r="Q55" s="1068"/>
      <c r="R55" s="2527"/>
      <c r="S55" s="512"/>
      <c r="T55" s="3327"/>
      <c r="U55" s="3481"/>
      <c r="V55" s="3481"/>
      <c r="W55" s="3481"/>
      <c r="X55" s="2535"/>
      <c r="Y55" s="2535"/>
      <c r="Z55" s="2535"/>
      <c r="AA55" s="2535"/>
      <c r="AB55" s="2535"/>
      <c r="AC55" s="2535"/>
      <c r="AD55" s="2535"/>
      <c r="AE55" s="2535"/>
      <c r="AF55" s="2535"/>
      <c r="AG55" s="2535"/>
      <c r="AH55" s="1068"/>
      <c r="AI55" s="1068"/>
      <c r="AJ55" s="1068"/>
      <c r="AK55" s="1068"/>
    </row>
    <row r="56" spans="1:113" hidden="1">
      <c r="B56" s="105"/>
      <c r="C56" s="947" t="s">
        <v>721</v>
      </c>
      <c r="D56" s="948"/>
      <c r="E56" s="2396"/>
      <c r="F56" s="2399"/>
      <c r="G56" s="2399"/>
      <c r="H56" s="2399"/>
      <c r="I56" s="2399"/>
      <c r="J56" s="2399"/>
      <c r="K56" s="2399"/>
      <c r="L56" s="2399"/>
      <c r="M56" s="2399"/>
      <c r="N56" s="2399"/>
      <c r="O56" s="67"/>
      <c r="P56" s="1068"/>
      <c r="Q56" s="1068"/>
      <c r="R56" s="2527"/>
      <c r="S56" s="512"/>
      <c r="T56" s="3327"/>
      <c r="U56" s="3481"/>
      <c r="V56" s="3481"/>
      <c r="W56" s="3481"/>
      <c r="X56" s="3481"/>
      <c r="Y56" s="3481"/>
      <c r="Z56" s="3481"/>
      <c r="AA56" s="3481"/>
      <c r="AB56" s="3481"/>
      <c r="AC56" s="3481"/>
      <c r="AD56" s="3481"/>
      <c r="AE56" s="1068"/>
      <c r="AF56" s="1068"/>
      <c r="AG56" s="1068"/>
      <c r="AH56" s="1068"/>
      <c r="AI56" s="1068"/>
      <c r="AJ56" s="1068"/>
      <c r="AK56" s="1068"/>
    </row>
    <row r="57" spans="1:113" hidden="1">
      <c r="B57" s="47"/>
      <c r="C57" s="47"/>
      <c r="D57" s="67"/>
      <c r="E57" s="934"/>
      <c r="F57" s="67"/>
      <c r="G57" s="67"/>
      <c r="H57" s="67"/>
      <c r="I57" s="3404"/>
      <c r="J57" s="3404"/>
      <c r="K57" s="47"/>
      <c r="L57" s="47"/>
      <c r="M57" s="47"/>
      <c r="N57" s="47"/>
      <c r="O57" s="47"/>
      <c r="P57" s="1068"/>
      <c r="Q57" s="1068"/>
      <c r="R57" s="1068"/>
      <c r="S57" s="1068"/>
      <c r="T57" s="1219"/>
      <c r="U57" s="1068"/>
      <c r="V57" s="1068"/>
      <c r="W57" s="1068"/>
      <c r="X57" s="1068"/>
      <c r="Y57" s="3482"/>
      <c r="Z57" s="3482"/>
      <c r="AA57" s="1068"/>
      <c r="AB57" s="1068"/>
      <c r="AC57" s="1068"/>
      <c r="AD57" s="1068"/>
      <c r="AE57" s="1068"/>
      <c r="AF57" s="1068"/>
      <c r="AG57" s="1068"/>
      <c r="AH57" s="1068"/>
      <c r="AI57" s="1068"/>
      <c r="AJ57" s="1068"/>
      <c r="AK57" s="1068"/>
    </row>
    <row r="58" spans="1:113">
      <c r="P58" s="1068"/>
      <c r="Q58" s="1068"/>
      <c r="R58" s="1164"/>
      <c r="S58" s="1164"/>
      <c r="T58" s="1164"/>
      <c r="U58" s="1164"/>
      <c r="V58" s="1164"/>
      <c r="W58" s="1068"/>
      <c r="X58" s="1068"/>
      <c r="Y58" s="1068"/>
      <c r="Z58" s="1068"/>
      <c r="AA58" s="1068"/>
      <c r="AB58" s="1068"/>
      <c r="AC58" s="1068"/>
      <c r="AD58" s="1068"/>
      <c r="AE58" s="1068"/>
      <c r="AF58" s="1068"/>
      <c r="AG58" s="1068"/>
      <c r="AH58" s="1068"/>
      <c r="AI58" s="1068"/>
      <c r="AJ58" s="1068"/>
      <c r="AK58" s="1068"/>
    </row>
    <row r="59" spans="1:113" ht="15">
      <c r="B59" s="3450" t="s">
        <v>2673</v>
      </c>
      <c r="F59" s="3450">
        <v>2013</v>
      </c>
      <c r="G59" s="3450">
        <v>2015</v>
      </c>
      <c r="H59" s="3450">
        <v>2020</v>
      </c>
      <c r="I59" s="3450">
        <v>2025</v>
      </c>
      <c r="J59" s="3450">
        <v>2030</v>
      </c>
      <c r="K59" s="3450">
        <v>2035</v>
      </c>
      <c r="L59" s="3450">
        <v>2040</v>
      </c>
      <c r="M59" s="3450">
        <v>2045</v>
      </c>
      <c r="N59" s="3450">
        <v>2050</v>
      </c>
      <c r="P59" s="1068"/>
      <c r="Q59" s="2500"/>
      <c r="R59" s="647"/>
      <c r="S59" s="647"/>
      <c r="T59" s="647"/>
      <c r="U59" s="647"/>
      <c r="V59" s="647"/>
      <c r="W59" s="647"/>
      <c r="X59" s="647"/>
      <c r="Y59" s="647"/>
      <c r="Z59" s="647"/>
      <c r="AA59" s="647"/>
      <c r="AB59" s="647"/>
      <c r="AC59" s="647"/>
      <c r="AD59" s="647"/>
      <c r="AE59" s="647"/>
      <c r="AF59" s="1068"/>
      <c r="AG59" s="1068"/>
      <c r="AH59" s="1068"/>
      <c r="AI59" s="1068"/>
      <c r="AJ59" s="1068"/>
      <c r="AK59" s="1068"/>
    </row>
    <row r="60" spans="1:113">
      <c r="P60" s="1068"/>
      <c r="Q60" s="81"/>
      <c r="R60"/>
      <c r="S60" s="1172"/>
      <c r="T60" s="1172"/>
      <c r="U60" s="1172"/>
      <c r="V60" s="1172"/>
      <c r="W60" s="81"/>
      <c r="X60" s="81"/>
      <c r="Y60" s="81"/>
      <c r="Z60" s="81"/>
      <c r="AA60" s="81"/>
      <c r="AB60" s="81"/>
      <c r="AC60" s="81"/>
      <c r="AD60" s="81"/>
      <c r="AE60" s="81"/>
      <c r="AF60" s="1068"/>
      <c r="AG60" s="1068"/>
      <c r="AH60" s="1068"/>
      <c r="AI60" s="1068"/>
      <c r="AJ60" s="1068"/>
      <c r="AK60" s="1068"/>
    </row>
    <row r="61" spans="1:113" ht="15">
      <c r="C61" s="354" t="s">
        <v>2674</v>
      </c>
      <c r="E61" s="373" t="s">
        <v>2686</v>
      </c>
      <c r="F61" s="2480">
        <f t="shared" ref="F61:N61" si="1">F20</f>
        <v>0.08</v>
      </c>
      <c r="G61" s="2480">
        <f t="shared" si="1"/>
        <v>0.1</v>
      </c>
      <c r="H61" s="2480">
        <f t="shared" si="1"/>
        <v>0.1</v>
      </c>
      <c r="I61" s="2480">
        <f t="shared" si="1"/>
        <v>0.1</v>
      </c>
      <c r="J61" s="2480">
        <f t="shared" si="1"/>
        <v>0.1</v>
      </c>
      <c r="K61" s="2480">
        <f t="shared" si="1"/>
        <v>0.1</v>
      </c>
      <c r="L61" s="2480">
        <f t="shared" si="1"/>
        <v>0.1</v>
      </c>
      <c r="M61" s="2480">
        <f t="shared" si="1"/>
        <v>0.1</v>
      </c>
      <c r="N61" s="2480">
        <f t="shared" si="1"/>
        <v>0.1</v>
      </c>
      <c r="P61" s="1068"/>
      <c r="Q61" s="3395"/>
      <c r="R61"/>
      <c r="S61" s="3397"/>
      <c r="T61" s="3397"/>
      <c r="U61" s="3397"/>
      <c r="V61" s="3397"/>
      <c r="W61" s="3397"/>
      <c r="X61" s="3397"/>
      <c r="Y61" s="3397"/>
      <c r="Z61" s="3397"/>
      <c r="AA61" s="3397"/>
      <c r="AB61" s="3397"/>
      <c r="AC61" s="3397"/>
      <c r="AD61" s="3397"/>
      <c r="AE61" s="3397"/>
      <c r="AF61" s="1068"/>
      <c r="AG61" s="1068"/>
      <c r="AH61" s="1068"/>
      <c r="AI61" s="1068"/>
      <c r="AJ61" s="1068"/>
      <c r="AK61" s="1068"/>
    </row>
    <row r="62" spans="1:113" ht="15" customHeight="1">
      <c r="B62" s="3450" t="s">
        <v>218</v>
      </c>
      <c r="C62" s="3450" t="s">
        <v>219</v>
      </c>
      <c r="E62" s="373"/>
      <c r="F62" s="3483">
        <f>INDEX(Global.Assumptions[Households], MATCH(F$59, Global.Assumptions[Year], 0))</f>
        <v>1672651.1289147851</v>
      </c>
      <c r="G62" s="3483">
        <f>INDEX(Global.Assumptions[Households], MATCH(G$59, Global.Assumptions[Year], 0))</f>
        <v>1724685.0990151383</v>
      </c>
      <c r="H62" s="3483">
        <f>INDEX(Global.Assumptions[Households], MATCH(H$59, Global.Assumptions[Year], 0))</f>
        <v>1818612.4430257217</v>
      </c>
      <c r="I62" s="3483">
        <f>INDEX(Global.Assumptions[Households], MATCH(I$59, Global.Assumptions[Year], 0))</f>
        <v>1912005.4807283345</v>
      </c>
      <c r="J62" s="3483">
        <f>INDEX(Global.Assumptions[Households], MATCH(J$59, Global.Assumptions[Year], 0))</f>
        <v>2000055.258037091</v>
      </c>
      <c r="K62" s="3483">
        <f>INDEX(Global.Assumptions[Households], MATCH(K$59, Global.Assumptions[Year], 0))</f>
        <v>2093076.6415949722</v>
      </c>
      <c r="L62" s="3483">
        <f>INDEX(Global.Assumptions[Households], MATCH(L$59, Global.Assumptions[Year], 0))</f>
        <v>2190930.0548391449</v>
      </c>
      <c r="M62" s="3483">
        <f>INDEX(Global.Assumptions[Households], MATCH(M$59, Global.Assumptions[Year], 0))</f>
        <v>2288187.1680332171</v>
      </c>
      <c r="N62" s="3483">
        <f>INDEX(Global.Assumptions[Households], MATCH(N$59, Global.Assumptions[Year], 0))</f>
        <v>2390510.6792861409</v>
      </c>
      <c r="P62" s="1068"/>
      <c r="Q62" s="3395"/>
      <c r="R62"/>
      <c r="S62" s="3397"/>
      <c r="T62" s="3397"/>
      <c r="U62" s="3397"/>
      <c r="V62" s="3397"/>
      <c r="W62" s="3397"/>
      <c r="X62" s="3397"/>
      <c r="Y62" s="3397"/>
      <c r="Z62" s="3397"/>
      <c r="AA62" s="3397"/>
      <c r="AB62" s="3397"/>
      <c r="AC62" s="3397"/>
      <c r="AD62" s="3397"/>
      <c r="AE62" s="3397"/>
      <c r="AF62" s="1068"/>
      <c r="AG62" s="1068"/>
      <c r="AH62" s="1068"/>
      <c r="AI62" s="1068"/>
      <c r="AJ62" s="1068"/>
      <c r="AK62" s="1068"/>
    </row>
    <row r="63" spans="1:113" ht="15">
      <c r="B63" s="3450" t="s">
        <v>220</v>
      </c>
      <c r="C63" s="354" t="s">
        <v>2675</v>
      </c>
      <c r="E63" s="373" t="s">
        <v>2686</v>
      </c>
      <c r="F63" s="3483">
        <f>F61*F62</f>
        <v>133812.09031318282</v>
      </c>
      <c r="G63" s="3483">
        <f t="shared" ref="G63:N63" si="2">G61*G62</f>
        <v>172468.50990151384</v>
      </c>
      <c r="H63" s="3483">
        <f t="shared" si="2"/>
        <v>181861.24430257219</v>
      </c>
      <c r="I63" s="3483">
        <f t="shared" si="2"/>
        <v>191200.54807283345</v>
      </c>
      <c r="J63" s="3483">
        <f t="shared" si="2"/>
        <v>200005.52580370911</v>
      </c>
      <c r="K63" s="3483">
        <f t="shared" si="2"/>
        <v>209307.66415949725</v>
      </c>
      <c r="L63" s="3483">
        <f t="shared" si="2"/>
        <v>219093.00548391452</v>
      </c>
      <c r="M63" s="3483">
        <f t="shared" si="2"/>
        <v>228818.71680332173</v>
      </c>
      <c r="N63" s="3483">
        <f t="shared" si="2"/>
        <v>239051.06792861409</v>
      </c>
      <c r="P63" s="1068"/>
      <c r="Q63" s="3395"/>
      <c r="R63"/>
      <c r="S63" s="3397"/>
      <c r="T63" s="3397"/>
      <c r="U63" s="3397"/>
      <c r="V63" s="3397"/>
      <c r="W63" s="3397"/>
      <c r="X63" s="3397"/>
      <c r="Y63" s="3397"/>
      <c r="Z63" s="3397"/>
      <c r="AA63" s="3397"/>
      <c r="AB63" s="3397"/>
      <c r="AC63" s="3397"/>
      <c r="AD63" s="3397"/>
      <c r="AE63" s="3397"/>
      <c r="AF63" s="1068"/>
      <c r="AG63" s="1068"/>
      <c r="AH63" s="1068"/>
      <c r="AI63" s="1068"/>
      <c r="AJ63" s="1068"/>
      <c r="AK63" s="1068"/>
    </row>
    <row r="64" spans="1:113" ht="15">
      <c r="C64" s="405" t="s">
        <v>2676</v>
      </c>
      <c r="E64" s="1369" t="s">
        <v>2687</v>
      </c>
      <c r="F64" s="2531">
        <f>F63/INDEX(Global.Assumptions[Population], MATCH(F$59, Global.Assumptions[Year], 0))</f>
        <v>2.9133284777858707E-2</v>
      </c>
      <c r="G64" s="2531">
        <f>G63/INDEX(Global.Assumptions[Population], MATCH(G$59, Global.Assumptions[Year], 0))</f>
        <v>3.6999352511331053E-2</v>
      </c>
      <c r="H64" s="2531">
        <f>H63/INDEX(Global.Assumptions[Population], MATCH(H$59, Global.Assumptions[Year], 0))</f>
        <v>3.7601052829479231E-2</v>
      </c>
      <c r="I64" s="2531">
        <f>I63/INDEX(Global.Assumptions[Population], MATCH(I$59, Global.Assumptions[Year], 0))</f>
        <v>3.8222646918299095E-2</v>
      </c>
      <c r="J64" s="2531">
        <f>J63/INDEX(Global.Assumptions[Population], MATCH(J$59, Global.Assumptions[Year], 0))</f>
        <v>3.8865137971239798E-2</v>
      </c>
      <c r="K64" s="2531">
        <f>K63/INDEX(Global.Assumptions[Population], MATCH(K$59, Global.Assumptions[Year], 0))</f>
        <v>3.9529597786342539E-2</v>
      </c>
      <c r="L64" s="2531">
        <f>L63/INDEX(Global.Assumptions[Population], MATCH(L$59, Global.Assumptions[Year], 0))</f>
        <v>4.0217172732756906E-2</v>
      </c>
      <c r="M64" s="2531">
        <f>M63/INDEX(Global.Assumptions[Population], MATCH(M$59, Global.Assumptions[Year], 0))</f>
        <v>4.0929090350966958E-2</v>
      </c>
      <c r="N64" s="3563">
        <f>N63/INDEX(Global.Assumptions[Population], MATCH(N$59, Global.Assumptions[Year], 0))</f>
        <v>4.1666666666666664E-2</v>
      </c>
      <c r="O64" s="3450" t="s">
        <v>5</v>
      </c>
      <c r="Q64" s="3395"/>
      <c r="R64"/>
      <c r="S64" s="3397"/>
      <c r="T64" s="3397"/>
      <c r="U64" s="3397"/>
      <c r="V64" s="3397"/>
      <c r="W64" s="3397"/>
      <c r="X64" s="3397"/>
      <c r="Y64" s="3397"/>
      <c r="Z64" s="3397"/>
      <c r="AA64" s="3397"/>
      <c r="AB64" s="3397"/>
      <c r="AC64" s="3397"/>
      <c r="AD64" s="3397"/>
      <c r="AE64" s="3397"/>
      <c r="AF64" s="1068"/>
    </row>
    <row r="65" spans="2:32" ht="15">
      <c r="B65" s="3450" t="s">
        <v>218</v>
      </c>
      <c r="C65" s="3450" t="s">
        <v>2677</v>
      </c>
      <c r="E65" s="373" t="s">
        <v>1449</v>
      </c>
      <c r="F65" s="2480">
        <f t="shared" ref="F65:N65" si="3">Global.IrelandIncidentSolarEnergy</f>
        <v>100</v>
      </c>
      <c r="G65" s="2480">
        <f t="shared" si="3"/>
        <v>100</v>
      </c>
      <c r="H65" s="2480">
        <f t="shared" si="3"/>
        <v>100</v>
      </c>
      <c r="I65" s="2480">
        <f t="shared" si="3"/>
        <v>100</v>
      </c>
      <c r="J65" s="2480">
        <f t="shared" si="3"/>
        <v>100</v>
      </c>
      <c r="K65" s="2480">
        <f t="shared" si="3"/>
        <v>100</v>
      </c>
      <c r="L65" s="2480">
        <f t="shared" si="3"/>
        <v>100</v>
      </c>
      <c r="M65" s="2480">
        <f t="shared" si="3"/>
        <v>100</v>
      </c>
      <c r="N65" s="2480">
        <f t="shared" si="3"/>
        <v>100</v>
      </c>
      <c r="Q65" s="3395"/>
      <c r="R65"/>
      <c r="S65" s="3397"/>
      <c r="T65" s="3397"/>
      <c r="U65" s="3397"/>
      <c r="V65" s="3397"/>
      <c r="W65" s="3397"/>
      <c r="X65" s="3397"/>
      <c r="Y65" s="3397"/>
      <c r="Z65" s="3397"/>
      <c r="AA65" s="3397"/>
      <c r="AB65" s="3397"/>
      <c r="AC65" s="3397"/>
      <c r="AD65" s="3397"/>
      <c r="AE65" s="3397"/>
      <c r="AF65" s="1068"/>
    </row>
    <row r="66" spans="2:32">
      <c r="B66" s="3450" t="s">
        <v>220</v>
      </c>
      <c r="C66" s="354" t="s">
        <v>2678</v>
      </c>
      <c r="E66" s="373" t="str">
        <f>Preferences.EnergyUnits &amp; " / year"</f>
        <v>TWh / year</v>
      </c>
      <c r="F66" s="2484">
        <f t="shared" ref="F66:N66" si="4">F$63*F$65*Unit.year*Unit.J</f>
        <v>0.11729967836853607</v>
      </c>
      <c r="G66" s="2460">
        <f t="shared" si="4"/>
        <v>0.15118589577966704</v>
      </c>
      <c r="H66" s="2460">
        <f t="shared" si="4"/>
        <v>0.15941956675563482</v>
      </c>
      <c r="I66" s="2460">
        <f t="shared" si="4"/>
        <v>0.16760640044064581</v>
      </c>
      <c r="J66" s="2460">
        <f t="shared" si="4"/>
        <v>0.1753248439195314</v>
      </c>
      <c r="K66" s="2460">
        <f t="shared" si="4"/>
        <v>0.1834790984022153</v>
      </c>
      <c r="L66" s="2460">
        <f t="shared" si="4"/>
        <v>0.19205692860719947</v>
      </c>
      <c r="M66" s="2460">
        <f t="shared" si="4"/>
        <v>0.20058248714979185</v>
      </c>
      <c r="N66" s="2460">
        <f t="shared" si="4"/>
        <v>0.20955216614622313</v>
      </c>
      <c r="Q66" s="81"/>
      <c r="R66"/>
      <c r="S66" s="1172"/>
      <c r="T66" s="1172"/>
      <c r="U66" s="1172"/>
      <c r="V66" s="1172"/>
      <c r="W66" s="81"/>
      <c r="X66" s="81"/>
      <c r="Y66" s="81"/>
      <c r="Z66" s="81"/>
      <c r="AA66" s="81"/>
      <c r="AB66" s="81"/>
      <c r="AC66" s="81"/>
      <c r="AD66" s="81"/>
      <c r="AE66" s="81"/>
      <c r="AF66" s="1068"/>
    </row>
    <row r="67" spans="2:32">
      <c r="B67" s="3450" t="s">
        <v>218</v>
      </c>
      <c r="C67" s="3450" t="s">
        <v>1273</v>
      </c>
      <c r="E67" s="373"/>
      <c r="F67" s="3484">
        <f>F$32</f>
        <v>0.35</v>
      </c>
      <c r="G67" s="3484">
        <f t="shared" ref="G67:N67" si="5">G$32</f>
        <v>0.35</v>
      </c>
      <c r="H67" s="3484">
        <f t="shared" si="5"/>
        <v>0.35</v>
      </c>
      <c r="I67" s="3484">
        <f t="shared" si="5"/>
        <v>0.35</v>
      </c>
      <c r="J67" s="3484">
        <f t="shared" si="5"/>
        <v>0.4</v>
      </c>
      <c r="K67" s="3484">
        <f t="shared" si="5"/>
        <v>0.4</v>
      </c>
      <c r="L67" s="3484">
        <f t="shared" si="5"/>
        <v>0.4</v>
      </c>
      <c r="M67" s="3484">
        <f t="shared" si="5"/>
        <v>0.4</v>
      </c>
      <c r="N67" s="3484">
        <f t="shared" si="5"/>
        <v>0.4</v>
      </c>
      <c r="Q67" s="3395"/>
      <c r="R67"/>
      <c r="S67" s="3397"/>
      <c r="T67" s="3397"/>
      <c r="U67" s="3397"/>
      <c r="V67" s="3397"/>
      <c r="W67" s="3397"/>
      <c r="X67" s="3397"/>
      <c r="Y67" s="3397"/>
      <c r="Z67" s="3397"/>
      <c r="AA67" s="3397"/>
      <c r="AB67" s="3397"/>
      <c r="AC67" s="3397"/>
      <c r="AD67" s="3397"/>
      <c r="AE67" s="3397"/>
      <c r="AF67" s="1068"/>
    </row>
    <row r="68" spans="2:32">
      <c r="B68" s="3450" t="s">
        <v>220</v>
      </c>
      <c r="C68" s="354" t="s">
        <v>2679</v>
      </c>
      <c r="E68" s="355" t="str">
        <f>Preferences.EnergyUnits &amp; " / year"</f>
        <v>TWh / year</v>
      </c>
      <c r="F68" s="2484">
        <f t="shared" ref="F68:N68" si="6">F$66*F$67</f>
        <v>4.1054887428987621E-2</v>
      </c>
      <c r="G68" s="2460">
        <f>(G$66*G$67)*Unit.TWh</f>
        <v>5.2915063522883464E-2</v>
      </c>
      <c r="H68" s="2460">
        <f t="shared" si="6"/>
        <v>5.5796848364472185E-2</v>
      </c>
      <c r="I68" s="2460">
        <f t="shared" si="6"/>
        <v>5.8662240154226032E-2</v>
      </c>
      <c r="J68" s="2460">
        <f t="shared" si="6"/>
        <v>7.0129937567812564E-2</v>
      </c>
      <c r="K68" s="2460">
        <f t="shared" si="6"/>
        <v>7.3391639360886121E-2</v>
      </c>
      <c r="L68" s="2460">
        <f t="shared" si="6"/>
        <v>7.68227714428798E-2</v>
      </c>
      <c r="M68" s="2460">
        <f t="shared" si="6"/>
        <v>8.0232994859916751E-2</v>
      </c>
      <c r="N68" s="2460">
        <f t="shared" si="6"/>
        <v>8.3820866458489254E-2</v>
      </c>
      <c r="Q68" s="81"/>
      <c r="R68"/>
      <c r="S68" s="3485"/>
      <c r="T68" s="3485"/>
      <c r="U68" s="3485"/>
      <c r="V68" s="3485"/>
      <c r="W68" s="3486"/>
      <c r="X68" s="4333"/>
      <c r="Y68" s="4333"/>
      <c r="Z68" s="3397"/>
      <c r="AA68" s="81"/>
      <c r="AB68" s="81"/>
      <c r="AC68" s="81"/>
      <c r="AD68" s="81"/>
      <c r="AE68" s="81"/>
      <c r="AF68" s="1068"/>
    </row>
    <row r="69" spans="2:32">
      <c r="C69" s="354"/>
      <c r="E69" s="373"/>
      <c r="F69" s="2460"/>
      <c r="G69" s="2460"/>
      <c r="H69" s="2460"/>
      <c r="I69" s="2460"/>
      <c r="J69" s="2460"/>
      <c r="K69" s="2460"/>
      <c r="L69" s="2460"/>
      <c r="M69" s="2460"/>
      <c r="N69" s="2460"/>
      <c r="Q69" s="81"/>
      <c r="R69"/>
      <c r="S69" s="3485"/>
      <c r="T69" s="3485"/>
      <c r="U69" s="3485"/>
      <c r="V69" s="3485"/>
      <c r="W69" s="3486"/>
      <c r="X69" s="3485"/>
      <c r="Y69" s="3485"/>
      <c r="Z69" s="3487"/>
      <c r="AA69" s="81"/>
      <c r="AB69" s="81"/>
      <c r="AC69" s="81"/>
      <c r="AD69" s="81"/>
      <c r="AE69" s="81"/>
      <c r="AF69" s="1068"/>
    </row>
    <row r="70" spans="2:32">
      <c r="B70" s="3450" t="s">
        <v>218</v>
      </c>
      <c r="C70" s="3450" t="s">
        <v>2680</v>
      </c>
      <c r="E70" s="373"/>
      <c r="F70" s="3484">
        <f t="shared" ref="F70:N70" si="7">$F37</f>
        <v>7.1428571428571425E-2</v>
      </c>
      <c r="G70" s="3484">
        <f t="shared" si="7"/>
        <v>7.1428571428571425E-2</v>
      </c>
      <c r="H70" s="3484">
        <f t="shared" si="7"/>
        <v>7.1428571428571425E-2</v>
      </c>
      <c r="I70" s="3484">
        <f t="shared" si="7"/>
        <v>7.1428571428571425E-2</v>
      </c>
      <c r="J70" s="3484">
        <f t="shared" si="7"/>
        <v>7.1428571428571425E-2</v>
      </c>
      <c r="K70" s="3484">
        <f t="shared" si="7"/>
        <v>7.1428571428571425E-2</v>
      </c>
      <c r="L70" s="3484">
        <f t="shared" si="7"/>
        <v>7.1428571428571425E-2</v>
      </c>
      <c r="M70" s="3484">
        <f t="shared" si="7"/>
        <v>7.1428571428571425E-2</v>
      </c>
      <c r="N70" s="3484">
        <f t="shared" si="7"/>
        <v>7.1428571428571425E-2</v>
      </c>
      <c r="Q70" s="81"/>
      <c r="R70"/>
      <c r="S70" s="620"/>
      <c r="T70" s="620"/>
      <c r="U70" s="620"/>
      <c r="V70" s="620"/>
      <c r="W70" s="3486"/>
      <c r="X70" s="620"/>
      <c r="Y70" s="620"/>
      <c r="Z70" s="81"/>
      <c r="AA70" s="81"/>
      <c r="AB70" s="81"/>
      <c r="AC70" s="81"/>
      <c r="AD70" s="81"/>
      <c r="AE70" s="81"/>
      <c r="AF70" s="1068"/>
    </row>
    <row r="71" spans="2:32">
      <c r="B71" s="3450" t="s">
        <v>220</v>
      </c>
      <c r="C71" s="354" t="s">
        <v>2681</v>
      </c>
      <c r="E71" s="355" t="str">
        <f>Preferences.EnergyUnits &amp; " / year"</f>
        <v>TWh / year</v>
      </c>
      <c r="F71" s="2460">
        <f t="shared" ref="F71:N71" si="8">F$68*F70</f>
        <v>2.9324919592134012E-3</v>
      </c>
      <c r="G71" s="2460">
        <f t="shared" si="8"/>
        <v>3.779647394491676E-3</v>
      </c>
      <c r="H71" s="2460">
        <f t="shared" si="8"/>
        <v>3.9854891688908701E-3</v>
      </c>
      <c r="I71" s="2460">
        <f t="shared" si="8"/>
        <v>4.1901600110161447E-3</v>
      </c>
      <c r="J71" s="2460">
        <f t="shared" si="8"/>
        <v>5.0092812548437546E-3</v>
      </c>
      <c r="K71" s="2460">
        <f t="shared" si="8"/>
        <v>5.2422599543490087E-3</v>
      </c>
      <c r="L71" s="2460">
        <f t="shared" si="8"/>
        <v>5.4873408173485572E-3</v>
      </c>
      <c r="M71" s="2460">
        <f t="shared" si="8"/>
        <v>5.7309282042797673E-3</v>
      </c>
      <c r="N71" s="2460">
        <f t="shared" si="8"/>
        <v>5.9872047470349464E-3</v>
      </c>
      <c r="Q71" s="81"/>
      <c r="R71" s="3486"/>
      <c r="S71" s="620"/>
      <c r="T71" s="620"/>
      <c r="U71" s="620"/>
      <c r="V71" s="620"/>
      <c r="W71" s="3486"/>
      <c r="X71" s="620"/>
      <c r="Y71" s="620"/>
      <c r="Z71" s="81"/>
      <c r="AA71" s="81"/>
      <c r="AB71" s="81"/>
      <c r="AC71" s="81"/>
      <c r="AD71" s="81"/>
      <c r="AE71" s="81"/>
      <c r="AF71" s="1068"/>
    </row>
    <row r="72" spans="2:32">
      <c r="C72" s="354"/>
      <c r="E72" s="355"/>
      <c r="F72" s="2460"/>
      <c r="G72" s="2460"/>
      <c r="H72" s="2460"/>
      <c r="I72" s="2460"/>
      <c r="J72" s="2460"/>
      <c r="K72" s="2460"/>
      <c r="L72" s="2460"/>
      <c r="M72" s="2460"/>
      <c r="N72" s="2460"/>
      <c r="Q72" s="81"/>
      <c r="R72" s="3488"/>
      <c r="S72" s="3489"/>
      <c r="T72" s="203"/>
      <c r="U72" s="3488"/>
      <c r="V72" s="1172"/>
      <c r="W72" s="81"/>
      <c r="X72" s="3490"/>
      <c r="Y72" s="3353"/>
      <c r="Z72" s="81"/>
      <c r="AA72" s="81"/>
      <c r="AB72" s="81"/>
      <c r="AC72" s="81"/>
      <c r="AD72" s="81"/>
      <c r="AE72" s="81"/>
      <c r="AF72" s="1068"/>
    </row>
    <row r="73" spans="2:32">
      <c r="B73" s="3450" t="s">
        <v>1713</v>
      </c>
      <c r="C73" s="354"/>
      <c r="E73" s="355" t="s">
        <v>277</v>
      </c>
      <c r="F73" s="2460">
        <f t="shared" ref="F73:N73" si="9">F68/((1/Unit.W)*Unit.year*Unit.J)</f>
        <v>4.6834231609613986E-3</v>
      </c>
      <c r="G73" s="2460">
        <f t="shared" si="9"/>
        <v>6.0363978465529846E-3</v>
      </c>
      <c r="H73" s="2460">
        <f t="shared" si="9"/>
        <v>6.3651435505900278E-3</v>
      </c>
      <c r="I73" s="2460">
        <f t="shared" si="9"/>
        <v>6.6920191825491707E-3</v>
      </c>
      <c r="J73" s="2460">
        <f t="shared" si="9"/>
        <v>8.0002210321483639E-3</v>
      </c>
      <c r="K73" s="2460">
        <f t="shared" si="9"/>
        <v>8.3723065663798904E-3</v>
      </c>
      <c r="L73" s="2460">
        <f t="shared" si="9"/>
        <v>8.7637202193565824E-3</v>
      </c>
      <c r="M73" s="2460">
        <f t="shared" si="9"/>
        <v>9.1527486721328707E-3</v>
      </c>
      <c r="N73" s="2460">
        <f t="shared" si="9"/>
        <v>9.562042717144564E-3</v>
      </c>
      <c r="Q73" s="81"/>
      <c r="R73" s="3488"/>
      <c r="S73" s="3489"/>
      <c r="T73" s="203"/>
      <c r="U73" s="3488"/>
      <c r="V73" s="1172"/>
      <c r="W73" s="81"/>
      <c r="X73" s="3491"/>
      <c r="Y73" s="3353"/>
      <c r="Z73" s="81"/>
      <c r="AA73" s="81"/>
      <c r="AB73" s="81"/>
      <c r="AC73" s="81"/>
      <c r="AD73" s="81"/>
      <c r="AE73" s="81"/>
      <c r="AF73" s="1068"/>
    </row>
    <row r="74" spans="2:32">
      <c r="F74" s="2485"/>
      <c r="G74" s="2485">
        <f>G73</f>
        <v>6.0363978465529846E-3</v>
      </c>
      <c r="H74" s="2486">
        <f>IF((H73-G73)&gt;0,H73-G73,0)</f>
        <v>3.2874570403704315E-4</v>
      </c>
      <c r="I74" s="2486">
        <f t="shared" ref="I74:N74" si="10">IF((I73-H73)&gt;0,I73-H73,0)</f>
        <v>3.2687563195914291E-4</v>
      </c>
      <c r="J74" s="2486">
        <f t="shared" si="10"/>
        <v>1.3082018495991932E-3</v>
      </c>
      <c r="K74" s="2486">
        <f t="shared" si="10"/>
        <v>3.720855342315265E-4</v>
      </c>
      <c r="L74" s="2486">
        <f t="shared" si="10"/>
        <v>3.9141365297669199E-4</v>
      </c>
      <c r="M74" s="2486">
        <f t="shared" si="10"/>
        <v>3.8902845277628828E-4</v>
      </c>
      <c r="N74" s="2486">
        <f t="shared" si="10"/>
        <v>4.0929404501169331E-4</v>
      </c>
      <c r="P74" s="985"/>
      <c r="Q74" s="81"/>
      <c r="R74" s="81"/>
      <c r="S74" s="81"/>
      <c r="T74" s="3462"/>
      <c r="U74" s="3462"/>
      <c r="V74" s="81"/>
      <c r="W74" s="81"/>
      <c r="X74" s="81"/>
      <c r="Y74" s="81"/>
      <c r="Z74" s="81"/>
      <c r="AA74" s="81"/>
      <c r="AB74" s="81"/>
      <c r="AC74" s="81"/>
      <c r="AD74" s="81"/>
      <c r="AE74" s="81"/>
      <c r="AF74" s="1068"/>
    </row>
    <row r="75" spans="2:32">
      <c r="F75" s="2485"/>
      <c r="G75" s="2485"/>
      <c r="H75" s="2486"/>
      <c r="I75" s="2486"/>
      <c r="J75" s="2486"/>
      <c r="K75" s="2486"/>
      <c r="L75" s="2486"/>
      <c r="M75" s="2486"/>
      <c r="N75" s="2486"/>
      <c r="P75" s="985"/>
      <c r="Q75" s="81"/>
      <c r="R75" s="608"/>
      <c r="S75" s="608"/>
      <c r="T75" s="607"/>
      <c r="U75" s="207"/>
      <c r="V75" s="207"/>
      <c r="W75" s="2509"/>
      <c r="X75" s="81"/>
      <c r="Y75" s="81"/>
      <c r="Z75" s="81"/>
      <c r="AA75" s="81"/>
      <c r="AB75" s="81"/>
      <c r="AC75" s="81"/>
      <c r="AD75" s="81"/>
      <c r="AE75" s="81"/>
      <c r="AF75" s="1068"/>
    </row>
    <row r="76" spans="2:32">
      <c r="B76" s="3450" t="s">
        <v>1083</v>
      </c>
      <c r="D76" s="3450" t="s">
        <v>2682</v>
      </c>
      <c r="F76" s="2485">
        <f>F73/plantsize.IV.b</f>
        <v>60823.677415083097</v>
      </c>
      <c r="G76" s="2485">
        <f>G73/plantsize.IV.b</f>
        <v>78394.777227960833</v>
      </c>
      <c r="H76" s="2485">
        <f t="shared" ref="H76:N76" si="11">H73/plantsize.IV.b</f>
        <v>82664.201955714641</v>
      </c>
      <c r="I76" s="2485">
        <f t="shared" si="11"/>
        <v>86909.340033106113</v>
      </c>
      <c r="J76" s="2485">
        <f t="shared" si="11"/>
        <v>103898.97444348525</v>
      </c>
      <c r="K76" s="2485">
        <f t="shared" si="11"/>
        <v>108731.25410882974</v>
      </c>
      <c r="L76" s="2485">
        <f t="shared" si="11"/>
        <v>113814.54830333224</v>
      </c>
      <c r="M76" s="2485">
        <f t="shared" si="11"/>
        <v>118866.86587185547</v>
      </c>
      <c r="N76" s="2485">
        <f t="shared" si="11"/>
        <v>124182.3729499294</v>
      </c>
      <c r="P76" s="985"/>
      <c r="Q76" s="81"/>
      <c r="R76" s="608"/>
      <c r="S76" s="201"/>
      <c r="T76" s="613"/>
      <c r="U76" s="3401"/>
      <c r="V76" s="3401"/>
      <c r="W76" s="2509"/>
      <c r="X76" s="81"/>
      <c r="Y76" s="81"/>
      <c r="Z76" s="81"/>
      <c r="AA76" s="81"/>
      <c r="AB76" s="81"/>
      <c r="AC76" s="81"/>
      <c r="AD76" s="81"/>
      <c r="AE76" s="81"/>
      <c r="AF76" s="1068"/>
    </row>
    <row r="77" spans="2:32">
      <c r="D77" s="3450" t="s">
        <v>1849</v>
      </c>
      <c r="F77" s="2485"/>
      <c r="G77" s="2485"/>
      <c r="H77" s="2485"/>
      <c r="I77" s="2485"/>
      <c r="J77" s="2485"/>
      <c r="K77" s="2485">
        <f>G76</f>
        <v>78394.777227960833</v>
      </c>
      <c r="L77" s="2485">
        <f>H76</f>
        <v>82664.201955714641</v>
      </c>
      <c r="M77" s="2485">
        <f>I76</f>
        <v>86909.340033106113</v>
      </c>
      <c r="N77" s="2485">
        <f>J76</f>
        <v>103898.97444348525</v>
      </c>
      <c r="P77" s="985"/>
      <c r="Q77" s="81"/>
      <c r="R77" s="3402"/>
      <c r="S77" s="201"/>
      <c r="T77" s="613"/>
      <c r="U77" s="3401"/>
      <c r="V77" s="3401"/>
      <c r="W77" s="3403"/>
      <c r="X77" s="81"/>
      <c r="Y77" s="81"/>
      <c r="Z77" s="81"/>
      <c r="AA77" s="81"/>
      <c r="AB77" s="81"/>
      <c r="AC77" s="81"/>
      <c r="AD77" s="81"/>
      <c r="AE77" s="81"/>
      <c r="AF77" s="1068"/>
    </row>
    <row r="78" spans="2:32">
      <c r="D78" s="3450" t="s">
        <v>2683</v>
      </c>
      <c r="F78" s="2485"/>
      <c r="G78" s="2485">
        <f>G76+G77</f>
        <v>78394.777227960833</v>
      </c>
      <c r="H78" s="2485">
        <f t="shared" ref="H78:N78" si="12">H76+H77</f>
        <v>82664.201955714641</v>
      </c>
      <c r="I78" s="2485">
        <f t="shared" si="12"/>
        <v>86909.340033106113</v>
      </c>
      <c r="J78" s="2485">
        <f t="shared" si="12"/>
        <v>103898.97444348525</v>
      </c>
      <c r="K78" s="2485">
        <f>K76+K77</f>
        <v>187126.03133679059</v>
      </c>
      <c r="L78" s="2485">
        <f t="shared" si="12"/>
        <v>196478.75025904688</v>
      </c>
      <c r="M78" s="2485">
        <f t="shared" si="12"/>
        <v>205776.20590496156</v>
      </c>
      <c r="N78" s="2485">
        <f t="shared" si="12"/>
        <v>228081.34739341465</v>
      </c>
      <c r="P78" s="985"/>
      <c r="Q78" s="81"/>
      <c r="R78" s="3396"/>
      <c r="S78" s="201"/>
      <c r="T78" s="613"/>
      <c r="U78" s="3401"/>
      <c r="V78" s="3401"/>
      <c r="W78" s="3403"/>
      <c r="X78" s="81"/>
      <c r="Y78" s="81"/>
      <c r="Z78" s="81"/>
      <c r="AA78" s="81"/>
      <c r="AB78" s="81"/>
      <c r="AC78" s="81"/>
      <c r="AD78" s="81"/>
      <c r="AE78" s="81"/>
      <c r="AF78" s="1068"/>
    </row>
    <row r="79" spans="2:32">
      <c r="D79" s="3450" t="s">
        <v>2684</v>
      </c>
      <c r="F79" s="2485"/>
      <c r="G79" s="2485">
        <f t="shared" ref="G79:N79" si="13">G78/(G59-F59)</f>
        <v>39197.388613980416</v>
      </c>
      <c r="H79" s="2485">
        <f t="shared" si="13"/>
        <v>16532.840391142927</v>
      </c>
      <c r="I79" s="2485">
        <f t="shared" si="13"/>
        <v>17381.868006621222</v>
      </c>
      <c r="J79" s="2485">
        <f t="shared" si="13"/>
        <v>20779.794888697048</v>
      </c>
      <c r="K79" s="2485">
        <f t="shared" si="13"/>
        <v>37425.206267358117</v>
      </c>
      <c r="L79" s="2485">
        <f t="shared" si="13"/>
        <v>39295.750051809373</v>
      </c>
      <c r="M79" s="2485">
        <f t="shared" si="13"/>
        <v>41155.241180992314</v>
      </c>
      <c r="N79" s="2485">
        <f t="shared" si="13"/>
        <v>45616.269478682931</v>
      </c>
      <c r="P79" s="985"/>
      <c r="Q79" s="81"/>
      <c r="R79" s="3402"/>
      <c r="S79" s="201"/>
      <c r="T79" s="613"/>
      <c r="U79" s="3401"/>
      <c r="V79" s="3401"/>
      <c r="W79" s="3403"/>
      <c r="X79" s="81"/>
      <c r="Y79" s="81"/>
      <c r="Z79" s="81"/>
      <c r="AA79" s="81"/>
      <c r="AB79" s="81"/>
      <c r="AC79" s="81"/>
      <c r="AD79" s="81"/>
      <c r="AE79" s="81"/>
      <c r="AF79" s="1068"/>
    </row>
    <row r="80" spans="2:32">
      <c r="F80" s="2485"/>
      <c r="G80" s="2485"/>
      <c r="H80" s="2486"/>
      <c r="I80" s="2486"/>
      <c r="J80" s="2486"/>
      <c r="K80" s="2486"/>
      <c r="L80" s="2486"/>
      <c r="M80" s="2486"/>
      <c r="N80" s="2486"/>
      <c r="P80" s="985"/>
      <c r="Q80" s="81"/>
      <c r="R80" s="3402"/>
      <c r="S80" s="201"/>
      <c r="T80" s="613"/>
      <c r="U80" s="207"/>
      <c r="V80" s="1082"/>
      <c r="W80" s="1082"/>
      <c r="X80" s="1082"/>
      <c r="Y80" s="1082"/>
      <c r="Z80" s="1082"/>
      <c r="AA80" s="1082"/>
      <c r="AB80" s="1082"/>
      <c r="AC80" s="1082"/>
      <c r="AD80" s="1082"/>
      <c r="AE80" s="81"/>
      <c r="AF80" s="1068"/>
    </row>
    <row r="81" spans="2:32">
      <c r="B81" s="3578" t="s">
        <v>2723</v>
      </c>
      <c r="F81" s="2485"/>
      <c r="G81" s="2485" t="s">
        <v>5</v>
      </c>
      <c r="H81" s="2485"/>
      <c r="I81" s="2485"/>
      <c r="J81" s="2485"/>
      <c r="K81" s="2485"/>
      <c r="L81" s="2485"/>
      <c r="M81" s="2485"/>
      <c r="N81" s="2485"/>
      <c r="O81" s="2485"/>
      <c r="P81" s="985"/>
      <c r="Q81" s="81"/>
      <c r="R81" s="3492"/>
      <c r="S81" s="3400"/>
      <c r="T81" s="613"/>
      <c r="U81" s="3401"/>
      <c r="V81" s="3401"/>
      <c r="W81" s="3493"/>
      <c r="X81" s="3493"/>
      <c r="Y81" s="3493"/>
      <c r="Z81" s="3493"/>
      <c r="AA81" s="3493"/>
      <c r="AB81" s="3493"/>
      <c r="AC81" s="3493"/>
      <c r="AD81" s="3494"/>
      <c r="AE81" s="81"/>
      <c r="AF81" s="1068"/>
    </row>
    <row r="82" spans="2:32" hidden="1">
      <c r="C82" s="3450" t="s">
        <v>168</v>
      </c>
      <c r="E82" s="3578" t="s">
        <v>2736</v>
      </c>
      <c r="F82" s="2485"/>
      <c r="G82" s="2485"/>
      <c r="H82" s="2485"/>
      <c r="I82" s="2485"/>
      <c r="J82" s="2485"/>
      <c r="K82" s="2485"/>
      <c r="L82" s="2485"/>
      <c r="M82" s="2485"/>
      <c r="N82" s="2485"/>
      <c r="O82" s="2485"/>
      <c r="P82" s="985"/>
      <c r="Q82" s="81"/>
      <c r="R82" s="3492"/>
      <c r="S82" s="3400"/>
      <c r="T82" s="613"/>
      <c r="U82" s="3401"/>
      <c r="V82" s="3401"/>
      <c r="W82" s="3493"/>
      <c r="X82" s="3493"/>
      <c r="Y82" s="3493"/>
      <c r="Z82" s="3493"/>
      <c r="AA82" s="3493"/>
      <c r="AB82" s="3493"/>
      <c r="AC82" s="3493"/>
      <c r="AD82" s="3494"/>
      <c r="AE82" s="81"/>
      <c r="AF82" s="1068"/>
    </row>
    <row r="83" spans="2:32" hidden="1">
      <c r="C83" s="3450" t="s">
        <v>172</v>
      </c>
      <c r="E83" s="3578" t="s">
        <v>2736</v>
      </c>
      <c r="F83" s="2485"/>
      <c r="G83" s="2485"/>
      <c r="H83" s="2485"/>
      <c r="I83" s="2485"/>
      <c r="J83" s="2485"/>
      <c r="K83" s="2485"/>
      <c r="L83" s="2485"/>
      <c r="M83" s="2485"/>
      <c r="N83" s="2485"/>
      <c r="O83" s="2485"/>
      <c r="P83" s="985"/>
      <c r="Q83" s="81"/>
      <c r="R83" s="3492"/>
      <c r="S83" s="201"/>
      <c r="T83" s="613"/>
      <c r="U83" s="3401"/>
      <c r="V83" s="3401"/>
      <c r="W83" s="3403"/>
      <c r="X83" s="3403"/>
      <c r="Y83" s="3403"/>
      <c r="Z83" s="3403"/>
      <c r="AA83" s="3403"/>
      <c r="AB83" s="3403"/>
      <c r="AC83" s="3403"/>
      <c r="AD83" s="81"/>
      <c r="AE83" s="81"/>
      <c r="AF83" s="1068"/>
    </row>
    <row r="84" spans="2:32" hidden="1">
      <c r="C84" s="3450" t="s">
        <v>291</v>
      </c>
      <c r="E84" s="3578" t="s">
        <v>2736</v>
      </c>
      <c r="F84" s="2485"/>
      <c r="G84" s="2485"/>
      <c r="H84" s="2485"/>
      <c r="I84" s="2485"/>
      <c r="J84" s="2485"/>
      <c r="K84" s="2485"/>
      <c r="L84" s="2485"/>
      <c r="M84" s="2485"/>
      <c r="N84" s="2485"/>
      <c r="O84" s="2485"/>
      <c r="P84" s="985"/>
      <c r="Q84" s="81"/>
      <c r="R84" s="3402"/>
      <c r="S84" s="201"/>
      <c r="T84" s="613"/>
      <c r="U84" s="207"/>
      <c r="V84" s="1082"/>
      <c r="W84" s="1082"/>
      <c r="X84" s="1082"/>
      <c r="Y84" s="1082"/>
      <c r="Z84" s="1082"/>
      <c r="AA84" s="1082"/>
      <c r="AB84" s="1082"/>
      <c r="AC84" s="1082"/>
      <c r="AD84" s="1082"/>
      <c r="AE84" s="81"/>
      <c r="AF84" s="1068"/>
    </row>
    <row r="85" spans="2:32" hidden="1">
      <c r="C85" s="354"/>
      <c r="F85" s="2460"/>
      <c r="G85" s="2460"/>
      <c r="H85" s="2460"/>
      <c r="I85" s="2460"/>
      <c r="J85" s="2460"/>
      <c r="K85" s="2460"/>
      <c r="L85" s="2460"/>
      <c r="M85" s="2460"/>
      <c r="N85" s="2460"/>
      <c r="O85" s="2485"/>
      <c r="P85" s="985"/>
      <c r="Q85" s="81"/>
      <c r="R85" s="3492"/>
      <c r="S85" s="3400"/>
      <c r="T85" s="613"/>
      <c r="U85" s="3401"/>
      <c r="V85" s="3401"/>
      <c r="W85" s="3401"/>
      <c r="X85" s="3401"/>
      <c r="Y85" s="3401"/>
      <c r="Z85" s="3401"/>
      <c r="AA85" s="3401"/>
      <c r="AB85" s="3401"/>
      <c r="AC85" s="3401"/>
      <c r="AD85" s="3401"/>
      <c r="AE85" s="81"/>
      <c r="AF85" s="1068"/>
    </row>
    <row r="86" spans="2:32" hidden="1">
      <c r="B86" s="3450" t="s">
        <v>292</v>
      </c>
      <c r="F86" s="2485"/>
      <c r="G86" s="2485"/>
      <c r="H86" s="2485"/>
      <c r="I86" s="2485"/>
      <c r="J86" s="2485"/>
      <c r="K86" s="2485"/>
      <c r="L86" s="2485"/>
      <c r="M86" s="2485"/>
      <c r="N86" s="2485"/>
      <c r="O86" s="2485"/>
      <c r="P86" s="985"/>
      <c r="Q86" s="81"/>
      <c r="R86" s="3492"/>
      <c r="S86" s="3400"/>
      <c r="T86" s="613"/>
      <c r="U86" s="3401"/>
      <c r="V86" s="3401"/>
      <c r="W86" s="3401"/>
      <c r="X86" s="3401"/>
      <c r="Y86" s="3401"/>
      <c r="Z86" s="3401"/>
      <c r="AA86" s="3401"/>
      <c r="AB86" s="3401"/>
      <c r="AC86" s="3401"/>
      <c r="AD86" s="3401"/>
      <c r="AE86" s="81"/>
      <c r="AF86" s="1068"/>
    </row>
    <row r="87" spans="2:32" hidden="1">
      <c r="C87" s="3450" t="s">
        <v>168</v>
      </c>
      <c r="E87" s="3578" t="s">
        <v>2736</v>
      </c>
      <c r="F87" s="2485"/>
      <c r="G87" s="2485"/>
      <c r="H87" s="2485"/>
      <c r="I87" s="2485"/>
      <c r="J87" s="2485"/>
      <c r="K87" s="2485"/>
      <c r="L87" s="2485"/>
      <c r="M87" s="2485"/>
      <c r="N87" s="2485"/>
      <c r="O87" s="2485"/>
      <c r="P87" s="985"/>
      <c r="Q87" s="81"/>
      <c r="R87" s="81"/>
      <c r="S87" s="81"/>
      <c r="T87" s="3403"/>
      <c r="U87" s="81"/>
      <c r="V87" s="81"/>
      <c r="W87" s="81"/>
      <c r="X87" s="81"/>
      <c r="Y87" s="3495"/>
      <c r="Z87" s="3495"/>
      <c r="AA87" s="81"/>
      <c r="AB87" s="81"/>
      <c r="AC87" s="81"/>
      <c r="AD87" s="81"/>
      <c r="AE87" s="81"/>
      <c r="AF87" s="1068"/>
    </row>
    <row r="88" spans="2:32" hidden="1">
      <c r="C88" s="3450" t="s">
        <v>172</v>
      </c>
      <c r="E88" s="3578" t="s">
        <v>2736</v>
      </c>
      <c r="F88" s="2485"/>
      <c r="G88" s="2485"/>
      <c r="H88" s="2485"/>
      <c r="I88" s="2485"/>
      <c r="J88" s="2485"/>
      <c r="K88" s="2485"/>
      <c r="L88" s="2485"/>
      <c r="M88" s="2485"/>
      <c r="N88" s="2485"/>
      <c r="O88" s="2485"/>
      <c r="P88" s="985"/>
      <c r="Q88" s="81"/>
      <c r="R88" s="81"/>
      <c r="S88" s="81"/>
      <c r="T88" s="3462"/>
      <c r="U88" s="3462"/>
      <c r="V88" s="81"/>
      <c r="W88" s="81"/>
      <c r="X88" s="81"/>
      <c r="Y88" s="81"/>
      <c r="Z88" s="81"/>
      <c r="AA88" s="81"/>
      <c r="AB88" s="81"/>
      <c r="AC88" s="81"/>
      <c r="AD88" s="81"/>
      <c r="AE88" s="81"/>
      <c r="AF88" s="1068"/>
    </row>
    <row r="89" spans="2:32" hidden="1">
      <c r="C89" s="3450" t="s">
        <v>291</v>
      </c>
      <c r="E89" s="3578" t="s">
        <v>2736</v>
      </c>
      <c r="F89" s="2485"/>
      <c r="G89" s="2485"/>
      <c r="H89" s="2485"/>
      <c r="I89" s="2485"/>
      <c r="J89" s="2485"/>
      <c r="K89" s="2485"/>
      <c r="L89" s="2485"/>
      <c r="M89" s="2485"/>
      <c r="N89" s="2485"/>
      <c r="Q89" s="81"/>
      <c r="R89" s="81"/>
      <c r="S89" s="3496"/>
      <c r="T89" s="81"/>
      <c r="U89" s="81"/>
      <c r="V89" s="81"/>
      <c r="W89" s="81"/>
      <c r="X89" s="81"/>
      <c r="Y89" s="81"/>
      <c r="Z89" s="81"/>
      <c r="AA89" s="81"/>
      <c r="AB89" s="81"/>
      <c r="AC89" s="81"/>
      <c r="AD89" s="81"/>
      <c r="AE89" s="81"/>
      <c r="AF89" s="1068"/>
    </row>
    <row r="90" spans="2:32" hidden="1">
      <c r="F90" s="2485"/>
      <c r="G90" s="2485"/>
      <c r="H90" s="2485"/>
      <c r="I90" s="2485"/>
      <c r="J90" s="2485"/>
      <c r="K90" s="2485"/>
      <c r="L90" s="2485"/>
      <c r="M90" s="2485"/>
      <c r="N90" s="2485"/>
      <c r="Q90" s="81"/>
      <c r="R90" s="81"/>
      <c r="S90" s="81"/>
      <c r="T90" s="81"/>
      <c r="U90" s="81"/>
      <c r="V90" s="81"/>
      <c r="W90" s="81"/>
      <c r="X90" s="81"/>
      <c r="Y90" s="81"/>
      <c r="Z90" s="81"/>
      <c r="AA90" s="81"/>
      <c r="AB90" s="81"/>
      <c r="AC90" s="81"/>
      <c r="AD90" s="81"/>
      <c r="AE90" s="81"/>
      <c r="AF90" s="1068"/>
    </row>
    <row r="91" spans="2:32" hidden="1">
      <c r="B91" s="3450" t="s">
        <v>290</v>
      </c>
      <c r="F91" s="2485"/>
      <c r="G91" s="2485"/>
      <c r="H91" s="2485"/>
      <c r="I91" s="2485"/>
      <c r="J91" s="2485"/>
      <c r="K91" s="2485"/>
      <c r="L91" s="2485"/>
      <c r="M91" s="2485"/>
      <c r="N91" s="2485"/>
      <c r="Q91" s="1068"/>
      <c r="R91" s="1068"/>
      <c r="S91" s="1068"/>
      <c r="T91" s="1068"/>
      <c r="U91" s="1068"/>
      <c r="V91" s="1068"/>
      <c r="W91" s="1068"/>
      <c r="X91" s="1068"/>
      <c r="Y91" s="1068"/>
      <c r="Z91" s="1068"/>
      <c r="AA91" s="1068"/>
      <c r="AB91" s="1068"/>
      <c r="AC91" s="1068"/>
      <c r="AD91" s="1068"/>
      <c r="AE91" s="1068"/>
      <c r="AF91" s="1068"/>
    </row>
    <row r="92" spans="2:32" hidden="1">
      <c r="C92" s="3450" t="s">
        <v>168</v>
      </c>
      <c r="E92" s="3578" t="s">
        <v>2736</v>
      </c>
      <c r="F92" s="2485"/>
      <c r="G92" s="2485"/>
      <c r="H92" s="2485"/>
      <c r="I92" s="2485"/>
      <c r="J92" s="2485"/>
      <c r="K92" s="2485"/>
      <c r="L92" s="2485"/>
      <c r="M92" s="2485"/>
      <c r="N92" s="2485"/>
    </row>
    <row r="93" spans="2:32" hidden="1">
      <c r="C93" s="3450" t="s">
        <v>172</v>
      </c>
      <c r="E93" s="3578" t="s">
        <v>2736</v>
      </c>
      <c r="F93" s="2485"/>
      <c r="G93" s="2485"/>
      <c r="H93" s="2485"/>
      <c r="I93" s="2485"/>
      <c r="J93" s="2485"/>
      <c r="K93" s="2485"/>
      <c r="L93" s="2485"/>
      <c r="M93" s="2485"/>
      <c r="N93" s="2485"/>
    </row>
    <row r="94" spans="2:32" hidden="1">
      <c r="C94" s="3450" t="s">
        <v>291</v>
      </c>
      <c r="E94" s="3578" t="s">
        <v>2736</v>
      </c>
      <c r="F94" s="2485"/>
      <c r="G94" s="2485"/>
      <c r="H94" s="2485"/>
      <c r="I94" s="2485"/>
      <c r="J94" s="2485"/>
      <c r="K94" s="2485"/>
      <c r="L94" s="2485"/>
      <c r="M94" s="2485"/>
      <c r="N94" s="2485"/>
    </row>
    <row r="96" spans="2:32" ht="15">
      <c r="B96" s="502" t="s">
        <v>296</v>
      </c>
      <c r="C96" s="503"/>
      <c r="D96" s="503"/>
      <c r="E96" s="503"/>
      <c r="F96" s="503"/>
      <c r="G96" s="503"/>
      <c r="H96" s="503"/>
      <c r="I96" s="503"/>
      <c r="J96" s="503"/>
      <c r="K96" s="503"/>
      <c r="L96" s="503"/>
      <c r="M96" s="503"/>
      <c r="N96" s="503"/>
      <c r="O96" s="857"/>
    </row>
    <row r="97" spans="1:17">
      <c r="B97" s="505"/>
      <c r="C97" s="506"/>
      <c r="D97" s="506"/>
      <c r="E97" s="506"/>
      <c r="F97" s="506"/>
      <c r="G97" s="506"/>
      <c r="H97" s="506"/>
      <c r="I97" s="506"/>
      <c r="J97" s="506"/>
      <c r="K97" s="506"/>
      <c r="L97" s="506"/>
      <c r="M97" s="506"/>
      <c r="N97" s="506"/>
      <c r="O97" s="858"/>
      <c r="Q97" s="3450" t="s">
        <v>5</v>
      </c>
    </row>
    <row r="98" spans="1:17">
      <c r="B98" s="505"/>
      <c r="C98" s="34" t="s">
        <v>746</v>
      </c>
      <c r="D98" s="506"/>
      <c r="E98" s="507"/>
      <c r="F98" s="506"/>
      <c r="G98" s="506"/>
      <c r="H98" s="506"/>
      <c r="I98" s="506"/>
      <c r="J98" s="506"/>
      <c r="K98" s="506"/>
      <c r="L98" s="506"/>
      <c r="M98" s="506"/>
      <c r="N98" s="507" t="str">
        <f>Preferences.EnergyUnits</f>
        <v>TWh</v>
      </c>
      <c r="O98" s="858"/>
    </row>
    <row r="99" spans="1:17">
      <c r="B99" s="505"/>
      <c r="C99" s="506"/>
      <c r="D99" s="506"/>
      <c r="E99" s="506"/>
      <c r="F99" s="506"/>
      <c r="G99" s="506"/>
      <c r="H99" s="506"/>
      <c r="I99" s="506"/>
      <c r="J99" s="506"/>
      <c r="K99" s="506"/>
      <c r="L99" s="506"/>
      <c r="M99" s="506"/>
      <c r="N99" s="506"/>
      <c r="O99" s="858"/>
    </row>
    <row r="100" spans="1:17" ht="15.5">
      <c r="B100" s="15"/>
      <c r="C100" s="864" t="s">
        <v>28</v>
      </c>
      <c r="D100" s="864" t="s">
        <v>29</v>
      </c>
      <c r="E100" s="864" t="s">
        <v>30</v>
      </c>
      <c r="F100" s="864" t="s">
        <v>588</v>
      </c>
      <c r="G100" s="864" t="s">
        <v>132</v>
      </c>
      <c r="H100" s="864" t="s">
        <v>133</v>
      </c>
      <c r="I100" s="864" t="s">
        <v>134</v>
      </c>
      <c r="J100" s="864" t="s">
        <v>135</v>
      </c>
      <c r="K100" s="864" t="s">
        <v>136</v>
      </c>
      <c r="L100" s="864" t="s">
        <v>137</v>
      </c>
      <c r="M100" s="864" t="s">
        <v>138</v>
      </c>
      <c r="N100" s="864" t="s">
        <v>139</v>
      </c>
      <c r="O100" s="858"/>
    </row>
    <row r="101" spans="1:17" ht="15.5">
      <c r="B101" s="15"/>
      <c r="C101" s="17" t="s">
        <v>31</v>
      </c>
      <c r="D101" s="2457" t="str">
        <f>INDEX(Vectors[Description], MATCH(IV.b.Outputs[Vector], Vectors[Code], 0))</f>
        <v>Domestic solar thermal</v>
      </c>
      <c r="E101" s="17"/>
      <c r="F101" s="2491">
        <f t="shared" ref="F101:N101" si="14">F$68</f>
        <v>4.1054887428987621E-2</v>
      </c>
      <c r="G101" s="2491">
        <f t="shared" si="14"/>
        <v>5.2915063522883464E-2</v>
      </c>
      <c r="H101" s="2491">
        <f t="shared" si="14"/>
        <v>5.5796848364472185E-2</v>
      </c>
      <c r="I101" s="2491">
        <f t="shared" si="14"/>
        <v>5.8662240154226032E-2</v>
      </c>
      <c r="J101" s="2491">
        <f t="shared" si="14"/>
        <v>7.0129937567812564E-2</v>
      </c>
      <c r="K101" s="2491">
        <f t="shared" si="14"/>
        <v>7.3391639360886121E-2</v>
      </c>
      <c r="L101" s="2491">
        <f t="shared" si="14"/>
        <v>7.68227714428798E-2</v>
      </c>
      <c r="M101" s="2491">
        <f t="shared" si="14"/>
        <v>8.0232994859916751E-2</v>
      </c>
      <c r="N101" s="2491">
        <f t="shared" si="14"/>
        <v>8.3820866458489254E-2</v>
      </c>
      <c r="O101" s="858"/>
    </row>
    <row r="102" spans="1:17" ht="15.5">
      <c r="B102" s="15"/>
      <c r="C102" s="17" t="s">
        <v>437</v>
      </c>
      <c r="D102" s="2457" t="str">
        <f>INDEX(Vectors[Description], MATCH(IV.b.Outputs[Vector], Vectors[Code], 0))</f>
        <v>Solar</v>
      </c>
      <c r="E102" s="17"/>
      <c r="F102" s="2491">
        <f t="shared" ref="F102:N102" si="15">-F$68</f>
        <v>-4.1054887428987621E-2</v>
      </c>
      <c r="G102" s="2491">
        <f t="shared" si="15"/>
        <v>-5.2915063522883464E-2</v>
      </c>
      <c r="H102" s="2491">
        <f t="shared" si="15"/>
        <v>-5.5796848364472185E-2</v>
      </c>
      <c r="I102" s="2491">
        <f t="shared" si="15"/>
        <v>-5.8662240154226032E-2</v>
      </c>
      <c r="J102" s="2491">
        <f t="shared" si="15"/>
        <v>-7.0129937567812564E-2</v>
      </c>
      <c r="K102" s="2491">
        <f t="shared" si="15"/>
        <v>-7.3391639360886121E-2</v>
      </c>
      <c r="L102" s="2491">
        <f t="shared" si="15"/>
        <v>-7.68227714428798E-2</v>
      </c>
      <c r="M102" s="2491">
        <f t="shared" si="15"/>
        <v>-8.0232994859916751E-2</v>
      </c>
      <c r="N102" s="2491">
        <f t="shared" si="15"/>
        <v>-8.3820866458489254E-2</v>
      </c>
      <c r="O102" s="858"/>
    </row>
    <row r="103" spans="1:17" ht="15.5">
      <c r="B103" s="15"/>
      <c r="C103" s="17" t="s">
        <v>95</v>
      </c>
      <c r="D103" s="2457" t="str">
        <f>INDEX(Vectors[Description], MATCH(IV.b.Outputs[Vector], Vectors[Code], 0))</f>
        <v>Electricity (delivered to end user)</v>
      </c>
      <c r="E103" s="17"/>
      <c r="F103" s="2491">
        <f t="shared" ref="F103:N103" si="16">-F$71</f>
        <v>-2.9324919592134012E-3</v>
      </c>
      <c r="G103" s="2491">
        <f t="shared" si="16"/>
        <v>-3.779647394491676E-3</v>
      </c>
      <c r="H103" s="2491">
        <f t="shared" si="16"/>
        <v>-3.9854891688908701E-3</v>
      </c>
      <c r="I103" s="2491">
        <f t="shared" si="16"/>
        <v>-4.1901600110161447E-3</v>
      </c>
      <c r="J103" s="2491">
        <f t="shared" si="16"/>
        <v>-5.0092812548437546E-3</v>
      </c>
      <c r="K103" s="2491">
        <f t="shared" si="16"/>
        <v>-5.2422599543490087E-3</v>
      </c>
      <c r="L103" s="2491">
        <f t="shared" si="16"/>
        <v>-5.4873408173485572E-3</v>
      </c>
      <c r="M103" s="2491">
        <f t="shared" si="16"/>
        <v>-5.7309282042797673E-3</v>
      </c>
      <c r="N103" s="2491">
        <f t="shared" si="16"/>
        <v>-5.9872047470349464E-3</v>
      </c>
      <c r="O103" s="858"/>
    </row>
    <row r="104" spans="1:17" ht="15.5">
      <c r="B104" s="15"/>
      <c r="C104" s="17" t="s">
        <v>407</v>
      </c>
      <c r="D104" s="2457" t="str">
        <f>INDEX(Vectors[Description], MATCH(IV.b.Outputs[Vector], Vectors[Code], 0))</f>
        <v>Lighting &amp; appliances</v>
      </c>
      <c r="E104" s="17"/>
      <c r="F104" s="2491">
        <f t="shared" ref="F104:N104" si="17">F$71</f>
        <v>2.9324919592134012E-3</v>
      </c>
      <c r="G104" s="2491">
        <f t="shared" si="17"/>
        <v>3.779647394491676E-3</v>
      </c>
      <c r="H104" s="2491">
        <f t="shared" si="17"/>
        <v>3.9854891688908701E-3</v>
      </c>
      <c r="I104" s="2491">
        <f t="shared" si="17"/>
        <v>4.1901600110161447E-3</v>
      </c>
      <c r="J104" s="2491">
        <f t="shared" si="17"/>
        <v>5.0092812548437546E-3</v>
      </c>
      <c r="K104" s="2491">
        <f t="shared" si="17"/>
        <v>5.2422599543490087E-3</v>
      </c>
      <c r="L104" s="2491">
        <f t="shared" si="17"/>
        <v>5.4873408173485572E-3</v>
      </c>
      <c r="M104" s="2491">
        <f t="shared" si="17"/>
        <v>5.7309282042797673E-3</v>
      </c>
      <c r="N104" s="2491">
        <f t="shared" si="17"/>
        <v>5.9872047470349464E-3</v>
      </c>
      <c r="O104" s="858"/>
    </row>
    <row r="105" spans="1:17" ht="15.5">
      <c r="B105" s="15"/>
      <c r="C105" s="2432" t="s">
        <v>58</v>
      </c>
      <c r="D105" s="2432"/>
      <c r="E105" s="2432"/>
      <c r="F105" s="2435">
        <f>SUBTOTAL(105,IV.b.Outputs[2013])</f>
        <v>-4.1054887428987621E-2</v>
      </c>
      <c r="G105" s="2435">
        <f>SUBTOTAL(105,IV.b.Outputs[2015])</f>
        <v>-5.2915063522883464E-2</v>
      </c>
      <c r="H105" s="2435">
        <f>SUBTOTAL(105,IV.b.Outputs[2020])</f>
        <v>-5.5796848364472185E-2</v>
      </c>
      <c r="I105" s="2435">
        <f>SUBTOTAL(105,IV.b.Outputs[2025])</f>
        <v>-5.8662240154226032E-2</v>
      </c>
      <c r="J105" s="2435">
        <f>SUBTOTAL(105,IV.b.Outputs[2030])</f>
        <v>-7.0129937567812564E-2</v>
      </c>
      <c r="K105" s="2435">
        <f>SUBTOTAL(105,IV.b.Outputs[2035])</f>
        <v>-7.3391639360886121E-2</v>
      </c>
      <c r="L105" s="2435">
        <f>SUBTOTAL(105,IV.b.Outputs[2040])</f>
        <v>-7.68227714428798E-2</v>
      </c>
      <c r="M105" s="2435">
        <f>SUBTOTAL(105,IV.b.Outputs[2045])</f>
        <v>-8.0232994859916751E-2</v>
      </c>
      <c r="N105" s="2435">
        <f>SUBTOTAL(105,IV.b.Outputs[2050])</f>
        <v>-8.3820866458489254E-2</v>
      </c>
      <c r="O105" s="858"/>
    </row>
    <row r="106" spans="1:17" ht="15.5">
      <c r="B106" s="15"/>
      <c r="C106" s="443"/>
      <c r="D106" s="443"/>
      <c r="E106" s="443"/>
      <c r="F106" s="443"/>
      <c r="G106" s="443"/>
      <c r="H106" s="443"/>
      <c r="I106" s="443"/>
      <c r="J106" s="443"/>
      <c r="K106" s="443"/>
      <c r="L106" s="443"/>
      <c r="M106" s="443"/>
      <c r="N106" s="443"/>
      <c r="O106" s="35"/>
    </row>
    <row r="107" spans="1:17" ht="23.5">
      <c r="A107" s="7"/>
    </row>
    <row r="108" spans="1:17" ht="15">
      <c r="B108" s="986" t="s">
        <v>310</v>
      </c>
      <c r="C108" s="987"/>
      <c r="D108" s="988"/>
      <c r="E108" s="988"/>
      <c r="F108" s="988"/>
      <c r="G108" s="988"/>
      <c r="H108" s="988"/>
      <c r="I108" s="988"/>
      <c r="J108" s="988"/>
      <c r="K108" s="988"/>
      <c r="L108" s="988"/>
      <c r="M108" s="988"/>
      <c r="N108" s="988"/>
      <c r="O108" s="989"/>
    </row>
    <row r="109" spans="1:17">
      <c r="B109" s="990"/>
      <c r="C109" s="991"/>
      <c r="D109" s="991"/>
      <c r="E109" s="991"/>
      <c r="F109" s="991"/>
      <c r="G109" s="991"/>
      <c r="H109" s="991"/>
      <c r="I109" s="991"/>
      <c r="J109" s="991"/>
      <c r="K109" s="991"/>
      <c r="L109" s="991"/>
      <c r="M109" s="991"/>
      <c r="N109" s="991"/>
      <c r="O109" s="992"/>
    </row>
    <row r="110" spans="1:17">
      <c r="B110" s="993"/>
      <c r="C110" s="479" t="s">
        <v>311</v>
      </c>
      <c r="D110" s="994"/>
      <c r="E110" s="995"/>
      <c r="F110" s="994"/>
      <c r="G110" s="994"/>
      <c r="H110" s="994"/>
      <c r="I110" s="994"/>
      <c r="J110" s="994"/>
      <c r="K110" s="994"/>
      <c r="L110" s="994"/>
      <c r="M110" s="994"/>
      <c r="N110" s="995"/>
      <c r="O110" s="996"/>
    </row>
    <row r="111" spans="1:17" ht="15.5">
      <c r="A111" s="434"/>
      <c r="B111" s="993"/>
      <c r="C111" s="994"/>
      <c r="D111" s="994"/>
      <c r="E111" s="994"/>
      <c r="F111" s="994"/>
      <c r="G111" s="994"/>
      <c r="H111" s="994"/>
      <c r="I111" s="994"/>
      <c r="J111" s="994"/>
      <c r="K111" s="994"/>
      <c r="L111" s="994"/>
      <c r="M111" s="994"/>
      <c r="N111" s="994"/>
      <c r="O111" s="996"/>
    </row>
    <row r="112" spans="1:17" ht="15.5">
      <c r="A112" s="434"/>
      <c r="B112" s="483"/>
      <c r="C112" s="997" t="s">
        <v>28</v>
      </c>
      <c r="D112" s="997" t="s">
        <v>312</v>
      </c>
      <c r="E112" s="997" t="s">
        <v>30</v>
      </c>
      <c r="F112" s="997" t="s">
        <v>588</v>
      </c>
      <c r="G112" s="997" t="s">
        <v>132</v>
      </c>
      <c r="H112" s="997" t="s">
        <v>133</v>
      </c>
      <c r="I112" s="997" t="s">
        <v>134</v>
      </c>
      <c r="J112" s="997" t="s">
        <v>135</v>
      </c>
      <c r="K112" s="997" t="s">
        <v>136</v>
      </c>
      <c r="L112" s="997" t="s">
        <v>137</v>
      </c>
      <c r="M112" s="997" t="s">
        <v>138</v>
      </c>
      <c r="N112" s="997" t="s">
        <v>139</v>
      </c>
      <c r="O112" s="996"/>
    </row>
    <row r="113" spans="1:25" ht="15.5">
      <c r="A113" s="434"/>
      <c r="B113" s="483"/>
      <c r="C113" s="998" t="s">
        <v>868</v>
      </c>
      <c r="D113" s="998" t="s">
        <v>2685</v>
      </c>
      <c r="E113" s="485" t="str">
        <f>Preferences.AreaUnits</f>
        <v>km^2</v>
      </c>
      <c r="F113" s="2408">
        <f t="shared" ref="F113:N113" si="18">F63*Unit.m2</f>
        <v>0.13381209031318281</v>
      </c>
      <c r="G113" s="2408">
        <f t="shared" si="18"/>
        <v>0.17246850990151383</v>
      </c>
      <c r="H113" s="2408">
        <f t="shared" si="18"/>
        <v>0.18186124430257217</v>
      </c>
      <c r="I113" s="2408">
        <f t="shared" si="18"/>
        <v>0.19120054807283343</v>
      </c>
      <c r="J113" s="2408">
        <f t="shared" si="18"/>
        <v>0.20000552580370909</v>
      </c>
      <c r="K113" s="2408">
        <f t="shared" si="18"/>
        <v>0.20930766415949723</v>
      </c>
      <c r="L113" s="2408">
        <f t="shared" si="18"/>
        <v>0.2190930054839145</v>
      </c>
      <c r="M113" s="2408">
        <f t="shared" si="18"/>
        <v>0.22881871680332172</v>
      </c>
      <c r="N113" s="2408">
        <f t="shared" si="18"/>
        <v>0.23905106792861408</v>
      </c>
      <c r="O113" s="996"/>
      <c r="Q113" s="1068"/>
      <c r="R113" s="1068"/>
      <c r="S113" s="1068"/>
      <c r="T113" s="1068"/>
      <c r="U113" s="1068"/>
      <c r="V113" s="1068"/>
      <c r="W113" s="1068"/>
      <c r="X113" s="1068"/>
      <c r="Y113" s="1068"/>
    </row>
    <row r="114" spans="1:25" ht="15.5">
      <c r="A114" s="434"/>
      <c r="B114" s="483"/>
      <c r="C114" s="998" t="s">
        <v>748</v>
      </c>
      <c r="D114" s="485" t="s">
        <v>749</v>
      </c>
      <c r="E114" s="485" t="str">
        <f>Preferences.PowerUnits</f>
        <v>GW</v>
      </c>
      <c r="F114" s="2408">
        <f t="shared" ref="F114:N114" si="19">F73</f>
        <v>4.6834231609613986E-3</v>
      </c>
      <c r="G114" s="2408">
        <f t="shared" si="19"/>
        <v>6.0363978465529846E-3</v>
      </c>
      <c r="H114" s="2408">
        <f t="shared" si="19"/>
        <v>6.3651435505900278E-3</v>
      </c>
      <c r="I114" s="2408">
        <f t="shared" si="19"/>
        <v>6.6920191825491707E-3</v>
      </c>
      <c r="J114" s="2408">
        <f t="shared" si="19"/>
        <v>8.0002210321483639E-3</v>
      </c>
      <c r="K114" s="2408">
        <f t="shared" si="19"/>
        <v>8.3723065663798904E-3</v>
      </c>
      <c r="L114" s="2408">
        <f t="shared" si="19"/>
        <v>8.7637202193565824E-3</v>
      </c>
      <c r="M114" s="2408">
        <f t="shared" si="19"/>
        <v>9.1527486721328707E-3</v>
      </c>
      <c r="N114" s="2408">
        <f t="shared" si="19"/>
        <v>9.562042717144564E-3</v>
      </c>
      <c r="O114" s="996"/>
      <c r="Q114" s="1068"/>
      <c r="R114" s="1068"/>
      <c r="S114" s="1068"/>
      <c r="T114" s="1068"/>
      <c r="U114" s="1068"/>
      <c r="V114" s="1068"/>
      <c r="W114" s="1068"/>
      <c r="X114" s="1068"/>
      <c r="Y114" s="1068"/>
    </row>
    <row r="115" spans="1:25" ht="15.5">
      <c r="A115" s="434"/>
      <c r="B115" s="488"/>
      <c r="C115" s="1001"/>
      <c r="D115" s="1001"/>
      <c r="E115" s="1001"/>
      <c r="F115" s="1001"/>
      <c r="G115" s="1001"/>
      <c r="H115" s="1001"/>
      <c r="I115" s="1001"/>
      <c r="J115" s="1001"/>
      <c r="K115" s="1001"/>
      <c r="L115" s="1001"/>
      <c r="M115" s="1001"/>
      <c r="N115" s="1001"/>
      <c r="O115" s="1002"/>
      <c r="Q115" s="1068"/>
      <c r="R115" s="1068"/>
      <c r="S115" s="1068"/>
      <c r="T115" s="1068"/>
      <c r="U115" s="1068"/>
      <c r="V115" s="1068"/>
      <c r="W115" s="1068"/>
      <c r="X115" s="1068"/>
      <c r="Y115" s="1068"/>
    </row>
    <row r="116" spans="1:25" ht="15.5">
      <c r="A116" s="434"/>
      <c r="Q116" s="1068"/>
      <c r="R116" s="1068"/>
      <c r="S116" s="1068"/>
      <c r="T116" s="1068"/>
      <c r="U116" s="1068"/>
      <c r="V116" s="1068"/>
      <c r="W116" s="1068"/>
      <c r="X116" s="1068"/>
      <c r="Y116" s="1068"/>
    </row>
    <row r="117" spans="1:25" ht="15.5">
      <c r="A117" s="434"/>
      <c r="B117" s="986" t="s">
        <v>2720</v>
      </c>
      <c r="C117" s="988"/>
      <c r="D117" s="988"/>
      <c r="E117" s="988"/>
      <c r="F117" s="988"/>
      <c r="G117" s="988"/>
      <c r="H117" s="988"/>
      <c r="I117" s="988"/>
      <c r="J117" s="988"/>
      <c r="K117" s="988"/>
      <c r="L117" s="988"/>
      <c r="M117" s="988"/>
      <c r="N117" s="988"/>
      <c r="O117" s="989"/>
      <c r="Q117" s="1068"/>
      <c r="R117" s="1068"/>
      <c r="S117" s="1068"/>
      <c r="T117" s="1068"/>
      <c r="U117" s="1068"/>
      <c r="V117" s="1068"/>
      <c r="W117" s="1068"/>
      <c r="X117" s="1068"/>
      <c r="Y117" s="1068"/>
    </row>
    <row r="118" spans="1:25" hidden="1">
      <c r="B118" s="993"/>
      <c r="C118" s="994"/>
      <c r="D118" s="994"/>
      <c r="E118" s="994"/>
      <c r="F118" s="994"/>
      <c r="G118" s="994"/>
      <c r="H118" s="994"/>
      <c r="I118" s="994"/>
      <c r="J118" s="994"/>
      <c r="K118" s="994"/>
      <c r="L118" s="994"/>
      <c r="M118" s="994"/>
      <c r="N118" s="994"/>
      <c r="O118" s="996"/>
      <c r="Q118" s="1068"/>
      <c r="R118" s="1068"/>
      <c r="S118" s="1068"/>
      <c r="T118" s="1068"/>
      <c r="U118" s="1068"/>
      <c r="V118" s="1068"/>
      <c r="W118" s="1068"/>
      <c r="X118" s="1068"/>
      <c r="Y118" s="1068"/>
    </row>
    <row r="119" spans="1:25" hidden="1">
      <c r="B119" s="993"/>
      <c r="C119" s="491" t="s">
        <v>751</v>
      </c>
      <c r="D119" s="1003"/>
      <c r="E119" s="1003"/>
      <c r="F119" s="1003"/>
      <c r="G119" s="1003"/>
      <c r="H119" s="1003"/>
      <c r="I119" s="1003"/>
      <c r="J119" s="1003"/>
      <c r="K119" s="1003"/>
      <c r="L119" s="1003"/>
      <c r="M119" s="1003"/>
      <c r="N119" s="1004" t="s">
        <v>2736</v>
      </c>
      <c r="O119" s="996"/>
      <c r="Q119" s="1068"/>
      <c r="R119" s="1068"/>
      <c r="S119" s="647"/>
      <c r="T119" s="1068"/>
      <c r="U119" s="1068"/>
      <c r="V119" s="1068"/>
      <c r="W119" s="1068"/>
      <c r="X119" s="1068"/>
      <c r="Y119" s="1068"/>
    </row>
    <row r="120" spans="1:25" hidden="1">
      <c r="B120" s="993"/>
      <c r="C120" s="994"/>
      <c r="D120" s="994"/>
      <c r="E120" s="994"/>
      <c r="F120" s="994"/>
      <c r="G120" s="994"/>
      <c r="H120" s="994"/>
      <c r="I120" s="994"/>
      <c r="J120" s="994"/>
      <c r="K120" s="994"/>
      <c r="L120" s="994"/>
      <c r="M120" s="994"/>
      <c r="N120" s="994"/>
      <c r="O120" s="996"/>
      <c r="Q120" s="1068"/>
      <c r="R120" s="1068"/>
      <c r="S120" s="647"/>
      <c r="T120" s="1068"/>
      <c r="U120" s="1068"/>
      <c r="V120" s="1068"/>
      <c r="W120" s="1068"/>
      <c r="X120" s="1068"/>
      <c r="Y120" s="1068"/>
    </row>
    <row r="121" spans="1:25" ht="15.5" hidden="1">
      <c r="B121" s="483"/>
      <c r="C121" s="997" t="s">
        <v>28</v>
      </c>
      <c r="D121" s="997" t="s">
        <v>29</v>
      </c>
      <c r="E121" s="997" t="s">
        <v>30</v>
      </c>
      <c r="F121" s="997">
        <v>2013</v>
      </c>
      <c r="G121" s="997" t="s">
        <v>132</v>
      </c>
      <c r="H121" s="997" t="s">
        <v>133</v>
      </c>
      <c r="I121" s="997" t="s">
        <v>134</v>
      </c>
      <c r="J121" s="997" t="s">
        <v>135</v>
      </c>
      <c r="K121" s="997" t="s">
        <v>136</v>
      </c>
      <c r="L121" s="997" t="s">
        <v>137</v>
      </c>
      <c r="M121" s="997" t="s">
        <v>138</v>
      </c>
      <c r="N121" s="997" t="s">
        <v>139</v>
      </c>
      <c r="O121" s="1141"/>
      <c r="Q121" s="1068"/>
      <c r="R121" s="1068"/>
      <c r="S121" s="647"/>
      <c r="T121" s="1068"/>
      <c r="U121" s="1068"/>
      <c r="V121" s="1068"/>
      <c r="W121" s="1068"/>
      <c r="X121" s="1068"/>
      <c r="Y121" s="1068"/>
    </row>
    <row r="122" spans="1:25" ht="15.5" hidden="1">
      <c r="B122" s="483"/>
      <c r="C122" s="998" t="s">
        <v>325</v>
      </c>
      <c r="D122" s="485" t="s">
        <v>326</v>
      </c>
      <c r="E122" s="485"/>
      <c r="F122" s="3424">
        <v>0</v>
      </c>
      <c r="G122" s="3424">
        <v>0</v>
      </c>
      <c r="H122" s="3424">
        <v>0</v>
      </c>
      <c r="I122" s="3424">
        <v>0</v>
      </c>
      <c r="J122" s="3424">
        <v>0</v>
      </c>
      <c r="K122" s="3424">
        <v>0</v>
      </c>
      <c r="L122" s="3424">
        <v>0</v>
      </c>
      <c r="M122" s="3424">
        <v>0</v>
      </c>
      <c r="N122" s="3424">
        <v>0</v>
      </c>
      <c r="O122" s="1141"/>
      <c r="Q122" s="1068"/>
      <c r="R122" s="1068"/>
      <c r="S122" s="647"/>
      <c r="T122" s="1068"/>
      <c r="U122" s="1068"/>
      <c r="V122" s="1068"/>
      <c r="W122" s="1068"/>
      <c r="X122" s="1068"/>
      <c r="Y122" s="1068"/>
    </row>
    <row r="123" spans="1:25" ht="15.5" hidden="1">
      <c r="B123" s="483"/>
      <c r="C123" s="998" t="s">
        <v>332</v>
      </c>
      <c r="D123" s="485" t="s">
        <v>333</v>
      </c>
      <c r="E123" s="485"/>
      <c r="F123" s="3424">
        <v>0</v>
      </c>
      <c r="G123" s="3424">
        <v>0</v>
      </c>
      <c r="H123" s="3424">
        <v>0</v>
      </c>
      <c r="I123" s="3424">
        <v>0</v>
      </c>
      <c r="J123" s="3424">
        <v>0</v>
      </c>
      <c r="K123" s="3424">
        <v>0</v>
      </c>
      <c r="L123" s="3424">
        <v>0</v>
      </c>
      <c r="M123" s="3424">
        <v>0</v>
      </c>
      <c r="N123" s="3424">
        <v>0</v>
      </c>
      <c r="O123" s="1141"/>
      <c r="Q123" s="1068"/>
      <c r="R123" s="1068"/>
      <c r="S123" s="1068"/>
      <c r="T123" s="1068"/>
      <c r="U123" s="1068"/>
      <c r="V123" s="1068"/>
      <c r="W123" s="1068"/>
      <c r="X123" s="1068"/>
      <c r="Y123" s="1068"/>
    </row>
    <row r="124" spans="1:25" ht="15.5" hidden="1">
      <c r="B124" s="483"/>
      <c r="C124" s="998" t="s">
        <v>323</v>
      </c>
      <c r="D124" s="485" t="s">
        <v>324</v>
      </c>
      <c r="E124" s="485"/>
      <c r="F124" s="3424">
        <v>0</v>
      </c>
      <c r="G124" s="3424">
        <v>0</v>
      </c>
      <c r="H124" s="3424">
        <v>0</v>
      </c>
      <c r="I124" s="3424">
        <v>0</v>
      </c>
      <c r="J124" s="3424">
        <v>0</v>
      </c>
      <c r="K124" s="3424">
        <v>0</v>
      </c>
      <c r="L124" s="3424">
        <v>0</v>
      </c>
      <c r="M124" s="3424">
        <v>0</v>
      </c>
      <c r="N124" s="3424">
        <v>0</v>
      </c>
      <c r="O124" s="1141"/>
      <c r="Q124" s="1068"/>
      <c r="R124" s="1068"/>
      <c r="S124" s="1068"/>
      <c r="T124" s="1068"/>
      <c r="U124" s="1068"/>
      <c r="V124" s="1068"/>
      <c r="W124" s="1068"/>
      <c r="X124" s="1068"/>
      <c r="Y124" s="1068"/>
    </row>
    <row r="125" spans="1:25" ht="15.5" hidden="1">
      <c r="B125" s="483"/>
      <c r="C125" s="998" t="s">
        <v>330</v>
      </c>
      <c r="D125" s="485" t="s">
        <v>331</v>
      </c>
      <c r="E125" s="485"/>
      <c r="F125" s="3424">
        <v>0</v>
      </c>
      <c r="G125" s="3424">
        <v>0</v>
      </c>
      <c r="H125" s="3424">
        <v>0</v>
      </c>
      <c r="I125" s="3424">
        <v>0</v>
      </c>
      <c r="J125" s="3424">
        <v>0</v>
      </c>
      <c r="K125" s="3424">
        <v>0</v>
      </c>
      <c r="L125" s="3424">
        <v>0</v>
      </c>
      <c r="M125" s="3424">
        <v>0</v>
      </c>
      <c r="N125" s="3424">
        <v>0</v>
      </c>
      <c r="O125" s="1141"/>
      <c r="Q125" s="1068"/>
      <c r="R125" s="1068"/>
      <c r="S125" s="1068"/>
      <c r="T125" s="1068"/>
      <c r="U125" s="1068"/>
      <c r="V125" s="1068"/>
      <c r="W125" s="1068"/>
      <c r="X125" s="1068"/>
      <c r="Y125" s="1068"/>
    </row>
    <row r="126" spans="1:25" hidden="1">
      <c r="B126" s="494"/>
      <c r="C126" s="998" t="s">
        <v>321</v>
      </c>
      <c r="D126" s="485" t="s">
        <v>322</v>
      </c>
      <c r="E126" s="485"/>
      <c r="F126" s="3424">
        <v>0</v>
      </c>
      <c r="G126" s="3424">
        <v>0</v>
      </c>
      <c r="H126" s="3424">
        <v>0</v>
      </c>
      <c r="I126" s="3424">
        <v>0</v>
      </c>
      <c r="J126" s="3424">
        <v>0</v>
      </c>
      <c r="K126" s="3424">
        <v>0</v>
      </c>
      <c r="L126" s="3424">
        <v>0</v>
      </c>
      <c r="M126" s="3424">
        <v>0</v>
      </c>
      <c r="N126" s="3424">
        <v>0</v>
      </c>
      <c r="O126" s="1142"/>
      <c r="Q126" s="1068"/>
      <c r="R126" s="1068"/>
      <c r="S126" s="1068"/>
      <c r="T126" s="1068"/>
      <c r="U126" s="1068"/>
      <c r="V126" s="1068"/>
      <c r="W126" s="1068"/>
      <c r="X126" s="1068"/>
      <c r="Y126" s="1068"/>
    </row>
    <row r="127" spans="1:25" hidden="1">
      <c r="B127" s="494"/>
      <c r="C127" s="998" t="s">
        <v>328</v>
      </c>
      <c r="D127" s="485" t="s">
        <v>329</v>
      </c>
      <c r="E127" s="485"/>
      <c r="F127" s="3424">
        <v>0</v>
      </c>
      <c r="G127" s="3424">
        <v>0</v>
      </c>
      <c r="H127" s="3424">
        <v>0</v>
      </c>
      <c r="I127" s="3424">
        <v>0</v>
      </c>
      <c r="J127" s="3424">
        <v>0</v>
      </c>
      <c r="K127" s="3424">
        <v>0</v>
      </c>
      <c r="L127" s="3424">
        <v>0</v>
      </c>
      <c r="M127" s="3424">
        <v>0</v>
      </c>
      <c r="N127" s="3424">
        <v>0</v>
      </c>
      <c r="O127" s="1142"/>
      <c r="Q127" s="1068"/>
      <c r="R127" s="1068"/>
      <c r="S127" s="1068"/>
      <c r="T127" s="1068"/>
      <c r="U127" s="1068"/>
      <c r="V127" s="1068"/>
      <c r="W127" s="1068"/>
      <c r="X127" s="1068"/>
      <c r="Y127" s="1068"/>
    </row>
    <row r="128" spans="1:25" hidden="1">
      <c r="B128" s="1005"/>
      <c r="C128" s="1001"/>
      <c r="D128" s="1001"/>
      <c r="E128" s="1001"/>
      <c r="F128" s="1001"/>
      <c r="G128" s="1001"/>
      <c r="H128" s="1001"/>
      <c r="I128" s="1001"/>
      <c r="J128" s="1001"/>
      <c r="K128" s="1001"/>
      <c r="L128" s="1001"/>
      <c r="M128" s="1001"/>
      <c r="N128" s="1001"/>
      <c r="O128" s="1006"/>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9"/>
  </sheetPr>
  <dimension ref="A1:DI132"/>
  <sheetViews>
    <sheetView showGridLines="0" zoomScale="80" zoomScaleNormal="80" workbookViewId="0">
      <selection activeCell="E8" sqref="E8"/>
    </sheetView>
  </sheetViews>
  <sheetFormatPr defaultColWidth="8.81640625" defaultRowHeight="14.5"/>
  <cols>
    <col min="1" max="1" width="7.7265625" style="2473" customWidth="1"/>
    <col min="2" max="2" width="5.81640625" style="2473" customWidth="1"/>
    <col min="3" max="3" width="20.453125" style="2473" customWidth="1"/>
    <col min="4" max="4" width="30.7265625" style="2473" customWidth="1"/>
    <col min="5" max="5" width="20.7265625" style="2473" customWidth="1"/>
    <col min="6" max="14" width="17.7265625" style="2473" customWidth="1"/>
    <col min="15" max="15" width="2" style="2473" customWidth="1"/>
    <col min="16" max="16" width="10.81640625" style="2473" customWidth="1"/>
    <col min="17" max="17" width="8.81640625" style="2473"/>
    <col min="18" max="18" width="12" style="2473" bestFit="1" customWidth="1"/>
    <col min="19" max="19" width="10.81640625" style="2473" bestFit="1" customWidth="1"/>
    <col min="20" max="16384" width="8.81640625" style="2473"/>
  </cols>
  <sheetData>
    <row r="1" spans="1:15" ht="20">
      <c r="A1" s="854" t="s">
        <v>529</v>
      </c>
      <c r="B1" s="854" t="s">
        <v>530</v>
      </c>
      <c r="C1" s="854"/>
      <c r="G1" s="3558"/>
    </row>
    <row r="2" spans="1:15" s="6" customFormat="1" ht="15">
      <c r="A2" s="855" t="s">
        <v>527</v>
      </c>
      <c r="B2" s="855" t="s">
        <v>528</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IV.c.Scenario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1875</v>
      </c>
      <c r="D13" s="67"/>
      <c r="E13" s="51"/>
      <c r="F13" s="67"/>
      <c r="G13" s="67"/>
      <c r="H13" s="67"/>
      <c r="I13" s="67"/>
      <c r="J13" s="67"/>
      <c r="K13" s="67"/>
      <c r="L13" s="67"/>
      <c r="M13" s="67"/>
      <c r="N13" s="51" t="str">
        <f>Preferences.PowerUnits</f>
        <v>GW</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1265">
        <v>2015</v>
      </c>
      <c r="H15" s="87">
        <v>2020</v>
      </c>
      <c r="I15" s="87">
        <v>2025</v>
      </c>
      <c r="J15" s="87">
        <v>2030</v>
      </c>
      <c r="K15" s="87">
        <v>2035</v>
      </c>
      <c r="L15" s="87">
        <v>2040</v>
      </c>
      <c r="M15" s="87">
        <v>2045</v>
      </c>
      <c r="N15" s="87">
        <v>2050</v>
      </c>
      <c r="O15" s="876"/>
    </row>
    <row r="16" spans="1:15" ht="15.5">
      <c r="B16" s="966"/>
      <c r="C16" s="65">
        <v>1</v>
      </c>
      <c r="D16" s="103"/>
      <c r="E16" s="881"/>
      <c r="F16" s="59">
        <v>0</v>
      </c>
      <c r="G16" s="2532">
        <v>0</v>
      </c>
      <c r="H16" s="1481">
        <v>0</v>
      </c>
      <c r="I16" s="1481">
        <v>0</v>
      </c>
      <c r="J16" s="1481">
        <v>0</v>
      </c>
      <c r="K16" s="1481">
        <v>0</v>
      </c>
      <c r="L16" s="1481">
        <v>0</v>
      </c>
      <c r="M16" s="1481">
        <v>0</v>
      </c>
      <c r="N16" s="1481">
        <v>0</v>
      </c>
      <c r="O16" s="884"/>
    </row>
    <row r="17" spans="1:15" ht="15.5">
      <c r="B17" s="55"/>
      <c r="C17" s="65">
        <v>2</v>
      </c>
      <c r="D17" s="103"/>
      <c r="E17" s="103"/>
      <c r="F17" s="59">
        <v>0</v>
      </c>
      <c r="G17" s="2532">
        <v>0</v>
      </c>
      <c r="H17" s="1480">
        <f>(Unit.GW)*0.05</f>
        <v>0.05</v>
      </c>
      <c r="I17" s="1480">
        <f>(Unit.GW)*0.05</f>
        <v>0.05</v>
      </c>
      <c r="J17" s="1480">
        <f>(Unit.GW)*0.05</f>
        <v>0.05</v>
      </c>
      <c r="K17" s="1480">
        <f>(Unit.GW)*0.105</f>
        <v>0.105</v>
      </c>
      <c r="L17" s="1480">
        <f>(Unit.GW)*0.1</f>
        <v>0.1</v>
      </c>
      <c r="M17" s="1480">
        <f>(Unit.GW)*0.1</f>
        <v>0.1</v>
      </c>
      <c r="N17" s="1480">
        <f>(Unit.GW)*0.1</f>
        <v>0.1</v>
      </c>
      <c r="O17" s="876"/>
    </row>
    <row r="18" spans="1:15" ht="15.5">
      <c r="B18" s="55"/>
      <c r="C18" s="65">
        <v>3</v>
      </c>
      <c r="D18" s="103"/>
      <c r="E18" s="103"/>
      <c r="F18" s="59">
        <v>0</v>
      </c>
      <c r="G18" s="2532">
        <v>0</v>
      </c>
      <c r="H18" s="1480">
        <f>(Unit.GW)*0.1</f>
        <v>0.1</v>
      </c>
      <c r="I18" s="1480">
        <f>(Unit.GW)*0.1</f>
        <v>0.1</v>
      </c>
      <c r="J18" s="1480">
        <f>(Unit.GW)*0.1</f>
        <v>0.1</v>
      </c>
      <c r="K18" s="1480">
        <f>(Unit.GW)*0.2</f>
        <v>0.2</v>
      </c>
      <c r="L18" s="1480">
        <f>(Unit.GW)*0.2</f>
        <v>0.2</v>
      </c>
      <c r="M18" s="1480">
        <f>(Unit.GW)*0.3</f>
        <v>0.3</v>
      </c>
      <c r="N18" s="1480">
        <f>(Unit.GW)*0.3</f>
        <v>0.3</v>
      </c>
      <c r="O18" s="876"/>
    </row>
    <row r="19" spans="1:15" ht="15.5">
      <c r="B19" s="55"/>
      <c r="C19" s="887">
        <v>4</v>
      </c>
      <c r="D19" s="888"/>
      <c r="E19" s="888"/>
      <c r="F19" s="1178">
        <v>0</v>
      </c>
      <c r="G19" s="2532">
        <v>0</v>
      </c>
      <c r="H19" s="1480">
        <f>(Unit.GW)*0.1</f>
        <v>0.1</v>
      </c>
      <c r="I19" s="1480">
        <f>(Unit.GW)*0.183333333333333</f>
        <v>0.18333333333333299</v>
      </c>
      <c r="J19" s="1480">
        <f>(Unit.GW)*0.266666666666667</f>
        <v>0.266666666666667</v>
      </c>
      <c r="K19" s="1480">
        <f>(Unit.GW)*0.35</f>
        <v>0.35</v>
      </c>
      <c r="L19" s="1480">
        <f>(Unit.GW)*0.433333333333333</f>
        <v>0.43333333333333302</v>
      </c>
      <c r="M19" s="1480">
        <f>(Unit.GW)*0.516666666666667</f>
        <v>0.51666666666666705</v>
      </c>
      <c r="N19" s="1480">
        <f>(Unit.GW)*0.6</f>
        <v>0.6</v>
      </c>
      <c r="O19" s="876"/>
    </row>
    <row r="20" spans="1:15" ht="15.5">
      <c r="B20" s="55"/>
      <c r="C20" s="1015" t="s">
        <v>37</v>
      </c>
      <c r="D20" s="892"/>
      <c r="E20" s="892"/>
      <c r="F20" s="893">
        <f>(INDEX(F$16:F$19,ROUNDDOWN($E$8,0))*(1-MOD($E$8,1)))+(INDEX(F$16:F$19,ROUNDUP($E$8,0))*MOD($E$8,1))</f>
        <v>0</v>
      </c>
      <c r="G20" s="2462">
        <f t="shared" ref="G20:N20" si="0">(INDEX(G$16:G$19,ROUNDDOWN($E$8,0))*(1-MOD($E$8,1)))+(INDEX(G$16:G$19,ROUNDUP($E$8,0))*MOD($E$8,1))</f>
        <v>0</v>
      </c>
      <c r="H20" s="893">
        <f t="shared" si="0"/>
        <v>0</v>
      </c>
      <c r="I20" s="893">
        <f t="shared" si="0"/>
        <v>0</v>
      </c>
      <c r="J20" s="893">
        <f t="shared" si="0"/>
        <v>0</v>
      </c>
      <c r="K20" s="893">
        <f t="shared" si="0"/>
        <v>0</v>
      </c>
      <c r="L20" s="893">
        <f t="shared" si="0"/>
        <v>0</v>
      </c>
      <c r="M20" s="893">
        <f t="shared" si="0"/>
        <v>0</v>
      </c>
      <c r="N20" s="893">
        <f t="shared" si="0"/>
        <v>0</v>
      </c>
      <c r="O20" s="876"/>
    </row>
    <row r="21" spans="1:15">
      <c r="B21" s="45"/>
      <c r="C21" s="67"/>
      <c r="D21" s="195"/>
      <c r="E21" s="67"/>
      <c r="F21" s="67"/>
      <c r="G21" s="67"/>
      <c r="H21" s="67"/>
      <c r="I21" s="67"/>
      <c r="J21" s="67"/>
      <c r="K21" s="67"/>
      <c r="L21" s="67"/>
      <c r="M21" s="67"/>
      <c r="N21" s="67"/>
      <c r="O21" s="876"/>
    </row>
    <row r="22" spans="1:15">
      <c r="B22" s="46"/>
      <c r="C22" s="3826" t="s">
        <v>63</v>
      </c>
      <c r="D22" s="195"/>
      <c r="E22" s="67"/>
      <c r="F22" s="67"/>
      <c r="G22" s="67"/>
      <c r="H22" s="67"/>
      <c r="I22" s="67"/>
      <c r="J22" s="67"/>
      <c r="K22" s="67"/>
      <c r="L22" s="67"/>
      <c r="M22" s="67"/>
      <c r="N22" s="67"/>
      <c r="O22" s="67"/>
    </row>
    <row r="23" spans="1:15">
      <c r="B23" s="46"/>
      <c r="C23" s="3827" t="s">
        <v>64</v>
      </c>
      <c r="D23" s="3830" t="s">
        <v>3009</v>
      </c>
      <c r="E23" s="67"/>
      <c r="F23" s="67"/>
      <c r="G23" s="67"/>
      <c r="H23" s="67"/>
      <c r="I23" s="67"/>
      <c r="J23" s="67" t="s">
        <v>5</v>
      </c>
      <c r="K23" s="67"/>
      <c r="L23" s="67"/>
      <c r="M23" s="67"/>
      <c r="N23" s="67"/>
      <c r="O23" s="67"/>
    </row>
    <row r="24" spans="1:15">
      <c r="B24" s="46"/>
      <c r="C24" s="67"/>
      <c r="D24" s="195"/>
      <c r="E24" s="67"/>
      <c r="F24" s="67"/>
      <c r="G24" s="67" t="s">
        <v>5</v>
      </c>
      <c r="H24" s="67"/>
      <c r="I24" s="67"/>
      <c r="J24" s="67"/>
      <c r="K24" s="67"/>
      <c r="L24" s="67"/>
      <c r="M24" s="67"/>
      <c r="N24" s="67"/>
      <c r="O24" s="67"/>
    </row>
    <row r="26" spans="1:15" s="6" customFormat="1" ht="23.5">
      <c r="A26" s="40"/>
      <c r="B26" s="869" t="s">
        <v>69</v>
      </c>
      <c r="C26" s="870"/>
      <c r="D26" s="870"/>
      <c r="E26" s="870"/>
      <c r="F26" s="870"/>
      <c r="G26" s="870"/>
      <c r="H26" s="870"/>
      <c r="I26" s="870"/>
      <c r="J26" s="870"/>
      <c r="K26" s="870"/>
      <c r="L26" s="870"/>
      <c r="M26" s="870"/>
      <c r="N26" s="870"/>
      <c r="O26" s="871"/>
    </row>
    <row r="27" spans="1:15">
      <c r="B27" s="105"/>
      <c r="C27" s="67"/>
      <c r="D27" s="67"/>
      <c r="E27" s="67"/>
      <c r="F27" s="67"/>
      <c r="G27" s="67"/>
      <c r="H27" s="67"/>
      <c r="I27" s="67"/>
      <c r="J27" s="67"/>
      <c r="K27" s="67"/>
      <c r="L27" s="67"/>
      <c r="M27" s="67"/>
      <c r="N27" s="67"/>
      <c r="O27" s="876"/>
    </row>
    <row r="28" spans="1:15">
      <c r="B28" s="105"/>
      <c r="C28" s="49" t="s">
        <v>839</v>
      </c>
      <c r="D28" s="67"/>
      <c r="E28" s="67"/>
      <c r="F28" s="67"/>
      <c r="G28" s="51"/>
      <c r="H28" s="67"/>
      <c r="I28" s="67"/>
      <c r="J28" s="67"/>
      <c r="K28" s="67"/>
      <c r="L28" s="67"/>
      <c r="M28" s="67"/>
      <c r="N28" s="67"/>
      <c r="O28" s="876"/>
    </row>
    <row r="29" spans="1:15">
      <c r="B29" s="105"/>
      <c r="C29" s="67"/>
      <c r="D29" s="67"/>
      <c r="E29" s="67"/>
      <c r="F29" s="67"/>
      <c r="G29" s="67"/>
      <c r="H29" s="67"/>
      <c r="I29" s="67"/>
      <c r="J29" s="67"/>
      <c r="K29" s="67"/>
      <c r="L29" s="67"/>
      <c r="M29" s="67"/>
      <c r="N29" s="67"/>
      <c r="O29" s="876"/>
    </row>
    <row r="30" spans="1:15" ht="15.5">
      <c r="B30" s="55"/>
      <c r="C30" s="878" t="s">
        <v>131</v>
      </c>
      <c r="D30" s="878" t="s">
        <v>712</v>
      </c>
      <c r="E30" s="878" t="s">
        <v>30</v>
      </c>
      <c r="F30" s="87">
        <v>2013</v>
      </c>
      <c r="G30" s="1265">
        <v>2015</v>
      </c>
      <c r="H30" s="87">
        <v>2020</v>
      </c>
      <c r="I30" s="87">
        <v>2025</v>
      </c>
      <c r="J30" s="87">
        <v>2030</v>
      </c>
      <c r="K30" s="87">
        <v>2035</v>
      </c>
      <c r="L30" s="87">
        <v>2040</v>
      </c>
      <c r="M30" s="87">
        <v>2045</v>
      </c>
      <c r="N30" s="87">
        <v>2050</v>
      </c>
      <c r="O30" s="876"/>
    </row>
    <row r="31" spans="1:15" ht="15.5">
      <c r="B31" s="55"/>
      <c r="C31" s="907" t="s">
        <v>438</v>
      </c>
      <c r="D31" s="908" t="s">
        <v>388</v>
      </c>
      <c r="E31" s="908" t="s">
        <v>64</v>
      </c>
      <c r="F31" s="2463">
        <v>0.24</v>
      </c>
      <c r="G31" s="2533">
        <v>0.24</v>
      </c>
      <c r="H31" s="910">
        <v>0.24</v>
      </c>
      <c r="I31" s="910">
        <v>0.24</v>
      </c>
      <c r="J31" s="910">
        <v>0.24</v>
      </c>
      <c r="K31" s="910">
        <v>0.24</v>
      </c>
      <c r="L31" s="910">
        <v>0.24</v>
      </c>
      <c r="M31" s="910">
        <v>0.24</v>
      </c>
      <c r="N31" s="910">
        <v>0.24</v>
      </c>
      <c r="O31" s="876"/>
    </row>
    <row r="32" spans="1:15" ht="15.5">
      <c r="B32" s="55"/>
      <c r="C32" s="65"/>
      <c r="D32" s="103"/>
      <c r="E32" s="103"/>
      <c r="F32" s="89"/>
      <c r="G32" s="88"/>
      <c r="H32" s="88"/>
      <c r="I32" s="88"/>
      <c r="J32" s="88"/>
      <c r="K32" s="88"/>
      <c r="L32" s="88"/>
      <c r="M32" s="88"/>
      <c r="N32" s="88"/>
      <c r="O32" s="876"/>
    </row>
    <row r="33" spans="1:113" ht="15.5">
      <c r="B33" s="55"/>
      <c r="C33" s="49" t="s">
        <v>716</v>
      </c>
      <c r="D33" s="67"/>
      <c r="E33" s="67"/>
      <c r="F33" s="67"/>
      <c r="G33" s="51"/>
      <c r="H33" s="67"/>
      <c r="I33" s="67"/>
      <c r="J33" s="67"/>
      <c r="K33" s="67"/>
      <c r="L33" s="67"/>
      <c r="M33" s="67"/>
      <c r="N33" s="67"/>
      <c r="O33" s="876"/>
    </row>
    <row r="34" spans="1:113" ht="6.75" customHeight="1">
      <c r="B34" s="55"/>
      <c r="C34" s="67"/>
      <c r="D34" s="67"/>
      <c r="E34" s="67"/>
      <c r="F34" s="67"/>
      <c r="G34" s="67"/>
      <c r="H34" s="67"/>
      <c r="I34" s="67"/>
      <c r="J34" s="67"/>
      <c r="K34" s="67"/>
      <c r="L34" s="67"/>
      <c r="M34" s="67"/>
      <c r="N34" s="67"/>
      <c r="O34" s="876"/>
    </row>
    <row r="35" spans="1:113" ht="15.5">
      <c r="B35" s="55"/>
      <c r="C35" s="878"/>
      <c r="D35" s="878"/>
      <c r="E35" s="878"/>
      <c r="F35" s="87"/>
      <c r="G35" s="1152" t="s">
        <v>876</v>
      </c>
      <c r="H35" s="67"/>
      <c r="I35" s="911"/>
      <c r="J35" s="911"/>
      <c r="K35" s="911"/>
      <c r="L35" s="911"/>
      <c r="M35" s="911"/>
      <c r="N35" s="911"/>
      <c r="O35" s="876"/>
    </row>
    <row r="36" spans="1:113" ht="15.5">
      <c r="B36" s="55"/>
      <c r="C36" s="914"/>
      <c r="D36" s="915" t="s">
        <v>840</v>
      </c>
      <c r="E36" s="914"/>
      <c r="F36" s="1153">
        <v>5.0000000000000004E-6</v>
      </c>
      <c r="G36" s="1213" t="str">
        <f>Preferences.PowerUnits&amp;"peak"</f>
        <v>GWpeak</v>
      </c>
      <c r="H36" s="67"/>
      <c r="I36" s="911"/>
      <c r="J36" s="911"/>
      <c r="K36" s="911"/>
      <c r="L36" s="911"/>
      <c r="M36" s="911"/>
      <c r="N36" s="911"/>
      <c r="O36" s="876"/>
    </row>
    <row r="37" spans="1:113" ht="15.5">
      <c r="B37" s="55"/>
      <c r="C37" s="917"/>
      <c r="D37" s="194" t="s">
        <v>841</v>
      </c>
      <c r="E37" s="194"/>
      <c r="F37" s="343">
        <f>(0.5/24%)*Unit.W/Unit.m2</f>
        <v>2.0833333333333337E-3</v>
      </c>
      <c r="G37" s="1156" t="str">
        <f>Preferences.PowerUnits&amp;"peak/"&amp;Preferences.AreaUnits</f>
        <v>GWpeak/km^2</v>
      </c>
      <c r="H37" s="67"/>
      <c r="I37" s="59"/>
      <c r="J37" s="59"/>
      <c r="K37" s="1153"/>
      <c r="L37" s="59"/>
      <c r="M37" s="59"/>
      <c r="N37" s="59"/>
      <c r="O37" s="876"/>
    </row>
    <row r="38" spans="1:113">
      <c r="B38" s="105"/>
      <c r="C38" s="67"/>
      <c r="D38" s="67"/>
      <c r="E38" s="67"/>
      <c r="F38" s="67"/>
      <c r="G38" s="67"/>
      <c r="H38" s="67"/>
      <c r="I38" s="67"/>
      <c r="J38" s="67"/>
      <c r="K38" s="67"/>
      <c r="L38" s="67"/>
      <c r="M38" s="67"/>
      <c r="N38" s="67"/>
      <c r="O38" s="876"/>
    </row>
    <row r="39" spans="1:113">
      <c r="B39" s="105"/>
      <c r="C39" s="3826" t="s">
        <v>63</v>
      </c>
      <c r="D39" s="67"/>
      <c r="E39" s="67"/>
      <c r="F39" s="67"/>
      <c r="G39" s="67"/>
      <c r="H39" s="67"/>
      <c r="I39" s="67"/>
      <c r="J39" s="67"/>
      <c r="K39" s="67"/>
      <c r="L39" s="67"/>
      <c r="M39" s="67"/>
      <c r="N39" s="67"/>
      <c r="O39" s="876"/>
    </row>
    <row r="40" spans="1:113" s="918" customFormat="1" ht="13">
      <c r="B40" s="1160"/>
      <c r="C40" s="920" t="s">
        <v>64</v>
      </c>
      <c r="D40" s="921" t="s">
        <v>842</v>
      </c>
      <c r="E40" s="922"/>
      <c r="F40" s="922"/>
      <c r="G40" s="922"/>
      <c r="H40" s="922"/>
      <c r="I40" s="922"/>
      <c r="J40" s="922"/>
      <c r="K40" s="922"/>
      <c r="L40" s="922"/>
      <c r="M40" s="922"/>
      <c r="N40" s="922"/>
      <c r="O40" s="923"/>
    </row>
    <row r="41" spans="1:113">
      <c r="B41" s="45"/>
      <c r="C41" s="67"/>
      <c r="D41" s="195"/>
      <c r="E41" s="67"/>
      <c r="F41" s="67"/>
      <c r="G41" s="67"/>
      <c r="H41" s="67"/>
      <c r="I41" s="67"/>
      <c r="J41" s="67"/>
      <c r="K41" s="67"/>
      <c r="L41" s="67"/>
      <c r="M41" s="67"/>
      <c r="N41" s="67"/>
      <c r="O41" s="876"/>
    </row>
    <row r="42" spans="1:113">
      <c r="B42" s="81"/>
      <c r="C42" s="1068"/>
      <c r="D42" s="1420"/>
      <c r="E42" s="1068"/>
      <c r="F42" s="1068"/>
      <c r="G42" s="1068"/>
      <c r="H42" s="1068"/>
      <c r="I42" s="1068"/>
      <c r="J42" s="1068"/>
      <c r="K42" s="1068"/>
      <c r="L42" s="1068"/>
      <c r="M42" s="1068"/>
      <c r="N42" s="1068"/>
      <c r="O42" s="1068"/>
    </row>
    <row r="43" spans="1:113" ht="15">
      <c r="B43" s="869" t="s">
        <v>2719</v>
      </c>
      <c r="C43" s="870"/>
      <c r="D43" s="870"/>
      <c r="E43" s="870"/>
      <c r="F43" s="870"/>
      <c r="G43" s="870"/>
      <c r="H43" s="870"/>
      <c r="I43" s="870"/>
      <c r="J43" s="870"/>
      <c r="K43" s="870"/>
      <c r="L43" s="870"/>
      <c r="M43" s="870"/>
      <c r="N43" s="870"/>
      <c r="O43" s="870"/>
      <c r="P43" s="2500"/>
      <c r="Q43" s="647"/>
      <c r="R43" s="647"/>
      <c r="S43" s="647"/>
      <c r="T43" s="647"/>
      <c r="U43" s="647"/>
      <c r="V43" s="647"/>
      <c r="W43" s="647"/>
      <c r="X43" s="647"/>
      <c r="Y43" s="647"/>
      <c r="Z43" s="647"/>
      <c r="AA43" s="647"/>
      <c r="AB43" s="647"/>
      <c r="AC43" s="647"/>
      <c r="AD43" s="647"/>
      <c r="AE43" s="1068"/>
    </row>
    <row r="44" spans="1:113" ht="5.25" hidden="1" customHeight="1">
      <c r="B44" s="872"/>
      <c r="C44" s="873"/>
      <c r="D44" s="873"/>
      <c r="E44" s="873"/>
      <c r="F44" s="873"/>
      <c r="G44" s="873"/>
      <c r="H44" s="873"/>
      <c r="I44" s="873"/>
      <c r="J44" s="873"/>
      <c r="K44" s="873"/>
      <c r="L44" s="873"/>
      <c r="M44" s="873"/>
      <c r="N44" s="873"/>
      <c r="O44" s="873"/>
      <c r="P44" s="1068"/>
      <c r="Q44" s="1068"/>
      <c r="R44" s="1068"/>
      <c r="S44" s="1068"/>
      <c r="T44" s="1068"/>
      <c r="U44" s="1068"/>
      <c r="V44" s="1068"/>
      <c r="W44" s="1068"/>
      <c r="X44" s="1068"/>
      <c r="Y44" s="1068"/>
      <c r="Z44" s="1068"/>
      <c r="AA44" s="1068"/>
      <c r="AB44" s="1068"/>
      <c r="AC44" s="1068"/>
      <c r="AD44" s="1068"/>
      <c r="AE44" s="1068"/>
    </row>
    <row r="45" spans="1:113" hidden="1">
      <c r="B45" s="105"/>
      <c r="C45" s="49" t="s">
        <v>1876</v>
      </c>
      <c r="D45" s="915"/>
      <c r="E45" s="932"/>
      <c r="F45" s="933"/>
      <c r="G45" s="933"/>
      <c r="H45" s="934"/>
      <c r="I45" s="934"/>
      <c r="J45" s="934"/>
      <c r="K45" s="934"/>
      <c r="L45" s="934"/>
      <c r="M45" s="934"/>
      <c r="N45" s="935" t="s">
        <v>2743</v>
      </c>
      <c r="O45" s="67"/>
      <c r="P45" s="81"/>
      <c r="Q45" s="81"/>
      <c r="R45" s="81"/>
      <c r="S45" s="81"/>
      <c r="T45" s="81"/>
      <c r="U45" s="81"/>
      <c r="V45" s="81"/>
      <c r="W45" s="81"/>
      <c r="X45" s="81"/>
      <c r="Y45" s="81"/>
      <c r="Z45" s="81"/>
      <c r="AA45" s="81"/>
      <c r="AB45" s="81"/>
      <c r="AC45" s="81"/>
      <c r="AD45" s="81"/>
      <c r="AE45" s="1068"/>
    </row>
    <row r="46" spans="1:113" s="6" customFormat="1" ht="5.25" hidden="1" customHeight="1">
      <c r="A46" s="2473"/>
      <c r="B46" s="105"/>
      <c r="C46" s="937"/>
      <c r="D46" s="915"/>
      <c r="E46" s="932"/>
      <c r="F46" s="936"/>
      <c r="G46" s="936"/>
      <c r="H46" s="934"/>
      <c r="I46" s="934"/>
      <c r="J46" s="934"/>
      <c r="K46" s="934"/>
      <c r="L46" s="934"/>
      <c r="M46" s="934"/>
      <c r="N46" s="67"/>
      <c r="O46" s="67"/>
      <c r="P46" s="2534"/>
      <c r="Q46" s="1079"/>
      <c r="R46" s="2501"/>
      <c r="S46" s="2501"/>
      <c r="T46" s="2501"/>
      <c r="U46" s="2501"/>
      <c r="V46" s="2501"/>
      <c r="W46" s="2501"/>
      <c r="X46" s="2501"/>
      <c r="Y46" s="2501"/>
      <c r="Z46" s="2501"/>
      <c r="AA46" s="2501"/>
      <c r="AB46" s="2501"/>
      <c r="AC46" s="2501"/>
      <c r="AD46" s="2501"/>
      <c r="AE46" s="647"/>
      <c r="AF46" s="2473"/>
      <c r="AG46" s="2473"/>
      <c r="AH46" s="2473"/>
      <c r="AI46" s="2473"/>
      <c r="AJ46" s="2473"/>
      <c r="AK46" s="2473"/>
      <c r="AL46" s="2473"/>
      <c r="AM46" s="2473"/>
      <c r="AN46" s="2473"/>
      <c r="AO46" s="2473"/>
      <c r="AP46" s="2473"/>
      <c r="AQ46" s="2473"/>
      <c r="AR46" s="2473"/>
      <c r="AS46" s="2473"/>
      <c r="AT46" s="2473"/>
      <c r="AU46" s="2473"/>
      <c r="AV46" s="2473"/>
      <c r="AW46" s="2473"/>
      <c r="AX46" s="2473"/>
      <c r="AY46" s="2473"/>
      <c r="AZ46" s="2473"/>
      <c r="BA46" s="2473"/>
      <c r="BB46" s="2473"/>
      <c r="BC46" s="2473"/>
      <c r="BD46" s="2473"/>
      <c r="BE46" s="2473"/>
      <c r="BF46" s="2473"/>
      <c r="BG46" s="2473"/>
      <c r="BH46" s="2473"/>
      <c r="BI46" s="2473"/>
      <c r="BJ46" s="2473"/>
      <c r="BK46" s="2473"/>
      <c r="BL46" s="2473"/>
      <c r="BM46" s="2473"/>
      <c r="BN46" s="2473"/>
      <c r="BO46" s="2473"/>
      <c r="BP46" s="2473"/>
      <c r="BQ46" s="2473"/>
      <c r="BR46" s="2473"/>
      <c r="BS46" s="2473"/>
      <c r="BT46" s="2473"/>
      <c r="BU46" s="2473"/>
      <c r="BV46" s="2473"/>
      <c r="BW46" s="2473"/>
      <c r="BX46" s="2473"/>
      <c r="BY46" s="2473"/>
      <c r="BZ46" s="2473"/>
      <c r="CA46" s="2473"/>
      <c r="CB46" s="2473"/>
      <c r="CC46" s="2473"/>
      <c r="CD46" s="2473"/>
      <c r="CE46" s="2473"/>
      <c r="CF46" s="2473"/>
      <c r="CG46" s="2473"/>
      <c r="CH46" s="2473"/>
      <c r="CI46" s="2473"/>
      <c r="CJ46" s="2473"/>
      <c r="CK46" s="2473"/>
      <c r="CL46" s="2473"/>
      <c r="CM46" s="2473"/>
      <c r="CN46" s="2473"/>
      <c r="CO46" s="2473"/>
      <c r="CP46" s="2473"/>
      <c r="CQ46" s="2473"/>
      <c r="CR46" s="2473"/>
      <c r="CS46" s="2473"/>
      <c r="CT46" s="2473"/>
      <c r="CU46" s="2473"/>
      <c r="CV46" s="2473"/>
      <c r="CW46" s="2473"/>
      <c r="CX46" s="2473"/>
      <c r="CY46" s="2473"/>
      <c r="CZ46" s="2473"/>
      <c r="DA46" s="2473"/>
      <c r="DB46" s="2473"/>
      <c r="DC46" s="2473"/>
      <c r="DD46" s="2473"/>
      <c r="DE46" s="2473"/>
      <c r="DF46" s="2473"/>
      <c r="DG46" s="2473"/>
      <c r="DH46" s="2473"/>
      <c r="DI46" s="2473"/>
    </row>
    <row r="47" spans="1:113" s="6" customFormat="1" ht="12.75" hidden="1" customHeight="1">
      <c r="A47" s="2473"/>
      <c r="B47" s="105"/>
      <c r="C47" s="1170"/>
      <c r="D47" s="1070"/>
      <c r="E47" s="971" t="s">
        <v>159</v>
      </c>
      <c r="F47" s="972">
        <v>2013</v>
      </c>
      <c r="G47" s="965">
        <v>2015</v>
      </c>
      <c r="H47" s="965">
        <v>2020</v>
      </c>
      <c r="I47" s="965">
        <v>2025</v>
      </c>
      <c r="J47" s="965">
        <v>2030</v>
      </c>
      <c r="K47" s="965">
        <v>2035</v>
      </c>
      <c r="L47" s="965">
        <v>2040</v>
      </c>
      <c r="M47" s="965">
        <v>2045</v>
      </c>
      <c r="N47" s="965">
        <v>2050</v>
      </c>
      <c r="O47" s="67"/>
      <c r="P47" s="2534"/>
      <c r="Q47" s="2501"/>
      <c r="R47" s="2501"/>
      <c r="S47" s="2501"/>
      <c r="T47" s="2501"/>
      <c r="U47" s="2501"/>
      <c r="V47" s="2501"/>
      <c r="W47" s="2501"/>
      <c r="X47" s="2501"/>
      <c r="Y47" s="2501"/>
      <c r="Z47" s="2501"/>
      <c r="AA47" s="2501"/>
      <c r="AB47" s="2501"/>
      <c r="AC47" s="2501"/>
      <c r="AD47" s="2501"/>
      <c r="AE47" s="647"/>
      <c r="AF47" s="2473"/>
      <c r="AG47" s="2473"/>
      <c r="AH47" s="2473"/>
      <c r="AI47" s="2473"/>
      <c r="AJ47" s="2473"/>
      <c r="AK47" s="2473"/>
      <c r="AL47" s="2473"/>
      <c r="AM47" s="2473"/>
      <c r="AN47" s="2473"/>
      <c r="AO47" s="2473"/>
      <c r="AP47" s="2473"/>
      <c r="AQ47" s="2473"/>
      <c r="AR47" s="2473"/>
      <c r="AS47" s="2473"/>
      <c r="AT47" s="2473"/>
      <c r="AU47" s="2473"/>
      <c r="AV47" s="2473"/>
      <c r="AW47" s="2473"/>
      <c r="AX47" s="2473"/>
      <c r="AY47" s="2473"/>
      <c r="AZ47" s="2473"/>
      <c r="BA47" s="2473"/>
      <c r="BB47" s="2473"/>
      <c r="BC47" s="2473"/>
      <c r="BD47" s="2473"/>
      <c r="BE47" s="2473"/>
      <c r="BF47" s="2473"/>
      <c r="BG47" s="2473"/>
      <c r="BH47" s="2473"/>
      <c r="BI47" s="2473"/>
      <c r="BJ47" s="2473"/>
      <c r="BK47" s="2473"/>
      <c r="BL47" s="2473"/>
      <c r="BM47" s="2473"/>
      <c r="BN47" s="2473"/>
      <c r="BO47" s="2473"/>
      <c r="BP47" s="2473"/>
      <c r="BQ47" s="2473"/>
      <c r="BR47" s="2473"/>
      <c r="BS47" s="2473"/>
      <c r="BT47" s="2473"/>
      <c r="BU47" s="2473"/>
      <c r="BV47" s="2473"/>
      <c r="BW47" s="2473"/>
      <c r="BX47" s="2473"/>
      <c r="BY47" s="2473"/>
      <c r="BZ47" s="2473"/>
      <c r="CA47" s="2473"/>
      <c r="CB47" s="2473"/>
      <c r="CC47" s="2473"/>
      <c r="CD47" s="2473"/>
      <c r="CE47" s="2473"/>
      <c r="CF47" s="2473"/>
      <c r="CG47" s="2473"/>
      <c r="CH47" s="2473"/>
      <c r="CI47" s="2473"/>
      <c r="CJ47" s="2473"/>
      <c r="CK47" s="2473"/>
      <c r="CL47" s="2473"/>
      <c r="CM47" s="2473"/>
      <c r="CN47" s="2473"/>
      <c r="CO47" s="2473"/>
      <c r="CP47" s="2473"/>
      <c r="CQ47" s="2473"/>
      <c r="CR47" s="2473"/>
      <c r="CS47" s="2473"/>
      <c r="CT47" s="2473"/>
      <c r="CU47" s="2473"/>
      <c r="CV47" s="2473"/>
      <c r="CW47" s="2473"/>
      <c r="CX47" s="2473"/>
      <c r="CY47" s="2473"/>
      <c r="CZ47" s="2473"/>
      <c r="DA47" s="2473"/>
      <c r="DB47" s="2473"/>
      <c r="DC47" s="2473"/>
      <c r="DD47" s="2473"/>
      <c r="DE47" s="2473"/>
      <c r="DF47" s="2473"/>
      <c r="DG47" s="2473"/>
      <c r="DH47" s="2473"/>
      <c r="DI47" s="2473"/>
    </row>
    <row r="48" spans="1:113" s="6" customFormat="1" hidden="1">
      <c r="A48" s="2473"/>
      <c r="B48" s="105"/>
      <c r="C48" s="967" t="s">
        <v>719</v>
      </c>
      <c r="D48" s="1070"/>
      <c r="E48" s="957"/>
      <c r="F48" s="1071"/>
      <c r="G48" s="1071"/>
      <c r="H48" s="1071"/>
      <c r="I48" s="1071"/>
      <c r="J48" s="1071"/>
      <c r="K48" s="1071"/>
      <c r="L48" s="1071"/>
      <c r="M48" s="1071"/>
      <c r="N48" s="1071"/>
      <c r="O48" s="67"/>
      <c r="P48" s="647"/>
      <c r="Q48" s="2501"/>
      <c r="R48" s="2501"/>
      <c r="S48" s="2501"/>
      <c r="T48" s="2501"/>
      <c r="U48" s="2501"/>
      <c r="V48" s="2501"/>
      <c r="W48" s="2501"/>
      <c r="X48" s="2501"/>
      <c r="Y48" s="2501"/>
      <c r="Z48" s="2501"/>
      <c r="AA48" s="2501"/>
      <c r="AB48" s="2501"/>
      <c r="AC48" s="2501"/>
      <c r="AD48" s="2501"/>
      <c r="AE48" s="647"/>
      <c r="AF48" s="2473"/>
      <c r="AG48" s="2473"/>
      <c r="AH48" s="2473"/>
      <c r="AI48" s="2473"/>
      <c r="AJ48" s="2473"/>
      <c r="AK48" s="2473"/>
      <c r="AL48" s="2473"/>
      <c r="AM48" s="2473"/>
      <c r="AN48" s="2473"/>
      <c r="AO48" s="2473"/>
      <c r="AP48" s="2473"/>
      <c r="AQ48" s="2473"/>
      <c r="AR48" s="2473"/>
      <c r="AS48" s="2473"/>
      <c r="AT48" s="2473"/>
      <c r="AU48" s="2473"/>
      <c r="AV48" s="2473"/>
      <c r="AW48" s="2473"/>
      <c r="AX48" s="2473"/>
      <c r="AY48" s="2473"/>
      <c r="AZ48" s="2473"/>
      <c r="BA48" s="2473"/>
      <c r="BB48" s="2473"/>
      <c r="BC48" s="2473"/>
      <c r="BD48" s="2473"/>
      <c r="BE48" s="2473"/>
      <c r="BF48" s="2473"/>
      <c r="BG48" s="2473"/>
      <c r="BH48" s="2473"/>
      <c r="BI48" s="2473"/>
      <c r="BJ48" s="2473"/>
      <c r="BK48" s="2473"/>
      <c r="BL48" s="2473"/>
      <c r="BM48" s="2473"/>
      <c r="BN48" s="2473"/>
      <c r="BO48" s="2473"/>
      <c r="BP48" s="2473"/>
      <c r="BQ48" s="2473"/>
      <c r="BR48" s="2473"/>
      <c r="BS48" s="2473"/>
      <c r="BT48" s="2473"/>
      <c r="BU48" s="2473"/>
      <c r="BV48" s="2473"/>
      <c r="BW48" s="2473"/>
      <c r="BX48" s="2473"/>
      <c r="BY48" s="2473"/>
      <c r="BZ48" s="2473"/>
      <c r="CA48" s="2473"/>
      <c r="CB48" s="2473"/>
      <c r="CC48" s="2473"/>
      <c r="CD48" s="2473"/>
      <c r="CE48" s="2473"/>
      <c r="CF48" s="2473"/>
      <c r="CG48" s="2473"/>
      <c r="CH48" s="2473"/>
      <c r="CI48" s="2473"/>
      <c r="CJ48" s="2473"/>
      <c r="CK48" s="2473"/>
      <c r="CL48" s="2473"/>
      <c r="CM48" s="2473"/>
      <c r="CN48" s="2473"/>
      <c r="CO48" s="2473"/>
      <c r="CP48" s="2473"/>
      <c r="CQ48" s="2473"/>
      <c r="CR48" s="2473"/>
      <c r="CS48" s="2473"/>
      <c r="CT48" s="2473"/>
      <c r="CU48" s="2473"/>
      <c r="CV48" s="2473"/>
      <c r="CW48" s="2473"/>
      <c r="CX48" s="2473"/>
      <c r="CY48" s="2473"/>
      <c r="CZ48" s="2473"/>
      <c r="DA48" s="2473"/>
      <c r="DB48" s="2473"/>
      <c r="DC48" s="2473"/>
      <c r="DD48" s="2473"/>
      <c r="DE48" s="2473"/>
      <c r="DF48" s="2473"/>
      <c r="DG48" s="2473"/>
      <c r="DH48" s="2473"/>
      <c r="DI48" s="2473"/>
    </row>
    <row r="49" spans="2:31" hidden="1">
      <c r="B49" s="105"/>
      <c r="C49" s="943" t="s">
        <v>720</v>
      </c>
      <c r="D49" s="915"/>
      <c r="E49" s="944"/>
      <c r="F49" s="945"/>
      <c r="G49" s="945"/>
      <c r="H49" s="945"/>
      <c r="I49" s="945"/>
      <c r="J49" s="945"/>
      <c r="K49" s="945"/>
      <c r="L49" s="945"/>
      <c r="M49" s="945"/>
      <c r="N49" s="945"/>
      <c r="O49" s="67"/>
      <c r="P49" s="1068"/>
      <c r="Q49" s="1068"/>
      <c r="R49" s="2535"/>
      <c r="S49" s="81"/>
      <c r="T49" s="81"/>
      <c r="U49" s="81"/>
      <c r="V49" s="81"/>
      <c r="W49" s="81"/>
      <c r="X49" s="81"/>
      <c r="Y49" s="81"/>
      <c r="Z49" s="81"/>
      <c r="AA49" s="81"/>
      <c r="AB49" s="81"/>
      <c r="AC49" s="81"/>
      <c r="AD49" s="81"/>
      <c r="AE49" s="1068"/>
    </row>
    <row r="50" spans="2:31" hidden="1">
      <c r="B50" s="105"/>
      <c r="C50" s="947" t="s">
        <v>721</v>
      </c>
      <c r="D50" s="948"/>
      <c r="E50" s="949"/>
      <c r="F50" s="950"/>
      <c r="G50" s="950"/>
      <c r="H50" s="950"/>
      <c r="I50" s="950"/>
      <c r="J50" s="950"/>
      <c r="K50" s="950"/>
      <c r="L50" s="950"/>
      <c r="M50" s="950"/>
      <c r="N50" s="950"/>
      <c r="O50" s="67"/>
      <c r="P50" s="81"/>
      <c r="Q50" s="2501"/>
      <c r="R50" s="81"/>
      <c r="S50" s="81"/>
      <c r="T50" s="81"/>
      <c r="U50" s="81"/>
      <c r="V50" s="81"/>
      <c r="W50" s="81"/>
      <c r="X50" s="81"/>
      <c r="Y50" s="81"/>
      <c r="Z50" s="81"/>
      <c r="AA50" s="81"/>
      <c r="AB50" s="81"/>
      <c r="AC50" s="81"/>
      <c r="AD50" s="81"/>
      <c r="AE50" s="1068"/>
    </row>
    <row r="51" spans="2:31" hidden="1">
      <c r="B51" s="105"/>
      <c r="C51" s="937"/>
      <c r="D51" s="915"/>
      <c r="E51" s="932"/>
      <c r="F51" s="933"/>
      <c r="G51" s="933"/>
      <c r="H51" s="934"/>
      <c r="I51" s="934"/>
      <c r="J51" s="934"/>
      <c r="K51" s="934"/>
      <c r="L51" s="934"/>
      <c r="M51" s="934"/>
      <c r="N51" s="67"/>
      <c r="O51" s="67"/>
      <c r="P51" s="1068"/>
      <c r="Q51" s="1079"/>
      <c r="R51" s="1068"/>
      <c r="S51" s="1419"/>
      <c r="T51" s="1068"/>
      <c r="U51" s="1068"/>
      <c r="V51" s="1068"/>
      <c r="W51" s="1068"/>
      <c r="X51" s="1068"/>
      <c r="Y51" s="1068"/>
      <c r="Z51" s="1068"/>
      <c r="AA51" s="1068"/>
      <c r="AB51" s="1068"/>
      <c r="AC51" s="1419"/>
      <c r="AD51" s="1068"/>
      <c r="AE51" s="1068"/>
    </row>
    <row r="52" spans="2:31" hidden="1">
      <c r="B52" s="105"/>
      <c r="C52" s="49" t="s">
        <v>1877</v>
      </c>
      <c r="D52" s="915"/>
      <c r="E52" s="932"/>
      <c r="F52" s="933"/>
      <c r="G52" s="933"/>
      <c r="H52" s="934"/>
      <c r="I52" s="934"/>
      <c r="J52" s="934"/>
      <c r="K52" s="934"/>
      <c r="L52" s="934"/>
      <c r="M52" s="934"/>
      <c r="N52" s="935" t="s">
        <v>2743</v>
      </c>
      <c r="O52" s="67"/>
      <c r="P52" s="1068"/>
      <c r="Q52" s="1068"/>
      <c r="R52" s="2506"/>
      <c r="S52" s="2536"/>
      <c r="T52" s="2506"/>
      <c r="U52" s="2506"/>
      <c r="V52" s="2506"/>
      <c r="W52" s="2506"/>
      <c r="X52" s="2506"/>
      <c r="Y52" s="2506"/>
      <c r="Z52" s="2506"/>
      <c r="AA52" s="2506"/>
      <c r="AB52" s="2506"/>
      <c r="AC52" s="2506"/>
      <c r="AD52" s="1068"/>
      <c r="AE52" s="1068"/>
    </row>
    <row r="53" spans="2:31" hidden="1">
      <c r="B53" s="105"/>
      <c r="C53" s="937"/>
      <c r="D53" s="915"/>
      <c r="E53" s="932"/>
      <c r="F53" s="933"/>
      <c r="G53" s="933"/>
      <c r="H53" s="934"/>
      <c r="I53" s="934"/>
      <c r="J53" s="934"/>
      <c r="K53" s="934"/>
      <c r="L53" s="934"/>
      <c r="M53" s="934"/>
      <c r="N53" s="67"/>
      <c r="O53" s="67"/>
      <c r="P53" s="1068"/>
      <c r="Q53" s="81"/>
      <c r="R53" s="2506"/>
      <c r="S53" s="1419"/>
      <c r="T53" s="2526"/>
      <c r="U53" s="2526"/>
      <c r="V53" s="2526"/>
      <c r="W53" s="2526"/>
      <c r="X53" s="2526"/>
      <c r="Y53" s="2526"/>
      <c r="Z53" s="2526"/>
      <c r="AA53" s="2526"/>
      <c r="AB53" s="2526"/>
      <c r="AC53" s="2526"/>
      <c r="AD53" s="81"/>
      <c r="AE53" s="1068"/>
    </row>
    <row r="54" spans="2:31" hidden="1">
      <c r="B54" s="105"/>
      <c r="C54" s="1170"/>
      <c r="D54" s="1070"/>
      <c r="E54" s="971" t="s">
        <v>159</v>
      </c>
      <c r="F54" s="972">
        <v>2013</v>
      </c>
      <c r="G54" s="965">
        <v>2015</v>
      </c>
      <c r="H54" s="965">
        <v>2020</v>
      </c>
      <c r="I54" s="965">
        <v>2025</v>
      </c>
      <c r="J54" s="965">
        <v>2030</v>
      </c>
      <c r="K54" s="965">
        <v>2035</v>
      </c>
      <c r="L54" s="965">
        <v>2040</v>
      </c>
      <c r="M54" s="965">
        <v>2045</v>
      </c>
      <c r="N54" s="965">
        <v>2050</v>
      </c>
      <c r="O54" s="67"/>
      <c r="P54" s="1068"/>
      <c r="Q54" s="81"/>
      <c r="R54" s="1068"/>
      <c r="S54" s="1419"/>
      <c r="T54" s="2537"/>
      <c r="U54" s="2537"/>
      <c r="V54" s="2537"/>
      <c r="W54" s="2537"/>
      <c r="X54" s="2537"/>
      <c r="Y54" s="2537"/>
      <c r="Z54" s="2537"/>
      <c r="AA54" s="2537"/>
      <c r="AB54" s="2537"/>
      <c r="AC54" s="2537"/>
      <c r="AD54" s="81"/>
      <c r="AE54" s="1068"/>
    </row>
    <row r="55" spans="2:31" hidden="1">
      <c r="B55" s="105"/>
      <c r="C55" s="967" t="s">
        <v>719</v>
      </c>
      <c r="D55" s="1070"/>
      <c r="E55" s="957"/>
      <c r="F55" s="1071"/>
      <c r="G55" s="1071"/>
      <c r="H55" s="1071"/>
      <c r="I55" s="1071"/>
      <c r="J55" s="1071"/>
      <c r="K55" s="1071"/>
      <c r="L55" s="1071"/>
      <c r="M55" s="1071"/>
      <c r="N55" s="1071"/>
      <c r="O55" s="67"/>
      <c r="P55" s="1068"/>
      <c r="Q55" s="81"/>
      <c r="R55" s="1068"/>
      <c r="S55" s="1419"/>
      <c r="T55" s="2537"/>
      <c r="U55" s="2537"/>
      <c r="V55" s="2537"/>
      <c r="W55" s="2537"/>
      <c r="X55" s="2537"/>
      <c r="Y55" s="2537"/>
      <c r="Z55" s="2537"/>
      <c r="AA55" s="2537"/>
      <c r="AB55" s="2537"/>
      <c r="AC55" s="2537"/>
      <c r="AD55" s="81"/>
      <c r="AE55" s="1068"/>
    </row>
    <row r="56" spans="2:31" hidden="1">
      <c r="B56" s="105"/>
      <c r="C56" s="943" t="s">
        <v>720</v>
      </c>
      <c r="D56" s="915"/>
      <c r="E56" s="944"/>
      <c r="F56" s="945"/>
      <c r="G56" s="945"/>
      <c r="H56" s="945"/>
      <c r="I56" s="945"/>
      <c r="J56" s="945"/>
      <c r="K56" s="945"/>
      <c r="L56" s="945"/>
      <c r="M56" s="945"/>
      <c r="N56" s="945"/>
      <c r="O56" s="67"/>
      <c r="P56" s="1068"/>
      <c r="Q56" s="81"/>
      <c r="R56" s="1068"/>
      <c r="S56" s="1419"/>
      <c r="T56" s="2537"/>
      <c r="U56" s="2537"/>
      <c r="V56" s="2537"/>
      <c r="W56" s="2537"/>
      <c r="X56" s="2537"/>
      <c r="Y56" s="2537"/>
      <c r="Z56" s="2537"/>
      <c r="AA56" s="2537"/>
      <c r="AB56" s="2537"/>
      <c r="AC56" s="2537"/>
      <c r="AD56" s="81"/>
      <c r="AE56" s="1068"/>
    </row>
    <row r="57" spans="2:31" hidden="1">
      <c r="B57" s="105"/>
      <c r="C57" s="947" t="s">
        <v>721</v>
      </c>
      <c r="D57" s="948"/>
      <c r="E57" s="949"/>
      <c r="F57" s="950"/>
      <c r="G57" s="950"/>
      <c r="H57" s="950"/>
      <c r="I57" s="950"/>
      <c r="J57" s="950"/>
      <c r="K57" s="950"/>
      <c r="L57" s="950"/>
      <c r="M57" s="950"/>
      <c r="N57" s="950"/>
      <c r="O57" s="67"/>
      <c r="P57" s="1068"/>
      <c r="Q57" s="1079"/>
      <c r="R57" s="1068"/>
      <c r="S57" s="1419"/>
      <c r="T57" s="2537"/>
      <c r="U57" s="2537"/>
      <c r="V57" s="2537"/>
      <c r="W57" s="2537"/>
      <c r="X57" s="2537"/>
      <c r="Y57" s="2537"/>
      <c r="Z57" s="2537"/>
      <c r="AA57" s="2537"/>
      <c r="AB57" s="2537"/>
      <c r="AC57" s="1419"/>
      <c r="AD57" s="81"/>
      <c r="AE57" s="1068"/>
    </row>
    <row r="58" spans="2:31" hidden="1">
      <c r="B58" s="105"/>
      <c r="C58" s="46"/>
      <c r="D58" s="67"/>
      <c r="E58" s="51"/>
      <c r="F58" s="2538"/>
      <c r="G58" s="2538"/>
      <c r="H58" s="2538"/>
      <c r="I58" s="2538"/>
      <c r="J58" s="2538"/>
      <c r="K58" s="2538"/>
      <c r="L58" s="2538"/>
      <c r="M58" s="2538"/>
      <c r="N58" s="2538"/>
      <c r="O58" s="46"/>
      <c r="P58" s="1068"/>
      <c r="Q58" s="81"/>
      <c r="R58" s="1068"/>
      <c r="S58" s="1419"/>
      <c r="T58" s="2537"/>
      <c r="U58" s="2537"/>
      <c r="V58" s="2537"/>
      <c r="W58" s="2537"/>
      <c r="X58" s="2537"/>
      <c r="Y58" s="2537"/>
      <c r="Z58" s="2537"/>
      <c r="AA58" s="2537"/>
      <c r="AB58" s="2537"/>
      <c r="AC58" s="2537"/>
      <c r="AD58" s="81"/>
      <c r="AE58" s="1068"/>
    </row>
    <row r="59" spans="2:31">
      <c r="B59" s="81"/>
      <c r="C59" s="1068"/>
      <c r="D59" s="1420"/>
      <c r="E59" s="1068"/>
      <c r="F59" s="1068"/>
      <c r="G59" s="1068"/>
      <c r="H59" s="1068"/>
      <c r="I59" s="1068"/>
      <c r="J59" s="1068"/>
      <c r="K59" s="1068"/>
      <c r="L59" s="1068"/>
      <c r="M59" s="1068"/>
      <c r="N59" s="1068"/>
      <c r="O59" s="1068"/>
      <c r="P59" s="1068"/>
      <c r="Q59" s="81"/>
      <c r="R59" s="2506"/>
      <c r="S59" s="1419"/>
      <c r="T59" s="2526"/>
      <c r="U59" s="2526"/>
      <c r="V59" s="2526"/>
      <c r="W59" s="2526"/>
      <c r="X59" s="2526"/>
      <c r="Y59" s="2526"/>
      <c r="Z59" s="2526"/>
      <c r="AA59" s="2526"/>
      <c r="AB59" s="2526"/>
      <c r="AC59" s="2526"/>
      <c r="AD59" s="81"/>
      <c r="AE59" s="1068"/>
    </row>
    <row r="60" spans="2:31" ht="15">
      <c r="B60" s="869" t="s">
        <v>177</v>
      </c>
      <c r="C60" s="870"/>
      <c r="D60" s="870"/>
      <c r="E60" s="870"/>
      <c r="F60" s="870"/>
      <c r="G60" s="870"/>
      <c r="H60" s="870"/>
      <c r="I60" s="870"/>
      <c r="J60" s="870"/>
      <c r="K60" s="870"/>
      <c r="L60" s="870"/>
      <c r="M60" s="870"/>
      <c r="N60" s="870"/>
      <c r="O60" s="870"/>
      <c r="P60" s="1068"/>
      <c r="Q60" s="81"/>
      <c r="R60" s="1068"/>
      <c r="S60" s="1419"/>
      <c r="T60" s="2537"/>
      <c r="U60" s="2537"/>
      <c r="V60" s="2537"/>
      <c r="W60" s="2537"/>
      <c r="X60" s="2537"/>
      <c r="Y60" s="2537"/>
      <c r="Z60" s="2537"/>
      <c r="AA60" s="2537"/>
      <c r="AB60" s="2537"/>
      <c r="AC60" s="2537"/>
      <c r="AD60" s="81"/>
      <c r="AE60" s="1068"/>
    </row>
    <row r="61" spans="2:31">
      <c r="B61" s="105"/>
      <c r="C61" s="67"/>
      <c r="D61" s="67"/>
      <c r="E61" s="67"/>
      <c r="F61" s="67"/>
      <c r="G61" s="67"/>
      <c r="H61" s="67"/>
      <c r="I61" s="67"/>
      <c r="J61" s="67"/>
      <c r="K61" s="67"/>
      <c r="L61" s="67"/>
      <c r="M61" s="67"/>
      <c r="N61" s="67"/>
      <c r="O61" s="67"/>
      <c r="P61" s="1068"/>
      <c r="Q61" s="81"/>
      <c r="R61" s="1068"/>
      <c r="S61" s="1419"/>
      <c r="T61" s="2537"/>
      <c r="U61" s="2537"/>
      <c r="V61" s="2537"/>
      <c r="W61" s="2537"/>
      <c r="X61" s="2537"/>
      <c r="Y61" s="2537"/>
      <c r="Z61" s="2537"/>
      <c r="AA61" s="2537"/>
      <c r="AB61" s="2537"/>
      <c r="AC61" s="2537"/>
      <c r="AD61" s="81"/>
      <c r="AE61" s="1068"/>
    </row>
    <row r="62" spans="2:31">
      <c r="B62" s="105"/>
      <c r="C62" s="49" t="s">
        <v>851</v>
      </c>
      <c r="D62" s="67"/>
      <c r="E62" s="51"/>
      <c r="F62" s="67"/>
      <c r="G62" s="67"/>
      <c r="H62" s="67"/>
      <c r="I62" s="67"/>
      <c r="J62" s="67"/>
      <c r="K62" s="67"/>
      <c r="L62" s="67"/>
      <c r="M62" s="67"/>
      <c r="N62" s="51" t="str">
        <f>Preferences.PowerUnits</f>
        <v>GW</v>
      </c>
      <c r="O62" s="67"/>
      <c r="P62" s="1068"/>
      <c r="Q62" s="202"/>
      <c r="R62" s="1068"/>
      <c r="S62" s="2539"/>
      <c r="T62" s="2540"/>
      <c r="U62" s="2540"/>
      <c r="V62" s="2540"/>
      <c r="W62" s="2537"/>
      <c r="X62" s="2537"/>
      <c r="Y62" s="2537"/>
      <c r="Z62" s="2537"/>
      <c r="AA62" s="2537"/>
      <c r="AB62" s="2537"/>
      <c r="AC62" s="2537"/>
      <c r="AD62" s="81"/>
      <c r="AE62" s="1068"/>
    </row>
    <row r="63" spans="2:31">
      <c r="B63" s="105"/>
      <c r="C63" s="67"/>
      <c r="D63" s="67"/>
      <c r="E63" s="67"/>
      <c r="F63" s="67"/>
      <c r="G63" s="67"/>
      <c r="H63" s="67"/>
      <c r="I63" s="67"/>
      <c r="J63" s="67"/>
      <c r="K63" s="67"/>
      <c r="L63" s="67"/>
      <c r="M63" s="67"/>
      <c r="N63" s="67"/>
      <c r="O63" s="67"/>
      <c r="P63" s="1068"/>
      <c r="Q63" s="1068"/>
      <c r="R63" s="2506"/>
      <c r="S63" s="2539"/>
      <c r="T63" s="2465"/>
      <c r="U63" s="2465"/>
      <c r="V63" s="2465"/>
      <c r="W63" s="2506"/>
      <c r="X63" s="2506"/>
      <c r="Y63" s="2506"/>
      <c r="Z63" s="2506"/>
      <c r="AA63" s="2506"/>
      <c r="AB63" s="2506"/>
      <c r="AC63" s="2506"/>
      <c r="AD63" s="81"/>
      <c r="AE63" s="1068"/>
    </row>
    <row r="64" spans="2:31" ht="15.5">
      <c r="B64" s="55"/>
      <c r="C64" s="878" t="s">
        <v>131</v>
      </c>
      <c r="D64" s="878" t="s">
        <v>71</v>
      </c>
      <c r="E64" s="878" t="s">
        <v>30</v>
      </c>
      <c r="F64" s="87">
        <v>2013</v>
      </c>
      <c r="G64" s="1265">
        <v>2015</v>
      </c>
      <c r="H64" s="87">
        <v>2020</v>
      </c>
      <c r="I64" s="87">
        <v>2025</v>
      </c>
      <c r="J64" s="87">
        <v>2030</v>
      </c>
      <c r="K64" s="87">
        <v>2035</v>
      </c>
      <c r="L64" s="87">
        <v>2040</v>
      </c>
      <c r="M64" s="87">
        <v>2045</v>
      </c>
      <c r="N64" s="87">
        <v>2050</v>
      </c>
      <c r="O64" s="67"/>
      <c r="P64" s="1068"/>
      <c r="Q64" s="202"/>
      <c r="R64" s="2506"/>
      <c r="S64" s="2539"/>
      <c r="T64" s="2465"/>
      <c r="U64" s="2465"/>
      <c r="V64" s="2465"/>
      <c r="W64" s="2506"/>
      <c r="X64" s="2506"/>
      <c r="Y64" s="2506"/>
      <c r="Z64" s="2506"/>
      <c r="AA64" s="2506"/>
      <c r="AB64" s="2506"/>
      <c r="AC64" s="2506"/>
      <c r="AD64" s="81"/>
      <c r="AE64" s="1068"/>
    </row>
    <row r="65" spans="1:31" ht="15.5">
      <c r="B65" s="966"/>
      <c r="C65" s="907" t="s">
        <v>438</v>
      </c>
      <c r="D65" s="908" t="str">
        <f>INDEX(Vectors[Description], MATCH($C65, Vectors[Code], 0))</f>
        <v>Wind</v>
      </c>
      <c r="E65" s="908"/>
      <c r="F65" s="912">
        <f t="shared" ref="F65:N65" si="1">F20</f>
        <v>0</v>
      </c>
      <c r="G65" s="2510">
        <f t="shared" si="1"/>
        <v>0</v>
      </c>
      <c r="H65" s="912">
        <f t="shared" si="1"/>
        <v>0</v>
      </c>
      <c r="I65" s="912">
        <f t="shared" si="1"/>
        <v>0</v>
      </c>
      <c r="J65" s="912">
        <f t="shared" si="1"/>
        <v>0</v>
      </c>
      <c r="K65" s="912">
        <f t="shared" si="1"/>
        <v>0</v>
      </c>
      <c r="L65" s="912">
        <f t="shared" si="1"/>
        <v>0</v>
      </c>
      <c r="M65" s="912">
        <f t="shared" si="1"/>
        <v>0</v>
      </c>
      <c r="N65" s="912">
        <f t="shared" si="1"/>
        <v>0</v>
      </c>
      <c r="O65" s="103"/>
      <c r="P65" s="1068"/>
      <c r="Q65" s="1068"/>
      <c r="R65" s="2506"/>
      <c r="S65" s="203"/>
      <c r="T65" s="2506"/>
      <c r="U65" s="2506"/>
      <c r="V65" s="2506"/>
      <c r="W65" s="2506"/>
      <c r="X65" s="2506"/>
      <c r="Y65" s="2506"/>
      <c r="Z65" s="2506"/>
      <c r="AA65" s="2506"/>
      <c r="AB65" s="2506"/>
      <c r="AC65" s="2506"/>
      <c r="AD65" s="81"/>
      <c r="AE65" s="1068"/>
    </row>
    <row r="66" spans="1:31">
      <c r="B66" s="45"/>
      <c r="C66" s="65"/>
      <c r="D66" s="103"/>
      <c r="E66" s="103"/>
      <c r="F66" s="167"/>
      <c r="G66" s="160"/>
      <c r="H66" s="160"/>
      <c r="I66" s="160"/>
      <c r="J66" s="160"/>
      <c r="K66" s="160"/>
      <c r="L66" s="160"/>
      <c r="M66" s="160"/>
      <c r="N66" s="160"/>
      <c r="O66" s="67"/>
      <c r="P66" s="1068"/>
      <c r="Q66" s="1068"/>
      <c r="R66" s="81"/>
      <c r="S66" s="203"/>
      <c r="T66" s="81"/>
      <c r="U66" s="81"/>
      <c r="V66" s="81"/>
      <c r="W66" s="81"/>
      <c r="X66" s="81"/>
      <c r="Y66" s="81"/>
      <c r="Z66" s="81"/>
      <c r="AA66" s="81"/>
      <c r="AB66" s="81"/>
      <c r="AC66" s="81"/>
      <c r="AD66" s="81"/>
      <c r="AE66" s="1068"/>
    </row>
    <row r="67" spans="1:31">
      <c r="P67" s="1068"/>
      <c r="Q67" s="1068"/>
      <c r="R67" s="1068"/>
      <c r="S67" s="1068"/>
      <c r="T67" s="1068"/>
      <c r="U67" s="1068"/>
      <c r="V67" s="1068"/>
      <c r="W67" s="1068"/>
      <c r="X67" s="1068"/>
      <c r="Y67" s="1068"/>
      <c r="Z67" s="1068"/>
      <c r="AA67" s="1068"/>
      <c r="AB67" s="1068"/>
      <c r="AC67" s="1068"/>
      <c r="AD67" s="1068"/>
      <c r="AE67" s="1068"/>
    </row>
    <row r="68" spans="1:31" ht="23.5">
      <c r="A68" s="7"/>
      <c r="B68" s="2473" t="s">
        <v>1878</v>
      </c>
      <c r="F68" s="2473">
        <v>2013</v>
      </c>
      <c r="G68" s="2473">
        <v>2015</v>
      </c>
      <c r="H68" s="2473">
        <v>2020</v>
      </c>
      <c r="I68" s="2473">
        <v>2025</v>
      </c>
      <c r="J68" s="2473">
        <v>2030</v>
      </c>
      <c r="K68" s="2473">
        <v>2035</v>
      </c>
      <c r="L68" s="2473">
        <v>2040</v>
      </c>
      <c r="M68" s="2473">
        <v>2045</v>
      </c>
      <c r="N68" s="2473">
        <v>2050</v>
      </c>
      <c r="P68" s="1068"/>
      <c r="Q68" s="1068"/>
      <c r="R68" s="1068"/>
      <c r="S68" s="1068"/>
      <c r="T68" s="1068"/>
      <c r="U68" s="1068"/>
      <c r="V68" s="1068"/>
      <c r="W68" s="1068"/>
      <c r="X68" s="1068"/>
      <c r="Y68" s="1068"/>
      <c r="Z68" s="1068"/>
      <c r="AA68" s="1068"/>
      <c r="AB68" s="1068"/>
      <c r="AC68" s="1068"/>
      <c r="AD68" s="1068"/>
      <c r="AE68" s="1068"/>
    </row>
    <row r="70" spans="1:31">
      <c r="C70" s="354" t="s">
        <v>852</v>
      </c>
      <c r="E70" s="2473" t="str">
        <f>Preferences.PowerUnits</f>
        <v>GW</v>
      </c>
      <c r="F70" s="365">
        <f t="shared" ref="F70:N70" si="2">F$65</f>
        <v>0</v>
      </c>
      <c r="G70" s="365">
        <f t="shared" si="2"/>
        <v>0</v>
      </c>
      <c r="H70" s="365">
        <f t="shared" si="2"/>
        <v>0</v>
      </c>
      <c r="I70" s="365">
        <f t="shared" si="2"/>
        <v>0</v>
      </c>
      <c r="J70" s="365">
        <f t="shared" si="2"/>
        <v>0</v>
      </c>
      <c r="K70" s="365">
        <f t="shared" si="2"/>
        <v>0</v>
      </c>
      <c r="L70" s="365">
        <f t="shared" si="2"/>
        <v>0</v>
      </c>
      <c r="M70" s="365">
        <f t="shared" si="2"/>
        <v>0</v>
      </c>
      <c r="N70" s="365">
        <f t="shared" si="2"/>
        <v>0</v>
      </c>
    </row>
    <row r="71" spans="1:31">
      <c r="B71" s="2473" t="s">
        <v>218</v>
      </c>
      <c r="C71" s="2473" t="s">
        <v>839</v>
      </c>
      <c r="F71" s="980">
        <f>F$31</f>
        <v>0.24</v>
      </c>
      <c r="G71" s="980">
        <f t="shared" ref="G71:N71" si="3">G$31</f>
        <v>0.24</v>
      </c>
      <c r="H71" s="980">
        <f t="shared" si="3"/>
        <v>0.24</v>
      </c>
      <c r="I71" s="980">
        <f t="shared" si="3"/>
        <v>0.24</v>
      </c>
      <c r="J71" s="980">
        <f t="shared" si="3"/>
        <v>0.24</v>
      </c>
      <c r="K71" s="980">
        <f t="shared" si="3"/>
        <v>0.24</v>
      </c>
      <c r="L71" s="980">
        <f t="shared" si="3"/>
        <v>0.24</v>
      </c>
      <c r="M71" s="980">
        <f t="shared" si="3"/>
        <v>0.24</v>
      </c>
      <c r="N71" s="980">
        <f t="shared" si="3"/>
        <v>0.24</v>
      </c>
    </row>
    <row r="72" spans="1:31">
      <c r="B72" s="979" t="s">
        <v>220</v>
      </c>
      <c r="C72" s="354" t="s">
        <v>853</v>
      </c>
      <c r="F72" s="357">
        <f t="shared" ref="F72:N72" si="4">F70*F71</f>
        <v>0</v>
      </c>
      <c r="G72" s="357">
        <f t="shared" si="4"/>
        <v>0</v>
      </c>
      <c r="H72" s="357">
        <f t="shared" si="4"/>
        <v>0</v>
      </c>
      <c r="I72" s="357">
        <f t="shared" si="4"/>
        <v>0</v>
      </c>
      <c r="J72" s="357">
        <f t="shared" si="4"/>
        <v>0</v>
      </c>
      <c r="K72" s="357">
        <f t="shared" si="4"/>
        <v>0</v>
      </c>
      <c r="L72" s="357">
        <f t="shared" si="4"/>
        <v>0</v>
      </c>
      <c r="M72" s="357">
        <f t="shared" si="4"/>
        <v>0</v>
      </c>
      <c r="N72" s="357">
        <f t="shared" si="4"/>
        <v>0</v>
      </c>
    </row>
    <row r="73" spans="1:31">
      <c r="C73" s="354" t="s">
        <v>854</v>
      </c>
      <c r="E73" s="2473" t="str">
        <f>Preferences.EnergyUnits</f>
        <v>TWh</v>
      </c>
      <c r="F73" s="357">
        <f t="shared" ref="F73:N73" si="5">F72*Preferences.Unit.Power*Unit.year/Preferences.Unit.Energy</f>
        <v>0</v>
      </c>
      <c r="G73" s="357">
        <f t="shared" si="5"/>
        <v>0</v>
      </c>
      <c r="H73" s="357">
        <f t="shared" si="5"/>
        <v>0</v>
      </c>
      <c r="I73" s="357">
        <f t="shared" si="5"/>
        <v>0</v>
      </c>
      <c r="J73" s="357">
        <f t="shared" si="5"/>
        <v>0</v>
      </c>
      <c r="K73" s="357">
        <f t="shared" si="5"/>
        <v>0</v>
      </c>
      <c r="L73" s="357">
        <f t="shared" si="5"/>
        <v>0</v>
      </c>
      <c r="M73" s="357">
        <f t="shared" si="5"/>
        <v>0</v>
      </c>
      <c r="N73" s="357">
        <f t="shared" si="5"/>
        <v>0</v>
      </c>
    </row>
    <row r="74" spans="1:31">
      <c r="C74" s="354"/>
      <c r="E74" s="2473" t="s">
        <v>5</v>
      </c>
      <c r="F74" s="357"/>
      <c r="G74" s="357"/>
      <c r="H74" s="357" t="s">
        <v>5</v>
      </c>
      <c r="I74" s="357"/>
      <c r="J74" s="357"/>
      <c r="K74" s="357"/>
      <c r="L74" s="357"/>
      <c r="M74" s="357"/>
      <c r="N74" s="357"/>
    </row>
    <row r="75" spans="1:31">
      <c r="B75" s="2473" t="s">
        <v>738</v>
      </c>
      <c r="C75" s="354"/>
      <c r="F75" s="357"/>
      <c r="G75" s="357"/>
      <c r="H75" s="357"/>
      <c r="I75" s="357"/>
      <c r="J75" s="357"/>
      <c r="K75" s="357"/>
      <c r="L75" s="357"/>
      <c r="M75" s="357"/>
      <c r="N75" s="357"/>
    </row>
    <row r="76" spans="1:31">
      <c r="C76" s="2473" t="s">
        <v>1879</v>
      </c>
      <c r="E76" s="2473" t="s">
        <v>741</v>
      </c>
      <c r="F76" s="984">
        <f>F70/$F$36</f>
        <v>0</v>
      </c>
      <c r="G76" s="984">
        <f t="shared" ref="G76:N76" si="6">G70/$F$36</f>
        <v>0</v>
      </c>
      <c r="H76" s="984">
        <f t="shared" si="6"/>
        <v>0</v>
      </c>
      <c r="I76" s="984">
        <f t="shared" si="6"/>
        <v>0</v>
      </c>
      <c r="J76" s="984">
        <f>J70/$F$36</f>
        <v>0</v>
      </c>
      <c r="K76" s="984">
        <f t="shared" si="6"/>
        <v>0</v>
      </c>
      <c r="L76" s="984">
        <f t="shared" si="6"/>
        <v>0</v>
      </c>
      <c r="M76" s="984">
        <f t="shared" si="6"/>
        <v>0</v>
      </c>
      <c r="N76" s="984">
        <f t="shared" si="6"/>
        <v>0</v>
      </c>
    </row>
    <row r="77" spans="1:31">
      <c r="C77" s="2473" t="s">
        <v>857</v>
      </c>
      <c r="E77" s="2473" t="str">
        <f>Preferences.AreaUnits</f>
        <v>km^2</v>
      </c>
      <c r="F77" s="984">
        <f>F70/$F$37</f>
        <v>0</v>
      </c>
      <c r="G77" s="984">
        <f t="shared" ref="G77:N77" si="7">G70/$F$37</f>
        <v>0</v>
      </c>
      <c r="H77" s="984">
        <f t="shared" si="7"/>
        <v>0</v>
      </c>
      <c r="I77" s="984">
        <f t="shared" si="7"/>
        <v>0</v>
      </c>
      <c r="J77" s="984">
        <f t="shared" si="7"/>
        <v>0</v>
      </c>
      <c r="K77" s="984">
        <f t="shared" si="7"/>
        <v>0</v>
      </c>
      <c r="L77" s="984">
        <f t="shared" si="7"/>
        <v>0</v>
      </c>
      <c r="M77" s="984">
        <f t="shared" si="7"/>
        <v>0</v>
      </c>
      <c r="N77" s="984">
        <f t="shared" si="7"/>
        <v>0</v>
      </c>
      <c r="O77" s="983"/>
    </row>
    <row r="78" spans="1:31">
      <c r="F78" s="984"/>
      <c r="G78" s="984"/>
      <c r="H78" s="984"/>
      <c r="I78" s="984"/>
      <c r="J78" s="984"/>
      <c r="K78" s="984"/>
      <c r="L78" s="984"/>
      <c r="M78" s="984"/>
      <c r="N78" s="984"/>
      <c r="O78" s="983"/>
    </row>
    <row r="79" spans="1:31">
      <c r="C79" s="2473" t="s">
        <v>969</v>
      </c>
      <c r="F79" s="984"/>
      <c r="G79" s="984">
        <f t="shared" ref="G79:N79" si="8">(G76-F76)/(G68-F68)</f>
        <v>0</v>
      </c>
      <c r="H79" s="984">
        <f t="shared" si="8"/>
        <v>0</v>
      </c>
      <c r="I79" s="984">
        <f t="shared" si="8"/>
        <v>0</v>
      </c>
      <c r="J79" s="984">
        <f t="shared" si="8"/>
        <v>0</v>
      </c>
      <c r="K79" s="984">
        <f t="shared" si="8"/>
        <v>0</v>
      </c>
      <c r="L79" s="984">
        <f t="shared" si="8"/>
        <v>0</v>
      </c>
      <c r="M79" s="984">
        <f t="shared" si="8"/>
        <v>0</v>
      </c>
      <c r="N79" s="984">
        <f t="shared" si="8"/>
        <v>0</v>
      </c>
      <c r="O79" s="983"/>
    </row>
    <row r="80" spans="1:31">
      <c r="C80" s="2473" t="s">
        <v>1880</v>
      </c>
      <c r="F80" s="984"/>
      <c r="G80" s="984"/>
      <c r="H80" s="984"/>
      <c r="I80" s="984"/>
      <c r="J80" s="984"/>
      <c r="K80" s="984"/>
      <c r="L80" s="984">
        <f>G76/(L68-K68)</f>
        <v>0</v>
      </c>
      <c r="M80" s="984">
        <f>H76/(M68-L68)</f>
        <v>0</v>
      </c>
      <c r="N80" s="984">
        <f>I76/(N68-M68)</f>
        <v>0</v>
      </c>
      <c r="O80" s="983"/>
    </row>
    <row r="81" spans="2:16">
      <c r="C81" s="2473" t="s">
        <v>1881</v>
      </c>
      <c r="F81" s="984"/>
      <c r="G81" s="984">
        <f>SUM(G79:G80)</f>
        <v>0</v>
      </c>
      <c r="H81" s="984">
        <f t="shared" ref="H81:N81" si="9">SUM(H79:H80)</f>
        <v>0</v>
      </c>
      <c r="I81" s="984">
        <f t="shared" si="9"/>
        <v>0</v>
      </c>
      <c r="J81" s="984">
        <f t="shared" si="9"/>
        <v>0</v>
      </c>
      <c r="K81" s="984">
        <f t="shared" si="9"/>
        <v>0</v>
      </c>
      <c r="L81" s="984">
        <f t="shared" si="9"/>
        <v>0</v>
      </c>
      <c r="M81" s="984">
        <f t="shared" si="9"/>
        <v>0</v>
      </c>
      <c r="N81" s="984">
        <f t="shared" si="9"/>
        <v>0</v>
      </c>
      <c r="O81" s="983"/>
    </row>
    <row r="82" spans="2:16">
      <c r="F82" s="984"/>
      <c r="G82" s="984"/>
      <c r="H82" s="984"/>
      <c r="I82" s="984"/>
      <c r="J82" s="984"/>
      <c r="K82" s="984"/>
      <c r="L82" s="984"/>
      <c r="M82" s="984"/>
      <c r="N82" s="984"/>
      <c r="O82" s="983"/>
    </row>
    <row r="83" spans="2:16">
      <c r="B83" s="3578" t="s">
        <v>2723</v>
      </c>
      <c r="F83" s="984"/>
      <c r="G83" s="984"/>
      <c r="H83" s="984"/>
      <c r="I83" s="984"/>
      <c r="J83" s="984"/>
      <c r="K83" s="984"/>
      <c r="L83" s="984"/>
      <c r="M83" s="984"/>
      <c r="N83" s="984"/>
      <c r="O83" s="983"/>
    </row>
    <row r="84" spans="2:16" hidden="1">
      <c r="C84" s="2473" t="s">
        <v>168</v>
      </c>
      <c r="E84" s="3578" t="s">
        <v>2736</v>
      </c>
      <c r="F84" s="984"/>
      <c r="G84" s="984"/>
      <c r="H84" s="984"/>
      <c r="I84" s="984"/>
      <c r="J84" s="984"/>
      <c r="K84" s="984"/>
      <c r="L84" s="984"/>
      <c r="M84" s="984"/>
      <c r="N84" s="984"/>
      <c r="O84" s="983"/>
    </row>
    <row r="85" spans="2:16" hidden="1">
      <c r="C85" s="2473" t="s">
        <v>172</v>
      </c>
      <c r="E85" s="3578" t="s">
        <v>2736</v>
      </c>
      <c r="F85" s="984"/>
      <c r="G85" s="984"/>
      <c r="H85" s="984"/>
      <c r="I85" s="984"/>
      <c r="J85" s="984"/>
      <c r="K85" s="984"/>
      <c r="L85" s="984"/>
      <c r="M85" s="984"/>
      <c r="N85" s="984"/>
      <c r="O85" s="983"/>
    </row>
    <row r="86" spans="2:16" hidden="1">
      <c r="C86" s="2473" t="s">
        <v>291</v>
      </c>
      <c r="E86" s="3578" t="s">
        <v>2736</v>
      </c>
      <c r="F86" s="984"/>
      <c r="G86" s="984"/>
      <c r="H86" s="984"/>
      <c r="I86" s="984"/>
      <c r="J86" s="984"/>
      <c r="K86" s="984"/>
      <c r="L86" s="984"/>
      <c r="M86" s="984"/>
      <c r="N86" s="984"/>
      <c r="O86" s="983"/>
    </row>
    <row r="87" spans="2:16" hidden="1">
      <c r="C87" s="354"/>
      <c r="F87" s="357"/>
      <c r="G87" s="357"/>
      <c r="H87" s="357"/>
      <c r="I87" s="357"/>
      <c r="J87" s="357"/>
      <c r="K87" s="357"/>
      <c r="L87" s="357"/>
      <c r="M87" s="357"/>
      <c r="N87" s="357"/>
      <c r="O87" s="983"/>
    </row>
    <row r="88" spans="2:16" hidden="1">
      <c r="B88" s="2473" t="s">
        <v>292</v>
      </c>
      <c r="F88" s="984"/>
      <c r="G88" s="984"/>
      <c r="H88" s="984"/>
      <c r="I88" s="984"/>
      <c r="J88" s="984"/>
      <c r="K88" s="984"/>
      <c r="L88" s="984"/>
      <c r="M88" s="984"/>
      <c r="N88" s="984"/>
      <c r="O88" s="983"/>
      <c r="P88" s="39"/>
    </row>
    <row r="89" spans="2:16" hidden="1">
      <c r="C89" s="2473" t="s">
        <v>168</v>
      </c>
      <c r="E89" s="3578" t="s">
        <v>2736</v>
      </c>
      <c r="F89" s="984"/>
      <c r="G89" s="984"/>
      <c r="H89" s="984"/>
      <c r="I89" s="984"/>
      <c r="J89" s="984"/>
      <c r="K89" s="984"/>
      <c r="L89" s="984"/>
      <c r="M89" s="984"/>
      <c r="N89" s="984"/>
      <c r="O89" s="983"/>
      <c r="P89" s="39"/>
    </row>
    <row r="90" spans="2:16" hidden="1">
      <c r="C90" s="2473" t="s">
        <v>172</v>
      </c>
      <c r="E90" s="3578" t="s">
        <v>2736</v>
      </c>
      <c r="F90" s="984"/>
      <c r="G90" s="984"/>
      <c r="H90" s="984"/>
      <c r="I90" s="984"/>
      <c r="J90" s="984"/>
      <c r="K90" s="984"/>
      <c r="L90" s="984"/>
      <c r="M90" s="984"/>
      <c r="N90" s="984"/>
      <c r="O90" s="983"/>
      <c r="P90" s="39"/>
    </row>
    <row r="91" spans="2:16" hidden="1">
      <c r="C91" s="2473" t="s">
        <v>291</v>
      </c>
      <c r="E91" s="3578" t="s">
        <v>2736</v>
      </c>
      <c r="F91" s="984"/>
      <c r="G91" s="984"/>
      <c r="H91" s="984"/>
      <c r="I91" s="984"/>
      <c r="J91" s="984"/>
      <c r="K91" s="984"/>
      <c r="L91" s="984"/>
      <c r="M91" s="984"/>
      <c r="N91" s="984"/>
      <c r="P91" s="39"/>
    </row>
    <row r="92" spans="2:16" hidden="1">
      <c r="F92" s="984"/>
      <c r="G92" s="984"/>
      <c r="H92" s="984"/>
      <c r="I92" s="984"/>
      <c r="J92" s="984"/>
      <c r="K92" s="984"/>
      <c r="L92" s="984"/>
      <c r="M92" s="984"/>
      <c r="N92" s="984"/>
      <c r="P92" s="39"/>
    </row>
    <row r="93" spans="2:16" hidden="1">
      <c r="B93" s="2473" t="s">
        <v>290</v>
      </c>
      <c r="F93" s="984"/>
      <c r="G93" s="984"/>
      <c r="H93" s="984"/>
      <c r="I93" s="984"/>
      <c r="J93" s="984"/>
      <c r="K93" s="984"/>
      <c r="L93" s="984"/>
      <c r="M93" s="984"/>
      <c r="N93" s="984"/>
    </row>
    <row r="94" spans="2:16" hidden="1">
      <c r="C94" s="2473" t="s">
        <v>168</v>
      </c>
      <c r="E94" s="3578" t="s">
        <v>2736</v>
      </c>
      <c r="F94" s="984"/>
      <c r="G94" s="984"/>
      <c r="H94" s="984"/>
      <c r="I94" s="984"/>
      <c r="J94" s="984"/>
      <c r="K94" s="984"/>
      <c r="L94" s="984"/>
      <c r="M94" s="984"/>
      <c r="N94" s="984"/>
    </row>
    <row r="95" spans="2:16" hidden="1">
      <c r="C95" s="2473" t="s">
        <v>172</v>
      </c>
      <c r="E95" s="3578" t="s">
        <v>2736</v>
      </c>
      <c r="F95" s="984"/>
      <c r="G95" s="984"/>
      <c r="H95" s="984"/>
      <c r="I95" s="984"/>
      <c r="J95" s="984"/>
      <c r="K95" s="984"/>
      <c r="L95" s="984"/>
      <c r="M95" s="984"/>
      <c r="N95" s="984"/>
    </row>
    <row r="96" spans="2:16" hidden="1">
      <c r="C96" s="2473" t="s">
        <v>291</v>
      </c>
      <c r="E96" s="3578" t="s">
        <v>2736</v>
      </c>
      <c r="F96" s="984"/>
      <c r="G96" s="984"/>
      <c r="H96" s="984"/>
      <c r="I96" s="984"/>
      <c r="J96" s="984"/>
      <c r="K96" s="984"/>
      <c r="L96" s="984"/>
      <c r="M96" s="984"/>
      <c r="N96" s="984"/>
    </row>
    <row r="98" spans="1:21" ht="15">
      <c r="B98" s="502" t="s">
        <v>296</v>
      </c>
      <c r="C98" s="503"/>
      <c r="D98" s="503"/>
      <c r="E98" s="503"/>
      <c r="F98" s="503"/>
      <c r="G98" s="503"/>
      <c r="H98" s="503"/>
      <c r="I98" s="503"/>
      <c r="J98" s="503"/>
      <c r="K98" s="503"/>
      <c r="L98" s="503"/>
      <c r="M98" s="503"/>
      <c r="N98" s="503"/>
      <c r="O98" s="857"/>
      <c r="P98" s="39"/>
    </row>
    <row r="99" spans="1:21">
      <c r="B99" s="505"/>
      <c r="C99" s="506"/>
      <c r="D99" s="506"/>
      <c r="E99" s="506"/>
      <c r="F99" s="506"/>
      <c r="G99" s="506"/>
      <c r="H99" s="506"/>
      <c r="I99" s="506"/>
      <c r="J99" s="506"/>
      <c r="K99" s="506"/>
      <c r="L99" s="506"/>
      <c r="M99" s="506"/>
      <c r="N99" s="506"/>
      <c r="O99" s="858"/>
      <c r="P99" s="39"/>
    </row>
    <row r="100" spans="1:21">
      <c r="B100" s="505"/>
      <c r="C100" s="34" t="s">
        <v>746</v>
      </c>
      <c r="D100" s="506"/>
      <c r="E100" s="507"/>
      <c r="F100" s="506"/>
      <c r="G100" s="507"/>
      <c r="H100" s="506"/>
      <c r="I100" s="506"/>
      <c r="J100" s="506"/>
      <c r="K100" s="506"/>
      <c r="L100" s="506"/>
      <c r="M100" s="506"/>
      <c r="N100" s="507" t="str">
        <f>Preferences.EnergyUnits</f>
        <v>TWh</v>
      </c>
      <c r="O100" s="858"/>
      <c r="P100" s="39"/>
    </row>
    <row r="101" spans="1:21">
      <c r="B101" s="505"/>
      <c r="C101" s="506"/>
      <c r="D101" s="506"/>
      <c r="E101" s="506"/>
      <c r="F101" s="506"/>
      <c r="G101" s="506"/>
      <c r="H101" s="506"/>
      <c r="I101" s="506"/>
      <c r="J101" s="506"/>
      <c r="K101" s="506"/>
      <c r="L101" s="506"/>
      <c r="M101" s="506"/>
      <c r="N101" s="506"/>
      <c r="O101" s="858"/>
      <c r="P101" s="39"/>
    </row>
    <row r="102" spans="1:21" ht="23.5">
      <c r="A102" s="7"/>
      <c r="B102" s="15"/>
      <c r="C102" s="864" t="s">
        <v>28</v>
      </c>
      <c r="D102" s="864" t="s">
        <v>29</v>
      </c>
      <c r="E102" s="864" t="s">
        <v>30</v>
      </c>
      <c r="F102" s="864" t="s">
        <v>588</v>
      </c>
      <c r="G102" s="864" t="s">
        <v>132</v>
      </c>
      <c r="H102" s="864" t="s">
        <v>133</v>
      </c>
      <c r="I102" s="864" t="s">
        <v>134</v>
      </c>
      <c r="J102" s="864" t="s">
        <v>135</v>
      </c>
      <c r="K102" s="864" t="s">
        <v>136</v>
      </c>
      <c r="L102" s="864" t="s">
        <v>137</v>
      </c>
      <c r="M102" s="864" t="s">
        <v>138</v>
      </c>
      <c r="N102" s="864" t="s">
        <v>139</v>
      </c>
      <c r="O102" s="858"/>
      <c r="P102" s="39"/>
    </row>
    <row r="103" spans="1:21" ht="15.5">
      <c r="B103" s="15"/>
      <c r="C103" s="17" t="s">
        <v>96</v>
      </c>
      <c r="D103" s="17" t="str">
        <f>INDEX(Vectors[Description], MATCH($C103, Vectors[Code], 0))</f>
        <v>Electricity (supplied to grid)</v>
      </c>
      <c r="E103" s="17"/>
      <c r="F103" s="22">
        <f t="shared" ref="F103:N103" si="10">F73</f>
        <v>0</v>
      </c>
      <c r="G103" s="22">
        <f t="shared" si="10"/>
        <v>0</v>
      </c>
      <c r="H103" s="22">
        <f t="shared" si="10"/>
        <v>0</v>
      </c>
      <c r="I103" s="22">
        <f t="shared" si="10"/>
        <v>0</v>
      </c>
      <c r="J103" s="22">
        <f t="shared" si="10"/>
        <v>0</v>
      </c>
      <c r="K103" s="22">
        <f t="shared" si="10"/>
        <v>0</v>
      </c>
      <c r="L103" s="22">
        <f t="shared" si="10"/>
        <v>0</v>
      </c>
      <c r="M103" s="22">
        <f t="shared" si="10"/>
        <v>0</v>
      </c>
      <c r="N103" s="22">
        <f t="shared" si="10"/>
        <v>0</v>
      </c>
      <c r="O103" s="858"/>
      <c r="P103" s="39"/>
    </row>
    <row r="104" spans="1:21" ht="15.5">
      <c r="B104" s="15"/>
      <c r="C104" s="17" t="s">
        <v>438</v>
      </c>
      <c r="D104" s="17" t="str">
        <f>INDEX(Vectors[Description], MATCH($C104, Vectors[Code], 0))</f>
        <v>Wind</v>
      </c>
      <c r="E104" s="17"/>
      <c r="F104" s="22">
        <f t="shared" ref="F104:N104" si="11">-F73</f>
        <v>0</v>
      </c>
      <c r="G104" s="22">
        <f t="shared" si="11"/>
        <v>0</v>
      </c>
      <c r="H104" s="22">
        <f t="shared" si="11"/>
        <v>0</v>
      </c>
      <c r="I104" s="22">
        <f t="shared" si="11"/>
        <v>0</v>
      </c>
      <c r="J104" s="22">
        <f t="shared" si="11"/>
        <v>0</v>
      </c>
      <c r="K104" s="22">
        <f t="shared" si="11"/>
        <v>0</v>
      </c>
      <c r="L104" s="22">
        <f t="shared" si="11"/>
        <v>0</v>
      </c>
      <c r="M104" s="22">
        <f t="shared" si="11"/>
        <v>0</v>
      </c>
      <c r="N104" s="22">
        <f t="shared" si="11"/>
        <v>0</v>
      </c>
      <c r="O104" s="858"/>
      <c r="P104" s="39"/>
    </row>
    <row r="105" spans="1:21" ht="15.5">
      <c r="B105" s="15"/>
      <c r="C105" s="2432" t="s">
        <v>58</v>
      </c>
      <c r="D105" s="2432"/>
      <c r="E105" s="2432"/>
      <c r="F105" s="2435">
        <f>SUBTOTAL(109,IV.c.Outputs[2013])</f>
        <v>0</v>
      </c>
      <c r="G105" s="2435">
        <f>SUBTOTAL(109,IV.c.Outputs[2015])</f>
        <v>0</v>
      </c>
      <c r="H105" s="2435">
        <f>SUBTOTAL(109,IV.c.Outputs[2020])</f>
        <v>0</v>
      </c>
      <c r="I105" s="2435">
        <f>SUBTOTAL(109,IV.c.Outputs[2025])</f>
        <v>0</v>
      </c>
      <c r="J105" s="2435">
        <f>SUBTOTAL(109,IV.c.Outputs[2030])</f>
        <v>0</v>
      </c>
      <c r="K105" s="2435">
        <f>SUBTOTAL(109,IV.c.Outputs[2035])</f>
        <v>0</v>
      </c>
      <c r="L105" s="2435">
        <f>SUBTOTAL(109,IV.c.Outputs[2040])</f>
        <v>0</v>
      </c>
      <c r="M105" s="2435">
        <f>SUBTOTAL(109,IV.c.Outputs[2045])</f>
        <v>0</v>
      </c>
      <c r="N105" s="2435">
        <f>SUBTOTAL(109,IV.c.Outputs[2050])</f>
        <v>0</v>
      </c>
      <c r="O105" s="858"/>
      <c r="P105" s="39"/>
    </row>
    <row r="106" spans="1:21" ht="15.5">
      <c r="A106" s="434"/>
      <c r="B106" s="15"/>
      <c r="C106" s="443"/>
      <c r="D106" s="443"/>
      <c r="E106" s="443"/>
      <c r="F106" s="443"/>
      <c r="G106" s="443"/>
      <c r="H106" s="443"/>
      <c r="I106" s="443"/>
      <c r="J106" s="443"/>
      <c r="K106" s="443"/>
      <c r="L106" s="443"/>
      <c r="M106" s="443"/>
      <c r="N106" s="443"/>
      <c r="O106" s="858"/>
      <c r="P106" s="2473" t="s">
        <v>5</v>
      </c>
    </row>
    <row r="107" spans="1:21" ht="15.5">
      <c r="A107" s="434"/>
    </row>
    <row r="108" spans="1:21" ht="15.5">
      <c r="A108" s="434"/>
      <c r="B108" s="986" t="s">
        <v>310</v>
      </c>
      <c r="C108" s="987"/>
      <c r="D108" s="988"/>
      <c r="E108" s="988"/>
      <c r="F108" s="988"/>
      <c r="G108" s="988"/>
      <c r="H108" s="988"/>
      <c r="I108" s="988"/>
      <c r="J108" s="988"/>
      <c r="K108" s="988"/>
      <c r="L108" s="988"/>
      <c r="M108" s="988"/>
      <c r="N108" s="988"/>
      <c r="O108" s="989"/>
    </row>
    <row r="109" spans="1:21" ht="15.5">
      <c r="A109" s="434"/>
      <c r="B109" s="990"/>
      <c r="C109" s="991"/>
      <c r="D109" s="991"/>
      <c r="E109" s="991"/>
      <c r="F109" s="991"/>
      <c r="G109" s="991"/>
      <c r="H109" s="991"/>
      <c r="I109" s="991"/>
      <c r="J109" s="991"/>
      <c r="K109" s="991"/>
      <c r="L109" s="991"/>
      <c r="M109" s="991"/>
      <c r="N109" s="991"/>
      <c r="O109" s="992"/>
    </row>
    <row r="110" spans="1:21">
      <c r="B110" s="993"/>
      <c r="C110" s="479" t="s">
        <v>311</v>
      </c>
      <c r="D110" s="994"/>
      <c r="E110" s="995"/>
      <c r="F110" s="994"/>
      <c r="G110" s="995"/>
      <c r="H110" s="994"/>
      <c r="I110" s="994"/>
      <c r="J110" s="994"/>
      <c r="K110" s="994"/>
      <c r="L110" s="994"/>
      <c r="M110" s="994"/>
      <c r="N110" s="995"/>
      <c r="O110" s="996"/>
    </row>
    <row r="111" spans="1:21">
      <c r="B111" s="993"/>
      <c r="C111" s="994"/>
      <c r="D111" s="994"/>
      <c r="E111" s="994"/>
      <c r="F111" s="994"/>
      <c r="G111" s="994"/>
      <c r="H111" s="994"/>
      <c r="I111" s="994"/>
      <c r="J111" s="994"/>
      <c r="K111" s="994"/>
      <c r="L111" s="994"/>
      <c r="M111" s="994"/>
      <c r="N111" s="994"/>
      <c r="O111" s="996"/>
      <c r="R111" s="1143"/>
      <c r="S111" s="1144"/>
      <c r="T111" s="1143"/>
      <c r="U111" s="1143"/>
    </row>
    <row r="112" spans="1:21" ht="15.5">
      <c r="B112" s="483"/>
      <c r="C112" s="997" t="s">
        <v>28</v>
      </c>
      <c r="D112" s="997" t="s">
        <v>312</v>
      </c>
      <c r="E112" s="997" t="s">
        <v>30</v>
      </c>
      <c r="F112" s="997" t="s">
        <v>588</v>
      </c>
      <c r="G112" s="997" t="s">
        <v>132</v>
      </c>
      <c r="H112" s="997" t="s">
        <v>133</v>
      </c>
      <c r="I112" s="997" t="s">
        <v>134</v>
      </c>
      <c r="J112" s="997" t="s">
        <v>135</v>
      </c>
      <c r="K112" s="997" t="s">
        <v>136</v>
      </c>
      <c r="L112" s="997" t="s">
        <v>137</v>
      </c>
      <c r="M112" s="997" t="s">
        <v>138</v>
      </c>
      <c r="N112" s="997" t="s">
        <v>139</v>
      </c>
      <c r="O112" s="996"/>
      <c r="S112" s="6"/>
    </row>
    <row r="113" spans="2:30" ht="15.5">
      <c r="B113" s="483"/>
      <c r="C113" s="998" t="s">
        <v>868</v>
      </c>
      <c r="D113" s="998" t="str">
        <f>"micro wind if "&amp;ROUND($F$37*Unit.m2/Unit.W,0)&amp;" Wpeak/m2"</f>
        <v>micro wind if 2 Wpeak/m2</v>
      </c>
      <c r="E113" s="485" t="str">
        <f>Preferences.AreaUnits</f>
        <v>km^2</v>
      </c>
      <c r="F113" s="999">
        <f t="shared" ref="F113:N113" si="12">F77</f>
        <v>0</v>
      </c>
      <c r="G113" s="999">
        <f t="shared" si="12"/>
        <v>0</v>
      </c>
      <c r="H113" s="999">
        <f t="shared" si="12"/>
        <v>0</v>
      </c>
      <c r="I113" s="999">
        <f t="shared" si="12"/>
        <v>0</v>
      </c>
      <c r="J113" s="999">
        <f t="shared" si="12"/>
        <v>0</v>
      </c>
      <c r="K113" s="999">
        <f t="shared" si="12"/>
        <v>0</v>
      </c>
      <c r="L113" s="999">
        <f t="shared" si="12"/>
        <v>0</v>
      </c>
      <c r="M113" s="999">
        <f t="shared" si="12"/>
        <v>0</v>
      </c>
      <c r="N113" s="999">
        <f t="shared" si="12"/>
        <v>0</v>
      </c>
      <c r="O113" s="996"/>
      <c r="S113" s="6"/>
    </row>
    <row r="114" spans="2:30" ht="15.5">
      <c r="B114" s="483"/>
      <c r="C114" s="998" t="s">
        <v>748</v>
      </c>
      <c r="D114" s="485" t="str">
        <f>INDEX(Vectors[Description], MATCH(IV.c.info[Vector], Vectors[Code], 0))</f>
        <v xml:space="preserve">Installed Capacity </v>
      </c>
      <c r="E114" s="485" t="str">
        <f>Preferences.PowerUnits</f>
        <v>GW</v>
      </c>
      <c r="F114" s="999">
        <f t="shared" ref="F114:N114" si="13">F65</f>
        <v>0</v>
      </c>
      <c r="G114" s="999">
        <f t="shared" si="13"/>
        <v>0</v>
      </c>
      <c r="H114" s="999">
        <f t="shared" si="13"/>
        <v>0</v>
      </c>
      <c r="I114" s="999">
        <f t="shared" si="13"/>
        <v>0</v>
      </c>
      <c r="J114" s="999">
        <f t="shared" si="13"/>
        <v>0</v>
      </c>
      <c r="K114" s="999">
        <f t="shared" si="13"/>
        <v>0</v>
      </c>
      <c r="L114" s="999">
        <f t="shared" si="13"/>
        <v>0</v>
      </c>
      <c r="M114" s="999">
        <f t="shared" si="13"/>
        <v>0</v>
      </c>
      <c r="N114" s="999">
        <f t="shared" si="13"/>
        <v>0</v>
      </c>
      <c r="O114" s="996"/>
      <c r="S114" s="6"/>
    </row>
    <row r="115" spans="2:30" ht="15.5">
      <c r="B115" s="483"/>
      <c r="C115" s="998" t="s">
        <v>313</v>
      </c>
      <c r="D115" s="485" t="str">
        <f>C76</f>
        <v>Approximate total 5kW turbines</v>
      </c>
      <c r="E115" s="998" t="s">
        <v>741</v>
      </c>
      <c r="F115" s="1184">
        <f t="shared" ref="F115:N115" si="14">F76</f>
        <v>0</v>
      </c>
      <c r="G115" s="487">
        <f t="shared" si="14"/>
        <v>0</v>
      </c>
      <c r="H115" s="487">
        <f t="shared" si="14"/>
        <v>0</v>
      </c>
      <c r="I115" s="487">
        <f t="shared" si="14"/>
        <v>0</v>
      </c>
      <c r="J115" s="487">
        <f t="shared" si="14"/>
        <v>0</v>
      </c>
      <c r="K115" s="487">
        <f t="shared" si="14"/>
        <v>0</v>
      </c>
      <c r="L115" s="487">
        <f t="shared" si="14"/>
        <v>0</v>
      </c>
      <c r="M115" s="487">
        <f t="shared" si="14"/>
        <v>0</v>
      </c>
      <c r="N115" s="487">
        <f t="shared" si="14"/>
        <v>0</v>
      </c>
      <c r="O115" s="996"/>
    </row>
    <row r="116" spans="2:30" ht="15.5">
      <c r="B116" s="488"/>
      <c r="C116" s="1001"/>
      <c r="D116" s="1001"/>
      <c r="E116" s="1001"/>
      <c r="F116" s="1001"/>
      <c r="G116" s="1001"/>
      <c r="H116" s="1001"/>
      <c r="I116" s="1001"/>
      <c r="J116" s="1001"/>
      <c r="K116" s="1001"/>
      <c r="L116" s="1001"/>
      <c r="M116" s="1001"/>
      <c r="N116" s="1001"/>
      <c r="O116" s="1002"/>
    </row>
    <row r="117" spans="2:30" ht="15">
      <c r="P117" s="2500"/>
      <c r="Q117" s="1068"/>
      <c r="R117" s="1068"/>
      <c r="S117" s="1068"/>
      <c r="T117" s="1068"/>
      <c r="U117" s="1068"/>
      <c r="V117" s="1068"/>
      <c r="W117" s="1068"/>
      <c r="X117" s="1068"/>
      <c r="Y117" s="1068"/>
      <c r="Z117" s="1068"/>
      <c r="AA117" s="1068"/>
      <c r="AB117" s="1068"/>
      <c r="AC117" s="1068"/>
      <c r="AD117" s="1068"/>
    </row>
    <row r="118" spans="2:30" ht="15">
      <c r="B118" s="986" t="s">
        <v>2720</v>
      </c>
      <c r="C118" s="988"/>
      <c r="D118" s="988"/>
      <c r="E118" s="988"/>
      <c r="F118" s="988"/>
      <c r="G118" s="988"/>
      <c r="H118" s="988"/>
      <c r="I118" s="988"/>
      <c r="J118" s="988"/>
      <c r="K118" s="988"/>
      <c r="L118" s="988"/>
      <c r="M118" s="988"/>
      <c r="N118" s="988"/>
      <c r="O118" s="988"/>
      <c r="P118" s="1068"/>
      <c r="Q118" s="1068"/>
      <c r="R118" s="1068"/>
      <c r="S118" s="1068"/>
      <c r="T118" s="1068"/>
      <c r="U118" s="1068"/>
      <c r="V118" s="1068"/>
      <c r="W118" s="1068"/>
      <c r="X118" s="1068"/>
      <c r="Y118" s="1068"/>
      <c r="Z118" s="1068"/>
      <c r="AA118" s="1068"/>
      <c r="AB118" s="1068"/>
      <c r="AC118" s="1068"/>
      <c r="AD118" s="1068"/>
    </row>
    <row r="119" spans="2:30" hidden="1">
      <c r="B119" s="993"/>
      <c r="C119" s="994"/>
      <c r="D119" s="994"/>
      <c r="E119" s="994"/>
      <c r="F119" s="994"/>
      <c r="G119" s="994"/>
      <c r="H119" s="994"/>
      <c r="I119" s="994"/>
      <c r="J119" s="994"/>
      <c r="K119" s="994"/>
      <c r="L119" s="994"/>
      <c r="M119" s="994"/>
      <c r="N119" s="994"/>
      <c r="O119" s="994"/>
      <c r="P119" s="1068"/>
      <c r="Q119" s="202"/>
      <c r="R119" s="1068"/>
      <c r="S119" s="1068"/>
      <c r="T119" s="1068"/>
      <c r="U119" s="1068"/>
      <c r="V119" s="1068"/>
      <c r="W119" s="1068"/>
      <c r="X119" s="1068"/>
      <c r="Y119" s="1068"/>
      <c r="Z119" s="1068"/>
      <c r="AA119" s="1068"/>
      <c r="AB119" s="1068"/>
      <c r="AC119" s="2523"/>
      <c r="AD119" s="1068"/>
    </row>
    <row r="120" spans="2:30" hidden="1">
      <c r="B120" s="993"/>
      <c r="C120" s="491" t="s">
        <v>751</v>
      </c>
      <c r="D120" s="1003"/>
      <c r="E120" s="1003"/>
      <c r="F120" s="1003"/>
      <c r="G120" s="1003"/>
      <c r="H120" s="1003"/>
      <c r="I120" s="1003"/>
      <c r="J120" s="1003"/>
      <c r="K120" s="1003"/>
      <c r="L120" s="1003"/>
      <c r="M120" s="1003"/>
      <c r="N120" s="1004" t="s">
        <v>2736</v>
      </c>
      <c r="O120" s="994"/>
      <c r="P120" s="1068"/>
      <c r="Q120" s="1068"/>
      <c r="R120" s="1068"/>
      <c r="S120" s="1068"/>
      <c r="T120" s="1068"/>
      <c r="U120" s="1068"/>
      <c r="V120" s="1068"/>
      <c r="W120" s="1068"/>
      <c r="X120" s="1068"/>
      <c r="Y120" s="1068"/>
      <c r="Z120" s="1068"/>
      <c r="AA120" s="1068"/>
      <c r="AB120" s="1068"/>
      <c r="AC120" s="1068"/>
      <c r="AD120" s="1068"/>
    </row>
    <row r="121" spans="2:30" ht="15.5" hidden="1">
      <c r="B121" s="993"/>
      <c r="C121" s="994"/>
      <c r="D121" s="994"/>
      <c r="E121" s="994"/>
      <c r="F121" s="994"/>
      <c r="G121" s="994"/>
      <c r="H121" s="994"/>
      <c r="I121" s="994"/>
      <c r="J121" s="994"/>
      <c r="K121" s="994"/>
      <c r="L121" s="994"/>
      <c r="M121" s="994"/>
      <c r="N121" s="994"/>
      <c r="O121" s="994"/>
      <c r="P121" s="2541"/>
      <c r="Q121" s="2542"/>
      <c r="R121" s="2542"/>
      <c r="S121" s="2542"/>
      <c r="T121" s="2542"/>
      <c r="U121" s="2542"/>
      <c r="V121" s="2542"/>
      <c r="W121" s="2542"/>
      <c r="X121" s="2542"/>
      <c r="Y121" s="2542"/>
      <c r="Z121" s="2542"/>
      <c r="AA121" s="2542"/>
      <c r="AB121" s="2542"/>
      <c r="AC121" s="2542"/>
      <c r="AD121" s="512"/>
    </row>
    <row r="122" spans="2:30" ht="15.5" hidden="1">
      <c r="B122" s="483"/>
      <c r="C122" s="997" t="s">
        <v>28</v>
      </c>
      <c r="D122" s="997" t="s">
        <v>29</v>
      </c>
      <c r="E122" s="997" t="s">
        <v>30</v>
      </c>
      <c r="F122" s="997">
        <v>2013</v>
      </c>
      <c r="G122" s="997">
        <v>2015</v>
      </c>
      <c r="H122" s="997" t="s">
        <v>133</v>
      </c>
      <c r="I122" s="997" t="s">
        <v>134</v>
      </c>
      <c r="J122" s="997" t="s">
        <v>135</v>
      </c>
      <c r="K122" s="997" t="s">
        <v>136</v>
      </c>
      <c r="L122" s="997" t="s">
        <v>137</v>
      </c>
      <c r="M122" s="997" t="s">
        <v>138</v>
      </c>
      <c r="N122" s="997" t="s">
        <v>139</v>
      </c>
      <c r="O122" s="1231"/>
      <c r="P122" s="2541"/>
      <c r="Q122" s="647"/>
      <c r="R122" s="201"/>
      <c r="S122" s="201"/>
      <c r="T122" s="2543"/>
      <c r="U122" s="2543"/>
      <c r="V122" s="2543"/>
      <c r="W122" s="2543"/>
      <c r="X122" s="2543"/>
      <c r="Y122" s="2543"/>
      <c r="Z122" s="2543"/>
      <c r="AA122" s="2543"/>
      <c r="AB122" s="2543"/>
      <c r="AC122" s="2543"/>
      <c r="AD122" s="512"/>
    </row>
    <row r="123" spans="2:30" ht="15.5" hidden="1">
      <c r="B123" s="483"/>
      <c r="C123" s="998" t="s">
        <v>325</v>
      </c>
      <c r="D123" s="485" t="s">
        <v>326</v>
      </c>
      <c r="E123" s="485"/>
      <c r="F123" s="999">
        <f>F84</f>
        <v>0</v>
      </c>
      <c r="G123" s="999">
        <f t="shared" ref="G123:N124" si="15">G84</f>
        <v>0</v>
      </c>
      <c r="H123" s="999">
        <f t="shared" si="15"/>
        <v>0</v>
      </c>
      <c r="I123" s="999">
        <f t="shared" si="15"/>
        <v>0</v>
      </c>
      <c r="J123" s="999">
        <f t="shared" si="15"/>
        <v>0</v>
      </c>
      <c r="K123" s="999">
        <f t="shared" si="15"/>
        <v>0</v>
      </c>
      <c r="L123" s="999">
        <f t="shared" si="15"/>
        <v>0</v>
      </c>
      <c r="M123" s="999">
        <f t="shared" si="15"/>
        <v>0</v>
      </c>
      <c r="N123" s="999">
        <f t="shared" si="15"/>
        <v>0</v>
      </c>
      <c r="O123" s="1231"/>
      <c r="P123" s="2541"/>
      <c r="Q123" s="647"/>
      <c r="R123" s="201"/>
      <c r="S123" s="201"/>
      <c r="T123" s="2543"/>
      <c r="U123" s="2543"/>
      <c r="V123" s="2543"/>
      <c r="W123" s="2543"/>
      <c r="X123" s="2543"/>
      <c r="Y123" s="2543"/>
      <c r="Z123" s="2543"/>
      <c r="AA123" s="2543"/>
      <c r="AB123" s="2543"/>
      <c r="AC123" s="2543"/>
      <c r="AD123" s="512"/>
    </row>
    <row r="124" spans="2:30" ht="15.5" hidden="1">
      <c r="B124" s="483"/>
      <c r="C124" s="998" t="s">
        <v>332</v>
      </c>
      <c r="D124" s="485" t="s">
        <v>333</v>
      </c>
      <c r="E124" s="485"/>
      <c r="F124" s="999">
        <f>F85</f>
        <v>0</v>
      </c>
      <c r="G124" s="999">
        <f t="shared" si="15"/>
        <v>0</v>
      </c>
      <c r="H124" s="999">
        <f t="shared" si="15"/>
        <v>0</v>
      </c>
      <c r="I124" s="999">
        <f t="shared" si="15"/>
        <v>0</v>
      </c>
      <c r="J124" s="999">
        <f t="shared" si="15"/>
        <v>0</v>
      </c>
      <c r="K124" s="999">
        <f t="shared" si="15"/>
        <v>0</v>
      </c>
      <c r="L124" s="999">
        <f t="shared" si="15"/>
        <v>0</v>
      </c>
      <c r="M124" s="999">
        <f t="shared" si="15"/>
        <v>0</v>
      </c>
      <c r="N124" s="999">
        <f t="shared" si="15"/>
        <v>0</v>
      </c>
      <c r="O124" s="1231"/>
      <c r="P124" s="2541"/>
      <c r="Q124" s="647"/>
      <c r="R124" s="201"/>
      <c r="S124" s="201"/>
      <c r="T124" s="2543"/>
      <c r="U124" s="2543"/>
      <c r="V124" s="2543"/>
      <c r="W124" s="2543"/>
      <c r="X124" s="2543"/>
      <c r="Y124" s="2543"/>
      <c r="Z124" s="2543"/>
      <c r="AA124" s="2543"/>
      <c r="AB124" s="2543"/>
      <c r="AC124" s="2543"/>
      <c r="AD124" s="512"/>
    </row>
    <row r="125" spans="2:30" ht="15.5" hidden="1">
      <c r="B125" s="483"/>
      <c r="C125" s="998" t="s">
        <v>323</v>
      </c>
      <c r="D125" s="485" t="s">
        <v>324</v>
      </c>
      <c r="E125" s="485"/>
      <c r="F125" s="999">
        <f>F89</f>
        <v>0</v>
      </c>
      <c r="G125" s="999">
        <f t="shared" ref="G125:N126" si="16">G89</f>
        <v>0</v>
      </c>
      <c r="H125" s="999">
        <f t="shared" si="16"/>
        <v>0</v>
      </c>
      <c r="I125" s="999">
        <f t="shared" si="16"/>
        <v>0</v>
      </c>
      <c r="J125" s="999">
        <f t="shared" si="16"/>
        <v>0</v>
      </c>
      <c r="K125" s="999">
        <f t="shared" si="16"/>
        <v>0</v>
      </c>
      <c r="L125" s="999">
        <f t="shared" si="16"/>
        <v>0</v>
      </c>
      <c r="M125" s="999">
        <f t="shared" si="16"/>
        <v>0</v>
      </c>
      <c r="N125" s="999">
        <f t="shared" si="16"/>
        <v>0</v>
      </c>
      <c r="O125" s="1231"/>
      <c r="P125" s="2541"/>
      <c r="Q125" s="647"/>
      <c r="R125" s="201"/>
      <c r="S125" s="201"/>
      <c r="T125" s="2543"/>
      <c r="U125" s="2543"/>
      <c r="V125" s="2543"/>
      <c r="W125" s="2543"/>
      <c r="X125" s="2543"/>
      <c r="Y125" s="2543"/>
      <c r="Z125" s="2543"/>
      <c r="AA125" s="2543"/>
      <c r="AB125" s="2543"/>
      <c r="AC125" s="2543"/>
      <c r="AD125" s="512"/>
    </row>
    <row r="126" spans="2:30" hidden="1">
      <c r="B126" s="494"/>
      <c r="C126" s="998" t="s">
        <v>330</v>
      </c>
      <c r="D126" s="485" t="s">
        <v>331</v>
      </c>
      <c r="E126" s="485"/>
      <c r="F126" s="999">
        <f>F90</f>
        <v>0</v>
      </c>
      <c r="G126" s="999">
        <f t="shared" si="16"/>
        <v>0</v>
      </c>
      <c r="H126" s="999">
        <f t="shared" si="16"/>
        <v>0</v>
      </c>
      <c r="I126" s="999">
        <f t="shared" si="16"/>
        <v>0</v>
      </c>
      <c r="J126" s="999">
        <f t="shared" si="16"/>
        <v>0</v>
      </c>
      <c r="K126" s="999">
        <f t="shared" si="16"/>
        <v>0</v>
      </c>
      <c r="L126" s="999">
        <f t="shared" si="16"/>
        <v>0</v>
      </c>
      <c r="M126" s="999">
        <f t="shared" si="16"/>
        <v>0</v>
      </c>
      <c r="N126" s="999">
        <f t="shared" si="16"/>
        <v>0</v>
      </c>
      <c r="O126" s="1232"/>
      <c r="P126" s="1689"/>
      <c r="Q126" s="647"/>
      <c r="R126" s="201"/>
      <c r="S126" s="201"/>
      <c r="T126" s="2543"/>
      <c r="U126" s="2543"/>
      <c r="V126" s="2543"/>
      <c r="W126" s="2543"/>
      <c r="X126" s="2543"/>
      <c r="Y126" s="2543"/>
      <c r="Z126" s="2543"/>
      <c r="AA126" s="2543"/>
      <c r="AB126" s="2543"/>
      <c r="AC126" s="2543"/>
      <c r="AD126" s="2544"/>
    </row>
    <row r="127" spans="2:30" hidden="1">
      <c r="B127" s="494"/>
      <c r="C127" s="998" t="s">
        <v>321</v>
      </c>
      <c r="D127" s="485" t="s">
        <v>322</v>
      </c>
      <c r="E127" s="485"/>
      <c r="F127" s="999">
        <f>F94</f>
        <v>0</v>
      </c>
      <c r="G127" s="999">
        <f t="shared" ref="G127:N127" si="17">G94</f>
        <v>0</v>
      </c>
      <c r="H127" s="999">
        <f t="shared" si="17"/>
        <v>0</v>
      </c>
      <c r="I127" s="999">
        <f t="shared" si="17"/>
        <v>0</v>
      </c>
      <c r="J127" s="999">
        <f t="shared" si="17"/>
        <v>0</v>
      </c>
      <c r="K127" s="999">
        <f t="shared" si="17"/>
        <v>0</v>
      </c>
      <c r="L127" s="999">
        <f t="shared" si="17"/>
        <v>0</v>
      </c>
      <c r="M127" s="999">
        <f t="shared" si="17"/>
        <v>0</v>
      </c>
      <c r="N127" s="999">
        <f t="shared" si="17"/>
        <v>0</v>
      </c>
      <c r="O127" s="1232"/>
      <c r="P127" s="1689"/>
      <c r="Q127" s="647"/>
      <c r="R127" s="201"/>
      <c r="S127" s="201"/>
      <c r="T127" s="2543"/>
      <c r="U127" s="2543"/>
      <c r="V127" s="2543"/>
      <c r="W127" s="2543"/>
      <c r="X127" s="2543"/>
      <c r="Y127" s="2543"/>
      <c r="Z127" s="2543"/>
      <c r="AA127" s="2543"/>
      <c r="AB127" s="2543"/>
      <c r="AC127" s="2543"/>
      <c r="AD127" s="2544"/>
    </row>
    <row r="128" spans="2:30" hidden="1">
      <c r="B128" s="494"/>
      <c r="C128" s="998" t="s">
        <v>328</v>
      </c>
      <c r="D128" s="485" t="s">
        <v>322</v>
      </c>
      <c r="E128" s="485"/>
      <c r="F128" s="999"/>
      <c r="G128" s="999"/>
      <c r="H128" s="999"/>
      <c r="I128" s="999"/>
      <c r="J128" s="999"/>
      <c r="K128" s="999"/>
      <c r="L128" s="999"/>
      <c r="M128" s="999"/>
      <c r="N128" s="999"/>
      <c r="O128" s="1232"/>
      <c r="P128" s="1689"/>
      <c r="Q128" s="1068"/>
      <c r="R128" s="1068"/>
      <c r="S128" s="1068"/>
      <c r="T128" s="1068"/>
      <c r="U128" s="1068"/>
      <c r="V128" s="1068"/>
      <c r="W128" s="1068"/>
      <c r="X128" s="1068"/>
      <c r="Y128" s="1068"/>
      <c r="Z128" s="1068"/>
      <c r="AA128" s="1068"/>
      <c r="AB128" s="1068"/>
      <c r="AC128" s="1068"/>
      <c r="AD128" s="2544"/>
    </row>
    <row r="129" spans="2:30" hidden="1">
      <c r="B129" s="1005"/>
      <c r="C129" s="1001"/>
      <c r="D129" s="1001"/>
      <c r="E129" s="1001"/>
      <c r="F129" s="1001"/>
      <c r="G129" s="1001"/>
      <c r="H129" s="1001"/>
      <c r="I129" s="1001"/>
      <c r="J129" s="1001"/>
      <c r="K129" s="1001"/>
      <c r="L129" s="1001"/>
      <c r="M129" s="1001"/>
      <c r="N129" s="1001"/>
      <c r="O129" s="1233"/>
      <c r="P129" s="1068"/>
      <c r="Q129" s="1068"/>
      <c r="R129" s="1068"/>
      <c r="S129" s="1068"/>
      <c r="T129" s="1068"/>
      <c r="U129" s="1068"/>
      <c r="V129" s="1068"/>
      <c r="W129" s="1068"/>
      <c r="X129" s="1068"/>
      <c r="Y129" s="1068"/>
      <c r="Z129" s="1068"/>
      <c r="AA129" s="1068"/>
      <c r="AB129" s="1068"/>
      <c r="AC129" s="1068"/>
      <c r="AD129" s="1068"/>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9"/>
  </sheetPr>
  <dimension ref="A1:R431"/>
  <sheetViews>
    <sheetView showGridLines="0" zoomScale="80" zoomScaleNormal="80" workbookViewId="0">
      <selection activeCell="E7" sqref="E7"/>
    </sheetView>
  </sheetViews>
  <sheetFormatPr defaultColWidth="8.81640625" defaultRowHeight="14.5"/>
  <cols>
    <col min="1" max="1" width="7.7265625" style="2654" customWidth="1"/>
    <col min="2" max="2" width="9" style="2654" customWidth="1"/>
    <col min="3" max="3" width="33.54296875" style="2654" customWidth="1"/>
    <col min="4" max="4" width="30.7265625" style="2654" customWidth="1"/>
    <col min="5" max="5" width="20.7265625" style="2654" customWidth="1"/>
    <col min="6" max="15" width="17.7265625" style="2654" customWidth="1"/>
    <col min="16" max="16" width="10.453125" style="2654" customWidth="1"/>
    <col min="17" max="17" width="10.81640625" style="2654" customWidth="1"/>
    <col min="18" max="18" width="44.7265625" style="2654" customWidth="1"/>
    <col min="19" max="16384" width="8.81640625" style="2654"/>
  </cols>
  <sheetData>
    <row r="1" spans="1:16" ht="20">
      <c r="A1" s="854" t="s">
        <v>571</v>
      </c>
      <c r="B1" s="854" t="s">
        <v>572</v>
      </c>
      <c r="C1" s="854"/>
      <c r="D1" s="3802" t="s">
        <v>5</v>
      </c>
    </row>
    <row r="2" spans="1:16" s="6" customFormat="1" ht="15">
      <c r="A2" s="855" t="s">
        <v>566</v>
      </c>
      <c r="B2" s="855" t="s">
        <v>567</v>
      </c>
      <c r="C2" s="855"/>
      <c r="E2" s="5"/>
    </row>
    <row r="4" spans="1:16" ht="23.5">
      <c r="A4" s="7"/>
      <c r="B4" s="502" t="s">
        <v>352</v>
      </c>
      <c r="C4" s="856"/>
      <c r="D4" s="503"/>
      <c r="E4" s="504"/>
      <c r="F4" s="503"/>
      <c r="G4" s="503"/>
      <c r="H4" s="503"/>
      <c r="I4" s="503"/>
      <c r="J4" s="503"/>
      <c r="K4" s="503"/>
      <c r="L4" s="503"/>
      <c r="M4" s="503"/>
      <c r="N4" s="503"/>
      <c r="O4" s="503"/>
      <c r="P4" s="857"/>
    </row>
    <row r="5" spans="1:16">
      <c r="B5" s="505"/>
      <c r="C5" s="12"/>
      <c r="D5" s="506"/>
      <c r="E5" s="507"/>
      <c r="F5" s="506"/>
      <c r="G5" s="506"/>
      <c r="H5" s="506"/>
      <c r="I5" s="506"/>
      <c r="J5" s="506"/>
      <c r="K5" s="506"/>
      <c r="L5" s="506"/>
      <c r="M5" s="506"/>
      <c r="N5" s="506"/>
      <c r="O5" s="506"/>
      <c r="P5" s="858"/>
    </row>
    <row r="6" spans="1:16" ht="15.5">
      <c r="B6" s="15"/>
      <c r="C6" s="506"/>
      <c r="D6" s="16" t="s">
        <v>7</v>
      </c>
      <c r="E6" s="16" t="s">
        <v>8</v>
      </c>
      <c r="F6" s="506"/>
      <c r="G6" s="506"/>
      <c r="H6" s="506"/>
      <c r="I6" s="506"/>
      <c r="J6" s="506"/>
      <c r="K6" s="506"/>
      <c r="L6" s="506"/>
      <c r="M6" s="506"/>
      <c r="N6" s="506"/>
      <c r="O6" s="506"/>
      <c r="P6" s="858"/>
    </row>
    <row r="7" spans="1:16" ht="15.5">
      <c r="B7" s="15"/>
      <c r="C7" s="506"/>
      <c r="D7" s="859" t="s">
        <v>2049</v>
      </c>
      <c r="E7" s="859">
        <f>V.a.Scenario</f>
        <v>1</v>
      </c>
      <c r="F7" s="506"/>
      <c r="G7" s="506"/>
      <c r="H7" s="506"/>
      <c r="I7" s="506"/>
      <c r="J7" s="506"/>
      <c r="K7" s="506"/>
      <c r="L7" s="506"/>
      <c r="M7" s="506"/>
      <c r="N7" s="506"/>
      <c r="O7" s="506"/>
      <c r="P7" s="858"/>
    </row>
    <row r="8" spans="1:16" ht="15.5">
      <c r="B8" s="441"/>
      <c r="C8" s="443"/>
      <c r="D8" s="443"/>
      <c r="E8" s="443"/>
      <c r="F8" s="860"/>
      <c r="G8" s="860"/>
      <c r="H8" s="860"/>
      <c r="I8" s="860"/>
      <c r="J8" s="860"/>
      <c r="K8" s="860"/>
      <c r="L8" s="860"/>
      <c r="M8" s="860"/>
      <c r="N8" s="860"/>
      <c r="O8" s="860"/>
      <c r="P8" s="861"/>
    </row>
    <row r="10" spans="1:16" ht="23.5">
      <c r="A10" s="7"/>
      <c r="B10" s="502" t="s">
        <v>24</v>
      </c>
      <c r="C10" s="503"/>
      <c r="D10" s="503"/>
      <c r="E10" s="503"/>
      <c r="F10" s="503"/>
      <c r="G10" s="503"/>
      <c r="H10" s="503"/>
      <c r="I10" s="503"/>
      <c r="J10" s="503"/>
      <c r="K10" s="503"/>
      <c r="L10" s="503"/>
      <c r="M10" s="503"/>
      <c r="N10" s="503"/>
      <c r="O10" s="503"/>
      <c r="P10" s="857"/>
    </row>
    <row r="11" spans="1:16">
      <c r="A11" s="39"/>
      <c r="B11" s="862"/>
      <c r="C11" s="506"/>
      <c r="D11" s="506"/>
      <c r="E11" s="506"/>
      <c r="F11" s="506"/>
      <c r="G11" s="506"/>
      <c r="H11" s="506"/>
      <c r="I11" s="506"/>
      <c r="J11" s="506"/>
      <c r="K11" s="506"/>
      <c r="L11" s="506"/>
      <c r="M11" s="506"/>
      <c r="N11" s="506"/>
      <c r="O11" s="506"/>
      <c r="P11" s="858"/>
    </row>
    <row r="12" spans="1:16">
      <c r="A12" s="39"/>
      <c r="B12" s="862"/>
      <c r="C12" s="34" t="s">
        <v>2050</v>
      </c>
      <c r="D12" s="506"/>
      <c r="E12" s="507"/>
      <c r="F12" s="506"/>
      <c r="G12" s="506"/>
      <c r="H12" s="506"/>
      <c r="I12" s="506"/>
      <c r="J12" s="506"/>
      <c r="K12" s="506"/>
      <c r="L12" s="506"/>
      <c r="M12" s="506"/>
      <c r="N12" s="507" t="str">
        <f>Preferences.EnergyUnits</f>
        <v>TWh</v>
      </c>
      <c r="O12" s="506"/>
      <c r="P12" s="506"/>
    </row>
    <row r="13" spans="1:16">
      <c r="A13" s="39"/>
      <c r="B13" s="862"/>
      <c r="C13" s="12"/>
      <c r="D13" s="506"/>
      <c r="E13" s="507"/>
      <c r="F13" s="506"/>
      <c r="G13" s="506"/>
      <c r="H13" s="506"/>
      <c r="I13" s="506"/>
      <c r="J13" s="506"/>
      <c r="K13" s="506"/>
      <c r="L13" s="506"/>
      <c r="M13" s="506"/>
      <c r="N13" s="506"/>
      <c r="O13" s="506"/>
      <c r="P13" s="506"/>
    </row>
    <row r="14" spans="1:16" s="6" customFormat="1" ht="15.5">
      <c r="A14" s="2770"/>
      <c r="B14" s="863"/>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864"/>
      <c r="P14" s="864"/>
    </row>
    <row r="15" spans="1:16" s="6" customFormat="1" ht="15.5">
      <c r="A15" s="2770"/>
      <c r="B15" s="863"/>
      <c r="C15" s="864" t="s">
        <v>423</v>
      </c>
      <c r="D15" s="864" t="s">
        <v>373</v>
      </c>
      <c r="E15" s="864"/>
      <c r="F15" s="2769">
        <f ca="1">INDEX(INDIRECT("'"&amp;V.a.Inputs[#Headers]&amp;"'!Year.Matrix"), MATCH("Subtotal."&amp;$A$2, INDIRECT("'"&amp;V.a.Inputs[#Headers]&amp;"'!Year.Modules"), 0), MATCH(V.a.Inputs[Vector], INDIRECT("'"&amp;V.a.Inputs[#Headers]&amp;"'!Year.Vectors"), 0))</f>
        <v>1.1057720201700001</v>
      </c>
      <c r="G15" s="2769">
        <f ca="1">INDEX(INDIRECT("'"&amp;V.a.Inputs[#Headers]&amp;"'!Year.Matrix"), MATCH("Subtotal."&amp;$A$2, INDIRECT("'"&amp;V.a.Inputs[#Headers]&amp;"'!Year.Modules"), 0), MATCH(V.a.Inputs[Vector], INDIRECT("'"&amp;V.a.Inputs[#Headers]&amp;"'!Year.Vectors"), 0))</f>
        <v>1.5953510715315322</v>
      </c>
      <c r="H15" s="2769">
        <f ca="1">INDEX(INDIRECT("'"&amp;V.a.Inputs[#Headers]&amp;"'!Year.Matrix"), MATCH("Subtotal."&amp;$A$2, INDIRECT("'"&amp;V.a.Inputs[#Headers]&amp;"'!Year.Modules"), 0), MATCH(V.a.Inputs[Vector], INDIRECT("'"&amp;V.a.Inputs[#Headers]&amp;"'!Year.Vectors"), 0))</f>
        <v>2.02336533863705</v>
      </c>
      <c r="I15" s="2769">
        <f ca="1">INDEX(INDIRECT("'"&amp;V.a.Inputs[#Headers]&amp;"'!Year.Matrix"), MATCH("Subtotal."&amp;$A$2, INDIRECT("'"&amp;V.a.Inputs[#Headers]&amp;"'!Year.Modules"), 0), MATCH(V.a.Inputs[Vector], INDIRECT("'"&amp;V.a.Inputs[#Headers]&amp;"'!Year.Vectors"), 0))</f>
        <v>2.4228410429568106</v>
      </c>
      <c r="J15" s="2769">
        <f ca="1">INDEX(INDIRECT("'"&amp;V.a.Inputs[#Headers]&amp;"'!Year.Matrix"), MATCH("Subtotal."&amp;$A$2, INDIRECT("'"&amp;V.a.Inputs[#Headers]&amp;"'!Year.Modules"), 0), MATCH(V.a.Inputs[Vector], INDIRECT("'"&amp;V.a.Inputs[#Headers]&amp;"'!Year.Vectors"), 0))</f>
        <v>2.4737516261697139</v>
      </c>
      <c r="K15" s="2769">
        <f ca="1">INDEX(INDIRECT("'"&amp;V.a.Inputs[#Headers]&amp;"'!Year.Matrix"), MATCH("Subtotal."&amp;$A$2, INDIRECT("'"&amp;V.a.Inputs[#Headers]&amp;"'!Year.Modules"), 0), MATCH(V.a.Inputs[Vector], INDIRECT("'"&amp;V.a.Inputs[#Headers]&amp;"'!Year.Vectors"), 0))</f>
        <v>2.5380413936409871</v>
      </c>
      <c r="L15" s="2769">
        <f ca="1">INDEX(INDIRECT("'"&amp;V.a.Inputs[#Headers]&amp;"'!Year.Matrix"), MATCH("Subtotal."&amp;$A$2, INDIRECT("'"&amp;V.a.Inputs[#Headers]&amp;"'!Year.Modules"), 0), MATCH(V.a.Inputs[Vector], INDIRECT("'"&amp;V.a.Inputs[#Headers]&amp;"'!Year.Vectors"), 0))</f>
        <v>2.6049972464816578</v>
      </c>
      <c r="M15" s="2769">
        <f ca="1">INDEX(INDIRECT("'"&amp;V.a.Inputs[#Headers]&amp;"'!Year.Matrix"), MATCH("Subtotal."&amp;$A$2, INDIRECT("'"&amp;V.a.Inputs[#Headers]&amp;"'!Year.Modules"), 0), MATCH(V.a.Inputs[Vector], INDIRECT("'"&amp;V.a.Inputs[#Headers]&amp;"'!Year.Vectors"), 0))</f>
        <v>2.6746253611333737</v>
      </c>
      <c r="N15" s="2769">
        <f ca="1">INDEX(INDIRECT("'"&amp;V.a.Inputs[#Headers]&amp;"'!Year.Matrix"), MATCH("Subtotal."&amp;$A$2, INDIRECT("'"&amp;V.a.Inputs[#Headers]&amp;"'!Year.Modules"), 0), MATCH(V.a.Inputs[Vector], INDIRECT("'"&amp;V.a.Inputs[#Headers]&amp;"'!Year.Vectors"), 0))</f>
        <v>2.7476702822692167</v>
      </c>
      <c r="O15" s="864"/>
      <c r="P15" s="864"/>
    </row>
    <row r="16" spans="1:16" s="6" customFormat="1" ht="15.5">
      <c r="A16" s="2770"/>
      <c r="B16" s="863"/>
      <c r="C16" s="17" t="s">
        <v>424</v>
      </c>
      <c r="D16" s="17" t="s">
        <v>374</v>
      </c>
      <c r="E16" s="17"/>
      <c r="F16" s="2769">
        <f ca="1">INDEX(INDIRECT("'"&amp;V.a.Inputs[#Headers]&amp;"'!Year.Matrix"), MATCH("Subtotal."&amp;$A$2, INDIRECT("'"&amp;V.a.Inputs[#Headers]&amp;"'!Year.Modules"), 0), MATCH(V.a.Inputs[Vector], INDIRECT("'"&amp;V.a.Inputs[#Headers]&amp;"'!Year.Vectors"), 0))</f>
        <v>2.6310605833333334E-2</v>
      </c>
      <c r="G16" s="2769">
        <f ca="1">INDEX(INDIRECT("'"&amp;V.a.Inputs[#Headers]&amp;"'!Year.Matrix"), MATCH("Subtotal."&amp;$A$2, INDIRECT("'"&amp;V.a.Inputs[#Headers]&amp;"'!Year.Modules"), 0), MATCH(V.a.Inputs[Vector], INDIRECT("'"&amp;V.a.Inputs[#Headers]&amp;"'!Year.Vectors"), 0))</f>
        <v>5.7251070706856762E-2</v>
      </c>
      <c r="H16" s="2769">
        <f ca="1">INDEX(INDIRECT("'"&amp;V.a.Inputs[#Headers]&amp;"'!Year.Matrix"), MATCH("Subtotal."&amp;$A$2, INDIRECT("'"&amp;V.a.Inputs[#Headers]&amp;"'!Year.Modules"), 0), MATCH(V.a.Inputs[Vector], INDIRECT("'"&amp;V.a.Inputs[#Headers]&amp;"'!Year.Vectors"), 0))</f>
        <v>0.1568688247436055</v>
      </c>
      <c r="I16" s="2769">
        <f ca="1">INDEX(INDIRECT("'"&amp;V.a.Inputs[#Headers]&amp;"'!Year.Matrix"), MATCH("Subtotal."&amp;$A$2, INDIRECT("'"&amp;V.a.Inputs[#Headers]&amp;"'!Year.Modules"), 0), MATCH(V.a.Inputs[Vector], INDIRECT("'"&amp;V.a.Inputs[#Headers]&amp;"'!Year.Vectors"), 0))</f>
        <v>0.32815928062421929</v>
      </c>
      <c r="J16" s="2769">
        <f ca="1">INDEX(INDIRECT("'"&amp;V.a.Inputs[#Headers]&amp;"'!Year.Matrix"), MATCH("Subtotal."&amp;$A$2, INDIRECT("'"&amp;V.a.Inputs[#Headers]&amp;"'!Year.Modules"), 0), MATCH(V.a.Inputs[Vector], INDIRECT("'"&amp;V.a.Inputs[#Headers]&amp;"'!Year.Vectors"), 0))</f>
        <v>0.360856623390863</v>
      </c>
      <c r="K16" s="2769">
        <f ca="1">INDEX(INDIRECT("'"&amp;V.a.Inputs[#Headers]&amp;"'!Year.Matrix"), MATCH("Subtotal."&amp;$A$2, INDIRECT("'"&amp;V.a.Inputs[#Headers]&amp;"'!Year.Modules"), 0), MATCH(V.a.Inputs[Vector], INDIRECT("'"&amp;V.a.Inputs[#Headers]&amp;"'!Year.Vectors"), 0))</f>
        <v>0.54094077411715702</v>
      </c>
      <c r="L16" s="2769">
        <f ca="1">INDEX(INDIRECT("'"&amp;V.a.Inputs[#Headers]&amp;"'!Year.Matrix"), MATCH("Subtotal."&amp;$A$2, INDIRECT("'"&amp;V.a.Inputs[#Headers]&amp;"'!Year.Modules"), 0), MATCH(V.a.Inputs[Vector], INDIRECT("'"&amp;V.a.Inputs[#Headers]&amp;"'!Year.Vectors"), 0))</f>
        <v>0.73423025991845281</v>
      </c>
      <c r="M16" s="2769">
        <f ca="1">INDEX(INDIRECT("'"&amp;V.a.Inputs[#Headers]&amp;"'!Year.Matrix"), MATCH("Subtotal."&amp;$A$2, INDIRECT("'"&amp;V.a.Inputs[#Headers]&amp;"'!Year.Modules"), 0), MATCH(V.a.Inputs[Vector], INDIRECT("'"&amp;V.a.Inputs[#Headers]&amp;"'!Year.Vectors"), 0))</f>
        <v>0.94171211383144193</v>
      </c>
      <c r="N16" s="2769">
        <f ca="1">INDEX(INDIRECT("'"&amp;V.a.Inputs[#Headers]&amp;"'!Year.Matrix"), MATCH("Subtotal."&amp;$A$2, INDIRECT("'"&amp;V.a.Inputs[#Headers]&amp;"'!Year.Modules"), 0), MATCH(V.a.Inputs[Vector], INDIRECT("'"&amp;V.a.Inputs[#Headers]&amp;"'!Year.Vectors"), 0))</f>
        <v>0.99779232910552174</v>
      </c>
      <c r="O16" s="864"/>
      <c r="P16" s="864"/>
    </row>
    <row r="17" spans="1:18" s="6" customFormat="1" ht="15.5">
      <c r="A17" s="2770"/>
      <c r="B17" s="863"/>
      <c r="C17" s="17" t="s">
        <v>425</v>
      </c>
      <c r="D17" s="17" t="s">
        <v>375</v>
      </c>
      <c r="E17" s="17"/>
      <c r="F17" s="2769">
        <f ca="1">INDEX(INDIRECT("'"&amp;V.a.Inputs[#Headers]&amp;"'!Year.Matrix"), MATCH("Subtotal."&amp;$A$2, INDIRECT("'"&amp;V.a.Inputs[#Headers]&amp;"'!Year.Modules"), 0), MATCH(V.a.Inputs[Vector], INDIRECT("'"&amp;V.a.Inputs[#Headers]&amp;"'!Year.Vectors"), 0))</f>
        <v>0.15107025941422586</v>
      </c>
      <c r="G17" s="2769">
        <f ca="1">INDEX(INDIRECT("'"&amp;V.a.Inputs[#Headers]&amp;"'!Year.Matrix"), MATCH("Subtotal."&amp;$A$2, INDIRECT("'"&amp;V.a.Inputs[#Headers]&amp;"'!Year.Modules"), 0), MATCH(V.a.Inputs[Vector], INDIRECT("'"&amp;V.a.Inputs[#Headers]&amp;"'!Year.Vectors"), 0))</f>
        <v>0.15632142658010748</v>
      </c>
      <c r="H17" s="2769">
        <f ca="1">INDEX(INDIRECT("'"&amp;V.a.Inputs[#Headers]&amp;"'!Year.Matrix"), MATCH("Subtotal."&amp;$A$2, INDIRECT("'"&amp;V.a.Inputs[#Headers]&amp;"'!Year.Modules"), 0), MATCH(V.a.Inputs[Vector], INDIRECT("'"&amp;V.a.Inputs[#Headers]&amp;"'!Year.Vectors"), 0))</f>
        <v>0.16199979469292949</v>
      </c>
      <c r="I17" s="2769">
        <f ca="1">INDEX(INDIRECT("'"&amp;V.a.Inputs[#Headers]&amp;"'!Year.Matrix"), MATCH("Subtotal."&amp;$A$2, INDIRECT("'"&amp;V.a.Inputs[#Headers]&amp;"'!Year.Modules"), 0), MATCH(V.a.Inputs[Vector], INDIRECT("'"&amp;V.a.Inputs[#Headers]&amp;"'!Year.Vectors"), 0))</f>
        <v>0.15178856558780604</v>
      </c>
      <c r="J17" s="2769">
        <f ca="1">INDEX(INDIRECT("'"&amp;V.a.Inputs[#Headers]&amp;"'!Year.Matrix"), MATCH("Subtotal."&amp;$A$2, INDIRECT("'"&amp;V.a.Inputs[#Headers]&amp;"'!Year.Modules"), 0), MATCH(V.a.Inputs[Vector], INDIRECT("'"&amp;V.a.Inputs[#Headers]&amp;"'!Year.Vectors"), 0))</f>
        <v>0.13763675658837954</v>
      </c>
      <c r="K17" s="2769">
        <f ca="1">INDEX(INDIRECT("'"&amp;V.a.Inputs[#Headers]&amp;"'!Year.Matrix"), MATCH("Subtotal."&amp;$A$2, INDIRECT("'"&amp;V.a.Inputs[#Headers]&amp;"'!Year.Modules"), 0), MATCH(V.a.Inputs[Vector], INDIRECT("'"&amp;V.a.Inputs[#Headers]&amp;"'!Year.Vectors"), 0))</f>
        <v>0.12398271823418237</v>
      </c>
      <c r="L17" s="2769">
        <f ca="1">INDEX(INDIRECT("'"&amp;V.a.Inputs[#Headers]&amp;"'!Year.Matrix"), MATCH("Subtotal."&amp;$A$2, INDIRECT("'"&amp;V.a.Inputs[#Headers]&amp;"'!Year.Modules"), 0), MATCH(V.a.Inputs[Vector], INDIRECT("'"&amp;V.a.Inputs[#Headers]&amp;"'!Year.Vectors"), 0))</f>
        <v>0.11082645052521456</v>
      </c>
      <c r="M17" s="2769">
        <f ca="1">INDEX(INDIRECT("'"&amp;V.a.Inputs[#Headers]&amp;"'!Year.Matrix"), MATCH("Subtotal."&amp;$A$2, INDIRECT("'"&amp;V.a.Inputs[#Headers]&amp;"'!Year.Modules"), 0), MATCH(V.a.Inputs[Vector], INDIRECT("'"&amp;V.a.Inputs[#Headers]&amp;"'!Year.Vectors"), 0))</f>
        <v>9.816795346147611E-2</v>
      </c>
      <c r="N17" s="2769">
        <f ca="1">INDEX(INDIRECT("'"&amp;V.a.Inputs[#Headers]&amp;"'!Year.Matrix"), MATCH("Subtotal."&amp;$A$2, INDIRECT("'"&amp;V.a.Inputs[#Headers]&amp;"'!Year.Modules"), 0), MATCH(V.a.Inputs[Vector], INDIRECT("'"&amp;V.a.Inputs[#Headers]&amp;"'!Year.Vectors"), 0))</f>
        <v>8.6007227042966941E-2</v>
      </c>
      <c r="O17" s="864"/>
      <c r="P17" s="864"/>
    </row>
    <row r="18" spans="1:18" s="6" customFormat="1" ht="15.5">
      <c r="A18" s="2770"/>
      <c r="B18" s="863"/>
      <c r="C18" s="864" t="s">
        <v>421</v>
      </c>
      <c r="D18" s="864" t="s">
        <v>371</v>
      </c>
      <c r="E18" s="864"/>
      <c r="F18" s="2769">
        <f ca="1">INDEX(INDIRECT("'"&amp;V.a.Inputs[#Headers]&amp;"'!Year.Matrix"), MATCH("Subtotal."&amp;$A$2, INDIRECT("'"&amp;V.a.Inputs[#Headers]&amp;"'!Year.Modules"), 0), MATCH(V.a.Inputs[Vector], INDIRECT("'"&amp;V.a.Inputs[#Headers]&amp;"'!Year.Vectors"), 0))</f>
        <v>0.16958333333333334</v>
      </c>
      <c r="G18" s="2769">
        <f ca="1">INDEX(INDIRECT("'"&amp;V.a.Inputs[#Headers]&amp;"'!Year.Matrix"), MATCH("Subtotal."&amp;$A$2, INDIRECT("'"&amp;V.a.Inputs[#Headers]&amp;"'!Year.Modules"), 0), MATCH(V.a.Inputs[Vector], INDIRECT("'"&amp;V.a.Inputs[#Headers]&amp;"'!Year.Vectors"), 0))</f>
        <v>0.17043230989583333</v>
      </c>
      <c r="H18" s="2769">
        <f ca="1">INDEX(INDIRECT("'"&amp;V.a.Inputs[#Headers]&amp;"'!Year.Matrix"), MATCH("Subtotal."&amp;$A$2, INDIRECT("'"&amp;V.a.Inputs[#Headers]&amp;"'!Year.Modules"), 0), MATCH(V.a.Inputs[Vector], INDIRECT("'"&amp;V.a.Inputs[#Headers]&amp;"'!Year.Vectors"), 0))</f>
        <v>0.17257339245225228</v>
      </c>
      <c r="I18" s="2769">
        <f ca="1">INDEX(INDIRECT("'"&amp;V.a.Inputs[#Headers]&amp;"'!Year.Matrix"), MATCH("Subtotal."&amp;$A$2, INDIRECT("'"&amp;V.a.Inputs[#Headers]&amp;"'!Year.Modules"), 0), MATCH(V.a.Inputs[Vector], INDIRECT("'"&amp;V.a.Inputs[#Headers]&amp;"'!Year.Vectors"), 0))</f>
        <v>0.17474137269324885</v>
      </c>
      <c r="J18" s="2769">
        <f ca="1">INDEX(INDIRECT("'"&amp;V.a.Inputs[#Headers]&amp;"'!Year.Matrix"), MATCH("Subtotal."&amp;$A$2, INDIRECT("'"&amp;V.a.Inputs[#Headers]&amp;"'!Year.Modules"), 0), MATCH(V.a.Inputs[Vector], INDIRECT("'"&amp;V.a.Inputs[#Headers]&amp;"'!Year.Vectors"), 0))</f>
        <v>0.17693658852519345</v>
      </c>
      <c r="K18" s="2769">
        <f ca="1">INDEX(INDIRECT("'"&amp;V.a.Inputs[#Headers]&amp;"'!Year.Matrix"), MATCH("Subtotal."&amp;$A$2, INDIRECT("'"&amp;V.a.Inputs[#Headers]&amp;"'!Year.Modules"), 0), MATCH(V.a.Inputs[Vector], INDIRECT("'"&amp;V.a.Inputs[#Headers]&amp;"'!Year.Vectors"), 0))</f>
        <v>0.17915938209945831</v>
      </c>
      <c r="L18" s="2769">
        <f ca="1">INDEX(INDIRECT("'"&amp;V.a.Inputs[#Headers]&amp;"'!Year.Matrix"), MATCH("Subtotal."&amp;$A$2, INDIRECT("'"&amp;V.a.Inputs[#Headers]&amp;"'!Year.Modules"), 0), MATCH(V.a.Inputs[Vector], INDIRECT("'"&amp;V.a.Inputs[#Headers]&amp;"'!Year.Vectors"), 0))</f>
        <v>0.18141009986574574</v>
      </c>
      <c r="M18" s="2769">
        <f ca="1">INDEX(INDIRECT("'"&amp;V.a.Inputs[#Headers]&amp;"'!Year.Matrix"), MATCH("Subtotal."&amp;$A$2, INDIRECT("'"&amp;V.a.Inputs[#Headers]&amp;"'!Year.Modules"), 0), MATCH(V.a.Inputs[Vector], INDIRECT("'"&amp;V.a.Inputs[#Headers]&amp;"'!Year.Vectors"), 0))</f>
        <v>0.18368909262608663</v>
      </c>
      <c r="N18" s="2769">
        <f ca="1">INDEX(INDIRECT("'"&amp;V.a.Inputs[#Headers]&amp;"'!Year.Matrix"), MATCH("Subtotal."&amp;$A$2, INDIRECT("'"&amp;V.a.Inputs[#Headers]&amp;"'!Year.Modules"), 0), MATCH(V.a.Inputs[Vector], INDIRECT("'"&amp;V.a.Inputs[#Headers]&amp;"'!Year.Vectors"), 0))</f>
        <v>0.18599671558951725</v>
      </c>
      <c r="O18" s="864"/>
      <c r="P18" s="864"/>
    </row>
    <row r="19" spans="1:18" s="6" customFormat="1" ht="15.5">
      <c r="A19" s="2770"/>
      <c r="B19" s="863"/>
      <c r="C19" s="864" t="s">
        <v>422</v>
      </c>
      <c r="D19" s="864" t="s">
        <v>372</v>
      </c>
      <c r="E19" s="864"/>
      <c r="F19" s="2769">
        <f ca="1">INDEX(INDIRECT("'"&amp;V.a.Inputs[#Headers]&amp;"'!Year.Matrix"), MATCH("Subtotal."&amp;$A$2, INDIRECT("'"&amp;V.a.Inputs[#Headers]&amp;"'!Year.Modules"), 0), MATCH(V.a.Inputs[Vector], INDIRECT("'"&amp;V.a.Inputs[#Headers]&amp;"'!Year.Vectors"), 0))</f>
        <v>0.14350000000000002</v>
      </c>
      <c r="G19" s="2769">
        <f ca="1">INDEX(INDIRECT("'"&amp;V.a.Inputs[#Headers]&amp;"'!Year.Matrix"), MATCH("Subtotal."&amp;$A$2, INDIRECT("'"&amp;V.a.Inputs[#Headers]&amp;"'!Year.Modules"), 0), MATCH(V.a.Inputs[Vector], INDIRECT("'"&amp;V.a.Inputs[#Headers]&amp;"'!Year.Vectors"), 0))</f>
        <v>0.14776594798442105</v>
      </c>
      <c r="H19" s="2769">
        <f ca="1">INDEX(INDIRECT("'"&amp;V.a.Inputs[#Headers]&amp;"'!Year.Matrix"), MATCH("Subtotal."&amp;$A$2, INDIRECT("'"&amp;V.a.Inputs[#Headers]&amp;"'!Year.Modules"), 0), MATCH(V.a.Inputs[Vector], INDIRECT("'"&amp;V.a.Inputs[#Headers]&amp;"'!Year.Vectors"), 0))</f>
        <v>0.15899392199579612</v>
      </c>
      <c r="I19" s="2769">
        <f ca="1">INDEX(INDIRECT("'"&amp;V.a.Inputs[#Headers]&amp;"'!Year.Matrix"), MATCH("Subtotal."&amp;$A$2, INDIRECT("'"&amp;V.a.Inputs[#Headers]&amp;"'!Year.Modules"), 0), MATCH(V.a.Inputs[Vector], INDIRECT("'"&amp;V.a.Inputs[#Headers]&amp;"'!Year.Vectors"), 0))</f>
        <v>0.17107505197523906</v>
      </c>
      <c r="J19" s="2769">
        <f ca="1">INDEX(INDIRECT("'"&amp;V.a.Inputs[#Headers]&amp;"'!Year.Matrix"), MATCH("Subtotal."&amp;$A$2, INDIRECT("'"&amp;V.a.Inputs[#Headers]&amp;"'!Year.Modules"), 0), MATCH(V.a.Inputs[Vector], INDIRECT("'"&amp;V.a.Inputs[#Headers]&amp;"'!Year.Vectors"), 0))</f>
        <v>0.18407416485458214</v>
      </c>
      <c r="K19" s="2769">
        <f ca="1">INDEX(INDIRECT("'"&amp;V.a.Inputs[#Headers]&amp;"'!Year.Matrix"), MATCH("Subtotal."&amp;$A$2, INDIRECT("'"&amp;V.a.Inputs[#Headers]&amp;"'!Year.Modules"), 0), MATCH(V.a.Inputs[Vector], INDIRECT("'"&amp;V.a.Inputs[#Headers]&amp;"'!Year.Vectors"), 0))</f>
        <v>0.19806101343062021</v>
      </c>
      <c r="L19" s="2769">
        <f ca="1">INDEX(INDIRECT("'"&amp;V.a.Inputs[#Headers]&amp;"'!Year.Matrix"), MATCH("Subtotal."&amp;$A$2, INDIRECT("'"&amp;V.a.Inputs[#Headers]&amp;"'!Year.Modules"), 0), MATCH(V.a.Inputs[Vector], INDIRECT("'"&amp;V.a.Inputs[#Headers]&amp;"'!Year.Vectors"), 0))</f>
        <v>0.21311065065624191</v>
      </c>
      <c r="M19" s="2769">
        <f ca="1">INDEX(INDIRECT("'"&amp;V.a.Inputs[#Headers]&amp;"'!Year.Matrix"), MATCH("Subtotal."&amp;$A$2, INDIRECT("'"&amp;V.a.Inputs[#Headers]&amp;"'!Year.Modules"), 0), MATCH(V.a.Inputs[Vector], INDIRECT("'"&amp;V.a.Inputs[#Headers]&amp;"'!Year.Vectors"), 0))</f>
        <v>0.22930383237201715</v>
      </c>
      <c r="N19" s="2769">
        <f ca="1">INDEX(INDIRECT("'"&amp;V.a.Inputs[#Headers]&amp;"'!Year.Matrix"), MATCH("Subtotal."&amp;$A$2, INDIRECT("'"&amp;V.a.Inputs[#Headers]&amp;"'!Year.Modules"), 0), MATCH(V.a.Inputs[Vector], INDIRECT("'"&amp;V.a.Inputs[#Headers]&amp;"'!Year.Vectors"), 0))</f>
        <v>0.24672745063928636</v>
      </c>
      <c r="O19" s="17"/>
      <c r="P19" s="17"/>
    </row>
    <row r="20" spans="1:18" s="6" customFormat="1" ht="15.5">
      <c r="A20" s="2770"/>
      <c r="B20" s="863"/>
      <c r="C20" s="17"/>
      <c r="D20" s="17"/>
      <c r="E20" s="17"/>
      <c r="F20" s="22"/>
      <c r="G20" s="22"/>
      <c r="H20" s="22"/>
      <c r="I20" s="22"/>
      <c r="J20" s="22"/>
      <c r="K20" s="22"/>
      <c r="L20" s="22"/>
      <c r="M20" s="22"/>
      <c r="N20" s="22"/>
      <c r="O20" s="17"/>
      <c r="P20" s="17"/>
    </row>
    <row r="21" spans="1:18" s="6" customFormat="1" ht="15.5">
      <c r="A21" s="2770"/>
      <c r="B21" s="2658"/>
      <c r="C21" s="34" t="s">
        <v>2051</v>
      </c>
      <c r="D21" s="506"/>
      <c r="E21" s="507"/>
      <c r="F21" s="506"/>
      <c r="G21" s="506"/>
      <c r="H21" s="506"/>
      <c r="I21" s="506"/>
      <c r="J21" s="506"/>
      <c r="K21" s="506"/>
      <c r="L21" s="506"/>
      <c r="M21" s="506"/>
      <c r="N21" s="507" t="str">
        <f>Preferences.EnergyUnits</f>
        <v>TWh</v>
      </c>
      <c r="O21" s="17"/>
      <c r="P21" s="17"/>
    </row>
    <row r="22" spans="1:18" s="6" customFormat="1" ht="5.25" customHeight="1">
      <c r="A22" s="2770"/>
      <c r="B22" s="2658"/>
      <c r="C22" s="12"/>
      <c r="D22" s="506"/>
      <c r="E22" s="507"/>
      <c r="F22" s="506"/>
      <c r="G22" s="506"/>
      <c r="H22" s="506"/>
      <c r="I22" s="506"/>
      <c r="J22" s="506"/>
      <c r="K22" s="506"/>
      <c r="L22" s="506"/>
      <c r="M22" s="506"/>
      <c r="N22" s="506"/>
      <c r="O22" s="17"/>
      <c r="P22" s="17"/>
    </row>
    <row r="23" spans="1:18" s="6" customFormat="1" ht="15.5">
      <c r="A23" s="2770"/>
      <c r="B23" s="2658"/>
      <c r="C23" s="864" t="s">
        <v>28</v>
      </c>
      <c r="D23" s="864" t="s">
        <v>29</v>
      </c>
      <c r="E23" s="864" t="s">
        <v>30</v>
      </c>
      <c r="F23" s="864" t="s">
        <v>588</v>
      </c>
      <c r="G23" s="864" t="s">
        <v>132</v>
      </c>
      <c r="H23" s="864" t="s">
        <v>133</v>
      </c>
      <c r="I23" s="864" t="s">
        <v>134</v>
      </c>
      <c r="J23" s="864" t="s">
        <v>135</v>
      </c>
      <c r="K23" s="864" t="s">
        <v>136</v>
      </c>
      <c r="L23" s="864" t="s">
        <v>137</v>
      </c>
      <c r="M23" s="864" t="s">
        <v>138</v>
      </c>
      <c r="N23" s="864" t="s">
        <v>139</v>
      </c>
      <c r="O23" s="17"/>
      <c r="P23" s="17"/>
    </row>
    <row r="24" spans="1:18" s="6" customFormat="1" ht="15.5">
      <c r="A24" s="2770"/>
      <c r="B24" s="2658"/>
      <c r="C24" s="864" t="s">
        <v>97</v>
      </c>
      <c r="D24" s="864" t="s">
        <v>87</v>
      </c>
      <c r="E24" s="864"/>
      <c r="F24" s="2769">
        <f ca="1">INDEX(INDIRECT("'"&amp;V.a.InputsRequested[#Headers]&amp;"'!Year.Matrix"), MATCH("Subtotal."&amp;$A$2, INDIRECT("'"&amp;V.a.InputsRequested[#Headers]&amp;"'!Year.Modules"), 0), MATCH(V.a.InputsRequested[Vector], INDIRECT("'"&amp;V.a.InputsRequested[#Headers]&amp;"'!Year.Vectors"), 0))</f>
        <v>-24.546877780882909</v>
      </c>
      <c r="G24" s="2769">
        <f ca="1">INDEX(INDIRECT("'"&amp;V.a.InputsRequested[#Headers]&amp;"'!Year.Matrix"), MATCH("Subtotal."&amp;$A$2, INDIRECT("'"&amp;V.a.InputsRequested[#Headers]&amp;"'!Year.Modules"), 0), MATCH(V.a.InputsRequested[Vector], INDIRECT("'"&amp;V.a.InputsRequested[#Headers]&amp;"'!Year.Vectors"), 0))</f>
        <v>-25.019085289163165</v>
      </c>
      <c r="H24" s="2769">
        <f ca="1">INDEX(INDIRECT("'"&amp;V.a.InputsRequested[#Headers]&amp;"'!Year.Matrix"), MATCH("Subtotal."&amp;$A$2, INDIRECT("'"&amp;V.a.InputsRequested[#Headers]&amp;"'!Year.Modules"), 0), MATCH(V.a.InputsRequested[Vector], INDIRECT("'"&amp;V.a.InputsRequested[#Headers]&amp;"'!Year.Vectors"), 0))</f>
        <v>-22.973379101023177</v>
      </c>
      <c r="I24" s="2769">
        <f ca="1">INDEX(INDIRECT("'"&amp;V.a.InputsRequested[#Headers]&amp;"'!Year.Matrix"), MATCH("Subtotal."&amp;$A$2, INDIRECT("'"&amp;V.a.InputsRequested[#Headers]&amp;"'!Year.Modules"), 0), MATCH(V.a.InputsRequested[Vector], INDIRECT("'"&amp;V.a.InputsRequested[#Headers]&amp;"'!Year.Vectors"), 0))</f>
        <v>-23.158342737736056</v>
      </c>
      <c r="J24" s="2769">
        <f ca="1">INDEX(INDIRECT("'"&amp;V.a.InputsRequested[#Headers]&amp;"'!Year.Matrix"), MATCH("Subtotal."&amp;$A$2, INDIRECT("'"&amp;V.a.InputsRequested[#Headers]&amp;"'!Year.Modules"), 0), MATCH(V.a.InputsRequested[Vector], INDIRECT("'"&amp;V.a.InputsRequested[#Headers]&amp;"'!Year.Vectors"), 0))</f>
        <v>-17.478475301591967</v>
      </c>
      <c r="K24" s="2769">
        <f ca="1">INDEX(INDIRECT("'"&amp;V.a.InputsRequested[#Headers]&amp;"'!Year.Matrix"), MATCH("Subtotal."&amp;$A$2, INDIRECT("'"&amp;V.a.InputsRequested[#Headers]&amp;"'!Year.Modules"), 0), MATCH(V.a.InputsRequested[Vector], INDIRECT("'"&amp;V.a.InputsRequested[#Headers]&amp;"'!Year.Vectors"), 0))</f>
        <v>-4.6809644035740403</v>
      </c>
      <c r="L24" s="2769">
        <f ca="1">INDEX(INDIRECT("'"&amp;V.a.InputsRequested[#Headers]&amp;"'!Year.Matrix"), MATCH("Subtotal."&amp;$A$2, INDIRECT("'"&amp;V.a.InputsRequested[#Headers]&amp;"'!Year.Modules"), 0), MATCH(V.a.InputsRequested[Vector], INDIRECT("'"&amp;V.a.InputsRequested[#Headers]&amp;"'!Year.Vectors"), 0))</f>
        <v>-4.9309217391129918</v>
      </c>
      <c r="M24" s="2769">
        <f ca="1">INDEX(INDIRECT("'"&amp;V.a.InputsRequested[#Headers]&amp;"'!Year.Matrix"), MATCH("Subtotal."&amp;$A$2, INDIRECT("'"&amp;V.a.InputsRequested[#Headers]&amp;"'!Year.Modules"), 0), MATCH(V.a.InputsRequested[Vector], INDIRECT("'"&amp;V.a.InputsRequested[#Headers]&amp;"'!Year.Vectors"), 0))</f>
        <v>-5.2091308319670242</v>
      </c>
      <c r="N24" s="2769">
        <f ca="1">INDEX(INDIRECT("'"&amp;V.a.InputsRequested[#Headers]&amp;"'!Year.Matrix"), MATCH("Subtotal."&amp;$A$2, INDIRECT("'"&amp;V.a.InputsRequested[#Headers]&amp;"'!Year.Modules"), 0), MATCH(V.a.InputsRequested[Vector], INDIRECT("'"&amp;V.a.InputsRequested[#Headers]&amp;"'!Year.Vectors"), 0))</f>
        <v>-5.5197297709738296</v>
      </c>
      <c r="O24" s="17"/>
      <c r="P24" s="17"/>
    </row>
    <row r="25" spans="1:18" s="6" customFormat="1" ht="15.5">
      <c r="A25" s="2770"/>
      <c r="B25" s="2658"/>
      <c r="C25" s="864" t="s">
        <v>98</v>
      </c>
      <c r="D25" s="864" t="s">
        <v>88</v>
      </c>
      <c r="E25" s="864"/>
      <c r="F25" s="2769">
        <f ca="1">INDEX(INDIRECT("'"&amp;V.a.InputsRequested[#Headers]&amp;"'!Year.Matrix"), MATCH("Subtotal."&amp;$A$2, INDIRECT("'"&amp;V.a.InputsRequested[#Headers]&amp;"'!Year.Modules"), 0), MATCH(V.a.InputsRequested[Vector], INDIRECT("'"&amp;V.a.InputsRequested[#Headers]&amp;"'!Year.Vectors"), 0))</f>
        <v>-77.55283715410927</v>
      </c>
      <c r="G25" s="2769">
        <f ca="1">INDEX(INDIRECT("'"&amp;V.a.InputsRequested[#Headers]&amp;"'!Year.Matrix"), MATCH("Subtotal."&amp;$A$2, INDIRECT("'"&amp;V.a.InputsRequested[#Headers]&amp;"'!Year.Modules"), 0), MATCH(V.a.InputsRequested[Vector], INDIRECT("'"&amp;V.a.InputsRequested[#Headers]&amp;"'!Year.Vectors"), 0))</f>
        <v>-75.244847357519262</v>
      </c>
      <c r="H25" s="2769">
        <f ca="1">INDEX(INDIRECT("'"&amp;V.a.InputsRequested[#Headers]&amp;"'!Year.Matrix"), MATCH("Subtotal."&amp;$A$2, INDIRECT("'"&amp;V.a.InputsRequested[#Headers]&amp;"'!Year.Modules"), 0), MATCH(V.a.InputsRequested[Vector], INDIRECT("'"&amp;V.a.InputsRequested[#Headers]&amp;"'!Year.Vectors"), 0))</f>
        <v>-76.274750168889341</v>
      </c>
      <c r="I25" s="2769">
        <f ca="1">INDEX(INDIRECT("'"&amp;V.a.InputsRequested[#Headers]&amp;"'!Year.Matrix"), MATCH("Subtotal."&amp;$A$2, INDIRECT("'"&amp;V.a.InputsRequested[#Headers]&amp;"'!Year.Modules"), 0), MATCH(V.a.InputsRequested[Vector], INDIRECT("'"&amp;V.a.InputsRequested[#Headers]&amp;"'!Year.Vectors"), 0))</f>
        <v>-76.215903615572742</v>
      </c>
      <c r="J25" s="2769">
        <f ca="1">INDEX(INDIRECT("'"&amp;V.a.InputsRequested[#Headers]&amp;"'!Year.Matrix"), MATCH("Subtotal."&amp;$A$2, INDIRECT("'"&amp;V.a.InputsRequested[#Headers]&amp;"'!Year.Modules"), 0), MATCH(V.a.InputsRequested[Vector], INDIRECT("'"&amp;V.a.InputsRequested[#Headers]&amp;"'!Year.Vectors"), 0))</f>
        <v>-75.958681490777167</v>
      </c>
      <c r="K25" s="2769">
        <f ca="1">INDEX(INDIRECT("'"&amp;V.a.InputsRequested[#Headers]&amp;"'!Year.Matrix"), MATCH("Subtotal."&amp;$A$2, INDIRECT("'"&amp;V.a.InputsRequested[#Headers]&amp;"'!Year.Modules"), 0), MATCH(V.a.InputsRequested[Vector], INDIRECT("'"&amp;V.a.InputsRequested[#Headers]&amp;"'!Year.Vectors"), 0))</f>
        <v>-75.768165563645425</v>
      </c>
      <c r="L25" s="2769">
        <f ca="1">INDEX(INDIRECT("'"&amp;V.a.InputsRequested[#Headers]&amp;"'!Year.Matrix"), MATCH("Subtotal."&amp;$A$2, INDIRECT("'"&amp;V.a.InputsRequested[#Headers]&amp;"'!Year.Modules"), 0), MATCH(V.a.InputsRequested[Vector], INDIRECT("'"&amp;V.a.InputsRequested[#Headers]&amp;"'!Year.Vectors"), 0))</f>
        <v>-75.489071127163257</v>
      </c>
      <c r="M25" s="2769">
        <f ca="1">INDEX(INDIRECT("'"&amp;V.a.InputsRequested[#Headers]&amp;"'!Year.Matrix"), MATCH("Subtotal."&amp;$A$2, INDIRECT("'"&amp;V.a.InputsRequested[#Headers]&amp;"'!Year.Modules"), 0), MATCH(V.a.InputsRequested[Vector], INDIRECT("'"&amp;V.a.InputsRequested[#Headers]&amp;"'!Year.Vectors"), 0))</f>
        <v>-75.34637564867829</v>
      </c>
      <c r="N25" s="2769">
        <f ca="1">INDEX(INDIRECT("'"&amp;V.a.InputsRequested[#Headers]&amp;"'!Year.Matrix"), MATCH("Subtotal."&amp;$A$2, INDIRECT("'"&amp;V.a.InputsRequested[#Headers]&amp;"'!Year.Modules"), 0), MATCH(V.a.InputsRequested[Vector], INDIRECT("'"&amp;V.a.InputsRequested[#Headers]&amp;"'!Year.Vectors"), 0))</f>
        <v>-74.666873204295086</v>
      </c>
      <c r="O25" s="17"/>
      <c r="P25" s="17"/>
    </row>
    <row r="26" spans="1:18" s="6" customFormat="1" ht="15.5">
      <c r="A26" s="2770"/>
      <c r="B26" s="2658"/>
      <c r="C26" s="17" t="s">
        <v>99</v>
      </c>
      <c r="D26" s="17" t="s">
        <v>89</v>
      </c>
      <c r="E26" s="17"/>
      <c r="F26" s="2769">
        <f ca="1">INDEX(INDIRECT("'"&amp;V.a.InputsRequested[#Headers]&amp;"'!Year.Matrix"), MATCH("Subtotal."&amp;$A$2, INDIRECT("'"&amp;V.a.InputsRequested[#Headers]&amp;"'!Year.Modules"), 0), MATCH(V.a.InputsRequested[Vector], INDIRECT("'"&amp;V.a.InputsRequested[#Headers]&amp;"'!Year.Vectors"), 0))</f>
        <v>-46.942842436107043</v>
      </c>
      <c r="G26" s="2769">
        <f ca="1">INDEX(INDIRECT("'"&amp;V.a.InputsRequested[#Headers]&amp;"'!Year.Matrix"), MATCH("Subtotal."&amp;$A$2, INDIRECT("'"&amp;V.a.InputsRequested[#Headers]&amp;"'!Year.Modules"), 0), MATCH(V.a.InputsRequested[Vector], INDIRECT("'"&amp;V.a.InputsRequested[#Headers]&amp;"'!Year.Vectors"), 0))</f>
        <v>-48.921916338754876</v>
      </c>
      <c r="H26" s="2769">
        <f ca="1">INDEX(INDIRECT("'"&amp;V.a.InputsRequested[#Headers]&amp;"'!Year.Matrix"), MATCH("Subtotal."&amp;$A$2, INDIRECT("'"&amp;V.a.InputsRequested[#Headers]&amp;"'!Year.Modules"), 0), MATCH(V.a.InputsRequested[Vector], INDIRECT("'"&amp;V.a.InputsRequested[#Headers]&amp;"'!Year.Vectors"), 0))</f>
        <v>-57.168049372946761</v>
      </c>
      <c r="I26" s="2769">
        <f ca="1">INDEX(INDIRECT("'"&amp;V.a.InputsRequested[#Headers]&amp;"'!Year.Matrix"), MATCH("Subtotal."&amp;$A$2, INDIRECT("'"&amp;V.a.InputsRequested[#Headers]&amp;"'!Year.Modules"), 0), MATCH(V.a.InputsRequested[Vector], INDIRECT("'"&amp;V.a.InputsRequested[#Headers]&amp;"'!Year.Vectors"), 0))</f>
        <v>-68.702290917472666</v>
      </c>
      <c r="J26" s="2769">
        <f ca="1">INDEX(INDIRECT("'"&amp;V.a.InputsRequested[#Headers]&amp;"'!Year.Matrix"), MATCH("Subtotal."&amp;$A$2, INDIRECT("'"&amp;V.a.InputsRequested[#Headers]&amp;"'!Year.Modules"), 0), MATCH(V.a.InputsRequested[Vector], INDIRECT("'"&amp;V.a.InputsRequested[#Headers]&amp;"'!Year.Vectors"), 0))</f>
        <v>-85.082146478204891</v>
      </c>
      <c r="K26" s="2769">
        <f ca="1">INDEX(INDIRECT("'"&amp;V.a.InputsRequested[#Headers]&amp;"'!Year.Matrix"), MATCH("Subtotal."&amp;$A$2, INDIRECT("'"&amp;V.a.InputsRequested[#Headers]&amp;"'!Year.Modules"), 0), MATCH(V.a.InputsRequested[Vector], INDIRECT("'"&amp;V.a.InputsRequested[#Headers]&amp;"'!Year.Vectors"), 0))</f>
        <v>-105.92089590621669</v>
      </c>
      <c r="L26" s="2769">
        <f ca="1">INDEX(INDIRECT("'"&amp;V.a.InputsRequested[#Headers]&amp;"'!Year.Matrix"), MATCH("Subtotal."&amp;$A$2, INDIRECT("'"&amp;V.a.InputsRequested[#Headers]&amp;"'!Year.Modules"), 0), MATCH(V.a.InputsRequested[Vector], INDIRECT("'"&amp;V.a.InputsRequested[#Headers]&amp;"'!Year.Vectors"), 0))</f>
        <v>-115.09790099061033</v>
      </c>
      <c r="M26" s="2769">
        <f ca="1">INDEX(INDIRECT("'"&amp;V.a.InputsRequested[#Headers]&amp;"'!Year.Matrix"), MATCH("Subtotal."&amp;$A$2, INDIRECT("'"&amp;V.a.InputsRequested[#Headers]&amp;"'!Year.Modules"), 0), MATCH(V.a.InputsRequested[Vector], INDIRECT("'"&amp;V.a.InputsRequested[#Headers]&amp;"'!Year.Vectors"), 0))</f>
        <v>-124.65355054551733</v>
      </c>
      <c r="N26" s="2769">
        <f ca="1">INDEX(INDIRECT("'"&amp;V.a.InputsRequested[#Headers]&amp;"'!Year.Matrix"), MATCH("Subtotal."&amp;$A$2, INDIRECT("'"&amp;V.a.InputsRequested[#Headers]&amp;"'!Year.Modules"), 0), MATCH(V.a.InputsRequested[Vector], INDIRECT("'"&amp;V.a.InputsRequested[#Headers]&amp;"'!Year.Vectors"), 0))</f>
        <v>-134.66988111245277</v>
      </c>
      <c r="O26" s="17"/>
      <c r="P26" s="17"/>
    </row>
    <row r="27" spans="1:18" s="6" customFormat="1" ht="15.5">
      <c r="A27" s="2770"/>
      <c r="B27" s="2658"/>
      <c r="C27" s="17"/>
      <c r="D27" s="17"/>
      <c r="E27" s="17"/>
      <c r="F27" s="22"/>
      <c r="G27" s="22"/>
      <c r="H27" s="22"/>
      <c r="I27" s="22"/>
      <c r="J27" s="22"/>
      <c r="K27" s="22"/>
      <c r="L27" s="22"/>
      <c r="M27" s="22"/>
      <c r="N27" s="22"/>
      <c r="O27" s="22"/>
      <c r="P27" s="17"/>
    </row>
    <row r="28" spans="1:18">
      <c r="B28" s="868"/>
    </row>
    <row r="29" spans="1:18" ht="23.5" collapsed="1">
      <c r="A29" s="7"/>
      <c r="B29" s="869" t="s">
        <v>33</v>
      </c>
      <c r="C29" s="870"/>
      <c r="D29" s="870"/>
      <c r="E29" s="870"/>
      <c r="F29" s="870"/>
      <c r="G29" s="870"/>
      <c r="H29" s="870"/>
      <c r="I29" s="870"/>
      <c r="J29" s="870"/>
      <c r="K29" s="870"/>
      <c r="L29" s="870"/>
      <c r="M29" s="870"/>
      <c r="N29" s="870"/>
      <c r="O29" s="870"/>
      <c r="P29" s="871"/>
      <c r="R29" s="372"/>
    </row>
    <row r="30" spans="1:18">
      <c r="B30" s="872"/>
      <c r="C30" s="873"/>
      <c r="D30" s="873"/>
      <c r="E30" s="873"/>
      <c r="F30" s="873"/>
      <c r="G30" s="873"/>
      <c r="H30" s="873"/>
      <c r="I30" s="873"/>
      <c r="J30" s="873"/>
      <c r="K30" s="873"/>
      <c r="L30" s="873"/>
      <c r="M30" s="873"/>
      <c r="N30" s="873"/>
      <c r="O30" s="873"/>
      <c r="P30" s="874"/>
    </row>
    <row r="31" spans="1:18">
      <c r="B31" s="895"/>
      <c r="C31" s="49" t="s">
        <v>2052</v>
      </c>
      <c r="D31" s="195"/>
      <c r="E31" s="67"/>
      <c r="F31" s="49" t="s">
        <v>2049</v>
      </c>
      <c r="G31" s="67"/>
      <c r="H31" s="67"/>
      <c r="I31" s="67"/>
      <c r="J31" s="67"/>
      <c r="K31" s="49"/>
      <c r="L31" s="67"/>
      <c r="M31" s="67"/>
      <c r="N31" s="67"/>
      <c r="O31" s="67"/>
      <c r="P31" s="876"/>
    </row>
    <row r="32" spans="1:18" ht="5.25" customHeight="1">
      <c r="B32" s="895"/>
      <c r="C32" s="67"/>
      <c r="D32" s="195"/>
      <c r="E32" s="67"/>
      <c r="F32" s="67"/>
      <c r="G32" s="67"/>
      <c r="H32" s="67"/>
      <c r="I32" s="67"/>
      <c r="J32" s="67"/>
      <c r="K32" s="67"/>
      <c r="L32" s="67"/>
      <c r="M32" s="67"/>
      <c r="N32" s="67"/>
      <c r="O32" s="67"/>
      <c r="P32" s="876"/>
    </row>
    <row r="33" spans="2:16" ht="15.5">
      <c r="B33" s="877"/>
      <c r="C33" s="878" t="s">
        <v>2053</v>
      </c>
      <c r="D33" s="878" t="s">
        <v>2054</v>
      </c>
      <c r="E33" s="878" t="s">
        <v>2055</v>
      </c>
      <c r="F33" s="2659">
        <v>1</v>
      </c>
      <c r="G33" s="2659">
        <v>2</v>
      </c>
      <c r="H33" s="2659">
        <v>3</v>
      </c>
      <c r="I33" s="2659">
        <v>4</v>
      </c>
      <c r="J33" s="67"/>
      <c r="K33" s="67"/>
      <c r="L33" s="67"/>
      <c r="M33" s="67"/>
      <c r="N33" s="67"/>
      <c r="O33" s="67"/>
      <c r="P33" s="876"/>
    </row>
    <row r="34" spans="2:16" ht="15.5">
      <c r="B34" s="877"/>
      <c r="C34" s="2660" t="s">
        <v>423</v>
      </c>
      <c r="D34" s="881" t="s">
        <v>373</v>
      </c>
      <c r="E34" s="881" t="s">
        <v>16</v>
      </c>
      <c r="F34" s="1085">
        <v>1</v>
      </c>
      <c r="G34" s="1085">
        <v>1</v>
      </c>
      <c r="H34" s="1085">
        <v>0</v>
      </c>
      <c r="I34" s="1085">
        <v>0</v>
      </c>
      <c r="J34" s="67"/>
      <c r="K34" s="67"/>
      <c r="L34" s="67"/>
      <c r="M34" s="67"/>
      <c r="N34" s="67"/>
      <c r="O34" s="67"/>
      <c r="P34" s="876"/>
    </row>
    <row r="35" spans="2:16" ht="15.5">
      <c r="B35" s="877"/>
      <c r="C35" s="104" t="s">
        <v>423</v>
      </c>
      <c r="D35" s="103" t="s">
        <v>373</v>
      </c>
      <c r="E35" s="103" t="s">
        <v>1668</v>
      </c>
      <c r="F35" s="1086">
        <v>0</v>
      </c>
      <c r="G35" s="1086">
        <v>0</v>
      </c>
      <c r="H35" s="1086">
        <v>1</v>
      </c>
      <c r="I35" s="1086">
        <v>0</v>
      </c>
      <c r="J35" s="67"/>
      <c r="K35" s="67"/>
      <c r="L35" s="67"/>
      <c r="M35" s="67"/>
      <c r="N35" s="67"/>
      <c r="O35" s="67"/>
      <c r="P35" s="876"/>
    </row>
    <row r="36" spans="2:16" ht="15.5">
      <c r="B36" s="877"/>
      <c r="C36" s="2661" t="s">
        <v>423</v>
      </c>
      <c r="D36" s="1495" t="s">
        <v>373</v>
      </c>
      <c r="E36" s="1495" t="s">
        <v>15</v>
      </c>
      <c r="F36" s="2662">
        <v>0</v>
      </c>
      <c r="G36" s="2662">
        <v>0</v>
      </c>
      <c r="H36" s="2662">
        <v>0</v>
      </c>
      <c r="I36" s="2662">
        <v>1</v>
      </c>
      <c r="J36" s="67"/>
      <c r="K36" s="67"/>
      <c r="L36" s="67"/>
      <c r="M36" s="67"/>
      <c r="N36" s="67"/>
      <c r="O36" s="67"/>
      <c r="P36" s="876"/>
    </row>
    <row r="37" spans="2:16" ht="15.5">
      <c r="B37" s="877"/>
      <c r="C37" s="2660" t="s">
        <v>424</v>
      </c>
      <c r="D37" s="881" t="s">
        <v>374</v>
      </c>
      <c r="E37" s="881" t="s">
        <v>16</v>
      </c>
      <c r="F37" s="1085">
        <v>0</v>
      </c>
      <c r="G37" s="1085">
        <v>0</v>
      </c>
      <c r="H37" s="1085">
        <v>0</v>
      </c>
      <c r="I37" s="1085">
        <v>0</v>
      </c>
      <c r="J37" s="67"/>
      <c r="K37" s="67"/>
      <c r="L37" s="67"/>
      <c r="M37" s="67"/>
      <c r="N37" s="67"/>
      <c r="O37" s="67"/>
      <c r="P37" s="876"/>
    </row>
    <row r="38" spans="2:16" ht="15.5">
      <c r="B38" s="877"/>
      <c r="C38" s="104" t="s">
        <v>424</v>
      </c>
      <c r="D38" s="103" t="s">
        <v>374</v>
      </c>
      <c r="E38" s="103" t="s">
        <v>1668</v>
      </c>
      <c r="F38" s="1086">
        <v>0</v>
      </c>
      <c r="G38" s="1086">
        <v>0</v>
      </c>
      <c r="H38" s="1086">
        <v>1</v>
      </c>
      <c r="I38" s="1086">
        <v>0</v>
      </c>
      <c r="J38" s="67"/>
      <c r="K38" s="67"/>
      <c r="L38" s="67"/>
      <c r="M38" s="67"/>
      <c r="N38" s="67"/>
      <c r="O38" s="67"/>
      <c r="P38" s="876"/>
    </row>
    <row r="39" spans="2:16" ht="15.5">
      <c r="B39" s="877"/>
      <c r="C39" s="2661" t="s">
        <v>424</v>
      </c>
      <c r="D39" s="1495" t="s">
        <v>374</v>
      </c>
      <c r="E39" s="1495" t="s">
        <v>15</v>
      </c>
      <c r="F39" s="2662">
        <v>1</v>
      </c>
      <c r="G39" s="2662">
        <v>1</v>
      </c>
      <c r="H39" s="2662">
        <v>0</v>
      </c>
      <c r="I39" s="2662">
        <v>1</v>
      </c>
      <c r="J39" s="67"/>
      <c r="K39" s="67"/>
      <c r="L39" s="67"/>
      <c r="M39" s="67"/>
      <c r="N39" s="67"/>
      <c r="O39" s="67"/>
      <c r="P39" s="876"/>
    </row>
    <row r="40" spans="2:16" ht="15.5">
      <c r="B40" s="877"/>
      <c r="C40" s="104" t="s">
        <v>421</v>
      </c>
      <c r="D40" s="103" t="s">
        <v>371</v>
      </c>
      <c r="E40" s="103" t="s">
        <v>16</v>
      </c>
      <c r="F40" s="1086">
        <v>0</v>
      </c>
      <c r="G40" s="1086">
        <v>1</v>
      </c>
      <c r="H40" s="1086">
        <v>0</v>
      </c>
      <c r="I40" s="1086">
        <v>0</v>
      </c>
      <c r="J40" s="67"/>
      <c r="K40" s="67"/>
      <c r="L40" s="67"/>
      <c r="M40" s="67"/>
      <c r="N40" s="67"/>
      <c r="O40" s="67"/>
      <c r="P40" s="876"/>
    </row>
    <row r="41" spans="2:16" ht="15.5">
      <c r="B41" s="877"/>
      <c r="C41" s="104" t="s">
        <v>421</v>
      </c>
      <c r="D41" s="103" t="s">
        <v>371</v>
      </c>
      <c r="E41" s="103" t="s">
        <v>1668</v>
      </c>
      <c r="F41" s="1086">
        <v>1</v>
      </c>
      <c r="G41" s="1086">
        <v>0</v>
      </c>
      <c r="H41" s="1086">
        <v>1</v>
      </c>
      <c r="I41" s="1086">
        <v>0</v>
      </c>
      <c r="J41" s="67"/>
      <c r="K41" s="67"/>
      <c r="L41" s="67"/>
      <c r="M41" s="67"/>
      <c r="N41" s="67"/>
      <c r="O41" s="67"/>
      <c r="P41" s="876"/>
    </row>
    <row r="42" spans="2:16" ht="15.5">
      <c r="B42" s="877"/>
      <c r="C42" s="2661" t="s">
        <v>421</v>
      </c>
      <c r="D42" s="1495" t="s">
        <v>371</v>
      </c>
      <c r="E42" s="1495" t="s">
        <v>15</v>
      </c>
      <c r="F42" s="2662">
        <v>0</v>
      </c>
      <c r="G42" s="2662">
        <v>0</v>
      </c>
      <c r="H42" s="2662">
        <v>0</v>
      </c>
      <c r="I42" s="2662">
        <v>1</v>
      </c>
      <c r="J42" s="67"/>
      <c r="K42" s="67"/>
      <c r="L42" s="67"/>
      <c r="M42" s="67"/>
      <c r="N42" s="67"/>
      <c r="O42" s="67"/>
      <c r="P42" s="876"/>
    </row>
    <row r="43" spans="2:16" ht="15.5">
      <c r="B43" s="877"/>
      <c r="C43" s="104" t="s">
        <v>422</v>
      </c>
      <c r="D43" s="103" t="s">
        <v>372</v>
      </c>
      <c r="E43" s="103" t="s">
        <v>16</v>
      </c>
      <c r="F43" s="1086">
        <v>0</v>
      </c>
      <c r="G43" s="1086">
        <v>0</v>
      </c>
      <c r="H43" s="1086">
        <v>0</v>
      </c>
      <c r="I43" s="1086">
        <v>0</v>
      </c>
      <c r="J43" s="67"/>
      <c r="K43" s="67"/>
      <c r="L43" s="67"/>
      <c r="M43" s="67"/>
      <c r="N43" s="67"/>
      <c r="O43" s="67"/>
      <c r="P43" s="876"/>
    </row>
    <row r="44" spans="2:16" ht="15.5">
      <c r="B44" s="877"/>
      <c r="C44" s="104" t="s">
        <v>422</v>
      </c>
      <c r="D44" s="103" t="s">
        <v>372</v>
      </c>
      <c r="E44" s="103" t="s">
        <v>1668</v>
      </c>
      <c r="F44" s="1086">
        <v>1</v>
      </c>
      <c r="G44" s="1086">
        <v>1</v>
      </c>
      <c r="H44" s="1086">
        <v>1</v>
      </c>
      <c r="I44" s="1086">
        <v>1</v>
      </c>
      <c r="J44" s="67"/>
      <c r="K44" s="67"/>
      <c r="L44" s="67"/>
      <c r="M44" s="67"/>
      <c r="N44" s="67"/>
      <c r="O44" s="67"/>
      <c r="P44" s="876"/>
    </row>
    <row r="45" spans="2:16" ht="15.5">
      <c r="B45" s="877"/>
      <c r="C45" s="2661" t="s">
        <v>422</v>
      </c>
      <c r="D45" s="1495" t="s">
        <v>372</v>
      </c>
      <c r="E45" s="1495" t="s">
        <v>15</v>
      </c>
      <c r="F45" s="2662">
        <v>0</v>
      </c>
      <c r="G45" s="2662">
        <v>0</v>
      </c>
      <c r="H45" s="2662">
        <v>0</v>
      </c>
      <c r="I45" s="2662">
        <v>0</v>
      </c>
      <c r="J45" s="67"/>
      <c r="K45" s="67"/>
      <c r="L45" s="67"/>
      <c r="M45" s="67"/>
      <c r="N45" s="67"/>
      <c r="O45" s="67"/>
      <c r="P45" s="876"/>
    </row>
    <row r="46" spans="2:16" ht="15.5">
      <c r="B46" s="877"/>
      <c r="C46" s="104" t="s">
        <v>425</v>
      </c>
      <c r="D46" s="103" t="s">
        <v>375</v>
      </c>
      <c r="E46" s="103" t="s">
        <v>16</v>
      </c>
      <c r="F46" s="1086">
        <v>0</v>
      </c>
      <c r="G46" s="1086">
        <v>0</v>
      </c>
      <c r="H46" s="1086">
        <v>0</v>
      </c>
      <c r="I46" s="1086">
        <v>0</v>
      </c>
      <c r="J46" s="67"/>
      <c r="K46" s="67"/>
      <c r="L46" s="67"/>
      <c r="M46" s="67"/>
      <c r="N46" s="67"/>
      <c r="O46" s="67"/>
      <c r="P46" s="876"/>
    </row>
    <row r="47" spans="2:16" ht="15.5">
      <c r="B47" s="877"/>
      <c r="C47" s="104" t="s">
        <v>425</v>
      </c>
      <c r="D47" s="103" t="s">
        <v>375</v>
      </c>
      <c r="E47" s="103" t="s">
        <v>1668</v>
      </c>
      <c r="F47" s="1086">
        <v>0</v>
      </c>
      <c r="G47" s="1086">
        <v>0</v>
      </c>
      <c r="H47" s="1086">
        <v>0</v>
      </c>
      <c r="I47" s="1086">
        <v>0</v>
      </c>
      <c r="J47" s="67"/>
      <c r="K47" s="67"/>
      <c r="L47" s="67"/>
      <c r="M47" s="67"/>
      <c r="N47" s="67"/>
      <c r="O47" s="67"/>
      <c r="P47" s="876"/>
    </row>
    <row r="48" spans="2:16" ht="15.5">
      <c r="B48" s="877"/>
      <c r="C48" s="2582" t="s">
        <v>425</v>
      </c>
      <c r="D48" s="194" t="s">
        <v>375</v>
      </c>
      <c r="E48" s="194" t="s">
        <v>15</v>
      </c>
      <c r="F48" s="1087">
        <v>1</v>
      </c>
      <c r="G48" s="1087">
        <v>1</v>
      </c>
      <c r="H48" s="1087">
        <v>1</v>
      </c>
      <c r="I48" s="1087">
        <v>1</v>
      </c>
      <c r="J48" s="67"/>
      <c r="K48" s="67"/>
      <c r="L48" s="67"/>
      <c r="M48" s="67"/>
      <c r="N48" s="67"/>
      <c r="O48" s="67"/>
      <c r="P48" s="876"/>
    </row>
    <row r="49" spans="1:18" ht="15.5">
      <c r="B49" s="877"/>
      <c r="C49" s="65"/>
      <c r="D49" s="103"/>
      <c r="E49" s="103"/>
      <c r="F49" s="103"/>
      <c r="G49" s="103"/>
      <c r="H49" s="103"/>
      <c r="I49" s="103"/>
      <c r="J49" s="67"/>
      <c r="K49" s="67"/>
      <c r="L49" s="67"/>
      <c r="M49" s="67"/>
      <c r="N49" s="67"/>
      <c r="O49" s="67"/>
      <c r="P49" s="876"/>
    </row>
    <row r="50" spans="1:18">
      <c r="B50" s="895"/>
      <c r="C50" s="3567" t="s">
        <v>63</v>
      </c>
      <c r="D50" s="103"/>
      <c r="E50" s="103"/>
      <c r="F50" s="59"/>
      <c r="G50" s="60"/>
      <c r="H50" s="60"/>
      <c r="I50" s="60"/>
      <c r="J50" s="60"/>
      <c r="K50" s="60"/>
      <c r="L50" s="60"/>
      <c r="M50" s="60"/>
      <c r="N50" s="60"/>
      <c r="O50" s="60"/>
      <c r="P50" s="876"/>
    </row>
    <row r="51" spans="1:18">
      <c r="B51" s="895"/>
      <c r="C51" s="65"/>
      <c r="D51" s="2248" t="s">
        <v>2056</v>
      </c>
      <c r="E51" s="103"/>
      <c r="F51" s="59"/>
      <c r="G51" s="60"/>
      <c r="H51" s="60"/>
      <c r="I51" s="60"/>
      <c r="J51" s="60"/>
      <c r="K51" s="60"/>
      <c r="L51" s="60"/>
      <c r="M51" s="60"/>
      <c r="N51" s="60"/>
      <c r="O51" s="60"/>
      <c r="P51" s="876"/>
    </row>
    <row r="52" spans="1:18">
      <c r="B52" s="895"/>
      <c r="C52" s="65"/>
      <c r="D52" s="2248" t="s">
        <v>2057</v>
      </c>
      <c r="E52" s="103"/>
      <c r="F52" s="59"/>
      <c r="G52" s="60"/>
      <c r="H52" s="60"/>
      <c r="I52" s="60"/>
      <c r="J52" s="60"/>
      <c r="K52" s="60"/>
      <c r="L52" s="60"/>
      <c r="M52" s="60"/>
      <c r="N52" s="60"/>
      <c r="O52" s="60"/>
      <c r="P52" s="876"/>
    </row>
    <row r="53" spans="1:18">
      <c r="B53" s="895"/>
      <c r="C53" s="65"/>
      <c r="D53" s="2248" t="s">
        <v>2058</v>
      </c>
      <c r="E53" s="103"/>
      <c r="F53" s="59"/>
      <c r="G53" s="60"/>
      <c r="H53" s="60"/>
      <c r="I53" s="60"/>
      <c r="J53" s="60"/>
      <c r="K53" s="60"/>
      <c r="L53" s="60"/>
      <c r="M53" s="60"/>
      <c r="N53" s="60"/>
      <c r="O53" s="60"/>
      <c r="P53" s="876"/>
    </row>
    <row r="54" spans="1:18">
      <c r="B54" s="895"/>
      <c r="C54" s="104"/>
      <c r="D54" s="924"/>
      <c r="E54" s="103"/>
      <c r="F54" s="59"/>
      <c r="G54" s="60"/>
      <c r="H54" s="60"/>
      <c r="I54" s="60"/>
      <c r="J54" s="60"/>
      <c r="K54" s="60"/>
      <c r="L54" s="60"/>
      <c r="M54" s="60"/>
      <c r="N54" s="60"/>
      <c r="O54" s="60"/>
      <c r="P54" s="876"/>
    </row>
    <row r="55" spans="1:18">
      <c r="B55" s="868"/>
    </row>
    <row r="56" spans="1:18" s="6" customFormat="1" ht="23.5" collapsed="1">
      <c r="A56" s="40"/>
      <c r="B56" s="869" t="s">
        <v>69</v>
      </c>
      <c r="C56" s="870"/>
      <c r="D56" s="870"/>
      <c r="E56" s="870"/>
      <c r="F56" s="870"/>
      <c r="G56" s="870"/>
      <c r="H56" s="870"/>
      <c r="I56" s="870"/>
      <c r="J56" s="870"/>
      <c r="K56" s="870"/>
      <c r="L56" s="870"/>
      <c r="M56" s="870"/>
      <c r="N56" s="870"/>
      <c r="O56" s="870"/>
      <c r="P56" s="871"/>
    </row>
    <row r="57" spans="1:18" ht="7.5" customHeight="1">
      <c r="B57" s="875"/>
      <c r="C57" s="67"/>
      <c r="D57" s="67"/>
      <c r="E57" s="67"/>
      <c r="F57" s="67"/>
      <c r="G57" s="67"/>
      <c r="H57" s="67"/>
      <c r="I57" s="67"/>
      <c r="J57" s="67"/>
      <c r="K57" s="67"/>
      <c r="L57" s="67"/>
      <c r="M57" s="67"/>
      <c r="N57" s="67"/>
      <c r="O57" s="67"/>
      <c r="P57" s="876"/>
      <c r="R57" s="6"/>
    </row>
    <row r="58" spans="1:18">
      <c r="B58" s="875"/>
      <c r="C58" s="49" t="s">
        <v>2101</v>
      </c>
      <c r="D58" s="67"/>
      <c r="E58" s="67"/>
      <c r="F58" s="67"/>
      <c r="G58" s="67"/>
      <c r="H58" s="51"/>
      <c r="I58" s="67"/>
      <c r="J58" s="67"/>
      <c r="K58" s="1217" t="s">
        <v>2059</v>
      </c>
      <c r="L58" s="67"/>
      <c r="M58" s="67"/>
      <c r="N58" s="67"/>
      <c r="O58" s="67"/>
      <c r="P58" s="67"/>
      <c r="R58" s="6"/>
    </row>
    <row r="59" spans="1:18" ht="7.5" customHeight="1">
      <c r="B59" s="875"/>
      <c r="C59" s="67"/>
      <c r="D59" s="67"/>
      <c r="E59" s="67"/>
      <c r="F59" s="67"/>
      <c r="G59" s="67"/>
      <c r="H59" s="67"/>
      <c r="I59" s="67"/>
      <c r="J59" s="67"/>
      <c r="K59" s="67"/>
      <c r="L59" s="67"/>
      <c r="M59" s="914"/>
      <c r="N59" s="914"/>
      <c r="O59" s="914"/>
      <c r="P59" s="2663"/>
      <c r="R59" s="6"/>
    </row>
    <row r="60" spans="1:18" s="2" customFormat="1" ht="14.25" customHeight="1">
      <c r="B60" s="895"/>
      <c r="C60" s="260"/>
      <c r="D60" s="260"/>
      <c r="E60" s="260"/>
      <c r="F60" s="2664"/>
      <c r="G60" s="2665" t="s">
        <v>374</v>
      </c>
      <c r="H60" s="2666" t="s">
        <v>373</v>
      </c>
      <c r="I60" s="2666" t="s">
        <v>371</v>
      </c>
      <c r="J60" s="2666" t="s">
        <v>372</v>
      </c>
      <c r="K60" s="2666" t="s">
        <v>375</v>
      </c>
      <c r="L60" s="46"/>
      <c r="M60" s="2667"/>
      <c r="N60" s="57"/>
      <c r="O60" s="57"/>
      <c r="P60" s="2565"/>
      <c r="R60" s="4"/>
    </row>
    <row r="61" spans="1:18" ht="15.5">
      <c r="B61" s="877"/>
      <c r="C61" s="1019" t="s">
        <v>131</v>
      </c>
      <c r="D61" s="1019" t="s">
        <v>71</v>
      </c>
      <c r="E61" s="1019" t="s">
        <v>30</v>
      </c>
      <c r="F61" s="2668" t="s">
        <v>2060</v>
      </c>
      <c r="G61" s="2669" t="s">
        <v>424</v>
      </c>
      <c r="H61" s="2670" t="s">
        <v>423</v>
      </c>
      <c r="I61" s="2670" t="s">
        <v>421</v>
      </c>
      <c r="J61" s="2670" t="s">
        <v>422</v>
      </c>
      <c r="K61" s="2670" t="s">
        <v>425</v>
      </c>
      <c r="L61" s="1188"/>
      <c r="M61" s="104"/>
      <c r="N61" s="103"/>
      <c r="O61" s="103"/>
      <c r="P61" s="2565"/>
      <c r="R61" s="6"/>
    </row>
    <row r="62" spans="1:18" ht="15.5">
      <c r="B62" s="877"/>
      <c r="C62" s="2671" t="s">
        <v>97</v>
      </c>
      <c r="D62" s="2671" t="s">
        <v>87</v>
      </c>
      <c r="E62" s="1090" t="s">
        <v>1140</v>
      </c>
      <c r="F62" s="2672"/>
      <c r="G62" s="2673"/>
      <c r="H62" s="2674">
        <v>0.9</v>
      </c>
      <c r="I62" s="2674">
        <v>0.9</v>
      </c>
      <c r="J62" s="2673"/>
      <c r="K62" s="2675"/>
      <c r="L62" s="2548"/>
      <c r="M62" s="104"/>
      <c r="N62" s="103"/>
      <c r="O62" s="103"/>
      <c r="P62" s="2565"/>
      <c r="R62" s="6"/>
    </row>
    <row r="63" spans="1:18" ht="17.25" customHeight="1">
      <c r="B63" s="877"/>
      <c r="C63" s="915" t="s">
        <v>98</v>
      </c>
      <c r="D63" s="915" t="s">
        <v>88</v>
      </c>
      <c r="E63" s="914"/>
      <c r="F63" s="2676"/>
      <c r="G63" s="2674">
        <v>0.318</v>
      </c>
      <c r="H63" s="2674">
        <v>0.37</v>
      </c>
      <c r="I63" s="2674">
        <v>0.37</v>
      </c>
      <c r="J63" s="2674">
        <v>0.31</v>
      </c>
      <c r="K63" s="2677"/>
      <c r="L63" s="2548"/>
      <c r="M63" s="104"/>
      <c r="N63" s="103"/>
      <c r="O63" s="103"/>
      <c r="P63" s="2678"/>
      <c r="R63" s="6"/>
    </row>
    <row r="64" spans="1:18" ht="15.5">
      <c r="B64" s="877"/>
      <c r="C64" s="948" t="s">
        <v>99</v>
      </c>
      <c r="D64" s="948" t="s">
        <v>89</v>
      </c>
      <c r="E64" s="2679" t="s">
        <v>2061</v>
      </c>
      <c r="F64" s="2680"/>
      <c r="G64" s="2681">
        <v>0.75</v>
      </c>
      <c r="H64" s="2681">
        <v>0.58499999999999996</v>
      </c>
      <c r="I64" s="2681">
        <v>0.58499999999999996</v>
      </c>
      <c r="J64" s="2681"/>
      <c r="K64" s="2682">
        <v>1</v>
      </c>
      <c r="L64" s="2548"/>
      <c r="M64" s="104"/>
      <c r="N64" s="103"/>
      <c r="O64" s="103"/>
      <c r="P64" s="2565"/>
      <c r="Q64" s="39"/>
      <c r="R64" s="850"/>
    </row>
    <row r="65" spans="2:18" ht="15.5">
      <c r="B65" s="877"/>
      <c r="C65" s="915"/>
      <c r="D65" s="915"/>
      <c r="E65" s="914"/>
      <c r="F65" s="2548"/>
      <c r="G65" s="2683"/>
      <c r="H65" s="2548"/>
      <c r="I65" s="2548"/>
      <c r="J65" s="2548"/>
      <c r="K65" s="2548"/>
      <c r="L65" s="2548"/>
      <c r="M65" s="104"/>
      <c r="N65" s="103"/>
      <c r="O65" s="103"/>
      <c r="P65" s="2565"/>
      <c r="Q65" s="39"/>
      <c r="R65" s="850"/>
    </row>
    <row r="66" spans="2:18">
      <c r="B66" s="895"/>
      <c r="C66" s="3826" t="s">
        <v>63</v>
      </c>
      <c r="D66" s="195"/>
      <c r="E66" s="67"/>
      <c r="F66" s="67"/>
      <c r="G66" s="67"/>
      <c r="H66" s="67"/>
      <c r="I66" s="67"/>
      <c r="J66" s="67"/>
      <c r="K66" s="67"/>
      <c r="L66" s="67"/>
      <c r="M66" s="104"/>
      <c r="N66" s="103"/>
      <c r="O66" s="103"/>
      <c r="P66" s="2565"/>
      <c r="Q66" s="39"/>
      <c r="R66" s="850"/>
    </row>
    <row r="67" spans="2:18" s="918" customFormat="1">
      <c r="B67" s="919"/>
      <c r="C67" s="920" t="s">
        <v>64</v>
      </c>
      <c r="D67" s="921" t="s">
        <v>3010</v>
      </c>
      <c r="E67" s="922"/>
      <c r="F67" s="922"/>
      <c r="G67" s="922"/>
      <c r="H67" s="922"/>
      <c r="I67" s="922"/>
      <c r="J67" s="922"/>
      <c r="K67" s="922"/>
      <c r="L67" s="922"/>
      <c r="M67" s="104"/>
      <c r="N67" s="103"/>
      <c r="O67" s="103"/>
      <c r="P67" s="2565"/>
      <c r="Q67" s="1298"/>
      <c r="R67" s="850"/>
    </row>
    <row r="68" spans="2:18" s="918" customFormat="1">
      <c r="B68" s="919"/>
      <c r="C68" s="920" t="s">
        <v>1140</v>
      </c>
      <c r="D68" s="924" t="s">
        <v>2062</v>
      </c>
      <c r="E68" s="922"/>
      <c r="F68" s="922"/>
      <c r="G68" s="922"/>
      <c r="H68" s="922"/>
      <c r="I68" s="922"/>
      <c r="J68" s="922"/>
      <c r="K68" s="922"/>
      <c r="L68" s="922"/>
      <c r="M68" s="104"/>
      <c r="N68" s="103"/>
      <c r="O68" s="103"/>
      <c r="P68" s="2565"/>
      <c r="Q68" s="1298"/>
      <c r="R68" s="39"/>
    </row>
    <row r="69" spans="2:18" s="918" customFormat="1">
      <c r="B69" s="919"/>
      <c r="C69" s="2694" t="s">
        <v>2061</v>
      </c>
      <c r="D69" s="924" t="s">
        <v>2063</v>
      </c>
      <c r="E69" s="922"/>
      <c r="F69" s="922"/>
      <c r="G69" s="922"/>
      <c r="H69" s="922"/>
      <c r="I69" s="922"/>
      <c r="J69" s="922"/>
      <c r="K69" s="922"/>
      <c r="L69" s="922"/>
      <c r="M69" s="104"/>
      <c r="N69" s="103"/>
      <c r="O69" s="103"/>
      <c r="P69" s="2678"/>
      <c r="Q69" s="1298"/>
      <c r="R69" s="39"/>
    </row>
    <row r="70" spans="2:18" s="918" customFormat="1">
      <c r="B70" s="919"/>
      <c r="C70" s="104"/>
      <c r="D70" s="924"/>
      <c r="E70" s="922"/>
      <c r="F70" s="922"/>
      <c r="G70" s="922"/>
      <c r="H70" s="922"/>
      <c r="I70" s="922"/>
      <c r="J70" s="922"/>
      <c r="K70" s="922"/>
      <c r="L70" s="922"/>
      <c r="M70" s="104"/>
      <c r="N70" s="103"/>
      <c r="O70" s="103"/>
      <c r="P70" s="2565"/>
      <c r="Q70" s="1298"/>
      <c r="R70" s="39"/>
    </row>
    <row r="71" spans="2:18" s="2689" customFormat="1">
      <c r="B71" s="2684"/>
      <c r="C71" s="2685" t="s">
        <v>2064</v>
      </c>
      <c r="D71" s="2574"/>
      <c r="E71" s="2574"/>
      <c r="F71" s="2574"/>
      <c r="G71" s="2574"/>
      <c r="H71" s="2686"/>
      <c r="I71" s="2574"/>
      <c r="J71" s="2574"/>
      <c r="K71" s="2687" t="s">
        <v>2059</v>
      </c>
      <c r="L71" s="2574"/>
      <c r="M71" s="104"/>
      <c r="N71" s="103"/>
      <c r="O71" s="103"/>
      <c r="P71" s="2565"/>
      <c r="Q71" s="2688"/>
      <c r="R71" s="39"/>
    </row>
    <row r="72" spans="2:18" s="2689" customFormat="1" ht="9.75" customHeight="1">
      <c r="B72" s="2684"/>
      <c r="C72" s="2574"/>
      <c r="D72" s="2574"/>
      <c r="E72" s="2574"/>
      <c r="F72" s="2574"/>
      <c r="G72" s="2574"/>
      <c r="H72" s="2574"/>
      <c r="I72" s="2574"/>
      <c r="J72" s="2574"/>
      <c r="K72" s="2574"/>
      <c r="L72" s="2574"/>
      <c r="M72" s="104"/>
      <c r="N72" s="103"/>
      <c r="O72" s="103"/>
      <c r="P72" s="2565"/>
      <c r="Q72" s="2688"/>
      <c r="R72" s="2688"/>
    </row>
    <row r="73" spans="2:18" s="2689" customFormat="1" ht="14.25" customHeight="1">
      <c r="B73" s="2684"/>
      <c r="C73" s="2690"/>
      <c r="D73" s="2690"/>
      <c r="E73" s="2690"/>
      <c r="F73" s="2691"/>
      <c r="G73" s="2692" t="s">
        <v>2065</v>
      </c>
      <c r="H73" s="2693" t="s">
        <v>2066</v>
      </c>
      <c r="I73" s="2693" t="s">
        <v>371</v>
      </c>
      <c r="J73" s="2693" t="s">
        <v>372</v>
      </c>
      <c r="K73" s="2693" t="s">
        <v>375</v>
      </c>
      <c r="L73" s="2574"/>
      <c r="M73" s="2694"/>
      <c r="N73" s="2167"/>
      <c r="O73" s="2167"/>
      <c r="P73" s="2695"/>
      <c r="Q73" s="2688"/>
      <c r="R73" s="2688"/>
    </row>
    <row r="74" spans="2:18" s="2689" customFormat="1" ht="15.5">
      <c r="B74" s="2696"/>
      <c r="C74" s="2697" t="s">
        <v>131</v>
      </c>
      <c r="D74" s="2697" t="s">
        <v>71</v>
      </c>
      <c r="E74" s="2697" t="s">
        <v>30</v>
      </c>
      <c r="F74" s="2698" t="s">
        <v>2060</v>
      </c>
      <c r="G74" s="2699" t="s">
        <v>424</v>
      </c>
      <c r="H74" s="2700" t="s">
        <v>423</v>
      </c>
      <c r="I74" s="2700" t="s">
        <v>421</v>
      </c>
      <c r="J74" s="2700" t="s">
        <v>422</v>
      </c>
      <c r="K74" s="2700" t="s">
        <v>425</v>
      </c>
      <c r="L74" s="2701"/>
      <c r="M74" s="104"/>
      <c r="N74" s="103"/>
      <c r="O74" s="103"/>
      <c r="P74" s="2565"/>
      <c r="Q74" s="2688"/>
      <c r="R74" s="2688"/>
    </row>
    <row r="75" spans="2:18" s="2689" customFormat="1" ht="15.5">
      <c r="B75" s="2696"/>
      <c r="C75" s="2702" t="s">
        <v>97</v>
      </c>
      <c r="D75" s="2702" t="s">
        <v>87</v>
      </c>
      <c r="E75" s="2703" t="s">
        <v>1140</v>
      </c>
      <c r="F75" s="2704"/>
      <c r="G75" s="2705"/>
      <c r="H75" s="2677">
        <v>0.95</v>
      </c>
      <c r="I75" s="2675">
        <v>0.95</v>
      </c>
      <c r="J75" s="2675"/>
      <c r="K75" s="2675"/>
      <c r="L75" s="2677"/>
      <c r="M75" s="2677"/>
      <c r="N75" s="2677"/>
      <c r="O75" s="2677"/>
      <c r="P75" s="2574"/>
      <c r="Q75" s="2688"/>
      <c r="R75" s="2688"/>
    </row>
    <row r="76" spans="2:18" s="2689" customFormat="1" ht="15.5">
      <c r="B76" s="2696"/>
      <c r="C76" s="2595" t="s">
        <v>98</v>
      </c>
      <c r="D76" s="2595" t="s">
        <v>88</v>
      </c>
      <c r="E76" s="2706"/>
      <c r="F76" s="2707"/>
      <c r="G76" s="2597">
        <v>0.38200000000000001</v>
      </c>
      <c r="H76" s="2677">
        <v>0.45</v>
      </c>
      <c r="I76" s="2677">
        <v>0.45</v>
      </c>
      <c r="J76" s="2677">
        <v>0.316</v>
      </c>
      <c r="K76" s="2677"/>
      <c r="L76" s="2677"/>
      <c r="M76" s="51"/>
      <c r="N76" s="67"/>
      <c r="O76" s="67"/>
      <c r="P76" s="67"/>
      <c r="Q76" s="1068"/>
      <c r="R76" s="1068"/>
    </row>
    <row r="77" spans="2:18" s="2689" customFormat="1" ht="15.5">
      <c r="B77" s="2696"/>
      <c r="C77" s="2708" t="s">
        <v>99</v>
      </c>
      <c r="D77" s="2708" t="s">
        <v>89</v>
      </c>
      <c r="E77" s="2709" t="s">
        <v>2061</v>
      </c>
      <c r="F77" s="2710"/>
      <c r="G77" s="2711">
        <v>0.85</v>
      </c>
      <c r="H77" s="2681">
        <v>0.66200000000000003</v>
      </c>
      <c r="I77" s="2681">
        <v>0.66200000000000003</v>
      </c>
      <c r="J77" s="2682"/>
      <c r="K77" s="2682">
        <v>1</v>
      </c>
      <c r="L77" s="2677"/>
      <c r="M77" s="2677"/>
      <c r="N77" s="2677"/>
      <c r="O77" s="2677"/>
      <c r="P77" s="2574"/>
      <c r="Q77" s="2688"/>
      <c r="R77" s="2688"/>
    </row>
    <row r="78" spans="2:18" s="2689" customFormat="1" ht="6" customHeight="1">
      <c r="B78" s="2696"/>
      <c r="C78" s="2595"/>
      <c r="D78" s="2595"/>
      <c r="E78" s="2706"/>
      <c r="F78" s="2677"/>
      <c r="G78" s="2597"/>
      <c r="H78" s="2677"/>
      <c r="I78" s="2677"/>
      <c r="J78" s="2677"/>
      <c r="K78" s="2677"/>
      <c r="L78" s="2677"/>
      <c r="M78" s="2677"/>
      <c r="N78" s="2677"/>
      <c r="O78" s="2677"/>
      <c r="P78" s="2574"/>
      <c r="Q78" s="2688"/>
      <c r="R78" s="2688"/>
    </row>
    <row r="79" spans="2:18" s="2689" customFormat="1" ht="13">
      <c r="B79" s="2684"/>
      <c r="C79" s="2574" t="s">
        <v>63</v>
      </c>
      <c r="D79" s="2712"/>
      <c r="E79" s="2574"/>
      <c r="F79" s="2574"/>
      <c r="G79" s="2574"/>
      <c r="H79" s="2574"/>
      <c r="I79" s="2574"/>
      <c r="J79" s="2574"/>
      <c r="K79" s="2574"/>
      <c r="L79" s="2574"/>
      <c r="M79" s="2574"/>
      <c r="N79" s="2574"/>
      <c r="O79" s="2574"/>
      <c r="P79" s="2574"/>
      <c r="Q79" s="2688"/>
      <c r="R79" s="2688"/>
    </row>
    <row r="80" spans="2:18" s="918" customFormat="1" ht="13">
      <c r="B80" s="919"/>
      <c r="C80" s="920" t="s">
        <v>1140</v>
      </c>
      <c r="D80" s="924" t="s">
        <v>2062</v>
      </c>
      <c r="E80" s="922"/>
      <c r="F80" s="922"/>
      <c r="G80" s="922"/>
      <c r="H80" s="922"/>
      <c r="I80" s="922"/>
      <c r="J80" s="922"/>
      <c r="K80" s="922"/>
      <c r="L80" s="922"/>
      <c r="M80" s="922"/>
      <c r="N80" s="922"/>
      <c r="O80" s="922"/>
      <c r="P80" s="922"/>
      <c r="Q80" s="1298"/>
      <c r="R80" s="1298"/>
    </row>
    <row r="81" spans="2:18" s="918" customFormat="1" ht="13">
      <c r="B81" s="919"/>
      <c r="C81" s="2713" t="s">
        <v>2061</v>
      </c>
      <c r="D81" s="924" t="s">
        <v>2063</v>
      </c>
      <c r="E81" s="922"/>
      <c r="F81" s="922"/>
      <c r="G81" s="922"/>
      <c r="H81" s="922"/>
      <c r="I81" s="922"/>
      <c r="J81" s="922"/>
      <c r="K81" s="922"/>
      <c r="L81" s="922"/>
      <c r="M81" s="922"/>
      <c r="N81" s="922"/>
      <c r="O81" s="922"/>
      <c r="P81" s="922"/>
      <c r="Q81" s="1298"/>
      <c r="R81" s="1298"/>
    </row>
    <row r="82" spans="2:18" s="2689" customFormat="1" ht="13">
      <c r="B82" s="2714"/>
      <c r="C82" s="2715"/>
      <c r="D82" s="2715"/>
      <c r="E82" s="2715"/>
      <c r="F82" s="2715"/>
      <c r="G82" s="2574"/>
      <c r="H82" s="2574"/>
      <c r="I82" s="2574"/>
      <c r="J82" s="2574"/>
      <c r="K82" s="2574"/>
      <c r="L82" s="2574"/>
      <c r="M82" s="2574"/>
      <c r="N82" s="2574"/>
      <c r="O82" s="2574"/>
      <c r="P82" s="2574"/>
      <c r="Q82" s="2688"/>
      <c r="R82" s="2688"/>
    </row>
    <row r="83" spans="2:18">
      <c r="B83" s="67"/>
      <c r="C83" s="1260" t="s">
        <v>2053</v>
      </c>
      <c r="D83" s="1260" t="s">
        <v>2054</v>
      </c>
      <c r="E83" s="1260" t="s">
        <v>2055</v>
      </c>
      <c r="F83" s="1260" t="s">
        <v>2067</v>
      </c>
      <c r="G83" s="1094"/>
      <c r="H83" s="1191"/>
      <c r="I83" s="1191"/>
      <c r="J83" s="103"/>
      <c r="K83" s="103"/>
      <c r="L83" s="103"/>
      <c r="M83" s="67"/>
      <c r="N83" s="67"/>
      <c r="O83" s="67"/>
      <c r="P83" s="67"/>
      <c r="Q83" s="39"/>
      <c r="R83" s="39"/>
    </row>
    <row r="84" spans="2:18">
      <c r="B84" s="67"/>
      <c r="C84" s="2580" t="s">
        <v>423</v>
      </c>
      <c r="D84" s="968" t="s">
        <v>373</v>
      </c>
      <c r="E84" s="968" t="s">
        <v>16</v>
      </c>
      <c r="F84" s="2716">
        <v>0.5</v>
      </c>
      <c r="G84" s="1593"/>
      <c r="H84" s="968"/>
      <c r="I84" s="2772">
        <f>((100000/1000000)*VI.a!I191)</f>
        <v>0</v>
      </c>
      <c r="J84" s="103"/>
      <c r="K84" s="103"/>
      <c r="L84" s="103"/>
      <c r="M84" s="67"/>
      <c r="N84" s="67"/>
      <c r="O84" s="67"/>
      <c r="P84" s="67"/>
      <c r="Q84" s="39"/>
      <c r="R84" s="39"/>
    </row>
    <row r="85" spans="2:18">
      <c r="B85" s="1188"/>
      <c r="C85" s="104" t="s">
        <v>423</v>
      </c>
      <c r="D85" s="103" t="s">
        <v>373</v>
      </c>
      <c r="E85" s="103" t="s">
        <v>1668</v>
      </c>
      <c r="F85" s="2565">
        <v>0.5</v>
      </c>
      <c r="G85" s="1594"/>
      <c r="H85" s="103"/>
      <c r="I85" s="2643">
        <f>16000000*Conversion.UKgallons.to.litres*Constants.Density.JetFuel*Constants.GCV.ATF</f>
        <v>0.68019633270084001</v>
      </c>
      <c r="J85" s="103"/>
      <c r="K85" s="103"/>
      <c r="L85" s="103"/>
      <c r="M85" s="67"/>
      <c r="N85" s="67"/>
      <c r="O85" s="67"/>
      <c r="P85" s="67"/>
      <c r="Q85" s="39"/>
      <c r="R85" s="39"/>
    </row>
    <row r="86" spans="2:18">
      <c r="B86" s="2548"/>
      <c r="C86" s="2582" t="s">
        <v>423</v>
      </c>
      <c r="D86" s="194" t="s">
        <v>373</v>
      </c>
      <c r="E86" s="194" t="s">
        <v>15</v>
      </c>
      <c r="F86" s="2567">
        <v>0.5</v>
      </c>
      <c r="G86" s="1595"/>
      <c r="H86" s="194"/>
      <c r="I86" s="2647">
        <f>800*Unit.GWh</f>
        <v>0.8</v>
      </c>
      <c r="J86" s="936"/>
      <c r="K86" s="936"/>
      <c r="L86" s="936"/>
      <c r="M86" s="47"/>
      <c r="N86" s="47"/>
      <c r="O86" s="47"/>
      <c r="P86" s="47"/>
      <c r="Q86" s="39"/>
      <c r="R86" s="39"/>
    </row>
    <row r="87" spans="2:18">
      <c r="B87" s="2548"/>
      <c r="C87" s="2580" t="s">
        <v>424</v>
      </c>
      <c r="D87" s="968" t="s">
        <v>374</v>
      </c>
      <c r="E87" s="968" t="s">
        <v>16</v>
      </c>
      <c r="F87" s="2717">
        <v>0.5</v>
      </c>
      <c r="G87" s="1593"/>
      <c r="H87" s="968"/>
      <c r="I87" s="2773"/>
      <c r="J87" s="936"/>
      <c r="K87" s="936"/>
      <c r="L87" s="936"/>
      <c r="M87" s="47"/>
      <c r="N87" s="47"/>
      <c r="O87" s="47"/>
      <c r="P87" s="47"/>
      <c r="Q87" s="39"/>
      <c r="R87" s="39"/>
    </row>
    <row r="88" spans="2:18">
      <c r="B88" s="2548"/>
      <c r="C88" s="104" t="s">
        <v>424</v>
      </c>
      <c r="D88" s="103" t="s">
        <v>374</v>
      </c>
      <c r="E88" s="103" t="s">
        <v>1668</v>
      </c>
      <c r="F88" s="2565">
        <v>0.5</v>
      </c>
      <c r="G88" s="1594"/>
      <c r="H88" s="103"/>
      <c r="I88" s="2643">
        <f>I85</f>
        <v>0.68019633270084001</v>
      </c>
      <c r="J88" s="936"/>
      <c r="K88" s="936"/>
      <c r="L88" s="936"/>
      <c r="M88" s="47"/>
      <c r="N88" s="47"/>
      <c r="O88" s="47"/>
      <c r="P88" s="47"/>
      <c r="Q88" s="39"/>
      <c r="R88" s="39"/>
    </row>
    <row r="89" spans="2:18">
      <c r="B89" s="2548"/>
      <c r="C89" s="2582" t="s">
        <v>424</v>
      </c>
      <c r="D89" s="194" t="s">
        <v>374</v>
      </c>
      <c r="E89" s="194" t="s">
        <v>15</v>
      </c>
      <c r="F89" s="2567">
        <v>0.5</v>
      </c>
      <c r="G89" s="1595"/>
      <c r="H89" s="194"/>
      <c r="I89" s="2774">
        <f>2*Unit.MW*93%*Conversion.to.annual.energy</f>
        <v>1.6304760000000001E-2</v>
      </c>
      <c r="J89" s="936"/>
      <c r="K89" s="936"/>
      <c r="L89" s="936"/>
      <c r="M89" s="47"/>
      <c r="N89" s="47"/>
      <c r="O89" s="47"/>
      <c r="P89" s="47"/>
      <c r="Q89" s="39"/>
      <c r="R89" s="39"/>
    </row>
    <row r="90" spans="2:18">
      <c r="B90" s="67"/>
      <c r="C90" s="2580" t="s">
        <v>421</v>
      </c>
      <c r="D90" s="968" t="s">
        <v>371</v>
      </c>
      <c r="E90" s="968" t="s">
        <v>16</v>
      </c>
      <c r="F90" s="2716">
        <v>0.5</v>
      </c>
      <c r="G90" s="1593"/>
      <c r="H90" s="968"/>
      <c r="I90" s="2772">
        <f>I84</f>
        <v>0</v>
      </c>
      <c r="J90" s="936"/>
      <c r="K90" s="936"/>
      <c r="L90" s="936"/>
      <c r="M90" s="47"/>
      <c r="N90" s="47"/>
      <c r="O90" s="47"/>
      <c r="P90" s="47"/>
      <c r="Q90" s="39"/>
      <c r="R90" s="39"/>
    </row>
    <row r="91" spans="2:18">
      <c r="B91" s="922"/>
      <c r="C91" s="104" t="s">
        <v>421</v>
      </c>
      <c r="D91" s="103" t="s">
        <v>371</v>
      </c>
      <c r="E91" s="103" t="s">
        <v>1668</v>
      </c>
      <c r="F91" s="2565">
        <v>0.5</v>
      </c>
      <c r="G91" s="2718"/>
      <c r="H91" s="103"/>
      <c r="I91" s="2643">
        <f>I85</f>
        <v>0.68019633270084001</v>
      </c>
      <c r="J91" s="936"/>
      <c r="K91" s="936"/>
      <c r="L91" s="936"/>
      <c r="M91" s="47"/>
      <c r="N91" s="47"/>
      <c r="O91" s="47"/>
      <c r="P91" s="47"/>
      <c r="Q91" s="39"/>
      <c r="R91" s="39"/>
    </row>
    <row r="92" spans="2:18">
      <c r="B92" s="922"/>
      <c r="C92" s="2582" t="s">
        <v>421</v>
      </c>
      <c r="D92" s="194" t="s">
        <v>371</v>
      </c>
      <c r="E92" s="194" t="s">
        <v>15</v>
      </c>
      <c r="F92" s="2567">
        <v>0.5</v>
      </c>
      <c r="G92" s="2719"/>
      <c r="H92" s="969"/>
      <c r="I92" s="2647">
        <f>I86</f>
        <v>0.8</v>
      </c>
      <c r="J92" s="47"/>
      <c r="K92" s="47"/>
      <c r="L92" s="47"/>
      <c r="M92" s="47"/>
      <c r="N92" s="47"/>
      <c r="O92" s="47"/>
      <c r="P92" s="47"/>
      <c r="Q92" s="39"/>
      <c r="R92" s="39"/>
    </row>
    <row r="93" spans="2:18">
      <c r="B93" s="922"/>
      <c r="C93" s="2580" t="s">
        <v>422</v>
      </c>
      <c r="D93" s="968" t="s">
        <v>372</v>
      </c>
      <c r="E93" s="968" t="s">
        <v>16</v>
      </c>
      <c r="F93" s="2717">
        <v>0.5</v>
      </c>
      <c r="G93" s="2720"/>
      <c r="H93" s="964"/>
      <c r="I93" s="2773"/>
      <c r="J93" s="47"/>
      <c r="K93" s="47"/>
      <c r="L93" s="47"/>
      <c r="M93" s="47"/>
      <c r="N93" s="47"/>
      <c r="O93" s="47"/>
      <c r="P93" s="47"/>
    </row>
    <row r="94" spans="2:18">
      <c r="B94" s="922"/>
      <c r="C94" s="104" t="s">
        <v>422</v>
      </c>
      <c r="D94" s="103" t="s">
        <v>372</v>
      </c>
      <c r="E94" s="103" t="s">
        <v>1668</v>
      </c>
      <c r="F94" s="2565">
        <v>0.5</v>
      </c>
      <c r="G94" s="2718"/>
      <c r="H94" s="67"/>
      <c r="I94" s="2643">
        <f>206*Unit.MW*95%*Conversion.to.annual.energy</f>
        <v>1.7155062000000001</v>
      </c>
      <c r="J94" s="47"/>
      <c r="K94" s="47"/>
      <c r="L94" s="47"/>
      <c r="M94" s="47"/>
      <c r="N94" s="47"/>
      <c r="O94" s="47"/>
      <c r="P94" s="47"/>
    </row>
    <row r="95" spans="2:18">
      <c r="B95" s="2574"/>
      <c r="C95" s="2582" t="s">
        <v>422</v>
      </c>
      <c r="D95" s="194" t="s">
        <v>372</v>
      </c>
      <c r="E95" s="194" t="s">
        <v>15</v>
      </c>
      <c r="F95" s="2567">
        <v>0.5</v>
      </c>
      <c r="G95" s="2721"/>
      <c r="H95" s="969"/>
      <c r="I95" s="2647"/>
      <c r="J95" s="47"/>
      <c r="K95" s="47"/>
      <c r="L95" s="47"/>
      <c r="M95" s="47"/>
      <c r="N95" s="47"/>
      <c r="O95" s="47"/>
      <c r="P95" s="47"/>
    </row>
    <row r="96" spans="2:18">
      <c r="B96" s="2574"/>
      <c r="C96" s="2580" t="s">
        <v>425</v>
      </c>
      <c r="D96" s="968" t="s">
        <v>375</v>
      </c>
      <c r="E96" s="968" t="s">
        <v>16</v>
      </c>
      <c r="F96" s="2716">
        <v>0.5</v>
      </c>
      <c r="G96" s="2722"/>
      <c r="H96" s="2690"/>
      <c r="I96" s="2772"/>
      <c r="J96" s="2723"/>
      <c r="K96" s="2723"/>
      <c r="L96" s="2723"/>
      <c r="M96" s="47"/>
      <c r="N96" s="47"/>
      <c r="O96" s="47"/>
      <c r="P96" s="47"/>
    </row>
    <row r="97" spans="1:18">
      <c r="B97" s="2574"/>
      <c r="C97" s="104" t="s">
        <v>425</v>
      </c>
      <c r="D97" s="103" t="s">
        <v>375</v>
      </c>
      <c r="E97" s="103" t="s">
        <v>1668</v>
      </c>
      <c r="F97" s="2565">
        <v>0.5</v>
      </c>
      <c r="G97" s="2724"/>
      <c r="H97" s="2574"/>
      <c r="I97" s="2643"/>
      <c r="J97" s="2723"/>
      <c r="K97" s="2723"/>
      <c r="L97" s="2723"/>
      <c r="M97" s="47"/>
      <c r="N97" s="47"/>
      <c r="O97" s="47"/>
      <c r="P97" s="47"/>
    </row>
    <row r="98" spans="1:18">
      <c r="B98" s="2701"/>
      <c r="C98" s="2582" t="s">
        <v>425</v>
      </c>
      <c r="D98" s="194" t="s">
        <v>375</v>
      </c>
      <c r="E98" s="194" t="s">
        <v>15</v>
      </c>
      <c r="F98" s="2567">
        <v>0.5</v>
      </c>
      <c r="G98" s="2721"/>
      <c r="H98" s="2725"/>
      <c r="I98" s="2647">
        <f>3*Unit.MW*94%*Conversion.to.annual.energy</f>
        <v>2.4720120000000002E-2</v>
      </c>
      <c r="J98" s="2723"/>
      <c r="K98" s="2723"/>
      <c r="L98" s="2723"/>
      <c r="M98" s="47"/>
      <c r="N98" s="47"/>
      <c r="O98" s="47"/>
      <c r="P98" s="47"/>
    </row>
    <row r="99" spans="1:18">
      <c r="B99" s="2677"/>
      <c r="C99" s="2677"/>
      <c r="D99" s="2677"/>
      <c r="E99" s="2677"/>
      <c r="F99" s="2574"/>
      <c r="G99" s="2574"/>
      <c r="H99" s="2574"/>
      <c r="I99" s="2723"/>
      <c r="J99" s="2723"/>
      <c r="K99" s="2723"/>
      <c r="L99" s="2723"/>
      <c r="M99" s="47"/>
      <c r="N99" s="47"/>
      <c r="O99" s="47"/>
      <c r="P99" s="47"/>
      <c r="R99" s="1068"/>
    </row>
    <row r="100" spans="1:18">
      <c r="A100" s="2653"/>
      <c r="B100" s="2726"/>
      <c r="C100" s="2727" t="s">
        <v>2068</v>
      </c>
      <c r="D100" s="2728">
        <v>30</v>
      </c>
      <c r="E100" s="2729" t="s">
        <v>2069</v>
      </c>
      <c r="F100" s="2728"/>
      <c r="G100" s="2728"/>
      <c r="H100" s="2728"/>
      <c r="I100" s="2730">
        <v>3.3333333333333333E-2</v>
      </c>
      <c r="J100" s="2729" t="s">
        <v>2070</v>
      </c>
      <c r="K100" s="2728"/>
      <c r="L100" s="2731"/>
      <c r="M100" s="47"/>
      <c r="N100" s="47"/>
      <c r="O100" s="47"/>
      <c r="P100" s="47"/>
      <c r="R100" s="1068"/>
    </row>
    <row r="101" spans="1:18">
      <c r="B101" s="2677"/>
      <c r="C101" s="2677"/>
      <c r="D101" s="2677"/>
      <c r="E101" s="2677"/>
      <c r="F101" s="2574"/>
      <c r="G101" s="2574"/>
      <c r="H101" s="2574"/>
      <c r="I101" s="2723"/>
      <c r="J101" s="2723"/>
      <c r="K101" s="2723"/>
      <c r="L101" s="2723"/>
      <c r="M101" s="47"/>
      <c r="N101" s="47"/>
      <c r="O101" s="47"/>
      <c r="P101" s="47"/>
      <c r="R101" s="1068"/>
    </row>
    <row r="102" spans="1:18">
      <c r="A102" s="389"/>
      <c r="B102" s="2732"/>
      <c r="C102" s="2732"/>
      <c r="D102" s="2732"/>
      <c r="E102" s="2732"/>
      <c r="F102" s="2732"/>
      <c r="G102" s="2732"/>
      <c r="H102" s="2733"/>
      <c r="I102" s="2733"/>
      <c r="J102" s="2733"/>
      <c r="K102" s="2733"/>
      <c r="L102" s="2733"/>
      <c r="M102" s="389"/>
      <c r="N102" s="389"/>
      <c r="O102" s="389"/>
      <c r="P102" s="389"/>
      <c r="Q102" s="389"/>
      <c r="R102" s="1068"/>
    </row>
    <row r="103" spans="1:18" ht="15">
      <c r="A103" s="39"/>
      <c r="B103" s="2734" t="s">
        <v>791</v>
      </c>
      <c r="C103" s="927"/>
      <c r="D103" s="927"/>
      <c r="E103" s="927"/>
      <c r="F103" s="927"/>
      <c r="G103" s="927"/>
      <c r="H103" s="927"/>
      <c r="I103" s="927"/>
      <c r="J103" s="927"/>
      <c r="K103" s="927"/>
      <c r="L103" s="927"/>
      <c r="M103" s="927"/>
      <c r="N103" s="927"/>
      <c r="O103" s="927"/>
      <c r="P103" s="927"/>
      <c r="Q103" s="2735"/>
      <c r="R103" s="2500"/>
    </row>
    <row r="104" spans="1:18" ht="17.25" hidden="1" customHeight="1">
      <c r="A104" s="39"/>
      <c r="B104" s="1067"/>
      <c r="C104" s="103"/>
      <c r="D104" s="103"/>
      <c r="E104" s="103"/>
      <c r="F104" s="103"/>
      <c r="G104" s="103"/>
      <c r="H104" s="103"/>
      <c r="I104" s="103"/>
      <c r="J104" s="103"/>
      <c r="K104" s="103"/>
      <c r="L104" s="103"/>
      <c r="M104" s="103"/>
      <c r="N104" s="103"/>
      <c r="O104" s="103"/>
      <c r="P104" s="103"/>
      <c r="Q104" s="47"/>
      <c r="R104" s="2500"/>
    </row>
    <row r="105" spans="1:18" ht="15" hidden="1">
      <c r="A105" s="39"/>
      <c r="B105" s="1067"/>
      <c r="C105" s="2736" t="s">
        <v>168</v>
      </c>
      <c r="D105" s="103"/>
      <c r="E105" s="103"/>
      <c r="F105" s="103"/>
      <c r="G105" s="103"/>
      <c r="H105" s="103"/>
      <c r="I105" s="103"/>
      <c r="J105" s="103"/>
      <c r="K105" s="103"/>
      <c r="L105" s="103"/>
      <c r="M105" s="103"/>
      <c r="N105" s="103"/>
      <c r="O105" s="103"/>
      <c r="P105" s="103"/>
      <c r="Q105" s="47"/>
      <c r="R105" s="2500"/>
    </row>
    <row r="106" spans="1:18" ht="4.5" hidden="1" customHeight="1">
      <c r="A106" s="39"/>
      <c r="B106" s="922"/>
      <c r="C106" s="922"/>
      <c r="D106" s="922"/>
      <c r="E106" s="922"/>
      <c r="F106" s="922"/>
      <c r="G106" s="922"/>
      <c r="H106" s="922"/>
      <c r="I106" s="922"/>
      <c r="J106" s="922"/>
      <c r="K106" s="922"/>
      <c r="L106" s="922"/>
      <c r="M106" s="67"/>
      <c r="N106" s="67"/>
      <c r="O106" s="67"/>
      <c r="P106" s="67"/>
      <c r="Q106" s="47"/>
      <c r="R106" s="2470"/>
    </row>
    <row r="107" spans="1:18" hidden="1">
      <c r="B107" s="895"/>
      <c r="C107" s="49" t="s">
        <v>2071</v>
      </c>
      <c r="D107" s="195"/>
      <c r="E107" s="67"/>
      <c r="F107" s="2655"/>
      <c r="G107" s="4334"/>
      <c r="H107" s="4334"/>
      <c r="I107" s="4334"/>
      <c r="J107" s="4334"/>
      <c r="K107" s="49"/>
      <c r="L107" s="67"/>
      <c r="M107" s="67"/>
      <c r="N107" s="67"/>
      <c r="O107" s="67"/>
      <c r="P107" s="49" t="s">
        <v>2740</v>
      </c>
      <c r="Q107" s="67"/>
      <c r="R107" s="2470"/>
    </row>
    <row r="108" spans="1:18" ht="5.25" hidden="1" customHeight="1">
      <c r="B108" s="895"/>
      <c r="C108" s="67"/>
      <c r="D108" s="195"/>
      <c r="E108" s="67"/>
      <c r="F108" s="67"/>
      <c r="G108" s="67"/>
      <c r="H108" s="67"/>
      <c r="I108" s="67"/>
      <c r="J108" s="67"/>
      <c r="K108" s="67"/>
      <c r="L108" s="67"/>
      <c r="M108" s="67"/>
      <c r="N108" s="67"/>
      <c r="O108" s="67"/>
      <c r="P108" s="67"/>
      <c r="Q108" s="67"/>
      <c r="R108" s="1068"/>
    </row>
    <row r="109" spans="1:18" ht="15.5" hidden="1">
      <c r="B109" s="877"/>
      <c r="C109" s="1260" t="s">
        <v>2053</v>
      </c>
      <c r="D109" s="1260" t="s">
        <v>2054</v>
      </c>
      <c r="E109" s="1260" t="s">
        <v>2055</v>
      </c>
      <c r="F109" s="971" t="s">
        <v>159</v>
      </c>
      <c r="G109" s="965">
        <v>2010</v>
      </c>
      <c r="H109" s="965">
        <v>2015</v>
      </c>
      <c r="I109" s="965">
        <v>2020</v>
      </c>
      <c r="J109" s="965">
        <v>2025</v>
      </c>
      <c r="K109" s="965">
        <v>2030</v>
      </c>
      <c r="L109" s="965">
        <v>2035</v>
      </c>
      <c r="M109" s="965">
        <v>2040</v>
      </c>
      <c r="N109" s="965">
        <v>2045</v>
      </c>
      <c r="O109" s="956">
        <v>2050</v>
      </c>
      <c r="P109" s="47"/>
      <c r="Q109" s="47"/>
      <c r="R109" s="1068"/>
    </row>
    <row r="110" spans="1:18" ht="15.5" hidden="1">
      <c r="B110" s="877"/>
      <c r="C110" s="2580" t="s">
        <v>423</v>
      </c>
      <c r="D110" s="968" t="s">
        <v>373</v>
      </c>
      <c r="E110" s="968" t="s">
        <v>16</v>
      </c>
      <c r="F110" s="957"/>
      <c r="G110" s="2737"/>
      <c r="H110" s="2738"/>
      <c r="I110" s="2738"/>
      <c r="J110" s="2738"/>
      <c r="K110" s="2738"/>
      <c r="L110" s="2738"/>
      <c r="M110" s="2738"/>
      <c r="N110" s="2738"/>
      <c r="O110" s="2737"/>
      <c r="P110" s="47"/>
      <c r="Q110" s="47"/>
      <c r="R110" s="1068" t="s">
        <v>5</v>
      </c>
    </row>
    <row r="111" spans="1:18" ht="15.5" hidden="1">
      <c r="B111" s="877"/>
      <c r="C111" s="104" t="s">
        <v>423</v>
      </c>
      <c r="D111" s="103" t="s">
        <v>373</v>
      </c>
      <c r="E111" s="103" t="s">
        <v>1668</v>
      </c>
      <c r="F111" s="944"/>
      <c r="G111" s="2739"/>
      <c r="H111" s="2740"/>
      <c r="I111" s="2740"/>
      <c r="J111" s="2740"/>
      <c r="K111" s="2740"/>
      <c r="L111" s="2740"/>
      <c r="M111" s="2740"/>
      <c r="N111" s="2740"/>
      <c r="O111" s="2739"/>
      <c r="P111" s="47"/>
      <c r="Q111" s="47"/>
      <c r="R111" s="1068"/>
    </row>
    <row r="112" spans="1:18" ht="15.5" hidden="1">
      <c r="B112" s="877"/>
      <c r="C112" s="2582" t="s">
        <v>423</v>
      </c>
      <c r="D112" s="194" t="s">
        <v>373</v>
      </c>
      <c r="E112" s="194" t="s">
        <v>15</v>
      </c>
      <c r="F112" s="949"/>
      <c r="G112" s="2741"/>
      <c r="H112" s="2742"/>
      <c r="I112" s="2742"/>
      <c r="J112" s="2742"/>
      <c r="K112" s="2742"/>
      <c r="L112" s="2742"/>
      <c r="M112" s="2742"/>
      <c r="N112" s="2742"/>
      <c r="O112" s="2741"/>
      <c r="P112" s="47"/>
      <c r="Q112" s="47"/>
      <c r="R112" s="1068"/>
    </row>
    <row r="113" spans="2:18" ht="15.5" hidden="1">
      <c r="B113" s="877"/>
      <c r="C113" s="2580" t="s">
        <v>424</v>
      </c>
      <c r="D113" s="968" t="s">
        <v>374</v>
      </c>
      <c r="E113" s="968" t="s">
        <v>16</v>
      </c>
      <c r="F113" s="957"/>
      <c r="G113" s="2743"/>
      <c r="H113" s="2738"/>
      <c r="I113" s="2738"/>
      <c r="J113" s="2738"/>
      <c r="K113" s="2738"/>
      <c r="L113" s="2738"/>
      <c r="M113" s="2738"/>
      <c r="N113" s="2738"/>
      <c r="O113" s="2743"/>
      <c r="P113" s="47"/>
      <c r="Q113" s="47"/>
      <c r="R113" s="1068"/>
    </row>
    <row r="114" spans="2:18" ht="15.5" hidden="1">
      <c r="B114" s="877"/>
      <c r="C114" s="104" t="s">
        <v>424</v>
      </c>
      <c r="D114" s="103" t="s">
        <v>374</v>
      </c>
      <c r="E114" s="103" t="s">
        <v>1668</v>
      </c>
      <c r="F114" s="944"/>
      <c r="G114" s="2739"/>
      <c r="H114" s="2740"/>
      <c r="I114" s="2740"/>
      <c r="J114" s="2740"/>
      <c r="K114" s="2740"/>
      <c r="L114" s="2740"/>
      <c r="M114" s="2740"/>
      <c r="N114" s="2740"/>
      <c r="O114" s="2739"/>
      <c r="P114" s="47"/>
      <c r="Q114" s="47"/>
      <c r="R114" s="1068"/>
    </row>
    <row r="115" spans="2:18" ht="15.5" hidden="1">
      <c r="B115" s="877"/>
      <c r="C115" s="2582" t="s">
        <v>424</v>
      </c>
      <c r="D115" s="194" t="s">
        <v>374</v>
      </c>
      <c r="E115" s="194" t="s">
        <v>15</v>
      </c>
      <c r="F115" s="949"/>
      <c r="G115" s="2741"/>
      <c r="H115" s="2742"/>
      <c r="I115" s="2742"/>
      <c r="J115" s="2742"/>
      <c r="K115" s="2742"/>
      <c r="L115" s="2742"/>
      <c r="M115" s="2742"/>
      <c r="N115" s="2742"/>
      <c r="O115" s="2741"/>
      <c r="P115" s="47"/>
      <c r="Q115" s="47"/>
      <c r="R115" s="1068"/>
    </row>
    <row r="116" spans="2:18" ht="15.5" hidden="1">
      <c r="B116" s="877"/>
      <c r="C116" s="2580" t="s">
        <v>421</v>
      </c>
      <c r="D116" s="968" t="s">
        <v>371</v>
      </c>
      <c r="E116" s="968" t="s">
        <v>16</v>
      </c>
      <c r="F116" s="957"/>
      <c r="G116" s="2737"/>
      <c r="H116" s="2738"/>
      <c r="I116" s="2738"/>
      <c r="J116" s="2738"/>
      <c r="K116" s="2738"/>
      <c r="L116" s="2738"/>
      <c r="M116" s="2738"/>
      <c r="N116" s="2738"/>
      <c r="O116" s="2737"/>
      <c r="P116" s="47"/>
      <c r="Q116" s="47"/>
      <c r="R116" s="1068"/>
    </row>
    <row r="117" spans="2:18" ht="15.5" hidden="1">
      <c r="B117" s="877"/>
      <c r="C117" s="104" t="s">
        <v>421</v>
      </c>
      <c r="D117" s="103" t="s">
        <v>371</v>
      </c>
      <c r="E117" s="103" t="s">
        <v>1668</v>
      </c>
      <c r="F117" s="944"/>
      <c r="G117" s="2739"/>
      <c r="H117" s="2740"/>
      <c r="I117" s="2740"/>
      <c r="J117" s="2740"/>
      <c r="K117" s="2740"/>
      <c r="L117" s="2740"/>
      <c r="M117" s="2740"/>
      <c r="N117" s="2740"/>
      <c r="O117" s="2739"/>
      <c r="P117" s="47"/>
      <c r="Q117" s="47"/>
      <c r="R117" s="1068"/>
    </row>
    <row r="118" spans="2:18" ht="15.5" hidden="1">
      <c r="B118" s="877"/>
      <c r="C118" s="2582" t="s">
        <v>421</v>
      </c>
      <c r="D118" s="194" t="s">
        <v>371</v>
      </c>
      <c r="E118" s="194" t="s">
        <v>15</v>
      </c>
      <c r="F118" s="949"/>
      <c r="G118" s="2741"/>
      <c r="H118" s="2742"/>
      <c r="I118" s="2742"/>
      <c r="J118" s="2742"/>
      <c r="K118" s="2742"/>
      <c r="L118" s="2742"/>
      <c r="M118" s="2742"/>
      <c r="N118" s="2742"/>
      <c r="O118" s="2741"/>
      <c r="P118" s="47"/>
      <c r="Q118" s="47"/>
      <c r="R118" s="1068"/>
    </row>
    <row r="119" spans="2:18" ht="15.5" hidden="1">
      <c r="B119" s="877"/>
      <c r="C119" s="2580" t="s">
        <v>422</v>
      </c>
      <c r="D119" s="968" t="s">
        <v>372</v>
      </c>
      <c r="E119" s="968" t="s">
        <v>16</v>
      </c>
      <c r="F119" s="957"/>
      <c r="G119" s="2743"/>
      <c r="H119" s="2738"/>
      <c r="I119" s="2738"/>
      <c r="J119" s="2738"/>
      <c r="K119" s="2738"/>
      <c r="L119" s="2738"/>
      <c r="M119" s="2738"/>
      <c r="N119" s="2738"/>
      <c r="O119" s="2743"/>
      <c r="P119" s="47"/>
      <c r="Q119" s="47"/>
      <c r="R119" s="1068"/>
    </row>
    <row r="120" spans="2:18" ht="15.5" hidden="1">
      <c r="B120" s="877"/>
      <c r="C120" s="104" t="s">
        <v>422</v>
      </c>
      <c r="D120" s="103" t="s">
        <v>372</v>
      </c>
      <c r="E120" s="103" t="s">
        <v>1668</v>
      </c>
      <c r="F120" s="944"/>
      <c r="G120" s="2739"/>
      <c r="H120" s="2740"/>
      <c r="I120" s="2740"/>
      <c r="J120" s="2740"/>
      <c r="K120" s="2740"/>
      <c r="L120" s="2740"/>
      <c r="M120" s="2740"/>
      <c r="N120" s="2740"/>
      <c r="O120" s="2739"/>
      <c r="P120" s="47"/>
      <c r="Q120" s="47"/>
      <c r="R120" s="1068"/>
    </row>
    <row r="121" spans="2:18" ht="15.5" hidden="1">
      <c r="B121" s="877"/>
      <c r="C121" s="2582" t="s">
        <v>422</v>
      </c>
      <c r="D121" s="194" t="s">
        <v>372</v>
      </c>
      <c r="E121" s="194" t="s">
        <v>15</v>
      </c>
      <c r="F121" s="949"/>
      <c r="G121" s="2741"/>
      <c r="H121" s="2742"/>
      <c r="I121" s="2742"/>
      <c r="J121" s="2742"/>
      <c r="K121" s="2742"/>
      <c r="L121" s="2742"/>
      <c r="M121" s="2742"/>
      <c r="N121" s="2742"/>
      <c r="O121" s="2741"/>
      <c r="P121" s="47"/>
      <c r="Q121" s="47"/>
      <c r="R121" s="1068"/>
    </row>
    <row r="122" spans="2:18" ht="15.5" hidden="1">
      <c r="B122" s="877"/>
      <c r="C122" s="2580" t="s">
        <v>425</v>
      </c>
      <c r="D122" s="968" t="s">
        <v>375</v>
      </c>
      <c r="E122" s="968" t="s">
        <v>16</v>
      </c>
      <c r="F122" s="957"/>
      <c r="G122" s="2737"/>
      <c r="H122" s="2738"/>
      <c r="I122" s="2738"/>
      <c r="J122" s="2738"/>
      <c r="K122" s="2738"/>
      <c r="L122" s="2738"/>
      <c r="M122" s="2738"/>
      <c r="N122" s="2738"/>
      <c r="O122" s="2737"/>
      <c r="P122" s="47"/>
      <c r="Q122" s="47"/>
      <c r="R122" s="1068"/>
    </row>
    <row r="123" spans="2:18" ht="15.5" hidden="1">
      <c r="B123" s="877"/>
      <c r="C123" s="104" t="s">
        <v>425</v>
      </c>
      <c r="D123" s="103" t="s">
        <v>375</v>
      </c>
      <c r="E123" s="103" t="s">
        <v>1668</v>
      </c>
      <c r="F123" s="944"/>
      <c r="G123" s="2739"/>
      <c r="H123" s="2740"/>
      <c r="I123" s="2740"/>
      <c r="J123" s="2740"/>
      <c r="K123" s="2740"/>
      <c r="L123" s="2740"/>
      <c r="M123" s="2740"/>
      <c r="N123" s="2740"/>
      <c r="O123" s="2739"/>
      <c r="P123" s="47"/>
      <c r="Q123" s="47"/>
      <c r="R123" s="1068"/>
    </row>
    <row r="124" spans="2:18" ht="15.5" hidden="1">
      <c r="B124" s="877"/>
      <c r="C124" s="2582" t="s">
        <v>425</v>
      </c>
      <c r="D124" s="194" t="s">
        <v>375</v>
      </c>
      <c r="E124" s="194" t="s">
        <v>15</v>
      </c>
      <c r="F124" s="949"/>
      <c r="G124" s="2741"/>
      <c r="H124" s="2742"/>
      <c r="I124" s="2742"/>
      <c r="J124" s="2742"/>
      <c r="K124" s="2742"/>
      <c r="L124" s="2742"/>
      <c r="M124" s="2742"/>
      <c r="N124" s="2742"/>
      <c r="O124" s="2741"/>
      <c r="P124" s="47"/>
      <c r="Q124" s="47"/>
      <c r="R124" s="202"/>
    </row>
    <row r="125" spans="2:18" ht="12.75" hidden="1" customHeight="1">
      <c r="B125" s="105"/>
      <c r="C125" s="67"/>
      <c r="D125" s="67"/>
      <c r="E125" s="67"/>
      <c r="F125" s="67"/>
      <c r="G125" s="67"/>
      <c r="H125" s="67"/>
      <c r="I125" s="67"/>
      <c r="J125" s="67"/>
      <c r="K125" s="67"/>
      <c r="L125" s="67"/>
      <c r="M125" s="67"/>
      <c r="N125" s="67"/>
      <c r="O125" s="67"/>
      <c r="P125" s="67"/>
      <c r="Q125" s="67"/>
      <c r="R125" s="1068"/>
    </row>
    <row r="126" spans="2:18" hidden="1">
      <c r="B126" s="105"/>
      <c r="C126" s="67"/>
      <c r="D126" s="51" t="s">
        <v>2068</v>
      </c>
      <c r="E126" s="67">
        <v>30</v>
      </c>
      <c r="F126" s="67" t="s">
        <v>2069</v>
      </c>
      <c r="G126" s="67"/>
      <c r="H126" s="67"/>
      <c r="I126" s="2655"/>
      <c r="J126" s="1086">
        <v>3.3333333333333333E-2</v>
      </c>
      <c r="K126" s="67" t="s">
        <v>2070</v>
      </c>
      <c r="L126" s="67"/>
      <c r="M126" s="67"/>
      <c r="N126" s="67"/>
      <c r="O126" s="67"/>
      <c r="P126" s="67"/>
      <c r="Q126" s="67"/>
      <c r="R126" s="2542"/>
    </row>
    <row r="127" spans="2:18" ht="15.75" hidden="1" customHeight="1">
      <c r="B127" s="105"/>
      <c r="C127" s="49" t="s">
        <v>2072</v>
      </c>
      <c r="D127" s="195"/>
      <c r="E127" s="67"/>
      <c r="F127" s="2655"/>
      <c r="G127" s="2655"/>
      <c r="H127" s="2655"/>
      <c r="I127" s="2655"/>
      <c r="J127" s="49"/>
      <c r="K127" s="67"/>
      <c r="L127" s="67"/>
      <c r="M127" s="67"/>
      <c r="N127" s="67"/>
      <c r="O127" s="49" t="s">
        <v>2740</v>
      </c>
      <c r="P127" s="67"/>
      <c r="Q127" s="67"/>
      <c r="R127" s="2744"/>
    </row>
    <row r="128" spans="2:18" ht="5.25" hidden="1" customHeight="1">
      <c r="B128" s="105"/>
      <c r="C128" s="67"/>
      <c r="D128" s="195"/>
      <c r="E128" s="67"/>
      <c r="F128" s="67"/>
      <c r="G128" s="67"/>
      <c r="H128" s="67"/>
      <c r="I128" s="67"/>
      <c r="J128" s="67"/>
      <c r="K128" s="67"/>
      <c r="L128" s="67"/>
      <c r="M128" s="67"/>
      <c r="N128" s="67"/>
      <c r="O128" s="67"/>
      <c r="P128" s="67"/>
      <c r="Q128" s="67"/>
      <c r="R128" s="2744"/>
    </row>
    <row r="129" spans="2:18" hidden="1">
      <c r="B129" s="105"/>
      <c r="C129" s="1260" t="s">
        <v>2053</v>
      </c>
      <c r="D129" s="1260" t="s">
        <v>2054</v>
      </c>
      <c r="E129" s="1260" t="s">
        <v>2055</v>
      </c>
      <c r="F129" s="971" t="s">
        <v>159</v>
      </c>
      <c r="G129" s="965">
        <v>2010</v>
      </c>
      <c r="H129" s="965">
        <v>2015</v>
      </c>
      <c r="I129" s="965">
        <v>2020</v>
      </c>
      <c r="J129" s="965">
        <v>2025</v>
      </c>
      <c r="K129" s="942">
        <v>2030</v>
      </c>
      <c r="L129" s="942">
        <v>2035</v>
      </c>
      <c r="M129" s="942">
        <v>2040</v>
      </c>
      <c r="N129" s="942">
        <v>2045</v>
      </c>
      <c r="O129" s="942">
        <v>2050</v>
      </c>
      <c r="P129" s="47"/>
      <c r="Q129" s="47"/>
      <c r="R129" s="2744"/>
    </row>
    <row r="130" spans="2:18" hidden="1">
      <c r="B130" s="105"/>
      <c r="C130" s="2580" t="s">
        <v>423</v>
      </c>
      <c r="D130" s="968" t="s">
        <v>373</v>
      </c>
      <c r="E130" s="968" t="s">
        <v>16</v>
      </c>
      <c r="F130" s="957"/>
      <c r="G130" s="2737"/>
      <c r="H130" s="2738"/>
      <c r="I130" s="2738"/>
      <c r="J130" s="2738"/>
      <c r="K130" s="2738"/>
      <c r="L130" s="2738"/>
      <c r="M130" s="2738"/>
      <c r="N130" s="2738"/>
      <c r="O130" s="2737"/>
      <c r="P130" s="47"/>
      <c r="Q130" s="47"/>
      <c r="R130" s="1219"/>
    </row>
    <row r="131" spans="2:18" hidden="1" collapsed="1">
      <c r="B131" s="895"/>
      <c r="C131" s="104" t="s">
        <v>423</v>
      </c>
      <c r="D131" s="103" t="s">
        <v>373</v>
      </c>
      <c r="E131" s="103" t="s">
        <v>1668</v>
      </c>
      <c r="F131" s="944"/>
      <c r="G131" s="2739"/>
      <c r="H131" s="2739"/>
      <c r="I131" s="2739"/>
      <c r="J131" s="2739"/>
      <c r="K131" s="2739"/>
      <c r="L131" s="2739"/>
      <c r="M131" s="2739"/>
      <c r="N131" s="2739"/>
      <c r="O131" s="2739"/>
      <c r="P131" s="47"/>
      <c r="Q131" s="47"/>
      <c r="R131" s="2745"/>
    </row>
    <row r="132" spans="2:18" hidden="1">
      <c r="B132" s="895"/>
      <c r="C132" s="2582" t="s">
        <v>423</v>
      </c>
      <c r="D132" s="194" t="s">
        <v>373</v>
      </c>
      <c r="E132" s="194" t="s">
        <v>15</v>
      </c>
      <c r="F132" s="949"/>
      <c r="G132" s="2739"/>
      <c r="H132" s="2739"/>
      <c r="I132" s="2739"/>
      <c r="J132" s="2739"/>
      <c r="K132" s="2739"/>
      <c r="L132" s="2739"/>
      <c r="M132" s="2739"/>
      <c r="N132" s="2739"/>
      <c r="O132" s="2739"/>
      <c r="P132" s="47"/>
      <c r="Q132" s="47"/>
      <c r="R132" s="2745"/>
    </row>
    <row r="133" spans="2:18" ht="15.5" hidden="1">
      <c r="B133" s="877"/>
      <c r="C133" s="2580" t="s">
        <v>424</v>
      </c>
      <c r="D133" s="968" t="s">
        <v>374</v>
      </c>
      <c r="E133" s="968" t="s">
        <v>16</v>
      </c>
      <c r="F133" s="957"/>
      <c r="G133" s="2743"/>
      <c r="H133" s="2738"/>
      <c r="I133" s="2738"/>
      <c r="J133" s="2738"/>
      <c r="K133" s="2738"/>
      <c r="L133" s="2738"/>
      <c r="M133" s="2738"/>
      <c r="N133" s="2738"/>
      <c r="O133" s="2743"/>
      <c r="P133" s="47"/>
      <c r="Q133" s="47"/>
      <c r="R133" s="2744"/>
    </row>
    <row r="134" spans="2:18" ht="15.5" hidden="1">
      <c r="B134" s="877"/>
      <c r="C134" s="104" t="s">
        <v>424</v>
      </c>
      <c r="D134" s="103" t="s">
        <v>374</v>
      </c>
      <c r="E134" s="103" t="s">
        <v>1668</v>
      </c>
      <c r="F134" s="944"/>
      <c r="G134" s="2739"/>
      <c r="H134" s="2740"/>
      <c r="I134" s="2740"/>
      <c r="J134" s="2740"/>
      <c r="K134" s="2740"/>
      <c r="L134" s="2740"/>
      <c r="M134" s="2740"/>
      <c r="N134" s="2740"/>
      <c r="O134" s="2739"/>
      <c r="P134" s="47"/>
      <c r="Q134" s="47"/>
      <c r="R134" s="2745"/>
    </row>
    <row r="135" spans="2:18" ht="15.5" hidden="1">
      <c r="B135" s="877"/>
      <c r="C135" s="2582" t="s">
        <v>424</v>
      </c>
      <c r="D135" s="194" t="s">
        <v>374</v>
      </c>
      <c r="E135" s="194" t="s">
        <v>15</v>
      </c>
      <c r="F135" s="949"/>
      <c r="G135" s="2741"/>
      <c r="H135" s="2741"/>
      <c r="I135" s="2741"/>
      <c r="J135" s="2741"/>
      <c r="K135" s="2741"/>
      <c r="L135" s="2741"/>
      <c r="M135" s="2741"/>
      <c r="N135" s="2741"/>
      <c r="O135" s="2741"/>
      <c r="P135" s="47"/>
      <c r="Q135" s="47"/>
      <c r="R135" s="1068"/>
    </row>
    <row r="136" spans="2:18" ht="15.5" hidden="1">
      <c r="B136" s="877"/>
      <c r="C136" s="2580" t="s">
        <v>421</v>
      </c>
      <c r="D136" s="968" t="s">
        <v>371</v>
      </c>
      <c r="E136" s="968" t="s">
        <v>16</v>
      </c>
      <c r="F136" s="957"/>
      <c r="G136" s="2737"/>
      <c r="H136" s="2738"/>
      <c r="I136" s="2738"/>
      <c r="J136" s="2738"/>
      <c r="K136" s="2738"/>
      <c r="L136" s="2738"/>
      <c r="M136" s="2738"/>
      <c r="N136" s="2738"/>
      <c r="O136" s="2737"/>
      <c r="P136" s="47"/>
      <c r="Q136" s="47"/>
      <c r="R136" s="2744"/>
    </row>
    <row r="137" spans="2:18" ht="15.5" hidden="1">
      <c r="B137" s="877"/>
      <c r="C137" s="104" t="s">
        <v>421</v>
      </c>
      <c r="D137" s="103" t="s">
        <v>371</v>
      </c>
      <c r="E137" s="103" t="s">
        <v>1668</v>
      </c>
      <c r="F137" s="944"/>
      <c r="G137" s="2739"/>
      <c r="H137" s="2740"/>
      <c r="I137" s="2740"/>
      <c r="J137" s="2740"/>
      <c r="K137" s="2740"/>
      <c r="L137" s="2740"/>
      <c r="M137" s="2740"/>
      <c r="N137" s="2740"/>
      <c r="O137" s="2739"/>
      <c r="P137" s="47"/>
      <c r="Q137" s="47"/>
      <c r="R137" s="2745"/>
    </row>
    <row r="138" spans="2:18" ht="15.5" hidden="1">
      <c r="B138" s="877"/>
      <c r="C138" s="2582" t="s">
        <v>421</v>
      </c>
      <c r="D138" s="194" t="s">
        <v>371</v>
      </c>
      <c r="E138" s="194" t="s">
        <v>15</v>
      </c>
      <c r="F138" s="949"/>
      <c r="G138" s="2741"/>
      <c r="H138" s="2742"/>
      <c r="I138" s="2742"/>
      <c r="J138" s="2742"/>
      <c r="K138" s="2742"/>
      <c r="L138" s="2742"/>
      <c r="M138" s="2742"/>
      <c r="N138" s="2742"/>
      <c r="O138" s="2741"/>
      <c r="P138" s="47"/>
      <c r="Q138" s="47"/>
      <c r="R138" s="2745"/>
    </row>
    <row r="139" spans="2:18" ht="15.5" hidden="1">
      <c r="B139" s="877"/>
      <c r="C139" s="2580" t="s">
        <v>422</v>
      </c>
      <c r="D139" s="968" t="s">
        <v>372</v>
      </c>
      <c r="E139" s="968" t="s">
        <v>16</v>
      </c>
      <c r="F139" s="957"/>
      <c r="G139" s="2743"/>
      <c r="H139" s="2738"/>
      <c r="I139" s="2738"/>
      <c r="J139" s="2738"/>
      <c r="K139" s="2738"/>
      <c r="L139" s="2738"/>
      <c r="M139" s="2738"/>
      <c r="N139" s="2738"/>
      <c r="O139" s="2743"/>
      <c r="P139" s="47"/>
      <c r="Q139" s="47"/>
      <c r="R139" s="1068"/>
    </row>
    <row r="140" spans="2:18" ht="15.5" hidden="1">
      <c r="B140" s="877"/>
      <c r="C140" s="104" t="s">
        <v>422</v>
      </c>
      <c r="D140" s="103" t="s">
        <v>372</v>
      </c>
      <c r="E140" s="103" t="s">
        <v>1668</v>
      </c>
      <c r="F140" s="944"/>
      <c r="G140" s="2739"/>
      <c r="H140" s="2740"/>
      <c r="I140" s="2740"/>
      <c r="J140" s="2740"/>
      <c r="K140" s="2740"/>
      <c r="L140" s="2740"/>
      <c r="M140" s="2740"/>
      <c r="N140" s="2740"/>
      <c r="O140" s="2739"/>
      <c r="P140" s="47"/>
      <c r="Q140" s="47"/>
      <c r="R140" s="1068"/>
    </row>
    <row r="141" spans="2:18" s="405" customFormat="1" ht="15.5" hidden="1">
      <c r="B141" s="877"/>
      <c r="C141" s="2582" t="s">
        <v>422</v>
      </c>
      <c r="D141" s="194" t="s">
        <v>372</v>
      </c>
      <c r="E141" s="194" t="s">
        <v>15</v>
      </c>
      <c r="F141" s="949"/>
      <c r="G141" s="2741"/>
      <c r="H141" s="2742"/>
      <c r="I141" s="2742"/>
      <c r="J141" s="2742"/>
      <c r="K141" s="2742"/>
      <c r="L141" s="2742"/>
      <c r="M141" s="2742"/>
      <c r="N141" s="2742"/>
      <c r="O141" s="2741"/>
      <c r="P141" s="2746"/>
      <c r="Q141" s="2746"/>
      <c r="R141" s="1068"/>
    </row>
    <row r="142" spans="2:18" s="405" customFormat="1" ht="15.5" hidden="1">
      <c r="B142" s="877"/>
      <c r="C142" s="2580" t="s">
        <v>425</v>
      </c>
      <c r="D142" s="968" t="s">
        <v>375</v>
      </c>
      <c r="E142" s="968" t="s">
        <v>16</v>
      </c>
      <c r="F142" s="957"/>
      <c r="G142" s="2737"/>
      <c r="H142" s="2738"/>
      <c r="I142" s="2738"/>
      <c r="J142" s="2738"/>
      <c r="K142" s="2738"/>
      <c r="L142" s="2738"/>
      <c r="M142" s="2738"/>
      <c r="N142" s="2738"/>
      <c r="O142" s="2737"/>
      <c r="P142" s="2746"/>
      <c r="Q142" s="2746"/>
      <c r="R142" s="1068"/>
    </row>
    <row r="143" spans="2:18" ht="15.5" hidden="1">
      <c r="B143" s="877"/>
      <c r="C143" s="104" t="s">
        <v>425</v>
      </c>
      <c r="D143" s="103" t="s">
        <v>375</v>
      </c>
      <c r="E143" s="103" t="s">
        <v>1668</v>
      </c>
      <c r="F143" s="944"/>
      <c r="G143" s="2739"/>
      <c r="H143" s="2740"/>
      <c r="I143" s="2740"/>
      <c r="J143" s="2740"/>
      <c r="K143" s="2740"/>
      <c r="L143" s="2740"/>
      <c r="M143" s="2740"/>
      <c r="N143" s="2740"/>
      <c r="O143" s="2739"/>
      <c r="P143" s="47"/>
      <c r="Q143" s="47"/>
      <c r="R143" s="1068"/>
    </row>
    <row r="144" spans="2:18" ht="15.5" hidden="1">
      <c r="B144" s="877"/>
      <c r="C144" s="2582" t="s">
        <v>425</v>
      </c>
      <c r="D144" s="194" t="s">
        <v>375</v>
      </c>
      <c r="E144" s="194" t="s">
        <v>15</v>
      </c>
      <c r="F144" s="949"/>
      <c r="G144" s="2741"/>
      <c r="H144" s="2741"/>
      <c r="I144" s="2741"/>
      <c r="J144" s="2741"/>
      <c r="K144" s="2741"/>
      <c r="L144" s="2741"/>
      <c r="M144" s="2741"/>
      <c r="N144" s="2741"/>
      <c r="O144" s="2741"/>
      <c r="P144" s="47"/>
      <c r="Q144" s="47"/>
      <c r="R144" s="1068"/>
    </row>
    <row r="145" spans="2:18" s="405" customFormat="1" ht="15.5" hidden="1">
      <c r="B145" s="877"/>
      <c r="C145" s="67"/>
      <c r="D145" s="67"/>
      <c r="E145" s="67"/>
      <c r="F145" s="67"/>
      <c r="G145" s="67"/>
      <c r="H145" s="67"/>
      <c r="I145" s="67"/>
      <c r="J145" s="67"/>
      <c r="K145" s="67"/>
      <c r="L145" s="67"/>
      <c r="M145" s="67"/>
      <c r="N145" s="67"/>
      <c r="O145" s="67"/>
      <c r="P145" s="281"/>
      <c r="Q145" s="281"/>
      <c r="R145" s="2747"/>
    </row>
    <row r="146" spans="2:18" s="405" customFormat="1" ht="15.5" hidden="1">
      <c r="B146" s="877"/>
      <c r="C146" s="49" t="s">
        <v>2073</v>
      </c>
      <c r="D146" s="195"/>
      <c r="E146" s="67"/>
      <c r="F146" s="2655"/>
      <c r="G146" s="2655"/>
      <c r="H146" s="2655"/>
      <c r="I146" s="2655"/>
      <c r="J146" s="49"/>
      <c r="K146" s="67"/>
      <c r="L146" s="67"/>
      <c r="M146" s="67"/>
      <c r="N146" s="67"/>
      <c r="O146" s="49" t="s">
        <v>2740</v>
      </c>
      <c r="P146" s="281"/>
      <c r="Q146" s="281"/>
      <c r="R146" s="202"/>
    </row>
    <row r="147" spans="2:18" ht="4.5" hidden="1" customHeight="1">
      <c r="B147" s="877"/>
      <c r="C147" s="67"/>
      <c r="D147" s="195"/>
      <c r="E147" s="67"/>
      <c r="F147" s="67"/>
      <c r="G147" s="67"/>
      <c r="H147" s="67"/>
      <c r="I147" s="67"/>
      <c r="J147" s="67"/>
      <c r="K147" s="67"/>
      <c r="L147" s="67"/>
      <c r="M147" s="67"/>
      <c r="N147" s="67"/>
      <c r="O147" s="67"/>
      <c r="P147" s="67"/>
      <c r="Q147" s="67"/>
      <c r="R147" s="1068"/>
    </row>
    <row r="148" spans="2:18" ht="15.5" hidden="1">
      <c r="B148" s="877"/>
      <c r="C148" s="1260" t="s">
        <v>2053</v>
      </c>
      <c r="D148" s="1260" t="s">
        <v>2054</v>
      </c>
      <c r="E148" s="1260" t="s">
        <v>2055</v>
      </c>
      <c r="F148" s="971" t="s">
        <v>159</v>
      </c>
      <c r="G148" s="965">
        <v>2010</v>
      </c>
      <c r="H148" s="965">
        <v>2015</v>
      </c>
      <c r="I148" s="965">
        <v>2020</v>
      </c>
      <c r="J148" s="965">
        <v>2025</v>
      </c>
      <c r="K148" s="965">
        <v>2030</v>
      </c>
      <c r="L148" s="965">
        <v>2035</v>
      </c>
      <c r="M148" s="965">
        <v>2040</v>
      </c>
      <c r="N148" s="965">
        <v>2045</v>
      </c>
      <c r="O148" s="965">
        <v>2050</v>
      </c>
      <c r="P148" s="47"/>
      <c r="Q148" s="47"/>
      <c r="R148" s="1068"/>
    </row>
    <row r="149" spans="2:18" s="405" customFormat="1" hidden="1">
      <c r="B149" s="105"/>
      <c r="C149" s="2580" t="s">
        <v>423</v>
      </c>
      <c r="D149" s="968" t="s">
        <v>373</v>
      </c>
      <c r="E149" s="968" t="s">
        <v>16</v>
      </c>
      <c r="F149" s="957"/>
      <c r="G149" s="2737"/>
      <c r="H149" s="2738"/>
      <c r="I149" s="2738"/>
      <c r="J149" s="2738"/>
      <c r="K149" s="2738"/>
      <c r="L149" s="2738"/>
      <c r="M149" s="2738"/>
      <c r="N149" s="2738"/>
      <c r="O149" s="2737"/>
      <c r="P149" s="2746"/>
      <c r="Q149" s="2746"/>
      <c r="R149" s="1677"/>
    </row>
    <row r="150" spans="2:18" s="405" customFormat="1" hidden="1">
      <c r="B150" s="105"/>
      <c r="C150" s="104" t="s">
        <v>423</v>
      </c>
      <c r="D150" s="103" t="s">
        <v>373</v>
      </c>
      <c r="E150" s="103" t="s">
        <v>1668</v>
      </c>
      <c r="F150" s="944"/>
      <c r="G150" s="2739"/>
      <c r="H150" s="2740"/>
      <c r="I150" s="2740"/>
      <c r="J150" s="2740"/>
      <c r="K150" s="2740"/>
      <c r="L150" s="2740"/>
      <c r="M150" s="2740"/>
      <c r="N150" s="2740"/>
      <c r="O150" s="2739"/>
      <c r="P150" s="2746"/>
      <c r="Q150" s="2746"/>
      <c r="R150" s="1677"/>
    </row>
    <row r="151" spans="2:18" hidden="1">
      <c r="B151" s="105"/>
      <c r="C151" s="2582" t="s">
        <v>423</v>
      </c>
      <c r="D151" s="194" t="s">
        <v>373</v>
      </c>
      <c r="E151" s="194" t="s">
        <v>15</v>
      </c>
      <c r="F151" s="949"/>
      <c r="G151" s="2741"/>
      <c r="H151" s="2742"/>
      <c r="I151" s="2742"/>
      <c r="J151" s="2742"/>
      <c r="K151" s="2742"/>
      <c r="L151" s="2742"/>
      <c r="M151" s="2742"/>
      <c r="N151" s="2742"/>
      <c r="O151" s="2741"/>
      <c r="P151" s="47"/>
      <c r="Q151" s="47"/>
      <c r="R151" s="1068"/>
    </row>
    <row r="152" spans="2:18" hidden="1">
      <c r="B152" s="105"/>
      <c r="C152" s="2580" t="s">
        <v>424</v>
      </c>
      <c r="D152" s="968" t="s">
        <v>374</v>
      </c>
      <c r="E152" s="968" t="s">
        <v>16</v>
      </c>
      <c r="F152" s="957"/>
      <c r="G152" s="2743"/>
      <c r="H152" s="2738"/>
      <c r="I152" s="2738"/>
      <c r="J152" s="2738"/>
      <c r="K152" s="2738"/>
      <c r="L152" s="2738"/>
      <c r="M152" s="2738"/>
      <c r="N152" s="2738"/>
      <c r="O152" s="2743"/>
      <c r="P152" s="47"/>
      <c r="Q152" s="47"/>
      <c r="R152" s="1068"/>
    </row>
    <row r="153" spans="2:18" hidden="1">
      <c r="B153" s="105"/>
      <c r="C153" s="104" t="s">
        <v>424</v>
      </c>
      <c r="D153" s="103" t="s">
        <v>374</v>
      </c>
      <c r="E153" s="103" t="s">
        <v>1668</v>
      </c>
      <c r="F153" s="944"/>
      <c r="G153" s="2739"/>
      <c r="H153" s="2740"/>
      <c r="I153" s="2740"/>
      <c r="J153" s="2740"/>
      <c r="K153" s="2740"/>
      <c r="L153" s="2740"/>
      <c r="M153" s="2740"/>
      <c r="N153" s="2740"/>
      <c r="O153" s="2739"/>
      <c r="P153" s="47"/>
      <c r="Q153" s="47"/>
      <c r="R153" s="1068"/>
    </row>
    <row r="154" spans="2:18" hidden="1">
      <c r="B154" s="105"/>
      <c r="C154" s="2582" t="s">
        <v>424</v>
      </c>
      <c r="D154" s="194" t="s">
        <v>374</v>
      </c>
      <c r="E154" s="194" t="s">
        <v>15</v>
      </c>
      <c r="F154" s="949"/>
      <c r="G154" s="2741"/>
      <c r="H154" s="2742"/>
      <c r="I154" s="2742"/>
      <c r="J154" s="2742"/>
      <c r="K154" s="2742"/>
      <c r="L154" s="2742"/>
      <c r="M154" s="2742"/>
      <c r="N154" s="2742"/>
      <c r="O154" s="2741"/>
      <c r="P154" s="47"/>
      <c r="Q154" s="47"/>
    </row>
    <row r="155" spans="2:18" hidden="1">
      <c r="B155" s="895"/>
      <c r="C155" s="2580" t="s">
        <v>421</v>
      </c>
      <c r="D155" s="968" t="s">
        <v>371</v>
      </c>
      <c r="E155" s="968" t="s">
        <v>16</v>
      </c>
      <c r="F155" s="957"/>
      <c r="G155" s="2737"/>
      <c r="H155" s="2738"/>
      <c r="I155" s="2738"/>
      <c r="J155" s="2738"/>
      <c r="K155" s="2738"/>
      <c r="L155" s="2738"/>
      <c r="M155" s="2738"/>
      <c r="N155" s="2738"/>
      <c r="O155" s="2737"/>
      <c r="P155" s="47"/>
      <c r="Q155" s="47"/>
    </row>
    <row r="156" spans="2:18" hidden="1">
      <c r="B156" s="895"/>
      <c r="C156" s="104" t="s">
        <v>421</v>
      </c>
      <c r="D156" s="103" t="s">
        <v>371</v>
      </c>
      <c r="E156" s="103" t="s">
        <v>1668</v>
      </c>
      <c r="F156" s="944"/>
      <c r="G156" s="2739"/>
      <c r="H156" s="2740"/>
      <c r="I156" s="2740"/>
      <c r="J156" s="2740"/>
      <c r="K156" s="2740"/>
      <c r="L156" s="2740"/>
      <c r="M156" s="2740"/>
      <c r="N156" s="2740"/>
      <c r="O156" s="2739"/>
      <c r="P156" s="47"/>
      <c r="Q156" s="47"/>
    </row>
    <row r="157" spans="2:18" ht="15.5" hidden="1">
      <c r="B157" s="877"/>
      <c r="C157" s="2582" t="s">
        <v>421</v>
      </c>
      <c r="D157" s="194" t="s">
        <v>371</v>
      </c>
      <c r="E157" s="194" t="s">
        <v>15</v>
      </c>
      <c r="F157" s="949"/>
      <c r="G157" s="2741"/>
      <c r="H157" s="2742"/>
      <c r="I157" s="2742"/>
      <c r="J157" s="2742"/>
      <c r="K157" s="2742"/>
      <c r="L157" s="2742"/>
      <c r="M157" s="2742"/>
      <c r="N157" s="2742"/>
      <c r="O157" s="2741"/>
      <c r="P157" s="47"/>
      <c r="Q157" s="47"/>
    </row>
    <row r="158" spans="2:18" ht="15.5" hidden="1">
      <c r="B158" s="877"/>
      <c r="C158" s="2580" t="s">
        <v>422</v>
      </c>
      <c r="D158" s="968" t="s">
        <v>372</v>
      </c>
      <c r="E158" s="968" t="s">
        <v>16</v>
      </c>
      <c r="F158" s="957"/>
      <c r="G158" s="2743"/>
      <c r="H158" s="2738"/>
      <c r="I158" s="2738"/>
      <c r="J158" s="2738"/>
      <c r="K158" s="2738"/>
      <c r="L158" s="2738"/>
      <c r="M158" s="2738"/>
      <c r="N158" s="2738"/>
      <c r="O158" s="2743"/>
      <c r="P158" s="47"/>
      <c r="Q158" s="47"/>
    </row>
    <row r="159" spans="2:18" ht="15.5" hidden="1">
      <c r="B159" s="877"/>
      <c r="C159" s="104" t="s">
        <v>422</v>
      </c>
      <c r="D159" s="103" t="s">
        <v>372</v>
      </c>
      <c r="E159" s="103" t="s">
        <v>1668</v>
      </c>
      <c r="F159" s="944"/>
      <c r="G159" s="2739"/>
      <c r="H159" s="2740"/>
      <c r="I159" s="2740"/>
      <c r="J159" s="2740"/>
      <c r="K159" s="2740"/>
      <c r="L159" s="2740"/>
      <c r="M159" s="2740"/>
      <c r="N159" s="2740"/>
      <c r="O159" s="2739"/>
      <c r="P159" s="47"/>
      <c r="Q159" s="47"/>
    </row>
    <row r="160" spans="2:18" ht="15.5" hidden="1">
      <c r="B160" s="877"/>
      <c r="C160" s="2582" t="s">
        <v>422</v>
      </c>
      <c r="D160" s="194" t="s">
        <v>372</v>
      </c>
      <c r="E160" s="194" t="s">
        <v>15</v>
      </c>
      <c r="F160" s="949"/>
      <c r="G160" s="2741"/>
      <c r="H160" s="2742"/>
      <c r="I160" s="2742"/>
      <c r="J160" s="2742"/>
      <c r="K160" s="2742"/>
      <c r="L160" s="2742"/>
      <c r="M160" s="2742"/>
      <c r="N160" s="2742"/>
      <c r="O160" s="2741"/>
      <c r="P160" s="47"/>
      <c r="Q160" s="47"/>
    </row>
    <row r="161" spans="1:17" ht="15.5" hidden="1">
      <c r="B161" s="877"/>
      <c r="C161" s="2580" t="s">
        <v>425</v>
      </c>
      <c r="D161" s="968" t="s">
        <v>375</v>
      </c>
      <c r="E161" s="968" t="s">
        <v>16</v>
      </c>
      <c r="F161" s="957"/>
      <c r="G161" s="2737"/>
      <c r="H161" s="2738"/>
      <c r="I161" s="2738"/>
      <c r="J161" s="2738"/>
      <c r="K161" s="2738"/>
      <c r="L161" s="2738"/>
      <c r="M161" s="2738"/>
      <c r="N161" s="2738"/>
      <c r="O161" s="2737"/>
      <c r="P161" s="47"/>
      <c r="Q161" s="47"/>
    </row>
    <row r="162" spans="1:17" ht="15.5" hidden="1">
      <c r="B162" s="877"/>
      <c r="C162" s="104" t="s">
        <v>425</v>
      </c>
      <c r="D162" s="103" t="s">
        <v>375</v>
      </c>
      <c r="E162" s="103" t="s">
        <v>1668</v>
      </c>
      <c r="F162" s="944"/>
      <c r="G162" s="2739"/>
      <c r="H162" s="2740"/>
      <c r="I162" s="2740"/>
      <c r="J162" s="2740"/>
      <c r="K162" s="2740"/>
      <c r="L162" s="2740"/>
      <c r="M162" s="2740"/>
      <c r="N162" s="2740"/>
      <c r="O162" s="2739"/>
      <c r="P162" s="47"/>
      <c r="Q162" s="47"/>
    </row>
    <row r="163" spans="1:17" ht="15.5" hidden="1">
      <c r="B163" s="877"/>
      <c r="C163" s="2582" t="s">
        <v>425</v>
      </c>
      <c r="D163" s="194" t="s">
        <v>375</v>
      </c>
      <c r="E163" s="194" t="s">
        <v>15</v>
      </c>
      <c r="F163" s="949"/>
      <c r="G163" s="2741"/>
      <c r="H163" s="2742"/>
      <c r="I163" s="2742"/>
      <c r="J163" s="2742"/>
      <c r="K163" s="2742"/>
      <c r="L163" s="2742"/>
      <c r="M163" s="2742"/>
      <c r="N163" s="2742"/>
      <c r="O163" s="2741"/>
      <c r="P163" s="47"/>
      <c r="Q163" s="47"/>
    </row>
    <row r="164" spans="1:17" ht="15.5" hidden="1">
      <c r="B164" s="877"/>
      <c r="C164" s="67"/>
      <c r="D164" s="67"/>
      <c r="E164" s="67"/>
      <c r="F164" s="67"/>
      <c r="G164" s="67"/>
      <c r="H164" s="67"/>
      <c r="I164" s="67"/>
      <c r="J164" s="67"/>
      <c r="K164" s="67"/>
      <c r="L164" s="67"/>
      <c r="M164" s="67"/>
      <c r="N164" s="67"/>
      <c r="O164" s="67"/>
      <c r="P164" s="67"/>
      <c r="Q164" s="67"/>
    </row>
    <row r="165" spans="1:17" ht="15.5" hidden="1">
      <c r="B165" s="877"/>
      <c r="C165" s="47"/>
      <c r="D165" s="47"/>
      <c r="E165" s="47"/>
      <c r="F165" s="47"/>
      <c r="G165" s="47"/>
      <c r="H165" s="47"/>
      <c r="I165" s="47"/>
      <c r="J165" s="47"/>
      <c r="K165" s="47"/>
      <c r="L165" s="47"/>
      <c r="M165" s="47"/>
      <c r="N165" s="47"/>
      <c r="O165" s="47"/>
      <c r="P165" s="47"/>
      <c r="Q165" s="47"/>
    </row>
    <row r="166" spans="1:17" ht="18.5" hidden="1">
      <c r="B166" s="877"/>
      <c r="C166" s="2748" t="s">
        <v>172</v>
      </c>
      <c r="D166" s="47"/>
      <c r="E166" s="47"/>
      <c r="F166" s="47"/>
      <c r="G166" s="47"/>
      <c r="H166" s="47"/>
      <c r="I166" s="47"/>
      <c r="J166" s="47"/>
      <c r="K166" s="47"/>
      <c r="L166" s="47"/>
      <c r="M166" s="47"/>
      <c r="N166" s="47"/>
      <c r="O166" s="47"/>
      <c r="P166" s="47"/>
      <c r="Q166" s="47"/>
    </row>
    <row r="167" spans="1:17" ht="15.5" hidden="1">
      <c r="B167" s="877"/>
      <c r="C167" s="49" t="s">
        <v>2074</v>
      </c>
      <c r="D167" s="195"/>
      <c r="E167" s="67"/>
      <c r="F167" s="2655"/>
      <c r="G167" s="2655"/>
      <c r="H167" s="2655"/>
      <c r="I167" s="2655"/>
      <c r="J167" s="49"/>
      <c r="K167" s="67"/>
      <c r="L167" s="67"/>
      <c r="M167" s="67"/>
      <c r="N167" s="67"/>
      <c r="O167" s="49" t="s">
        <v>2740</v>
      </c>
      <c r="P167" s="67"/>
      <c r="Q167" s="67"/>
    </row>
    <row r="168" spans="1:17" ht="15.5" hidden="1">
      <c r="B168" s="877"/>
      <c r="C168" s="67"/>
      <c r="D168" s="195"/>
      <c r="E168" s="67"/>
      <c r="F168" s="67"/>
      <c r="G168" s="67"/>
      <c r="H168" s="67"/>
      <c r="I168" s="67"/>
      <c r="J168" s="67"/>
      <c r="K168" s="67"/>
      <c r="L168" s="67"/>
      <c r="M168" s="67"/>
      <c r="N168" s="67"/>
      <c r="O168" s="67"/>
      <c r="P168" s="67"/>
      <c r="Q168" s="67"/>
    </row>
    <row r="169" spans="1:17" ht="15.5" hidden="1">
      <c r="B169" s="877"/>
      <c r="C169" s="878" t="s">
        <v>2053</v>
      </c>
      <c r="D169" s="878" t="s">
        <v>2054</v>
      </c>
      <c r="E169" s="1260" t="s">
        <v>2055</v>
      </c>
      <c r="F169" s="971" t="s">
        <v>159</v>
      </c>
      <c r="G169" s="965">
        <v>2010</v>
      </c>
      <c r="H169" s="965">
        <v>2015</v>
      </c>
      <c r="I169" s="965">
        <v>2020</v>
      </c>
      <c r="J169" s="965">
        <v>2025</v>
      </c>
      <c r="K169" s="965">
        <v>2030</v>
      </c>
      <c r="L169" s="965">
        <v>2035</v>
      </c>
      <c r="M169" s="965">
        <v>2040</v>
      </c>
      <c r="N169" s="965">
        <v>2045</v>
      </c>
      <c r="O169" s="965">
        <v>2050</v>
      </c>
      <c r="P169" s="47"/>
      <c r="Q169" s="47"/>
    </row>
    <row r="170" spans="1:17" ht="15.5" hidden="1">
      <c r="B170" s="877"/>
      <c r="C170" s="2660" t="s">
        <v>423</v>
      </c>
      <c r="D170" s="881" t="s">
        <v>373</v>
      </c>
      <c r="E170" s="968" t="s">
        <v>16</v>
      </c>
      <c r="F170" s="957"/>
      <c r="G170" s="2737"/>
      <c r="H170" s="2738"/>
      <c r="I170" s="2738"/>
      <c r="J170" s="2738"/>
      <c r="K170" s="2738"/>
      <c r="L170" s="2738"/>
      <c r="M170" s="2738"/>
      <c r="N170" s="2738"/>
      <c r="O170" s="2737"/>
      <c r="P170" s="47"/>
      <c r="Q170" s="47"/>
    </row>
    <row r="171" spans="1:17" ht="23.5" hidden="1">
      <c r="A171" s="7"/>
      <c r="B171" s="877"/>
      <c r="C171" s="104" t="s">
        <v>423</v>
      </c>
      <c r="D171" s="103" t="s">
        <v>373</v>
      </c>
      <c r="E171" s="103" t="s">
        <v>1668</v>
      </c>
      <c r="F171" s="944"/>
      <c r="G171" s="2739"/>
      <c r="H171" s="2740"/>
      <c r="I171" s="2740"/>
      <c r="J171" s="2740"/>
      <c r="K171" s="2740"/>
      <c r="L171" s="2740"/>
      <c r="M171" s="2740"/>
      <c r="N171" s="2740"/>
      <c r="O171" s="2739"/>
      <c r="P171" s="47"/>
      <c r="Q171" s="47"/>
    </row>
    <row r="172" spans="1:17" ht="15.5" hidden="1">
      <c r="B172" s="877"/>
      <c r="C172" s="2661" t="s">
        <v>423</v>
      </c>
      <c r="D172" s="1495" t="s">
        <v>373</v>
      </c>
      <c r="E172" s="194" t="s">
        <v>15</v>
      </c>
      <c r="F172" s="949"/>
      <c r="G172" s="2741"/>
      <c r="H172" s="2742"/>
      <c r="I172" s="2742"/>
      <c r="J172" s="2742"/>
      <c r="K172" s="2742"/>
      <c r="L172" s="2742"/>
      <c r="M172" s="2742"/>
      <c r="N172" s="2742"/>
      <c r="O172" s="2741"/>
      <c r="P172" s="47"/>
      <c r="Q172" s="47"/>
    </row>
    <row r="173" spans="1:17" hidden="1">
      <c r="B173" s="105"/>
      <c r="C173" s="2660" t="s">
        <v>424</v>
      </c>
      <c r="D173" s="881" t="s">
        <v>374</v>
      </c>
      <c r="E173" s="968" t="s">
        <v>16</v>
      </c>
      <c r="F173" s="957"/>
      <c r="G173" s="2743"/>
      <c r="H173" s="2738"/>
      <c r="I173" s="2738"/>
      <c r="J173" s="2738"/>
      <c r="K173" s="2738"/>
      <c r="L173" s="2738"/>
      <c r="M173" s="2738"/>
      <c r="N173" s="2738"/>
      <c r="O173" s="2743"/>
      <c r="P173" s="47"/>
      <c r="Q173" s="47"/>
    </row>
    <row r="174" spans="1:17" hidden="1">
      <c r="B174" s="105"/>
      <c r="C174" s="104" t="s">
        <v>424</v>
      </c>
      <c r="D174" s="103" t="s">
        <v>374</v>
      </c>
      <c r="E174" s="103" t="s">
        <v>1668</v>
      </c>
      <c r="F174" s="944"/>
      <c r="G174" s="2739"/>
      <c r="H174" s="2740"/>
      <c r="I174" s="2740"/>
      <c r="J174" s="2740"/>
      <c r="K174" s="2740"/>
      <c r="L174" s="2740"/>
      <c r="M174" s="2740"/>
      <c r="N174" s="2740"/>
      <c r="O174" s="2739"/>
      <c r="P174" s="47"/>
      <c r="Q174" s="47"/>
    </row>
    <row r="175" spans="1:17" hidden="1">
      <c r="B175" s="105"/>
      <c r="C175" s="2661" t="s">
        <v>424</v>
      </c>
      <c r="D175" s="1495" t="s">
        <v>374</v>
      </c>
      <c r="E175" s="194" t="s">
        <v>15</v>
      </c>
      <c r="F175" s="949"/>
      <c r="G175" s="2741"/>
      <c r="H175" s="2742"/>
      <c r="I175" s="2742"/>
      <c r="J175" s="2742"/>
      <c r="K175" s="2742"/>
      <c r="L175" s="2742"/>
      <c r="M175" s="2742"/>
      <c r="N175" s="2742"/>
      <c r="O175" s="2741"/>
      <c r="P175" s="47"/>
      <c r="Q175" s="47"/>
    </row>
    <row r="176" spans="1:17" hidden="1">
      <c r="B176" s="105"/>
      <c r="C176" s="104" t="s">
        <v>421</v>
      </c>
      <c r="D176" s="103" t="s">
        <v>371</v>
      </c>
      <c r="E176" s="968" t="s">
        <v>16</v>
      </c>
      <c r="F176" s="957"/>
      <c r="G176" s="2737"/>
      <c r="H176" s="2738"/>
      <c r="I176" s="2738"/>
      <c r="J176" s="2738"/>
      <c r="K176" s="2738"/>
      <c r="L176" s="2738"/>
      <c r="M176" s="2738"/>
      <c r="N176" s="2738"/>
      <c r="O176" s="2737"/>
      <c r="P176" s="47"/>
      <c r="Q176" s="47"/>
    </row>
    <row r="177" spans="1:18" hidden="1">
      <c r="B177" s="105"/>
      <c r="C177" s="104" t="s">
        <v>421</v>
      </c>
      <c r="D177" s="103" t="s">
        <v>371</v>
      </c>
      <c r="E177" s="103" t="s">
        <v>1668</v>
      </c>
      <c r="F177" s="944"/>
      <c r="G177" s="2739"/>
      <c r="H177" s="2740"/>
      <c r="I177" s="2740"/>
      <c r="J177" s="2740"/>
      <c r="K177" s="2740"/>
      <c r="L177" s="2740"/>
      <c r="M177" s="2740"/>
      <c r="N177" s="2740"/>
      <c r="O177" s="2739"/>
      <c r="P177" s="47"/>
      <c r="Q177" s="47"/>
    </row>
    <row r="178" spans="1:18" hidden="1">
      <c r="B178" s="105"/>
      <c r="C178" s="2661" t="s">
        <v>421</v>
      </c>
      <c r="D178" s="1495" t="s">
        <v>371</v>
      </c>
      <c r="E178" s="194" t="s">
        <v>15</v>
      </c>
      <c r="F178" s="949"/>
      <c r="G178" s="2741"/>
      <c r="H178" s="2742"/>
      <c r="I178" s="2742"/>
      <c r="J178" s="2742"/>
      <c r="K178" s="2742"/>
      <c r="L178" s="2742"/>
      <c r="M178" s="2742"/>
      <c r="N178" s="2742"/>
      <c r="O178" s="2741"/>
      <c r="P178" s="47"/>
      <c r="Q178" s="47"/>
    </row>
    <row r="179" spans="1:18" hidden="1">
      <c r="B179" s="895"/>
      <c r="C179" s="104" t="s">
        <v>422</v>
      </c>
      <c r="D179" s="103" t="s">
        <v>372</v>
      </c>
      <c r="E179" s="968" t="s">
        <v>16</v>
      </c>
      <c r="F179" s="957"/>
      <c r="G179" s="2743"/>
      <c r="H179" s="2738"/>
      <c r="I179" s="2738"/>
      <c r="J179" s="2738"/>
      <c r="K179" s="2738"/>
      <c r="L179" s="2738"/>
      <c r="M179" s="2738"/>
      <c r="N179" s="2738"/>
      <c r="O179" s="2743"/>
      <c r="P179" s="47"/>
      <c r="Q179" s="47"/>
    </row>
    <row r="180" spans="1:18" hidden="1">
      <c r="B180" s="895"/>
      <c r="C180" s="104" t="s">
        <v>422</v>
      </c>
      <c r="D180" s="103" t="s">
        <v>372</v>
      </c>
      <c r="E180" s="103" t="s">
        <v>1668</v>
      </c>
      <c r="F180" s="944"/>
      <c r="G180" s="2739"/>
      <c r="H180" s="2740"/>
      <c r="I180" s="2740"/>
      <c r="J180" s="2740"/>
      <c r="K180" s="2740"/>
      <c r="L180" s="2740"/>
      <c r="M180" s="2740"/>
      <c r="N180" s="2740"/>
      <c r="O180" s="2739"/>
      <c r="P180" s="47"/>
      <c r="Q180" s="47"/>
    </row>
    <row r="181" spans="1:18" ht="15.5" hidden="1">
      <c r="A181" s="405"/>
      <c r="B181" s="877"/>
      <c r="C181" s="2661" t="s">
        <v>422</v>
      </c>
      <c r="D181" s="1495" t="s">
        <v>372</v>
      </c>
      <c r="E181" s="194" t="s">
        <v>15</v>
      </c>
      <c r="F181" s="949"/>
      <c r="G181" s="2741"/>
      <c r="H181" s="2742"/>
      <c r="I181" s="2742"/>
      <c r="J181" s="2742"/>
      <c r="K181" s="2742"/>
      <c r="L181" s="2742"/>
      <c r="M181" s="2742"/>
      <c r="N181" s="2742"/>
      <c r="O181" s="2741"/>
      <c r="P181" s="47"/>
      <c r="Q181" s="47"/>
      <c r="R181" s="1068"/>
    </row>
    <row r="182" spans="1:18" ht="15.5" hidden="1">
      <c r="A182" s="405"/>
      <c r="B182" s="877"/>
      <c r="C182" s="104" t="s">
        <v>425</v>
      </c>
      <c r="D182" s="103" t="s">
        <v>375</v>
      </c>
      <c r="E182" s="968" t="s">
        <v>16</v>
      </c>
      <c r="F182" s="957"/>
      <c r="G182" s="2737"/>
      <c r="H182" s="2738"/>
      <c r="I182" s="2738"/>
      <c r="J182" s="2738"/>
      <c r="K182" s="2738"/>
      <c r="L182" s="2738"/>
      <c r="M182" s="2738"/>
      <c r="N182" s="2738"/>
      <c r="O182" s="2737"/>
      <c r="P182" s="47"/>
      <c r="Q182" s="47"/>
      <c r="R182" s="1068"/>
    </row>
    <row r="183" spans="1:18" ht="15.5" hidden="1">
      <c r="B183" s="877"/>
      <c r="C183" s="104" t="s">
        <v>425</v>
      </c>
      <c r="D183" s="103" t="s">
        <v>375</v>
      </c>
      <c r="E183" s="103" t="s">
        <v>1668</v>
      </c>
      <c r="F183" s="944"/>
      <c r="G183" s="2739"/>
      <c r="H183" s="2740"/>
      <c r="I183" s="2740"/>
      <c r="J183" s="2740"/>
      <c r="K183" s="2740"/>
      <c r="L183" s="2740"/>
      <c r="M183" s="2740"/>
      <c r="N183" s="2740"/>
      <c r="O183" s="2739"/>
      <c r="P183" s="47"/>
      <c r="Q183" s="47"/>
      <c r="R183" s="1068"/>
    </row>
    <row r="184" spans="1:18" ht="15.5" hidden="1">
      <c r="B184" s="877"/>
      <c r="C184" s="2582" t="s">
        <v>425</v>
      </c>
      <c r="D184" s="194" t="s">
        <v>375</v>
      </c>
      <c r="E184" s="194" t="s">
        <v>15</v>
      </c>
      <c r="F184" s="949"/>
      <c r="G184" s="2741"/>
      <c r="H184" s="2742"/>
      <c r="I184" s="2742"/>
      <c r="J184" s="2742"/>
      <c r="K184" s="2742"/>
      <c r="L184" s="2742"/>
      <c r="M184" s="2742"/>
      <c r="N184" s="2742"/>
      <c r="O184" s="2741"/>
      <c r="P184" s="47"/>
      <c r="Q184" s="47"/>
      <c r="R184" s="1068"/>
    </row>
    <row r="185" spans="1:18" ht="15.5" hidden="1">
      <c r="A185" s="405"/>
      <c r="B185" s="877"/>
      <c r="C185" s="67"/>
      <c r="D185" s="67"/>
      <c r="E185" s="67"/>
      <c r="F185" s="67"/>
      <c r="G185" s="67"/>
      <c r="H185" s="67"/>
      <c r="I185" s="67"/>
      <c r="J185" s="67"/>
      <c r="K185" s="67"/>
      <c r="L185" s="67"/>
      <c r="M185" s="67"/>
      <c r="N185" s="67"/>
      <c r="O185" s="67"/>
      <c r="P185" s="67"/>
      <c r="Q185" s="67"/>
      <c r="R185" s="1068"/>
    </row>
    <row r="186" spans="1:18" ht="15.5" hidden="1">
      <c r="A186" s="405"/>
      <c r="B186" s="877"/>
      <c r="C186" s="49" t="s">
        <v>2075</v>
      </c>
      <c r="D186" s="195"/>
      <c r="E186" s="67"/>
      <c r="F186" s="2655"/>
      <c r="G186" s="2655"/>
      <c r="H186" s="2655"/>
      <c r="I186" s="2655"/>
      <c r="J186" s="49"/>
      <c r="K186" s="67"/>
      <c r="L186" s="67"/>
      <c r="M186" s="67"/>
      <c r="N186" s="67"/>
      <c r="O186" s="49" t="s">
        <v>2740</v>
      </c>
      <c r="P186" s="67"/>
      <c r="Q186" s="67"/>
      <c r="R186" s="1068"/>
    </row>
    <row r="187" spans="1:18" ht="4.5" hidden="1" customHeight="1">
      <c r="B187" s="877"/>
      <c r="C187" s="67"/>
      <c r="D187" s="195"/>
      <c r="E187" s="67"/>
      <c r="F187" s="67"/>
      <c r="G187" s="67"/>
      <c r="H187" s="67"/>
      <c r="I187" s="67"/>
      <c r="J187" s="67"/>
      <c r="K187" s="67"/>
      <c r="L187" s="67"/>
      <c r="M187" s="67"/>
      <c r="N187" s="67"/>
      <c r="O187" s="876"/>
      <c r="P187" s="47"/>
      <c r="Q187" s="47"/>
      <c r="R187" s="1068"/>
    </row>
    <row r="188" spans="1:18" ht="15.5" hidden="1">
      <c r="B188" s="877"/>
      <c r="C188" s="878" t="s">
        <v>2053</v>
      </c>
      <c r="D188" s="878" t="s">
        <v>2054</v>
      </c>
      <c r="E188" s="878" t="s">
        <v>2055</v>
      </c>
      <c r="F188" s="940" t="s">
        <v>159</v>
      </c>
      <c r="G188" s="942">
        <v>2010</v>
      </c>
      <c r="H188" s="942">
        <v>2015</v>
      </c>
      <c r="I188" s="942">
        <v>2020</v>
      </c>
      <c r="J188" s="942">
        <v>2025</v>
      </c>
      <c r="K188" s="942">
        <v>2030</v>
      </c>
      <c r="L188" s="942">
        <v>2035</v>
      </c>
      <c r="M188" s="942">
        <v>2040</v>
      </c>
      <c r="N188" s="942">
        <v>2045</v>
      </c>
      <c r="O188" s="942">
        <v>2050</v>
      </c>
      <c r="P188" s="47"/>
      <c r="Q188" s="47"/>
      <c r="R188" s="1068"/>
    </row>
    <row r="189" spans="1:18" ht="15.5" hidden="1">
      <c r="A189" s="405"/>
      <c r="B189" s="877"/>
      <c r="C189" s="2660" t="s">
        <v>423</v>
      </c>
      <c r="D189" s="881" t="s">
        <v>373</v>
      </c>
      <c r="E189" s="881" t="s">
        <v>16</v>
      </c>
      <c r="F189" s="957"/>
      <c r="G189" s="2749"/>
      <c r="H189" s="2749"/>
      <c r="I189" s="2749"/>
      <c r="J189" s="2749"/>
      <c r="K189" s="2749"/>
      <c r="L189" s="2749"/>
      <c r="M189" s="2749"/>
      <c r="N189" s="2749"/>
      <c r="O189" s="2749"/>
      <c r="P189" s="47"/>
      <c r="Q189" s="47"/>
      <c r="R189" s="1219"/>
    </row>
    <row r="190" spans="1:18" ht="15.5" hidden="1">
      <c r="A190" s="405"/>
      <c r="B190" s="877"/>
      <c r="C190" s="104" t="s">
        <v>423</v>
      </c>
      <c r="D190" s="103" t="s">
        <v>373</v>
      </c>
      <c r="E190" s="103" t="s">
        <v>1668</v>
      </c>
      <c r="F190" s="944"/>
      <c r="G190" s="2750"/>
      <c r="H190" s="2750"/>
      <c r="I190" s="2750"/>
      <c r="J190" s="2750"/>
      <c r="K190" s="2750"/>
      <c r="L190" s="2750"/>
      <c r="M190" s="2750"/>
      <c r="N190" s="2750"/>
      <c r="O190" s="2750"/>
      <c r="P190" s="47"/>
      <c r="Q190" s="47"/>
      <c r="R190" s="2745"/>
    </row>
    <row r="191" spans="1:18" ht="15.5" hidden="1">
      <c r="B191" s="877"/>
      <c r="C191" s="2661" t="s">
        <v>423</v>
      </c>
      <c r="D191" s="1495" t="s">
        <v>373</v>
      </c>
      <c r="E191" s="1495" t="s">
        <v>15</v>
      </c>
      <c r="F191" s="949"/>
      <c r="G191" s="2751"/>
      <c r="H191" s="2742"/>
      <c r="I191" s="2742"/>
      <c r="J191" s="2742"/>
      <c r="K191" s="2742"/>
      <c r="L191" s="2742"/>
      <c r="M191" s="2742"/>
      <c r="N191" s="2742"/>
      <c r="O191" s="2751"/>
      <c r="P191" s="47"/>
      <c r="Q191" s="47"/>
      <c r="R191" s="2745"/>
    </row>
    <row r="192" spans="1:18" ht="15.5" hidden="1">
      <c r="B192" s="877"/>
      <c r="C192" s="2660" t="s">
        <v>424</v>
      </c>
      <c r="D192" s="881" t="s">
        <v>374</v>
      </c>
      <c r="E192" s="881" t="s">
        <v>16</v>
      </c>
      <c r="F192" s="957"/>
      <c r="G192" s="2743"/>
      <c r="H192" s="2738"/>
      <c r="I192" s="2738"/>
      <c r="J192" s="2738"/>
      <c r="K192" s="2738"/>
      <c r="L192" s="2738"/>
      <c r="M192" s="2738"/>
      <c r="N192" s="2738"/>
      <c r="O192" s="2743"/>
      <c r="P192" s="47"/>
      <c r="Q192" s="47"/>
      <c r="R192" s="1068"/>
    </row>
    <row r="193" spans="2:18" ht="15.5" hidden="1">
      <c r="B193" s="877"/>
      <c r="C193" s="104" t="s">
        <v>424</v>
      </c>
      <c r="D193" s="103" t="s">
        <v>374</v>
      </c>
      <c r="E193" s="103" t="s">
        <v>1668</v>
      </c>
      <c r="F193" s="944"/>
      <c r="G193" s="2739"/>
      <c r="H193" s="2740"/>
      <c r="I193" s="2740"/>
      <c r="J193" s="2740"/>
      <c r="K193" s="2740"/>
      <c r="L193" s="2740"/>
      <c r="M193" s="2740"/>
      <c r="N193" s="2740"/>
      <c r="O193" s="2739"/>
      <c r="P193" s="47"/>
      <c r="Q193" s="47"/>
      <c r="R193" s="2745"/>
    </row>
    <row r="194" spans="2:18" ht="15.5" hidden="1">
      <c r="B194" s="877"/>
      <c r="C194" s="2661" t="s">
        <v>424</v>
      </c>
      <c r="D194" s="1495" t="s">
        <v>374</v>
      </c>
      <c r="E194" s="1495" t="s">
        <v>15</v>
      </c>
      <c r="F194" s="949"/>
      <c r="G194" s="2741"/>
      <c r="H194" s="2742"/>
      <c r="I194" s="2742"/>
      <c r="J194" s="2742"/>
      <c r="K194" s="2742"/>
      <c r="L194" s="2742"/>
      <c r="M194" s="2742"/>
      <c r="N194" s="2742"/>
      <c r="O194" s="2741"/>
      <c r="P194" s="47"/>
      <c r="Q194" s="47"/>
      <c r="R194" s="1068"/>
    </row>
    <row r="195" spans="2:18" ht="15.5" hidden="1">
      <c r="B195" s="877"/>
      <c r="C195" s="104" t="s">
        <v>421</v>
      </c>
      <c r="D195" s="103" t="s">
        <v>371</v>
      </c>
      <c r="E195" s="103" t="s">
        <v>16</v>
      </c>
      <c r="F195" s="957"/>
      <c r="G195" s="2737"/>
      <c r="H195" s="2738"/>
      <c r="I195" s="2738"/>
      <c r="J195" s="2738"/>
      <c r="K195" s="2738"/>
      <c r="L195" s="2738"/>
      <c r="M195" s="2738"/>
      <c r="N195" s="2738"/>
      <c r="O195" s="2737"/>
      <c r="P195" s="47"/>
      <c r="Q195" s="47"/>
      <c r="R195" s="1068"/>
    </row>
    <row r="196" spans="2:18" ht="15.5" hidden="1">
      <c r="B196" s="877"/>
      <c r="C196" s="104" t="s">
        <v>421</v>
      </c>
      <c r="D196" s="103" t="s">
        <v>371</v>
      </c>
      <c r="E196" s="103" t="s">
        <v>1668</v>
      </c>
      <c r="F196" s="944"/>
      <c r="G196" s="2739"/>
      <c r="H196" s="2740"/>
      <c r="I196" s="2740"/>
      <c r="J196" s="2740"/>
      <c r="K196" s="2740"/>
      <c r="L196" s="2740"/>
      <c r="M196" s="2740"/>
      <c r="N196" s="2740"/>
      <c r="O196" s="2739"/>
      <c r="P196" s="47"/>
      <c r="Q196" s="47"/>
      <c r="R196" s="2745"/>
    </row>
    <row r="197" spans="2:18" hidden="1">
      <c r="B197" s="105"/>
      <c r="C197" s="2661" t="s">
        <v>421</v>
      </c>
      <c r="D197" s="1495" t="s">
        <v>371</v>
      </c>
      <c r="E197" s="1495" t="s">
        <v>15</v>
      </c>
      <c r="F197" s="949"/>
      <c r="G197" s="2741"/>
      <c r="H197" s="2742"/>
      <c r="I197" s="2742"/>
      <c r="J197" s="2742"/>
      <c r="K197" s="2742"/>
      <c r="L197" s="2742"/>
      <c r="M197" s="2742"/>
      <c r="N197" s="2742"/>
      <c r="O197" s="2741"/>
      <c r="P197" s="47"/>
      <c r="Q197" s="47"/>
      <c r="R197" s="2745"/>
    </row>
    <row r="198" spans="2:18" hidden="1">
      <c r="B198" s="105"/>
      <c r="C198" s="104" t="s">
        <v>422</v>
      </c>
      <c r="D198" s="103" t="s">
        <v>372</v>
      </c>
      <c r="E198" s="103" t="s">
        <v>16</v>
      </c>
      <c r="F198" s="957"/>
      <c r="G198" s="2743"/>
      <c r="H198" s="2738"/>
      <c r="I198" s="2738"/>
      <c r="J198" s="2738"/>
      <c r="K198" s="2738"/>
      <c r="L198" s="2738"/>
      <c r="M198" s="2738"/>
      <c r="N198" s="2738"/>
      <c r="O198" s="2743"/>
      <c r="P198" s="47"/>
      <c r="Q198" s="47"/>
      <c r="R198" s="1068"/>
    </row>
    <row r="199" spans="2:18" hidden="1">
      <c r="B199" s="105"/>
      <c r="C199" s="104" t="s">
        <v>422</v>
      </c>
      <c r="D199" s="103" t="s">
        <v>372</v>
      </c>
      <c r="E199" s="103" t="s">
        <v>1668</v>
      </c>
      <c r="F199" s="944"/>
      <c r="G199" s="2739"/>
      <c r="H199" s="2740"/>
      <c r="I199" s="2740"/>
      <c r="J199" s="2740"/>
      <c r="K199" s="2740"/>
      <c r="L199" s="2740"/>
      <c r="M199" s="2740"/>
      <c r="N199" s="2740"/>
      <c r="O199" s="2739"/>
      <c r="P199" s="47"/>
      <c r="Q199" s="47"/>
      <c r="R199" s="1068"/>
    </row>
    <row r="200" spans="2:18" hidden="1">
      <c r="B200" s="105"/>
      <c r="C200" s="2661" t="s">
        <v>422</v>
      </c>
      <c r="D200" s="1495" t="s">
        <v>372</v>
      </c>
      <c r="E200" s="1495" t="s">
        <v>15</v>
      </c>
      <c r="F200" s="949"/>
      <c r="G200" s="2741"/>
      <c r="H200" s="2742"/>
      <c r="I200" s="2742"/>
      <c r="J200" s="2742"/>
      <c r="K200" s="2742"/>
      <c r="L200" s="2742"/>
      <c r="M200" s="2742"/>
      <c r="N200" s="2742"/>
      <c r="O200" s="2741"/>
      <c r="P200" s="47"/>
      <c r="Q200" s="47"/>
      <c r="R200" s="1068"/>
    </row>
    <row r="201" spans="2:18" hidden="1">
      <c r="B201" s="105"/>
      <c r="C201" s="104" t="s">
        <v>425</v>
      </c>
      <c r="D201" s="103" t="s">
        <v>375</v>
      </c>
      <c r="E201" s="103" t="s">
        <v>16</v>
      </c>
      <c r="F201" s="957"/>
      <c r="G201" s="2737"/>
      <c r="H201" s="2738"/>
      <c r="I201" s="2738"/>
      <c r="J201" s="2738"/>
      <c r="K201" s="2738"/>
      <c r="L201" s="2738"/>
      <c r="M201" s="2738"/>
      <c r="N201" s="2738"/>
      <c r="O201" s="2737"/>
      <c r="P201" s="47"/>
      <c r="Q201" s="47"/>
      <c r="R201" s="1068"/>
    </row>
    <row r="202" spans="2:18" hidden="1">
      <c r="B202" s="105"/>
      <c r="C202" s="104" t="s">
        <v>425</v>
      </c>
      <c r="D202" s="103" t="s">
        <v>375</v>
      </c>
      <c r="E202" s="103" t="s">
        <v>1668</v>
      </c>
      <c r="F202" s="944"/>
      <c r="G202" s="2739"/>
      <c r="H202" s="2740"/>
      <c r="I202" s="2740"/>
      <c r="J202" s="2740"/>
      <c r="K202" s="2740"/>
      <c r="L202" s="2740"/>
      <c r="M202" s="2740"/>
      <c r="N202" s="2740"/>
      <c r="O202" s="2739"/>
      <c r="P202" s="47"/>
      <c r="Q202" s="47"/>
      <c r="R202" s="1068"/>
    </row>
    <row r="203" spans="2:18" hidden="1">
      <c r="B203" s="895"/>
      <c r="C203" s="2582" t="s">
        <v>425</v>
      </c>
      <c r="D203" s="194" t="s">
        <v>375</v>
      </c>
      <c r="E203" s="194" t="s">
        <v>15</v>
      </c>
      <c r="F203" s="949"/>
      <c r="G203" s="2741"/>
      <c r="H203" s="2741"/>
      <c r="I203" s="2741"/>
      <c r="J203" s="2741"/>
      <c r="K203" s="2741"/>
      <c r="L203" s="2741"/>
      <c r="M203" s="2741"/>
      <c r="N203" s="2741"/>
      <c r="O203" s="2741"/>
      <c r="P203" s="47"/>
      <c r="Q203" s="47"/>
      <c r="R203" s="1068"/>
    </row>
    <row r="204" spans="2:18" ht="11.25" hidden="1" customHeight="1">
      <c r="B204" s="895"/>
      <c r="C204" s="67"/>
      <c r="D204" s="67"/>
      <c r="E204" s="67"/>
      <c r="F204" s="67"/>
      <c r="G204" s="67"/>
      <c r="H204" s="67"/>
      <c r="I204" s="67"/>
      <c r="J204" s="67"/>
      <c r="K204" s="67"/>
      <c r="L204" s="67"/>
      <c r="M204" s="67"/>
      <c r="N204" s="67"/>
      <c r="O204" s="67"/>
      <c r="P204" s="67"/>
      <c r="Q204" s="67"/>
      <c r="R204" s="1068"/>
    </row>
    <row r="205" spans="2:18" ht="15.5" hidden="1">
      <c r="B205" s="877"/>
      <c r="C205" s="49" t="s">
        <v>2076</v>
      </c>
      <c r="D205" s="195"/>
      <c r="E205" s="67"/>
      <c r="F205" s="2655"/>
      <c r="G205" s="2655"/>
      <c r="H205" s="2655"/>
      <c r="I205" s="2655"/>
      <c r="J205" s="49"/>
      <c r="K205" s="67"/>
      <c r="L205" s="67"/>
      <c r="M205" s="67"/>
      <c r="N205" s="67"/>
      <c r="O205" s="49" t="s">
        <v>2740</v>
      </c>
      <c r="P205" s="67"/>
      <c r="Q205" s="67"/>
      <c r="R205" s="1068"/>
    </row>
    <row r="206" spans="2:18" ht="3" hidden="1" customHeight="1">
      <c r="B206" s="877"/>
      <c r="C206" s="67"/>
      <c r="D206" s="195"/>
      <c r="E206" s="67"/>
      <c r="F206" s="67"/>
      <c r="G206" s="67"/>
      <c r="H206" s="67"/>
      <c r="I206" s="67"/>
      <c r="J206" s="67"/>
      <c r="K206" s="67"/>
      <c r="L206" s="67"/>
      <c r="M206" s="67"/>
      <c r="N206" s="67"/>
      <c r="O206" s="67"/>
      <c r="P206" s="67"/>
      <c r="Q206" s="67"/>
      <c r="R206" s="1068"/>
    </row>
    <row r="207" spans="2:18" ht="15.5" hidden="1">
      <c r="B207" s="877"/>
      <c r="C207" s="878" t="s">
        <v>2053</v>
      </c>
      <c r="D207" s="878" t="s">
        <v>2054</v>
      </c>
      <c r="E207" s="1260" t="s">
        <v>2055</v>
      </c>
      <c r="F207" s="971" t="s">
        <v>159</v>
      </c>
      <c r="G207" s="965">
        <v>2010</v>
      </c>
      <c r="H207" s="965">
        <v>2015</v>
      </c>
      <c r="I207" s="965">
        <v>2020</v>
      </c>
      <c r="J207" s="965">
        <v>2025</v>
      </c>
      <c r="K207" s="965">
        <v>2030</v>
      </c>
      <c r="L207" s="965">
        <v>2035</v>
      </c>
      <c r="M207" s="965">
        <v>2040</v>
      </c>
      <c r="N207" s="965">
        <v>2045</v>
      </c>
      <c r="O207" s="965">
        <v>2050</v>
      </c>
      <c r="P207" s="47"/>
      <c r="Q207" s="47"/>
      <c r="R207" s="1068"/>
    </row>
    <row r="208" spans="2:18" ht="15.5" hidden="1">
      <c r="B208" s="877"/>
      <c r="C208" s="2660" t="s">
        <v>423</v>
      </c>
      <c r="D208" s="881" t="s">
        <v>373</v>
      </c>
      <c r="E208" s="968" t="s">
        <v>16</v>
      </c>
      <c r="F208" s="957"/>
      <c r="G208" s="2737"/>
      <c r="H208" s="2738"/>
      <c r="I208" s="2738"/>
      <c r="J208" s="2738"/>
      <c r="K208" s="2738"/>
      <c r="L208" s="2738"/>
      <c r="M208" s="2738"/>
      <c r="N208" s="2738"/>
      <c r="O208" s="2737"/>
      <c r="P208" s="47"/>
      <c r="Q208" s="47"/>
      <c r="R208" s="1068"/>
    </row>
    <row r="209" spans="1:18" ht="15.5" hidden="1">
      <c r="B209" s="877"/>
      <c r="C209" s="104" t="s">
        <v>423</v>
      </c>
      <c r="D209" s="103" t="s">
        <v>373</v>
      </c>
      <c r="E209" s="103" t="s">
        <v>1668</v>
      </c>
      <c r="F209" s="944"/>
      <c r="G209" s="2739"/>
      <c r="H209" s="2740"/>
      <c r="I209" s="2740"/>
      <c r="J209" s="2740"/>
      <c r="K209" s="2740"/>
      <c r="L209" s="2740"/>
      <c r="M209" s="2740"/>
      <c r="N209" s="2740"/>
      <c r="O209" s="2739"/>
      <c r="P209" s="47"/>
      <c r="Q209" s="47"/>
      <c r="R209" s="1068"/>
    </row>
    <row r="210" spans="1:18" ht="15.5" hidden="1">
      <c r="B210" s="877"/>
      <c r="C210" s="2661" t="s">
        <v>423</v>
      </c>
      <c r="D210" s="1495" t="s">
        <v>373</v>
      </c>
      <c r="E210" s="103" t="s">
        <v>15</v>
      </c>
      <c r="F210" s="944"/>
      <c r="G210" s="2739"/>
      <c r="H210" s="2742"/>
      <c r="I210" s="2742"/>
      <c r="J210" s="2742"/>
      <c r="K210" s="2742"/>
      <c r="L210" s="2742"/>
      <c r="M210" s="2742"/>
      <c r="N210" s="2742"/>
      <c r="O210" s="2741"/>
      <c r="P210" s="47"/>
      <c r="Q210" s="47"/>
      <c r="R210" s="1068"/>
    </row>
    <row r="211" spans="1:18" ht="15.5" hidden="1">
      <c r="B211" s="877"/>
      <c r="C211" s="2660" t="s">
        <v>424</v>
      </c>
      <c r="D211" s="881" t="s">
        <v>374</v>
      </c>
      <c r="E211" s="968" t="s">
        <v>16</v>
      </c>
      <c r="F211" s="957"/>
      <c r="G211" s="2743"/>
      <c r="H211" s="2738"/>
      <c r="I211" s="2738"/>
      <c r="J211" s="2738"/>
      <c r="K211" s="2738"/>
      <c r="L211" s="2738"/>
      <c r="M211" s="2738"/>
      <c r="N211" s="2738"/>
      <c r="O211" s="2743"/>
      <c r="P211" s="47"/>
      <c r="Q211" s="47"/>
      <c r="R211" s="1068"/>
    </row>
    <row r="212" spans="1:18" ht="15.5" hidden="1">
      <c r="B212" s="877"/>
      <c r="C212" s="104" t="s">
        <v>424</v>
      </c>
      <c r="D212" s="103" t="s">
        <v>374</v>
      </c>
      <c r="E212" s="103" t="s">
        <v>1668</v>
      </c>
      <c r="F212" s="944"/>
      <c r="G212" s="2739"/>
      <c r="H212" s="2740"/>
      <c r="I212" s="2740"/>
      <c r="J212" s="2740"/>
      <c r="K212" s="2740"/>
      <c r="L212" s="2740"/>
      <c r="M212" s="2740"/>
      <c r="N212" s="2740"/>
      <c r="O212" s="2739"/>
      <c r="P212" s="47"/>
      <c r="Q212" s="47"/>
    </row>
    <row r="213" spans="1:18" ht="15.5" hidden="1">
      <c r="B213" s="877"/>
      <c r="C213" s="2661" t="s">
        <v>424</v>
      </c>
      <c r="D213" s="1495" t="s">
        <v>374</v>
      </c>
      <c r="E213" s="103" t="s">
        <v>15</v>
      </c>
      <c r="F213" s="944"/>
      <c r="G213" s="2739"/>
      <c r="H213" s="2742"/>
      <c r="I213" s="2742"/>
      <c r="J213" s="2742"/>
      <c r="K213" s="2742"/>
      <c r="L213" s="2742"/>
      <c r="M213" s="2742"/>
      <c r="N213" s="2742"/>
      <c r="O213" s="2741"/>
      <c r="P213" s="47"/>
      <c r="Q213" s="47"/>
    </row>
    <row r="214" spans="1:18" ht="15.5" hidden="1">
      <c r="B214" s="877"/>
      <c r="C214" s="104" t="s">
        <v>421</v>
      </c>
      <c r="D214" s="103" t="s">
        <v>371</v>
      </c>
      <c r="E214" s="968" t="s">
        <v>16</v>
      </c>
      <c r="F214" s="957"/>
      <c r="G214" s="2737"/>
      <c r="H214" s="2738"/>
      <c r="I214" s="2738"/>
      <c r="J214" s="2738"/>
      <c r="K214" s="2738"/>
      <c r="L214" s="2738"/>
      <c r="M214" s="2738"/>
      <c r="N214" s="2738"/>
      <c r="O214" s="2737"/>
      <c r="P214" s="47"/>
      <c r="Q214" s="47"/>
    </row>
    <row r="215" spans="1:18" ht="15.5" hidden="1">
      <c r="B215" s="877"/>
      <c r="C215" s="104" t="s">
        <v>421</v>
      </c>
      <c r="D215" s="103" t="s">
        <v>371</v>
      </c>
      <c r="E215" s="103" t="s">
        <v>1668</v>
      </c>
      <c r="F215" s="944"/>
      <c r="G215" s="2739"/>
      <c r="H215" s="2740"/>
      <c r="I215" s="2740"/>
      <c r="J215" s="2740"/>
      <c r="K215" s="2740"/>
      <c r="L215" s="2740"/>
      <c r="M215" s="2740"/>
      <c r="N215" s="2740"/>
      <c r="O215" s="2739"/>
      <c r="P215" s="47"/>
      <c r="Q215" s="47"/>
    </row>
    <row r="216" spans="1:18" ht="15.5" hidden="1">
      <c r="B216" s="877"/>
      <c r="C216" s="2661" t="s">
        <v>421</v>
      </c>
      <c r="D216" s="1495" t="s">
        <v>371</v>
      </c>
      <c r="E216" s="103" t="s">
        <v>15</v>
      </c>
      <c r="F216" s="944"/>
      <c r="G216" s="2739"/>
      <c r="H216" s="2742"/>
      <c r="I216" s="2742"/>
      <c r="J216" s="2742"/>
      <c r="K216" s="2742"/>
      <c r="L216" s="2742"/>
      <c r="M216" s="2742"/>
      <c r="N216" s="2742"/>
      <c r="O216" s="2741"/>
      <c r="P216" s="47"/>
      <c r="Q216" s="47"/>
    </row>
    <row r="217" spans="1:18" ht="15.5" hidden="1">
      <c r="B217" s="877"/>
      <c r="C217" s="104" t="s">
        <v>422</v>
      </c>
      <c r="D217" s="103" t="s">
        <v>372</v>
      </c>
      <c r="E217" s="968" t="s">
        <v>16</v>
      </c>
      <c r="F217" s="957"/>
      <c r="G217" s="2743"/>
      <c r="H217" s="2738"/>
      <c r="I217" s="2738"/>
      <c r="J217" s="2738"/>
      <c r="K217" s="2738"/>
      <c r="L217" s="2738"/>
      <c r="M217" s="2738"/>
      <c r="N217" s="2738"/>
      <c r="O217" s="2743"/>
      <c r="P217" s="47"/>
      <c r="Q217" s="47"/>
    </row>
    <row r="218" spans="1:18" ht="15.5" hidden="1">
      <c r="B218" s="877"/>
      <c r="C218" s="104" t="s">
        <v>422</v>
      </c>
      <c r="D218" s="103" t="s">
        <v>372</v>
      </c>
      <c r="E218" s="103" t="s">
        <v>1668</v>
      </c>
      <c r="F218" s="944"/>
      <c r="G218" s="2739"/>
      <c r="H218" s="2740"/>
      <c r="I218" s="2740"/>
      <c r="J218" s="2740"/>
      <c r="K218" s="2740"/>
      <c r="L218" s="2740"/>
      <c r="M218" s="2740"/>
      <c r="N218" s="2740"/>
      <c r="O218" s="2739"/>
      <c r="P218" s="47"/>
      <c r="Q218" s="47"/>
    </row>
    <row r="219" spans="1:18" ht="15.5" hidden="1">
      <c r="B219" s="877"/>
      <c r="C219" s="2661" t="s">
        <v>422</v>
      </c>
      <c r="D219" s="1495" t="s">
        <v>372</v>
      </c>
      <c r="E219" s="103" t="s">
        <v>15</v>
      </c>
      <c r="F219" s="944"/>
      <c r="G219" s="2739"/>
      <c r="H219" s="2742"/>
      <c r="I219" s="2742"/>
      <c r="J219" s="2742"/>
      <c r="K219" s="2742"/>
      <c r="L219" s="2742"/>
      <c r="M219" s="2742"/>
      <c r="N219" s="2742"/>
      <c r="O219" s="2741"/>
      <c r="P219" s="47"/>
      <c r="Q219" s="47"/>
    </row>
    <row r="220" spans="1:18" ht="15.5" hidden="1">
      <c r="B220" s="877"/>
      <c r="C220" s="104" t="s">
        <v>425</v>
      </c>
      <c r="D220" s="103" t="s">
        <v>375</v>
      </c>
      <c r="E220" s="968" t="s">
        <v>16</v>
      </c>
      <c r="F220" s="957"/>
      <c r="G220" s="2737"/>
      <c r="H220" s="2740"/>
      <c r="I220" s="2740"/>
      <c r="J220" s="2740"/>
      <c r="K220" s="2740"/>
      <c r="L220" s="2740"/>
      <c r="M220" s="2740"/>
      <c r="N220" s="2740"/>
      <c r="O220" s="2739"/>
      <c r="P220" s="47"/>
      <c r="Q220" s="47"/>
    </row>
    <row r="221" spans="1:18" hidden="1">
      <c r="B221" s="105"/>
      <c r="C221" s="104" t="s">
        <v>425</v>
      </c>
      <c r="D221" s="103" t="s">
        <v>375</v>
      </c>
      <c r="E221" s="103" t="s">
        <v>1668</v>
      </c>
      <c r="F221" s="944"/>
      <c r="G221" s="2739"/>
      <c r="H221" s="2740"/>
      <c r="I221" s="2740"/>
      <c r="J221" s="2740"/>
      <c r="K221" s="2740"/>
      <c r="L221" s="2740"/>
      <c r="M221" s="2740"/>
      <c r="N221" s="2740"/>
      <c r="O221" s="2739"/>
      <c r="P221" s="47"/>
      <c r="Q221" s="47"/>
    </row>
    <row r="222" spans="1:18" hidden="1">
      <c r="B222" s="105"/>
      <c r="C222" s="2582" t="s">
        <v>425</v>
      </c>
      <c r="D222" s="194" t="s">
        <v>375</v>
      </c>
      <c r="E222" s="194" t="s">
        <v>15</v>
      </c>
      <c r="F222" s="949"/>
      <c r="G222" s="2741"/>
      <c r="H222" s="2742"/>
      <c r="I222" s="2742"/>
      <c r="J222" s="2742"/>
      <c r="K222" s="2742"/>
      <c r="L222" s="2742"/>
      <c r="M222" s="2742"/>
      <c r="N222" s="2742"/>
      <c r="O222" s="2741"/>
      <c r="P222" s="47"/>
      <c r="Q222" s="47"/>
    </row>
    <row r="223" spans="1:18" hidden="1">
      <c r="B223" s="105"/>
      <c r="C223" s="67"/>
      <c r="D223" s="67"/>
      <c r="E223" s="67"/>
      <c r="F223" s="67"/>
      <c r="G223" s="67"/>
      <c r="H223" s="67"/>
      <c r="I223" s="67"/>
      <c r="J223" s="67"/>
      <c r="K223" s="67"/>
      <c r="L223" s="67"/>
      <c r="M223" s="67"/>
      <c r="N223" s="67"/>
      <c r="O223" s="67"/>
      <c r="P223" s="67"/>
      <c r="Q223" s="67"/>
    </row>
    <row r="224" spans="1:18">
      <c r="A224" s="39"/>
      <c r="B224" s="1177"/>
      <c r="C224" s="39"/>
    </row>
    <row r="226" spans="2:16" ht="15.5">
      <c r="B226" s="2752" t="s">
        <v>206</v>
      </c>
    </row>
    <row r="227" spans="2:16">
      <c r="B227" s="354">
        <v>1</v>
      </c>
      <c r="C227" s="2654" t="s">
        <v>2077</v>
      </c>
    </row>
    <row r="228" spans="2:16">
      <c r="B228" s="354">
        <v>2</v>
      </c>
      <c r="C228" s="2654" t="s">
        <v>2078</v>
      </c>
    </row>
    <row r="229" spans="2:16">
      <c r="B229" s="354">
        <v>3</v>
      </c>
      <c r="C229" s="2654" t="s">
        <v>2079</v>
      </c>
    </row>
    <row r="230" spans="2:16">
      <c r="B230" s="354">
        <v>4</v>
      </c>
      <c r="C230" s="2654" t="s">
        <v>2080</v>
      </c>
      <c r="E230" s="2654" t="s">
        <v>5</v>
      </c>
    </row>
    <row r="231" spans="2:16">
      <c r="B231" s="354">
        <v>5</v>
      </c>
      <c r="C231" s="2654" t="s">
        <v>2081</v>
      </c>
    </row>
    <row r="232" spans="2:16">
      <c r="B232" s="354">
        <v>6</v>
      </c>
      <c r="C232" s="2654" t="s">
        <v>2082</v>
      </c>
    </row>
    <row r="233" spans="2:16">
      <c r="F233" s="354">
        <v>2013</v>
      </c>
      <c r="G233" s="354">
        <v>2015</v>
      </c>
      <c r="H233" s="354">
        <v>2020</v>
      </c>
      <c r="I233" s="354">
        <v>2025</v>
      </c>
      <c r="J233" s="354">
        <v>2030</v>
      </c>
      <c r="K233" s="354">
        <v>2035</v>
      </c>
      <c r="L233" s="354">
        <v>2040</v>
      </c>
      <c r="M233" s="354">
        <v>2045</v>
      </c>
      <c r="N233" s="354">
        <v>2050</v>
      </c>
    </row>
    <row r="234" spans="2:16">
      <c r="B234" s="354">
        <v>1</v>
      </c>
      <c r="C234" s="354" t="s">
        <v>2083</v>
      </c>
    </row>
    <row r="235" spans="2:16">
      <c r="C235" s="354" t="s">
        <v>423</v>
      </c>
      <c r="D235" s="372" t="s">
        <v>373</v>
      </c>
      <c r="E235" s="355" t="str">
        <f>Preferences.EnergyUnits</f>
        <v>TWh</v>
      </c>
      <c r="F235" s="357">
        <f ca="1">F$15</f>
        <v>1.1057720201700001</v>
      </c>
      <c r="G235" s="357">
        <f t="shared" ref="G235:N235" ca="1" si="0">G$15</f>
        <v>1.5953510715315322</v>
      </c>
      <c r="H235" s="357">
        <f t="shared" ca="1" si="0"/>
        <v>2.02336533863705</v>
      </c>
      <c r="I235" s="357">
        <f t="shared" ca="1" si="0"/>
        <v>2.4228410429568106</v>
      </c>
      <c r="J235" s="357">
        <f t="shared" ca="1" si="0"/>
        <v>2.4737516261697139</v>
      </c>
      <c r="K235" s="357">
        <f t="shared" ca="1" si="0"/>
        <v>2.5380413936409871</v>
      </c>
      <c r="L235" s="357">
        <f t="shared" ca="1" si="0"/>
        <v>2.6049972464816578</v>
      </c>
      <c r="M235" s="357">
        <f t="shared" ca="1" si="0"/>
        <v>2.6746253611333737</v>
      </c>
      <c r="N235" s="357">
        <f t="shared" ca="1" si="0"/>
        <v>2.7476702822692167</v>
      </c>
    </row>
    <row r="236" spans="2:16">
      <c r="B236" s="1369" t="s">
        <v>218</v>
      </c>
      <c r="C236" s="405" t="s">
        <v>2084</v>
      </c>
      <c r="D236" s="405" t="s">
        <v>16</v>
      </c>
      <c r="E236" s="1369"/>
      <c r="F236" s="2753">
        <f>SUMIFS(INDEX($F$34:$I$48, , MATCH($E$7, $F$33:$I$33, 0)), $C$34:$C$48, $C$235, $E$34:$E$48, D236 )</f>
        <v>1</v>
      </c>
      <c r="G236" s="2753"/>
      <c r="H236" s="2753"/>
      <c r="I236" s="2753"/>
      <c r="J236" s="2753"/>
      <c r="K236" s="2753"/>
      <c r="L236" s="2753"/>
      <c r="M236" s="2753"/>
      <c r="N236" s="2753"/>
      <c r="P236" s="405"/>
    </row>
    <row r="237" spans="2:16">
      <c r="B237" s="1369" t="s">
        <v>218</v>
      </c>
      <c r="C237" s="405" t="s">
        <v>2085</v>
      </c>
      <c r="D237" s="405"/>
      <c r="E237" s="1369"/>
      <c r="F237" s="2753">
        <f>INDEX($H$62:$H$64, MATCH($C238, $C$62:$C$64, 0))</f>
        <v>0.9</v>
      </c>
      <c r="G237" s="2753">
        <f>INDEX($H$62:$H$64, MATCH($C238, $C$62:$C$64, 0))</f>
        <v>0.9</v>
      </c>
      <c r="H237" s="2753">
        <f>INDEX($H$62:$H$64, MATCH($C238, $C$62:$C$64, 0))</f>
        <v>0.9</v>
      </c>
      <c r="I237" s="2753">
        <f t="shared" ref="I237:N237" si="1">INDEX($H$75:$H$77, MATCH($C238, $C$75:$C$77, 0))</f>
        <v>0.95</v>
      </c>
      <c r="J237" s="2753">
        <f t="shared" si="1"/>
        <v>0.95</v>
      </c>
      <c r="K237" s="2753">
        <f t="shared" si="1"/>
        <v>0.95</v>
      </c>
      <c r="L237" s="2753">
        <f t="shared" si="1"/>
        <v>0.95</v>
      </c>
      <c r="M237" s="2753">
        <f t="shared" si="1"/>
        <v>0.95</v>
      </c>
      <c r="N237" s="2753">
        <f t="shared" si="1"/>
        <v>0.95</v>
      </c>
      <c r="P237" s="405"/>
    </row>
    <row r="238" spans="2:16">
      <c r="B238" s="1603" t="s">
        <v>220</v>
      </c>
      <c r="C238" s="2" t="s">
        <v>97</v>
      </c>
      <c r="D238" s="2" t="s">
        <v>87</v>
      </c>
      <c r="E238" s="358" t="str">
        <f>Preferences.EnergyUnits</f>
        <v>TWh</v>
      </c>
      <c r="F238" s="1323">
        <f ca="1">F$235*$F236*F$237</f>
        <v>0.99519481815300015</v>
      </c>
      <c r="G238" s="1323">
        <f t="shared" ref="G238:N238" ca="1" si="2">G$235*$F236*G$237</f>
        <v>1.435815964378379</v>
      </c>
      <c r="H238" s="1323">
        <f t="shared" ca="1" si="2"/>
        <v>1.8210288047733452</v>
      </c>
      <c r="I238" s="1323">
        <f t="shared" ca="1" si="2"/>
        <v>2.30169899080897</v>
      </c>
      <c r="J238" s="1323">
        <f t="shared" ca="1" si="2"/>
        <v>2.3500640448612282</v>
      </c>
      <c r="K238" s="1323">
        <f t="shared" ca="1" si="2"/>
        <v>2.4111393239589378</v>
      </c>
      <c r="L238" s="1323">
        <f t="shared" ca="1" si="2"/>
        <v>2.4747473841575749</v>
      </c>
      <c r="M238" s="1323">
        <f t="shared" ca="1" si="2"/>
        <v>2.5408940930767048</v>
      </c>
      <c r="N238" s="1323">
        <f t="shared" ca="1" si="2"/>
        <v>2.6102867681557558</v>
      </c>
    </row>
    <row r="239" spans="2:16">
      <c r="C239" s="979"/>
      <c r="E239" s="373"/>
      <c r="F239" s="357"/>
      <c r="G239" s="357"/>
      <c r="H239" s="357"/>
      <c r="I239" s="357"/>
      <c r="J239" s="357"/>
      <c r="K239" s="357"/>
      <c r="L239" s="357"/>
      <c r="M239" s="357"/>
      <c r="N239" s="357"/>
    </row>
    <row r="240" spans="2:16">
      <c r="B240" s="1369" t="s">
        <v>218</v>
      </c>
      <c r="C240" s="405" t="s">
        <v>2084</v>
      </c>
      <c r="D240" s="405" t="s">
        <v>1668</v>
      </c>
      <c r="E240" s="1369"/>
      <c r="F240" s="2753">
        <f>SUMIFS(INDEX($F$34:$I$48, , MATCH($E$7, $F$33:$I$33, 0)), $C$34:$C$48, $C$235, $E$34:$E$48, D240 )</f>
        <v>0</v>
      </c>
      <c r="G240" s="2753"/>
      <c r="H240" s="2753"/>
      <c r="I240" s="2753"/>
      <c r="J240" s="2753"/>
      <c r="K240" s="2753"/>
      <c r="L240" s="2753"/>
      <c r="M240" s="2753"/>
      <c r="N240" s="2753"/>
      <c r="P240" s="405"/>
    </row>
    <row r="241" spans="2:17">
      <c r="B241" s="1369" t="s">
        <v>218</v>
      </c>
      <c r="C241" s="405" t="s">
        <v>2085</v>
      </c>
      <c r="D241" s="405"/>
      <c r="E241" s="1369"/>
      <c r="F241" s="2753">
        <f>INDEX($H$62:$H$64, MATCH($C242, $C$62:$C$64, 0))</f>
        <v>0.37</v>
      </c>
      <c r="G241" s="2753">
        <f>INDEX($H$62:$H$64, MATCH($C242, $C$62:$C$64, 0))</f>
        <v>0.37</v>
      </c>
      <c r="H241" s="2753">
        <f>INDEX($H$62:$H$64, MATCH($C242, $C$62:$C$64, 0))</f>
        <v>0.37</v>
      </c>
      <c r="I241" s="2753">
        <f t="shared" ref="I241:N241" si="3">INDEX($H$75:$H$77, MATCH($C242, $C$75:$C$77, 0))</f>
        <v>0.45</v>
      </c>
      <c r="J241" s="2753">
        <f t="shared" si="3"/>
        <v>0.45</v>
      </c>
      <c r="K241" s="2753">
        <f t="shared" si="3"/>
        <v>0.45</v>
      </c>
      <c r="L241" s="2753">
        <f t="shared" si="3"/>
        <v>0.45</v>
      </c>
      <c r="M241" s="2753">
        <f t="shared" si="3"/>
        <v>0.45</v>
      </c>
      <c r="N241" s="2753">
        <f t="shared" si="3"/>
        <v>0.45</v>
      </c>
      <c r="P241" s="405"/>
    </row>
    <row r="242" spans="2:17">
      <c r="B242" s="1603" t="s">
        <v>220</v>
      </c>
      <c r="C242" s="2" t="s">
        <v>98</v>
      </c>
      <c r="D242" s="2" t="s">
        <v>88</v>
      </c>
      <c r="E242" s="358" t="str">
        <f>Preferences.EnergyUnits</f>
        <v>TWh</v>
      </c>
      <c r="F242" s="1323">
        <f ca="1">F$235*$F240*F241</f>
        <v>0</v>
      </c>
      <c r="G242" s="1323">
        <f t="shared" ref="G242:N242" ca="1" si="4">G$235*$F240*G241</f>
        <v>0</v>
      </c>
      <c r="H242" s="1323">
        <f t="shared" ca="1" si="4"/>
        <v>0</v>
      </c>
      <c r="I242" s="1323">
        <f t="shared" ca="1" si="4"/>
        <v>0</v>
      </c>
      <c r="J242" s="1323">
        <f t="shared" ca="1" si="4"/>
        <v>0</v>
      </c>
      <c r="K242" s="1323">
        <f t="shared" ca="1" si="4"/>
        <v>0</v>
      </c>
      <c r="L242" s="1323">
        <f t="shared" ca="1" si="4"/>
        <v>0</v>
      </c>
      <c r="M242" s="1323">
        <f t="shared" ca="1" si="4"/>
        <v>0</v>
      </c>
      <c r="N242" s="1323">
        <f t="shared" ca="1" si="4"/>
        <v>0</v>
      </c>
    </row>
    <row r="243" spans="2:17">
      <c r="C243" s="354"/>
      <c r="E243" s="373"/>
      <c r="F243" s="357"/>
      <c r="G243" s="357"/>
      <c r="H243" s="357"/>
      <c r="I243" s="357"/>
      <c r="J243" s="357"/>
      <c r="K243" s="357"/>
      <c r="L243" s="357"/>
      <c r="M243" s="357"/>
      <c r="N243" s="357"/>
    </row>
    <row r="244" spans="2:17">
      <c r="B244" s="1369" t="s">
        <v>218</v>
      </c>
      <c r="C244" s="405" t="s">
        <v>2084</v>
      </c>
      <c r="D244" s="405" t="s">
        <v>15</v>
      </c>
      <c r="E244" s="1369"/>
      <c r="F244" s="2753">
        <f>SUMIFS(INDEX($F$34:$I$48, , MATCH($E$7, $F$33:$I$33, 0)), $C$34:$C$48, $C$235, $E$34:$E$48, D244 )</f>
        <v>0</v>
      </c>
      <c r="G244" s="2753"/>
      <c r="H244" s="2753"/>
      <c r="I244" s="2753"/>
      <c r="J244" s="2753"/>
      <c r="K244" s="2753"/>
      <c r="L244" s="2753"/>
      <c r="M244" s="2753"/>
      <c r="N244" s="2753"/>
      <c r="P244" s="405"/>
    </row>
    <row r="245" spans="2:17">
      <c r="B245" s="1369" t="s">
        <v>218</v>
      </c>
      <c r="C245" s="405" t="s">
        <v>2085</v>
      </c>
      <c r="D245" s="405"/>
      <c r="E245" s="1369"/>
      <c r="F245" s="2753">
        <f>INDEX($H$62:$H$64, MATCH($C246, $C$62:$C$64, 0))</f>
        <v>0.58499999999999996</v>
      </c>
      <c r="G245" s="2753">
        <f>INDEX($H$62:$H$64, MATCH($C246, $C$62:$C$64, 0))</f>
        <v>0.58499999999999996</v>
      </c>
      <c r="H245" s="2753">
        <f>INDEX($H$62:$H$64, MATCH($C246, $C$62:$C$64, 0))</f>
        <v>0.58499999999999996</v>
      </c>
      <c r="I245" s="2753">
        <f t="shared" ref="I245:N245" si="5">INDEX($H$75:$H$77, MATCH($C246, $C$75:$C$77, 0))</f>
        <v>0.66200000000000003</v>
      </c>
      <c r="J245" s="2753">
        <f t="shared" si="5"/>
        <v>0.66200000000000003</v>
      </c>
      <c r="K245" s="2753">
        <f t="shared" si="5"/>
        <v>0.66200000000000003</v>
      </c>
      <c r="L245" s="2753">
        <f t="shared" si="5"/>
        <v>0.66200000000000003</v>
      </c>
      <c r="M245" s="2753">
        <f t="shared" si="5"/>
        <v>0.66200000000000003</v>
      </c>
      <c r="N245" s="2753">
        <f t="shared" si="5"/>
        <v>0.66200000000000003</v>
      </c>
      <c r="P245" s="405"/>
    </row>
    <row r="246" spans="2:17">
      <c r="B246" s="1603" t="s">
        <v>220</v>
      </c>
      <c r="C246" s="2" t="s">
        <v>99</v>
      </c>
      <c r="D246" s="2" t="s">
        <v>89</v>
      </c>
      <c r="E246" s="358" t="str">
        <f>Preferences.EnergyUnits</f>
        <v>TWh</v>
      </c>
      <c r="F246" s="1323">
        <f ca="1">F$235*$F244*F245</f>
        <v>0</v>
      </c>
      <c r="G246" s="1323">
        <f t="shared" ref="G246:N246" ca="1" si="6">G$235*$F244*G245</f>
        <v>0</v>
      </c>
      <c r="H246" s="1323">
        <f t="shared" ca="1" si="6"/>
        <v>0</v>
      </c>
      <c r="I246" s="1323">
        <f t="shared" ca="1" si="6"/>
        <v>0</v>
      </c>
      <c r="J246" s="1323">
        <f t="shared" ca="1" si="6"/>
        <v>0</v>
      </c>
      <c r="K246" s="1323">
        <f t="shared" ca="1" si="6"/>
        <v>0</v>
      </c>
      <c r="L246" s="1323">
        <f t="shared" ca="1" si="6"/>
        <v>0</v>
      </c>
      <c r="M246" s="1323">
        <f t="shared" ca="1" si="6"/>
        <v>0</v>
      </c>
      <c r="N246" s="1323">
        <f t="shared" ca="1" si="6"/>
        <v>0</v>
      </c>
    </row>
    <row r="247" spans="2:17">
      <c r="C247" s="354"/>
      <c r="E247" s="373"/>
      <c r="F247" s="357"/>
      <c r="G247" s="357"/>
      <c r="H247" s="357"/>
      <c r="I247" s="357"/>
      <c r="J247" s="357"/>
      <c r="K247" s="357"/>
      <c r="L247" s="357"/>
      <c r="M247" s="357"/>
      <c r="N247" s="357"/>
    </row>
    <row r="248" spans="2:17">
      <c r="B248" s="354">
        <v>2</v>
      </c>
      <c r="C248" s="354" t="s">
        <v>2086</v>
      </c>
      <c r="E248" s="2657"/>
    </row>
    <row r="249" spans="2:17">
      <c r="C249" s="354" t="s">
        <v>424</v>
      </c>
      <c r="D249" s="372" t="s">
        <v>374</v>
      </c>
      <c r="E249" s="355" t="str">
        <f>Preferences.EnergyUnits</f>
        <v>TWh</v>
      </c>
      <c r="F249" s="357">
        <f ca="1">F$16</f>
        <v>2.6310605833333334E-2</v>
      </c>
      <c r="G249" s="357">
        <f t="shared" ref="G249:N249" ca="1" si="7">G$16</f>
        <v>5.7251070706856762E-2</v>
      </c>
      <c r="H249" s="357">
        <f t="shared" ca="1" si="7"/>
        <v>0.1568688247436055</v>
      </c>
      <c r="I249" s="357">
        <f t="shared" ca="1" si="7"/>
        <v>0.32815928062421929</v>
      </c>
      <c r="J249" s="357">
        <f t="shared" ca="1" si="7"/>
        <v>0.360856623390863</v>
      </c>
      <c r="K249" s="357">
        <f t="shared" ca="1" si="7"/>
        <v>0.54094077411715702</v>
      </c>
      <c r="L249" s="357">
        <f t="shared" ca="1" si="7"/>
        <v>0.73423025991845281</v>
      </c>
      <c r="M249" s="357">
        <f t="shared" ca="1" si="7"/>
        <v>0.94171211383144193</v>
      </c>
      <c r="N249" s="357">
        <f t="shared" ca="1" si="7"/>
        <v>0.99779232910552174</v>
      </c>
    </row>
    <row r="250" spans="2:17">
      <c r="B250" s="1369" t="s">
        <v>218</v>
      </c>
      <c r="C250" s="405" t="s">
        <v>2084</v>
      </c>
      <c r="D250" s="405" t="s">
        <v>16</v>
      </c>
      <c r="E250" s="1369"/>
      <c r="F250" s="2753">
        <f>SUMIFS(INDEX($F$34:$I$48, , MATCH($E$7, $F$33:$I$33, 0)), $C$34:$C$48, $C$249, $E$34:$E$48, D250 )</f>
        <v>0</v>
      </c>
      <c r="G250" s="2753"/>
      <c r="H250" s="2753"/>
      <c r="I250" s="2753"/>
      <c r="J250" s="2753"/>
      <c r="K250" s="2753"/>
      <c r="L250" s="2753"/>
      <c r="M250" s="2753"/>
      <c r="N250" s="2753"/>
    </row>
    <row r="251" spans="2:17">
      <c r="B251" s="1369" t="s">
        <v>218</v>
      </c>
      <c r="C251" s="405" t="s">
        <v>2085</v>
      </c>
      <c r="D251" s="405"/>
      <c r="E251" s="1369"/>
      <c r="F251" s="2753">
        <f>INDEX($G$62:$G$64, MATCH($C252, $C$62:$C$64, 0))</f>
        <v>0</v>
      </c>
      <c r="G251" s="2753">
        <f>INDEX($G$62:$G$64, MATCH($C252, $C$62:$C$64, 0))</f>
        <v>0</v>
      </c>
      <c r="H251" s="2753">
        <f>INDEX($G$62:$G$64, MATCH($C252, $C$62:$C$64, 0))</f>
        <v>0</v>
      </c>
      <c r="I251" s="2753">
        <f t="shared" ref="I251:N251" si="8">INDEX($G$75:$G$77, MATCH($C252, $C$75:$C$77, 0))</f>
        <v>0</v>
      </c>
      <c r="J251" s="2753">
        <f t="shared" si="8"/>
        <v>0</v>
      </c>
      <c r="K251" s="2753">
        <f t="shared" si="8"/>
        <v>0</v>
      </c>
      <c r="L251" s="2753">
        <f t="shared" si="8"/>
        <v>0</v>
      </c>
      <c r="M251" s="2753">
        <f t="shared" si="8"/>
        <v>0</v>
      </c>
      <c r="N251" s="2753">
        <f t="shared" si="8"/>
        <v>0</v>
      </c>
      <c r="Q251" s="405"/>
    </row>
    <row r="252" spans="2:17">
      <c r="B252" s="1603" t="s">
        <v>220</v>
      </c>
      <c r="C252" s="2" t="s">
        <v>97</v>
      </c>
      <c r="D252" s="2" t="s">
        <v>87</v>
      </c>
      <c r="E252" s="358" t="str">
        <f>Preferences.EnergyUnits</f>
        <v>TWh</v>
      </c>
      <c r="F252" s="1323">
        <f ca="1">F$249*$F250*F251</f>
        <v>0</v>
      </c>
      <c r="G252" s="1323">
        <f t="shared" ref="G252:N252" ca="1" si="9">G$249*$F250*G251</f>
        <v>0</v>
      </c>
      <c r="H252" s="1323">
        <f t="shared" ca="1" si="9"/>
        <v>0</v>
      </c>
      <c r="I252" s="1323">
        <f t="shared" ca="1" si="9"/>
        <v>0</v>
      </c>
      <c r="J252" s="1323">
        <f t="shared" ca="1" si="9"/>
        <v>0</v>
      </c>
      <c r="K252" s="1323">
        <f t="shared" ca="1" si="9"/>
        <v>0</v>
      </c>
      <c r="L252" s="1323">
        <f t="shared" ca="1" si="9"/>
        <v>0</v>
      </c>
      <c r="M252" s="1323">
        <f t="shared" ca="1" si="9"/>
        <v>0</v>
      </c>
      <c r="N252" s="1323">
        <f t="shared" ca="1" si="9"/>
        <v>0</v>
      </c>
      <c r="Q252" s="405"/>
    </row>
    <row r="253" spans="2:17">
      <c r="C253" s="979"/>
      <c r="E253" s="373"/>
      <c r="F253" s="357"/>
      <c r="G253" s="357"/>
      <c r="H253" s="357"/>
      <c r="I253" s="357"/>
      <c r="J253" s="357"/>
      <c r="K253" s="357"/>
      <c r="L253" s="357"/>
      <c r="M253" s="357"/>
      <c r="N253" s="357"/>
    </row>
    <row r="254" spans="2:17">
      <c r="B254" s="1369" t="s">
        <v>218</v>
      </c>
      <c r="C254" s="405" t="s">
        <v>2084</v>
      </c>
      <c r="D254" s="405" t="s">
        <v>1668</v>
      </c>
      <c r="E254" s="1369"/>
      <c r="F254" s="2753">
        <f>SUMIFS(INDEX($F$34:$I$48, , MATCH($E$7, $F$33:$I$33, 0)), $C$34:$C$48, $C$249, $E$34:$E$48, D254 )</f>
        <v>0</v>
      </c>
      <c r="G254" s="2753"/>
      <c r="H254" s="2753"/>
      <c r="I254" s="2753"/>
      <c r="J254" s="2753"/>
      <c r="K254" s="2753"/>
      <c r="L254" s="2753"/>
      <c r="M254" s="2753"/>
      <c r="N254" s="2753"/>
    </row>
    <row r="255" spans="2:17">
      <c r="B255" s="1369" t="s">
        <v>218</v>
      </c>
      <c r="C255" s="405" t="s">
        <v>2085</v>
      </c>
      <c r="D255" s="405"/>
      <c r="E255" s="1369"/>
      <c r="F255" s="2753">
        <f>INDEX($G$62:$G$64, MATCH($C256, $C$62:$C$64, 0))</f>
        <v>0.318</v>
      </c>
      <c r="G255" s="2753">
        <f>INDEX($G$62:$G$64, MATCH($C256, $C$62:$C$64, 0))</f>
        <v>0.318</v>
      </c>
      <c r="H255" s="2753">
        <f>INDEX($G$62:$G$64, MATCH($C256, $C$62:$C$64, 0))</f>
        <v>0.318</v>
      </c>
      <c r="I255" s="2753">
        <f t="shared" ref="I255:N255" si="10">INDEX($G$75:$G$77, MATCH($C256, $C$75:$C$77, 0))</f>
        <v>0.38200000000000001</v>
      </c>
      <c r="J255" s="2753">
        <f t="shared" si="10"/>
        <v>0.38200000000000001</v>
      </c>
      <c r="K255" s="2753">
        <f t="shared" si="10"/>
        <v>0.38200000000000001</v>
      </c>
      <c r="L255" s="2753">
        <f t="shared" si="10"/>
        <v>0.38200000000000001</v>
      </c>
      <c r="M255" s="2753">
        <f t="shared" si="10"/>
        <v>0.38200000000000001</v>
      </c>
      <c r="N255" s="2753">
        <f t="shared" si="10"/>
        <v>0.38200000000000001</v>
      </c>
      <c r="Q255" s="405"/>
    </row>
    <row r="256" spans="2:17">
      <c r="B256" s="1603" t="s">
        <v>220</v>
      </c>
      <c r="C256" s="2" t="s">
        <v>98</v>
      </c>
      <c r="D256" s="2" t="s">
        <v>88</v>
      </c>
      <c r="E256" s="358" t="str">
        <f>Preferences.EnergyUnits</f>
        <v>TWh</v>
      </c>
      <c r="F256" s="1323">
        <f ca="1">F$249*$F254*F255</f>
        <v>0</v>
      </c>
      <c r="G256" s="1323">
        <f t="shared" ref="G256:N256" ca="1" si="11">G$249*$F254*G255</f>
        <v>0</v>
      </c>
      <c r="H256" s="1323">
        <f t="shared" ca="1" si="11"/>
        <v>0</v>
      </c>
      <c r="I256" s="1323">
        <f t="shared" ca="1" si="11"/>
        <v>0</v>
      </c>
      <c r="J256" s="1323">
        <f t="shared" ca="1" si="11"/>
        <v>0</v>
      </c>
      <c r="K256" s="1323">
        <f t="shared" ca="1" si="11"/>
        <v>0</v>
      </c>
      <c r="L256" s="1323">
        <f t="shared" ca="1" si="11"/>
        <v>0</v>
      </c>
      <c r="M256" s="1323">
        <f t="shared" ca="1" si="11"/>
        <v>0</v>
      </c>
      <c r="N256" s="1323">
        <f t="shared" ca="1" si="11"/>
        <v>0</v>
      </c>
      <c r="Q256" s="405"/>
    </row>
    <row r="257" spans="2:17">
      <c r="C257" s="354"/>
      <c r="E257" s="373"/>
      <c r="F257" s="357"/>
      <c r="G257" s="357"/>
      <c r="H257" s="357"/>
      <c r="I257" s="357"/>
      <c r="J257" s="357"/>
      <c r="K257" s="357"/>
      <c r="L257" s="357"/>
      <c r="M257" s="357"/>
      <c r="N257" s="357"/>
    </row>
    <row r="258" spans="2:17">
      <c r="B258" s="1369" t="s">
        <v>218</v>
      </c>
      <c r="C258" s="405" t="s">
        <v>2084</v>
      </c>
      <c r="D258" s="405" t="s">
        <v>15</v>
      </c>
      <c r="E258" s="1369"/>
      <c r="F258" s="2753">
        <f>SUMIFS(INDEX($F$34:$I$48, , MATCH($E$7, $F$33:$I$33, 0)), $C$34:$C$48, $C$249, $E$34:$E$48, D258 )</f>
        <v>1</v>
      </c>
      <c r="G258" s="2753"/>
      <c r="H258" s="2753"/>
      <c r="I258" s="2753"/>
      <c r="J258" s="2753"/>
      <c r="K258" s="2753"/>
      <c r="L258" s="2753"/>
      <c r="M258" s="2753"/>
      <c r="N258" s="2753"/>
    </row>
    <row r="259" spans="2:17">
      <c r="B259" s="1369" t="s">
        <v>218</v>
      </c>
      <c r="C259" s="405" t="s">
        <v>2085</v>
      </c>
      <c r="D259" s="405"/>
      <c r="E259" s="1369"/>
      <c r="F259" s="2753">
        <f>INDEX($G$62:$G$64, MATCH($C260, $C$62:$C$64, 0))</f>
        <v>0.75</v>
      </c>
      <c r="G259" s="2753">
        <f>INDEX($G$62:$G$64, MATCH($C260, $C$62:$C$64, 0))</f>
        <v>0.75</v>
      </c>
      <c r="H259" s="2753">
        <f>INDEX($G$62:$G$64, MATCH($C260, $C$62:$C$64, 0))</f>
        <v>0.75</v>
      </c>
      <c r="I259" s="2753">
        <f t="shared" ref="I259:N259" si="12">INDEX($G$75:$G$77, MATCH($C260, $C$75:$C$77, 0))</f>
        <v>0.85</v>
      </c>
      <c r="J259" s="2753">
        <f t="shared" si="12"/>
        <v>0.85</v>
      </c>
      <c r="K259" s="2753">
        <f t="shared" si="12"/>
        <v>0.85</v>
      </c>
      <c r="L259" s="2753">
        <f t="shared" si="12"/>
        <v>0.85</v>
      </c>
      <c r="M259" s="2753">
        <f t="shared" si="12"/>
        <v>0.85</v>
      </c>
      <c r="N259" s="2753">
        <f t="shared" si="12"/>
        <v>0.85</v>
      </c>
      <c r="Q259" s="405"/>
    </row>
    <row r="260" spans="2:17">
      <c r="B260" s="979" t="s">
        <v>220</v>
      </c>
      <c r="C260" s="2" t="s">
        <v>99</v>
      </c>
      <c r="D260" s="2" t="s">
        <v>89</v>
      </c>
      <c r="E260" s="358" t="str">
        <f>Preferences.EnergyUnits</f>
        <v>TWh</v>
      </c>
      <c r="F260" s="1323">
        <f ca="1">F$249*$F258*F259</f>
        <v>1.9732954375E-2</v>
      </c>
      <c r="G260" s="1323">
        <f t="shared" ref="G260:N260" ca="1" si="13">G$249*$F258*G259</f>
        <v>4.2938303030142573E-2</v>
      </c>
      <c r="H260" s="1323">
        <f t="shared" ca="1" si="13"/>
        <v>0.11765161855770412</v>
      </c>
      <c r="I260" s="1323">
        <f t="shared" ca="1" si="13"/>
        <v>0.27893538853058636</v>
      </c>
      <c r="J260" s="1323">
        <f t="shared" ca="1" si="13"/>
        <v>0.30672812988223352</v>
      </c>
      <c r="K260" s="1323">
        <f t="shared" ca="1" si="13"/>
        <v>0.45979965799958344</v>
      </c>
      <c r="L260" s="1323">
        <f t="shared" ca="1" si="13"/>
        <v>0.62409572093068488</v>
      </c>
      <c r="M260" s="1323">
        <f t="shared" ca="1" si="13"/>
        <v>0.80045529675672566</v>
      </c>
      <c r="N260" s="1323">
        <f t="shared" ca="1" si="13"/>
        <v>0.84812347973969349</v>
      </c>
      <c r="Q260" s="405"/>
    </row>
    <row r="261" spans="2:17">
      <c r="C261" s="982"/>
      <c r="E261" s="2657"/>
      <c r="F261" s="365"/>
      <c r="G261" s="365"/>
      <c r="H261" s="365"/>
      <c r="I261" s="365"/>
      <c r="J261" s="365"/>
      <c r="K261" s="365"/>
      <c r="L261" s="365"/>
      <c r="M261" s="365"/>
      <c r="N261" s="365"/>
    </row>
    <row r="262" spans="2:17">
      <c r="B262" s="354">
        <v>3</v>
      </c>
      <c r="C262" s="354" t="s">
        <v>2087</v>
      </c>
      <c r="E262" s="2657"/>
    </row>
    <row r="263" spans="2:17">
      <c r="C263" s="354" t="s">
        <v>421</v>
      </c>
      <c r="D263" s="372" t="s">
        <v>371</v>
      </c>
      <c r="E263" s="355" t="str">
        <f>Preferences.EnergyUnits</f>
        <v>TWh</v>
      </c>
      <c r="F263" s="357">
        <f t="shared" ref="F263:N263" ca="1" si="14">F$18</f>
        <v>0.16958333333333334</v>
      </c>
      <c r="G263" s="357">
        <f t="shared" ca="1" si="14"/>
        <v>0.17043230989583333</v>
      </c>
      <c r="H263" s="357">
        <f t="shared" ca="1" si="14"/>
        <v>0.17257339245225228</v>
      </c>
      <c r="I263" s="357">
        <f t="shared" ca="1" si="14"/>
        <v>0.17474137269324885</v>
      </c>
      <c r="J263" s="357">
        <f t="shared" ca="1" si="14"/>
        <v>0.17693658852519345</v>
      </c>
      <c r="K263" s="357">
        <f t="shared" ca="1" si="14"/>
        <v>0.17915938209945831</v>
      </c>
      <c r="L263" s="357">
        <f t="shared" ca="1" si="14"/>
        <v>0.18141009986574574</v>
      </c>
      <c r="M263" s="357">
        <f t="shared" ca="1" si="14"/>
        <v>0.18368909262608663</v>
      </c>
      <c r="N263" s="357">
        <f t="shared" ca="1" si="14"/>
        <v>0.18599671558951725</v>
      </c>
    </row>
    <row r="264" spans="2:17">
      <c r="B264" s="1369" t="s">
        <v>218</v>
      </c>
      <c r="C264" s="405" t="s">
        <v>2084</v>
      </c>
      <c r="D264" s="405" t="s">
        <v>16</v>
      </c>
      <c r="E264" s="1369"/>
      <c r="F264" s="2753">
        <f>SUMIFS(INDEX($F$34:$I$48, , MATCH($E$7, $F$33:$I$33, 0)), $C$34:$C$48, $C$263, $E$34:$E$48, D264 )</f>
        <v>0</v>
      </c>
      <c r="G264" s="2753"/>
      <c r="H264" s="2753"/>
      <c r="I264" s="2753"/>
      <c r="J264" s="2753"/>
      <c r="K264" s="2753"/>
      <c r="L264" s="2753"/>
      <c r="M264" s="2753"/>
      <c r="N264" s="2753"/>
    </row>
    <row r="265" spans="2:17">
      <c r="B265" s="1369" t="s">
        <v>218</v>
      </c>
      <c r="C265" s="405" t="s">
        <v>2085</v>
      </c>
      <c r="D265" s="405"/>
      <c r="E265" s="1369"/>
      <c r="F265" s="2753">
        <f>INDEX($I$62:$I$64, MATCH($C266, $C$62:$C$64, 0))</f>
        <v>0.9</v>
      </c>
      <c r="G265" s="2753">
        <f>INDEX($I$62:$I$64, MATCH($C266, $C$62:$C$64, 0))</f>
        <v>0.9</v>
      </c>
      <c r="H265" s="2753">
        <f>INDEX($I$62:$I$64, MATCH($C266, $C$62:$C$64, 0))</f>
        <v>0.9</v>
      </c>
      <c r="I265" s="2753">
        <f t="shared" ref="I265:N265" si="15">INDEX($I$75:$I$77, MATCH($C266, $C$75:$C$77, 0))</f>
        <v>0.95</v>
      </c>
      <c r="J265" s="2753">
        <f t="shared" si="15"/>
        <v>0.95</v>
      </c>
      <c r="K265" s="2753">
        <f t="shared" si="15"/>
        <v>0.95</v>
      </c>
      <c r="L265" s="2753">
        <f t="shared" si="15"/>
        <v>0.95</v>
      </c>
      <c r="M265" s="2753">
        <f t="shared" si="15"/>
        <v>0.95</v>
      </c>
      <c r="N265" s="2753">
        <f t="shared" si="15"/>
        <v>0.95</v>
      </c>
    </row>
    <row r="266" spans="2:17">
      <c r="B266" s="1603" t="s">
        <v>220</v>
      </c>
      <c r="C266" s="2" t="s">
        <v>97</v>
      </c>
      <c r="D266" s="2" t="s">
        <v>87</v>
      </c>
      <c r="E266" s="358" t="str">
        <f>Preferences.EnergyUnits</f>
        <v>TWh</v>
      </c>
      <c r="F266" s="1323">
        <f ca="1">F$263*$F264*F265</f>
        <v>0</v>
      </c>
      <c r="G266" s="1323">
        <f t="shared" ref="G266:M266" ca="1" si="16">G$263*$F264*G265</f>
        <v>0</v>
      </c>
      <c r="H266" s="1323">
        <f t="shared" ca="1" si="16"/>
        <v>0</v>
      </c>
      <c r="I266" s="1323">
        <f t="shared" ca="1" si="16"/>
        <v>0</v>
      </c>
      <c r="J266" s="1323">
        <f t="shared" ca="1" si="16"/>
        <v>0</v>
      </c>
      <c r="K266" s="1323">
        <f t="shared" ca="1" si="16"/>
        <v>0</v>
      </c>
      <c r="L266" s="1323">
        <f t="shared" ca="1" si="16"/>
        <v>0</v>
      </c>
      <c r="M266" s="1323">
        <f t="shared" ca="1" si="16"/>
        <v>0</v>
      </c>
      <c r="N266" s="1323">
        <f ca="1">N$263*$F264*N265</f>
        <v>0</v>
      </c>
    </row>
    <row r="267" spans="2:17">
      <c r="C267" s="979"/>
      <c r="E267" s="373"/>
      <c r="F267" s="357"/>
      <c r="G267" s="357"/>
      <c r="H267" s="357"/>
      <c r="I267" s="357"/>
      <c r="J267" s="357"/>
      <c r="K267" s="357"/>
      <c r="L267" s="357"/>
      <c r="M267" s="357"/>
      <c r="N267" s="357"/>
    </row>
    <row r="268" spans="2:17">
      <c r="B268" s="1369" t="s">
        <v>218</v>
      </c>
      <c r="C268" s="405" t="s">
        <v>2084</v>
      </c>
      <c r="D268" s="405" t="s">
        <v>1668</v>
      </c>
      <c r="E268" s="1369"/>
      <c r="F268" s="2753">
        <f>SUMIFS(INDEX($F$34:$I$48, , MATCH($E$7, $F$33:$I$33, 0)), $C$34:$C$48, $C$263, $E$34:$E$48, D268 )</f>
        <v>1</v>
      </c>
      <c r="G268" s="2753"/>
      <c r="H268" s="2753"/>
      <c r="I268" s="2753"/>
      <c r="J268" s="2753"/>
      <c r="K268" s="2753"/>
      <c r="L268" s="2753"/>
      <c r="M268" s="2753"/>
      <c r="N268" s="2753"/>
    </row>
    <row r="269" spans="2:17">
      <c r="B269" s="1369" t="s">
        <v>218</v>
      </c>
      <c r="C269" s="405" t="s">
        <v>2085</v>
      </c>
      <c r="D269" s="405"/>
      <c r="E269" s="1369"/>
      <c r="F269" s="2753">
        <f>INDEX($I$62:$I$64, MATCH($C270, $C$62:$C$64, 0))</f>
        <v>0.37</v>
      </c>
      <c r="G269" s="2753">
        <f>INDEX($I$62:$I$64, MATCH($C270, $C$62:$C$64, 0))</f>
        <v>0.37</v>
      </c>
      <c r="H269" s="2753">
        <f>INDEX($I$62:$I$64, MATCH($C270, $C$62:$C$64, 0))</f>
        <v>0.37</v>
      </c>
      <c r="I269" s="2753">
        <f t="shared" ref="I269:N269" si="17">INDEX($I$75:$I$77, MATCH($C270, $C$75:$C$77, 0))</f>
        <v>0.45</v>
      </c>
      <c r="J269" s="2753">
        <f t="shared" si="17"/>
        <v>0.45</v>
      </c>
      <c r="K269" s="2753">
        <f t="shared" si="17"/>
        <v>0.45</v>
      </c>
      <c r="L269" s="2753">
        <f t="shared" si="17"/>
        <v>0.45</v>
      </c>
      <c r="M269" s="2753">
        <f t="shared" si="17"/>
        <v>0.45</v>
      </c>
      <c r="N269" s="2753">
        <f t="shared" si="17"/>
        <v>0.45</v>
      </c>
    </row>
    <row r="270" spans="2:17">
      <c r="B270" s="1603" t="s">
        <v>220</v>
      </c>
      <c r="C270" s="2" t="s">
        <v>98</v>
      </c>
      <c r="D270" s="2" t="s">
        <v>88</v>
      </c>
      <c r="E270" s="358" t="str">
        <f>Preferences.EnergyUnits</f>
        <v>TWh</v>
      </c>
      <c r="F270" s="1323">
        <f ca="1">F$263*$F268*F269</f>
        <v>6.2745833333333334E-2</v>
      </c>
      <c r="G270" s="1323">
        <f t="shared" ref="G270:N270" ca="1" si="18">G$263*$F268*G269</f>
        <v>6.3059954661458334E-2</v>
      </c>
      <c r="H270" s="1323">
        <f t="shared" ca="1" si="18"/>
        <v>6.3852155207333339E-2</v>
      </c>
      <c r="I270" s="1323">
        <f t="shared" ca="1" si="18"/>
        <v>7.8633617711961992E-2</v>
      </c>
      <c r="J270" s="1323">
        <f t="shared" ca="1" si="18"/>
        <v>7.9621464836337058E-2</v>
      </c>
      <c r="K270" s="1323">
        <f t="shared" ca="1" si="18"/>
        <v>8.0621721944756239E-2</v>
      </c>
      <c r="L270" s="1323">
        <f t="shared" ca="1" si="18"/>
        <v>8.1634544939585593E-2</v>
      </c>
      <c r="M270" s="1323">
        <f t="shared" ca="1" si="18"/>
        <v>8.266009168173899E-2</v>
      </c>
      <c r="N270" s="1323">
        <f t="shared" ca="1" si="18"/>
        <v>8.3698522015282759E-2</v>
      </c>
    </row>
    <row r="271" spans="2:17">
      <c r="C271" s="354"/>
      <c r="E271" s="373"/>
      <c r="F271" s="357"/>
      <c r="G271" s="357"/>
      <c r="H271" s="357"/>
      <c r="I271" s="357"/>
      <c r="J271" s="357"/>
      <c r="K271" s="357"/>
      <c r="L271" s="357"/>
      <c r="M271" s="357"/>
      <c r="N271" s="357"/>
    </row>
    <row r="272" spans="2:17">
      <c r="B272" s="1369" t="s">
        <v>218</v>
      </c>
      <c r="C272" s="405" t="s">
        <v>2084</v>
      </c>
      <c r="D272" s="405" t="s">
        <v>15</v>
      </c>
      <c r="E272" s="1369"/>
      <c r="F272" s="2753">
        <f>SUMIFS(INDEX($F$34:$I$48, , MATCH($E$7, $F$33:$I$33, 0)), $C$34:$C$48, $C$263, $E$34:$E$48, D272 )</f>
        <v>0</v>
      </c>
      <c r="G272" s="2753"/>
      <c r="H272" s="2753"/>
      <c r="I272" s="2753"/>
      <c r="J272" s="2753"/>
      <c r="K272" s="2753"/>
      <c r="L272" s="2753"/>
      <c r="M272" s="2753"/>
      <c r="N272" s="2753"/>
    </row>
    <row r="273" spans="2:18">
      <c r="B273" s="1369" t="s">
        <v>218</v>
      </c>
      <c r="C273" s="405" t="s">
        <v>2085</v>
      </c>
      <c r="D273" s="405"/>
      <c r="E273" s="1369"/>
      <c r="F273" s="2753">
        <f>INDEX($I$62:$I$64, MATCH($C274, $C$62:$C$64, 0))</f>
        <v>0.58499999999999996</v>
      </c>
      <c r="G273" s="2753">
        <f>INDEX($I$62:$I$64, MATCH($C274, $C$62:$C$64, 0))</f>
        <v>0.58499999999999996</v>
      </c>
      <c r="H273" s="2753">
        <f>INDEX($I$62:$I$64, MATCH($C274, $C$62:$C$64, 0))</f>
        <v>0.58499999999999996</v>
      </c>
      <c r="I273" s="2753">
        <f t="shared" ref="I273:N273" si="19">INDEX($I$75:$I$77, MATCH($C274, $C$75:$C$77, 0))</f>
        <v>0.66200000000000003</v>
      </c>
      <c r="J273" s="2753">
        <f t="shared" si="19"/>
        <v>0.66200000000000003</v>
      </c>
      <c r="K273" s="2753">
        <f t="shared" si="19"/>
        <v>0.66200000000000003</v>
      </c>
      <c r="L273" s="2753">
        <f t="shared" si="19"/>
        <v>0.66200000000000003</v>
      </c>
      <c r="M273" s="2753">
        <f t="shared" si="19"/>
        <v>0.66200000000000003</v>
      </c>
      <c r="N273" s="2753">
        <f t="shared" si="19"/>
        <v>0.66200000000000003</v>
      </c>
    </row>
    <row r="274" spans="2:18">
      <c r="B274" s="1603" t="s">
        <v>220</v>
      </c>
      <c r="C274" s="2" t="s">
        <v>99</v>
      </c>
      <c r="D274" s="2" t="s">
        <v>89</v>
      </c>
      <c r="E274" s="358" t="str">
        <f>Preferences.EnergyUnits</f>
        <v>TWh</v>
      </c>
      <c r="F274" s="1323">
        <f ca="1">F$263*$F272*F273</f>
        <v>0</v>
      </c>
      <c r="G274" s="1323">
        <f t="shared" ref="G274:N274" ca="1" si="20">G$263*$F272*G273</f>
        <v>0</v>
      </c>
      <c r="H274" s="1323">
        <f t="shared" ca="1" si="20"/>
        <v>0</v>
      </c>
      <c r="I274" s="1323">
        <f t="shared" ca="1" si="20"/>
        <v>0</v>
      </c>
      <c r="J274" s="1323">
        <f t="shared" ca="1" si="20"/>
        <v>0</v>
      </c>
      <c r="K274" s="1323">
        <f t="shared" ca="1" si="20"/>
        <v>0</v>
      </c>
      <c r="L274" s="1323">
        <f t="shared" ca="1" si="20"/>
        <v>0</v>
      </c>
      <c r="M274" s="1323">
        <f t="shared" ca="1" si="20"/>
        <v>0</v>
      </c>
      <c r="N274" s="1323">
        <f t="shared" ca="1" si="20"/>
        <v>0</v>
      </c>
    </row>
    <row r="275" spans="2:18">
      <c r="B275" s="1603"/>
      <c r="C275" s="2"/>
      <c r="D275" s="2"/>
      <c r="E275" s="358"/>
      <c r="F275" s="2754"/>
      <c r="G275" s="2754"/>
      <c r="H275" s="2754"/>
      <c r="I275" s="2754"/>
      <c r="J275" s="2754"/>
      <c r="K275" s="2754"/>
      <c r="L275" s="2754"/>
      <c r="M275" s="2754"/>
      <c r="N275" s="2754"/>
    </row>
    <row r="276" spans="2:18">
      <c r="C276" s="354" t="s">
        <v>422</v>
      </c>
      <c r="D276" s="372" t="s">
        <v>372</v>
      </c>
      <c r="E276" s="355" t="str">
        <f>Preferences.EnergyUnits</f>
        <v>TWh</v>
      </c>
      <c r="F276" s="357">
        <f t="shared" ref="F276:N276" ca="1" si="21">F$19</f>
        <v>0.14350000000000002</v>
      </c>
      <c r="G276" s="357">
        <f t="shared" ca="1" si="21"/>
        <v>0.14776594798442105</v>
      </c>
      <c r="H276" s="357">
        <f t="shared" ca="1" si="21"/>
        <v>0.15899392199579612</v>
      </c>
      <c r="I276" s="357">
        <f t="shared" ca="1" si="21"/>
        <v>0.17107505197523906</v>
      </c>
      <c r="J276" s="357">
        <f t="shared" ca="1" si="21"/>
        <v>0.18407416485458214</v>
      </c>
      <c r="K276" s="357">
        <f t="shared" ca="1" si="21"/>
        <v>0.19806101343062021</v>
      </c>
      <c r="L276" s="357">
        <f t="shared" ca="1" si="21"/>
        <v>0.21311065065624191</v>
      </c>
      <c r="M276" s="357">
        <f t="shared" ca="1" si="21"/>
        <v>0.22930383237201715</v>
      </c>
      <c r="N276" s="357">
        <f t="shared" ca="1" si="21"/>
        <v>0.24672745063928636</v>
      </c>
    </row>
    <row r="277" spans="2:18">
      <c r="B277" s="1369" t="s">
        <v>218</v>
      </c>
      <c r="C277" s="405" t="s">
        <v>2084</v>
      </c>
      <c r="D277" s="405" t="s">
        <v>16</v>
      </c>
      <c r="E277" s="1369"/>
      <c r="F277" s="2753">
        <f>SUMIFS(INDEX($F$34:$I$48, , MATCH($E$7, $F$33:$I$33, 0)), $C$34:$C$48, $C$276, $E$34:$E$48, D277 )</f>
        <v>0</v>
      </c>
      <c r="G277" s="2753"/>
      <c r="H277" s="2753"/>
      <c r="I277" s="2753"/>
      <c r="J277" s="2753"/>
      <c r="K277" s="2753"/>
      <c r="L277" s="2753"/>
      <c r="M277" s="2753"/>
      <c r="N277" s="2753"/>
    </row>
    <row r="278" spans="2:18">
      <c r="B278" s="1369" t="s">
        <v>218</v>
      </c>
      <c r="C278" s="405" t="s">
        <v>2085</v>
      </c>
      <c r="D278" s="405"/>
      <c r="E278" s="1369"/>
      <c r="F278" s="2753">
        <f>INDEX($J$62:$J$64, MATCH($C279, $C$62:$C$64, 0))</f>
        <v>0</v>
      </c>
      <c r="G278" s="2753">
        <f>INDEX($J$62:$J$64, MATCH($C279, $C$62:$C$64, 0))</f>
        <v>0</v>
      </c>
      <c r="H278" s="2753">
        <f>INDEX($J$62:$J$64, MATCH($C279, $C$62:$C$64, 0))</f>
        <v>0</v>
      </c>
      <c r="I278" s="2753"/>
      <c r="J278" s="2753"/>
      <c r="K278" s="2753"/>
      <c r="L278" s="2753"/>
      <c r="M278" s="2753"/>
      <c r="N278" s="2753"/>
    </row>
    <row r="279" spans="2:18" collapsed="1">
      <c r="B279" s="1603" t="s">
        <v>220</v>
      </c>
      <c r="C279" s="2" t="s">
        <v>97</v>
      </c>
      <c r="D279" s="2" t="s">
        <v>87</v>
      </c>
      <c r="E279" s="358" t="str">
        <f>Preferences.EnergyUnits</f>
        <v>TWh</v>
      </c>
      <c r="F279" s="1323">
        <f ca="1">F$276*$F277*$F278</f>
        <v>0</v>
      </c>
      <c r="G279" s="1323">
        <f t="shared" ref="G279:N279" ca="1" si="22">G$276*$F277*$F278</f>
        <v>0</v>
      </c>
      <c r="H279" s="1323">
        <f t="shared" ca="1" si="22"/>
        <v>0</v>
      </c>
      <c r="I279" s="1323">
        <f t="shared" ca="1" si="22"/>
        <v>0</v>
      </c>
      <c r="J279" s="1323">
        <f t="shared" ca="1" si="22"/>
        <v>0</v>
      </c>
      <c r="K279" s="1323">
        <f t="shared" ca="1" si="22"/>
        <v>0</v>
      </c>
      <c r="L279" s="1323">
        <f t="shared" ca="1" si="22"/>
        <v>0</v>
      </c>
      <c r="M279" s="1323">
        <f t="shared" ca="1" si="22"/>
        <v>0</v>
      </c>
      <c r="N279" s="1323">
        <f t="shared" ca="1" si="22"/>
        <v>0</v>
      </c>
    </row>
    <row r="280" spans="2:18">
      <c r="C280" s="979"/>
      <c r="E280" s="373"/>
      <c r="F280" s="357"/>
      <c r="G280" s="357"/>
      <c r="H280" s="357"/>
      <c r="I280" s="357"/>
      <c r="J280" s="357"/>
      <c r="K280" s="357"/>
      <c r="L280" s="357"/>
      <c r="M280" s="357"/>
      <c r="N280" s="357"/>
    </row>
    <row r="281" spans="2:18">
      <c r="B281" s="1369" t="s">
        <v>218</v>
      </c>
      <c r="C281" s="405" t="s">
        <v>2084</v>
      </c>
      <c r="D281" s="405" t="s">
        <v>1668</v>
      </c>
      <c r="E281" s="1369"/>
      <c r="F281" s="2753">
        <f>SUMIFS(INDEX($F$34:$I$48, , MATCH($E$7, $F$33:$I$33, 0)), $C$34:$C$48, $C$276, $E$34:$E$48, D281 )</f>
        <v>1</v>
      </c>
      <c r="G281" s="2753"/>
      <c r="H281" s="2753"/>
      <c r="I281" s="2753"/>
      <c r="J281" s="2753"/>
      <c r="K281" s="2753"/>
      <c r="L281" s="2753"/>
      <c r="M281" s="2753"/>
      <c r="N281" s="2753"/>
    </row>
    <row r="282" spans="2:18" ht="15.75" customHeight="1">
      <c r="B282" s="1369" t="s">
        <v>218</v>
      </c>
      <c r="C282" s="405" t="s">
        <v>2085</v>
      </c>
      <c r="D282" s="405"/>
      <c r="E282" s="1369"/>
      <c r="F282" s="2753">
        <f>INDEX($J$62:$J$64, MATCH($C283, $C$62:$C$64, 0))</f>
        <v>0.31</v>
      </c>
      <c r="G282" s="2753">
        <f>INDEX($J$62:$J$64, MATCH($C283, $C$62:$C$64, 0))</f>
        <v>0.31</v>
      </c>
      <c r="H282" s="2753">
        <f>INDEX($J$62:$J$64, MATCH($C283, $C$62:$C$64, 0))</f>
        <v>0.31</v>
      </c>
      <c r="I282" s="2753">
        <f t="shared" ref="I282:N282" si="23">INDEX($J$75:$J$77, MATCH($C283, $C$75:$C$77, 0))</f>
        <v>0.316</v>
      </c>
      <c r="J282" s="2753">
        <f t="shared" si="23"/>
        <v>0.316</v>
      </c>
      <c r="K282" s="2753">
        <f t="shared" si="23"/>
        <v>0.316</v>
      </c>
      <c r="L282" s="2753">
        <f t="shared" si="23"/>
        <v>0.316</v>
      </c>
      <c r="M282" s="2753">
        <f t="shared" si="23"/>
        <v>0.316</v>
      </c>
      <c r="N282" s="2753">
        <f t="shared" si="23"/>
        <v>0.316</v>
      </c>
      <c r="P282" s="389"/>
      <c r="Q282" s="389"/>
      <c r="R282" s="389"/>
    </row>
    <row r="283" spans="2:18">
      <c r="B283" s="1603" t="s">
        <v>220</v>
      </c>
      <c r="C283" s="2" t="s">
        <v>98</v>
      </c>
      <c r="D283" s="2" t="s">
        <v>88</v>
      </c>
      <c r="E283" s="358" t="str">
        <f>Preferences.EnergyUnits</f>
        <v>TWh</v>
      </c>
      <c r="F283" s="1323">
        <f ca="1">F$276*$F281*F282</f>
        <v>4.4485000000000004E-2</v>
      </c>
      <c r="G283" s="1323">
        <f t="shared" ref="G283:N283" ca="1" si="24">G$276*$F281*G282</f>
        <v>4.580744387517053E-2</v>
      </c>
      <c r="H283" s="1323">
        <f t="shared" ca="1" si="24"/>
        <v>4.9288115818696798E-2</v>
      </c>
      <c r="I283" s="1323">
        <f t="shared" ca="1" si="24"/>
        <v>5.4059716424175543E-2</v>
      </c>
      <c r="J283" s="1323">
        <f t="shared" ca="1" si="24"/>
        <v>5.816743609404796E-2</v>
      </c>
      <c r="K283" s="1323">
        <f t="shared" ca="1" si="24"/>
        <v>6.2587280244075991E-2</v>
      </c>
      <c r="L283" s="1323">
        <f t="shared" ca="1" si="24"/>
        <v>6.7342965607372449E-2</v>
      </c>
      <c r="M283" s="1323">
        <f t="shared" ca="1" si="24"/>
        <v>7.2460011029557417E-2</v>
      </c>
      <c r="N283" s="1323">
        <f t="shared" ca="1" si="24"/>
        <v>7.7965874402014496E-2</v>
      </c>
      <c r="P283" s="389"/>
      <c r="Q283" s="389"/>
      <c r="R283" s="389"/>
    </row>
    <row r="284" spans="2:18">
      <c r="C284" s="354"/>
      <c r="E284" s="373"/>
      <c r="F284" s="357"/>
      <c r="G284" s="357"/>
      <c r="H284" s="357"/>
      <c r="I284" s="357"/>
      <c r="J284" s="357"/>
      <c r="K284" s="357"/>
      <c r="L284" s="357"/>
      <c r="M284" s="357"/>
      <c r="N284" s="357"/>
      <c r="P284" s="389"/>
      <c r="Q284" s="389"/>
      <c r="R284" s="389"/>
    </row>
    <row r="285" spans="2:18">
      <c r="B285" s="1369" t="s">
        <v>218</v>
      </c>
      <c r="C285" s="405" t="s">
        <v>2084</v>
      </c>
      <c r="D285" s="405" t="s">
        <v>15</v>
      </c>
      <c r="E285" s="1369"/>
      <c r="F285" s="2753">
        <f>SUMIFS(INDEX($F$34:$I$48, , MATCH($E$7, $F$33:$I$33, 0)), $C$34:$C$48, $C$276, $E$34:$E$48, D285 )</f>
        <v>0</v>
      </c>
      <c r="G285" s="2753"/>
      <c r="H285" s="2753"/>
      <c r="I285" s="2753"/>
      <c r="J285" s="2753"/>
      <c r="K285" s="2753"/>
      <c r="L285" s="2753"/>
      <c r="M285" s="2753"/>
      <c r="N285" s="2753"/>
      <c r="P285" s="389"/>
      <c r="Q285" s="389"/>
      <c r="R285" s="389"/>
    </row>
    <row r="286" spans="2:18">
      <c r="B286" s="1369" t="s">
        <v>218</v>
      </c>
      <c r="C286" s="405" t="s">
        <v>2085</v>
      </c>
      <c r="D286" s="405"/>
      <c r="E286" s="1369"/>
      <c r="F286" s="2753">
        <f>INDEX($J$62:$J$64, MATCH($C287, $C$62:$C$64, 0))</f>
        <v>0</v>
      </c>
      <c r="G286" s="2753"/>
      <c r="H286" s="2753"/>
      <c r="I286" s="2753"/>
      <c r="J286" s="2753"/>
      <c r="K286" s="2753"/>
      <c r="L286" s="2753"/>
      <c r="M286" s="2753"/>
      <c r="N286" s="2753"/>
      <c r="P286" s="389"/>
      <c r="Q286" s="389"/>
      <c r="R286" s="389"/>
    </row>
    <row r="287" spans="2:18">
      <c r="B287" s="1603" t="s">
        <v>220</v>
      </c>
      <c r="C287" s="2" t="s">
        <v>99</v>
      </c>
      <c r="D287" s="2" t="s">
        <v>89</v>
      </c>
      <c r="E287" s="358" t="str">
        <f>Preferences.EnergyUnits</f>
        <v>TWh</v>
      </c>
      <c r="F287" s="1323">
        <f ca="1">F$276*$F285*$F286</f>
        <v>0</v>
      </c>
      <c r="G287" s="1323">
        <f t="shared" ref="G287:N287" ca="1" si="25">G$276*$F285*$F286</f>
        <v>0</v>
      </c>
      <c r="H287" s="1323">
        <f t="shared" ca="1" si="25"/>
        <v>0</v>
      </c>
      <c r="I287" s="1323">
        <f t="shared" ca="1" si="25"/>
        <v>0</v>
      </c>
      <c r="J287" s="1323">
        <f t="shared" ca="1" si="25"/>
        <v>0</v>
      </c>
      <c r="K287" s="1323">
        <f t="shared" ca="1" si="25"/>
        <v>0</v>
      </c>
      <c r="L287" s="1323">
        <f t="shared" ca="1" si="25"/>
        <v>0</v>
      </c>
      <c r="M287" s="1323">
        <f t="shared" ca="1" si="25"/>
        <v>0</v>
      </c>
      <c r="N287" s="1323">
        <f t="shared" ca="1" si="25"/>
        <v>0</v>
      </c>
      <c r="P287" s="389"/>
      <c r="Q287" s="389"/>
      <c r="R287" s="389"/>
    </row>
    <row r="288" spans="2:18">
      <c r="C288" s="354"/>
      <c r="D288" s="372"/>
      <c r="E288" s="355"/>
      <c r="F288" s="357"/>
      <c r="G288" s="357"/>
      <c r="H288" s="357"/>
      <c r="I288" s="357"/>
      <c r="J288" s="357"/>
      <c r="K288" s="357"/>
      <c r="L288" s="357"/>
      <c r="M288" s="357"/>
      <c r="N288" s="357"/>
      <c r="P288" s="389"/>
      <c r="Q288" s="389"/>
      <c r="R288" s="389"/>
    </row>
    <row r="289" spans="1:18">
      <c r="B289" s="354">
        <v>4</v>
      </c>
      <c r="C289" s="354" t="s">
        <v>2088</v>
      </c>
      <c r="E289" s="2657"/>
      <c r="P289" s="389"/>
      <c r="Q289" s="389"/>
      <c r="R289" s="389"/>
    </row>
    <row r="290" spans="1:18">
      <c r="C290" s="354" t="s">
        <v>425</v>
      </c>
      <c r="D290" s="372" t="s">
        <v>375</v>
      </c>
      <c r="E290" s="355" t="str">
        <f>Preferences.EnergyUnits</f>
        <v>TWh</v>
      </c>
      <c r="F290" s="357">
        <f t="shared" ref="F290:N290" ca="1" si="26">F$17</f>
        <v>0.15107025941422586</v>
      </c>
      <c r="G290" s="357">
        <f t="shared" ca="1" si="26"/>
        <v>0.15632142658010748</v>
      </c>
      <c r="H290" s="357">
        <f t="shared" ca="1" si="26"/>
        <v>0.16199979469292949</v>
      </c>
      <c r="I290" s="357">
        <f t="shared" ca="1" si="26"/>
        <v>0.15178856558780604</v>
      </c>
      <c r="J290" s="357">
        <f t="shared" ca="1" si="26"/>
        <v>0.13763675658837954</v>
      </c>
      <c r="K290" s="357">
        <f t="shared" ca="1" si="26"/>
        <v>0.12398271823418237</v>
      </c>
      <c r="L290" s="357">
        <f t="shared" ca="1" si="26"/>
        <v>0.11082645052521456</v>
      </c>
      <c r="M290" s="357">
        <f t="shared" ca="1" si="26"/>
        <v>9.816795346147611E-2</v>
      </c>
      <c r="N290" s="357">
        <f t="shared" ca="1" si="26"/>
        <v>8.6007227042966941E-2</v>
      </c>
      <c r="P290" s="389"/>
      <c r="Q290" s="389"/>
      <c r="R290" s="389"/>
    </row>
    <row r="291" spans="1:18">
      <c r="B291" s="1369" t="s">
        <v>218</v>
      </c>
      <c r="C291" s="405" t="s">
        <v>2084</v>
      </c>
      <c r="D291" s="405" t="s">
        <v>16</v>
      </c>
      <c r="E291" s="1369"/>
      <c r="F291" s="2753">
        <f>SUMIFS(INDEX($F$34:$I$48, , MATCH($E$7, $F$33:$I$33, 0)), $C$34:$C$48, $C$290, $E$34:$E$48, D291 )</f>
        <v>0</v>
      </c>
      <c r="G291" s="2753"/>
      <c r="H291" s="2753"/>
      <c r="I291" s="2753"/>
      <c r="J291" s="2753"/>
      <c r="K291" s="2753"/>
      <c r="L291" s="2753"/>
      <c r="M291" s="2753"/>
      <c r="N291" s="2753"/>
      <c r="P291" s="389"/>
      <c r="Q291" s="389"/>
      <c r="R291" s="389"/>
    </row>
    <row r="292" spans="1:18">
      <c r="B292" s="1369" t="s">
        <v>218</v>
      </c>
      <c r="C292" s="405" t="s">
        <v>2085</v>
      </c>
      <c r="D292" s="405"/>
      <c r="E292" s="1369"/>
      <c r="F292" s="2753">
        <f>INDEX($K$62:$K$64, MATCH($C293, $C$62:$C$64, 0))</f>
        <v>0</v>
      </c>
      <c r="G292" s="2753">
        <f>INDEX($K$62:$K$64, MATCH($C293, $C$62:$C$64, 0))</f>
        <v>0</v>
      </c>
      <c r="H292" s="2753">
        <f>INDEX($K$62:$K$64, MATCH($C293, $C$62:$C$64, 0))</f>
        <v>0</v>
      </c>
      <c r="I292" s="2753">
        <f t="shared" ref="I292:N292" si="27">INDEX($K$75:$K$77, MATCH($C293, $C$75:$C$77, 0))</f>
        <v>0</v>
      </c>
      <c r="J292" s="2753">
        <f t="shared" si="27"/>
        <v>0</v>
      </c>
      <c r="K292" s="2753">
        <f t="shared" si="27"/>
        <v>0</v>
      </c>
      <c r="L292" s="2753">
        <f t="shared" si="27"/>
        <v>0</v>
      </c>
      <c r="M292" s="2753">
        <f t="shared" si="27"/>
        <v>0</v>
      </c>
      <c r="N292" s="2753">
        <f t="shared" si="27"/>
        <v>0</v>
      </c>
      <c r="P292" s="389"/>
      <c r="Q292" s="389"/>
      <c r="R292" s="389"/>
    </row>
    <row r="293" spans="1:18">
      <c r="B293" s="1603" t="s">
        <v>220</v>
      </c>
      <c r="C293" s="2" t="s">
        <v>97</v>
      </c>
      <c r="D293" s="2" t="s">
        <v>87</v>
      </c>
      <c r="E293" s="358" t="str">
        <f>Preferences.EnergyUnits</f>
        <v>TWh</v>
      </c>
      <c r="F293" s="1323">
        <f ca="1">F$290*$F291*F292</f>
        <v>0</v>
      </c>
      <c r="G293" s="1323">
        <f t="shared" ref="G293:N293" ca="1" si="28">G$290*$F291*G292</f>
        <v>0</v>
      </c>
      <c r="H293" s="1323">
        <f t="shared" ca="1" si="28"/>
        <v>0</v>
      </c>
      <c r="I293" s="1323">
        <f t="shared" ca="1" si="28"/>
        <v>0</v>
      </c>
      <c r="J293" s="1323">
        <f t="shared" ca="1" si="28"/>
        <v>0</v>
      </c>
      <c r="K293" s="1323">
        <f t="shared" ca="1" si="28"/>
        <v>0</v>
      </c>
      <c r="L293" s="1323">
        <f t="shared" ca="1" si="28"/>
        <v>0</v>
      </c>
      <c r="M293" s="1323">
        <f t="shared" ca="1" si="28"/>
        <v>0</v>
      </c>
      <c r="N293" s="1323">
        <f t="shared" ca="1" si="28"/>
        <v>0</v>
      </c>
      <c r="P293" s="2754"/>
      <c r="Q293" s="389"/>
      <c r="R293" s="389"/>
    </row>
    <row r="294" spans="1:18">
      <c r="C294" s="979"/>
      <c r="E294" s="373"/>
      <c r="F294" s="357"/>
      <c r="G294" s="357"/>
      <c r="H294" s="357"/>
      <c r="I294" s="357"/>
      <c r="J294" s="357"/>
      <c r="K294" s="357"/>
      <c r="L294" s="357"/>
      <c r="M294" s="357"/>
      <c r="N294" s="357"/>
      <c r="P294" s="389"/>
      <c r="Q294" s="389"/>
      <c r="R294" s="389"/>
    </row>
    <row r="295" spans="1:18">
      <c r="B295" s="1369" t="s">
        <v>218</v>
      </c>
      <c r="C295" s="405" t="s">
        <v>2084</v>
      </c>
      <c r="D295" s="405" t="s">
        <v>1668</v>
      </c>
      <c r="E295" s="1369"/>
      <c r="F295" s="2753">
        <f>SUMIFS(INDEX($F$34:$I$48, , MATCH($E$7, $F$33:$I$33, 0)), $C$34:$C$48, $C$290, $E$34:$E$48, D295 )</f>
        <v>0</v>
      </c>
      <c r="G295" s="2753"/>
      <c r="H295" s="2753"/>
      <c r="I295" s="2753"/>
      <c r="J295" s="2753"/>
      <c r="K295" s="2753"/>
      <c r="L295" s="2753"/>
      <c r="M295" s="2753"/>
      <c r="N295" s="2753"/>
      <c r="P295" s="389"/>
      <c r="Q295" s="389"/>
      <c r="R295" s="389"/>
    </row>
    <row r="296" spans="1:18" collapsed="1">
      <c r="B296" s="1369" t="s">
        <v>218</v>
      </c>
      <c r="C296" s="405" t="s">
        <v>2085</v>
      </c>
      <c r="D296" s="405"/>
      <c r="E296" s="1369"/>
      <c r="F296" s="2753">
        <f>INDEX($K$62:$K$64, MATCH($C297, $C$62:$C$64, 0))</f>
        <v>0</v>
      </c>
      <c r="G296" s="2753">
        <f>INDEX($K$62:$K$64, MATCH($C297, $C$62:$C$64, 0))</f>
        <v>0</v>
      </c>
      <c r="H296" s="2753">
        <f>INDEX($K$62:$K$64, MATCH($C297, $C$62:$C$64, 0))</f>
        <v>0</v>
      </c>
      <c r="I296" s="2753">
        <f t="shared" ref="I296:N296" si="29">INDEX($K$75:$K$77, MATCH($C297, $C$75:$C$77, 0))</f>
        <v>0</v>
      </c>
      <c r="J296" s="2753">
        <f t="shared" si="29"/>
        <v>0</v>
      </c>
      <c r="K296" s="2753">
        <f t="shared" si="29"/>
        <v>0</v>
      </c>
      <c r="L296" s="2753">
        <f t="shared" si="29"/>
        <v>0</v>
      </c>
      <c r="M296" s="2753">
        <f t="shared" si="29"/>
        <v>0</v>
      </c>
      <c r="N296" s="2753">
        <f t="shared" si="29"/>
        <v>0</v>
      </c>
      <c r="P296" s="389"/>
      <c r="Q296" s="389"/>
      <c r="R296" s="389"/>
    </row>
    <row r="297" spans="1:18">
      <c r="B297" s="1603" t="s">
        <v>220</v>
      </c>
      <c r="C297" s="2" t="s">
        <v>98</v>
      </c>
      <c r="D297" s="2" t="s">
        <v>88</v>
      </c>
      <c r="E297" s="358" t="str">
        <f>Preferences.EnergyUnits</f>
        <v>TWh</v>
      </c>
      <c r="F297" s="1323">
        <f ca="1">F$290*$F295*F296</f>
        <v>0</v>
      </c>
      <c r="G297" s="1323">
        <f t="shared" ref="G297:N297" ca="1" si="30">G$290*$F295*G296</f>
        <v>0</v>
      </c>
      <c r="H297" s="1323">
        <f t="shared" ca="1" si="30"/>
        <v>0</v>
      </c>
      <c r="I297" s="1323">
        <f t="shared" ca="1" si="30"/>
        <v>0</v>
      </c>
      <c r="J297" s="1323">
        <f t="shared" ca="1" si="30"/>
        <v>0</v>
      </c>
      <c r="K297" s="1323">
        <f t="shared" ca="1" si="30"/>
        <v>0</v>
      </c>
      <c r="L297" s="1323">
        <f t="shared" ca="1" si="30"/>
        <v>0</v>
      </c>
      <c r="M297" s="1323">
        <f t="shared" ca="1" si="30"/>
        <v>0</v>
      </c>
      <c r="N297" s="1323">
        <f t="shared" ca="1" si="30"/>
        <v>0</v>
      </c>
      <c r="P297" s="389"/>
      <c r="Q297" s="389"/>
      <c r="R297" s="389"/>
    </row>
    <row r="298" spans="1:18">
      <c r="C298" s="354"/>
      <c r="E298" s="373"/>
      <c r="F298" s="357"/>
      <c r="G298" s="357"/>
      <c r="H298" s="357"/>
      <c r="I298" s="357"/>
      <c r="J298" s="357"/>
      <c r="K298" s="357"/>
      <c r="L298" s="357"/>
      <c r="M298" s="357"/>
      <c r="N298" s="357"/>
      <c r="P298" s="389"/>
      <c r="Q298" s="389"/>
      <c r="R298" s="389"/>
    </row>
    <row r="299" spans="1:18">
      <c r="B299" s="1369" t="s">
        <v>218</v>
      </c>
      <c r="C299" s="405" t="s">
        <v>2084</v>
      </c>
      <c r="D299" s="405" t="s">
        <v>15</v>
      </c>
      <c r="E299" s="1369"/>
      <c r="F299" s="2753">
        <f>SUMIFS(INDEX($F$34:$I$48, , MATCH($E$7, $F$33:$I$33, 0)), $C$34:$C$48, $C$290, $E$34:$E$48, D299 )</f>
        <v>1</v>
      </c>
      <c r="G299" s="2753"/>
      <c r="H299" s="2753"/>
      <c r="I299" s="2753"/>
      <c r="J299" s="2753"/>
      <c r="K299" s="2753"/>
      <c r="L299" s="2753"/>
      <c r="M299" s="2753"/>
      <c r="N299" s="2753"/>
      <c r="P299" s="389"/>
      <c r="Q299" s="389"/>
      <c r="R299" s="389"/>
    </row>
    <row r="300" spans="1:18">
      <c r="B300" s="1369" t="s">
        <v>218</v>
      </c>
      <c r="C300" s="405" t="s">
        <v>2085</v>
      </c>
      <c r="D300" s="405"/>
      <c r="E300" s="1369"/>
      <c r="F300" s="2753">
        <f>INDEX($K$62:$K$64, MATCH($C301, $C$62:$C$64, 0))</f>
        <v>1</v>
      </c>
      <c r="G300" s="2753">
        <f>INDEX($K$62:$K$64, MATCH($C301, $C$62:$C$64, 0))</f>
        <v>1</v>
      </c>
      <c r="H300" s="2753">
        <f>INDEX($K$62:$K$64, MATCH($C301, $C$62:$C$64, 0))</f>
        <v>1</v>
      </c>
      <c r="I300" s="2753">
        <f t="shared" ref="I300:N300" si="31">INDEX($K$75:$K$77, MATCH($C301, $C$75:$C$77, 0))</f>
        <v>1</v>
      </c>
      <c r="J300" s="2753">
        <f t="shared" si="31"/>
        <v>1</v>
      </c>
      <c r="K300" s="2753">
        <f t="shared" si="31"/>
        <v>1</v>
      </c>
      <c r="L300" s="2753">
        <f t="shared" si="31"/>
        <v>1</v>
      </c>
      <c r="M300" s="2753">
        <f t="shared" si="31"/>
        <v>1</v>
      </c>
      <c r="N300" s="2753">
        <f t="shared" si="31"/>
        <v>1</v>
      </c>
      <c r="P300" s="389"/>
      <c r="Q300" s="389"/>
      <c r="R300" s="389"/>
    </row>
    <row r="301" spans="1:18">
      <c r="B301" s="1603" t="s">
        <v>220</v>
      </c>
      <c r="C301" s="2" t="s">
        <v>99</v>
      </c>
      <c r="D301" s="2" t="s">
        <v>89</v>
      </c>
      <c r="E301" s="358" t="str">
        <f>Preferences.EnergyUnits</f>
        <v>TWh</v>
      </c>
      <c r="F301" s="1323">
        <f ca="1">F$290*$F299*F300</f>
        <v>0.15107025941422586</v>
      </c>
      <c r="G301" s="1323">
        <f t="shared" ref="G301:N301" ca="1" si="32">G$290*$F299*G300</f>
        <v>0.15632142658010748</v>
      </c>
      <c r="H301" s="1323">
        <f t="shared" ca="1" si="32"/>
        <v>0.16199979469292949</v>
      </c>
      <c r="I301" s="1323">
        <f t="shared" ca="1" si="32"/>
        <v>0.15178856558780604</v>
      </c>
      <c r="J301" s="1323">
        <f t="shared" ca="1" si="32"/>
        <v>0.13763675658837954</v>
      </c>
      <c r="K301" s="1323">
        <f t="shared" ca="1" si="32"/>
        <v>0.12398271823418237</v>
      </c>
      <c r="L301" s="1323">
        <f t="shared" ca="1" si="32"/>
        <v>0.11082645052521456</v>
      </c>
      <c r="M301" s="1323">
        <f t="shared" ca="1" si="32"/>
        <v>9.816795346147611E-2</v>
      </c>
      <c r="N301" s="1323">
        <f t="shared" ca="1" si="32"/>
        <v>8.6007227042966941E-2</v>
      </c>
      <c r="P301" s="389"/>
      <c r="Q301" s="389"/>
      <c r="R301" s="389"/>
    </row>
    <row r="302" spans="1:18">
      <c r="C302" s="354"/>
      <c r="D302" s="372"/>
      <c r="E302" s="355"/>
      <c r="F302" s="357"/>
      <c r="G302" s="357"/>
      <c r="H302" s="357"/>
      <c r="I302" s="357"/>
      <c r="J302" s="357"/>
      <c r="K302" s="357"/>
      <c r="L302" s="357"/>
      <c r="M302" s="357"/>
      <c r="N302" s="357"/>
      <c r="P302" s="389"/>
      <c r="Q302" s="389"/>
      <c r="R302" s="389"/>
    </row>
    <row r="303" spans="1:18" ht="23.5">
      <c r="A303" s="7"/>
      <c r="B303" s="354">
        <v>5</v>
      </c>
      <c r="C303" s="354" t="s">
        <v>2089</v>
      </c>
      <c r="E303" s="2657"/>
      <c r="F303" s="365"/>
      <c r="G303" s="365"/>
      <c r="H303" s="365"/>
      <c r="I303" s="365"/>
      <c r="J303" s="365"/>
      <c r="K303" s="365"/>
      <c r="L303" s="365"/>
      <c r="M303" s="365"/>
      <c r="N303" s="365"/>
      <c r="P303" s="389"/>
      <c r="Q303" s="389"/>
      <c r="R303" s="389"/>
    </row>
    <row r="304" spans="1:18" collapsed="1">
      <c r="C304" s="982"/>
      <c r="E304" s="2657"/>
      <c r="F304" s="365"/>
      <c r="G304" s="365"/>
      <c r="H304" s="365"/>
      <c r="I304" s="365"/>
      <c r="J304" s="365"/>
      <c r="K304" s="365"/>
      <c r="L304" s="365"/>
      <c r="M304" s="365"/>
      <c r="N304" s="365"/>
      <c r="P304" s="389"/>
      <c r="Q304" s="389"/>
      <c r="R304" s="389"/>
    </row>
    <row r="305" spans="1:18">
      <c r="C305" s="354" t="s">
        <v>2090</v>
      </c>
      <c r="E305" s="2657"/>
      <c r="F305" s="365"/>
      <c r="G305" s="365"/>
      <c r="H305" s="365"/>
      <c r="I305" s="365"/>
      <c r="J305" s="365"/>
      <c r="K305" s="365"/>
      <c r="L305" s="365"/>
      <c r="M305" s="365"/>
      <c r="N305" s="365"/>
      <c r="P305" s="389"/>
      <c r="Q305" s="389"/>
      <c r="R305" s="389"/>
    </row>
    <row r="306" spans="1:18" ht="15" customHeight="1">
      <c r="B306" s="373" t="s">
        <v>97</v>
      </c>
      <c r="C306" s="2" t="s">
        <v>87</v>
      </c>
      <c r="E306" s="358" t="str">
        <f>Preferences.EnergyUnits</f>
        <v>TWh</v>
      </c>
      <c r="F306" s="365">
        <f t="shared" ref="F306:M306" ca="1" si="33">F238+F252+F266+F279+F293</f>
        <v>0.99519481815300015</v>
      </c>
      <c r="G306" s="365">
        <f t="shared" ca="1" si="33"/>
        <v>1.435815964378379</v>
      </c>
      <c r="H306" s="365">
        <f t="shared" ca="1" si="33"/>
        <v>1.8210288047733452</v>
      </c>
      <c r="I306" s="365">
        <f t="shared" ca="1" si="33"/>
        <v>2.30169899080897</v>
      </c>
      <c r="J306" s="365">
        <f t="shared" ca="1" si="33"/>
        <v>2.3500640448612282</v>
      </c>
      <c r="K306" s="365">
        <f t="shared" ca="1" si="33"/>
        <v>2.4111393239589378</v>
      </c>
      <c r="L306" s="365">
        <f t="shared" ca="1" si="33"/>
        <v>2.4747473841575749</v>
      </c>
      <c r="M306" s="365">
        <f t="shared" ca="1" si="33"/>
        <v>2.5408940930767048</v>
      </c>
      <c r="N306" s="365">
        <f ca="1">N238+N252+N266+N279+N293</f>
        <v>2.6102867681557558</v>
      </c>
      <c r="P306" s="389"/>
      <c r="Q306" s="389"/>
      <c r="R306" s="389"/>
    </row>
    <row r="307" spans="1:18" ht="12" customHeight="1">
      <c r="A307" s="434"/>
      <c r="B307" s="373" t="s">
        <v>98</v>
      </c>
      <c r="C307" s="2" t="s">
        <v>88</v>
      </c>
      <c r="E307" s="358" t="str">
        <f>Preferences.EnergyUnits</f>
        <v>TWh</v>
      </c>
      <c r="F307" s="365">
        <f t="shared" ref="F307:N307" ca="1" si="34">F242+F256+F270+F283+F295</f>
        <v>0.10723083333333333</v>
      </c>
      <c r="G307" s="365">
        <f t="shared" ca="1" si="34"/>
        <v>0.10886739853662886</v>
      </c>
      <c r="H307" s="365">
        <f t="shared" ca="1" si="34"/>
        <v>0.11314027102603014</v>
      </c>
      <c r="I307" s="365">
        <f t="shared" ca="1" si="34"/>
        <v>0.13269333413613754</v>
      </c>
      <c r="J307" s="365">
        <f t="shared" ca="1" si="34"/>
        <v>0.13778890093038501</v>
      </c>
      <c r="K307" s="365">
        <f t="shared" ca="1" si="34"/>
        <v>0.14320900218883223</v>
      </c>
      <c r="L307" s="365">
        <f t="shared" ca="1" si="34"/>
        <v>0.14897751054695804</v>
      </c>
      <c r="M307" s="365">
        <f t="shared" ca="1" si="34"/>
        <v>0.15512010271129639</v>
      </c>
      <c r="N307" s="365">
        <f t="shared" ca="1" si="34"/>
        <v>0.16166439641729724</v>
      </c>
      <c r="P307" s="389"/>
      <c r="Q307" s="389"/>
      <c r="R307" s="389"/>
    </row>
    <row r="308" spans="1:18" ht="15.5">
      <c r="A308" s="434"/>
      <c r="B308" s="373" t="s">
        <v>99</v>
      </c>
      <c r="C308" s="2" t="s">
        <v>89</v>
      </c>
      <c r="E308" s="358" t="str">
        <f>Preferences.EnergyUnits</f>
        <v>TWh</v>
      </c>
      <c r="F308" s="365">
        <f t="shared" ref="F308:N308" ca="1" si="35">F246+F260+F274+F287+F301</f>
        <v>0.17080321378922586</v>
      </c>
      <c r="G308" s="365">
        <f t="shared" ca="1" si="35"/>
        <v>0.19925972961025004</v>
      </c>
      <c r="H308" s="365">
        <f t="shared" ca="1" si="35"/>
        <v>0.27965141325063358</v>
      </c>
      <c r="I308" s="365">
        <f t="shared" ca="1" si="35"/>
        <v>0.43072395411839237</v>
      </c>
      <c r="J308" s="365">
        <f t="shared" ca="1" si="35"/>
        <v>0.44436488647061306</v>
      </c>
      <c r="K308" s="365">
        <f t="shared" ca="1" si="35"/>
        <v>0.58378237623376583</v>
      </c>
      <c r="L308" s="365">
        <f t="shared" ca="1" si="35"/>
        <v>0.73492217145589944</v>
      </c>
      <c r="M308" s="365">
        <f t="shared" ca="1" si="35"/>
        <v>0.89862325021820177</v>
      </c>
      <c r="N308" s="365">
        <f t="shared" ca="1" si="35"/>
        <v>0.93413070678266041</v>
      </c>
    </row>
    <row r="309" spans="1:18" ht="15.5">
      <c r="A309" s="434"/>
      <c r="C309" s="982"/>
      <c r="E309" s="2657"/>
      <c r="F309" s="365"/>
      <c r="G309" s="365"/>
      <c r="H309" s="365"/>
      <c r="I309" s="365"/>
      <c r="J309" s="365"/>
      <c r="K309" s="365"/>
      <c r="L309" s="365"/>
      <c r="M309" s="365"/>
      <c r="N309" s="365"/>
    </row>
    <row r="310" spans="1:18" ht="15.5">
      <c r="A310" s="434"/>
      <c r="C310" s="354" t="s">
        <v>2091</v>
      </c>
      <c r="E310" s="2657"/>
      <c r="F310" s="365"/>
      <c r="G310" s="365"/>
      <c r="H310" s="365"/>
      <c r="I310" s="365"/>
      <c r="J310" s="365"/>
      <c r="K310" s="365"/>
      <c r="L310" s="365"/>
      <c r="M310" s="365"/>
      <c r="N310" s="365"/>
    </row>
    <row r="311" spans="1:18" ht="15.5">
      <c r="A311" s="434"/>
      <c r="B311" s="373" t="s">
        <v>97</v>
      </c>
      <c r="C311" s="2" t="s">
        <v>87</v>
      </c>
      <c r="E311" s="358" t="str">
        <f>Preferences.EnergyUnits</f>
        <v>TWh</v>
      </c>
      <c r="F311" s="365">
        <f ca="1">MAX(MIN(F306, -F24),0)</f>
        <v>0.99519481815300015</v>
      </c>
      <c r="G311" s="365">
        <f t="shared" ref="G311:N313" ca="1" si="36">MAX(MIN(G306, -G24),0)</f>
        <v>1.435815964378379</v>
      </c>
      <c r="H311" s="365">
        <f t="shared" ca="1" si="36"/>
        <v>1.8210288047733452</v>
      </c>
      <c r="I311" s="365">
        <f t="shared" ca="1" si="36"/>
        <v>2.30169899080897</v>
      </c>
      <c r="J311" s="365">
        <f t="shared" ca="1" si="36"/>
        <v>2.3500640448612282</v>
      </c>
      <c r="K311" s="365">
        <f t="shared" ca="1" si="36"/>
        <v>2.4111393239589378</v>
      </c>
      <c r="L311" s="365">
        <f t="shared" ca="1" si="36"/>
        <v>2.4747473841575749</v>
      </c>
      <c r="M311" s="365">
        <f t="shared" ca="1" si="36"/>
        <v>2.5408940930767048</v>
      </c>
      <c r="N311" s="365">
        <f t="shared" ca="1" si="36"/>
        <v>2.6102867681557558</v>
      </c>
    </row>
    <row r="312" spans="1:18" ht="15.5">
      <c r="A312" s="434"/>
      <c r="B312" s="373" t="s">
        <v>98</v>
      </c>
      <c r="C312" s="2" t="s">
        <v>88</v>
      </c>
      <c r="E312" s="358" t="str">
        <f>Preferences.EnergyUnits</f>
        <v>TWh</v>
      </c>
      <c r="F312" s="365">
        <f ca="1">MAX(MIN(F307, -F25),0)</f>
        <v>0.10723083333333333</v>
      </c>
      <c r="G312" s="365">
        <f t="shared" ca="1" si="36"/>
        <v>0.10886739853662886</v>
      </c>
      <c r="H312" s="365">
        <f t="shared" ca="1" si="36"/>
        <v>0.11314027102603014</v>
      </c>
      <c r="I312" s="365">
        <f t="shared" ca="1" si="36"/>
        <v>0.13269333413613754</v>
      </c>
      <c r="J312" s="365">
        <f t="shared" ca="1" si="36"/>
        <v>0.13778890093038501</v>
      </c>
      <c r="K312" s="365">
        <f t="shared" ca="1" si="36"/>
        <v>0.14320900218883223</v>
      </c>
      <c r="L312" s="365">
        <f t="shared" ca="1" si="36"/>
        <v>0.14897751054695804</v>
      </c>
      <c r="M312" s="365">
        <f t="shared" ca="1" si="36"/>
        <v>0.15512010271129639</v>
      </c>
      <c r="N312" s="365">
        <f t="shared" ca="1" si="36"/>
        <v>0.16166439641729724</v>
      </c>
    </row>
    <row r="313" spans="1:18" ht="14.25" customHeight="1">
      <c r="A313" s="434"/>
      <c r="B313" s="373" t="s">
        <v>99</v>
      </c>
      <c r="C313" s="2" t="s">
        <v>89</v>
      </c>
      <c r="E313" s="358" t="str">
        <f>Preferences.EnergyUnits</f>
        <v>TWh</v>
      </c>
      <c r="F313" s="365">
        <f ca="1">MAX(MIN(F308, -F26),0)</f>
        <v>0.17080321378922586</v>
      </c>
      <c r="G313" s="365">
        <f t="shared" ca="1" si="36"/>
        <v>0.19925972961025004</v>
      </c>
      <c r="H313" s="365">
        <f t="shared" ca="1" si="36"/>
        <v>0.27965141325063358</v>
      </c>
      <c r="I313" s="365">
        <f t="shared" ca="1" si="36"/>
        <v>0.43072395411839237</v>
      </c>
      <c r="J313" s="365">
        <f t="shared" ca="1" si="36"/>
        <v>0.44436488647061306</v>
      </c>
      <c r="K313" s="365">
        <f t="shared" ca="1" si="36"/>
        <v>0.58378237623376583</v>
      </c>
      <c r="L313" s="365">
        <f t="shared" ca="1" si="36"/>
        <v>0.73492217145589944</v>
      </c>
      <c r="M313" s="365">
        <f t="shared" ca="1" si="36"/>
        <v>0.89862325021820177</v>
      </c>
      <c r="N313" s="365">
        <f t="shared" ca="1" si="36"/>
        <v>0.93413070678266041</v>
      </c>
    </row>
    <row r="314" spans="1:18" ht="15.5">
      <c r="A314" s="434"/>
      <c r="C314" s="982"/>
      <c r="F314" s="365"/>
      <c r="G314" s="365"/>
      <c r="H314" s="365"/>
      <c r="I314" s="365"/>
      <c r="J314" s="365"/>
      <c r="K314" s="365"/>
      <c r="L314" s="365"/>
      <c r="M314" s="365"/>
      <c r="N314" s="365"/>
    </row>
    <row r="315" spans="1:18" ht="15.5">
      <c r="A315" s="434"/>
      <c r="B315" s="3914" t="s">
        <v>28</v>
      </c>
      <c r="C315" s="3915" t="s">
        <v>2092</v>
      </c>
      <c r="D315" s="1180" t="s">
        <v>2093</v>
      </c>
      <c r="E315" s="3914" t="s">
        <v>1447</v>
      </c>
      <c r="F315" s="3915" t="s">
        <v>588</v>
      </c>
      <c r="G315" s="3915" t="s">
        <v>132</v>
      </c>
      <c r="H315" s="3915" t="s">
        <v>133</v>
      </c>
      <c r="I315" s="3915" t="s">
        <v>134</v>
      </c>
      <c r="J315" s="3915" t="s">
        <v>135</v>
      </c>
      <c r="K315" s="3915" t="s">
        <v>136</v>
      </c>
      <c r="L315" s="3915" t="s">
        <v>137</v>
      </c>
      <c r="M315" s="3915" t="s">
        <v>138</v>
      </c>
      <c r="N315" s="3915" t="s">
        <v>139</v>
      </c>
    </row>
    <row r="316" spans="1:18" ht="13.5" customHeight="1">
      <c r="A316" s="434"/>
      <c r="B316" s="3914" t="s">
        <v>97</v>
      </c>
      <c r="C316" s="3916" t="s">
        <v>87</v>
      </c>
      <c r="D316" s="1180"/>
      <c r="E316" s="3917" t="str">
        <f>Preferences.EnergyUnits</f>
        <v>TWh</v>
      </c>
      <c r="F316" s="3918">
        <f t="shared" ref="F316:N316" ca="1" si="37">F306-F311</f>
        <v>0</v>
      </c>
      <c r="G316" s="3918">
        <f t="shared" ca="1" si="37"/>
        <v>0</v>
      </c>
      <c r="H316" s="3918">
        <f t="shared" ca="1" si="37"/>
        <v>0</v>
      </c>
      <c r="I316" s="3918">
        <f t="shared" ca="1" si="37"/>
        <v>0</v>
      </c>
      <c r="J316" s="3918">
        <f t="shared" ca="1" si="37"/>
        <v>0</v>
      </c>
      <c r="K316" s="3918">
        <f t="shared" ca="1" si="37"/>
        <v>0</v>
      </c>
      <c r="L316" s="3918">
        <f t="shared" ca="1" si="37"/>
        <v>0</v>
      </c>
      <c r="M316" s="3918">
        <f t="shared" ca="1" si="37"/>
        <v>0</v>
      </c>
      <c r="N316" s="3918">
        <f t="shared" ca="1" si="37"/>
        <v>0</v>
      </c>
    </row>
    <row r="317" spans="1:18" s="39" customFormat="1" ht="15.5">
      <c r="A317" s="1620"/>
      <c r="B317" s="3914" t="s">
        <v>98</v>
      </c>
      <c r="C317" s="3916" t="s">
        <v>88</v>
      </c>
      <c r="D317" s="1180"/>
      <c r="E317" s="3917" t="str">
        <f>Preferences.EnergyUnits</f>
        <v>TWh</v>
      </c>
      <c r="F317" s="3918">
        <f ca="1">F307-F312</f>
        <v>0</v>
      </c>
      <c r="G317" s="3918">
        <f t="shared" ref="G317:N318" ca="1" si="38">G307-G312</f>
        <v>0</v>
      </c>
      <c r="H317" s="3918">
        <f t="shared" ca="1" si="38"/>
        <v>0</v>
      </c>
      <c r="I317" s="3918">
        <f t="shared" ca="1" si="38"/>
        <v>0</v>
      </c>
      <c r="J317" s="3918">
        <f t="shared" ca="1" si="38"/>
        <v>0</v>
      </c>
      <c r="K317" s="3918">
        <f t="shared" ca="1" si="38"/>
        <v>0</v>
      </c>
      <c r="L317" s="3918">
        <f t="shared" ca="1" si="38"/>
        <v>0</v>
      </c>
      <c r="M317" s="3918">
        <f t="shared" ca="1" si="38"/>
        <v>0</v>
      </c>
      <c r="N317" s="3918">
        <f t="shared" ca="1" si="38"/>
        <v>0</v>
      </c>
    </row>
    <row r="318" spans="1:18" ht="15.5">
      <c r="A318" s="434"/>
      <c r="B318" s="3914" t="s">
        <v>99</v>
      </c>
      <c r="C318" s="3916" t="s">
        <v>89</v>
      </c>
      <c r="D318" s="1180"/>
      <c r="E318" s="3917" t="str">
        <f>Preferences.EnergyUnits</f>
        <v>TWh</v>
      </c>
      <c r="F318" s="3918">
        <f ca="1">F308-F313</f>
        <v>0</v>
      </c>
      <c r="G318" s="3918">
        <f t="shared" ca="1" si="38"/>
        <v>0</v>
      </c>
      <c r="H318" s="3918">
        <f t="shared" ca="1" si="38"/>
        <v>0</v>
      </c>
      <c r="I318" s="3918">
        <f t="shared" ca="1" si="38"/>
        <v>0</v>
      </c>
      <c r="J318" s="3918">
        <f t="shared" ca="1" si="38"/>
        <v>0</v>
      </c>
      <c r="K318" s="3918">
        <f t="shared" ca="1" si="38"/>
        <v>0</v>
      </c>
      <c r="L318" s="3918">
        <f t="shared" ca="1" si="38"/>
        <v>0</v>
      </c>
      <c r="M318" s="3918">
        <f t="shared" ca="1" si="38"/>
        <v>0</v>
      </c>
      <c r="N318" s="3918">
        <f t="shared" ca="1" si="38"/>
        <v>0</v>
      </c>
    </row>
    <row r="319" spans="1:18">
      <c r="B319" s="373"/>
      <c r="C319" s="2"/>
      <c r="F319" s="365"/>
      <c r="G319" s="365"/>
      <c r="H319" s="365"/>
      <c r="I319" s="365"/>
      <c r="J319" s="365"/>
      <c r="K319" s="365"/>
      <c r="L319" s="365"/>
      <c r="M319" s="365"/>
      <c r="N319" s="365"/>
    </row>
    <row r="320" spans="1:18" ht="23.5">
      <c r="A320" s="7"/>
      <c r="B320" s="354">
        <v>6</v>
      </c>
      <c r="C320" s="354" t="s">
        <v>2094</v>
      </c>
      <c r="F320" s="357"/>
      <c r="G320" s="357"/>
      <c r="H320" s="357"/>
      <c r="I320" s="357"/>
      <c r="J320" s="357"/>
      <c r="K320" s="357"/>
      <c r="L320" s="357"/>
      <c r="M320" s="357"/>
      <c r="N320" s="357"/>
    </row>
    <row r="321" spans="2:15">
      <c r="B321" s="354"/>
      <c r="C321" s="354"/>
      <c r="F321" s="357"/>
      <c r="G321" s="357"/>
      <c r="H321" s="357"/>
      <c r="I321" s="357"/>
      <c r="J321" s="357"/>
      <c r="K321" s="357"/>
      <c r="L321" s="357"/>
      <c r="M321" s="357"/>
      <c r="N321" s="357"/>
    </row>
    <row r="322" spans="2:15">
      <c r="B322" s="358"/>
      <c r="C322" s="2654" t="s">
        <v>2095</v>
      </c>
      <c r="E322" s="2654" t="s">
        <v>251</v>
      </c>
      <c r="F322" s="2137">
        <f t="array" aca="1" ref="F322" ca="1">SUM(F$311:F$313*SUMIFS(EF[CO2], EF[Vector], $B$311:$B$313))</f>
        <v>0.39926317416316637</v>
      </c>
      <c r="G322" s="2137">
        <f t="array" aca="1" ref="G322" ca="1">SUM(G$311:G$313*SUMIFS(EF[CO2], EF[Vector], $B$311:$B$313))</f>
        <v>0.55428425193507447</v>
      </c>
      <c r="H322" s="2137">
        <f t="array" aca="1" ref="H322" ca="1">SUM(H$311:H$313*SUMIFS(EF[CO2], EF[Vector], $B$311:$B$313))</f>
        <v>0.70192614315742274</v>
      </c>
      <c r="I322" s="2137">
        <f t="array" aca="1" ref="I322" ca="1">SUM(I$311:I$313*SUMIFS(EF[CO2], EF[Vector], $B$311:$B$313))</f>
        <v>0.90029857912220868</v>
      </c>
      <c r="J322" s="2137">
        <f t="array" aca="1" ref="J322" ca="1">SUM(J$311:J$313*SUMIFS(EF[CO2], EF[Vector], $B$311:$B$313))</f>
        <v>0.9207649109533933</v>
      </c>
      <c r="K322" s="2137">
        <f t="array" aca="1" ref="K322" ca="1">SUM(K$311:K$313*SUMIFS(EF[CO2], EF[Vector], $B$311:$B$313))</f>
        <v>0.97135726538841116</v>
      </c>
      <c r="L322" s="2137">
        <f t="array" aca="1" ref="L322" ca="1">SUM(L$311:L$313*SUMIFS(EF[CO2], EF[Vector], $B$311:$B$313))</f>
        <v>1.0252964855631914</v>
      </c>
      <c r="M322" s="2137">
        <f t="array" aca="1" ref="M322" ca="1">SUM(M$311:M$313*SUMIFS(EF[CO2], EF[Vector], $B$311:$B$313))</f>
        <v>1.082763084686408</v>
      </c>
      <c r="N322" s="2137">
        <f t="array" aca="1" ref="N322" ca="1">SUM(N$311:N$313*SUMIFS(EF[CO2], EF[Vector], $B$311:$B$313))</f>
        <v>1.1151876435289807</v>
      </c>
    </row>
    <row r="323" spans="2:15">
      <c r="B323" s="358"/>
      <c r="F323" s="404" t="s">
        <v>5</v>
      </c>
      <c r="G323" s="404"/>
      <c r="H323" s="404" t="s">
        <v>5</v>
      </c>
      <c r="I323" s="404"/>
      <c r="J323" s="404"/>
      <c r="K323" s="404"/>
      <c r="L323" s="404"/>
      <c r="M323" s="404"/>
      <c r="N323" s="404"/>
    </row>
    <row r="324" spans="2:15">
      <c r="B324" s="354">
        <v>6</v>
      </c>
      <c r="C324" s="354" t="s">
        <v>2096</v>
      </c>
      <c r="F324" s="404"/>
      <c r="G324" s="404"/>
      <c r="H324" s="404"/>
      <c r="I324" s="404"/>
      <c r="J324" s="404"/>
      <c r="K324" s="404"/>
      <c r="L324" s="404"/>
      <c r="M324" s="404"/>
      <c r="N324" s="404"/>
    </row>
    <row r="325" spans="2:15">
      <c r="B325" s="354"/>
      <c r="C325" s="354"/>
      <c r="F325" s="404"/>
      <c r="G325" s="404"/>
      <c r="H325" s="404"/>
      <c r="I325" s="404"/>
      <c r="J325" s="404"/>
      <c r="K325" s="404"/>
      <c r="L325" s="404"/>
      <c r="M325" s="404"/>
      <c r="N325" s="404"/>
    </row>
    <row r="326" spans="2:15">
      <c r="B326" s="354" t="s">
        <v>2097</v>
      </c>
      <c r="C326" s="354" t="s">
        <v>58</v>
      </c>
      <c r="F326" s="404"/>
      <c r="G326" s="404"/>
      <c r="H326" s="404"/>
      <c r="I326" s="404"/>
      <c r="J326" s="404"/>
      <c r="K326" s="404"/>
      <c r="L326" s="404"/>
      <c r="M326" s="404"/>
      <c r="N326" s="404" t="s">
        <v>2098</v>
      </c>
    </row>
    <row r="327" spans="2:15">
      <c r="B327" s="354"/>
      <c r="C327" s="354" t="s">
        <v>2054</v>
      </c>
      <c r="D327" s="354"/>
      <c r="E327" s="354" t="s">
        <v>2055</v>
      </c>
      <c r="F327" s="355">
        <v>2013</v>
      </c>
      <c r="G327" s="355" t="s">
        <v>132</v>
      </c>
      <c r="H327" s="355" t="s">
        <v>133</v>
      </c>
      <c r="I327" s="355" t="s">
        <v>134</v>
      </c>
      <c r="J327" s="355" t="s">
        <v>135</v>
      </c>
      <c r="K327" s="355" t="s">
        <v>136</v>
      </c>
      <c r="L327" s="355" t="s">
        <v>137</v>
      </c>
      <c r="M327" s="355" t="s">
        <v>138</v>
      </c>
      <c r="N327" s="355" t="s">
        <v>139</v>
      </c>
      <c r="O327" s="355"/>
    </row>
    <row r="328" spans="2:15">
      <c r="B328" s="354"/>
      <c r="C328" s="2" t="s">
        <v>373</v>
      </c>
      <c r="E328" s="2" t="s">
        <v>16</v>
      </c>
      <c r="F328" s="415">
        <f ca="1">IFERROR(F$238/plantsize.V.a.Dry_bio_and_waste_to_solid,0)</f>
        <v>1.9903896363060003</v>
      </c>
      <c r="G328" s="415">
        <f t="shared" ref="G328:N328" ca="1" si="39">IFERROR(G$238/plantsize.V.a.Dry_bio_and_waste_to_solid,0)</f>
        <v>2.871631928756758</v>
      </c>
      <c r="H328" s="415">
        <f t="shared" ca="1" si="39"/>
        <v>3.6420576095466903</v>
      </c>
      <c r="I328" s="415">
        <f t="shared" ca="1" si="39"/>
        <v>4.60339798161794</v>
      </c>
      <c r="J328" s="415">
        <f t="shared" ca="1" si="39"/>
        <v>4.7001280897224564</v>
      </c>
      <c r="K328" s="415">
        <f t="shared" ca="1" si="39"/>
        <v>4.8222786479178756</v>
      </c>
      <c r="L328" s="415">
        <f t="shared" ca="1" si="39"/>
        <v>4.9494947683151498</v>
      </c>
      <c r="M328" s="415">
        <f t="shared" ca="1" si="39"/>
        <v>5.0817881861534095</v>
      </c>
      <c r="N328" s="415">
        <f t="shared" ca="1" si="39"/>
        <v>5.2205735363115116</v>
      </c>
      <c r="O328" s="415"/>
    </row>
    <row r="329" spans="2:15">
      <c r="B329" s="354"/>
      <c r="C329" s="2" t="s">
        <v>373</v>
      </c>
      <c r="E329" s="2" t="s">
        <v>1668</v>
      </c>
      <c r="F329" s="415">
        <f ca="1">IFERROR(F$242/plantsize.V.a.Dry_bio_and_waste_to_liquid,0)</f>
        <v>0</v>
      </c>
      <c r="G329" s="415">
        <f t="shared" ref="G329:N329" ca="1" si="40">IFERROR(G$242/plantsize.V.a.Dry_bio_and_waste_to_liquid,0)</f>
        <v>0</v>
      </c>
      <c r="H329" s="415">
        <f t="shared" ca="1" si="40"/>
        <v>0</v>
      </c>
      <c r="I329" s="415">
        <f t="shared" ca="1" si="40"/>
        <v>0</v>
      </c>
      <c r="J329" s="415">
        <f t="shared" ca="1" si="40"/>
        <v>0</v>
      </c>
      <c r="K329" s="415">
        <f t="shared" ca="1" si="40"/>
        <v>0</v>
      </c>
      <c r="L329" s="415">
        <f t="shared" ca="1" si="40"/>
        <v>0</v>
      </c>
      <c r="M329" s="415">
        <f t="shared" ca="1" si="40"/>
        <v>0</v>
      </c>
      <c r="N329" s="415">
        <f t="shared" ca="1" si="40"/>
        <v>0</v>
      </c>
      <c r="O329" s="415"/>
    </row>
    <row r="330" spans="2:15">
      <c r="B330" s="354"/>
      <c r="C330" s="2" t="s">
        <v>373</v>
      </c>
      <c r="E330" s="2" t="s">
        <v>15</v>
      </c>
      <c r="F330" s="415">
        <f ca="1">IFERROR(F$246/plantsize.V.a.Dry_bio_and_waste_to_gas,0)</f>
        <v>0</v>
      </c>
      <c r="G330" s="415">
        <f t="shared" ref="G330:N330" ca="1" si="41">IFERROR(G$246/plantsize.V.a.Dry_bio_and_waste_to_gas,0)</f>
        <v>0</v>
      </c>
      <c r="H330" s="415">
        <f t="shared" ca="1" si="41"/>
        <v>0</v>
      </c>
      <c r="I330" s="415">
        <f t="shared" ca="1" si="41"/>
        <v>0</v>
      </c>
      <c r="J330" s="415">
        <f t="shared" ca="1" si="41"/>
        <v>0</v>
      </c>
      <c r="K330" s="415">
        <f t="shared" ca="1" si="41"/>
        <v>0</v>
      </c>
      <c r="L330" s="415">
        <f t="shared" ca="1" si="41"/>
        <v>0</v>
      </c>
      <c r="M330" s="415">
        <f t="shared" ca="1" si="41"/>
        <v>0</v>
      </c>
      <c r="N330" s="415">
        <f t="shared" ca="1" si="41"/>
        <v>0</v>
      </c>
      <c r="O330" s="415"/>
    </row>
    <row r="331" spans="2:15">
      <c r="B331" s="354"/>
      <c r="C331" s="2" t="s">
        <v>374</v>
      </c>
      <c r="E331" s="2" t="s">
        <v>16</v>
      </c>
      <c r="F331" s="415">
        <f ca="1">IFERROR(F252/plantsize.V.a.Wet_bio_and_waste_to_solid,0)</f>
        <v>0</v>
      </c>
      <c r="G331" s="415">
        <f t="shared" ref="G331:N331" ca="1" si="42">IFERROR(G252/plantsize.V.a.Wet_bio_and_waste_to_solid,0)</f>
        <v>0</v>
      </c>
      <c r="H331" s="415">
        <f t="shared" ca="1" si="42"/>
        <v>0</v>
      </c>
      <c r="I331" s="415">
        <f t="shared" ca="1" si="42"/>
        <v>0</v>
      </c>
      <c r="J331" s="415">
        <f t="shared" ca="1" si="42"/>
        <v>0</v>
      </c>
      <c r="K331" s="415">
        <f t="shared" ca="1" si="42"/>
        <v>0</v>
      </c>
      <c r="L331" s="415">
        <f t="shared" ca="1" si="42"/>
        <v>0</v>
      </c>
      <c r="M331" s="415">
        <f t="shared" ca="1" si="42"/>
        <v>0</v>
      </c>
      <c r="N331" s="415">
        <f t="shared" ca="1" si="42"/>
        <v>0</v>
      </c>
      <c r="O331" s="415"/>
    </row>
    <row r="332" spans="2:15">
      <c r="B332" s="354"/>
      <c r="C332" s="2" t="s">
        <v>374</v>
      </c>
      <c r="E332" s="2" t="s">
        <v>1668</v>
      </c>
      <c r="F332" s="415">
        <f ca="1">IFERROR(F256/plantsize.V.a.Wet_bio_and_waste_to_liquid,0)</f>
        <v>0</v>
      </c>
      <c r="G332" s="415">
        <f t="shared" ref="G332:N332" ca="1" si="43">IFERROR(G256/plantsize.V.a.Wet_bio_and_waste_to_liquid,0)</f>
        <v>0</v>
      </c>
      <c r="H332" s="415">
        <f t="shared" ca="1" si="43"/>
        <v>0</v>
      </c>
      <c r="I332" s="415">
        <f t="shared" ca="1" si="43"/>
        <v>0</v>
      </c>
      <c r="J332" s="415">
        <f t="shared" ca="1" si="43"/>
        <v>0</v>
      </c>
      <c r="K332" s="415">
        <f t="shared" ca="1" si="43"/>
        <v>0</v>
      </c>
      <c r="L332" s="415">
        <f t="shared" ca="1" si="43"/>
        <v>0</v>
      </c>
      <c r="M332" s="415">
        <f t="shared" ca="1" si="43"/>
        <v>0</v>
      </c>
      <c r="N332" s="415">
        <f t="shared" ca="1" si="43"/>
        <v>0</v>
      </c>
      <c r="O332" s="415"/>
    </row>
    <row r="333" spans="2:15">
      <c r="B333" s="354"/>
      <c r="C333" s="2" t="s">
        <v>374</v>
      </c>
      <c r="E333" s="2" t="s">
        <v>15</v>
      </c>
      <c r="F333" s="415">
        <f ca="1">IFERROR(F260/plantsize.V.a.Wet_bio_and_waste_to_gas,0)</f>
        <v>3.9465908750000001E-2</v>
      </c>
      <c r="G333" s="415">
        <f t="shared" ref="G333:N333" ca="1" si="44">IFERROR(G260/plantsize.V.a.Wet_bio_and_waste_to_gas,0)</f>
        <v>8.5876606060285146E-2</v>
      </c>
      <c r="H333" s="415">
        <f t="shared" ca="1" si="44"/>
        <v>0.23530323711540824</v>
      </c>
      <c r="I333" s="415">
        <f t="shared" ca="1" si="44"/>
        <v>0.55787077706117272</v>
      </c>
      <c r="J333" s="415">
        <f t="shared" ca="1" si="44"/>
        <v>0.61345625976446705</v>
      </c>
      <c r="K333" s="415">
        <f t="shared" ca="1" si="44"/>
        <v>0.91959931599916689</v>
      </c>
      <c r="L333" s="415">
        <f t="shared" ca="1" si="44"/>
        <v>1.2481914418613698</v>
      </c>
      <c r="M333" s="415">
        <f t="shared" ca="1" si="44"/>
        <v>1.6009105935134513</v>
      </c>
      <c r="N333" s="415">
        <f t="shared" ca="1" si="44"/>
        <v>1.696246959479387</v>
      </c>
      <c r="O333" s="415"/>
    </row>
    <row r="334" spans="2:15">
      <c r="B334" s="354"/>
      <c r="C334" s="2" t="s">
        <v>371</v>
      </c>
      <c r="E334" s="2" t="s">
        <v>16</v>
      </c>
      <c r="F334" s="415">
        <f ca="1">IFERROR(F266/plantsize.V.a.Energy_crops_2nd_generation_to_solid,0)</f>
        <v>0</v>
      </c>
      <c r="G334" s="415">
        <f t="shared" ref="G334:N334" ca="1" si="45">IFERROR(G266/plantsize.V.a.Energy_crops_2nd_generation_to_solid,0)</f>
        <v>0</v>
      </c>
      <c r="H334" s="415">
        <f t="shared" ca="1" si="45"/>
        <v>0</v>
      </c>
      <c r="I334" s="415">
        <f t="shared" ca="1" si="45"/>
        <v>0</v>
      </c>
      <c r="J334" s="415">
        <f t="shared" ca="1" si="45"/>
        <v>0</v>
      </c>
      <c r="K334" s="415">
        <f t="shared" ca="1" si="45"/>
        <v>0</v>
      </c>
      <c r="L334" s="415">
        <f t="shared" ca="1" si="45"/>
        <v>0</v>
      </c>
      <c r="M334" s="415">
        <f t="shared" ca="1" si="45"/>
        <v>0</v>
      </c>
      <c r="N334" s="415">
        <f t="shared" ca="1" si="45"/>
        <v>0</v>
      </c>
      <c r="O334" s="415"/>
    </row>
    <row r="335" spans="2:15">
      <c r="B335" s="354"/>
      <c r="C335" s="2" t="s">
        <v>371</v>
      </c>
      <c r="E335" s="2" t="s">
        <v>1668</v>
      </c>
      <c r="F335" s="415">
        <f ca="1">IFERROR(F270/plantsize.V.a.Energy_crops_2nd_generation_to_liquid,0)</f>
        <v>0.12549166666666667</v>
      </c>
      <c r="G335" s="415">
        <f t="shared" ref="G335:N335" ca="1" si="46">IFERROR(G270/plantsize.V.a.Energy_crops_2nd_generation_to_liquid,0)</f>
        <v>0.12611990932291667</v>
      </c>
      <c r="H335" s="415">
        <f t="shared" ca="1" si="46"/>
        <v>0.12770431041466668</v>
      </c>
      <c r="I335" s="415">
        <f t="shared" ca="1" si="46"/>
        <v>0.15726723542392398</v>
      </c>
      <c r="J335" s="415">
        <f t="shared" ca="1" si="46"/>
        <v>0.15924292967267412</v>
      </c>
      <c r="K335" s="415">
        <f t="shared" ca="1" si="46"/>
        <v>0.16124344388951248</v>
      </c>
      <c r="L335" s="415">
        <f t="shared" ca="1" si="46"/>
        <v>0.16326908987917119</v>
      </c>
      <c r="M335" s="415">
        <f t="shared" ca="1" si="46"/>
        <v>0.16532018336347798</v>
      </c>
      <c r="N335" s="415">
        <f t="shared" ca="1" si="46"/>
        <v>0.16739704403056552</v>
      </c>
      <c r="O335" s="415"/>
    </row>
    <row r="336" spans="2:15">
      <c r="B336" s="354"/>
      <c r="C336" s="2" t="s">
        <v>371</v>
      </c>
      <c r="E336" s="2" t="s">
        <v>15</v>
      </c>
      <c r="F336" s="415">
        <f ca="1">IFERROR(F274/plantsize.V.a.Energy_crops_2nd_generation_to_gas,0)</f>
        <v>0</v>
      </c>
      <c r="G336" s="415">
        <f t="shared" ref="G336:N336" ca="1" si="47">IFERROR(G274/plantsize.V.a.Energy_crops_2nd_generation_to_gas,0)</f>
        <v>0</v>
      </c>
      <c r="H336" s="415">
        <f t="shared" ca="1" si="47"/>
        <v>0</v>
      </c>
      <c r="I336" s="415">
        <f t="shared" ca="1" si="47"/>
        <v>0</v>
      </c>
      <c r="J336" s="415">
        <f t="shared" ca="1" si="47"/>
        <v>0</v>
      </c>
      <c r="K336" s="415">
        <f t="shared" ca="1" si="47"/>
        <v>0</v>
      </c>
      <c r="L336" s="415">
        <f t="shared" ca="1" si="47"/>
        <v>0</v>
      </c>
      <c r="M336" s="415">
        <f t="shared" ca="1" si="47"/>
        <v>0</v>
      </c>
      <c r="N336" s="415">
        <f t="shared" ca="1" si="47"/>
        <v>0</v>
      </c>
      <c r="O336" s="415"/>
    </row>
    <row r="337" spans="2:17">
      <c r="B337" s="354"/>
      <c r="C337" s="2" t="s">
        <v>372</v>
      </c>
      <c r="E337" s="2" t="s">
        <v>16</v>
      </c>
      <c r="F337" s="415">
        <f ca="1">IFERROR(F279/plantsize.V.a.Energy_crops_1st_generation_to_solid,0)</f>
        <v>0</v>
      </c>
      <c r="G337" s="415">
        <f t="shared" ref="G337:N337" ca="1" si="48">IFERROR(G279/plantsize.V.a.Energy_crops_1st_generation_to_solid,0)</f>
        <v>0</v>
      </c>
      <c r="H337" s="415">
        <f t="shared" ca="1" si="48"/>
        <v>0</v>
      </c>
      <c r="I337" s="415">
        <f t="shared" ca="1" si="48"/>
        <v>0</v>
      </c>
      <c r="J337" s="415">
        <f t="shared" ca="1" si="48"/>
        <v>0</v>
      </c>
      <c r="K337" s="415">
        <f t="shared" ca="1" si="48"/>
        <v>0</v>
      </c>
      <c r="L337" s="415">
        <f t="shared" ca="1" si="48"/>
        <v>0</v>
      </c>
      <c r="M337" s="415">
        <f t="shared" ca="1" si="48"/>
        <v>0</v>
      </c>
      <c r="N337" s="415">
        <f t="shared" ca="1" si="48"/>
        <v>0</v>
      </c>
      <c r="O337" s="415"/>
    </row>
    <row r="338" spans="2:17">
      <c r="B338" s="354"/>
      <c r="C338" s="2" t="s">
        <v>372</v>
      </c>
      <c r="E338" s="2" t="s">
        <v>1668</v>
      </c>
      <c r="F338" s="415">
        <f ca="1">IFERROR(F283/plantsize.V.a.Energy_crops_1st_generation_to_liquid,0)</f>
        <v>8.8970000000000007E-2</v>
      </c>
      <c r="G338" s="415">
        <f t="shared" ref="G338:N338" ca="1" si="49">IFERROR(G283/plantsize.V.a.Energy_crops_1st_generation_to_liquid,0)</f>
        <v>9.1614887750341059E-2</v>
      </c>
      <c r="H338" s="415">
        <f t="shared" ca="1" si="49"/>
        <v>9.8576231637393597E-2</v>
      </c>
      <c r="I338" s="415">
        <f t="shared" ca="1" si="49"/>
        <v>0.10811943284835109</v>
      </c>
      <c r="J338" s="415">
        <f t="shared" ca="1" si="49"/>
        <v>0.11633487218809592</v>
      </c>
      <c r="K338" s="415">
        <f t="shared" ca="1" si="49"/>
        <v>0.12517456048815198</v>
      </c>
      <c r="L338" s="415">
        <f t="shared" ca="1" si="49"/>
        <v>0.1346859312147449</v>
      </c>
      <c r="M338" s="415">
        <f t="shared" ca="1" si="49"/>
        <v>0.14492002205911483</v>
      </c>
      <c r="N338" s="415">
        <f t="shared" ca="1" si="49"/>
        <v>0.15593174880402899</v>
      </c>
      <c r="O338" s="415"/>
    </row>
    <row r="339" spans="2:17">
      <c r="B339" s="354"/>
      <c r="C339" s="2" t="s">
        <v>372</v>
      </c>
      <c r="E339" s="2" t="s">
        <v>15</v>
      </c>
      <c r="F339" s="415">
        <f ca="1">IFERROR(F287/plantsize.V.a.Energy_crops_1st_generation_to_gas,0)</f>
        <v>0</v>
      </c>
      <c r="G339" s="415">
        <f t="shared" ref="G339:N339" ca="1" si="50">IFERROR(G287/plantsize.V.a.Energy_crops_1st_generation_to_gas,0)</f>
        <v>0</v>
      </c>
      <c r="H339" s="415">
        <f t="shared" ca="1" si="50"/>
        <v>0</v>
      </c>
      <c r="I339" s="415">
        <f t="shared" ca="1" si="50"/>
        <v>0</v>
      </c>
      <c r="J339" s="415">
        <f t="shared" ca="1" si="50"/>
        <v>0</v>
      </c>
      <c r="K339" s="415">
        <f t="shared" ca="1" si="50"/>
        <v>0</v>
      </c>
      <c r="L339" s="415">
        <f t="shared" ca="1" si="50"/>
        <v>0</v>
      </c>
      <c r="M339" s="415">
        <f t="shared" ca="1" si="50"/>
        <v>0</v>
      </c>
      <c r="N339" s="415">
        <f t="shared" ca="1" si="50"/>
        <v>0</v>
      </c>
      <c r="O339" s="415"/>
    </row>
    <row r="340" spans="2:17">
      <c r="B340" s="358"/>
      <c r="C340" s="2" t="s">
        <v>375</v>
      </c>
      <c r="E340" s="2" t="s">
        <v>16</v>
      </c>
      <c r="F340" s="415">
        <f ca="1">IFERROR(F293/plantsize.V.a.Gaseous_waste_to_solid,0)</f>
        <v>0</v>
      </c>
      <c r="G340" s="415">
        <f t="shared" ref="G340:N340" ca="1" si="51">IFERROR(G293/plantsize.V.a.Gaseous_waste_to_solid,0)</f>
        <v>0</v>
      </c>
      <c r="H340" s="415">
        <f t="shared" ca="1" si="51"/>
        <v>0</v>
      </c>
      <c r="I340" s="415">
        <f t="shared" ca="1" si="51"/>
        <v>0</v>
      </c>
      <c r="J340" s="415">
        <f t="shared" ca="1" si="51"/>
        <v>0</v>
      </c>
      <c r="K340" s="415">
        <f t="shared" ca="1" si="51"/>
        <v>0</v>
      </c>
      <c r="L340" s="415">
        <f t="shared" ca="1" si="51"/>
        <v>0</v>
      </c>
      <c r="M340" s="415">
        <f t="shared" ca="1" si="51"/>
        <v>0</v>
      </c>
      <c r="N340" s="415">
        <f t="shared" ca="1" si="51"/>
        <v>0</v>
      </c>
      <c r="O340" s="415"/>
    </row>
    <row r="341" spans="2:17">
      <c r="B341" s="358"/>
      <c r="C341" s="2" t="s">
        <v>375</v>
      </c>
      <c r="E341" s="2" t="s">
        <v>1668</v>
      </c>
      <c r="F341" s="415">
        <f ca="1">IFERROR(F297/plantsize.V.a.Gaseous_waste_to_liquid,0)</f>
        <v>0</v>
      </c>
      <c r="G341" s="415">
        <f t="shared" ref="G341:N341" ca="1" si="52">IFERROR(G297/plantsize.V.a.Gaseous_waste_to_liquid,0)</f>
        <v>0</v>
      </c>
      <c r="H341" s="415">
        <f t="shared" ca="1" si="52"/>
        <v>0</v>
      </c>
      <c r="I341" s="415">
        <f t="shared" ca="1" si="52"/>
        <v>0</v>
      </c>
      <c r="J341" s="415">
        <f t="shared" ca="1" si="52"/>
        <v>0</v>
      </c>
      <c r="K341" s="415">
        <f t="shared" ca="1" si="52"/>
        <v>0</v>
      </c>
      <c r="L341" s="415">
        <f t="shared" ca="1" si="52"/>
        <v>0</v>
      </c>
      <c r="M341" s="415">
        <f t="shared" ca="1" si="52"/>
        <v>0</v>
      </c>
      <c r="N341" s="415">
        <f t="shared" ca="1" si="52"/>
        <v>0</v>
      </c>
      <c r="O341" s="415"/>
    </row>
    <row r="342" spans="2:17">
      <c r="B342" s="358"/>
      <c r="C342" s="2" t="s">
        <v>375</v>
      </c>
      <c r="E342" s="2" t="s">
        <v>15</v>
      </c>
      <c r="F342" s="415">
        <f ca="1">IFERROR(F301/plantsize.V.a.Gaseous_waste_to_gas,0)</f>
        <v>0.30214051882845172</v>
      </c>
      <c r="G342" s="415">
        <f t="shared" ref="G342:N342" ca="1" si="53">IFERROR(G301/plantsize.V.a.Gaseous_waste_to_gas,0)</f>
        <v>0.31264285316021495</v>
      </c>
      <c r="H342" s="415">
        <f t="shared" ca="1" si="53"/>
        <v>0.32399958938585899</v>
      </c>
      <c r="I342" s="415">
        <f t="shared" ca="1" si="53"/>
        <v>0.30357713117561208</v>
      </c>
      <c r="J342" s="415">
        <f t="shared" ca="1" si="53"/>
        <v>0.27527351317675908</v>
      </c>
      <c r="K342" s="415">
        <f t="shared" ca="1" si="53"/>
        <v>0.24796543646836475</v>
      </c>
      <c r="L342" s="415">
        <f t="shared" ca="1" si="53"/>
        <v>0.22165290105042912</v>
      </c>
      <c r="M342" s="415">
        <f t="shared" ca="1" si="53"/>
        <v>0.19633590692295222</v>
      </c>
      <c r="N342" s="415">
        <f t="shared" ca="1" si="53"/>
        <v>0.17201445408593388</v>
      </c>
      <c r="O342" s="415"/>
    </row>
    <row r="343" spans="2:17">
      <c r="B343" s="354"/>
      <c r="C343" s="354"/>
      <c r="F343" s="404"/>
      <c r="G343" s="404"/>
      <c r="H343" s="404"/>
      <c r="I343" s="404"/>
      <c r="J343" s="404"/>
      <c r="K343" s="404"/>
      <c r="L343" s="404"/>
      <c r="M343" s="404"/>
      <c r="N343" s="404"/>
      <c r="O343" s="404"/>
    </row>
    <row r="344" spans="2:17">
      <c r="B344" s="354" t="s">
        <v>2099</v>
      </c>
      <c r="C344" s="354" t="s">
        <v>2100</v>
      </c>
      <c r="F344" s="404"/>
      <c r="G344" s="404"/>
      <c r="H344" s="404"/>
      <c r="I344" s="404"/>
      <c r="J344" s="404"/>
      <c r="K344" s="404"/>
      <c r="L344" s="404"/>
      <c r="M344" s="404"/>
      <c r="N344" s="404" t="s">
        <v>2098</v>
      </c>
      <c r="O344" s="404"/>
    </row>
    <row r="345" spans="2:17">
      <c r="B345" s="354"/>
      <c r="C345" s="354" t="s">
        <v>2054</v>
      </c>
      <c r="D345" s="354"/>
      <c r="E345" s="354" t="s">
        <v>2055</v>
      </c>
      <c r="F345" s="355">
        <v>2013</v>
      </c>
      <c r="G345" s="355" t="s">
        <v>132</v>
      </c>
      <c r="H345" s="355" t="s">
        <v>133</v>
      </c>
      <c r="I345" s="355" t="s">
        <v>134</v>
      </c>
      <c r="J345" s="355" t="s">
        <v>135</v>
      </c>
      <c r="K345" s="355" t="s">
        <v>136</v>
      </c>
      <c r="L345" s="355" t="s">
        <v>137</v>
      </c>
      <c r="M345" s="355" t="s">
        <v>138</v>
      </c>
      <c r="N345" s="355" t="s">
        <v>139</v>
      </c>
      <c r="O345" s="355"/>
    </row>
    <row r="346" spans="2:17">
      <c r="B346" s="354"/>
      <c r="C346" s="2" t="s">
        <v>373</v>
      </c>
      <c r="E346" s="2" t="s">
        <v>16</v>
      </c>
      <c r="F346" s="2415">
        <f t="shared" ref="F346:N346" ca="1" si="54">MAX((G328-F328)/(G$345-F$345),0)+(F328*$J$126)</f>
        <v>0.50696746743557886</v>
      </c>
      <c r="G346" s="415">
        <f t="shared" ca="1" si="54"/>
        <v>0.24980620044987839</v>
      </c>
      <c r="H346" s="415">
        <f t="shared" ca="1" si="54"/>
        <v>0.31366999473247292</v>
      </c>
      <c r="I346" s="415">
        <f t="shared" ca="1" si="54"/>
        <v>0.17279262100816795</v>
      </c>
      <c r="J346" s="415">
        <f t="shared" ca="1" si="54"/>
        <v>0.18110104796316573</v>
      </c>
      <c r="K346" s="415">
        <f t="shared" ca="1" si="54"/>
        <v>0.18618584567671734</v>
      </c>
      <c r="L346" s="415">
        <f t="shared" ca="1" si="54"/>
        <v>0.1914418425114903</v>
      </c>
      <c r="M346" s="415">
        <f t="shared" ca="1" si="54"/>
        <v>0.19715000957006737</v>
      </c>
      <c r="N346" s="415">
        <f t="shared" ca="1" si="54"/>
        <v>0.17656573911427551</v>
      </c>
      <c r="O346" s="415"/>
      <c r="Q346" s="714"/>
    </row>
    <row r="347" spans="2:17">
      <c r="B347" s="354"/>
      <c r="C347" s="2" t="s">
        <v>373</v>
      </c>
      <c r="E347" s="2" t="s">
        <v>1668</v>
      </c>
      <c r="F347" s="2415">
        <f t="shared" ref="F347:F360" ca="1" si="55">MAX((G329-F329)/(G$345-F$345),0)+(F329*$J$126)</f>
        <v>0</v>
      </c>
      <c r="G347" s="415">
        <f t="shared" ref="G347:N360" ca="1" si="56">MAX((H329-G329)/(H$345-G$345),0)+(G329*$J$126)</f>
        <v>0</v>
      </c>
      <c r="H347" s="415">
        <f t="shared" ca="1" si="56"/>
        <v>0</v>
      </c>
      <c r="I347" s="415">
        <f t="shared" ca="1" si="56"/>
        <v>0</v>
      </c>
      <c r="J347" s="415">
        <f t="shared" ca="1" si="56"/>
        <v>0</v>
      </c>
      <c r="K347" s="415">
        <f t="shared" ca="1" si="56"/>
        <v>0</v>
      </c>
      <c r="L347" s="415">
        <f t="shared" ca="1" si="56"/>
        <v>0</v>
      </c>
      <c r="M347" s="415">
        <f t="shared" ca="1" si="56"/>
        <v>0</v>
      </c>
      <c r="N347" s="415">
        <f t="shared" ca="1" si="56"/>
        <v>0</v>
      </c>
      <c r="O347" s="415"/>
      <c r="Q347" s="714"/>
    </row>
    <row r="348" spans="2:17">
      <c r="B348" s="354"/>
      <c r="C348" s="2" t="s">
        <v>373</v>
      </c>
      <c r="E348" s="2" t="s">
        <v>15</v>
      </c>
      <c r="F348" s="2415">
        <f t="shared" ca="1" si="55"/>
        <v>0</v>
      </c>
      <c r="G348" s="415">
        <f t="shared" ca="1" si="56"/>
        <v>0</v>
      </c>
      <c r="H348" s="415">
        <f t="shared" ca="1" si="56"/>
        <v>0</v>
      </c>
      <c r="I348" s="415">
        <f t="shared" ca="1" si="56"/>
        <v>0</v>
      </c>
      <c r="J348" s="415">
        <f t="shared" ca="1" si="56"/>
        <v>0</v>
      </c>
      <c r="K348" s="415">
        <f t="shared" ca="1" si="56"/>
        <v>0</v>
      </c>
      <c r="L348" s="415">
        <f t="shared" ca="1" si="56"/>
        <v>0</v>
      </c>
      <c r="M348" s="415">
        <f t="shared" ca="1" si="56"/>
        <v>0</v>
      </c>
      <c r="N348" s="415">
        <f t="shared" ca="1" si="56"/>
        <v>0</v>
      </c>
      <c r="O348" s="415"/>
      <c r="Q348" s="714"/>
    </row>
    <row r="349" spans="2:17">
      <c r="B349" s="354"/>
      <c r="C349" s="2" t="s">
        <v>374</v>
      </c>
      <c r="E349" s="2" t="s">
        <v>16</v>
      </c>
      <c r="F349" s="2415">
        <f t="shared" ca="1" si="55"/>
        <v>0</v>
      </c>
      <c r="G349" s="415">
        <f t="shared" ca="1" si="56"/>
        <v>0</v>
      </c>
      <c r="H349" s="415">
        <f t="shared" ca="1" si="56"/>
        <v>0</v>
      </c>
      <c r="I349" s="415">
        <f t="shared" ca="1" si="56"/>
        <v>0</v>
      </c>
      <c r="J349" s="415">
        <f t="shared" ca="1" si="56"/>
        <v>0</v>
      </c>
      <c r="K349" s="415">
        <f t="shared" ca="1" si="56"/>
        <v>0</v>
      </c>
      <c r="L349" s="415">
        <f t="shared" ca="1" si="56"/>
        <v>0</v>
      </c>
      <c r="M349" s="415">
        <f t="shared" ca="1" si="56"/>
        <v>0</v>
      </c>
      <c r="N349" s="415">
        <f t="shared" ca="1" si="56"/>
        <v>0</v>
      </c>
      <c r="O349" s="415"/>
      <c r="Q349" s="714"/>
    </row>
    <row r="350" spans="2:17">
      <c r="B350" s="354"/>
      <c r="C350" s="2" t="s">
        <v>374</v>
      </c>
      <c r="E350" s="2" t="s">
        <v>1668</v>
      </c>
      <c r="F350" s="2415">
        <f t="shared" ca="1" si="55"/>
        <v>0</v>
      </c>
      <c r="G350" s="415">
        <f t="shared" ca="1" si="56"/>
        <v>0</v>
      </c>
      <c r="H350" s="415">
        <f t="shared" ca="1" si="56"/>
        <v>0</v>
      </c>
      <c r="I350" s="415">
        <f t="shared" ca="1" si="56"/>
        <v>0</v>
      </c>
      <c r="J350" s="415">
        <f t="shared" ca="1" si="56"/>
        <v>0</v>
      </c>
      <c r="K350" s="415">
        <f t="shared" ca="1" si="56"/>
        <v>0</v>
      </c>
      <c r="L350" s="415">
        <f t="shared" ca="1" si="56"/>
        <v>0</v>
      </c>
      <c r="M350" s="415">
        <f t="shared" ca="1" si="56"/>
        <v>0</v>
      </c>
      <c r="N350" s="415">
        <f t="shared" ca="1" si="56"/>
        <v>0</v>
      </c>
      <c r="O350" s="415"/>
      <c r="Q350" s="714"/>
    </row>
    <row r="351" spans="2:17">
      <c r="B351" s="354"/>
      <c r="C351" s="2" t="s">
        <v>374</v>
      </c>
      <c r="E351" s="2" t="s">
        <v>15</v>
      </c>
      <c r="F351" s="2415">
        <f t="shared" ca="1" si="55"/>
        <v>2.4520878946809238E-2</v>
      </c>
      <c r="G351" s="415">
        <f t="shared" ca="1" si="56"/>
        <v>3.2747879746367461E-2</v>
      </c>
      <c r="H351" s="415">
        <f t="shared" ca="1" si="56"/>
        <v>7.2356949226333178E-2</v>
      </c>
      <c r="I351" s="415">
        <f t="shared" ca="1" si="56"/>
        <v>2.9712789109364625E-2</v>
      </c>
      <c r="J351" s="415">
        <f t="shared" ca="1" si="56"/>
        <v>8.1677153239088876E-2</v>
      </c>
      <c r="K351" s="415">
        <f t="shared" ca="1" si="56"/>
        <v>9.6371735705746142E-2</v>
      </c>
      <c r="L351" s="415">
        <f t="shared" ca="1" si="56"/>
        <v>0.1121502117257953</v>
      </c>
      <c r="M351" s="415">
        <f t="shared" ca="1" si="56"/>
        <v>7.2430959643635495E-2</v>
      </c>
      <c r="N351" s="415">
        <f t="shared" ca="1" si="56"/>
        <v>5.7369002857189023E-2</v>
      </c>
      <c r="O351" s="415"/>
      <c r="Q351" s="714"/>
    </row>
    <row r="352" spans="2:17">
      <c r="B352" s="354"/>
      <c r="C352" s="2" t="s">
        <v>371</v>
      </c>
      <c r="E352" s="2" t="s">
        <v>16</v>
      </c>
      <c r="F352" s="2415">
        <f t="shared" ca="1" si="55"/>
        <v>0</v>
      </c>
      <c r="G352" s="415">
        <f t="shared" ca="1" si="56"/>
        <v>0</v>
      </c>
      <c r="H352" s="415">
        <f t="shared" ca="1" si="56"/>
        <v>0</v>
      </c>
      <c r="I352" s="415">
        <f t="shared" ca="1" si="56"/>
        <v>0</v>
      </c>
      <c r="J352" s="415">
        <f t="shared" ca="1" si="56"/>
        <v>0</v>
      </c>
      <c r="K352" s="415">
        <f t="shared" ca="1" si="56"/>
        <v>0</v>
      </c>
      <c r="L352" s="415">
        <f t="shared" ca="1" si="56"/>
        <v>0</v>
      </c>
      <c r="M352" s="415">
        <f t="shared" ca="1" si="56"/>
        <v>0</v>
      </c>
      <c r="N352" s="415">
        <f t="shared" ca="1" si="56"/>
        <v>0</v>
      </c>
      <c r="O352" s="415"/>
      <c r="Q352" s="714"/>
    </row>
    <row r="353" spans="2:17">
      <c r="B353" s="354"/>
      <c r="C353" s="2" t="s">
        <v>371</v>
      </c>
      <c r="E353" s="2" t="s">
        <v>1668</v>
      </c>
      <c r="F353" s="2415">
        <f t="shared" ca="1" si="55"/>
        <v>4.4971768836805552E-3</v>
      </c>
      <c r="G353" s="415">
        <f t="shared" ca="1" si="56"/>
        <v>4.5208771957805571E-3</v>
      </c>
      <c r="H353" s="415">
        <f t="shared" ca="1" si="56"/>
        <v>1.0169395349007017E-2</v>
      </c>
      <c r="I353" s="415">
        <f t="shared" ca="1" si="56"/>
        <v>5.6373800305474925E-3</v>
      </c>
      <c r="J353" s="415">
        <f t="shared" ca="1" si="56"/>
        <v>5.7082004991234761E-3</v>
      </c>
      <c r="K353" s="415">
        <f t="shared" ca="1" si="56"/>
        <v>5.7799106609154908E-3</v>
      </c>
      <c r="L353" s="415">
        <f t="shared" ca="1" si="56"/>
        <v>5.8525216928337316E-3</v>
      </c>
      <c r="M353" s="415">
        <f t="shared" ca="1" si="56"/>
        <v>5.9260449122001072E-3</v>
      </c>
      <c r="N353" s="415">
        <f t="shared" ca="1" si="56"/>
        <v>5.6615585623345736E-3</v>
      </c>
      <c r="O353" s="415"/>
      <c r="Q353" s="714"/>
    </row>
    <row r="354" spans="2:17">
      <c r="B354" s="354"/>
      <c r="C354" s="2" t="s">
        <v>371</v>
      </c>
      <c r="E354" s="2" t="s">
        <v>15</v>
      </c>
      <c r="F354" s="2415">
        <f t="shared" ca="1" si="55"/>
        <v>0</v>
      </c>
      <c r="G354" s="415">
        <f t="shared" ca="1" si="56"/>
        <v>0</v>
      </c>
      <c r="H354" s="415">
        <f t="shared" ca="1" si="56"/>
        <v>0</v>
      </c>
      <c r="I354" s="415">
        <f t="shared" ca="1" si="56"/>
        <v>0</v>
      </c>
      <c r="J354" s="415">
        <f t="shared" ca="1" si="56"/>
        <v>0</v>
      </c>
      <c r="K354" s="415">
        <f t="shared" ca="1" si="56"/>
        <v>0</v>
      </c>
      <c r="L354" s="415">
        <f t="shared" ca="1" si="56"/>
        <v>0</v>
      </c>
      <c r="M354" s="415">
        <f t="shared" ca="1" si="56"/>
        <v>0</v>
      </c>
      <c r="N354" s="415">
        <f t="shared" ca="1" si="56"/>
        <v>0</v>
      </c>
      <c r="O354" s="415"/>
      <c r="Q354" s="714"/>
    </row>
    <row r="355" spans="2:17">
      <c r="B355" s="354"/>
      <c r="C355" s="2" t="s">
        <v>372</v>
      </c>
      <c r="E355" s="2" t="s">
        <v>16</v>
      </c>
      <c r="F355" s="2415">
        <f t="shared" ca="1" si="55"/>
        <v>0</v>
      </c>
      <c r="G355" s="415">
        <f t="shared" ca="1" si="56"/>
        <v>0</v>
      </c>
      <c r="H355" s="415">
        <f t="shared" ca="1" si="56"/>
        <v>0</v>
      </c>
      <c r="I355" s="415">
        <f t="shared" ca="1" si="56"/>
        <v>0</v>
      </c>
      <c r="J355" s="415">
        <f t="shared" ca="1" si="56"/>
        <v>0</v>
      </c>
      <c r="K355" s="415">
        <f t="shared" ca="1" si="56"/>
        <v>0</v>
      </c>
      <c r="L355" s="415">
        <f t="shared" ca="1" si="56"/>
        <v>0</v>
      </c>
      <c r="M355" s="415">
        <f t="shared" ca="1" si="56"/>
        <v>0</v>
      </c>
      <c r="N355" s="415">
        <f t="shared" ca="1" si="56"/>
        <v>0</v>
      </c>
      <c r="O355" s="415"/>
      <c r="Q355" s="714"/>
    </row>
    <row r="356" spans="2:17">
      <c r="B356" s="354"/>
      <c r="C356" s="2" t="s">
        <v>372</v>
      </c>
      <c r="E356" s="2" t="s">
        <v>1668</v>
      </c>
      <c r="F356" s="2415">
        <f t="shared" ca="1" si="55"/>
        <v>4.2881105418371927E-3</v>
      </c>
      <c r="G356" s="415">
        <f t="shared" ca="1" si="56"/>
        <v>4.4460983690885426E-3</v>
      </c>
      <c r="H356" s="415">
        <f t="shared" ca="1" si="56"/>
        <v>5.1945146301046177E-3</v>
      </c>
      <c r="I356" s="415">
        <f t="shared" ca="1" si="56"/>
        <v>5.2470689628940029E-3</v>
      </c>
      <c r="J356" s="415">
        <f t="shared" ca="1" si="56"/>
        <v>5.6457667329477433E-3</v>
      </c>
      <c r="K356" s="415">
        <f t="shared" ca="1" si="56"/>
        <v>6.0747594949236497E-3</v>
      </c>
      <c r="L356" s="415">
        <f t="shared" ca="1" si="56"/>
        <v>6.5363492093654836E-3</v>
      </c>
      <c r="M356" s="415">
        <f t="shared" ca="1" si="56"/>
        <v>7.0330127509533255E-3</v>
      </c>
      <c r="N356" s="415">
        <f t="shared" ca="1" si="56"/>
        <v>5.2737892278435818E-3</v>
      </c>
      <c r="O356" s="415"/>
      <c r="Q356" s="714"/>
    </row>
    <row r="357" spans="2:17">
      <c r="B357" s="354"/>
      <c r="C357" s="2" t="s">
        <v>372</v>
      </c>
      <c r="E357" s="2" t="s">
        <v>15</v>
      </c>
      <c r="F357" s="2415">
        <f t="shared" ca="1" si="55"/>
        <v>0</v>
      </c>
      <c r="G357" s="415">
        <f t="shared" ca="1" si="56"/>
        <v>0</v>
      </c>
      <c r="H357" s="415">
        <f t="shared" ca="1" si="56"/>
        <v>0</v>
      </c>
      <c r="I357" s="415">
        <f t="shared" ca="1" si="56"/>
        <v>0</v>
      </c>
      <c r="J357" s="415">
        <f t="shared" ca="1" si="56"/>
        <v>0</v>
      </c>
      <c r="K357" s="415">
        <f t="shared" ca="1" si="56"/>
        <v>0</v>
      </c>
      <c r="L357" s="415">
        <f t="shared" ca="1" si="56"/>
        <v>0</v>
      </c>
      <c r="M357" s="415">
        <f t="shared" ca="1" si="56"/>
        <v>0</v>
      </c>
      <c r="N357" s="415">
        <f t="shared" ca="1" si="56"/>
        <v>0</v>
      </c>
      <c r="O357" s="415"/>
      <c r="Q357" s="714"/>
    </row>
    <row r="358" spans="2:17">
      <c r="B358" s="358"/>
      <c r="C358" s="2" t="s">
        <v>375</v>
      </c>
      <c r="E358" s="2" t="s">
        <v>16</v>
      </c>
      <c r="F358" s="2415">
        <f t="shared" ca="1" si="55"/>
        <v>0</v>
      </c>
      <c r="G358" s="415">
        <f t="shared" ca="1" si="56"/>
        <v>0</v>
      </c>
      <c r="H358" s="415">
        <f t="shared" ca="1" si="56"/>
        <v>0</v>
      </c>
      <c r="I358" s="415">
        <f t="shared" ca="1" si="56"/>
        <v>0</v>
      </c>
      <c r="J358" s="415">
        <f t="shared" ca="1" si="56"/>
        <v>0</v>
      </c>
      <c r="K358" s="415">
        <f t="shared" ca="1" si="56"/>
        <v>0</v>
      </c>
      <c r="L358" s="415">
        <f t="shared" ca="1" si="56"/>
        <v>0</v>
      </c>
      <c r="M358" s="415">
        <f t="shared" ca="1" si="56"/>
        <v>0</v>
      </c>
      <c r="N358" s="415">
        <f t="shared" ca="1" si="56"/>
        <v>0</v>
      </c>
      <c r="O358" s="415"/>
    </row>
    <row r="359" spans="2:17">
      <c r="B359" s="358"/>
      <c r="C359" s="2" t="s">
        <v>375</v>
      </c>
      <c r="E359" s="2" t="s">
        <v>1668</v>
      </c>
      <c r="F359" s="2415">
        <f t="shared" ca="1" si="55"/>
        <v>0</v>
      </c>
      <c r="G359" s="415">
        <f t="shared" ca="1" si="56"/>
        <v>0</v>
      </c>
      <c r="H359" s="415">
        <f t="shared" ca="1" si="56"/>
        <v>0</v>
      </c>
      <c r="I359" s="415">
        <f t="shared" ca="1" si="56"/>
        <v>0</v>
      </c>
      <c r="J359" s="415">
        <f t="shared" ca="1" si="56"/>
        <v>0</v>
      </c>
      <c r="K359" s="415">
        <f t="shared" ca="1" si="56"/>
        <v>0</v>
      </c>
      <c r="L359" s="415">
        <f t="shared" ca="1" si="56"/>
        <v>0</v>
      </c>
      <c r="M359" s="415">
        <f t="shared" ca="1" si="56"/>
        <v>0</v>
      </c>
      <c r="N359" s="415">
        <f t="shared" ca="1" si="56"/>
        <v>0</v>
      </c>
      <c r="O359" s="415"/>
    </row>
    <row r="360" spans="2:17">
      <c r="B360" s="358"/>
      <c r="C360" s="2" t="s">
        <v>375</v>
      </c>
      <c r="E360" s="2" t="s">
        <v>15</v>
      </c>
      <c r="F360" s="2415">
        <f t="shared" ca="1" si="55"/>
        <v>1.5322517793496672E-2</v>
      </c>
      <c r="G360" s="415">
        <f t="shared" ca="1" si="56"/>
        <v>1.2692775683802639E-2</v>
      </c>
      <c r="H360" s="415">
        <f t="shared" ca="1" si="56"/>
        <v>1.0799986312861967E-2</v>
      </c>
      <c r="I360" s="415">
        <f t="shared" ca="1" si="56"/>
        <v>1.0119237705853736E-2</v>
      </c>
      <c r="J360" s="415">
        <f t="shared" ca="1" si="56"/>
        <v>9.175783772558635E-3</v>
      </c>
      <c r="K360" s="415">
        <f t="shared" ca="1" si="56"/>
        <v>8.2655145489454913E-3</v>
      </c>
      <c r="L360" s="415">
        <f t="shared" ca="1" si="56"/>
        <v>7.3884300350143036E-3</v>
      </c>
      <c r="M360" s="415">
        <f t="shared" ca="1" si="56"/>
        <v>6.5445302307650735E-3</v>
      </c>
      <c r="N360" s="415">
        <f t="shared" ca="1" si="56"/>
        <v>5.8177246259958123E-3</v>
      </c>
      <c r="O360" s="415"/>
    </row>
    <row r="361" spans="2:17">
      <c r="B361" s="358"/>
      <c r="F361" s="404"/>
      <c r="G361" s="404"/>
      <c r="H361" s="404"/>
      <c r="I361" s="404"/>
      <c r="J361" s="404"/>
      <c r="K361" s="404"/>
      <c r="L361" s="404"/>
      <c r="M361" s="404"/>
      <c r="N361" s="404"/>
      <c r="O361" s="404"/>
    </row>
    <row r="362" spans="2:17">
      <c r="B362" s="3578" t="s">
        <v>2723</v>
      </c>
      <c r="F362" s="984"/>
      <c r="G362" s="984"/>
      <c r="H362" s="984"/>
      <c r="I362" s="984"/>
      <c r="J362" s="984"/>
      <c r="K362" s="984"/>
      <c r="L362" s="984"/>
      <c r="M362" s="984"/>
      <c r="N362" s="984"/>
      <c r="O362" s="984"/>
    </row>
    <row r="363" spans="2:17" hidden="1">
      <c r="C363" s="2654" t="s">
        <v>168</v>
      </c>
      <c r="E363" s="3578" t="s">
        <v>2736</v>
      </c>
      <c r="F363" s="984"/>
      <c r="G363" s="984"/>
      <c r="H363" s="984"/>
      <c r="I363" s="984"/>
      <c r="J363" s="984"/>
      <c r="K363" s="984"/>
      <c r="L363" s="984"/>
      <c r="M363" s="984"/>
      <c r="N363" s="984"/>
      <c r="O363" s="984"/>
    </row>
    <row r="364" spans="2:17" hidden="1">
      <c r="C364" s="2654" t="s">
        <v>172</v>
      </c>
      <c r="E364" s="3578" t="s">
        <v>2736</v>
      </c>
      <c r="F364" s="984"/>
      <c r="G364" s="984"/>
      <c r="H364" s="984"/>
      <c r="I364" s="984"/>
      <c r="J364" s="984"/>
      <c r="K364" s="984"/>
      <c r="L364" s="984"/>
      <c r="M364" s="984"/>
      <c r="N364" s="984"/>
      <c r="O364" s="984"/>
    </row>
    <row r="365" spans="2:17" hidden="1">
      <c r="C365" s="2654" t="s">
        <v>291</v>
      </c>
      <c r="E365" s="3578" t="s">
        <v>2736</v>
      </c>
      <c r="F365" s="984"/>
      <c r="G365" s="984"/>
      <c r="H365" s="984"/>
      <c r="I365" s="984"/>
      <c r="J365" s="984"/>
      <c r="K365" s="984"/>
      <c r="L365" s="984"/>
      <c r="M365" s="984"/>
      <c r="N365" s="984"/>
      <c r="O365" s="984"/>
    </row>
    <row r="366" spans="2:17" hidden="1">
      <c r="C366" s="354"/>
      <c r="F366" s="357"/>
      <c r="G366" s="357"/>
      <c r="H366" s="357"/>
      <c r="I366" s="357"/>
      <c r="J366" s="357"/>
      <c r="K366" s="357"/>
      <c r="L366" s="357"/>
      <c r="M366" s="357"/>
      <c r="N366" s="357"/>
      <c r="O366" s="357"/>
    </row>
    <row r="367" spans="2:17" hidden="1">
      <c r="B367" s="2654" t="s">
        <v>292</v>
      </c>
      <c r="F367" s="984"/>
      <c r="G367" s="984"/>
      <c r="H367" s="984"/>
      <c r="I367" s="984"/>
      <c r="J367" s="984"/>
      <c r="K367" s="984"/>
      <c r="L367" s="984"/>
      <c r="M367" s="984"/>
      <c r="N367" s="984"/>
      <c r="O367" s="984"/>
    </row>
    <row r="368" spans="2:17" hidden="1">
      <c r="C368" s="2654" t="s">
        <v>168</v>
      </c>
      <c r="E368" s="3578" t="s">
        <v>2736</v>
      </c>
      <c r="F368" s="984"/>
      <c r="G368" s="984"/>
      <c r="H368" s="984"/>
      <c r="I368" s="984"/>
      <c r="J368" s="984"/>
      <c r="K368" s="984"/>
      <c r="L368" s="984"/>
      <c r="M368" s="984"/>
      <c r="N368" s="984"/>
      <c r="O368" s="984"/>
    </row>
    <row r="369" spans="2:17" hidden="1">
      <c r="C369" s="2654" t="s">
        <v>172</v>
      </c>
      <c r="E369" s="3578" t="s">
        <v>2736</v>
      </c>
      <c r="F369" s="984"/>
      <c r="G369" s="984"/>
      <c r="H369" s="984"/>
      <c r="I369" s="984"/>
      <c r="J369" s="984"/>
      <c r="K369" s="984"/>
      <c r="L369" s="984"/>
      <c r="M369" s="984"/>
      <c r="N369" s="984"/>
      <c r="O369" s="984"/>
    </row>
    <row r="370" spans="2:17" hidden="1">
      <c r="C370" s="2654" t="s">
        <v>291</v>
      </c>
      <c r="E370" s="3578" t="s">
        <v>2736</v>
      </c>
      <c r="F370" s="984"/>
      <c r="G370" s="984"/>
      <c r="H370" s="984"/>
      <c r="I370" s="984"/>
      <c r="J370" s="984"/>
      <c r="K370" s="984"/>
      <c r="L370" s="984"/>
      <c r="M370" s="984"/>
      <c r="N370" s="984"/>
      <c r="O370" s="984"/>
    </row>
    <row r="371" spans="2:17" hidden="1">
      <c r="F371" s="984"/>
      <c r="G371" s="984"/>
      <c r="H371" s="984"/>
      <c r="I371" s="984"/>
      <c r="J371" s="984"/>
      <c r="K371" s="984"/>
      <c r="L371" s="984"/>
      <c r="M371" s="984"/>
      <c r="N371" s="984"/>
      <c r="O371" s="984"/>
    </row>
    <row r="372" spans="2:17" hidden="1">
      <c r="B372" s="2654" t="s">
        <v>290</v>
      </c>
      <c r="F372" s="984"/>
      <c r="G372" s="984"/>
      <c r="H372" s="984"/>
      <c r="I372" s="984"/>
      <c r="J372" s="984"/>
      <c r="K372" s="984"/>
      <c r="L372" s="984"/>
      <c r="M372" s="984"/>
      <c r="N372" s="984"/>
      <c r="O372" s="984"/>
    </row>
    <row r="373" spans="2:17" hidden="1">
      <c r="C373" s="2654" t="s">
        <v>168</v>
      </c>
      <c r="E373" s="3578" t="s">
        <v>2736</v>
      </c>
      <c r="F373" s="984"/>
      <c r="G373" s="984"/>
      <c r="H373" s="984"/>
      <c r="I373" s="984"/>
      <c r="J373" s="984"/>
      <c r="K373" s="984"/>
      <c r="L373" s="984"/>
      <c r="M373" s="984"/>
      <c r="N373" s="984"/>
      <c r="O373" s="984"/>
    </row>
    <row r="374" spans="2:17" hidden="1">
      <c r="C374" s="2654" t="s">
        <v>172</v>
      </c>
      <c r="E374" s="3578" t="s">
        <v>2736</v>
      </c>
      <c r="F374" s="984"/>
      <c r="G374" s="984"/>
      <c r="H374" s="984"/>
      <c r="I374" s="984"/>
      <c r="J374" s="984"/>
      <c r="K374" s="984"/>
      <c r="L374" s="984"/>
      <c r="M374" s="984"/>
      <c r="N374" s="984"/>
      <c r="O374" s="984"/>
    </row>
    <row r="375" spans="2:17" hidden="1">
      <c r="C375" s="2654" t="s">
        <v>291</v>
      </c>
      <c r="E375" s="3578" t="s">
        <v>2736</v>
      </c>
      <c r="F375" s="984"/>
      <c r="G375" s="984"/>
      <c r="H375" s="984"/>
      <c r="I375" s="984"/>
      <c r="J375" s="984"/>
      <c r="K375" s="984"/>
      <c r="L375" s="984"/>
      <c r="M375" s="984"/>
      <c r="N375" s="984"/>
      <c r="O375" s="984"/>
    </row>
    <row r="378" spans="2:17" ht="15">
      <c r="B378" s="502" t="s">
        <v>296</v>
      </c>
      <c r="C378" s="503"/>
      <c r="D378" s="503"/>
      <c r="E378" s="503"/>
      <c r="F378" s="503"/>
      <c r="G378" s="503"/>
      <c r="H378" s="503"/>
      <c r="I378" s="503"/>
      <c r="J378" s="503"/>
      <c r="K378" s="503"/>
      <c r="L378" s="503"/>
      <c r="M378" s="503"/>
      <c r="N378" s="503"/>
      <c r="O378" s="857"/>
      <c r="Q378" s="714"/>
    </row>
    <row r="379" spans="2:17">
      <c r="B379" s="505"/>
      <c r="C379" s="506"/>
      <c r="D379" s="506"/>
      <c r="E379" s="506"/>
      <c r="F379" s="506"/>
      <c r="G379" s="506"/>
      <c r="H379" s="506"/>
      <c r="I379" s="506"/>
      <c r="J379" s="506"/>
      <c r="K379" s="506"/>
      <c r="L379" s="506"/>
      <c r="M379" s="506"/>
      <c r="N379" s="506"/>
      <c r="O379" s="858"/>
      <c r="Q379" s="714"/>
    </row>
    <row r="380" spans="2:17">
      <c r="B380" s="505"/>
      <c r="C380" s="34" t="s">
        <v>746</v>
      </c>
      <c r="D380" s="506"/>
      <c r="E380" s="507" t="str">
        <f>Preferences.EnergyUnits</f>
        <v>TWh</v>
      </c>
      <c r="F380" s="506"/>
      <c r="G380" s="506"/>
      <c r="H380" s="506"/>
      <c r="I380" s="506"/>
      <c r="J380" s="506"/>
      <c r="K380" s="506"/>
      <c r="L380" s="506"/>
      <c r="M380" s="506"/>
      <c r="N380" s="506"/>
      <c r="O380" s="858"/>
      <c r="Q380" s="714"/>
    </row>
    <row r="381" spans="2:17">
      <c r="B381" s="505"/>
      <c r="C381" s="506"/>
      <c r="D381" s="506"/>
      <c r="E381" s="506"/>
      <c r="F381" s="506"/>
      <c r="G381" s="506"/>
      <c r="H381" s="506"/>
      <c r="I381" s="506"/>
      <c r="J381" s="506"/>
      <c r="K381" s="506"/>
      <c r="L381" s="506"/>
      <c r="M381" s="506"/>
      <c r="N381" s="506"/>
      <c r="O381" s="858"/>
    </row>
    <row r="382" spans="2:17" ht="15.5">
      <c r="B382" s="15"/>
      <c r="C382" s="864" t="s">
        <v>28</v>
      </c>
      <c r="D382" s="864" t="s">
        <v>29</v>
      </c>
      <c r="E382" s="864" t="s">
        <v>30</v>
      </c>
      <c r="F382" s="864" t="s">
        <v>588</v>
      </c>
      <c r="G382" s="864" t="s">
        <v>132</v>
      </c>
      <c r="H382" s="864" t="s">
        <v>133</v>
      </c>
      <c r="I382" s="864" t="s">
        <v>134</v>
      </c>
      <c r="J382" s="864" t="s">
        <v>135</v>
      </c>
      <c r="K382" s="864" t="s">
        <v>136</v>
      </c>
      <c r="L382" s="864" t="s">
        <v>137</v>
      </c>
      <c r="M382" s="864" t="s">
        <v>138</v>
      </c>
      <c r="N382" s="864" t="s">
        <v>139</v>
      </c>
      <c r="O382" s="858"/>
    </row>
    <row r="383" spans="2:17" ht="15.5">
      <c r="B383" s="15"/>
      <c r="C383" s="17" t="s">
        <v>97</v>
      </c>
      <c r="D383" s="2457" t="str">
        <f>INDEX(Vectors[Description], MATCH(V.a.Outputs[Vector], Vectors[Code], 0))</f>
        <v>Solid hydrocarbons</v>
      </c>
      <c r="E383" s="17"/>
      <c r="F383" s="22">
        <f ca="1">F306</f>
        <v>0.99519481815300015</v>
      </c>
      <c r="G383" s="22">
        <f t="shared" ref="G383:N383" ca="1" si="57">G306</f>
        <v>1.435815964378379</v>
      </c>
      <c r="H383" s="22">
        <f t="shared" ca="1" si="57"/>
        <v>1.8210288047733452</v>
      </c>
      <c r="I383" s="22">
        <f t="shared" ca="1" si="57"/>
        <v>2.30169899080897</v>
      </c>
      <c r="J383" s="22">
        <f t="shared" ca="1" si="57"/>
        <v>2.3500640448612282</v>
      </c>
      <c r="K383" s="22">
        <f t="shared" ca="1" si="57"/>
        <v>2.4111393239589378</v>
      </c>
      <c r="L383" s="22">
        <f t="shared" ca="1" si="57"/>
        <v>2.4747473841575749</v>
      </c>
      <c r="M383" s="22">
        <f t="shared" ca="1" si="57"/>
        <v>2.5408940930767048</v>
      </c>
      <c r="N383" s="22">
        <f t="shared" ca="1" si="57"/>
        <v>2.6102867681557558</v>
      </c>
      <c r="O383" s="858"/>
    </row>
    <row r="384" spans="2:17" ht="15.5">
      <c r="B384" s="15"/>
      <c r="C384" s="17" t="s">
        <v>98</v>
      </c>
      <c r="D384" s="2457" t="str">
        <f>INDEX(Vectors[Description], MATCH(V.a.Outputs[Vector], Vectors[Code], 0))</f>
        <v>Liquid hydrocarbons</v>
      </c>
      <c r="E384" s="17"/>
      <c r="F384" s="22">
        <f t="shared" ref="F384:N385" ca="1" si="58">F307</f>
        <v>0.10723083333333333</v>
      </c>
      <c r="G384" s="22">
        <f t="shared" ca="1" si="58"/>
        <v>0.10886739853662886</v>
      </c>
      <c r="H384" s="22">
        <f t="shared" ca="1" si="58"/>
        <v>0.11314027102603014</v>
      </c>
      <c r="I384" s="22">
        <f t="shared" ca="1" si="58"/>
        <v>0.13269333413613754</v>
      </c>
      <c r="J384" s="22">
        <f t="shared" ca="1" si="58"/>
        <v>0.13778890093038501</v>
      </c>
      <c r="K384" s="22">
        <f t="shared" ca="1" si="58"/>
        <v>0.14320900218883223</v>
      </c>
      <c r="L384" s="22">
        <f t="shared" ca="1" si="58"/>
        <v>0.14897751054695804</v>
      </c>
      <c r="M384" s="22">
        <f t="shared" ca="1" si="58"/>
        <v>0.15512010271129639</v>
      </c>
      <c r="N384" s="22">
        <f t="shared" ca="1" si="58"/>
        <v>0.16166439641729724</v>
      </c>
      <c r="O384" s="858"/>
    </row>
    <row r="385" spans="2:17" ht="15.5">
      <c r="B385" s="15"/>
      <c r="C385" s="17" t="s">
        <v>99</v>
      </c>
      <c r="D385" s="2457" t="str">
        <f>INDEX(Vectors[Description], MATCH(V.a.Outputs[Vector], Vectors[Code], 0))</f>
        <v>Gaseous hydrocarbons</v>
      </c>
      <c r="E385" s="17"/>
      <c r="F385" s="22">
        <f t="shared" ca="1" si="58"/>
        <v>0.17080321378922586</v>
      </c>
      <c r="G385" s="22">
        <f t="shared" ca="1" si="58"/>
        <v>0.19925972961025004</v>
      </c>
      <c r="H385" s="22">
        <f t="shared" ca="1" si="58"/>
        <v>0.27965141325063358</v>
      </c>
      <c r="I385" s="22">
        <f t="shared" ca="1" si="58"/>
        <v>0.43072395411839237</v>
      </c>
      <c r="J385" s="22">
        <f t="shared" ca="1" si="58"/>
        <v>0.44436488647061306</v>
      </c>
      <c r="K385" s="22">
        <f t="shared" ca="1" si="58"/>
        <v>0.58378237623376583</v>
      </c>
      <c r="L385" s="22">
        <f t="shared" ca="1" si="58"/>
        <v>0.73492217145589944</v>
      </c>
      <c r="M385" s="22">
        <f t="shared" ca="1" si="58"/>
        <v>0.89862325021820177</v>
      </c>
      <c r="N385" s="22">
        <f t="shared" ca="1" si="58"/>
        <v>0.93413070678266041</v>
      </c>
      <c r="O385" s="858"/>
    </row>
    <row r="386" spans="2:17" ht="15.5">
      <c r="B386" s="15"/>
      <c r="C386" s="17" t="s">
        <v>423</v>
      </c>
      <c r="D386" s="2457" t="str">
        <f>INDEX(Vectors[Description], MATCH(V.a.Outputs[Vector], Vectors[Code], 0))</f>
        <v>Dry biomass and waste</v>
      </c>
      <c r="E386" s="17"/>
      <c r="F386" s="22">
        <f t="shared" ref="F386:N386" ca="1" si="59">-F$15</f>
        <v>-1.1057720201700001</v>
      </c>
      <c r="G386" s="22">
        <f t="shared" ca="1" si="59"/>
        <v>-1.5953510715315322</v>
      </c>
      <c r="H386" s="22">
        <f t="shared" ca="1" si="59"/>
        <v>-2.02336533863705</v>
      </c>
      <c r="I386" s="22">
        <f t="shared" ca="1" si="59"/>
        <v>-2.4228410429568106</v>
      </c>
      <c r="J386" s="22">
        <f t="shared" ca="1" si="59"/>
        <v>-2.4737516261697139</v>
      </c>
      <c r="K386" s="22">
        <f t="shared" ca="1" si="59"/>
        <v>-2.5380413936409871</v>
      </c>
      <c r="L386" s="22">
        <f t="shared" ca="1" si="59"/>
        <v>-2.6049972464816578</v>
      </c>
      <c r="M386" s="22">
        <f t="shared" ca="1" si="59"/>
        <v>-2.6746253611333737</v>
      </c>
      <c r="N386" s="22">
        <f t="shared" ca="1" si="59"/>
        <v>-2.7476702822692167</v>
      </c>
      <c r="O386" s="858"/>
    </row>
    <row r="387" spans="2:17" ht="15.5">
      <c r="B387" s="15"/>
      <c r="C387" s="17" t="s">
        <v>424</v>
      </c>
      <c r="D387" s="2457" t="str">
        <f>INDEX(Vectors[Description], MATCH(V.a.Outputs[Vector], Vectors[Code], 0))</f>
        <v>Wet biomass and waste</v>
      </c>
      <c r="E387" s="17"/>
      <c r="F387" s="22">
        <f ca="1">-F$16</f>
        <v>-2.6310605833333334E-2</v>
      </c>
      <c r="G387" s="22">
        <f t="shared" ref="G387:N387" ca="1" si="60">-G$16</f>
        <v>-5.7251070706856762E-2</v>
      </c>
      <c r="H387" s="22">
        <f t="shared" ca="1" si="60"/>
        <v>-0.1568688247436055</v>
      </c>
      <c r="I387" s="22">
        <f t="shared" ca="1" si="60"/>
        <v>-0.32815928062421929</v>
      </c>
      <c r="J387" s="22">
        <f t="shared" ca="1" si="60"/>
        <v>-0.360856623390863</v>
      </c>
      <c r="K387" s="22">
        <f t="shared" ca="1" si="60"/>
        <v>-0.54094077411715702</v>
      </c>
      <c r="L387" s="22">
        <f t="shared" ca="1" si="60"/>
        <v>-0.73423025991845281</v>
      </c>
      <c r="M387" s="22">
        <f t="shared" ca="1" si="60"/>
        <v>-0.94171211383144193</v>
      </c>
      <c r="N387" s="22">
        <f t="shared" ca="1" si="60"/>
        <v>-0.99779232910552174</v>
      </c>
      <c r="O387" s="858"/>
    </row>
    <row r="388" spans="2:17" ht="15.5">
      <c r="B388" s="15"/>
      <c r="C388" s="17" t="s">
        <v>425</v>
      </c>
      <c r="D388" s="2457" t="str">
        <f>INDEX(Vectors[Description], MATCH(V.a.Outputs[Vector], Vectors[Code], 0))</f>
        <v>Gaseous waste</v>
      </c>
      <c r="E388" s="17"/>
      <c r="F388" s="22">
        <f ca="1">-F17</f>
        <v>-0.15107025941422586</v>
      </c>
      <c r="G388" s="22">
        <f t="shared" ref="G388:N388" ca="1" si="61">-G17</f>
        <v>-0.15632142658010748</v>
      </c>
      <c r="H388" s="22">
        <f t="shared" ca="1" si="61"/>
        <v>-0.16199979469292949</v>
      </c>
      <c r="I388" s="22">
        <f t="shared" ca="1" si="61"/>
        <v>-0.15178856558780604</v>
      </c>
      <c r="J388" s="22">
        <f t="shared" ca="1" si="61"/>
        <v>-0.13763675658837954</v>
      </c>
      <c r="K388" s="22">
        <f t="shared" ca="1" si="61"/>
        <v>-0.12398271823418237</v>
      </c>
      <c r="L388" s="22">
        <f t="shared" ca="1" si="61"/>
        <v>-0.11082645052521456</v>
      </c>
      <c r="M388" s="22">
        <f t="shared" ca="1" si="61"/>
        <v>-9.816795346147611E-2</v>
      </c>
      <c r="N388" s="22">
        <f t="shared" ca="1" si="61"/>
        <v>-8.6007227042966941E-2</v>
      </c>
      <c r="O388" s="858"/>
    </row>
    <row r="389" spans="2:17" ht="15.5">
      <c r="B389" s="15"/>
      <c r="C389" s="17" t="s">
        <v>421</v>
      </c>
      <c r="D389" s="2457" t="str">
        <f>INDEX(Vectors[Description], MATCH(V.a.Outputs[Vector], Vectors[Code], 0))</f>
        <v>Energy crops (second generation)</v>
      </c>
      <c r="E389" s="17"/>
      <c r="F389" s="22">
        <f t="shared" ref="F389:N389" ca="1" si="62">-F$18</f>
        <v>-0.16958333333333334</v>
      </c>
      <c r="G389" s="22">
        <f t="shared" ca="1" si="62"/>
        <v>-0.17043230989583333</v>
      </c>
      <c r="H389" s="22">
        <f t="shared" ca="1" si="62"/>
        <v>-0.17257339245225228</v>
      </c>
      <c r="I389" s="22">
        <f t="shared" ca="1" si="62"/>
        <v>-0.17474137269324885</v>
      </c>
      <c r="J389" s="22">
        <f t="shared" ca="1" si="62"/>
        <v>-0.17693658852519345</v>
      </c>
      <c r="K389" s="22">
        <f t="shared" ca="1" si="62"/>
        <v>-0.17915938209945831</v>
      </c>
      <c r="L389" s="22">
        <f t="shared" ca="1" si="62"/>
        <v>-0.18141009986574574</v>
      </c>
      <c r="M389" s="22">
        <f t="shared" ca="1" si="62"/>
        <v>-0.18368909262608663</v>
      </c>
      <c r="N389" s="22">
        <f t="shared" ca="1" si="62"/>
        <v>-0.18599671558951725</v>
      </c>
      <c r="O389" s="858"/>
    </row>
    <row r="390" spans="2:17" ht="15.5">
      <c r="B390" s="15"/>
      <c r="C390" s="17" t="s">
        <v>422</v>
      </c>
      <c r="D390" s="2457" t="str">
        <f>INDEX(Vectors[Description], MATCH(V.a.Outputs[Vector], Vectors[Code], 0))</f>
        <v>Energy crops (first generation)</v>
      </c>
      <c r="E390" s="17"/>
      <c r="F390" s="22">
        <f t="shared" ref="F390:N390" ca="1" si="63">-F$19</f>
        <v>-0.14350000000000002</v>
      </c>
      <c r="G390" s="22">
        <f t="shared" ca="1" si="63"/>
        <v>-0.14776594798442105</v>
      </c>
      <c r="H390" s="22">
        <f t="shared" ca="1" si="63"/>
        <v>-0.15899392199579612</v>
      </c>
      <c r="I390" s="22">
        <f t="shared" ca="1" si="63"/>
        <v>-0.17107505197523906</v>
      </c>
      <c r="J390" s="22">
        <f t="shared" ca="1" si="63"/>
        <v>-0.18407416485458214</v>
      </c>
      <c r="K390" s="22">
        <f t="shared" ca="1" si="63"/>
        <v>-0.19806101343062021</v>
      </c>
      <c r="L390" s="22">
        <f t="shared" ca="1" si="63"/>
        <v>-0.21311065065624191</v>
      </c>
      <c r="M390" s="22">
        <f t="shared" ca="1" si="63"/>
        <v>-0.22930383237201715</v>
      </c>
      <c r="N390" s="22">
        <f t="shared" ca="1" si="63"/>
        <v>-0.24672745063928636</v>
      </c>
      <c r="O390" s="858"/>
    </row>
    <row r="391" spans="2:17" ht="15.5">
      <c r="B391" s="15"/>
      <c r="C391" s="17" t="s">
        <v>103</v>
      </c>
      <c r="D391" s="2457" t="str">
        <f>INDEX(Vectors[Description], MATCH(V.a.Outputs[Vector], Vectors[Code], 0))</f>
        <v>Conversion losses</v>
      </c>
      <c r="E391" s="17"/>
      <c r="F391" s="2491">
        <f ca="1">SUM(V.a.Inputs[2013])-SUM(F$306:F$308)</f>
        <v>0.32300735347533327</v>
      </c>
      <c r="G391" s="2491">
        <f ca="1">SUM(V.a.Inputs[2015])-SUM(G$306:G$308)</f>
        <v>0.38317873417349269</v>
      </c>
      <c r="H391" s="2491">
        <f ca="1">SUM(V.a.Inputs[2020])-SUM(H$306:H$308)</f>
        <v>0.45998078347162519</v>
      </c>
      <c r="I391" s="2491">
        <f ca="1">SUM(V.a.Inputs[2025])-SUM(I$306:I$308)</f>
        <v>0.38348903477382379</v>
      </c>
      <c r="J391" s="2491">
        <f ca="1">SUM(V.a.Inputs[2030])-SUM(J$306:J$308)</f>
        <v>0.40103792726650589</v>
      </c>
      <c r="K391" s="2491">
        <f ca="1">SUM(V.a.Inputs[2035])-SUM(K$306:K$308)</f>
        <v>0.44205457914086876</v>
      </c>
      <c r="L391" s="2491">
        <f ca="1">SUM(V.a.Inputs[2040])-SUM(L$306:L$308)</f>
        <v>0.48592764128688071</v>
      </c>
      <c r="M391" s="2491">
        <f ca="1">SUM(V.a.Inputs[2045])-SUM(M$306:M$308)</f>
        <v>0.53286090741819248</v>
      </c>
      <c r="N391" s="2491">
        <f ca="1">SUM(V.a.Inputs[2050])-SUM(N$306:N$308)</f>
        <v>0.55811213329079612</v>
      </c>
      <c r="O391" s="858"/>
    </row>
    <row r="392" spans="2:17" ht="15.5">
      <c r="B392" s="15"/>
      <c r="C392" s="2432" t="s">
        <v>58</v>
      </c>
      <c r="D392" s="2432"/>
      <c r="E392" s="2432"/>
      <c r="F392" s="3913">
        <f ca="1">SUBTOTAL(109,V.a.Outputs[2013])</f>
        <v>0</v>
      </c>
      <c r="G392" s="3913">
        <f ca="1">SUBTOTAL(109,V.a.Outputs[2015])</f>
        <v>0</v>
      </c>
      <c r="H392" s="3913">
        <f ca="1">SUBTOTAL(109,V.a.Outputs[2020])</f>
        <v>0</v>
      </c>
      <c r="I392" s="3913">
        <f ca="1">SUBTOTAL(109,V.a.Outputs[2025])</f>
        <v>0</v>
      </c>
      <c r="J392" s="3913">
        <f ca="1">SUBTOTAL(109,V.a.Outputs[2030])</f>
        <v>0</v>
      </c>
      <c r="K392" s="3913">
        <f ca="1">SUBTOTAL(109,V.a.Outputs[2035])</f>
        <v>0</v>
      </c>
      <c r="L392" s="3913">
        <f ca="1">SUBTOTAL(109,V.a.Outputs[2040])</f>
        <v>0</v>
      </c>
      <c r="M392" s="3913">
        <f ca="1">SUBTOTAL(109,V.a.Outputs[2045])</f>
        <v>0</v>
      </c>
      <c r="N392" s="3913">
        <f ca="1">SUBTOTAL(109,V.a.Outputs[2050])</f>
        <v>0</v>
      </c>
      <c r="O392" s="858"/>
    </row>
    <row r="393" spans="2:17" ht="15.5">
      <c r="B393" s="15"/>
      <c r="C393" s="18"/>
      <c r="D393" s="18"/>
      <c r="E393" s="18"/>
      <c r="F393" s="440"/>
      <c r="G393" s="440"/>
      <c r="H393" s="440"/>
      <c r="I393" s="440"/>
      <c r="J393" s="440"/>
      <c r="K393" s="440"/>
      <c r="L393" s="440"/>
      <c r="M393" s="440"/>
      <c r="N393" s="440"/>
      <c r="O393" s="858"/>
    </row>
    <row r="394" spans="2:17" ht="15.5">
      <c r="B394" s="35"/>
      <c r="C394" s="443"/>
      <c r="D394" s="443"/>
      <c r="E394" s="443"/>
      <c r="F394" s="443"/>
      <c r="G394" s="443"/>
      <c r="H394" s="443"/>
      <c r="I394" s="443"/>
      <c r="J394" s="443"/>
      <c r="K394" s="443"/>
      <c r="L394" s="443"/>
      <c r="M394" s="443"/>
      <c r="N394" s="443"/>
      <c r="O394" s="506"/>
      <c r="Q394" s="2654" t="s">
        <v>5</v>
      </c>
    </row>
    <row r="396" spans="2:17" ht="15">
      <c r="B396" s="1118" t="s">
        <v>300</v>
      </c>
      <c r="C396" s="1119"/>
      <c r="D396" s="1120"/>
      <c r="E396" s="1120"/>
      <c r="F396" s="1120"/>
      <c r="G396" s="1120"/>
      <c r="H396" s="1120"/>
      <c r="I396" s="1120"/>
      <c r="J396" s="1120"/>
      <c r="K396" s="1120"/>
      <c r="L396" s="1120"/>
      <c r="M396" s="1120"/>
      <c r="N396" s="1120"/>
      <c r="O396" s="1121"/>
    </row>
    <row r="397" spans="2:17">
      <c r="B397" s="1122"/>
      <c r="C397" s="1123"/>
      <c r="D397" s="1123"/>
      <c r="E397" s="1123"/>
      <c r="F397" s="1123"/>
      <c r="G397" s="1123"/>
      <c r="H397" s="1123"/>
      <c r="I397" s="1123"/>
      <c r="J397" s="1123"/>
      <c r="K397" s="1123"/>
      <c r="L397" s="1123"/>
      <c r="M397" s="1123"/>
      <c r="N397" s="1123"/>
      <c r="O397" s="1124"/>
    </row>
    <row r="398" spans="2:17">
      <c r="B398" s="1125"/>
      <c r="C398" s="453" t="s">
        <v>1308</v>
      </c>
      <c r="D398" s="1126"/>
      <c r="E398" s="1127"/>
      <c r="F398" s="1126"/>
      <c r="G398" s="1126"/>
      <c r="H398" s="1126"/>
      <c r="I398" s="1126"/>
      <c r="J398" s="1126"/>
      <c r="K398" s="1126"/>
      <c r="L398" s="1126"/>
      <c r="M398" s="1126"/>
      <c r="N398" s="1127" t="s">
        <v>251</v>
      </c>
      <c r="O398" s="1129"/>
    </row>
    <row r="399" spans="2:17">
      <c r="B399" s="1125"/>
      <c r="C399" s="1126"/>
      <c r="D399" s="1126"/>
      <c r="E399" s="1126"/>
      <c r="F399" s="1126"/>
      <c r="G399" s="1126"/>
      <c r="H399" s="1126"/>
      <c r="I399" s="1126"/>
      <c r="J399" s="1126"/>
      <c r="K399" s="1126"/>
      <c r="L399" s="1126"/>
      <c r="M399" s="1126"/>
      <c r="N399" s="1126"/>
      <c r="O399" s="1129"/>
    </row>
    <row r="400" spans="2:17" ht="15.5">
      <c r="B400" s="458"/>
      <c r="C400" s="1327" t="s">
        <v>302</v>
      </c>
      <c r="D400" s="1327" t="s">
        <v>303</v>
      </c>
      <c r="E400" s="1327" t="s">
        <v>30</v>
      </c>
      <c r="F400" s="1327" t="s">
        <v>588</v>
      </c>
      <c r="G400" s="1327" t="s">
        <v>132</v>
      </c>
      <c r="H400" s="1327" t="s">
        <v>133</v>
      </c>
      <c r="I400" s="1327" t="s">
        <v>134</v>
      </c>
      <c r="J400" s="1327" t="s">
        <v>135</v>
      </c>
      <c r="K400" s="1327" t="s">
        <v>136</v>
      </c>
      <c r="L400" s="1327" t="s">
        <v>137</v>
      </c>
      <c r="M400" s="1327" t="s">
        <v>138</v>
      </c>
      <c r="N400" s="1327" t="s">
        <v>139</v>
      </c>
      <c r="O400" s="1129"/>
    </row>
    <row r="401" spans="2:15" ht="15.5">
      <c r="B401" s="458"/>
      <c r="C401" s="1130" t="s">
        <v>250</v>
      </c>
      <c r="D401" s="2634" t="s">
        <v>449</v>
      </c>
      <c r="E401" s="2755" t="s">
        <v>404</v>
      </c>
      <c r="F401" s="2755">
        <f ca="1">-F322</f>
        <v>-0.39926317416316637</v>
      </c>
      <c r="G401" s="2755">
        <f t="shared" ref="G401:N401" ca="1" si="64">-G322</f>
        <v>-0.55428425193507447</v>
      </c>
      <c r="H401" s="2755">
        <f t="shared" ca="1" si="64"/>
        <v>-0.70192614315742274</v>
      </c>
      <c r="I401" s="2755">
        <f t="shared" ca="1" si="64"/>
        <v>-0.90029857912220868</v>
      </c>
      <c r="J401" s="2755">
        <f t="shared" ca="1" si="64"/>
        <v>-0.9207649109533933</v>
      </c>
      <c r="K401" s="2755">
        <f t="shared" ca="1" si="64"/>
        <v>-0.97135726538841116</v>
      </c>
      <c r="L401" s="2755">
        <f t="shared" ca="1" si="64"/>
        <v>-1.0252964855631914</v>
      </c>
      <c r="M401" s="2755">
        <f t="shared" ca="1" si="64"/>
        <v>-1.082763084686408</v>
      </c>
      <c r="N401" s="2755">
        <f t="shared" ca="1" si="64"/>
        <v>-1.1151876435289807</v>
      </c>
      <c r="O401" s="1129"/>
    </row>
    <row r="402" spans="2:15" ht="15.5">
      <c r="B402" s="458"/>
      <c r="C402" s="3473" t="s">
        <v>58</v>
      </c>
      <c r="D402" s="2651"/>
      <c r="E402" s="3475"/>
      <c r="F402" s="3476">
        <f ca="1">SUBTOTAL(109,V.a.Emissions[2013])</f>
        <v>-0.39926317416316637</v>
      </c>
      <c r="G402" s="3476">
        <f ca="1">SUBTOTAL(109,V.a.Emissions[2015])</f>
        <v>-0.55428425193507447</v>
      </c>
      <c r="H402" s="3476">
        <f ca="1">SUBTOTAL(109,V.a.Emissions[2020])</f>
        <v>-0.70192614315742274</v>
      </c>
      <c r="I402" s="3476">
        <f ca="1">SUBTOTAL(109,V.a.Emissions[2025])</f>
        <v>-0.90029857912220868</v>
      </c>
      <c r="J402" s="3476">
        <f ca="1">SUBTOTAL(109,V.a.Emissions[2030])</f>
        <v>-0.9207649109533933</v>
      </c>
      <c r="K402" s="3476">
        <f ca="1">SUBTOTAL(109,V.a.Emissions[2035])</f>
        <v>-0.97135726538841116</v>
      </c>
      <c r="L402" s="3476">
        <f ca="1">SUBTOTAL(109,V.a.Emissions[2040])</f>
        <v>-1.0252964855631914</v>
      </c>
      <c r="M402" s="3476">
        <f ca="1">SUBTOTAL(109,V.a.Emissions[2045])</f>
        <v>-1.082763084686408</v>
      </c>
      <c r="N402" s="3476">
        <f ca="1">SUBTOTAL(109,V.a.Emissions[2050])</f>
        <v>-1.1151876435289807</v>
      </c>
      <c r="O402" s="1129"/>
    </row>
    <row r="403" spans="2:15" ht="15.5">
      <c r="B403" s="458"/>
      <c r="C403" s="1140"/>
      <c r="D403" s="1140"/>
      <c r="E403" s="1140"/>
      <c r="F403" s="1140"/>
      <c r="G403" s="1140"/>
      <c r="H403" s="1140"/>
      <c r="I403" s="1140"/>
      <c r="J403" s="1140"/>
      <c r="K403" s="1140"/>
      <c r="L403" s="1140"/>
      <c r="M403" s="1140"/>
      <c r="N403" s="1140"/>
      <c r="O403" s="465"/>
    </row>
    <row r="405" spans="2:15" ht="15">
      <c r="B405" s="986" t="s">
        <v>310</v>
      </c>
      <c r="C405" s="987"/>
      <c r="D405" s="988"/>
      <c r="E405" s="988"/>
      <c r="F405" s="988"/>
      <c r="G405" s="988"/>
      <c r="H405" s="988"/>
      <c r="I405" s="988"/>
      <c r="J405" s="988"/>
      <c r="K405" s="988"/>
      <c r="L405" s="988"/>
      <c r="M405" s="988"/>
      <c r="N405" s="988"/>
      <c r="O405" s="989"/>
    </row>
    <row r="406" spans="2:15">
      <c r="B406" s="990"/>
      <c r="C406" s="991"/>
      <c r="D406" s="991"/>
      <c r="E406" s="991"/>
      <c r="F406" s="991"/>
      <c r="G406" s="991"/>
      <c r="H406" s="991"/>
      <c r="I406" s="991"/>
      <c r="J406" s="991"/>
      <c r="K406" s="991"/>
      <c r="L406" s="991"/>
      <c r="M406" s="991"/>
      <c r="N406" s="991"/>
      <c r="O406" s="992"/>
    </row>
    <row r="407" spans="2:15">
      <c r="B407" s="993"/>
      <c r="C407" s="479" t="s">
        <v>311</v>
      </c>
      <c r="D407" s="994"/>
      <c r="E407" s="995"/>
      <c r="F407" s="994"/>
      <c r="G407" s="994"/>
      <c r="H407" s="994"/>
      <c r="I407" s="994"/>
      <c r="J407" s="994"/>
      <c r="K407" s="994"/>
      <c r="L407" s="994"/>
      <c r="M407" s="994"/>
      <c r="N407" s="995"/>
      <c r="O407" s="996"/>
    </row>
    <row r="408" spans="2:15">
      <c r="B408" s="993"/>
      <c r="C408" s="994"/>
      <c r="D408" s="994"/>
      <c r="E408" s="994"/>
      <c r="F408" s="994"/>
      <c r="G408" s="994"/>
      <c r="H408" s="994"/>
      <c r="I408" s="994"/>
      <c r="J408" s="994"/>
      <c r="K408" s="994"/>
      <c r="L408" s="994"/>
      <c r="M408" s="994"/>
      <c r="N408" s="994"/>
      <c r="O408" s="996"/>
    </row>
    <row r="409" spans="2:15" ht="15.5">
      <c r="B409" s="483"/>
      <c r="C409" s="997" t="s">
        <v>28</v>
      </c>
      <c r="D409" s="997" t="s">
        <v>312</v>
      </c>
      <c r="E409" s="997" t="s">
        <v>30</v>
      </c>
      <c r="F409" s="997">
        <v>2013</v>
      </c>
      <c r="G409" s="997" t="s">
        <v>132</v>
      </c>
      <c r="H409" s="997" t="s">
        <v>133</v>
      </c>
      <c r="I409" s="997" t="s">
        <v>134</v>
      </c>
      <c r="J409" s="997" t="s">
        <v>135</v>
      </c>
      <c r="K409" s="997" t="s">
        <v>136</v>
      </c>
      <c r="L409" s="997" t="s">
        <v>137</v>
      </c>
      <c r="M409" s="997" t="s">
        <v>138</v>
      </c>
      <c r="N409" s="997" t="s">
        <v>139</v>
      </c>
      <c r="O409" s="996"/>
    </row>
    <row r="410" spans="2:15" ht="15.5">
      <c r="B410" s="483"/>
      <c r="C410" s="998"/>
      <c r="D410" s="485"/>
      <c r="E410" s="485"/>
      <c r="F410" s="999"/>
      <c r="G410" s="999"/>
      <c r="H410" s="999"/>
      <c r="I410" s="999"/>
      <c r="J410" s="999"/>
      <c r="K410" s="999"/>
      <c r="L410" s="999"/>
      <c r="M410" s="999"/>
      <c r="N410" s="999"/>
      <c r="O410" s="996"/>
    </row>
    <row r="411" spans="2:15" ht="15.5">
      <c r="B411" s="483"/>
      <c r="C411" s="998"/>
      <c r="D411" s="485"/>
      <c r="E411" s="485"/>
      <c r="F411" s="999"/>
      <c r="G411" s="999"/>
      <c r="H411" s="999"/>
      <c r="I411" s="999"/>
      <c r="J411" s="999"/>
      <c r="K411" s="999"/>
      <c r="L411" s="999"/>
      <c r="M411" s="999"/>
      <c r="N411" s="999"/>
      <c r="O411" s="996"/>
    </row>
    <row r="412" spans="2:15" ht="15.5">
      <c r="B412" s="488"/>
      <c r="C412" s="1001"/>
      <c r="D412" s="1001"/>
      <c r="E412" s="1001"/>
      <c r="F412" s="1001"/>
      <c r="G412" s="1001"/>
      <c r="H412" s="1001"/>
      <c r="I412" s="1001"/>
      <c r="J412" s="1001"/>
      <c r="K412" s="1001"/>
      <c r="L412" s="1001"/>
      <c r="M412" s="1001"/>
      <c r="N412" s="1001"/>
      <c r="O412" s="1002"/>
    </row>
    <row r="414" spans="2:15" ht="15">
      <c r="B414" s="986" t="s">
        <v>2720</v>
      </c>
      <c r="C414" s="988"/>
      <c r="D414" s="988"/>
      <c r="E414" s="988"/>
      <c r="F414" s="988"/>
      <c r="G414" s="988"/>
      <c r="H414" s="988"/>
      <c r="I414" s="988"/>
      <c r="J414" s="988"/>
      <c r="K414" s="988"/>
      <c r="L414" s="988"/>
      <c r="M414" s="988"/>
      <c r="N414" s="988"/>
      <c r="O414" s="989"/>
    </row>
    <row r="415" spans="2:15" hidden="1">
      <c r="B415" s="993"/>
      <c r="C415" s="994"/>
      <c r="D415" s="994"/>
      <c r="E415" s="994"/>
      <c r="F415" s="994"/>
      <c r="G415" s="994"/>
      <c r="H415" s="994"/>
      <c r="I415" s="994"/>
      <c r="J415" s="994"/>
      <c r="K415" s="994"/>
      <c r="L415" s="994"/>
      <c r="M415" s="994"/>
      <c r="N415" s="994"/>
      <c r="O415" s="996"/>
    </row>
    <row r="416" spans="2:15" hidden="1">
      <c r="B416" s="993"/>
      <c r="C416" s="491" t="s">
        <v>751</v>
      </c>
      <c r="D416" s="1003"/>
      <c r="E416" s="1003"/>
      <c r="F416" s="1003"/>
      <c r="G416" s="1003"/>
      <c r="H416" s="1003"/>
      <c r="I416" s="1003"/>
      <c r="J416" s="1003"/>
      <c r="K416" s="1003"/>
      <c r="L416" s="1003"/>
      <c r="M416" s="1003"/>
      <c r="N416" s="1004" t="s">
        <v>2736</v>
      </c>
      <c r="O416" s="996"/>
    </row>
    <row r="417" spans="2:17" hidden="1">
      <c r="B417" s="993"/>
      <c r="C417" s="994"/>
      <c r="D417" s="994"/>
      <c r="E417" s="994"/>
      <c r="F417" s="994"/>
      <c r="G417" s="994"/>
      <c r="H417" s="994"/>
      <c r="I417" s="994"/>
      <c r="J417" s="994"/>
      <c r="K417" s="994"/>
      <c r="L417" s="994"/>
      <c r="M417" s="994"/>
      <c r="N417" s="994"/>
      <c r="O417" s="996"/>
    </row>
    <row r="418" spans="2:17" ht="15.5" hidden="1">
      <c r="B418" s="483"/>
      <c r="C418" s="997" t="s">
        <v>28</v>
      </c>
      <c r="D418" s="997" t="s">
        <v>29</v>
      </c>
      <c r="E418" s="997" t="s">
        <v>30</v>
      </c>
      <c r="F418" s="997">
        <v>2013</v>
      </c>
      <c r="G418" s="997" t="s">
        <v>132</v>
      </c>
      <c r="H418" s="997" t="s">
        <v>133</v>
      </c>
      <c r="I418" s="997" t="s">
        <v>134</v>
      </c>
      <c r="J418" s="997" t="s">
        <v>135</v>
      </c>
      <c r="K418" s="997" t="s">
        <v>136</v>
      </c>
      <c r="L418" s="997" t="s">
        <v>137</v>
      </c>
      <c r="M418" s="997" t="s">
        <v>138</v>
      </c>
      <c r="N418" s="997" t="s">
        <v>139</v>
      </c>
      <c r="O418" s="1141"/>
    </row>
    <row r="419" spans="2:17" ht="15.5" hidden="1">
      <c r="B419" s="483"/>
      <c r="C419" s="998" t="s">
        <v>321</v>
      </c>
      <c r="D419" s="485" t="s">
        <v>322</v>
      </c>
      <c r="E419" s="485"/>
      <c r="F419" s="2756"/>
      <c r="G419" s="2756"/>
      <c r="H419" s="2756"/>
      <c r="I419" s="2756"/>
      <c r="J419" s="2756"/>
      <c r="K419" s="2756"/>
      <c r="L419" s="2756"/>
      <c r="M419" s="2756"/>
      <c r="N419" s="2756"/>
      <c r="O419" s="1141"/>
    </row>
    <row r="420" spans="2:17" ht="15.5" hidden="1">
      <c r="B420" s="483"/>
      <c r="C420" s="998" t="s">
        <v>328</v>
      </c>
      <c r="D420" s="485" t="s">
        <v>329</v>
      </c>
      <c r="E420" s="485"/>
      <c r="F420" s="2756"/>
      <c r="G420" s="2756"/>
      <c r="H420" s="2756"/>
      <c r="I420" s="2756"/>
      <c r="J420" s="2756"/>
      <c r="K420" s="2756"/>
      <c r="L420" s="2756"/>
      <c r="M420" s="2756"/>
      <c r="N420" s="2756"/>
      <c r="O420" s="1141"/>
    </row>
    <row r="421" spans="2:17" ht="15.5" hidden="1">
      <c r="B421" s="483"/>
      <c r="C421" s="998" t="s">
        <v>323</v>
      </c>
      <c r="D421" s="485" t="s">
        <v>324</v>
      </c>
      <c r="E421" s="485"/>
      <c r="F421" s="2756"/>
      <c r="G421" s="2756"/>
      <c r="H421" s="2756"/>
      <c r="I421" s="2756"/>
      <c r="J421" s="2756"/>
      <c r="K421" s="2756"/>
      <c r="L421" s="2756"/>
      <c r="M421" s="2756"/>
      <c r="N421" s="2756"/>
      <c r="O421" s="1141"/>
    </row>
    <row r="422" spans="2:17" ht="15.5" hidden="1">
      <c r="B422" s="483"/>
      <c r="C422" s="998" t="s">
        <v>330</v>
      </c>
      <c r="D422" s="485" t="s">
        <v>331</v>
      </c>
      <c r="E422" s="485"/>
      <c r="F422" s="2756"/>
      <c r="G422" s="2756"/>
      <c r="H422" s="2756"/>
      <c r="I422" s="2756"/>
      <c r="J422" s="2756"/>
      <c r="K422" s="2756"/>
      <c r="L422" s="2756"/>
      <c r="M422" s="2756"/>
      <c r="N422" s="2756"/>
      <c r="O422" s="1141"/>
    </row>
    <row r="423" spans="2:17" hidden="1">
      <c r="B423" s="494"/>
      <c r="C423" s="998" t="s">
        <v>325</v>
      </c>
      <c r="D423" s="485" t="s">
        <v>326</v>
      </c>
      <c r="E423" s="485"/>
      <c r="F423" s="2756"/>
      <c r="G423" s="2756"/>
      <c r="H423" s="2756"/>
      <c r="I423" s="2756"/>
      <c r="J423" s="2756"/>
      <c r="K423" s="2756"/>
      <c r="L423" s="2756"/>
      <c r="M423" s="2756"/>
      <c r="N423" s="2756"/>
      <c r="O423" s="1142"/>
    </row>
    <row r="424" spans="2:17" hidden="1">
      <c r="B424" s="494"/>
      <c r="C424" s="998" t="s">
        <v>332</v>
      </c>
      <c r="D424" s="485" t="s">
        <v>333</v>
      </c>
      <c r="E424" s="485"/>
      <c r="F424" s="2757"/>
      <c r="G424" s="2757"/>
      <c r="H424" s="2757"/>
      <c r="I424" s="2757"/>
      <c r="J424" s="2757"/>
      <c r="K424" s="2757"/>
      <c r="L424" s="2757"/>
      <c r="M424" s="2757"/>
      <c r="N424" s="2757"/>
      <c r="O424" s="1142"/>
    </row>
    <row r="425" spans="2:17" hidden="1">
      <c r="B425" s="1005"/>
      <c r="C425" s="1001"/>
      <c r="D425" s="1001"/>
      <c r="E425" s="1001"/>
      <c r="F425" s="1001"/>
      <c r="G425" s="1001"/>
      <c r="H425" s="1001"/>
      <c r="I425" s="1001"/>
      <c r="J425" s="1001"/>
      <c r="K425" s="1001"/>
      <c r="L425" s="1001"/>
      <c r="M425" s="1001"/>
      <c r="N425" s="1001"/>
      <c r="O425" s="1006"/>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9"/>
  </sheetPr>
  <dimension ref="A1:AO146"/>
  <sheetViews>
    <sheetView showGridLines="0" topLeftCell="A82" zoomScale="80" zoomScaleNormal="80" workbookViewId="0">
      <selection activeCell="F87" sqref="F87"/>
    </sheetView>
  </sheetViews>
  <sheetFormatPr defaultColWidth="8.81640625" defaultRowHeight="14.5"/>
  <cols>
    <col min="1" max="1" width="7.7265625" style="3383" customWidth="1"/>
    <col min="2" max="2" width="5.81640625" style="3383" customWidth="1"/>
    <col min="3" max="3" width="20.453125" style="3383" customWidth="1"/>
    <col min="4" max="4" width="30.7265625" style="3383" customWidth="1"/>
    <col min="5" max="5" width="20.7265625" style="3383" customWidth="1"/>
    <col min="6" max="15" width="17.7265625" style="3383" customWidth="1"/>
    <col min="16" max="16" width="2" customWidth="1"/>
    <col min="17" max="17" width="10.81640625" style="3383" customWidth="1"/>
    <col min="18" max="26" width="8.81640625" style="3383"/>
    <col min="27" max="27" width="25.1796875" style="3383" customWidth="1"/>
    <col min="28" max="16384" width="8.81640625" style="3383"/>
  </cols>
  <sheetData>
    <row r="1" spans="1:16" ht="20">
      <c r="A1" s="854" t="s">
        <v>571</v>
      </c>
      <c r="B1" s="854" t="s">
        <v>572</v>
      </c>
      <c r="C1" s="854"/>
      <c r="F1" s="3821"/>
    </row>
    <row r="2" spans="1:16" s="6" customFormat="1" ht="15">
      <c r="A2" s="855" t="s">
        <v>569</v>
      </c>
      <c r="B2" s="855" t="s">
        <v>570</v>
      </c>
      <c r="C2" s="855"/>
      <c r="D2" s="6" t="s">
        <v>5</v>
      </c>
      <c r="E2" s="5"/>
      <c r="P2"/>
    </row>
    <row r="4" spans="1:16" ht="23.5">
      <c r="A4" s="7"/>
      <c r="B4" s="502" t="s">
        <v>352</v>
      </c>
      <c r="C4" s="856"/>
      <c r="D4" s="503"/>
      <c r="E4" s="504"/>
      <c r="F4" s="503"/>
      <c r="G4" s="503"/>
      <c r="H4" s="503"/>
      <c r="I4" s="503"/>
      <c r="J4" s="503"/>
      <c r="K4" s="503"/>
      <c r="L4" s="503"/>
      <c r="M4" s="503"/>
      <c r="N4" s="503"/>
      <c r="O4" s="503"/>
    </row>
    <row r="5" spans="1:16">
      <c r="B5" s="505"/>
      <c r="C5" s="12"/>
      <c r="D5" s="506"/>
      <c r="E5" s="507"/>
      <c r="F5" s="506"/>
      <c r="G5" s="506"/>
      <c r="H5" s="506"/>
      <c r="I5" s="506"/>
      <c r="J5" s="506"/>
      <c r="K5" s="506"/>
      <c r="L5" s="506"/>
      <c r="M5" s="506"/>
      <c r="N5" s="506"/>
      <c r="O5" s="506"/>
    </row>
    <row r="6" spans="1:16" ht="15.5">
      <c r="B6" s="15"/>
      <c r="C6" s="506"/>
      <c r="D6" s="16" t="s">
        <v>7</v>
      </c>
      <c r="E6" s="16" t="s">
        <v>8</v>
      </c>
      <c r="F6" s="506"/>
      <c r="G6" s="506"/>
      <c r="H6" s="506"/>
      <c r="I6" s="506"/>
      <c r="J6" s="506"/>
      <c r="K6" s="506"/>
      <c r="L6" s="506"/>
      <c r="M6" s="506"/>
      <c r="N6" s="506"/>
      <c r="O6" s="506"/>
    </row>
    <row r="7" spans="1:16" ht="15.5">
      <c r="B7" s="15"/>
      <c r="C7" s="506"/>
      <c r="D7" s="859" t="s">
        <v>2049</v>
      </c>
      <c r="E7" s="859">
        <f>V.b.Scenario</f>
        <v>1</v>
      </c>
      <c r="F7" s="506"/>
      <c r="G7" s="506"/>
      <c r="H7" s="506"/>
      <c r="I7" s="506"/>
      <c r="J7" s="506"/>
      <c r="K7" s="506"/>
      <c r="L7" s="506"/>
      <c r="M7" s="506"/>
      <c r="N7" s="506"/>
      <c r="O7" s="506"/>
    </row>
    <row r="8" spans="1:16" ht="15.5">
      <c r="B8" s="441"/>
      <c r="C8" s="443"/>
      <c r="D8" s="443"/>
      <c r="E8" s="443"/>
      <c r="F8" s="860"/>
      <c r="G8" s="860"/>
      <c r="H8" s="860"/>
      <c r="I8" s="860"/>
      <c r="J8" s="860"/>
      <c r="K8" s="860"/>
      <c r="L8" s="860"/>
      <c r="M8" s="860"/>
      <c r="N8" s="860"/>
      <c r="O8" s="860"/>
    </row>
    <row r="10" spans="1:16" ht="23.5">
      <c r="A10" s="7"/>
      <c r="B10" s="502" t="s">
        <v>24</v>
      </c>
      <c r="C10" s="503"/>
      <c r="D10" s="503"/>
      <c r="E10" s="503"/>
      <c r="F10" s="503"/>
      <c r="G10" s="503"/>
      <c r="H10" s="503"/>
      <c r="I10" s="503"/>
      <c r="J10" s="503"/>
      <c r="K10" s="503"/>
      <c r="L10" s="503"/>
      <c r="M10" s="503"/>
      <c r="N10" s="503"/>
      <c r="O10" s="857"/>
    </row>
    <row r="11" spans="1:16">
      <c r="B11" s="862"/>
      <c r="C11" s="506"/>
      <c r="D11" s="506"/>
      <c r="E11" s="506"/>
      <c r="F11" s="506"/>
      <c r="G11" s="506"/>
      <c r="H11" s="506"/>
      <c r="I11" s="506"/>
      <c r="J11" s="506"/>
      <c r="K11" s="506"/>
      <c r="L11" s="506"/>
      <c r="M11" s="506"/>
      <c r="N11" s="506"/>
      <c r="O11" s="858"/>
    </row>
    <row r="12" spans="1:16" s="6" customFormat="1" ht="15.5">
      <c r="A12" s="3"/>
      <c r="B12" s="2658"/>
      <c r="C12" s="34" t="s">
        <v>2051</v>
      </c>
      <c r="D12" s="506"/>
      <c r="E12" s="507"/>
      <c r="F12" s="506"/>
      <c r="G12" s="506"/>
      <c r="H12" s="506"/>
      <c r="I12" s="506"/>
      <c r="J12" s="506"/>
      <c r="K12" s="506"/>
      <c r="L12" s="506"/>
      <c r="M12" s="506"/>
      <c r="N12" s="507" t="str">
        <f>Preferences.EnergyUnits</f>
        <v>TWh</v>
      </c>
      <c r="O12" s="17"/>
      <c r="P12"/>
    </row>
    <row r="13" spans="1:16" s="6" customFormat="1" ht="15.5">
      <c r="A13" s="3"/>
      <c r="B13" s="2658"/>
      <c r="C13" s="12"/>
      <c r="D13" s="506"/>
      <c r="E13" s="507"/>
      <c r="F13" s="506"/>
      <c r="G13" s="506"/>
      <c r="H13" s="506"/>
      <c r="I13" s="506"/>
      <c r="J13" s="506"/>
      <c r="K13" s="506"/>
      <c r="L13" s="506"/>
      <c r="M13" s="506"/>
      <c r="N13" s="506"/>
      <c r="O13" s="17"/>
      <c r="P13"/>
    </row>
    <row r="14" spans="1:16" s="6" customFormat="1" ht="15.5">
      <c r="A14" s="3"/>
      <c r="B14" s="2658"/>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17"/>
      <c r="P14"/>
    </row>
    <row r="15" spans="1:16" s="6" customFormat="1" ht="15.5">
      <c r="A15" s="3"/>
      <c r="B15" s="2658"/>
      <c r="C15" s="864" t="s">
        <v>97</v>
      </c>
      <c r="D15" s="864" t="s">
        <v>87</v>
      </c>
      <c r="E15" s="864"/>
      <c r="F15" s="2769">
        <f ca="1">INDEX(INDIRECT("'"&amp;V.b.Inputs[#Headers]&amp;"'!Year.Matrix"), MATCH("Subtotal."&amp;$A$2, INDIRECT("'"&amp;V.b.Inputs[#Headers]&amp;"'!Year.Modules"), 0), MATCH(V.b.Inputs[Vector], INDIRECT("'"&amp;V.b.Inputs[#Headers]&amp;"'!Year.Vectors"), 0))</f>
        <v>-23.55168296272991</v>
      </c>
      <c r="G15" s="2769">
        <f ca="1">INDEX(INDIRECT("'"&amp;V.b.Inputs[#Headers]&amp;"'!Year.Matrix"), MATCH("Subtotal."&amp;$A$2, INDIRECT("'"&amp;V.b.Inputs[#Headers]&amp;"'!Year.Modules"), 0), MATCH(V.b.Inputs[Vector], INDIRECT("'"&amp;V.b.Inputs[#Headers]&amp;"'!Year.Vectors"), 0))</f>
        <v>-23.583269324784787</v>
      </c>
      <c r="H15" s="2769">
        <f ca="1">INDEX(INDIRECT("'"&amp;V.b.Inputs[#Headers]&amp;"'!Year.Matrix"), MATCH("Subtotal."&amp;$A$2, INDIRECT("'"&amp;V.b.Inputs[#Headers]&amp;"'!Year.Modules"), 0), MATCH(V.b.Inputs[Vector], INDIRECT("'"&amp;V.b.Inputs[#Headers]&amp;"'!Year.Vectors"), 0))</f>
        <v>-21.152350296249832</v>
      </c>
      <c r="I15" s="2769">
        <f ca="1">INDEX(INDIRECT("'"&amp;V.b.Inputs[#Headers]&amp;"'!Year.Matrix"), MATCH("Subtotal."&amp;$A$2, INDIRECT("'"&amp;V.b.Inputs[#Headers]&amp;"'!Year.Modules"), 0), MATCH(V.b.Inputs[Vector], INDIRECT("'"&amp;V.b.Inputs[#Headers]&amp;"'!Year.Vectors"), 0))</f>
        <v>-20.856643746927087</v>
      </c>
      <c r="J15" s="2769">
        <f ca="1">INDEX(INDIRECT("'"&amp;V.b.Inputs[#Headers]&amp;"'!Year.Matrix"), MATCH("Subtotal."&amp;$A$2, INDIRECT("'"&amp;V.b.Inputs[#Headers]&amp;"'!Year.Modules"), 0), MATCH(V.b.Inputs[Vector], INDIRECT("'"&amp;V.b.Inputs[#Headers]&amp;"'!Year.Vectors"), 0))</f>
        <v>-15.12841125673074</v>
      </c>
      <c r="K15" s="2769">
        <f ca="1">INDEX(INDIRECT("'"&amp;V.b.Inputs[#Headers]&amp;"'!Year.Matrix"), MATCH("Subtotal."&amp;$A$2, INDIRECT("'"&amp;V.b.Inputs[#Headers]&amp;"'!Year.Modules"), 0), MATCH(V.b.Inputs[Vector], INDIRECT("'"&amp;V.b.Inputs[#Headers]&amp;"'!Year.Vectors"), 0))</f>
        <v>-2.2698250796151025</v>
      </c>
      <c r="L15" s="2769">
        <f ca="1">INDEX(INDIRECT("'"&amp;V.b.Inputs[#Headers]&amp;"'!Year.Matrix"), MATCH("Subtotal."&amp;$A$2, INDIRECT("'"&amp;V.b.Inputs[#Headers]&amp;"'!Year.Modules"), 0), MATCH(V.b.Inputs[Vector], INDIRECT("'"&amp;V.b.Inputs[#Headers]&amp;"'!Year.Vectors"), 0))</f>
        <v>-2.4561743549554169</v>
      </c>
      <c r="M15" s="2769">
        <f ca="1">INDEX(INDIRECT("'"&amp;V.b.Inputs[#Headers]&amp;"'!Year.Matrix"), MATCH("Subtotal."&amp;$A$2, INDIRECT("'"&amp;V.b.Inputs[#Headers]&amp;"'!Year.Modules"), 0), MATCH(V.b.Inputs[Vector], INDIRECT("'"&amp;V.b.Inputs[#Headers]&amp;"'!Year.Vectors"), 0))</f>
        <v>-2.6682367388903194</v>
      </c>
      <c r="N15" s="2769">
        <f ca="1">INDEX(INDIRECT("'"&amp;V.b.Inputs[#Headers]&amp;"'!Year.Matrix"), MATCH("Subtotal."&amp;$A$2, INDIRECT("'"&amp;V.b.Inputs[#Headers]&amp;"'!Year.Modules"), 0), MATCH(V.b.Inputs[Vector], INDIRECT("'"&amp;V.b.Inputs[#Headers]&amp;"'!Year.Vectors"), 0))</f>
        <v>-2.9094430028180738</v>
      </c>
      <c r="O15" s="17"/>
      <c r="P15"/>
    </row>
    <row r="16" spans="1:16" s="6" customFormat="1" ht="15.5">
      <c r="A16" s="3"/>
      <c r="B16" s="2658"/>
      <c r="C16" s="864" t="s">
        <v>98</v>
      </c>
      <c r="D16" s="864" t="s">
        <v>88</v>
      </c>
      <c r="E16" s="864"/>
      <c r="F16" s="2769">
        <f ca="1">INDEX(INDIRECT("'"&amp;V.b.Inputs[#Headers]&amp;"'!Year.Matrix"), MATCH("Subtotal."&amp;$A$2, INDIRECT("'"&amp;V.b.Inputs[#Headers]&amp;"'!Year.Modules"), 0), MATCH(V.b.Inputs[Vector], INDIRECT("'"&amp;V.b.Inputs[#Headers]&amp;"'!Year.Vectors"), 0))</f>
        <v>-77.445606320775937</v>
      </c>
      <c r="G16" s="2769">
        <f ca="1">INDEX(INDIRECT("'"&amp;V.b.Inputs[#Headers]&amp;"'!Year.Matrix"), MATCH("Subtotal."&amp;$A$2, INDIRECT("'"&amp;V.b.Inputs[#Headers]&amp;"'!Year.Modules"), 0), MATCH(V.b.Inputs[Vector], INDIRECT("'"&amp;V.b.Inputs[#Headers]&amp;"'!Year.Vectors"), 0))</f>
        <v>-75.135979958982631</v>
      </c>
      <c r="H16" s="2769">
        <f ca="1">INDEX(INDIRECT("'"&amp;V.b.Inputs[#Headers]&amp;"'!Year.Matrix"), MATCH("Subtotal."&amp;$A$2, INDIRECT("'"&amp;V.b.Inputs[#Headers]&amp;"'!Year.Modules"), 0), MATCH(V.b.Inputs[Vector], INDIRECT("'"&amp;V.b.Inputs[#Headers]&amp;"'!Year.Vectors"), 0))</f>
        <v>-76.161609897863315</v>
      </c>
      <c r="I16" s="2769">
        <f ca="1">INDEX(INDIRECT("'"&amp;V.b.Inputs[#Headers]&amp;"'!Year.Matrix"), MATCH("Subtotal."&amp;$A$2, INDIRECT("'"&amp;V.b.Inputs[#Headers]&amp;"'!Year.Modules"), 0), MATCH(V.b.Inputs[Vector], INDIRECT("'"&amp;V.b.Inputs[#Headers]&amp;"'!Year.Vectors"), 0))</f>
        <v>-76.083210281436607</v>
      </c>
      <c r="J16" s="2769">
        <f ca="1">INDEX(INDIRECT("'"&amp;V.b.Inputs[#Headers]&amp;"'!Year.Matrix"), MATCH("Subtotal."&amp;$A$2, INDIRECT("'"&amp;V.b.Inputs[#Headers]&amp;"'!Year.Modules"), 0), MATCH(V.b.Inputs[Vector], INDIRECT("'"&amp;V.b.Inputs[#Headers]&amp;"'!Year.Vectors"), 0))</f>
        <v>-75.820892589846778</v>
      </c>
      <c r="K16" s="2769">
        <f ca="1">INDEX(INDIRECT("'"&amp;V.b.Inputs[#Headers]&amp;"'!Year.Matrix"), MATCH("Subtotal."&amp;$A$2, INDIRECT("'"&amp;V.b.Inputs[#Headers]&amp;"'!Year.Modules"), 0), MATCH(V.b.Inputs[Vector], INDIRECT("'"&amp;V.b.Inputs[#Headers]&amp;"'!Year.Vectors"), 0))</f>
        <v>-75.6249565614566</v>
      </c>
      <c r="L16" s="2769">
        <f ca="1">INDEX(INDIRECT("'"&amp;V.b.Inputs[#Headers]&amp;"'!Year.Matrix"), MATCH("Subtotal."&amp;$A$2, INDIRECT("'"&amp;V.b.Inputs[#Headers]&amp;"'!Year.Modules"), 0), MATCH(V.b.Inputs[Vector], INDIRECT("'"&amp;V.b.Inputs[#Headers]&amp;"'!Year.Vectors"), 0))</f>
        <v>-75.340093616616301</v>
      </c>
      <c r="M16" s="2769">
        <f ca="1">INDEX(INDIRECT("'"&amp;V.b.Inputs[#Headers]&amp;"'!Year.Matrix"), MATCH("Subtotal."&amp;$A$2, INDIRECT("'"&amp;V.b.Inputs[#Headers]&amp;"'!Year.Modules"), 0), MATCH(V.b.Inputs[Vector], INDIRECT("'"&amp;V.b.Inputs[#Headers]&amp;"'!Year.Vectors"), 0))</f>
        <v>-75.191255545966996</v>
      </c>
      <c r="N16" s="2769">
        <f ca="1">INDEX(INDIRECT("'"&amp;V.b.Inputs[#Headers]&amp;"'!Year.Matrix"), MATCH("Subtotal."&amp;$A$2, INDIRECT("'"&amp;V.b.Inputs[#Headers]&amp;"'!Year.Modules"), 0), MATCH(V.b.Inputs[Vector], INDIRECT("'"&amp;V.b.Inputs[#Headers]&amp;"'!Year.Vectors"), 0))</f>
        <v>-74.505208807877793</v>
      </c>
      <c r="O16" s="17"/>
      <c r="P16"/>
    </row>
    <row r="17" spans="1:16" s="6" customFormat="1" ht="15.5">
      <c r="A17" s="3"/>
      <c r="B17" s="2658"/>
      <c r="C17" s="864" t="s">
        <v>99</v>
      </c>
      <c r="D17" s="2961" t="s">
        <v>89</v>
      </c>
      <c r="E17" s="2961"/>
      <c r="F17" s="2491">
        <f ca="1">INDEX(INDIRECT("'"&amp;V.b.Inputs[#Headers]&amp;"'!Year.Matrix"), MATCH("Subtotal."&amp;$A$2, INDIRECT("'"&amp;V.b.Inputs[#Headers]&amp;"'!Year.Modules"), 0), MATCH(V.b.Inputs[Vector], INDIRECT("'"&amp;V.b.Inputs[#Headers]&amp;"'!Year.Vectors"), 0))</f>
        <v>-46.772039222317815</v>
      </c>
      <c r="G17" s="2491">
        <f ca="1">INDEX(INDIRECT("'"&amp;V.b.Inputs[#Headers]&amp;"'!Year.Matrix"), MATCH("Subtotal."&amp;$A$2, INDIRECT("'"&amp;V.b.Inputs[#Headers]&amp;"'!Year.Modules"), 0), MATCH(V.b.Inputs[Vector], INDIRECT("'"&amp;V.b.Inputs[#Headers]&amp;"'!Year.Vectors"), 0))</f>
        <v>-48.722656609144629</v>
      </c>
      <c r="H17" s="2491">
        <f ca="1">INDEX(INDIRECT("'"&amp;V.b.Inputs[#Headers]&amp;"'!Year.Matrix"), MATCH("Subtotal."&amp;$A$2, INDIRECT("'"&amp;V.b.Inputs[#Headers]&amp;"'!Year.Modules"), 0), MATCH(V.b.Inputs[Vector], INDIRECT("'"&amp;V.b.Inputs[#Headers]&amp;"'!Year.Vectors"), 0))</f>
        <v>-56.888397959696128</v>
      </c>
      <c r="I17" s="2491">
        <f ca="1">INDEX(INDIRECT("'"&amp;V.b.Inputs[#Headers]&amp;"'!Year.Matrix"), MATCH("Subtotal."&amp;$A$2, INDIRECT("'"&amp;V.b.Inputs[#Headers]&amp;"'!Year.Modules"), 0), MATCH(V.b.Inputs[Vector], INDIRECT("'"&amp;V.b.Inputs[#Headers]&amp;"'!Year.Vectors"), 0))</f>
        <v>-68.271566963354275</v>
      </c>
      <c r="J17" s="2491">
        <f ca="1">INDEX(INDIRECT("'"&amp;V.b.Inputs[#Headers]&amp;"'!Year.Matrix"), MATCH("Subtotal."&amp;$A$2, INDIRECT("'"&amp;V.b.Inputs[#Headers]&amp;"'!Year.Modules"), 0), MATCH(V.b.Inputs[Vector], INDIRECT("'"&amp;V.b.Inputs[#Headers]&amp;"'!Year.Vectors"), 0))</f>
        <v>-84.637781591734282</v>
      </c>
      <c r="K17" s="2491">
        <f ca="1">INDEX(INDIRECT("'"&amp;V.b.Inputs[#Headers]&amp;"'!Year.Matrix"), MATCH("Subtotal."&amp;$A$2, INDIRECT("'"&amp;V.b.Inputs[#Headers]&amp;"'!Year.Modules"), 0), MATCH(V.b.Inputs[Vector], INDIRECT("'"&amp;V.b.Inputs[#Headers]&amp;"'!Year.Vectors"), 0))</f>
        <v>-105.33711352998291</v>
      </c>
      <c r="L17" s="2491">
        <f ca="1">INDEX(INDIRECT("'"&amp;V.b.Inputs[#Headers]&amp;"'!Year.Matrix"), MATCH("Subtotal."&amp;$A$2, INDIRECT("'"&amp;V.b.Inputs[#Headers]&amp;"'!Year.Modules"), 0), MATCH(V.b.Inputs[Vector], INDIRECT("'"&amp;V.b.Inputs[#Headers]&amp;"'!Year.Vectors"), 0))</f>
        <v>-114.36297881915442</v>
      </c>
      <c r="M17" s="2491">
        <f ca="1">INDEX(INDIRECT("'"&amp;V.b.Inputs[#Headers]&amp;"'!Year.Matrix"), MATCH("Subtotal."&amp;$A$2, INDIRECT("'"&amp;V.b.Inputs[#Headers]&amp;"'!Year.Modules"), 0), MATCH(V.b.Inputs[Vector], INDIRECT("'"&amp;V.b.Inputs[#Headers]&amp;"'!Year.Vectors"), 0))</f>
        <v>-123.75492729529913</v>
      </c>
      <c r="N17" s="2491">
        <f ca="1">INDEX(INDIRECT("'"&amp;V.b.Inputs[#Headers]&amp;"'!Year.Matrix"), MATCH("Subtotal."&amp;$A$2, INDIRECT("'"&amp;V.b.Inputs[#Headers]&amp;"'!Year.Modules"), 0), MATCH(V.b.Inputs[Vector], INDIRECT("'"&amp;V.b.Inputs[#Headers]&amp;"'!Year.Vectors"), 0))</f>
        <v>-133.7357504056701</v>
      </c>
      <c r="O17" s="17"/>
      <c r="P17"/>
    </row>
    <row r="18" spans="1:16" s="6" customFormat="1" ht="15.5">
      <c r="A18" s="3"/>
      <c r="B18" s="2658"/>
      <c r="C18" s="17"/>
      <c r="D18" s="17"/>
      <c r="E18" s="17"/>
      <c r="F18" s="2491"/>
      <c r="G18" s="2491"/>
      <c r="H18" s="2491"/>
      <c r="I18" s="2491"/>
      <c r="J18" s="2491"/>
      <c r="K18" s="2491"/>
      <c r="L18" s="2491"/>
      <c r="M18" s="2491"/>
      <c r="N18" s="2491"/>
      <c r="O18" s="17"/>
      <c r="P18"/>
    </row>
    <row r="19" spans="1:16">
      <c r="B19" s="868"/>
    </row>
    <row r="20" spans="1:16" s="6" customFormat="1" ht="23.5">
      <c r="A20" s="40"/>
      <c r="B20" s="869" t="s">
        <v>33</v>
      </c>
      <c r="C20" s="870"/>
      <c r="D20" s="870"/>
      <c r="E20" s="870"/>
      <c r="F20" s="870"/>
      <c r="G20" s="870"/>
      <c r="H20" s="870"/>
      <c r="I20" s="870"/>
      <c r="J20" s="870"/>
      <c r="K20" s="870"/>
      <c r="L20" s="870"/>
      <c r="M20" s="870"/>
      <c r="N20" s="870"/>
      <c r="O20" s="871"/>
      <c r="P20"/>
    </row>
    <row r="21" spans="1:16">
      <c r="B21" s="105"/>
      <c r="C21" s="67"/>
      <c r="D21" s="67"/>
      <c r="E21" s="67"/>
      <c r="F21" s="67"/>
      <c r="G21" s="67"/>
      <c r="H21" s="67"/>
      <c r="I21" s="67"/>
      <c r="J21" s="67"/>
      <c r="K21" s="67"/>
      <c r="L21" s="67"/>
      <c r="M21" s="67"/>
      <c r="N21" s="67"/>
      <c r="O21" s="876"/>
    </row>
    <row r="22" spans="1:16">
      <c r="B22" s="105"/>
      <c r="C22" s="49" t="s">
        <v>2659</v>
      </c>
      <c r="D22" s="67"/>
      <c r="E22" s="51"/>
      <c r="F22" s="67"/>
      <c r="G22" s="67"/>
      <c r="H22" s="67"/>
      <c r="I22" s="67"/>
      <c r="J22" s="67"/>
      <c r="K22" s="67"/>
      <c r="L22" s="67"/>
      <c r="M22" s="67"/>
      <c r="N22" s="51" t="str">
        <f>Preferences.EnergyUnits</f>
        <v>TWh</v>
      </c>
      <c r="O22" s="876"/>
    </row>
    <row r="23" spans="1:16">
      <c r="B23" s="105"/>
      <c r="C23" s="67"/>
      <c r="D23" s="67"/>
      <c r="E23" s="67"/>
      <c r="F23" s="67"/>
      <c r="G23" s="67"/>
      <c r="H23" s="67"/>
      <c r="I23" s="67"/>
      <c r="J23" s="67"/>
      <c r="K23" s="67"/>
      <c r="L23" s="67"/>
      <c r="M23" s="67"/>
      <c r="N23" s="67"/>
      <c r="O23" s="876"/>
    </row>
    <row r="24" spans="1:16" ht="15.5">
      <c r="B24" s="55"/>
      <c r="C24" s="878" t="s">
        <v>8</v>
      </c>
      <c r="D24" s="878" t="s">
        <v>71</v>
      </c>
      <c r="E24" s="878" t="s">
        <v>30</v>
      </c>
      <c r="F24" s="87">
        <v>2013</v>
      </c>
      <c r="G24" s="87">
        <v>2015</v>
      </c>
      <c r="H24" s="87">
        <v>2020</v>
      </c>
      <c r="I24" s="87">
        <v>2025</v>
      </c>
      <c r="J24" s="87">
        <v>2030</v>
      </c>
      <c r="K24" s="87">
        <v>2035</v>
      </c>
      <c r="L24" s="87">
        <v>2040</v>
      </c>
      <c r="M24" s="87">
        <v>2045</v>
      </c>
      <c r="N24" s="87">
        <v>2050</v>
      </c>
      <c r="O24" s="876"/>
    </row>
    <row r="25" spans="1:16" s="6" customFormat="1" ht="15.5">
      <c r="B25" s="966"/>
      <c r="C25" s="65">
        <v>1</v>
      </c>
      <c r="D25" s="103"/>
      <c r="E25" s="881"/>
      <c r="F25" s="2639">
        <f>636*Unit.TJ</f>
        <v>0.17666666666666667</v>
      </c>
      <c r="G25" s="2639">
        <f>Unit.TWh*0.25</f>
        <v>0.25</v>
      </c>
      <c r="H25" s="2639">
        <f>Unit.TWh*0.25</f>
        <v>0.25</v>
      </c>
      <c r="I25" s="2639">
        <f>0.2*Unit.TWh</f>
        <v>0.2</v>
      </c>
      <c r="J25" s="2639">
        <f>Unit.TWh*1</f>
        <v>1</v>
      </c>
      <c r="K25" s="2639">
        <f>Unit.TWh*1</f>
        <v>1</v>
      </c>
      <c r="L25" s="2639">
        <f>Unit.TWh*0.5</f>
        <v>0.5</v>
      </c>
      <c r="M25" s="2639">
        <v>0</v>
      </c>
      <c r="N25" s="2639">
        <v>0</v>
      </c>
      <c r="O25" s="884"/>
      <c r="P25"/>
    </row>
    <row r="26" spans="1:16" ht="15.5">
      <c r="B26" s="55"/>
      <c r="C26" s="65">
        <v>2</v>
      </c>
      <c r="D26" s="103"/>
      <c r="E26" s="103"/>
      <c r="F26" s="2639">
        <f>636*Unit.TJ</f>
        <v>0.17666666666666667</v>
      </c>
      <c r="G26" s="2639">
        <f>Unit.TWh*0.25</f>
        <v>0.25</v>
      </c>
      <c r="H26" s="2639">
        <f>Unit.TWh*1</f>
        <v>1</v>
      </c>
      <c r="I26" s="2639">
        <f>Unit.TWh*1</f>
        <v>1</v>
      </c>
      <c r="J26" s="2639">
        <f>1.4*Unit.TWh</f>
        <v>1.4</v>
      </c>
      <c r="K26" s="2639">
        <f>Unit.TWh*1.8</f>
        <v>1.8</v>
      </c>
      <c r="L26" s="2639">
        <f>Unit.TWh*2.2</f>
        <v>2.2000000000000002</v>
      </c>
      <c r="M26" s="2639">
        <f>Unit.TWh*2.6</f>
        <v>2.6</v>
      </c>
      <c r="N26" s="2639">
        <f>Unit.TWh*3</f>
        <v>3</v>
      </c>
      <c r="O26" s="876"/>
    </row>
    <row r="27" spans="1:16" ht="15.5">
      <c r="B27" s="55"/>
      <c r="C27" s="65">
        <v>3</v>
      </c>
      <c r="D27" s="103"/>
      <c r="E27" s="103"/>
      <c r="F27" s="2639">
        <f>636*Unit.TJ</f>
        <v>0.17666666666666667</v>
      </c>
      <c r="G27" s="2639">
        <f>Unit.TWh*0.25</f>
        <v>0.25</v>
      </c>
      <c r="H27" s="2639">
        <f>Unit.TWh*1</f>
        <v>1</v>
      </c>
      <c r="I27" s="2639">
        <f>Unit.TWh*1.85714285714286</f>
        <v>1.8571428571428601</v>
      </c>
      <c r="J27" s="2639">
        <f>Unit.TWh*2.68571428571428</f>
        <v>2.6857142857142802</v>
      </c>
      <c r="K27" s="2639">
        <f>Unit.TWh*3.51428571428571</f>
        <v>3.5142857142857098</v>
      </c>
      <c r="L27" s="2639">
        <f>Unit.TWh*4.34285714285714</f>
        <v>4.3428571428571399</v>
      </c>
      <c r="M27" s="2639">
        <f>Unit.TWh*5.17142857142857</f>
        <v>5.1714285714285699</v>
      </c>
      <c r="N27" s="2639">
        <f>Unit.TWh*6</f>
        <v>6</v>
      </c>
      <c r="O27" s="876"/>
    </row>
    <row r="28" spans="1:16" ht="15.5">
      <c r="B28" s="55"/>
      <c r="C28" s="887">
        <v>4</v>
      </c>
      <c r="D28" s="888"/>
      <c r="E28" s="888"/>
      <c r="F28" s="2639">
        <f>636*Unit.TJ</f>
        <v>0.17666666666666667</v>
      </c>
      <c r="G28" s="2639">
        <f>Unit.TWh*0.25</f>
        <v>0.25</v>
      </c>
      <c r="H28" s="2639">
        <f>1.4*Unit.TWh</f>
        <v>1.4</v>
      </c>
      <c r="I28" s="2639">
        <f>Unit.TWh*2.46428571428571</f>
        <v>2.46428571428571</v>
      </c>
      <c r="J28" s="2639">
        <f>Unit.TWh*3.57142857142857</f>
        <v>3.5714285714285698</v>
      </c>
      <c r="K28" s="2639">
        <f>Unit.TWh*4.67857142857143</f>
        <v>4.6785714285714297</v>
      </c>
      <c r="L28" s="2639">
        <f>Unit.TWh*5.78571428571429</f>
        <v>5.78571428571429</v>
      </c>
      <c r="M28" s="2639">
        <f>Unit.TWh*6.89285714285715</f>
        <v>6.8928571428571503</v>
      </c>
      <c r="N28" s="2639">
        <f>Unit.TWh*8</f>
        <v>8</v>
      </c>
      <c r="O28" s="876"/>
    </row>
    <row r="29" spans="1:16" ht="15.5">
      <c r="B29" s="55"/>
      <c r="C29" s="1015" t="s">
        <v>37</v>
      </c>
      <c r="D29" s="892"/>
      <c r="E29" s="892"/>
      <c r="F29" s="3318">
        <f>(INDEX(F$25:F$28,ROUNDDOWN($E$7,0))*(1-MOD($E$7,1)))+(INDEX(F$25:F$28,ROUNDUP($E$7,0))*MOD($E$7,1))</f>
        <v>0.17666666666666667</v>
      </c>
      <c r="G29" s="3319">
        <f t="shared" ref="G29:N29" si="0">(INDEX(G$25:G$28,ROUNDDOWN($E$7,0))*(1-MOD($E$7,1)))+(INDEX(G$25:G$28,ROUNDUP($E$7,0))*MOD($E$7,1))</f>
        <v>0.25</v>
      </c>
      <c r="H29" s="3318">
        <f t="shared" si="0"/>
        <v>0.25</v>
      </c>
      <c r="I29" s="3318">
        <f t="shared" si="0"/>
        <v>0.2</v>
      </c>
      <c r="J29" s="3318">
        <f t="shared" si="0"/>
        <v>1</v>
      </c>
      <c r="K29" s="3318">
        <f t="shared" si="0"/>
        <v>1</v>
      </c>
      <c r="L29" s="3318">
        <f t="shared" si="0"/>
        <v>0.5</v>
      </c>
      <c r="M29" s="3318">
        <f t="shared" si="0"/>
        <v>0</v>
      </c>
      <c r="N29" s="3318">
        <f t="shared" si="0"/>
        <v>0</v>
      </c>
      <c r="O29" s="876"/>
    </row>
    <row r="30" spans="1:16" ht="15.5">
      <c r="B30" s="55"/>
      <c r="C30" s="1260"/>
      <c r="D30" s="1260"/>
      <c r="E30" s="1260"/>
      <c r="F30" s="913"/>
      <c r="G30" s="913" t="s">
        <v>5</v>
      </c>
      <c r="H30" s="913"/>
      <c r="I30" s="913"/>
      <c r="J30" s="913"/>
      <c r="K30" s="913"/>
      <c r="L30" s="913"/>
      <c r="M30" s="913"/>
      <c r="N30" s="913"/>
      <c r="O30" s="876"/>
    </row>
    <row r="31" spans="1:16" ht="15.5">
      <c r="B31" s="55"/>
      <c r="C31" s="49" t="s">
        <v>3011</v>
      </c>
      <c r="D31" s="67"/>
      <c r="E31" s="51"/>
      <c r="F31" s="67"/>
      <c r="G31" s="67" t="s">
        <v>5</v>
      </c>
      <c r="H31" s="67" t="s">
        <v>5</v>
      </c>
      <c r="I31" s="67"/>
      <c r="J31" s="67" t="s">
        <v>5</v>
      </c>
      <c r="K31" s="67"/>
      <c r="L31" s="67"/>
      <c r="M31" s="67"/>
      <c r="N31" s="51" t="str">
        <f>Preferences.EnergyUnits</f>
        <v>TWh</v>
      </c>
      <c r="O31" s="876"/>
    </row>
    <row r="32" spans="1:16" ht="15.5">
      <c r="B32" s="55"/>
      <c r="C32" s="67"/>
      <c r="D32" s="67"/>
      <c r="E32" s="67"/>
      <c r="F32" s="67"/>
      <c r="G32" s="67"/>
      <c r="H32" s="67"/>
      <c r="I32" s="67"/>
      <c r="J32" s="67"/>
      <c r="K32" s="67"/>
      <c r="L32" s="67"/>
      <c r="M32" s="67"/>
      <c r="N32" s="67"/>
      <c r="O32" s="876"/>
    </row>
    <row r="33" spans="2:41" ht="15.5">
      <c r="B33" s="55"/>
      <c r="C33" s="878" t="s">
        <v>8</v>
      </c>
      <c r="D33" s="878" t="s">
        <v>71</v>
      </c>
      <c r="E33" s="878" t="s">
        <v>30</v>
      </c>
      <c r="F33" s="87">
        <v>2013</v>
      </c>
      <c r="G33" s="87">
        <v>2015</v>
      </c>
      <c r="H33" s="87">
        <v>2020</v>
      </c>
      <c r="I33" s="87">
        <v>2025</v>
      </c>
      <c r="J33" s="87">
        <v>2030</v>
      </c>
      <c r="K33" s="87">
        <v>2035</v>
      </c>
      <c r="L33" s="87">
        <v>2040</v>
      </c>
      <c r="M33" s="87">
        <v>2045</v>
      </c>
      <c r="N33" s="87">
        <v>2050</v>
      </c>
      <c r="O33" s="876"/>
    </row>
    <row r="34" spans="2:41" ht="15.5">
      <c r="B34" s="55"/>
      <c r="C34" s="65">
        <v>1</v>
      </c>
      <c r="D34" s="103"/>
      <c r="E34" s="881"/>
      <c r="F34" s="2639">
        <f>79*Unit.ktoe</f>
        <v>0.91876999999999998</v>
      </c>
      <c r="G34" s="2639">
        <f>90*Unit.ktoe</f>
        <v>1.0467</v>
      </c>
      <c r="H34" s="2639">
        <f>90*Unit.ktoe</f>
        <v>1.0467</v>
      </c>
      <c r="I34" s="2639">
        <f>90*Unit.ktoe</f>
        <v>1.0467</v>
      </c>
      <c r="J34" s="2639">
        <v>0.6</v>
      </c>
      <c r="K34" s="2639">
        <v>0.44999999999999996</v>
      </c>
      <c r="L34" s="2639">
        <v>0.29999999999999993</v>
      </c>
      <c r="M34" s="2639">
        <v>0.14999999999999991</v>
      </c>
      <c r="N34" s="2639">
        <v>0</v>
      </c>
      <c r="O34" s="876"/>
    </row>
    <row r="35" spans="2:41" ht="15.5">
      <c r="B35" s="55"/>
      <c r="C35" s="65">
        <v>2</v>
      </c>
      <c r="D35" s="103"/>
      <c r="E35" s="103"/>
      <c r="F35" s="2639">
        <f>79*Unit.ktoe</f>
        <v>0.91876999999999998</v>
      </c>
      <c r="G35" s="2639">
        <f>90*Unit.ktoe</f>
        <v>1.0467</v>
      </c>
      <c r="H35" s="2639">
        <f>110*Unit.ktoe</f>
        <v>1.2792999999999999</v>
      </c>
      <c r="I35" s="2639">
        <f>1.5*Unit.TWh</f>
        <v>1.5</v>
      </c>
      <c r="J35" s="2639">
        <f>Unit.TWh*1.8</f>
        <v>1.8</v>
      </c>
      <c r="K35" s="2639">
        <f>Unit.TWh*2.1</f>
        <v>2.1</v>
      </c>
      <c r="L35" s="2639">
        <f>Unit.TWh*2.4</f>
        <v>2.4</v>
      </c>
      <c r="M35" s="2639">
        <f>Unit.TWh*2.7</f>
        <v>2.7</v>
      </c>
      <c r="N35" s="2639">
        <f>Unit.TWh*3</f>
        <v>3</v>
      </c>
      <c r="O35" s="876"/>
    </row>
    <row r="36" spans="2:41" ht="15.5">
      <c r="B36" s="55"/>
      <c r="C36" s="65">
        <v>3</v>
      </c>
      <c r="D36" s="103"/>
      <c r="E36" s="103"/>
      <c r="F36" s="2639">
        <f>79*Unit.ktoe</f>
        <v>0.91876999999999998</v>
      </c>
      <c r="G36" s="2639">
        <f>90*Unit.ktoe</f>
        <v>1.0467</v>
      </c>
      <c r="H36" s="2639">
        <f>110*Unit.ktoe</f>
        <v>1.2792999999999999</v>
      </c>
      <c r="I36" s="2639">
        <f>Unit.TWh*1.96916666666667</f>
        <v>1.9691666666666701</v>
      </c>
      <c r="J36" s="2639">
        <f>Unit.TWh*2.77533333333333</f>
        <v>2.7753333333333301</v>
      </c>
      <c r="K36" s="2639">
        <f>Unit.TWh*3.5815</f>
        <v>3.5815000000000001</v>
      </c>
      <c r="L36" s="2639">
        <f>Unit.TWh*4.38766666666667</f>
        <v>4.3876666666666697</v>
      </c>
      <c r="M36" s="2639">
        <f>Unit.TWh*5.19383333333333</f>
        <v>5.1938333333333304</v>
      </c>
      <c r="N36" s="2639">
        <f>Unit.TWh*6</f>
        <v>6</v>
      </c>
      <c r="O36" s="67"/>
      <c r="Q36" s="1068"/>
      <c r="R36" s="1068"/>
      <c r="S36" s="1068"/>
      <c r="T36" s="1068"/>
      <c r="U36" s="1068"/>
      <c r="V36" s="1068"/>
      <c r="W36" s="1068"/>
      <c r="X36" s="1068"/>
      <c r="Y36" s="1068"/>
      <c r="Z36" s="1068"/>
      <c r="AA36" s="1068"/>
      <c r="AB36" s="1068"/>
      <c r="AC36" s="1068"/>
      <c r="AD36" s="1068"/>
      <c r="AE36" s="1068"/>
      <c r="AF36" s="1068"/>
      <c r="AG36" s="1068"/>
      <c r="AH36" s="1068"/>
      <c r="AI36" s="1068"/>
      <c r="AJ36" s="1068"/>
    </row>
    <row r="37" spans="2:41" ht="15.5">
      <c r="B37" s="55"/>
      <c r="C37" s="887">
        <v>4</v>
      </c>
      <c r="D37" s="888"/>
      <c r="E37" s="888"/>
      <c r="F37" s="2639">
        <f>79*Unit.ktoe</f>
        <v>0.91876999999999998</v>
      </c>
      <c r="G37" s="2639">
        <f>90*Unit.ktoe</f>
        <v>1.0467</v>
      </c>
      <c r="H37" s="2639">
        <f>130*Unit.ktoe</f>
        <v>1.5119</v>
      </c>
      <c r="I37" s="2639">
        <f>Unit.TWh*2.49633333333333</f>
        <v>2.4963333333333302</v>
      </c>
      <c r="J37" s="2639">
        <f>Unit.TWh*3.59706666666667</f>
        <v>3.5970666666666702</v>
      </c>
      <c r="K37" s="2639">
        <f>Unit.TWh*4.6978</f>
        <v>4.6978</v>
      </c>
      <c r="L37" s="2639">
        <f>Unit.TWh*5.79853333333333</f>
        <v>5.7985333333333298</v>
      </c>
      <c r="M37" s="2639">
        <f>Unit.TWh*6.89926666666667</f>
        <v>6.8992666666666702</v>
      </c>
      <c r="N37" s="2639">
        <f>Unit.TWh*8</f>
        <v>8</v>
      </c>
      <c r="O37" s="67"/>
      <c r="Q37" s="1068"/>
      <c r="R37" s="1068"/>
      <c r="S37" s="1068"/>
      <c r="T37" s="1068"/>
      <c r="U37" s="1068"/>
      <c r="V37" s="1068"/>
      <c r="W37" s="1068"/>
      <c r="X37" s="1068"/>
      <c r="Y37" s="1068"/>
      <c r="Z37" s="1068"/>
      <c r="AA37" s="1068"/>
      <c r="AB37" s="1068"/>
      <c r="AC37" s="1068"/>
      <c r="AD37" s="1068"/>
      <c r="AE37" s="1068"/>
      <c r="AF37" s="1068"/>
      <c r="AG37" s="1068"/>
      <c r="AH37" s="1068"/>
      <c r="AI37" s="1068"/>
      <c r="AJ37" s="1068"/>
    </row>
    <row r="38" spans="2:41" ht="15.5">
      <c r="B38" s="55"/>
      <c r="C38" s="1015" t="s">
        <v>37</v>
      </c>
      <c r="D38" s="892"/>
      <c r="E38" s="892"/>
      <c r="F38" s="3318">
        <f>(INDEX(F$34:F$37,ROUNDDOWN($E$7,0))*(1-MOD($E$7,1)))+(INDEX(F$34:F$37,ROUNDUP($E$7,0))*MOD($E$7,1))</f>
        <v>0.91876999999999998</v>
      </c>
      <c r="G38" s="3319">
        <f t="shared" ref="G38:N38" si="1">(INDEX(G$34:G$37,ROUNDDOWN($E$7,0))*(1-MOD($E$7,1)))+(INDEX(G$34:G$37,ROUNDUP($E$7,0))*MOD($E$7,1))</f>
        <v>1.0467</v>
      </c>
      <c r="H38" s="3318">
        <f t="shared" si="1"/>
        <v>1.0467</v>
      </c>
      <c r="I38" s="3318">
        <f t="shared" si="1"/>
        <v>1.0467</v>
      </c>
      <c r="J38" s="3318">
        <f t="shared" si="1"/>
        <v>0.6</v>
      </c>
      <c r="K38" s="3318">
        <f t="shared" si="1"/>
        <v>0.44999999999999996</v>
      </c>
      <c r="L38" s="3318">
        <f t="shared" si="1"/>
        <v>0.29999999999999993</v>
      </c>
      <c r="M38" s="3318">
        <f t="shared" si="1"/>
        <v>0.14999999999999991</v>
      </c>
      <c r="N38" s="3318">
        <f t="shared" si="1"/>
        <v>0</v>
      </c>
      <c r="O38" s="67"/>
      <c r="Q38" s="1068"/>
      <c r="R38" s="1068"/>
      <c r="S38" s="1068"/>
      <c r="T38" s="1068"/>
      <c r="U38" s="1068"/>
      <c r="V38" s="1068"/>
      <c r="W38" s="1068"/>
      <c r="X38" s="1068"/>
      <c r="Y38" s="1068"/>
      <c r="Z38" s="1068"/>
      <c r="AA38" s="1068"/>
      <c r="AB38" s="1068"/>
      <c r="AC38" s="1068"/>
      <c r="AD38" s="1068"/>
      <c r="AE38" s="1068"/>
      <c r="AF38" s="1068"/>
      <c r="AG38" s="1068"/>
      <c r="AH38" s="1068"/>
      <c r="AI38" s="1068"/>
      <c r="AJ38" s="1068"/>
    </row>
    <row r="39" spans="2:41" ht="15.5">
      <c r="B39" s="55"/>
      <c r="C39" s="65"/>
      <c r="D39" s="103"/>
      <c r="E39" s="103"/>
      <c r="F39" s="2648"/>
      <c r="G39" s="2569" t="s">
        <v>5</v>
      </c>
      <c r="H39" s="2569" t="s">
        <v>5</v>
      </c>
      <c r="I39" s="2569"/>
      <c r="J39" s="2569"/>
      <c r="K39" s="2569"/>
      <c r="L39" s="2569"/>
      <c r="M39" s="2569"/>
      <c r="N39" s="2569"/>
      <c r="O39" s="2569"/>
      <c r="Q39" s="1068"/>
      <c r="R39" s="1068"/>
      <c r="S39" s="1068"/>
      <c r="T39" s="1068"/>
      <c r="U39" s="1068"/>
      <c r="V39" s="1068"/>
      <c r="W39" s="1068"/>
      <c r="X39" s="1068"/>
      <c r="Y39" s="1068"/>
      <c r="Z39" s="1068"/>
      <c r="AA39" s="1068"/>
      <c r="AB39" s="1068"/>
      <c r="AC39" s="1068"/>
      <c r="AD39" s="1068"/>
      <c r="AE39" s="1068"/>
      <c r="AF39" s="1068"/>
      <c r="AG39" s="1068"/>
      <c r="AH39" s="1068"/>
      <c r="AI39" s="1068"/>
      <c r="AJ39" s="1068"/>
      <c r="AK39" s="1068"/>
      <c r="AL39" s="1068"/>
      <c r="AM39" s="1068"/>
      <c r="AN39" s="1068"/>
      <c r="AO39" s="1068"/>
    </row>
    <row r="40" spans="2:41" ht="15.5">
      <c r="B40" s="55"/>
      <c r="C40" s="49" t="s">
        <v>716</v>
      </c>
      <c r="D40" s="67"/>
      <c r="E40" s="67"/>
      <c r="F40" s="67"/>
      <c r="G40" s="51"/>
      <c r="H40" s="67"/>
      <c r="I40" s="67"/>
      <c r="J40" s="67"/>
      <c r="K40" s="67"/>
      <c r="L40" s="67"/>
      <c r="M40" s="67"/>
      <c r="N40" s="67"/>
      <c r="O40" s="67"/>
      <c r="Q40" s="1068"/>
      <c r="R40" s="1068"/>
      <c r="S40" s="1068"/>
      <c r="T40" s="1068"/>
      <c r="U40" s="1068"/>
      <c r="V40" s="1068"/>
      <c r="W40" s="1068"/>
      <c r="X40" s="1068"/>
      <c r="Y40" s="647"/>
      <c r="Z40" s="1068"/>
      <c r="AA40" s="1068"/>
      <c r="AB40" s="1068"/>
      <c r="AC40" s="1068"/>
      <c r="AD40" s="1068"/>
      <c r="AE40" s="1068"/>
      <c r="AF40" s="1068"/>
      <c r="AG40" s="1068"/>
      <c r="AH40" s="1068"/>
      <c r="AI40" s="1068"/>
      <c r="AJ40" s="1068"/>
      <c r="AK40" s="1068"/>
      <c r="AL40" s="1068"/>
      <c r="AM40" s="1068"/>
      <c r="AN40" s="1068"/>
      <c r="AO40" s="1068"/>
    </row>
    <row r="41" spans="2:41" ht="4.5" customHeight="1">
      <c r="B41" s="55"/>
      <c r="C41" s="67"/>
      <c r="D41" s="67"/>
      <c r="E41" s="67"/>
      <c r="F41" s="67"/>
      <c r="G41" s="67"/>
      <c r="H41" s="67"/>
      <c r="I41" s="67"/>
      <c r="J41" s="67"/>
      <c r="K41" s="67"/>
      <c r="L41" s="67"/>
      <c r="M41" s="67"/>
      <c r="N41" s="67"/>
      <c r="O41" s="67"/>
      <c r="Q41" s="1068"/>
      <c r="R41" s="1068"/>
      <c r="S41" s="1068"/>
      <c r="T41" s="1068"/>
      <c r="U41" s="1068"/>
      <c r="V41" s="1068"/>
      <c r="W41" s="1068"/>
      <c r="X41" s="1068"/>
      <c r="Y41" s="1068"/>
      <c r="Z41" s="1068"/>
      <c r="AA41" s="1068"/>
      <c r="AB41" s="1068"/>
      <c r="AC41" s="1068"/>
      <c r="AD41" s="1068"/>
      <c r="AE41" s="1068"/>
      <c r="AF41" s="1068"/>
      <c r="AG41" s="1068"/>
      <c r="AH41" s="1068"/>
      <c r="AI41" s="1068"/>
      <c r="AJ41" s="1068"/>
      <c r="AK41" s="1068"/>
      <c r="AL41" s="1068"/>
      <c r="AM41" s="1068"/>
      <c r="AN41" s="1068"/>
      <c r="AO41" s="1068"/>
    </row>
    <row r="42" spans="2:41" ht="15.5">
      <c r="B42" s="55"/>
      <c r="C42" s="878"/>
      <c r="D42" s="878"/>
      <c r="E42" s="878"/>
      <c r="F42" s="87"/>
      <c r="G42" s="1152" t="s">
        <v>876</v>
      </c>
      <c r="H42" s="1152"/>
      <c r="I42" s="67"/>
      <c r="J42" s="911"/>
      <c r="K42" s="911"/>
      <c r="L42" s="911"/>
      <c r="M42" s="911"/>
      <c r="N42" s="911"/>
      <c r="O42" s="911"/>
      <c r="Q42" s="1068"/>
      <c r="R42" s="1068"/>
      <c r="S42" s="1068"/>
      <c r="T42" s="1068"/>
      <c r="U42" s="1068"/>
      <c r="V42" s="1068"/>
      <c r="W42" s="1068"/>
      <c r="X42" s="1068"/>
      <c r="Y42" s="2525"/>
      <c r="Z42" s="1068"/>
      <c r="AA42" s="1068"/>
      <c r="AB42" s="1068"/>
      <c r="AC42" s="1068"/>
      <c r="AD42" s="1068"/>
      <c r="AE42" s="1068"/>
      <c r="AF42" s="1068"/>
      <c r="AG42" s="1068"/>
      <c r="AH42" s="1068"/>
      <c r="AI42" s="1068"/>
      <c r="AJ42" s="1068"/>
      <c r="AK42" s="1068"/>
      <c r="AL42" s="1068"/>
      <c r="AM42" s="1068"/>
      <c r="AN42" s="1068"/>
      <c r="AO42" s="1068"/>
    </row>
    <row r="43" spans="2:41" ht="15.5">
      <c r="B43" s="55"/>
      <c r="C43" s="902"/>
      <c r="D43" s="901" t="s">
        <v>2660</v>
      </c>
      <c r="E43" s="902"/>
      <c r="F43" s="2812">
        <f>0.6*Unit.W/Unit.m2</f>
        <v>6.0000000000000006E-4</v>
      </c>
      <c r="G43" s="2813" t="str">
        <f>Preferences.PowerUnits&amp;"/"&amp;Preferences.AreaUnits</f>
        <v>GW/km^2</v>
      </c>
      <c r="H43" s="2814"/>
      <c r="I43" s="67"/>
      <c r="J43" s="911"/>
      <c r="K43" s="911"/>
      <c r="L43" s="911"/>
      <c r="M43" s="911"/>
      <c r="N43" s="911"/>
      <c r="O43" s="911"/>
      <c r="Q43" s="1068"/>
      <c r="R43" s="1068"/>
      <c r="S43" s="1068"/>
      <c r="T43" s="1068"/>
      <c r="U43" s="1068"/>
      <c r="V43" s="1068"/>
      <c r="W43" s="1068"/>
      <c r="X43" s="1068"/>
      <c r="Y43" s="2525"/>
      <c r="Z43" s="1068"/>
      <c r="AA43" s="1068"/>
      <c r="AB43" s="1068"/>
      <c r="AC43" s="1068"/>
      <c r="AD43" s="1068"/>
      <c r="AE43" s="1068"/>
      <c r="AF43" s="1068"/>
      <c r="AG43" s="1068"/>
      <c r="AH43" s="1068"/>
      <c r="AI43" s="1068"/>
      <c r="AJ43" s="1068"/>
      <c r="AK43" s="1068"/>
      <c r="AL43" s="1068"/>
      <c r="AM43" s="1068"/>
      <c r="AN43" s="1068"/>
      <c r="AO43" s="1068"/>
    </row>
    <row r="44" spans="2:41" ht="15.5">
      <c r="B44" s="55"/>
      <c r="C44" s="65"/>
      <c r="D44" s="103"/>
      <c r="E44" s="103"/>
      <c r="F44" s="65"/>
      <c r="G44" s="2569"/>
      <c r="H44" s="2569"/>
      <c r="I44" s="2569"/>
      <c r="J44" s="2569"/>
      <c r="K44" s="2569"/>
      <c r="L44" s="2569"/>
      <c r="M44" s="2569"/>
      <c r="N44" s="2569"/>
      <c r="O44" s="2569"/>
      <c r="Q44" s="2500"/>
      <c r="R44" s="647"/>
      <c r="S44" s="1068"/>
      <c r="T44" s="1068"/>
      <c r="U44" s="1068"/>
      <c r="V44" s="1068"/>
      <c r="W44" s="1068"/>
      <c r="X44" s="1068"/>
      <c r="Y44" s="2525"/>
      <c r="Z44" s="647"/>
      <c r="AA44" s="647"/>
      <c r="AB44" s="647"/>
      <c r="AC44" s="647"/>
      <c r="AD44" s="647"/>
      <c r="AE44" s="647"/>
      <c r="AF44" s="1068"/>
      <c r="AG44" s="1068"/>
      <c r="AH44" s="1068"/>
      <c r="AI44" s="1068"/>
      <c r="AJ44" s="1068"/>
      <c r="AK44" s="1068"/>
      <c r="AL44" s="1068"/>
      <c r="AM44" s="1068"/>
      <c r="AN44" s="1068"/>
      <c r="AO44" s="1068"/>
    </row>
    <row r="45" spans="2:41" s="2" customFormat="1">
      <c r="B45" s="45"/>
      <c r="C45" s="3458" t="s">
        <v>63</v>
      </c>
      <c r="D45" s="921"/>
      <c r="E45" s="46"/>
      <c r="F45" s="46"/>
      <c r="G45" s="46"/>
      <c r="H45" s="46"/>
      <c r="I45" s="46"/>
      <c r="J45" s="46"/>
      <c r="K45" s="46"/>
      <c r="L45" s="46"/>
      <c r="M45" s="46"/>
      <c r="N45" s="46"/>
      <c r="O45" s="46"/>
      <c r="P45"/>
      <c r="Q45" s="1068"/>
      <c r="R45" s="1068"/>
      <c r="S45" s="81"/>
      <c r="T45" s="81"/>
      <c r="U45" s="81"/>
      <c r="V45" s="81"/>
      <c r="W45" s="81"/>
      <c r="X45" s="81"/>
      <c r="Y45" s="2525"/>
      <c r="Z45" s="1068"/>
      <c r="AA45" s="1068"/>
      <c r="AB45" s="1068"/>
      <c r="AC45" s="1068"/>
      <c r="AD45" s="1068"/>
      <c r="AE45" s="1068"/>
      <c r="AF45" s="81"/>
      <c r="AG45" s="81"/>
      <c r="AH45" s="81"/>
      <c r="AI45" s="81"/>
      <c r="AJ45" s="81"/>
      <c r="AK45" s="81"/>
      <c r="AL45" s="81"/>
      <c r="AM45" s="81"/>
      <c r="AN45" s="81"/>
      <c r="AO45" s="81"/>
    </row>
    <row r="46" spans="2:41" s="3461" customFormat="1">
      <c r="B46" s="3459"/>
      <c r="C46" s="920" t="s">
        <v>64</v>
      </c>
      <c r="D46" s="921" t="s">
        <v>3012</v>
      </c>
      <c r="E46" s="924"/>
      <c r="F46" s="924"/>
      <c r="G46" s="924"/>
      <c r="H46" s="924"/>
      <c r="I46" s="924"/>
      <c r="J46" s="924"/>
      <c r="K46" s="924"/>
      <c r="L46" s="924"/>
      <c r="M46" s="924"/>
      <c r="N46" s="924"/>
      <c r="O46" s="924"/>
      <c r="P46"/>
      <c r="Q46" s="1068"/>
      <c r="R46" s="202"/>
      <c r="S46" s="3460"/>
      <c r="T46" s="3460"/>
      <c r="U46" s="3460"/>
      <c r="V46" s="3460"/>
      <c r="W46" s="3460"/>
      <c r="X46" s="3460"/>
      <c r="Y46" s="2525"/>
      <c r="Z46" s="1068"/>
      <c r="AA46" s="1068"/>
      <c r="AB46" s="1068"/>
      <c r="AC46" s="1068"/>
      <c r="AD46" s="1068"/>
      <c r="AE46" s="1068"/>
      <c r="AF46" s="3460"/>
      <c r="AG46" s="3460"/>
      <c r="AH46" s="3460"/>
      <c r="AI46" s="3460"/>
      <c r="AJ46" s="3460"/>
      <c r="AK46" s="3460"/>
      <c r="AL46" s="3460"/>
      <c r="AM46" s="3460"/>
      <c r="AN46" s="3460"/>
      <c r="AO46" s="3460"/>
    </row>
    <row r="47" spans="2:41" s="3461" customFormat="1">
      <c r="B47" s="3459"/>
      <c r="C47" s="3827" t="s">
        <v>66</v>
      </c>
      <c r="D47" s="3828" t="s">
        <v>3014</v>
      </c>
      <c r="E47" s="924"/>
      <c r="F47" s="924"/>
      <c r="G47" s="924"/>
      <c r="H47" s="924"/>
      <c r="I47" s="924"/>
      <c r="J47" s="924"/>
      <c r="K47" s="924"/>
      <c r="L47" s="924"/>
      <c r="M47" s="924"/>
      <c r="N47" s="924"/>
      <c r="O47" s="924"/>
      <c r="P47"/>
      <c r="Q47" s="1068"/>
      <c r="R47" s="202"/>
      <c r="S47" s="3460"/>
      <c r="T47" s="3460"/>
      <c r="U47" s="3460"/>
      <c r="V47" s="3460"/>
      <c r="W47" s="3460"/>
      <c r="X47" s="3460"/>
      <c r="Y47" s="1420"/>
      <c r="Z47" s="1068"/>
      <c r="AA47" s="1068"/>
      <c r="AB47" s="1068"/>
      <c r="AC47" s="1068"/>
      <c r="AD47" s="1068"/>
      <c r="AE47" s="1068"/>
      <c r="AF47" s="3460"/>
      <c r="AG47" s="3460"/>
      <c r="AH47" s="3460"/>
      <c r="AI47" s="3460"/>
      <c r="AJ47" s="3460"/>
      <c r="AK47" s="3460"/>
      <c r="AL47" s="3460"/>
      <c r="AM47" s="3460"/>
      <c r="AN47" s="3460"/>
      <c r="AO47" s="3460"/>
    </row>
    <row r="48" spans="2:41" s="2" customFormat="1">
      <c r="B48" s="106"/>
      <c r="C48" s="3827"/>
      <c r="D48" s="3828" t="s">
        <v>3015</v>
      </c>
      <c r="E48" s="110"/>
      <c r="F48" s="110"/>
      <c r="G48" s="110"/>
      <c r="H48" s="110"/>
      <c r="I48" s="110"/>
      <c r="J48" s="110"/>
      <c r="K48" s="110"/>
      <c r="L48" s="110"/>
      <c r="M48" s="110"/>
      <c r="N48" s="110"/>
      <c r="O48" s="110"/>
      <c r="P48"/>
      <c r="Q48" s="1068"/>
      <c r="R48" s="1068"/>
      <c r="S48" s="81"/>
      <c r="T48" s="81"/>
      <c r="U48" s="81"/>
      <c r="V48" s="81"/>
      <c r="W48" s="81"/>
      <c r="X48" s="81"/>
      <c r="Y48" s="2525"/>
      <c r="Z48" s="1068"/>
      <c r="AA48" s="1068"/>
      <c r="AB48" s="1068"/>
      <c r="AC48" s="1068"/>
      <c r="AD48" s="1068"/>
      <c r="AE48" s="1068"/>
      <c r="AF48" s="81"/>
      <c r="AG48" s="81"/>
      <c r="AH48" s="81"/>
      <c r="AI48" s="81"/>
      <c r="AJ48" s="81"/>
      <c r="AK48" s="81"/>
      <c r="AL48" s="81"/>
      <c r="AM48" s="81"/>
      <c r="AN48" s="81"/>
      <c r="AO48" s="81"/>
    </row>
    <row r="49" spans="1:41">
      <c r="Q49" s="1068"/>
      <c r="R49" s="1068"/>
      <c r="S49" s="1068"/>
      <c r="T49" s="1068"/>
      <c r="U49" s="1068"/>
      <c r="V49" s="1068"/>
      <c r="W49" s="1068"/>
      <c r="X49" s="1068"/>
      <c r="Y49" s="2525"/>
      <c r="Z49" s="1068"/>
      <c r="AA49" s="1068"/>
      <c r="AB49" s="1068"/>
      <c r="AC49" s="1068"/>
      <c r="AD49" s="1068"/>
      <c r="AE49" s="1068"/>
      <c r="AF49" s="1068"/>
      <c r="AG49" s="1068"/>
      <c r="AH49" s="1068"/>
      <c r="AI49" s="1068"/>
      <c r="AJ49" s="1068"/>
      <c r="AK49" s="1068"/>
      <c r="AL49" s="1068"/>
      <c r="AM49" s="1068"/>
      <c r="AN49" s="1068"/>
      <c r="AO49" s="1068"/>
    </row>
    <row r="50" spans="1:41" s="6" customFormat="1" ht="23.5" collapsed="1">
      <c r="A50" s="40"/>
      <c r="B50" s="869" t="s">
        <v>69</v>
      </c>
      <c r="C50" s="870"/>
      <c r="D50" s="870"/>
      <c r="E50" s="870"/>
      <c r="F50" s="870"/>
      <c r="G50" s="870"/>
      <c r="H50" s="870"/>
      <c r="I50" s="870"/>
      <c r="J50" s="870"/>
      <c r="K50" s="870"/>
      <c r="L50" s="870"/>
      <c r="M50" s="870"/>
      <c r="N50" s="870"/>
      <c r="O50" s="870"/>
      <c r="P50"/>
      <c r="Q50" s="1068"/>
      <c r="R50" s="1068"/>
      <c r="S50" s="647"/>
      <c r="T50" s="647"/>
      <c r="U50" s="647"/>
      <c r="V50" s="647"/>
      <c r="W50" s="647"/>
      <c r="X50" s="647"/>
      <c r="Y50" s="512"/>
      <c r="Z50" s="512"/>
      <c r="AA50" s="1068"/>
      <c r="AB50" s="1068"/>
      <c r="AC50" s="1068"/>
      <c r="AD50" s="1068"/>
      <c r="AE50" s="1068"/>
      <c r="AF50" s="647"/>
      <c r="AG50" s="647"/>
      <c r="AH50" s="647"/>
      <c r="AI50" s="647"/>
      <c r="AJ50" s="647"/>
      <c r="AK50" s="647"/>
      <c r="AL50" s="647"/>
      <c r="AM50" s="647"/>
      <c r="AN50" s="647"/>
      <c r="AO50" s="647"/>
    </row>
    <row r="51" spans="1:41" ht="15.5">
      <c r="B51" s="877"/>
      <c r="C51" s="915"/>
      <c r="D51" s="915"/>
      <c r="E51" s="914"/>
      <c r="F51" s="2677"/>
      <c r="G51" s="2683"/>
      <c r="H51" s="2677"/>
      <c r="I51" s="2677"/>
      <c r="J51" s="2677"/>
      <c r="K51" s="2677"/>
      <c r="L51" s="2677"/>
      <c r="M51" s="2677"/>
      <c r="N51" s="2677"/>
      <c r="O51" s="2677"/>
      <c r="Q51" s="1068"/>
      <c r="R51" s="1068"/>
      <c r="S51" s="1068"/>
      <c r="T51" s="1068"/>
      <c r="U51" s="1068"/>
      <c r="V51" s="1068"/>
      <c r="W51" s="1068"/>
      <c r="X51" s="1068"/>
      <c r="Y51" s="512"/>
      <c r="Z51" s="512"/>
      <c r="AA51" s="1068"/>
      <c r="AB51" s="1068"/>
      <c r="AC51" s="1068"/>
      <c r="AD51" s="1068"/>
      <c r="AE51" s="1068"/>
      <c r="AF51" s="1068"/>
      <c r="AG51" s="1068"/>
      <c r="AH51" s="1068"/>
      <c r="AI51" s="1068"/>
      <c r="AJ51" s="1068"/>
      <c r="AK51" s="1068"/>
      <c r="AL51" s="1068"/>
      <c r="AM51" s="1068"/>
      <c r="AN51" s="1068"/>
      <c r="AO51" s="1068"/>
    </row>
    <row r="52" spans="1:41">
      <c r="Q52" s="1068"/>
      <c r="R52" s="1068"/>
      <c r="S52" s="1068"/>
      <c r="T52" s="1068"/>
      <c r="U52" s="1068"/>
      <c r="V52" s="1068"/>
      <c r="W52" s="1068"/>
      <c r="X52" s="1068"/>
      <c r="Y52" s="512"/>
      <c r="Z52" s="512"/>
      <c r="AA52" s="1068"/>
      <c r="AB52" s="1068"/>
      <c r="AC52" s="1068"/>
      <c r="AD52" s="1068"/>
      <c r="AE52" s="1068"/>
      <c r="AF52" s="1068"/>
      <c r="AG52" s="1068"/>
      <c r="AH52" s="1068"/>
      <c r="AI52" s="1068"/>
      <c r="AJ52" s="1068"/>
      <c r="AK52" s="1068"/>
      <c r="AL52" s="1068"/>
      <c r="AM52" s="1068"/>
      <c r="AN52" s="1068"/>
      <c r="AO52" s="1068"/>
    </row>
    <row r="53" spans="1:41" s="6" customFormat="1" ht="24" customHeight="1">
      <c r="A53" s="40"/>
      <c r="B53" s="869" t="s">
        <v>2719</v>
      </c>
      <c r="C53" s="870"/>
      <c r="D53" s="870"/>
      <c r="E53" s="870"/>
      <c r="F53" s="870"/>
      <c r="G53" s="870"/>
      <c r="H53" s="870"/>
      <c r="I53" s="870"/>
      <c r="J53" s="870"/>
      <c r="K53" s="870"/>
      <c r="L53" s="870"/>
      <c r="M53" s="870"/>
      <c r="N53" s="870"/>
      <c r="O53" s="870"/>
      <c r="P53"/>
      <c r="Q53" s="647"/>
      <c r="R53" s="647"/>
      <c r="S53" s="647"/>
      <c r="T53" s="647"/>
      <c r="U53" s="647"/>
      <c r="V53" s="647"/>
      <c r="W53" s="647"/>
      <c r="X53" s="647"/>
      <c r="Y53" s="512"/>
      <c r="Z53" s="512"/>
      <c r="AA53" s="647"/>
      <c r="AB53" s="647"/>
      <c r="AC53" s="647"/>
      <c r="AD53" s="647"/>
      <c r="AE53" s="647"/>
      <c r="AF53" s="647"/>
      <c r="AG53" s="647"/>
      <c r="AH53" s="647"/>
      <c r="AI53" s="647"/>
      <c r="AJ53" s="647"/>
      <c r="AK53" s="647"/>
      <c r="AL53" s="647"/>
      <c r="AM53" s="647"/>
      <c r="AN53" s="647"/>
      <c r="AO53" s="647"/>
    </row>
    <row r="54" spans="1:41" hidden="1">
      <c r="B54" s="872"/>
      <c r="C54" s="873"/>
      <c r="D54" s="873"/>
      <c r="E54" s="873"/>
      <c r="F54" s="873"/>
      <c r="G54" s="873"/>
      <c r="H54" s="873"/>
      <c r="I54" s="873"/>
      <c r="J54" s="873"/>
      <c r="K54" s="873"/>
      <c r="L54" s="873"/>
      <c r="M54" s="873"/>
      <c r="N54" s="873"/>
      <c r="O54" s="873"/>
      <c r="Q54" s="1068"/>
      <c r="R54" s="1068"/>
      <c r="S54" s="1068"/>
      <c r="T54" s="1068"/>
      <c r="U54" s="1068"/>
      <c r="V54" s="1068"/>
      <c r="W54" s="1068"/>
      <c r="X54" s="1068"/>
      <c r="Y54" s="512"/>
      <c r="Z54" s="512"/>
      <c r="AA54" s="1068"/>
      <c r="AB54" s="1068"/>
      <c r="AC54" s="1068"/>
      <c r="AD54" s="1068"/>
      <c r="AE54" s="1068"/>
      <c r="AF54" s="1068"/>
      <c r="AG54" s="1068"/>
      <c r="AH54" s="1068"/>
      <c r="AI54" s="1068"/>
      <c r="AJ54" s="1068"/>
      <c r="AK54" s="1068"/>
      <c r="AL54" s="1068"/>
      <c r="AM54" s="1068"/>
      <c r="AN54" s="1068"/>
      <c r="AO54" s="1068"/>
    </row>
    <row r="55" spans="1:41" hidden="1">
      <c r="B55" s="105"/>
      <c r="C55" s="49" t="s">
        <v>2661</v>
      </c>
      <c r="D55" s="915"/>
      <c r="E55" s="932"/>
      <c r="F55" s="2489"/>
      <c r="G55" s="934"/>
      <c r="H55" s="934"/>
      <c r="I55" s="934"/>
      <c r="J55" s="934"/>
      <c r="K55" s="934"/>
      <c r="L55" s="934"/>
      <c r="M55" s="934"/>
      <c r="N55" s="935" t="s">
        <v>2742</v>
      </c>
      <c r="O55" s="67"/>
      <c r="Q55" s="1068"/>
      <c r="R55" s="1068"/>
      <c r="S55" s="1068"/>
      <c r="T55" s="1068"/>
      <c r="U55" s="1068"/>
      <c r="V55" s="1068"/>
      <c r="W55" s="1068"/>
      <c r="X55" s="1164"/>
      <c r="Y55" s="512"/>
      <c r="Z55" s="647"/>
      <c r="AA55" s="1068"/>
      <c r="AB55" s="1068"/>
      <c r="AC55" s="1068"/>
      <c r="AD55" s="1068"/>
      <c r="AE55" s="1068"/>
      <c r="AF55" s="1068"/>
      <c r="AG55" s="1068"/>
      <c r="AH55" s="1068"/>
      <c r="AI55" s="1068"/>
      <c r="AJ55" s="1068"/>
      <c r="AK55" s="1068"/>
      <c r="AL55" s="1068"/>
      <c r="AM55" s="1068"/>
      <c r="AN55" s="1068"/>
      <c r="AO55" s="1068"/>
    </row>
    <row r="56" spans="1:41" ht="4.5" hidden="1" customHeight="1">
      <c r="B56" s="105"/>
      <c r="C56" s="937"/>
      <c r="D56" s="915"/>
      <c r="E56" s="932"/>
      <c r="F56" s="2489"/>
      <c r="G56" s="934"/>
      <c r="H56" s="934"/>
      <c r="I56" s="934"/>
      <c r="J56" s="934"/>
      <c r="K56" s="934"/>
      <c r="L56" s="934"/>
      <c r="M56" s="934"/>
      <c r="N56" s="67"/>
      <c r="O56" s="67"/>
      <c r="Q56" s="1068"/>
      <c r="R56" s="1068"/>
      <c r="S56" s="1068"/>
      <c r="T56" s="1068"/>
      <c r="U56" s="1068"/>
      <c r="V56" s="1068"/>
      <c r="W56" s="1068"/>
      <c r="X56" s="1164"/>
      <c r="Y56" s="512"/>
      <c r="Z56" s="647"/>
      <c r="AA56" s="1068"/>
      <c r="AB56" s="1068"/>
      <c r="AC56" s="1068"/>
      <c r="AD56" s="1068"/>
      <c r="AE56" s="1068"/>
      <c r="AF56" s="1068"/>
      <c r="AG56" s="1068"/>
      <c r="AH56" s="1068"/>
      <c r="AI56" s="1068"/>
      <c r="AJ56" s="1068"/>
      <c r="AK56" s="1068"/>
      <c r="AL56" s="1068"/>
      <c r="AM56" s="1068"/>
      <c r="AN56" s="1068"/>
      <c r="AO56" s="1068"/>
    </row>
    <row r="57" spans="1:41" hidden="1">
      <c r="B57" s="105"/>
      <c r="C57" s="938"/>
      <c r="D57" s="939"/>
      <c r="E57" s="940" t="s">
        <v>159</v>
      </c>
      <c r="F57" s="976">
        <v>2013</v>
      </c>
      <c r="G57" s="976">
        <v>2015</v>
      </c>
      <c r="H57" s="976">
        <v>2020</v>
      </c>
      <c r="I57" s="976">
        <v>2025</v>
      </c>
      <c r="J57" s="976">
        <v>2030</v>
      </c>
      <c r="K57" s="976">
        <v>2035</v>
      </c>
      <c r="L57" s="976">
        <v>2040</v>
      </c>
      <c r="M57" s="976">
        <v>2045</v>
      </c>
      <c r="N57" s="976">
        <v>2050</v>
      </c>
      <c r="O57" s="67"/>
      <c r="Q57" s="1068"/>
      <c r="R57" s="1068"/>
      <c r="S57" s="3462"/>
      <c r="T57" s="1068"/>
      <c r="U57" s="1068"/>
      <c r="V57" s="1068"/>
      <c r="W57" s="1068"/>
      <c r="X57" s="1164"/>
      <c r="Y57" s="512"/>
      <c r="Z57" s="647"/>
      <c r="AA57" s="1068"/>
      <c r="AB57" s="1068"/>
      <c r="AC57" s="1068"/>
      <c r="AD57" s="1068"/>
      <c r="AE57" s="1068"/>
      <c r="AF57" s="1068"/>
      <c r="AG57" s="1068"/>
      <c r="AH57" s="1068"/>
      <c r="AI57" s="1068"/>
      <c r="AJ57" s="1068"/>
      <c r="AK57" s="1068"/>
      <c r="AL57" s="1068"/>
      <c r="AM57" s="1068"/>
      <c r="AN57" s="1068"/>
      <c r="AO57" s="1068"/>
    </row>
    <row r="58" spans="1:41" hidden="1">
      <c r="B58" s="105"/>
      <c r="C58" s="943" t="s">
        <v>719</v>
      </c>
      <c r="D58" s="915"/>
      <c r="E58" s="2395"/>
      <c r="F58" s="3463"/>
      <c r="G58" s="3464"/>
      <c r="H58" s="3464"/>
      <c r="I58" s="3464"/>
      <c r="J58" s="3464"/>
      <c r="K58" s="3464"/>
      <c r="L58" s="3464"/>
      <c r="M58" s="3464"/>
      <c r="N58" s="3463"/>
      <c r="O58" s="67"/>
      <c r="Q58" s="1068"/>
      <c r="R58" s="1068"/>
      <c r="S58" s="1068"/>
      <c r="T58" s="1068"/>
      <c r="U58" s="1068"/>
      <c r="V58" s="1068"/>
      <c r="W58" s="1068"/>
      <c r="X58" s="1068"/>
      <c r="Y58" s="1068"/>
      <c r="Z58" s="1068"/>
      <c r="AA58" s="1068"/>
      <c r="AB58" s="1068"/>
      <c r="AC58" s="1068"/>
      <c r="AD58" s="1068"/>
      <c r="AE58" s="1068"/>
      <c r="AF58" s="1068"/>
      <c r="AG58" s="1068"/>
      <c r="AH58" s="1068"/>
      <c r="AI58" s="1068"/>
      <c r="AJ58" s="1068"/>
      <c r="AK58" s="1068"/>
      <c r="AL58" s="1068"/>
      <c r="AM58" s="1068"/>
      <c r="AN58" s="1068"/>
      <c r="AO58" s="1068"/>
    </row>
    <row r="59" spans="1:41" hidden="1">
      <c r="B59" s="105"/>
      <c r="C59" s="943" t="s">
        <v>720</v>
      </c>
      <c r="D59" s="915"/>
      <c r="E59" s="2395"/>
      <c r="F59" s="3463"/>
      <c r="G59" s="3463"/>
      <c r="H59" s="3463"/>
      <c r="I59" s="3463"/>
      <c r="J59" s="3463"/>
      <c r="K59" s="3463"/>
      <c r="L59" s="3463"/>
      <c r="M59" s="3463"/>
      <c r="N59" s="3463"/>
      <c r="O59" s="67"/>
      <c r="Q59" s="1164"/>
      <c r="R59" s="1164"/>
      <c r="S59" s="1068"/>
      <c r="T59" s="1068"/>
      <c r="U59" s="1068"/>
      <c r="V59" s="1068"/>
      <c r="W59" s="1068"/>
      <c r="X59" s="1068"/>
      <c r="Y59" s="1068"/>
      <c r="Z59" s="1068"/>
      <c r="AA59" s="1068"/>
      <c r="AB59" s="1068"/>
      <c r="AC59" s="1068"/>
      <c r="AD59" s="1068"/>
      <c r="AE59" s="1068"/>
      <c r="AF59" s="1068"/>
      <c r="AG59" s="1068"/>
      <c r="AH59" s="1068"/>
      <c r="AI59" s="1068"/>
      <c r="AJ59" s="1068"/>
      <c r="AK59" s="1068"/>
      <c r="AL59" s="1068"/>
      <c r="AM59" s="1068"/>
      <c r="AN59" s="1068"/>
      <c r="AO59" s="1068"/>
    </row>
    <row r="60" spans="1:41" hidden="1">
      <c r="B60" s="105"/>
      <c r="C60" s="947" t="s">
        <v>721</v>
      </c>
      <c r="D60" s="948"/>
      <c r="E60" s="2396"/>
      <c r="F60" s="3465"/>
      <c r="G60" s="3466"/>
      <c r="H60" s="3466"/>
      <c r="I60" s="3466"/>
      <c r="J60" s="3466"/>
      <c r="K60" s="3466"/>
      <c r="L60" s="3466"/>
      <c r="M60" s="3466"/>
      <c r="N60" s="3465"/>
      <c r="O60" s="67"/>
      <c r="Q60" s="1068"/>
      <c r="R60" s="1068"/>
      <c r="S60" s="1068"/>
      <c r="T60" s="1068"/>
      <c r="U60" s="1068"/>
      <c r="V60" s="1068"/>
      <c r="W60" s="1068"/>
      <c r="X60" s="1164"/>
      <c r="Y60" s="1068"/>
      <c r="Z60" s="1068"/>
      <c r="AA60" s="1068"/>
      <c r="AB60" s="1068"/>
      <c r="AC60" s="1068"/>
      <c r="AD60" s="1068"/>
      <c r="AE60" s="1068"/>
      <c r="AF60" s="1068"/>
      <c r="AG60" s="1068"/>
      <c r="AH60" s="1068"/>
      <c r="AI60" s="1068"/>
      <c r="AJ60" s="1068"/>
      <c r="AK60" s="1068"/>
      <c r="AL60" s="1068"/>
      <c r="AM60" s="1068"/>
      <c r="AN60" s="1068"/>
      <c r="AO60" s="1068"/>
    </row>
    <row r="61" spans="1:41" hidden="1">
      <c r="B61" s="105"/>
      <c r="C61" s="937"/>
      <c r="D61" s="915"/>
      <c r="E61" s="932"/>
      <c r="F61" s="2489"/>
      <c r="G61" s="934"/>
      <c r="H61" s="934"/>
      <c r="I61" s="934"/>
      <c r="J61" s="934"/>
      <c r="K61" s="934"/>
      <c r="L61" s="934"/>
      <c r="M61" s="934"/>
      <c r="N61" s="67"/>
      <c r="O61" s="67"/>
      <c r="Q61" s="1068"/>
      <c r="R61" s="1068"/>
      <c r="S61" s="1068"/>
      <c r="T61" s="1068"/>
      <c r="U61" s="1068"/>
      <c r="V61" s="1068"/>
      <c r="W61" s="1068"/>
      <c r="X61" s="1164"/>
      <c r="Y61" s="1068"/>
      <c r="Z61" s="1068"/>
      <c r="AA61" s="1068"/>
      <c r="AB61" s="1068"/>
      <c r="AC61" s="1068"/>
      <c r="AD61" s="1068"/>
      <c r="AE61" s="1068"/>
      <c r="AF61" s="1068"/>
      <c r="AG61" s="1068"/>
      <c r="AH61" s="1068"/>
      <c r="AI61" s="1068"/>
      <c r="AJ61" s="1068"/>
      <c r="AK61" s="1068"/>
      <c r="AL61" s="1068"/>
      <c r="AM61" s="1068"/>
      <c r="AN61" s="1068"/>
      <c r="AO61" s="1068"/>
    </row>
    <row r="62" spans="1:41" hidden="1">
      <c r="B62" s="105"/>
      <c r="C62" s="49" t="s">
        <v>2662</v>
      </c>
      <c r="D62" s="915"/>
      <c r="E62" s="932"/>
      <c r="F62" s="2489"/>
      <c r="G62" s="934"/>
      <c r="H62" s="934"/>
      <c r="I62" s="934"/>
      <c r="J62" s="934"/>
      <c r="K62" s="934"/>
      <c r="L62" s="934"/>
      <c r="M62" s="934"/>
      <c r="N62" s="935" t="s">
        <v>2742</v>
      </c>
      <c r="O62" s="67"/>
      <c r="Q62" s="1068"/>
      <c r="R62" s="1068"/>
      <c r="S62" s="1068"/>
      <c r="T62" s="1068"/>
      <c r="U62" s="1068"/>
      <c r="V62" s="1068"/>
      <c r="W62" s="1068"/>
      <c r="X62" s="1164"/>
      <c r="Y62" s="1068"/>
      <c r="Z62" s="1068"/>
      <c r="AA62" s="1068"/>
      <c r="AB62" s="1068"/>
      <c r="AC62" s="1068"/>
      <c r="AD62" s="1068"/>
      <c r="AE62" s="1068"/>
      <c r="AF62" s="1068"/>
      <c r="AG62" s="1068"/>
      <c r="AH62" s="1068"/>
      <c r="AI62" s="1068"/>
      <c r="AJ62" s="1068"/>
      <c r="AK62" s="1068"/>
      <c r="AL62" s="1068"/>
      <c r="AM62" s="1068"/>
      <c r="AN62" s="1068"/>
      <c r="AO62" s="1068"/>
    </row>
    <row r="63" spans="1:41" ht="4.5" hidden="1" customHeight="1">
      <c r="B63" s="105"/>
      <c r="C63" s="937"/>
      <c r="D63" s="915"/>
      <c r="E63" s="932"/>
      <c r="F63" s="2489"/>
      <c r="G63" s="934"/>
      <c r="H63" s="934"/>
      <c r="I63" s="934"/>
      <c r="J63" s="934"/>
      <c r="K63" s="934"/>
      <c r="L63" s="934"/>
      <c r="M63" s="934"/>
      <c r="N63" s="67"/>
      <c r="O63" s="67"/>
      <c r="Q63" s="1068"/>
      <c r="R63" s="1068"/>
      <c r="S63" s="1068"/>
      <c r="T63" s="1068"/>
      <c r="U63" s="1068"/>
      <c r="V63" s="1068"/>
      <c r="W63" s="1068"/>
      <c r="X63" s="1164"/>
      <c r="Y63" s="1068"/>
      <c r="Z63" s="1068"/>
      <c r="AA63" s="1068"/>
      <c r="AB63" s="1068"/>
      <c r="AC63" s="1068"/>
      <c r="AD63" s="1068"/>
      <c r="AE63" s="1068"/>
      <c r="AF63" s="1068"/>
      <c r="AG63" s="1068"/>
      <c r="AH63" s="1068"/>
      <c r="AI63" s="1068"/>
      <c r="AJ63" s="1068"/>
      <c r="AK63" s="1068"/>
      <c r="AL63" s="1068"/>
      <c r="AM63" s="1068"/>
      <c r="AN63" s="1068"/>
      <c r="AO63" s="1068"/>
    </row>
    <row r="64" spans="1:41" hidden="1">
      <c r="B64" s="105"/>
      <c r="C64" s="938"/>
      <c r="D64" s="939"/>
      <c r="E64" s="940" t="s">
        <v>159</v>
      </c>
      <c r="F64" s="976">
        <v>2013</v>
      </c>
      <c r="G64" s="976">
        <v>2015</v>
      </c>
      <c r="H64" s="976">
        <v>2020</v>
      </c>
      <c r="I64" s="976">
        <v>2025</v>
      </c>
      <c r="J64" s="976">
        <v>2030</v>
      </c>
      <c r="K64" s="976">
        <v>2035</v>
      </c>
      <c r="L64" s="976">
        <v>2040</v>
      </c>
      <c r="M64" s="976">
        <v>2045</v>
      </c>
      <c r="N64" s="976">
        <v>2050</v>
      </c>
      <c r="O64" s="67"/>
      <c r="Q64" s="1068"/>
      <c r="R64" s="647"/>
      <c r="S64" s="647"/>
      <c r="T64" s="647"/>
      <c r="U64" s="647"/>
      <c r="V64" s="647"/>
      <c r="W64" s="647"/>
      <c r="X64" s="1164"/>
      <c r="Y64" s="1068"/>
      <c r="Z64" s="1068"/>
      <c r="AA64" s="1068"/>
      <c r="AB64" s="1068"/>
      <c r="AC64" s="1068"/>
      <c r="AD64" s="1068"/>
      <c r="AE64" s="1068"/>
      <c r="AF64" s="1068"/>
      <c r="AG64" s="1068"/>
      <c r="AH64" s="1068"/>
      <c r="AI64" s="1068"/>
      <c r="AJ64" s="1068"/>
      <c r="AK64" s="1068"/>
      <c r="AL64" s="1068"/>
      <c r="AM64" s="1068"/>
      <c r="AN64" s="1068"/>
      <c r="AO64" s="1068"/>
    </row>
    <row r="65" spans="2:41" hidden="1">
      <c r="B65" s="105"/>
      <c r="C65" s="943" t="s">
        <v>719</v>
      </c>
      <c r="D65" s="915"/>
      <c r="E65" s="2395"/>
      <c r="F65" s="3463"/>
      <c r="G65" s="3464"/>
      <c r="H65" s="3464"/>
      <c r="I65" s="3464"/>
      <c r="J65" s="3464"/>
      <c r="K65" s="3464"/>
      <c r="L65" s="3464"/>
      <c r="M65" s="3464"/>
      <c r="N65" s="3463"/>
      <c r="O65" s="67"/>
      <c r="Q65" s="1068"/>
      <c r="R65" s="1068"/>
      <c r="S65" s="1068"/>
      <c r="T65" s="1068"/>
      <c r="U65" s="1068"/>
      <c r="V65" s="1068"/>
      <c r="W65" s="1068"/>
      <c r="X65" s="1068"/>
      <c r="Y65" s="1068"/>
      <c r="Z65" s="1068"/>
      <c r="AA65" s="1068"/>
      <c r="AB65" s="1068"/>
      <c r="AC65" s="1068"/>
      <c r="AD65" s="1068"/>
      <c r="AE65" s="1068"/>
      <c r="AF65" s="1068"/>
      <c r="AG65" s="1068"/>
      <c r="AH65" s="1068"/>
      <c r="AI65" s="1068"/>
      <c r="AJ65" s="1068"/>
      <c r="AK65" s="1068"/>
      <c r="AL65" s="1068"/>
      <c r="AM65" s="1068"/>
      <c r="AN65" s="1068"/>
      <c r="AO65" s="1068"/>
    </row>
    <row r="66" spans="2:41" hidden="1">
      <c r="B66" s="105"/>
      <c r="C66" s="943" t="s">
        <v>720</v>
      </c>
      <c r="D66" s="915"/>
      <c r="E66" s="2395"/>
      <c r="F66" s="3463"/>
      <c r="G66" s="3463"/>
      <c r="H66" s="3463"/>
      <c r="I66" s="3463"/>
      <c r="J66" s="3463"/>
      <c r="K66" s="3463"/>
      <c r="L66" s="3463"/>
      <c r="M66" s="3463"/>
      <c r="N66" s="3463"/>
      <c r="O66" s="67"/>
      <c r="Q66" s="1164"/>
      <c r="R66" s="1164"/>
      <c r="S66" s="1068"/>
      <c r="T66" s="1068"/>
      <c r="U66" s="1068"/>
      <c r="V66" s="1068"/>
      <c r="W66" s="1068"/>
      <c r="X66" s="1068"/>
      <c r="Y66" s="1068"/>
      <c r="Z66" s="1068"/>
      <c r="AA66" s="1068"/>
      <c r="AB66" s="1068"/>
      <c r="AC66" s="1068"/>
      <c r="AD66" s="1068"/>
      <c r="AE66" s="1068"/>
      <c r="AF66" s="1068"/>
      <c r="AG66" s="1068"/>
      <c r="AH66" s="1068"/>
      <c r="AI66" s="1068"/>
      <c r="AJ66" s="1068"/>
      <c r="AK66" s="1068"/>
      <c r="AL66" s="1068"/>
      <c r="AM66" s="1068"/>
      <c r="AN66" s="1068"/>
      <c r="AO66" s="1068"/>
    </row>
    <row r="67" spans="2:41" hidden="1">
      <c r="B67" s="105"/>
      <c r="C67" s="947" t="s">
        <v>721</v>
      </c>
      <c r="D67" s="948"/>
      <c r="E67" s="2396"/>
      <c r="F67" s="3465"/>
      <c r="G67" s="3466"/>
      <c r="H67" s="3466"/>
      <c r="I67" s="3466"/>
      <c r="J67" s="3466"/>
      <c r="K67" s="3466"/>
      <c r="L67" s="3466"/>
      <c r="M67" s="3466"/>
      <c r="N67" s="3465"/>
      <c r="O67" s="67"/>
      <c r="Q67" s="1068"/>
      <c r="R67" s="1068"/>
      <c r="S67" s="1068"/>
      <c r="T67" s="1068"/>
      <c r="U67" s="1068"/>
      <c r="V67" s="1068"/>
      <c r="W67" s="1068"/>
      <c r="X67" s="1068"/>
      <c r="Y67" s="1068"/>
      <c r="Z67" s="1068"/>
      <c r="AA67" s="1068"/>
      <c r="AB67" s="1068"/>
      <c r="AC67" s="1068"/>
      <c r="AD67" s="1068"/>
      <c r="AE67" s="1068"/>
      <c r="AF67" s="1068"/>
      <c r="AG67" s="1068"/>
      <c r="AH67" s="1068"/>
      <c r="AI67" s="1068"/>
      <c r="AJ67" s="1068"/>
      <c r="AK67" s="1068"/>
      <c r="AL67" s="1068"/>
      <c r="AM67" s="1068"/>
      <c r="AN67" s="1068"/>
      <c r="AO67" s="1068"/>
    </row>
    <row r="68" spans="2:41" hidden="1">
      <c r="B68" s="47"/>
      <c r="C68" s="47"/>
      <c r="D68" s="67"/>
      <c r="E68" s="934"/>
      <c r="F68" s="67"/>
      <c r="G68" s="67"/>
      <c r="H68" s="67"/>
      <c r="I68" s="3404"/>
      <c r="J68" s="3404"/>
      <c r="K68" s="47"/>
      <c r="L68" s="47"/>
      <c r="M68" s="47"/>
      <c r="N68" s="47"/>
      <c r="O68" s="47"/>
      <c r="Q68" s="1068"/>
      <c r="R68" s="1068"/>
      <c r="S68" s="1068"/>
      <c r="T68" s="1068"/>
      <c r="U68" s="1068"/>
      <c r="V68" s="1068"/>
      <c r="W68" s="1068"/>
      <c r="X68" s="1068"/>
      <c r="Y68" s="1068"/>
      <c r="Z68" s="1068"/>
      <c r="AA68" s="1068"/>
      <c r="AB68" s="1068"/>
      <c r="AC68" s="1068"/>
      <c r="AD68" s="1068"/>
      <c r="AE68" s="1068"/>
      <c r="AF68" s="1068"/>
      <c r="AG68" s="1068"/>
      <c r="AH68" s="1068"/>
      <c r="AI68" s="1068"/>
      <c r="AJ68" s="1068"/>
      <c r="AK68" s="1068"/>
      <c r="AL68" s="1068"/>
      <c r="AM68" s="1068"/>
      <c r="AN68" s="1068"/>
      <c r="AO68" s="1068"/>
    </row>
    <row r="69" spans="2:41">
      <c r="Q69" s="1068"/>
      <c r="R69" s="1068"/>
      <c r="S69" s="1068"/>
      <c r="T69" s="1068"/>
      <c r="U69" s="1068"/>
      <c r="V69" s="1068"/>
      <c r="W69" s="1068"/>
      <c r="X69" s="1068"/>
      <c r="Y69" s="1068"/>
      <c r="Z69" s="1068"/>
      <c r="AA69" s="1068"/>
      <c r="AB69" s="1068"/>
      <c r="AC69" s="2159"/>
      <c r="AD69" s="2159"/>
      <c r="AE69" s="2159"/>
      <c r="AF69" s="2159"/>
      <c r="AG69" s="2159"/>
      <c r="AH69" s="2159"/>
      <c r="AI69" s="2159"/>
      <c r="AJ69" s="2159"/>
      <c r="AK69" s="2159"/>
      <c r="AL69" s="2159"/>
      <c r="AM69" s="2159"/>
      <c r="AN69" s="2159"/>
      <c r="AO69" s="1068"/>
    </row>
    <row r="70" spans="2:41" ht="15.5">
      <c r="B70" s="1101" t="s">
        <v>206</v>
      </c>
      <c r="Q70" s="1068"/>
      <c r="R70" s="1068"/>
      <c r="S70" s="1068"/>
      <c r="T70" s="202"/>
      <c r="U70" s="1419"/>
      <c r="V70" s="1419"/>
      <c r="W70" s="1419"/>
      <c r="X70" s="1068"/>
      <c r="Y70" s="202"/>
      <c r="Z70" s="1068"/>
      <c r="AA70" s="1068"/>
      <c r="AB70" s="1068"/>
      <c r="AC70" s="1068"/>
      <c r="AD70" s="1068"/>
      <c r="AE70" s="1068"/>
      <c r="AF70" s="1068"/>
      <c r="AG70" s="1068"/>
      <c r="AH70" s="1068"/>
      <c r="AI70" s="1068"/>
      <c r="AJ70" s="1068"/>
      <c r="AK70" s="1068"/>
      <c r="AL70" s="1068"/>
      <c r="AM70" s="1068"/>
      <c r="AN70" s="1068"/>
      <c r="AO70" s="1068"/>
    </row>
    <row r="71" spans="2:41">
      <c r="B71" s="354">
        <v>1</v>
      </c>
      <c r="C71" s="3383" t="s">
        <v>2663</v>
      </c>
      <c r="Q71" s="1068"/>
      <c r="R71" s="1068"/>
      <c r="S71" s="1068"/>
      <c r="T71" s="3467"/>
      <c r="U71" s="1068"/>
      <c r="V71" s="3462"/>
      <c r="W71" s="3462"/>
      <c r="X71" s="1068"/>
      <c r="Y71" s="1164"/>
      <c r="Z71" s="1068"/>
      <c r="AA71" s="1068"/>
      <c r="AB71" s="1068"/>
      <c r="AC71" s="2159"/>
      <c r="AD71" s="2159"/>
      <c r="AE71" s="2159"/>
      <c r="AF71" s="2159"/>
      <c r="AG71" s="2159"/>
      <c r="AH71" s="2159"/>
      <c r="AI71" s="2159"/>
      <c r="AJ71" s="2159"/>
      <c r="AK71" s="2159"/>
      <c r="AL71" s="2159"/>
      <c r="AM71" s="2159"/>
      <c r="AN71" s="2159"/>
      <c r="AO71" s="1068"/>
    </row>
    <row r="72" spans="2:41">
      <c r="Q72" s="1068"/>
      <c r="R72" s="1068"/>
      <c r="S72" s="1068"/>
      <c r="T72" s="1068"/>
      <c r="U72" s="1068"/>
      <c r="V72" s="3462"/>
      <c r="W72" s="3462"/>
      <c r="X72" s="1068"/>
      <c r="Y72" s="81"/>
      <c r="Z72" s="1068"/>
      <c r="AA72" s="1068"/>
      <c r="AB72" s="1068"/>
      <c r="AC72" s="2159"/>
      <c r="AD72" s="2159"/>
      <c r="AE72" s="2159"/>
      <c r="AF72" s="2159"/>
      <c r="AG72" s="2159"/>
      <c r="AH72" s="2159"/>
      <c r="AI72" s="2159"/>
      <c r="AJ72" s="2159"/>
      <c r="AK72" s="2159"/>
      <c r="AL72" s="2159"/>
      <c r="AM72" s="2159"/>
      <c r="AN72" s="2159"/>
      <c r="AO72" s="1068"/>
    </row>
    <row r="73" spans="2:41">
      <c r="C73" s="354" t="s">
        <v>853</v>
      </c>
      <c r="F73" s="2526">
        <v>2013</v>
      </c>
      <c r="G73" s="2526">
        <v>2015</v>
      </c>
      <c r="H73" s="2526">
        <v>2020</v>
      </c>
      <c r="I73" s="2526">
        <v>2025</v>
      </c>
      <c r="J73" s="2526">
        <v>2030</v>
      </c>
      <c r="K73" s="2526">
        <v>2035</v>
      </c>
      <c r="L73" s="2526">
        <v>2040</v>
      </c>
      <c r="M73" s="2526">
        <v>2045</v>
      </c>
      <c r="N73" s="2526">
        <v>2050</v>
      </c>
      <c r="Q73" s="1068"/>
      <c r="R73" s="1068"/>
      <c r="S73" s="1068"/>
      <c r="T73" s="1068"/>
      <c r="U73" s="1068"/>
      <c r="V73" s="1068"/>
      <c r="W73" s="1068"/>
      <c r="X73" s="1068"/>
      <c r="Y73" s="1164"/>
      <c r="Z73" s="1068"/>
      <c r="AA73" s="1068"/>
      <c r="AB73" s="1068"/>
      <c r="AC73" s="1068"/>
      <c r="AD73" s="1068"/>
      <c r="AE73" s="1068"/>
      <c r="AF73" s="1068"/>
      <c r="AG73" s="1068"/>
      <c r="AH73" s="1068"/>
      <c r="AI73" s="1068"/>
      <c r="AJ73" s="1068"/>
      <c r="AK73" s="1068"/>
      <c r="AL73" s="1068"/>
      <c r="AM73" s="1068"/>
      <c r="AN73" s="1068"/>
      <c r="AO73" s="1068"/>
    </row>
    <row r="74" spans="2:41">
      <c r="B74" s="373" t="s">
        <v>97</v>
      </c>
      <c r="C74" s="2" t="s">
        <v>87</v>
      </c>
      <c r="E74" s="373" t="str">
        <f>Preferences.EnergyUnits</f>
        <v>TWh</v>
      </c>
      <c r="F74" s="2480">
        <f t="shared" ref="F74:N74" si="2">F29</f>
        <v>0.17666666666666667</v>
      </c>
      <c r="G74" s="2480">
        <f t="shared" si="2"/>
        <v>0.25</v>
      </c>
      <c r="H74" s="2480">
        <f t="shared" si="2"/>
        <v>0.25</v>
      </c>
      <c r="I74" s="2480">
        <f t="shared" si="2"/>
        <v>0.2</v>
      </c>
      <c r="J74" s="2480">
        <f t="shared" si="2"/>
        <v>1</v>
      </c>
      <c r="K74" s="2480">
        <f t="shared" si="2"/>
        <v>1</v>
      </c>
      <c r="L74" s="2480">
        <f t="shared" si="2"/>
        <v>0.5</v>
      </c>
      <c r="M74" s="2480">
        <f t="shared" si="2"/>
        <v>0</v>
      </c>
      <c r="N74" s="2480">
        <f t="shared" si="2"/>
        <v>0</v>
      </c>
      <c r="Q74" s="1068"/>
      <c r="R74" s="1068"/>
      <c r="S74" s="1068"/>
      <c r="T74" s="1068"/>
      <c r="U74" s="3468"/>
      <c r="V74" s="1068"/>
      <c r="W74" s="1068"/>
      <c r="X74" s="1068"/>
      <c r="Y74" s="1164"/>
      <c r="Z74" s="1068"/>
      <c r="AA74" s="1068"/>
      <c r="AB74" s="1068"/>
      <c r="AC74" s="2466"/>
      <c r="AD74" s="2466"/>
      <c r="AE74" s="2466"/>
      <c r="AF74" s="2466"/>
      <c r="AG74" s="2466"/>
      <c r="AH74" s="2466"/>
      <c r="AI74" s="2466"/>
      <c r="AJ74" s="2466"/>
      <c r="AK74" s="2466"/>
      <c r="AL74" s="2466"/>
      <c r="AM74" s="2466"/>
      <c r="AN74" s="2466"/>
      <c r="AO74" s="1068"/>
    </row>
    <row r="75" spans="2:41">
      <c r="B75" s="373" t="s">
        <v>98</v>
      </c>
      <c r="C75" s="2" t="s">
        <v>88</v>
      </c>
      <c r="E75" s="373" t="str">
        <f>Preferences.EnergyUnits</f>
        <v>TWh</v>
      </c>
      <c r="F75" s="2480">
        <f t="shared" ref="F75:N75" si="3">F38</f>
        <v>0.91876999999999998</v>
      </c>
      <c r="G75" s="2480">
        <f t="shared" si="3"/>
        <v>1.0467</v>
      </c>
      <c r="H75" s="2480">
        <f t="shared" si="3"/>
        <v>1.0467</v>
      </c>
      <c r="I75" s="2480">
        <f t="shared" si="3"/>
        <v>1.0467</v>
      </c>
      <c r="J75" s="2480">
        <f t="shared" si="3"/>
        <v>0.6</v>
      </c>
      <c r="K75" s="2480">
        <f t="shared" si="3"/>
        <v>0.44999999999999996</v>
      </c>
      <c r="L75" s="2480">
        <f t="shared" si="3"/>
        <v>0.29999999999999993</v>
      </c>
      <c r="M75" s="2480">
        <f t="shared" si="3"/>
        <v>0.14999999999999991</v>
      </c>
      <c r="N75" s="2480">
        <f t="shared" si="3"/>
        <v>0</v>
      </c>
      <c r="Q75" s="1068"/>
      <c r="R75" s="1068"/>
      <c r="S75" s="1068"/>
      <c r="T75" s="1068"/>
      <c r="U75" s="1068"/>
      <c r="V75" s="1068"/>
      <c r="W75" s="1068"/>
      <c r="X75" s="1068"/>
      <c r="Y75" s="1164"/>
      <c r="Z75" s="1068"/>
      <c r="AA75" s="1068"/>
      <c r="AB75" s="1068"/>
      <c r="AC75" s="1068"/>
      <c r="AD75" s="1068"/>
      <c r="AE75" s="1068"/>
      <c r="AF75" s="1068"/>
      <c r="AG75" s="1068"/>
      <c r="AH75" s="1068"/>
      <c r="AI75" s="1068"/>
      <c r="AJ75" s="1068"/>
      <c r="AK75" s="1068"/>
      <c r="AL75" s="1068"/>
      <c r="AM75" s="1068"/>
      <c r="AN75" s="1068"/>
      <c r="AO75" s="1068"/>
    </row>
    <row r="76" spans="2:41">
      <c r="B76" s="373"/>
      <c r="C76" s="2"/>
      <c r="E76" s="373"/>
      <c r="F76" s="2480"/>
      <c r="G76" s="2480"/>
      <c r="H76" s="2480"/>
      <c r="I76" s="2480"/>
      <c r="J76" s="2480"/>
      <c r="K76" s="2480"/>
      <c r="L76" s="2480"/>
      <c r="M76" s="2480"/>
      <c r="N76" s="2480"/>
      <c r="Q76" s="1068"/>
      <c r="R76" s="1068"/>
      <c r="S76" s="1068"/>
      <c r="T76" s="1068"/>
      <c r="U76" s="1068"/>
      <c r="V76" s="1068"/>
      <c r="W76" s="1068"/>
      <c r="X76" s="1068"/>
      <c r="Y76" s="1164"/>
      <c r="Z76" s="1068"/>
      <c r="AA76" s="1068"/>
      <c r="AB76" s="1068"/>
      <c r="AC76" s="1068"/>
      <c r="AD76" s="3462"/>
      <c r="AE76" s="3462"/>
      <c r="AF76" s="3462"/>
      <c r="AG76" s="3462"/>
      <c r="AH76" s="3462"/>
      <c r="AI76" s="3462"/>
      <c r="AJ76" s="3462"/>
      <c r="AK76" s="3462"/>
      <c r="AL76" s="3462"/>
      <c r="AM76" s="3462"/>
      <c r="AN76" s="3462"/>
      <c r="AO76" s="1068"/>
    </row>
    <row r="77" spans="2:41">
      <c r="B77" s="373"/>
      <c r="C77" s="354" t="s">
        <v>2664</v>
      </c>
      <c r="E77" s="373"/>
      <c r="F77" s="2480"/>
      <c r="G77" s="2480"/>
      <c r="H77" s="2480"/>
      <c r="I77" s="2480"/>
      <c r="J77" s="2480"/>
      <c r="K77" s="2480"/>
      <c r="L77" s="2480"/>
      <c r="M77" s="2480"/>
      <c r="N77" s="2480"/>
      <c r="Q77" s="1068"/>
      <c r="R77" s="1068"/>
      <c r="S77" s="1068"/>
      <c r="T77" s="1068"/>
      <c r="U77" s="1068"/>
      <c r="V77" s="1068"/>
      <c r="W77" s="1068"/>
      <c r="X77" s="1068"/>
      <c r="Y77" s="1068"/>
      <c r="Z77" s="1068"/>
      <c r="AA77" s="1068"/>
      <c r="AB77" s="1068"/>
      <c r="AC77" s="1068"/>
      <c r="AD77" s="1068"/>
      <c r="AE77" s="1068"/>
      <c r="AF77" s="1068"/>
      <c r="AG77" s="1068"/>
      <c r="AH77" s="1068"/>
      <c r="AI77" s="1068"/>
      <c r="AJ77" s="1068"/>
      <c r="AK77" s="1068"/>
      <c r="AL77" s="1068"/>
      <c r="AM77" s="1068"/>
      <c r="AN77" s="1068"/>
      <c r="AO77" s="1068"/>
    </row>
    <row r="78" spans="2:41">
      <c r="B78" s="373" t="s">
        <v>97</v>
      </c>
      <c r="C78" s="2" t="s">
        <v>87</v>
      </c>
      <c r="E78" s="373" t="str">
        <f>Preferences.EnergyUnits</f>
        <v>TWh</v>
      </c>
      <c r="F78" s="2480">
        <f ca="1">MIN(F74, -F15)</f>
        <v>0.17666666666666667</v>
      </c>
      <c r="G78" s="2480">
        <f t="shared" ref="F78:N79" ca="1" si="4">MIN(G74, -G15)</f>
        <v>0.25</v>
      </c>
      <c r="H78" s="2480">
        <f t="shared" ca="1" si="4"/>
        <v>0.25</v>
      </c>
      <c r="I78" s="2480">
        <f t="shared" ca="1" si="4"/>
        <v>0.2</v>
      </c>
      <c r="J78" s="2480">
        <f t="shared" ca="1" si="4"/>
        <v>1</v>
      </c>
      <c r="K78" s="2480">
        <f t="shared" ca="1" si="4"/>
        <v>1</v>
      </c>
      <c r="L78" s="2480">
        <f t="shared" ca="1" si="4"/>
        <v>0.5</v>
      </c>
      <c r="M78" s="2480">
        <f t="shared" ca="1" si="4"/>
        <v>0</v>
      </c>
      <c r="N78" s="2480">
        <f t="shared" ca="1" si="4"/>
        <v>0</v>
      </c>
      <c r="Q78" s="1068"/>
      <c r="R78" s="1068"/>
      <c r="S78" s="1068"/>
      <c r="T78" s="1068"/>
      <c r="U78" s="1068"/>
      <c r="V78" s="1068"/>
      <c r="W78" s="1068"/>
      <c r="X78" s="1068"/>
      <c r="Y78" s="1068"/>
      <c r="Z78" s="1068"/>
      <c r="AA78" s="1068"/>
      <c r="AB78" s="1068"/>
      <c r="AC78" s="2159"/>
      <c r="AD78" s="2159"/>
      <c r="AE78" s="2159"/>
      <c r="AF78" s="2159"/>
      <c r="AG78" s="2159"/>
      <c r="AH78" s="2159"/>
      <c r="AI78" s="2159"/>
      <c r="AJ78" s="2159"/>
      <c r="AK78" s="2159"/>
      <c r="AL78" s="2159"/>
      <c r="AM78" s="2159"/>
      <c r="AN78" s="2159"/>
      <c r="AO78" s="1068"/>
    </row>
    <row r="79" spans="2:41">
      <c r="B79" s="373" t="s">
        <v>98</v>
      </c>
      <c r="C79" s="2" t="s">
        <v>88</v>
      </c>
      <c r="E79" s="373" t="str">
        <f>Preferences.EnergyUnits</f>
        <v>TWh</v>
      </c>
      <c r="F79" s="2480">
        <f t="shared" ca="1" si="4"/>
        <v>0.91876999999999998</v>
      </c>
      <c r="G79" s="2480">
        <f t="shared" ca="1" si="4"/>
        <v>1.0467</v>
      </c>
      <c r="H79" s="2480">
        <f t="shared" ca="1" si="4"/>
        <v>1.0467</v>
      </c>
      <c r="I79" s="2480">
        <f t="shared" ca="1" si="4"/>
        <v>1.0467</v>
      </c>
      <c r="J79" s="2480">
        <f t="shared" ca="1" si="4"/>
        <v>0.6</v>
      </c>
      <c r="K79" s="2480">
        <f t="shared" ca="1" si="4"/>
        <v>0.44999999999999996</v>
      </c>
      <c r="L79" s="2480">
        <f t="shared" ca="1" si="4"/>
        <v>0.29999999999999993</v>
      </c>
      <c r="M79" s="2480">
        <f t="shared" ca="1" si="4"/>
        <v>0.14999999999999991</v>
      </c>
      <c r="N79" s="2480">
        <f t="shared" ca="1" si="4"/>
        <v>0</v>
      </c>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row>
    <row r="80" spans="2:41">
      <c r="B80" s="373" t="s">
        <v>99</v>
      </c>
      <c r="C80" s="3383" t="s">
        <v>89</v>
      </c>
      <c r="E80" s="373" t="str">
        <f>Preferences.EnergyUnits</f>
        <v>TWh</v>
      </c>
      <c r="F80" s="2480">
        <f t="shared" ref="F80:N80" ca="1" si="5">MIN(0,-F17)</f>
        <v>0</v>
      </c>
      <c r="G80" s="2480">
        <f t="shared" ca="1" si="5"/>
        <v>0</v>
      </c>
      <c r="H80" s="2480">
        <f t="shared" ca="1" si="5"/>
        <v>0</v>
      </c>
      <c r="I80" s="2480">
        <f t="shared" ca="1" si="5"/>
        <v>0</v>
      </c>
      <c r="J80" s="2480">
        <f t="shared" ca="1" si="5"/>
        <v>0</v>
      </c>
      <c r="K80" s="2480">
        <f t="shared" ca="1" si="5"/>
        <v>0</v>
      </c>
      <c r="L80" s="2480">
        <f t="shared" ca="1" si="5"/>
        <v>0</v>
      </c>
      <c r="M80" s="2480">
        <f t="shared" ca="1" si="5"/>
        <v>0</v>
      </c>
      <c r="N80" s="2480">
        <f t="shared" ca="1" si="5"/>
        <v>0</v>
      </c>
      <c r="Q80" s="1068"/>
      <c r="R80" s="1068"/>
      <c r="S80" s="1068"/>
      <c r="T80" s="1068"/>
      <c r="U80" s="1068"/>
      <c r="V80" s="1068"/>
      <c r="W80" s="1068"/>
      <c r="X80" s="1068"/>
      <c r="Y80" s="1068"/>
      <c r="Z80" s="1068"/>
      <c r="AA80" s="1068"/>
      <c r="AB80" s="1068"/>
      <c r="AC80" s="1068"/>
      <c r="AD80" s="1068"/>
      <c r="AE80" s="1068"/>
      <c r="AF80" s="1068"/>
      <c r="AG80" s="1068"/>
      <c r="AH80" s="1068"/>
      <c r="AI80" s="1068"/>
      <c r="AJ80" s="1068"/>
      <c r="AK80" s="1068"/>
      <c r="AL80" s="1068"/>
      <c r="AM80" s="1068"/>
      <c r="AN80" s="1068"/>
      <c r="AO80" s="1068"/>
    </row>
    <row r="81" spans="2:14">
      <c r="B81" s="373"/>
      <c r="E81" s="373"/>
      <c r="F81" s="2480"/>
      <c r="G81" s="2480"/>
      <c r="H81" s="2480"/>
      <c r="I81" s="2480"/>
      <c r="J81" s="2480"/>
      <c r="K81" s="2480"/>
      <c r="L81" s="2480"/>
      <c r="M81" s="2480"/>
      <c r="N81" s="2480"/>
    </row>
    <row r="82" spans="2:14">
      <c r="B82" s="373"/>
      <c r="C82" s="354" t="s">
        <v>2707</v>
      </c>
      <c r="E82" s="373"/>
      <c r="F82" s="2480"/>
      <c r="G82" s="2480"/>
      <c r="H82" s="2480"/>
      <c r="I82" s="2480"/>
      <c r="J82" s="2480"/>
      <c r="K82" s="2480"/>
      <c r="L82" s="2480"/>
      <c r="M82" s="2480"/>
      <c r="N82" s="2480"/>
    </row>
    <row r="83" spans="2:14">
      <c r="B83" s="373" t="s">
        <v>97</v>
      </c>
      <c r="C83" s="2" t="s">
        <v>87</v>
      </c>
      <c r="E83" s="373" t="str">
        <f>Preferences.EnergyUnits</f>
        <v>TWh</v>
      </c>
      <c r="F83" s="2480">
        <f t="shared" ref="F83:N85" ca="1" si="6">IF((MIN(F78, -F15)&gt;0),MIN(F78, -F15),0)</f>
        <v>0.17666666666666667</v>
      </c>
      <c r="G83" s="2480">
        <f t="shared" ca="1" si="6"/>
        <v>0.25</v>
      </c>
      <c r="H83" s="2480">
        <f t="shared" ca="1" si="6"/>
        <v>0.25</v>
      </c>
      <c r="I83" s="2480">
        <f t="shared" ca="1" si="6"/>
        <v>0.2</v>
      </c>
      <c r="J83" s="2480">
        <f t="shared" ca="1" si="6"/>
        <v>1</v>
      </c>
      <c r="K83" s="2480">
        <f t="shared" ca="1" si="6"/>
        <v>1</v>
      </c>
      <c r="L83" s="2480">
        <f t="shared" ca="1" si="6"/>
        <v>0.5</v>
      </c>
      <c r="M83" s="2480">
        <f t="shared" ca="1" si="6"/>
        <v>0</v>
      </c>
      <c r="N83" s="2480">
        <f t="shared" ca="1" si="6"/>
        <v>0</v>
      </c>
    </row>
    <row r="84" spans="2:14">
      <c r="B84" s="373" t="s">
        <v>98</v>
      </c>
      <c r="C84" s="2" t="s">
        <v>88</v>
      </c>
      <c r="E84" s="373" t="str">
        <f>Preferences.EnergyUnits</f>
        <v>TWh</v>
      </c>
      <c r="F84" s="2480">
        <f t="shared" ca="1" si="6"/>
        <v>0.91876999999999998</v>
      </c>
      <c r="G84" s="2480">
        <f t="shared" ca="1" si="6"/>
        <v>1.0467</v>
      </c>
      <c r="H84" s="2480">
        <f t="shared" ca="1" si="6"/>
        <v>1.0467</v>
      </c>
      <c r="I84" s="2480">
        <f t="shared" ca="1" si="6"/>
        <v>1.0467</v>
      </c>
      <c r="J84" s="2480">
        <f t="shared" ca="1" si="6"/>
        <v>0.6</v>
      </c>
      <c r="K84" s="2480">
        <f t="shared" ca="1" si="6"/>
        <v>0.44999999999999996</v>
      </c>
      <c r="L84" s="2480">
        <f t="shared" ca="1" si="6"/>
        <v>0.29999999999999993</v>
      </c>
      <c r="M84" s="2480">
        <f t="shared" ca="1" si="6"/>
        <v>0.14999999999999991</v>
      </c>
      <c r="N84" s="2480">
        <f t="shared" ca="1" si="6"/>
        <v>0</v>
      </c>
    </row>
    <row r="85" spans="2:14">
      <c r="B85" s="373" t="s">
        <v>99</v>
      </c>
      <c r="C85" s="3383" t="s">
        <v>89</v>
      </c>
      <c r="E85" s="373" t="str">
        <f>Preferences.EnergyUnits</f>
        <v>TWh</v>
      </c>
      <c r="F85" s="2480">
        <f t="shared" ca="1" si="6"/>
        <v>0</v>
      </c>
      <c r="G85" s="2480">
        <f t="shared" ca="1" si="6"/>
        <v>0</v>
      </c>
      <c r="H85" s="2480">
        <f t="shared" ca="1" si="6"/>
        <v>0</v>
      </c>
      <c r="I85" s="2480">
        <f t="shared" ca="1" si="6"/>
        <v>0</v>
      </c>
      <c r="J85" s="2480">
        <f t="shared" ca="1" si="6"/>
        <v>0</v>
      </c>
      <c r="K85" s="2480">
        <f t="shared" ca="1" si="6"/>
        <v>0</v>
      </c>
      <c r="L85" s="2480">
        <f t="shared" ca="1" si="6"/>
        <v>0</v>
      </c>
      <c r="M85" s="2480">
        <f t="shared" ca="1" si="6"/>
        <v>0</v>
      </c>
      <c r="N85" s="2480">
        <f t="shared" ca="1" si="6"/>
        <v>0</v>
      </c>
    </row>
    <row r="86" spans="2:14">
      <c r="B86" s="373"/>
      <c r="C86" s="2"/>
      <c r="D86" s="3383" t="s">
        <v>5</v>
      </c>
      <c r="F86" s="2481"/>
      <c r="G86" s="2481"/>
      <c r="H86" s="2481"/>
      <c r="I86" s="2481"/>
      <c r="J86" s="2481"/>
      <c r="K86" s="2481"/>
      <c r="L86" s="2481"/>
      <c r="M86" s="2481"/>
      <c r="N86" s="2481"/>
    </row>
    <row r="87" spans="2:14">
      <c r="B87" s="3383">
        <v>2</v>
      </c>
      <c r="C87" s="354" t="s">
        <v>2095</v>
      </c>
      <c r="E87" s="373" t="s">
        <v>251</v>
      </c>
      <c r="F87" s="2137">
        <f t="array" aca="1" ref="F87" ca="1">SUM(F$83:F$84*SUMIFS(EF[CO2],EF[Vector], $B$83:$B$84))</f>
        <v>0.30209165159999996</v>
      </c>
      <c r="G87" s="2137">
        <f t="array" aca="1" ref="G87" ca="1">SUM(G$83:G$84*SUMIFS(EF[CO2],EF[Vector], $B$83:$B$84))</f>
        <v>0.36060879599999995</v>
      </c>
      <c r="H87" s="2137">
        <f t="array" aca="1" ref="H87" ca="1">SUM(H$83:H$84*SUMIFS(EF[CO2],EF[Vector], $B$83:$B$84))</f>
        <v>0.36060879599999995</v>
      </c>
      <c r="I87" s="2137">
        <f t="array" aca="1" ref="I87" ca="1">SUM(I$83:I$84*SUMIFS(EF[CO2],EF[Vector], $B$83:$B$84))</f>
        <v>0.34372767599999993</v>
      </c>
      <c r="J87" s="2137">
        <f t="array" aca="1" ref="J87" ca="1">SUM(J$83:J$84*SUMIFS(EF[CO2],EF[Vector], $B$83:$B$84))</f>
        <v>0.49595040000000001</v>
      </c>
      <c r="K87" s="2137">
        <f t="array" aca="1" ref="K87" ca="1">SUM(K$83:K$84*SUMIFS(EF[CO2],EF[Vector], $B$83:$B$84))</f>
        <v>0.45636840000000001</v>
      </c>
      <c r="L87" s="2137">
        <f t="array" aca="1" ref="L87" ca="1">SUM(L$83:L$84*SUMIFS(EF[CO2],EF[Vector], $B$83:$B$84))</f>
        <v>0.24797520000000001</v>
      </c>
      <c r="M87" s="2137">
        <f t="array" aca="1" ref="M87" ca="1">SUM(M$83:M$84*SUMIFS(EF[CO2],EF[Vector], $B$83:$B$84))</f>
        <v>3.9581999999999971E-2</v>
      </c>
      <c r="N87" s="2137">
        <f t="array" aca="1" ref="N87" ca="1">SUM(N$83:N$84*SUMIFS(EF[CO2],EF[Vector], $B$83:$B$84))</f>
        <v>0</v>
      </c>
    </row>
    <row r="88" spans="2:14">
      <c r="C88" s="354"/>
      <c r="E88" s="373"/>
      <c r="F88" s="2137"/>
      <c r="G88" s="2137"/>
      <c r="H88" s="2137"/>
      <c r="I88" s="2137"/>
      <c r="J88" s="2137"/>
      <c r="K88" s="2137"/>
      <c r="L88" s="2137"/>
      <c r="M88" s="2137"/>
      <c r="N88" s="2137"/>
    </row>
    <row r="89" spans="2:14">
      <c r="C89" s="2" t="s">
        <v>2665</v>
      </c>
      <c r="E89" s="373" t="str">
        <f>Preferences.AreaUnits</f>
        <v>km^2</v>
      </c>
      <c r="F89" s="2415">
        <f ca="1">SUM(F78:F80)*Conversion.to.average.power/$F$43</f>
        <v>208.27375972824288</v>
      </c>
      <c r="G89" s="2415">
        <f t="shared" ref="G89:N89" ca="1" si="7">SUM(G78:G80)*Conversion.to.average.power/$F$43</f>
        <v>246.53966081070794</v>
      </c>
      <c r="H89" s="2415">
        <f t="shared" ca="1" si="7"/>
        <v>246.53966081070794</v>
      </c>
      <c r="I89" s="2415">
        <f t="shared" ca="1" si="7"/>
        <v>237.03323446649927</v>
      </c>
      <c r="J89" s="2415">
        <f t="shared" ca="1" si="7"/>
        <v>304.20564301467783</v>
      </c>
      <c r="K89" s="2415">
        <f t="shared" ca="1" si="7"/>
        <v>275.68636398205177</v>
      </c>
      <c r="L89" s="2415">
        <f t="shared" ca="1" si="7"/>
        <v>152.10282150733889</v>
      </c>
      <c r="M89" s="2415">
        <f t="shared" ca="1" si="7"/>
        <v>28.519279032626027</v>
      </c>
      <c r="N89" s="2415">
        <f t="shared" ca="1" si="7"/>
        <v>0</v>
      </c>
    </row>
    <row r="90" spans="2:14">
      <c r="C90" s="2"/>
      <c r="E90" s="373"/>
      <c r="F90" s="2415"/>
      <c r="G90" s="2415"/>
      <c r="H90" s="2415"/>
      <c r="I90" s="2415"/>
      <c r="J90" s="2415"/>
      <c r="K90" s="2415"/>
      <c r="L90" s="2415"/>
      <c r="M90" s="2415"/>
      <c r="N90" s="2415"/>
    </row>
    <row r="91" spans="2:14">
      <c r="B91" s="354">
        <v>3</v>
      </c>
      <c r="C91" s="354" t="s">
        <v>2720</v>
      </c>
      <c r="E91" s="373"/>
      <c r="H91" s="3548" t="s">
        <v>5</v>
      </c>
    </row>
    <row r="92" spans="2:14" hidden="1">
      <c r="B92" s="354"/>
      <c r="E92" s="373"/>
    </row>
    <row r="93" spans="2:14" hidden="1">
      <c r="B93" s="3383" t="s">
        <v>290</v>
      </c>
      <c r="F93" s="2485"/>
      <c r="G93" s="2485"/>
      <c r="H93" s="2485"/>
      <c r="I93" s="2485"/>
      <c r="J93" s="2485"/>
      <c r="K93" s="2485"/>
      <c r="L93" s="2485"/>
      <c r="M93" s="2485"/>
      <c r="N93" s="2485"/>
    </row>
    <row r="94" spans="2:14" hidden="1">
      <c r="C94" s="3383" t="s">
        <v>291</v>
      </c>
      <c r="E94" s="3578" t="s">
        <v>2736</v>
      </c>
      <c r="F94" s="2485"/>
      <c r="G94" s="2485"/>
      <c r="H94" s="2485"/>
      <c r="I94" s="2485"/>
      <c r="J94" s="2485"/>
      <c r="K94" s="2485"/>
      <c r="L94" s="2485"/>
      <c r="M94" s="2485"/>
      <c r="N94" s="2485"/>
    </row>
    <row r="95" spans="2:14" hidden="1"/>
    <row r="96" spans="2:14" hidden="1">
      <c r="B96" s="3383" t="s">
        <v>292</v>
      </c>
      <c r="F96" s="2485"/>
      <c r="G96" s="2485"/>
      <c r="H96" s="2485"/>
      <c r="I96" s="2485"/>
      <c r="J96" s="2485"/>
      <c r="K96" s="2485"/>
      <c r="L96" s="2485"/>
      <c r="M96" s="2485"/>
      <c r="N96" s="2485"/>
    </row>
    <row r="97" spans="1:24" hidden="1">
      <c r="C97" s="3383" t="s">
        <v>291</v>
      </c>
      <c r="E97" s="3578" t="s">
        <v>2736</v>
      </c>
      <c r="F97" s="2485"/>
      <c r="G97" s="2485"/>
      <c r="H97" s="2485"/>
      <c r="I97" s="2485"/>
      <c r="J97" s="2485"/>
      <c r="K97" s="2485"/>
      <c r="L97" s="2485"/>
      <c r="M97" s="2485"/>
      <c r="N97" s="2485"/>
    </row>
    <row r="98" spans="1:24" hidden="1"/>
    <row r="99" spans="1:24" hidden="1">
      <c r="B99" s="3383" t="s">
        <v>293</v>
      </c>
      <c r="F99" s="2485"/>
      <c r="G99" s="2485"/>
      <c r="H99" s="2485"/>
      <c r="I99" s="2485"/>
      <c r="J99" s="2485"/>
      <c r="K99" s="2485"/>
      <c r="L99" s="2485"/>
      <c r="M99" s="2485"/>
      <c r="N99" s="2485"/>
    </row>
    <row r="100" spans="1:24" hidden="1">
      <c r="C100" s="3383" t="s">
        <v>291</v>
      </c>
      <c r="E100" s="3578" t="s">
        <v>2736</v>
      </c>
      <c r="F100" s="2485"/>
      <c r="G100" s="2485"/>
      <c r="H100" s="2485"/>
      <c r="I100" s="2485"/>
      <c r="J100" s="2485"/>
      <c r="K100" s="2485"/>
      <c r="L100" s="2485"/>
      <c r="M100" s="2485"/>
      <c r="N100" s="2485"/>
    </row>
    <row r="101" spans="1:24" ht="23.5">
      <c r="A101" s="7"/>
    </row>
    <row r="102" spans="1:24" ht="15">
      <c r="B102" s="502" t="s">
        <v>296</v>
      </c>
      <c r="C102" s="503"/>
      <c r="D102" s="503"/>
      <c r="E102" s="503"/>
      <c r="F102" s="503"/>
      <c r="G102" s="503"/>
      <c r="H102" s="503"/>
      <c r="I102" s="503"/>
      <c r="J102" s="503"/>
      <c r="K102" s="503"/>
      <c r="L102" s="503"/>
      <c r="M102" s="503"/>
      <c r="N102" s="503"/>
      <c r="O102" s="857"/>
    </row>
    <row r="103" spans="1:24">
      <c r="B103" s="505"/>
      <c r="C103" s="506"/>
      <c r="D103" s="506"/>
      <c r="E103" s="506"/>
      <c r="F103" s="506"/>
      <c r="G103" s="506"/>
      <c r="H103" s="506"/>
      <c r="I103" s="506"/>
      <c r="J103" s="506"/>
      <c r="K103" s="506"/>
      <c r="L103" s="506"/>
      <c r="M103" s="506"/>
      <c r="N103" s="506"/>
      <c r="O103" s="858"/>
    </row>
    <row r="104" spans="1:24">
      <c r="B104" s="505"/>
      <c r="C104" s="34" t="s">
        <v>746</v>
      </c>
      <c r="D104" s="506"/>
      <c r="E104" s="507"/>
      <c r="F104" s="506"/>
      <c r="G104" s="506"/>
      <c r="H104" s="506"/>
      <c r="I104" s="506"/>
      <c r="J104" s="506"/>
      <c r="K104" s="506"/>
      <c r="L104" s="506"/>
      <c r="M104" s="506"/>
      <c r="N104" s="507" t="str">
        <f>Preferences.EnergyUnits</f>
        <v>TWh</v>
      </c>
      <c r="O104" s="858"/>
    </row>
    <row r="105" spans="1:24">
      <c r="B105" s="505"/>
      <c r="C105" s="506"/>
      <c r="D105" s="506"/>
      <c r="E105" s="506"/>
      <c r="F105" s="506"/>
      <c r="G105" s="506"/>
      <c r="H105" s="506"/>
      <c r="I105" s="506"/>
      <c r="J105" s="506"/>
      <c r="K105" s="506"/>
      <c r="L105" s="506"/>
      <c r="M105" s="506"/>
      <c r="N105" s="506"/>
      <c r="O105" s="858"/>
    </row>
    <row r="106" spans="1:24" ht="15.5">
      <c r="B106" s="15"/>
      <c r="C106" s="864" t="s">
        <v>28</v>
      </c>
      <c r="D106" s="864" t="s">
        <v>29</v>
      </c>
      <c r="E106" s="864" t="s">
        <v>30</v>
      </c>
      <c r="F106" s="864" t="s">
        <v>588</v>
      </c>
      <c r="G106" s="864" t="s">
        <v>132</v>
      </c>
      <c r="H106" s="864" t="s">
        <v>133</v>
      </c>
      <c r="I106" s="864" t="s">
        <v>134</v>
      </c>
      <c r="J106" s="864" t="s">
        <v>135</v>
      </c>
      <c r="K106" s="864" t="s">
        <v>136</v>
      </c>
      <c r="L106" s="864" t="s">
        <v>137</v>
      </c>
      <c r="M106" s="864" t="s">
        <v>138</v>
      </c>
      <c r="N106" s="864" t="s">
        <v>139</v>
      </c>
      <c r="O106" s="858"/>
    </row>
    <row r="107" spans="1:24" ht="15.5">
      <c r="B107" s="15"/>
      <c r="C107" s="17" t="s">
        <v>97</v>
      </c>
      <c r="D107" s="17" t="s">
        <v>87</v>
      </c>
      <c r="E107" s="17"/>
      <c r="F107" s="2491">
        <f t="shared" ref="F107:N109" ca="1" si="8">F78</f>
        <v>0.17666666666666667</v>
      </c>
      <c r="G107" s="2491">
        <f t="shared" ca="1" si="8"/>
        <v>0.25</v>
      </c>
      <c r="H107" s="2491">
        <f t="shared" ca="1" si="8"/>
        <v>0.25</v>
      </c>
      <c r="I107" s="2491">
        <f t="shared" ca="1" si="8"/>
        <v>0.2</v>
      </c>
      <c r="J107" s="2491">
        <f t="shared" ca="1" si="8"/>
        <v>1</v>
      </c>
      <c r="K107" s="2491">
        <f t="shared" ca="1" si="8"/>
        <v>1</v>
      </c>
      <c r="L107" s="2491">
        <f t="shared" ca="1" si="8"/>
        <v>0.5</v>
      </c>
      <c r="M107" s="2491">
        <f t="shared" ca="1" si="8"/>
        <v>0</v>
      </c>
      <c r="N107" s="2491">
        <f t="shared" ca="1" si="8"/>
        <v>0</v>
      </c>
      <c r="O107" s="858"/>
    </row>
    <row r="108" spans="1:24" ht="15.5">
      <c r="B108" s="15"/>
      <c r="C108" s="17" t="s">
        <v>98</v>
      </c>
      <c r="D108" s="17" t="s">
        <v>88</v>
      </c>
      <c r="E108" s="17"/>
      <c r="F108" s="2491">
        <f t="shared" ca="1" si="8"/>
        <v>0.91876999999999998</v>
      </c>
      <c r="G108" s="2491">
        <f t="shared" ca="1" si="8"/>
        <v>1.0467</v>
      </c>
      <c r="H108" s="2491">
        <f t="shared" ca="1" si="8"/>
        <v>1.0467</v>
      </c>
      <c r="I108" s="2491">
        <f t="shared" ca="1" si="8"/>
        <v>1.0467</v>
      </c>
      <c r="J108" s="2491">
        <f t="shared" ca="1" si="8"/>
        <v>0.6</v>
      </c>
      <c r="K108" s="2491">
        <f t="shared" ca="1" si="8"/>
        <v>0.44999999999999996</v>
      </c>
      <c r="L108" s="2491">
        <f t="shared" ca="1" si="8"/>
        <v>0.29999999999999993</v>
      </c>
      <c r="M108" s="2491">
        <f t="shared" ca="1" si="8"/>
        <v>0.14999999999999991</v>
      </c>
      <c r="N108" s="2491">
        <f t="shared" ca="1" si="8"/>
        <v>0</v>
      </c>
      <c r="O108" s="858"/>
    </row>
    <row r="109" spans="1:24" ht="15.5">
      <c r="B109" s="15"/>
      <c r="C109" s="17" t="s">
        <v>99</v>
      </c>
      <c r="D109" s="17" t="s">
        <v>89</v>
      </c>
      <c r="E109" s="17"/>
      <c r="F109" s="2491">
        <f t="shared" ca="1" si="8"/>
        <v>0</v>
      </c>
      <c r="G109" s="2491">
        <f t="shared" ca="1" si="8"/>
        <v>0</v>
      </c>
      <c r="H109" s="2491">
        <f t="shared" ca="1" si="8"/>
        <v>0</v>
      </c>
      <c r="I109" s="2491">
        <f t="shared" ca="1" si="8"/>
        <v>0</v>
      </c>
      <c r="J109" s="2491">
        <f t="shared" ca="1" si="8"/>
        <v>0</v>
      </c>
      <c r="K109" s="2491">
        <f t="shared" ca="1" si="8"/>
        <v>0</v>
      </c>
      <c r="L109" s="2491">
        <f t="shared" ca="1" si="8"/>
        <v>0</v>
      </c>
      <c r="M109" s="2491">
        <f t="shared" ca="1" si="8"/>
        <v>0</v>
      </c>
      <c r="N109" s="2491">
        <f t="shared" ca="1" si="8"/>
        <v>0</v>
      </c>
      <c r="O109" s="858"/>
    </row>
    <row r="110" spans="1:24" ht="15.5">
      <c r="B110" s="15"/>
      <c r="C110" s="17" t="s">
        <v>430</v>
      </c>
      <c r="D110" s="17" t="s">
        <v>381</v>
      </c>
      <c r="E110" s="17"/>
      <c r="F110" s="2491">
        <f t="shared" ref="F110:N110" ca="1" si="9">-(F78+F79+F80)</f>
        <v>-1.0954366666666666</v>
      </c>
      <c r="G110" s="2491">
        <f t="shared" ca="1" si="9"/>
        <v>-1.2967</v>
      </c>
      <c r="H110" s="2491">
        <f t="shared" ca="1" si="9"/>
        <v>-1.2967</v>
      </c>
      <c r="I110" s="2491">
        <f t="shared" ca="1" si="9"/>
        <v>-1.2466999999999999</v>
      </c>
      <c r="J110" s="2491">
        <f t="shared" ca="1" si="9"/>
        <v>-1.6</v>
      </c>
      <c r="K110" s="2491">
        <f t="shared" ca="1" si="9"/>
        <v>-1.45</v>
      </c>
      <c r="L110" s="2491">
        <f t="shared" ca="1" si="9"/>
        <v>-0.79999999999999993</v>
      </c>
      <c r="M110" s="2491">
        <f t="shared" ca="1" si="9"/>
        <v>-0.14999999999999991</v>
      </c>
      <c r="N110" s="2491">
        <f t="shared" ca="1" si="9"/>
        <v>0</v>
      </c>
      <c r="O110" s="858"/>
    </row>
    <row r="111" spans="1:24" ht="15.5">
      <c r="B111" s="15"/>
      <c r="C111" s="2432" t="s">
        <v>58</v>
      </c>
      <c r="D111" s="2432"/>
      <c r="E111" s="2432"/>
      <c r="F111" s="2435">
        <f ca="1">SUBTOTAL(109,V.b.Outputs[2013])</f>
        <v>0</v>
      </c>
      <c r="G111" s="2435">
        <f ca="1">SUBTOTAL(109,V.b.Outputs[2015])</f>
        <v>0</v>
      </c>
      <c r="H111" s="2435">
        <f ca="1">SUBTOTAL(109,V.b.Outputs[2020])</f>
        <v>0</v>
      </c>
      <c r="I111" s="2435">
        <f ca="1">SUBTOTAL(109,V.b.Outputs[2025])</f>
        <v>0</v>
      </c>
      <c r="J111" s="2435">
        <f ca="1">SUBTOTAL(109,V.b.Outputs[2030])</f>
        <v>0</v>
      </c>
      <c r="K111" s="2435">
        <f ca="1">SUBTOTAL(109,V.b.Outputs[2035])</f>
        <v>0</v>
      </c>
      <c r="L111" s="2435">
        <f ca="1">SUBTOTAL(109,V.b.Outputs[2040])</f>
        <v>0</v>
      </c>
      <c r="M111" s="2435">
        <f ca="1">SUBTOTAL(109,V.b.Outputs[2045])</f>
        <v>0</v>
      </c>
      <c r="N111" s="2435">
        <f ca="1">SUBTOTAL(109,V.b.Outputs[2050])</f>
        <v>0</v>
      </c>
      <c r="O111" s="858"/>
      <c r="R111" s="1068"/>
      <c r="S111" s="1068"/>
      <c r="T111" s="1068"/>
      <c r="U111" s="1068"/>
      <c r="V111" s="1068"/>
      <c r="W111" s="1068"/>
      <c r="X111" s="1068"/>
    </row>
    <row r="112" spans="1:24" ht="15.5">
      <c r="B112" s="35"/>
      <c r="C112" s="443"/>
      <c r="D112" s="443"/>
      <c r="E112" s="443"/>
      <c r="F112" s="443"/>
      <c r="G112" s="443"/>
      <c r="H112" s="443"/>
      <c r="I112" s="443"/>
      <c r="J112" s="443"/>
      <c r="K112" s="443"/>
      <c r="L112" s="443"/>
      <c r="M112" s="443"/>
      <c r="N112" s="443"/>
      <c r="O112" s="506"/>
      <c r="R112" s="1068"/>
      <c r="S112" s="1068"/>
      <c r="T112" s="1068"/>
      <c r="U112" s="1068"/>
      <c r="V112" s="1068"/>
      <c r="W112" s="1068"/>
      <c r="X112" s="1068"/>
    </row>
    <row r="113" spans="1:24" ht="15.5">
      <c r="A113" s="434"/>
      <c r="R113" s="1068"/>
      <c r="S113" s="1068"/>
      <c r="T113" s="1068"/>
      <c r="U113" s="1068"/>
      <c r="V113" s="1068"/>
      <c r="W113" s="1068"/>
      <c r="X113" s="1068"/>
    </row>
    <row r="114" spans="1:24" ht="15.5">
      <c r="A114" s="434"/>
      <c r="B114" s="1118" t="s">
        <v>300</v>
      </c>
      <c r="C114" s="1119"/>
      <c r="D114" s="1120"/>
      <c r="E114" s="1120"/>
      <c r="F114" s="1120"/>
      <c r="G114" s="1120"/>
      <c r="H114" s="1120"/>
      <c r="I114" s="1120"/>
      <c r="J114" s="1120"/>
      <c r="K114" s="1120"/>
      <c r="L114" s="1120"/>
      <c r="M114" s="1120"/>
      <c r="N114" s="1120"/>
      <c r="O114" s="1121"/>
      <c r="R114" s="1068"/>
      <c r="S114" s="1068"/>
      <c r="T114" s="1068"/>
      <c r="U114" s="1068"/>
      <c r="V114" s="1068"/>
      <c r="W114" s="1068"/>
      <c r="X114" s="1068"/>
    </row>
    <row r="115" spans="1:24" ht="15.5">
      <c r="A115" s="434"/>
      <c r="B115" s="1122"/>
      <c r="C115" s="1123"/>
      <c r="D115" s="1123"/>
      <c r="E115" s="1123"/>
      <c r="F115" s="1123"/>
      <c r="G115" s="1123"/>
      <c r="H115" s="1123"/>
      <c r="I115" s="1123"/>
      <c r="J115" s="1123"/>
      <c r="K115" s="1123"/>
      <c r="L115" s="1123"/>
      <c r="M115" s="1123"/>
      <c r="N115" s="1123"/>
      <c r="O115" s="1124"/>
      <c r="R115" s="1068"/>
      <c r="S115" s="1068"/>
      <c r="T115" s="647"/>
      <c r="U115" s="1068"/>
      <c r="V115" s="1068"/>
      <c r="W115" s="1068"/>
      <c r="X115" s="1068"/>
    </row>
    <row r="116" spans="1:24" ht="15.5">
      <c r="A116" s="434"/>
      <c r="B116" s="1125"/>
      <c r="C116" s="453" t="s">
        <v>1308</v>
      </c>
      <c r="D116" s="1126"/>
      <c r="E116" s="1127"/>
      <c r="F116" s="1126"/>
      <c r="G116" s="1126"/>
      <c r="H116" s="1126"/>
      <c r="I116" s="1126"/>
      <c r="J116" s="1126"/>
      <c r="K116" s="1126"/>
      <c r="L116" s="1126"/>
      <c r="M116" s="1126"/>
      <c r="N116" s="1127" t="s">
        <v>251</v>
      </c>
      <c r="O116" s="1129"/>
      <c r="R116" s="1068"/>
      <c r="S116" s="1068"/>
      <c r="T116" s="647"/>
      <c r="U116" s="1068"/>
      <c r="V116" s="1068"/>
      <c r="W116" s="1068"/>
      <c r="X116" s="1068"/>
    </row>
    <row r="117" spans="1:24" ht="15.5">
      <c r="A117" s="434"/>
      <c r="B117" s="1125"/>
      <c r="C117" s="1126"/>
      <c r="D117" s="1126"/>
      <c r="E117" s="1126"/>
      <c r="F117" s="1126"/>
      <c r="G117" s="1126"/>
      <c r="H117" s="1126"/>
      <c r="I117" s="1126"/>
      <c r="J117" s="1126"/>
      <c r="K117" s="1126"/>
      <c r="L117" s="1126"/>
      <c r="M117" s="1126"/>
      <c r="N117" s="1126"/>
      <c r="O117" s="1129"/>
      <c r="R117" s="1068"/>
      <c r="S117" s="1068"/>
      <c r="T117" s="647"/>
      <c r="U117" s="1068"/>
      <c r="V117" s="1068"/>
      <c r="W117" s="1068"/>
      <c r="X117" s="1068"/>
    </row>
    <row r="118" spans="1:24" ht="15.5">
      <c r="A118" s="434"/>
      <c r="B118" s="458"/>
      <c r="C118" s="1327" t="s">
        <v>302</v>
      </c>
      <c r="D118" s="1327" t="s">
        <v>303</v>
      </c>
      <c r="E118" s="1327" t="s">
        <v>30</v>
      </c>
      <c r="F118" s="1327" t="s">
        <v>588</v>
      </c>
      <c r="G118" s="1327" t="s">
        <v>132</v>
      </c>
      <c r="H118" s="1327" t="s">
        <v>133</v>
      </c>
      <c r="I118" s="1327" t="s">
        <v>134</v>
      </c>
      <c r="J118" s="1327" t="s">
        <v>135</v>
      </c>
      <c r="K118" s="1327" t="s">
        <v>136</v>
      </c>
      <c r="L118" s="1327" t="s">
        <v>137</v>
      </c>
      <c r="M118" s="1327" t="s">
        <v>138</v>
      </c>
      <c r="N118" s="1327" t="s">
        <v>139</v>
      </c>
      <c r="O118" s="1129"/>
      <c r="R118" s="1068"/>
      <c r="S118" s="1068"/>
      <c r="T118" s="647"/>
      <c r="U118" s="1068"/>
      <c r="V118" s="1068"/>
      <c r="W118" s="1068"/>
      <c r="X118" s="1068"/>
    </row>
    <row r="119" spans="1:24" ht="15.5">
      <c r="A119" s="434"/>
      <c r="B119" s="458"/>
      <c r="C119" s="1130" t="s">
        <v>250</v>
      </c>
      <c r="D119" s="2634" t="s">
        <v>449</v>
      </c>
      <c r="E119" s="1130" t="s">
        <v>404</v>
      </c>
      <c r="F119" s="3469">
        <f t="shared" ref="F119:N119" ca="1" si="10">-F87</f>
        <v>-0.30209165159999996</v>
      </c>
      <c r="G119" s="3469">
        <f t="shared" ca="1" si="10"/>
        <v>-0.36060879599999995</v>
      </c>
      <c r="H119" s="3469">
        <f t="shared" ca="1" si="10"/>
        <v>-0.36060879599999995</v>
      </c>
      <c r="I119" s="3469">
        <f t="shared" ca="1" si="10"/>
        <v>-0.34372767599999993</v>
      </c>
      <c r="J119" s="3469">
        <f t="shared" ca="1" si="10"/>
        <v>-0.49595040000000001</v>
      </c>
      <c r="K119" s="3469">
        <f t="shared" ca="1" si="10"/>
        <v>-0.45636840000000001</v>
      </c>
      <c r="L119" s="3469">
        <f t="shared" ca="1" si="10"/>
        <v>-0.24797520000000001</v>
      </c>
      <c r="M119" s="3469">
        <f t="shared" ca="1" si="10"/>
        <v>-3.9581999999999971E-2</v>
      </c>
      <c r="N119" s="3469">
        <f t="shared" ca="1" si="10"/>
        <v>0</v>
      </c>
      <c r="O119" s="1129"/>
      <c r="R119" s="1068"/>
      <c r="S119" s="1068"/>
      <c r="T119" s="1068"/>
      <c r="U119" s="1068"/>
      <c r="V119" s="1068"/>
      <c r="W119" s="1068"/>
      <c r="X119" s="1068"/>
    </row>
    <row r="120" spans="1:24" ht="15.5">
      <c r="B120" s="458"/>
      <c r="C120" s="3473" t="s">
        <v>58</v>
      </c>
      <c r="D120" s="2651"/>
      <c r="E120" s="3473"/>
      <c r="F120" s="3474">
        <f ca="1">SUBTOTAL(109,V.b.Emissions[2013])</f>
        <v>-0.30209165159999996</v>
      </c>
      <c r="G120" s="3474">
        <f ca="1">SUBTOTAL(109,V.b.Emissions[2015])</f>
        <v>-0.36060879599999995</v>
      </c>
      <c r="H120" s="3474">
        <f ca="1">SUBTOTAL(109,V.b.Emissions[2020])</f>
        <v>-0.36060879599999995</v>
      </c>
      <c r="I120" s="3474">
        <f ca="1">SUBTOTAL(109,V.b.Emissions[2025])</f>
        <v>-0.34372767599999993</v>
      </c>
      <c r="J120" s="3474">
        <f ca="1">SUBTOTAL(109,V.b.Emissions[2030])</f>
        <v>-0.49595040000000001</v>
      </c>
      <c r="K120" s="3474">
        <f ca="1">SUBTOTAL(109,V.b.Emissions[2035])</f>
        <v>-0.45636840000000001</v>
      </c>
      <c r="L120" s="3474">
        <f ca="1">SUBTOTAL(109,V.b.Emissions[2040])</f>
        <v>-0.24797520000000001</v>
      </c>
      <c r="M120" s="3474">
        <f ca="1">SUBTOTAL(109,V.b.Emissions[2045])</f>
        <v>-3.9581999999999971E-2</v>
      </c>
      <c r="N120" s="3474">
        <f ca="1">SUBTOTAL(109,V.b.Emissions[2050])</f>
        <v>0</v>
      </c>
      <c r="O120" s="1129"/>
      <c r="R120" s="1068"/>
      <c r="S120" s="1068"/>
      <c r="T120" s="1068"/>
      <c r="U120" s="1068"/>
      <c r="V120" s="1068"/>
      <c r="W120" s="1068"/>
      <c r="X120" s="1068"/>
    </row>
    <row r="121" spans="1:24">
      <c r="B121" s="1126"/>
      <c r="C121" s="1140"/>
      <c r="D121" s="1140"/>
      <c r="E121" s="1140"/>
      <c r="F121" s="1140"/>
      <c r="G121" s="1140"/>
      <c r="H121" s="1140"/>
      <c r="I121" s="1140"/>
      <c r="J121" s="1140"/>
      <c r="K121" s="1140"/>
      <c r="L121" s="1140"/>
      <c r="M121" s="1140"/>
      <c r="N121" s="1140"/>
      <c r="O121" s="1129"/>
      <c r="R121" s="1068"/>
      <c r="S121" s="1068"/>
      <c r="T121" s="1068"/>
      <c r="U121" s="1068"/>
      <c r="V121" s="1068"/>
      <c r="W121" s="1068"/>
      <c r="X121" s="1068"/>
    </row>
    <row r="122" spans="1:24">
      <c r="R122" s="1068"/>
      <c r="S122" s="1068"/>
      <c r="T122" s="1068"/>
      <c r="U122" s="1068"/>
      <c r="V122" s="1068"/>
      <c r="W122" s="1068"/>
      <c r="X122" s="1068"/>
    </row>
    <row r="123" spans="1:24" ht="15">
      <c r="B123" s="986" t="s">
        <v>310</v>
      </c>
      <c r="C123" s="987"/>
      <c r="D123" s="988"/>
      <c r="E123" s="988"/>
      <c r="F123" s="988"/>
      <c r="G123" s="988"/>
      <c r="H123" s="988"/>
      <c r="I123" s="988"/>
      <c r="J123" s="988"/>
      <c r="K123" s="988"/>
      <c r="L123" s="988"/>
      <c r="M123" s="988"/>
      <c r="N123" s="988"/>
      <c r="O123" s="989"/>
      <c r="R123" s="1068"/>
      <c r="S123" s="1068"/>
      <c r="T123" s="1068"/>
      <c r="U123" s="1068"/>
      <c r="V123" s="1068"/>
      <c r="W123" s="1068"/>
      <c r="X123" s="1068"/>
    </row>
    <row r="124" spans="1:24">
      <c r="B124" s="990"/>
      <c r="C124" s="991"/>
      <c r="D124" s="991"/>
      <c r="E124" s="991"/>
      <c r="F124" s="991"/>
      <c r="G124" s="991"/>
      <c r="H124" s="991"/>
      <c r="I124" s="991"/>
      <c r="J124" s="991"/>
      <c r="K124" s="991"/>
      <c r="L124" s="991"/>
      <c r="M124" s="991"/>
      <c r="N124" s="991"/>
      <c r="O124" s="992"/>
      <c r="R124" s="1068"/>
      <c r="S124" s="1068"/>
      <c r="T124" s="1068"/>
      <c r="U124" s="1068"/>
      <c r="V124" s="1068"/>
      <c r="W124" s="1068"/>
      <c r="X124" s="1068"/>
    </row>
    <row r="125" spans="1:24">
      <c r="B125" s="993"/>
      <c r="C125" s="479" t="s">
        <v>311</v>
      </c>
      <c r="D125" s="994"/>
      <c r="E125" s="995"/>
      <c r="F125" s="994"/>
      <c r="G125" s="994"/>
      <c r="H125" s="994"/>
      <c r="I125" s="994"/>
      <c r="J125" s="994"/>
      <c r="K125" s="994"/>
      <c r="L125" s="994"/>
      <c r="M125" s="994"/>
      <c r="N125" s="995"/>
      <c r="O125" s="996"/>
      <c r="R125" s="1068"/>
      <c r="S125" s="1068"/>
      <c r="T125" s="1068"/>
      <c r="U125" s="1068"/>
      <c r="V125" s="1068"/>
      <c r="W125" s="1068"/>
      <c r="X125" s="1068"/>
    </row>
    <row r="126" spans="1:24">
      <c r="B126" s="993"/>
      <c r="C126" s="994"/>
      <c r="D126" s="994"/>
      <c r="E126" s="994"/>
      <c r="F126" s="994"/>
      <c r="G126" s="994"/>
      <c r="H126" s="994"/>
      <c r="I126" s="994"/>
      <c r="J126" s="994"/>
      <c r="K126" s="994"/>
      <c r="L126" s="994"/>
      <c r="M126" s="994"/>
      <c r="N126" s="994"/>
      <c r="O126" s="996"/>
      <c r="R126" s="1068"/>
      <c r="S126" s="1068"/>
      <c r="T126" s="1068"/>
      <c r="U126" s="1068"/>
      <c r="V126" s="1068"/>
      <c r="W126" s="1068"/>
      <c r="X126" s="1068"/>
    </row>
    <row r="127" spans="1:24" ht="15.5">
      <c r="B127" s="483"/>
      <c r="C127" s="997" t="s">
        <v>28</v>
      </c>
      <c r="D127" s="997" t="s">
        <v>312</v>
      </c>
      <c r="E127" s="997" t="s">
        <v>30</v>
      </c>
      <c r="F127" s="997" t="s">
        <v>588</v>
      </c>
      <c r="G127" s="997" t="s">
        <v>132</v>
      </c>
      <c r="H127" s="997" t="s">
        <v>133</v>
      </c>
      <c r="I127" s="997" t="s">
        <v>134</v>
      </c>
      <c r="J127" s="997" t="s">
        <v>135</v>
      </c>
      <c r="K127" s="997" t="s">
        <v>136</v>
      </c>
      <c r="L127" s="997" t="s">
        <v>137</v>
      </c>
      <c r="M127" s="997" t="s">
        <v>138</v>
      </c>
      <c r="N127" s="997" t="s">
        <v>139</v>
      </c>
      <c r="O127" s="996"/>
    </row>
    <row r="128" spans="1:24" ht="15.5">
      <c r="B128" s="483"/>
      <c r="C128" s="998" t="s">
        <v>1816</v>
      </c>
      <c r="D128" s="998" t="s">
        <v>2666</v>
      </c>
      <c r="E128" s="485" t="str">
        <f>Preferences.AreaUnits</f>
        <v>km^2</v>
      </c>
      <c r="F128" s="2408">
        <f t="shared" ref="F128:N128" ca="1" si="11">F89</f>
        <v>208.27375972824288</v>
      </c>
      <c r="G128" s="2408">
        <f t="shared" ca="1" si="11"/>
        <v>246.53966081070794</v>
      </c>
      <c r="H128" s="2408">
        <f t="shared" ca="1" si="11"/>
        <v>246.53966081070794</v>
      </c>
      <c r="I128" s="2408">
        <f t="shared" ca="1" si="11"/>
        <v>237.03323446649927</v>
      </c>
      <c r="J128" s="2408">
        <f t="shared" ca="1" si="11"/>
        <v>304.20564301467783</v>
      </c>
      <c r="K128" s="2408">
        <f t="shared" ca="1" si="11"/>
        <v>275.68636398205177</v>
      </c>
      <c r="L128" s="2408">
        <f t="shared" ca="1" si="11"/>
        <v>152.10282150733889</v>
      </c>
      <c r="M128" s="2408">
        <f t="shared" ca="1" si="11"/>
        <v>28.519279032626027</v>
      </c>
      <c r="N128" s="2408">
        <f t="shared" ca="1" si="11"/>
        <v>0</v>
      </c>
      <c r="O128" s="996"/>
    </row>
    <row r="129" spans="1:21" ht="15.5">
      <c r="B129" s="488"/>
      <c r="C129" s="1001"/>
      <c r="D129" s="1001"/>
      <c r="E129" s="1001"/>
      <c r="F129" s="1001"/>
      <c r="G129" s="1001"/>
      <c r="H129" s="1001"/>
      <c r="I129" s="1001"/>
      <c r="J129" s="1001"/>
      <c r="K129" s="1001"/>
      <c r="L129" s="1001"/>
      <c r="M129" s="1001"/>
      <c r="N129" s="1001"/>
      <c r="O129" s="1002"/>
    </row>
    <row r="131" spans="1:21" ht="15">
      <c r="B131" s="986" t="s">
        <v>2720</v>
      </c>
      <c r="C131" s="988"/>
      <c r="D131" s="988"/>
      <c r="E131" s="988"/>
      <c r="F131" s="988"/>
      <c r="G131" s="988"/>
      <c r="H131" s="988"/>
      <c r="I131" s="988"/>
      <c r="J131" s="988"/>
      <c r="K131" s="988"/>
      <c r="L131" s="988"/>
      <c r="M131" s="988"/>
      <c r="N131" s="988"/>
      <c r="O131" s="989"/>
    </row>
    <row r="132" spans="1:21" hidden="1">
      <c r="B132" s="993"/>
      <c r="C132" s="994"/>
      <c r="D132" s="994"/>
      <c r="E132" s="994"/>
      <c r="F132" s="994"/>
      <c r="G132" s="994"/>
      <c r="H132" s="994"/>
      <c r="I132" s="994"/>
      <c r="J132" s="994"/>
      <c r="K132" s="994"/>
      <c r="L132" s="994"/>
      <c r="M132" s="994"/>
      <c r="N132" s="994"/>
      <c r="O132" s="996"/>
    </row>
    <row r="133" spans="1:21" hidden="1">
      <c r="B133" s="993"/>
      <c r="C133" s="491" t="s">
        <v>751</v>
      </c>
      <c r="D133" s="1003"/>
      <c r="E133" s="1003"/>
      <c r="F133" s="1003"/>
      <c r="G133" s="1003"/>
      <c r="H133" s="1003"/>
      <c r="I133" s="1003"/>
      <c r="J133" s="1003"/>
      <c r="K133" s="1003"/>
      <c r="L133" s="1003"/>
      <c r="M133" s="1003"/>
      <c r="N133" s="1003"/>
      <c r="O133" s="996"/>
    </row>
    <row r="134" spans="1:21" hidden="1">
      <c r="B134" s="993"/>
      <c r="C134" s="994"/>
      <c r="D134" s="994"/>
      <c r="E134" s="994"/>
      <c r="F134" s="994"/>
      <c r="G134" s="994"/>
      <c r="H134" s="994"/>
      <c r="I134" s="994"/>
      <c r="J134" s="994"/>
      <c r="K134" s="994"/>
      <c r="L134" s="994"/>
      <c r="M134" s="994"/>
      <c r="N134" s="994"/>
      <c r="O134" s="996"/>
    </row>
    <row r="135" spans="1:21" ht="15.5" hidden="1">
      <c r="B135" s="483"/>
      <c r="C135" s="997" t="s">
        <v>28</v>
      </c>
      <c r="D135" s="997" t="s">
        <v>29</v>
      </c>
      <c r="E135" s="997" t="s">
        <v>30</v>
      </c>
      <c r="F135" s="997">
        <v>2013</v>
      </c>
      <c r="G135" s="997" t="s">
        <v>132</v>
      </c>
      <c r="H135" s="997" t="s">
        <v>133</v>
      </c>
      <c r="I135" s="997" t="s">
        <v>134</v>
      </c>
      <c r="J135" s="997" t="s">
        <v>135</v>
      </c>
      <c r="K135" s="997" t="s">
        <v>136</v>
      </c>
      <c r="L135" s="997" t="s">
        <v>137</v>
      </c>
      <c r="M135" s="997" t="s">
        <v>138</v>
      </c>
      <c r="N135" s="997" t="s">
        <v>139</v>
      </c>
      <c r="O135" s="1141"/>
    </row>
    <row r="136" spans="1:21" ht="15.5" hidden="1">
      <c r="B136" s="483"/>
      <c r="C136" s="998" t="s">
        <v>752</v>
      </c>
      <c r="D136" s="3032" t="s">
        <v>753</v>
      </c>
      <c r="E136" s="2638"/>
      <c r="F136" s="3470"/>
      <c r="G136" s="3470"/>
      <c r="H136" s="3470"/>
      <c r="I136" s="3470"/>
      <c r="J136" s="3470"/>
      <c r="K136" s="3470"/>
      <c r="L136" s="3470"/>
      <c r="M136" s="3470"/>
      <c r="N136" s="3470"/>
      <c r="O136" s="1141"/>
    </row>
    <row r="137" spans="1:21" ht="15.5" hidden="1">
      <c r="B137" s="483"/>
      <c r="C137" s="998" t="s">
        <v>754</v>
      </c>
      <c r="D137" s="3032" t="s">
        <v>755</v>
      </c>
      <c r="E137" s="2638"/>
      <c r="F137" s="3470"/>
      <c r="G137" s="3470"/>
      <c r="H137" s="3470"/>
      <c r="I137" s="3470"/>
      <c r="J137" s="3470"/>
      <c r="K137" s="3470"/>
      <c r="L137" s="3470"/>
      <c r="M137" s="3470"/>
      <c r="N137" s="3470"/>
      <c r="O137" s="1141"/>
    </row>
    <row r="138" spans="1:21" hidden="1">
      <c r="A138" s="1068"/>
      <c r="B138" s="494"/>
      <c r="C138" s="1343" t="s">
        <v>756</v>
      </c>
      <c r="D138" s="3471" t="s">
        <v>757</v>
      </c>
      <c r="E138" s="2917"/>
      <c r="F138" s="3472"/>
      <c r="G138" s="3472"/>
      <c r="H138" s="3472"/>
      <c r="I138" s="3472"/>
      <c r="J138" s="3472"/>
      <c r="K138" s="3472"/>
      <c r="L138" s="3472"/>
      <c r="M138" s="3472"/>
      <c r="N138" s="3472"/>
      <c r="O138" s="1141"/>
      <c r="Q138" s="1068"/>
      <c r="R138" s="1068"/>
      <c r="S138" s="1068"/>
      <c r="T138" s="1068"/>
      <c r="U138" s="39"/>
    </row>
    <row r="139" spans="1:21" hidden="1">
      <c r="A139" s="1068"/>
      <c r="B139" s="494"/>
      <c r="C139" s="998"/>
      <c r="D139" s="3032"/>
      <c r="E139" s="485"/>
      <c r="F139" s="3424"/>
      <c r="G139" s="3424"/>
      <c r="H139" s="3424"/>
      <c r="I139" s="3424"/>
      <c r="J139" s="3424"/>
      <c r="K139" s="3424"/>
      <c r="L139" s="3424"/>
      <c r="M139" s="3424"/>
      <c r="N139" s="3424"/>
      <c r="O139" s="1142"/>
      <c r="Q139" s="1068"/>
      <c r="R139" s="1068"/>
      <c r="S139" s="1068"/>
      <c r="T139" s="1068"/>
      <c r="U139" s="39"/>
    </row>
    <row r="140" spans="1:21">
      <c r="A140" s="1068"/>
      <c r="B140" s="1068"/>
      <c r="C140" s="1068"/>
      <c r="D140" s="1068"/>
      <c r="E140" s="1068"/>
      <c r="F140" s="1068"/>
      <c r="G140" s="1068"/>
      <c r="H140" s="1068"/>
      <c r="I140" s="1068"/>
      <c r="J140" s="1068"/>
      <c r="K140" s="1068"/>
      <c r="L140" s="1068"/>
      <c r="M140" s="1068"/>
      <c r="N140" s="1068"/>
      <c r="O140" s="1068"/>
      <c r="Q140" s="1068"/>
      <c r="R140" s="1068"/>
      <c r="S140" s="1068"/>
      <c r="T140" s="1068"/>
      <c r="U140" s="39"/>
    </row>
    <row r="141" spans="1:21">
      <c r="A141" s="1068"/>
      <c r="B141" s="1068"/>
      <c r="C141" s="1068"/>
      <c r="D141" s="1068"/>
      <c r="E141" s="1068"/>
      <c r="F141" s="1068"/>
      <c r="G141" s="1068"/>
      <c r="H141" s="1068"/>
      <c r="I141" s="1068"/>
      <c r="J141" s="1068"/>
      <c r="K141" s="1068"/>
      <c r="L141" s="1068"/>
      <c r="M141" s="1068"/>
      <c r="N141" s="1068"/>
      <c r="O141" s="1068"/>
      <c r="Q141" s="1068"/>
      <c r="R141" s="1068"/>
      <c r="S141" s="1068"/>
      <c r="T141" s="1068"/>
      <c r="U141" s="39"/>
    </row>
    <row r="142" spans="1:21">
      <c r="A142" s="39"/>
      <c r="B142" s="39"/>
      <c r="C142" s="1068"/>
      <c r="D142" s="1068"/>
      <c r="E142" s="1068"/>
      <c r="F142" s="1068"/>
      <c r="G142" s="1068"/>
      <c r="H142" s="1068"/>
      <c r="I142" s="1068"/>
      <c r="J142" s="1068"/>
      <c r="K142" s="1068"/>
      <c r="L142" s="1068"/>
      <c r="M142" s="1068"/>
      <c r="N142" s="1068"/>
      <c r="O142" s="39"/>
      <c r="Q142" s="39"/>
      <c r="R142" s="39"/>
      <c r="S142" s="39"/>
      <c r="T142" s="39"/>
      <c r="U142" s="39"/>
    </row>
    <row r="143" spans="1:21">
      <c r="A143" s="39"/>
      <c r="B143" s="39"/>
      <c r="C143" s="1068"/>
      <c r="D143" s="1068"/>
      <c r="E143" s="1068"/>
      <c r="F143" s="1068"/>
      <c r="G143" s="1068"/>
      <c r="H143" s="1068"/>
      <c r="I143" s="1068"/>
      <c r="J143" s="1068"/>
      <c r="K143" s="1068"/>
      <c r="L143" s="1068"/>
      <c r="M143" s="1068"/>
      <c r="N143" s="1068"/>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9"/>
  </sheetPr>
  <dimension ref="A1:AO623"/>
  <sheetViews>
    <sheetView showGridLines="0" topLeftCell="E388" zoomScale="80" zoomScaleNormal="80" workbookViewId="0">
      <selection activeCell="N29" sqref="N29:N31"/>
    </sheetView>
  </sheetViews>
  <sheetFormatPr defaultColWidth="8.81640625" defaultRowHeight="14.5"/>
  <cols>
    <col min="1" max="1" width="7.7265625" style="2476" customWidth="1"/>
    <col min="2" max="2" width="5.81640625" style="2476" customWidth="1"/>
    <col min="3" max="3" width="20.453125" style="2476" customWidth="1"/>
    <col min="4" max="4" width="51" style="2476" customWidth="1"/>
    <col min="5" max="5" width="20.7265625" style="2476" customWidth="1"/>
    <col min="6" max="15" width="17.7265625" style="2476" customWidth="1"/>
    <col min="16" max="16" width="15.81640625" style="2476" customWidth="1"/>
    <col min="17" max="17" width="14.08984375" style="2476" customWidth="1"/>
    <col min="18" max="18" width="5.54296875" style="2476" bestFit="1" customWidth="1"/>
    <col min="19" max="19" width="6.7265625" style="2476" bestFit="1" customWidth="1"/>
    <col min="20" max="26" width="5.54296875" style="2476" bestFit="1" customWidth="1"/>
    <col min="27" max="27" width="5" style="2476" bestFit="1" customWidth="1"/>
    <col min="28" max="28" width="8.7265625" style="2476" bestFit="1" customWidth="1"/>
    <col min="29" max="16384" width="8.81640625" style="2476"/>
  </cols>
  <sheetData>
    <row r="1" spans="1:32" ht="20">
      <c r="A1" s="1007" t="s">
        <v>503</v>
      </c>
      <c r="B1" s="1007" t="s">
        <v>504</v>
      </c>
      <c r="C1" s="1007"/>
      <c r="E1"/>
      <c r="F1" s="39"/>
      <c r="G1" s="39"/>
      <c r="H1" s="39"/>
      <c r="I1" s="39"/>
      <c r="J1" s="39"/>
    </row>
    <row r="2" spans="1:32" s="6" customFormat="1" ht="15">
      <c r="A2" s="855" t="s">
        <v>501</v>
      </c>
      <c r="B2" s="855" t="s">
        <v>502</v>
      </c>
      <c r="C2" s="855"/>
      <c r="D2" s="6" t="s">
        <v>5</v>
      </c>
      <c r="E2" s="5"/>
    </row>
    <row r="4" spans="1:32" ht="23.5">
      <c r="A4" s="7"/>
      <c r="B4" s="502" t="s">
        <v>6</v>
      </c>
      <c r="C4" s="503"/>
      <c r="D4" s="503"/>
      <c r="E4" s="503"/>
      <c r="F4" s="503"/>
      <c r="G4" s="503"/>
      <c r="H4" s="503"/>
      <c r="I4" s="503"/>
      <c r="J4" s="503"/>
      <c r="K4" s="503"/>
      <c r="L4" s="503"/>
      <c r="M4" s="503"/>
      <c r="N4" s="503"/>
      <c r="O4" s="503"/>
      <c r="P4" s="857"/>
      <c r="R4" s="354"/>
    </row>
    <row r="5" spans="1:32">
      <c r="B5" s="505"/>
      <c r="C5" s="506"/>
      <c r="D5" s="506"/>
      <c r="E5" s="506"/>
      <c r="F5" s="506"/>
      <c r="G5" s="506"/>
      <c r="H5" s="506"/>
      <c r="I5" s="506"/>
      <c r="J5" s="506"/>
      <c r="K5" s="506"/>
      <c r="L5" s="506"/>
      <c r="M5" s="506"/>
      <c r="N5" s="506"/>
      <c r="O5" s="506"/>
      <c r="P5" s="858"/>
    </row>
    <row r="6" spans="1:32">
      <c r="B6" s="505"/>
      <c r="C6" s="12"/>
      <c r="D6" s="506"/>
      <c r="E6" s="507"/>
      <c r="F6" s="506"/>
      <c r="G6" s="506"/>
      <c r="H6" s="506"/>
      <c r="I6" s="506"/>
      <c r="J6" s="506"/>
      <c r="K6" s="506"/>
      <c r="L6" s="506"/>
      <c r="M6" s="506"/>
      <c r="N6" s="506"/>
      <c r="O6" s="506"/>
      <c r="P6" s="858"/>
    </row>
    <row r="7" spans="1:32" ht="15.5">
      <c r="B7" s="15"/>
      <c r="C7" s="506"/>
      <c r="D7" s="16" t="s">
        <v>7</v>
      </c>
      <c r="E7" s="16" t="s">
        <v>8</v>
      </c>
      <c r="F7" s="506"/>
      <c r="G7" s="506"/>
      <c r="H7" s="506"/>
      <c r="I7" s="506"/>
      <c r="J7" s="506"/>
      <c r="K7" s="506"/>
      <c r="L7" s="506"/>
      <c r="M7" s="506"/>
      <c r="N7" s="506"/>
      <c r="O7" s="506"/>
      <c r="P7" s="858"/>
    </row>
    <row r="8" spans="1:32" ht="15.5">
      <c r="B8" s="15"/>
      <c r="C8" s="506"/>
      <c r="D8" s="1009" t="s">
        <v>2708</v>
      </c>
      <c r="E8" s="1009">
        <f>VI.a.2.Scenario</f>
        <v>1</v>
      </c>
      <c r="F8" s="506"/>
      <c r="G8" s="506"/>
      <c r="H8" s="506"/>
      <c r="I8" s="506"/>
      <c r="J8" s="506"/>
      <c r="K8" s="506"/>
      <c r="L8" s="506"/>
      <c r="M8" s="506"/>
      <c r="N8" s="506"/>
      <c r="O8" s="506"/>
      <c r="P8" s="858" t="s">
        <v>5</v>
      </c>
    </row>
    <row r="9" spans="1:32" ht="15.5">
      <c r="B9" s="15"/>
      <c r="C9" s="506"/>
      <c r="D9" s="32" t="s">
        <v>1882</v>
      </c>
      <c r="E9" s="32">
        <f>VI.a.Scenario</f>
        <v>1</v>
      </c>
      <c r="F9" s="506"/>
      <c r="G9" s="506"/>
      <c r="H9" s="506"/>
      <c r="I9" s="506"/>
      <c r="J9" s="506"/>
      <c r="K9" s="506" t="s">
        <v>5</v>
      </c>
      <c r="L9" s="506"/>
      <c r="M9" s="506"/>
      <c r="N9" s="506"/>
      <c r="O9" s="506"/>
      <c r="P9" s="858"/>
    </row>
    <row r="10" spans="1:32" ht="15.5">
      <c r="B10" s="15"/>
      <c r="C10" s="506"/>
      <c r="D10" s="17"/>
      <c r="E10" s="17"/>
      <c r="F10" s="506"/>
      <c r="G10" s="506" t="s">
        <v>5</v>
      </c>
      <c r="H10" s="506"/>
      <c r="I10" s="506"/>
      <c r="J10" s="506"/>
      <c r="K10" s="506"/>
      <c r="L10" s="506"/>
      <c r="M10" s="506"/>
      <c r="N10" s="506"/>
      <c r="O10" s="506"/>
      <c r="P10" s="858"/>
    </row>
    <row r="11" spans="1:32" ht="15.5">
      <c r="B11" s="15"/>
      <c r="C11" s="34" t="s">
        <v>1454</v>
      </c>
      <c r="D11" s="17" t="s">
        <v>1883</v>
      </c>
      <c r="E11" s="17"/>
      <c r="F11" s="506"/>
      <c r="G11" s="506"/>
      <c r="H11" s="506"/>
      <c r="I11" s="506"/>
      <c r="J11" s="506"/>
      <c r="K11" s="506"/>
      <c r="L11" s="506"/>
      <c r="M11" s="506"/>
      <c r="N11" s="506"/>
      <c r="O11" s="506"/>
      <c r="P11" s="858"/>
    </row>
    <row r="12" spans="1:32" ht="15.5">
      <c r="B12" s="15"/>
      <c r="C12" s="34"/>
      <c r="D12" s="17" t="s">
        <v>1884</v>
      </c>
      <c r="E12" s="17"/>
      <c r="F12" s="506"/>
      <c r="G12" s="506"/>
      <c r="H12" s="506"/>
      <c r="I12" s="506"/>
      <c r="J12" s="506"/>
      <c r="K12" s="506"/>
      <c r="L12" s="506"/>
      <c r="M12" s="506"/>
      <c r="N12" s="506"/>
      <c r="O12" s="506"/>
      <c r="P12" s="858"/>
    </row>
    <row r="13" spans="1:32">
      <c r="B13" s="1243"/>
      <c r="C13" s="860"/>
      <c r="D13" s="860" t="s">
        <v>3643</v>
      </c>
      <c r="E13" s="860"/>
      <c r="F13" s="860"/>
      <c r="G13" s="860"/>
      <c r="H13" s="860"/>
      <c r="I13" s="860"/>
      <c r="J13" s="860"/>
      <c r="K13" s="860"/>
      <c r="L13" s="860"/>
      <c r="M13" s="860"/>
      <c r="N13" s="860"/>
      <c r="O13" s="860"/>
      <c r="P13" s="861"/>
    </row>
    <row r="15" spans="1:32" s="6" customFormat="1" ht="23.5">
      <c r="A15" s="40"/>
      <c r="B15" s="869" t="s">
        <v>33</v>
      </c>
      <c r="C15" s="870"/>
      <c r="D15" s="870"/>
      <c r="E15" s="870"/>
      <c r="F15" s="870"/>
      <c r="G15" s="870"/>
      <c r="H15" s="870"/>
      <c r="I15" s="870"/>
      <c r="J15" s="870"/>
      <c r="K15" s="870"/>
      <c r="L15" s="870"/>
      <c r="M15" s="870"/>
      <c r="N15" s="870"/>
      <c r="O15" s="870"/>
      <c r="P15" s="927"/>
      <c r="Q15" s="927"/>
      <c r="T15" s="2476"/>
    </row>
    <row r="16" spans="1:32">
      <c r="B16" s="105"/>
      <c r="C16" s="67"/>
      <c r="D16" s="67"/>
      <c r="E16" s="67" t="s">
        <v>5</v>
      </c>
      <c r="F16" s="67"/>
      <c r="G16" s="67"/>
      <c r="H16" s="67"/>
      <c r="I16" s="67"/>
      <c r="J16" s="67"/>
      <c r="K16" s="67"/>
      <c r="L16" s="67"/>
      <c r="M16" s="67"/>
      <c r="N16" s="67"/>
      <c r="O16" s="67"/>
      <c r="P16" s="67"/>
      <c r="Q16" s="67"/>
      <c r="R16" s="6"/>
      <c r="S16" s="6"/>
      <c r="U16" s="6"/>
      <c r="V16" s="6"/>
      <c r="W16" s="6"/>
      <c r="X16" s="6"/>
      <c r="Y16" s="6"/>
      <c r="Z16" s="6"/>
      <c r="AA16" s="6"/>
      <c r="AB16" s="6"/>
      <c r="AC16" s="6"/>
      <c r="AD16" s="6"/>
      <c r="AE16" s="6"/>
      <c r="AF16" s="6"/>
    </row>
    <row r="17" spans="1:32">
      <c r="B17" s="105"/>
      <c r="C17" s="49" t="s">
        <v>1885</v>
      </c>
      <c r="D17" s="67"/>
      <c r="E17" s="50"/>
      <c r="F17" s="75"/>
      <c r="G17" s="67" t="s">
        <v>5</v>
      </c>
      <c r="H17" s="67"/>
      <c r="I17" s="67"/>
      <c r="J17" s="67"/>
      <c r="K17" s="67"/>
      <c r="L17" s="67"/>
      <c r="M17" s="67"/>
      <c r="N17" s="51" t="str">
        <f>Preferences.AreaUnits</f>
        <v>km^2</v>
      </c>
      <c r="O17" s="67"/>
      <c r="P17" s="67"/>
      <c r="Q17" s="67"/>
      <c r="R17" s="6"/>
      <c r="S17" s="6"/>
      <c r="U17" s="6"/>
      <c r="V17" s="6"/>
      <c r="W17" s="6"/>
      <c r="X17" s="6"/>
      <c r="Y17" s="6"/>
      <c r="Z17" s="6"/>
      <c r="AA17" s="6"/>
      <c r="AB17" s="6"/>
      <c r="AC17" s="6"/>
      <c r="AD17" s="6"/>
      <c r="AE17" s="6"/>
      <c r="AF17" s="6"/>
    </row>
    <row r="18" spans="1:32">
      <c r="B18" s="105"/>
      <c r="C18" s="67"/>
      <c r="D18" s="67"/>
      <c r="E18" s="67"/>
      <c r="F18" s="67" t="s">
        <v>5</v>
      </c>
      <c r="G18" s="67"/>
      <c r="H18" s="67"/>
      <c r="I18" s="67"/>
      <c r="J18" s="67"/>
      <c r="K18" s="67"/>
      <c r="L18" s="67"/>
      <c r="M18" s="67"/>
      <c r="N18" s="67"/>
      <c r="O18" s="67"/>
      <c r="P18" s="67"/>
      <c r="Q18" s="67"/>
      <c r="R18" s="6"/>
      <c r="S18" s="6"/>
      <c r="U18" s="6"/>
      <c r="V18" s="6"/>
      <c r="W18" s="6"/>
      <c r="X18" s="6"/>
      <c r="Y18" s="6"/>
      <c r="Z18" s="6"/>
      <c r="AA18" s="6"/>
      <c r="AB18" s="6"/>
      <c r="AC18" s="6"/>
      <c r="AD18" s="6"/>
      <c r="AE18" s="6"/>
      <c r="AF18" s="6"/>
    </row>
    <row r="19" spans="1:32">
      <c r="A19"/>
      <c r="B19" s="105"/>
      <c r="C19" s="878" t="s">
        <v>8</v>
      </c>
      <c r="D19" s="878" t="s">
        <v>71</v>
      </c>
      <c r="E19" s="878" t="s">
        <v>773</v>
      </c>
      <c r="F19" s="899">
        <v>2013</v>
      </c>
      <c r="G19" s="913">
        <v>2015</v>
      </c>
      <c r="H19" s="913">
        <v>2020</v>
      </c>
      <c r="I19" s="913">
        <v>2025</v>
      </c>
      <c r="J19" s="913">
        <v>2030</v>
      </c>
      <c r="K19" s="913">
        <v>2035</v>
      </c>
      <c r="L19" s="913">
        <v>2040</v>
      </c>
      <c r="M19" s="913">
        <v>2045</v>
      </c>
      <c r="N19" s="913">
        <v>2050</v>
      </c>
      <c r="O19" s="4265" t="s">
        <v>3693</v>
      </c>
      <c r="P19" s="4265" t="s">
        <v>3691</v>
      </c>
      <c r="Q19" s="4265" t="s">
        <v>3692</v>
      </c>
      <c r="R19" s="6"/>
      <c r="S19" s="6"/>
      <c r="U19" s="6"/>
      <c r="V19" s="6"/>
      <c r="W19" s="6"/>
      <c r="X19" s="6"/>
      <c r="Y19" s="6"/>
      <c r="Z19" s="6"/>
      <c r="AA19" s="6"/>
      <c r="AB19" s="6"/>
      <c r="AC19" s="6"/>
      <c r="AD19" s="6"/>
      <c r="AE19" s="6"/>
      <c r="AF19" s="6"/>
    </row>
    <row r="20" spans="1:32" ht="15.5">
      <c r="A20"/>
      <c r="B20" s="55"/>
      <c r="C20" s="1083">
        <v>1</v>
      </c>
      <c r="D20" s="881" t="s">
        <v>1886</v>
      </c>
      <c r="E20" s="1306" t="s">
        <v>1887</v>
      </c>
      <c r="F20" s="3951">
        <f t="shared" ref="F20:N20" si="0">(Unit.km2)*11554</f>
        <v>11554</v>
      </c>
      <c r="G20" s="3952">
        <f t="shared" si="0"/>
        <v>11554</v>
      </c>
      <c r="H20" s="3952">
        <f t="shared" si="0"/>
        <v>11554</v>
      </c>
      <c r="I20" s="3952">
        <f t="shared" si="0"/>
        <v>11554</v>
      </c>
      <c r="J20" s="3952">
        <f t="shared" si="0"/>
        <v>11554</v>
      </c>
      <c r="K20" s="3952">
        <f t="shared" si="0"/>
        <v>11554</v>
      </c>
      <c r="L20" s="3952">
        <f t="shared" si="0"/>
        <v>11554</v>
      </c>
      <c r="M20" s="3952">
        <f t="shared" si="0"/>
        <v>11554</v>
      </c>
      <c r="N20" s="3952">
        <f t="shared" si="0"/>
        <v>11554</v>
      </c>
      <c r="O20" s="4263">
        <f>SUM(N21:N23)/SUM(N20:N27)</f>
        <v>2.2644796051676601E-3</v>
      </c>
      <c r="P20" s="4263">
        <f>F20/SUM(F$20:F$27)</f>
        <v>0.16771664973145595</v>
      </c>
      <c r="Q20" s="4263">
        <f t="shared" ref="Q20:Q27" si="1">N20/SUM(N$20:N$27)</f>
        <v>0.16771664973145606</v>
      </c>
      <c r="R20"/>
      <c r="S20"/>
      <c r="T20"/>
      <c r="U20"/>
      <c r="V20"/>
      <c r="W20"/>
      <c r="X20" s="6"/>
      <c r="Y20" s="6"/>
      <c r="Z20" s="6"/>
      <c r="AA20" s="6"/>
      <c r="AB20" s="6"/>
      <c r="AC20" s="6"/>
      <c r="AD20" s="6"/>
      <c r="AE20" s="6"/>
      <c r="AF20" s="6"/>
    </row>
    <row r="21" spans="1:32" ht="15.5">
      <c r="A21"/>
      <c r="B21" s="55"/>
      <c r="C21" s="65">
        <v>1</v>
      </c>
      <c r="D21" s="103" t="s">
        <v>1888</v>
      </c>
      <c r="E21" s="1256" t="s">
        <v>669</v>
      </c>
      <c r="F21" s="3953">
        <f t="shared" ref="F21:N21" si="2">(Unit.km2)*123</f>
        <v>123</v>
      </c>
      <c r="G21" s="3954">
        <f t="shared" si="2"/>
        <v>123</v>
      </c>
      <c r="H21" s="3954">
        <f t="shared" si="2"/>
        <v>123</v>
      </c>
      <c r="I21" s="3954">
        <f t="shared" si="2"/>
        <v>123</v>
      </c>
      <c r="J21" s="3954">
        <f t="shared" si="2"/>
        <v>123</v>
      </c>
      <c r="K21" s="3954">
        <f t="shared" si="2"/>
        <v>123</v>
      </c>
      <c r="L21" s="3954">
        <f t="shared" si="2"/>
        <v>123</v>
      </c>
      <c r="M21" s="3954">
        <f t="shared" si="2"/>
        <v>123</v>
      </c>
      <c r="N21" s="3954">
        <f t="shared" si="2"/>
        <v>123</v>
      </c>
      <c r="O21" s="4157"/>
      <c r="P21" s="4263">
        <f t="shared" ref="P21:P27" si="3">F21/SUM(F$20:F$27)</f>
        <v>1.7854550733052692E-3</v>
      </c>
      <c r="Q21" s="4263">
        <f t="shared" si="1"/>
        <v>1.7854550733052703E-3</v>
      </c>
      <c r="R21"/>
      <c r="S21"/>
      <c r="T21"/>
      <c r="U21"/>
      <c r="V21"/>
      <c r="W21"/>
      <c r="X21" s="6"/>
      <c r="Y21" s="6"/>
      <c r="Z21" s="6"/>
      <c r="AA21" s="6"/>
      <c r="AB21" s="6"/>
      <c r="AC21" s="6"/>
      <c r="AD21" s="6"/>
      <c r="AE21" s="6"/>
      <c r="AF21" s="6"/>
    </row>
    <row r="22" spans="1:32" ht="15.5">
      <c r="A22"/>
      <c r="B22" s="55"/>
      <c r="C22" s="65">
        <v>1</v>
      </c>
      <c r="D22" s="103" t="s">
        <v>1889</v>
      </c>
      <c r="E22" s="1256" t="s">
        <v>1890</v>
      </c>
      <c r="F22" s="3953">
        <f t="shared" ref="F22:N22" si="4">(Unit.km2)*33</f>
        <v>33</v>
      </c>
      <c r="G22" s="3954">
        <f t="shared" si="4"/>
        <v>33</v>
      </c>
      <c r="H22" s="3954">
        <f t="shared" si="4"/>
        <v>33</v>
      </c>
      <c r="I22" s="3954">
        <f t="shared" si="4"/>
        <v>33</v>
      </c>
      <c r="J22" s="3954">
        <f t="shared" si="4"/>
        <v>33</v>
      </c>
      <c r="K22" s="3954">
        <f t="shared" si="4"/>
        <v>33</v>
      </c>
      <c r="L22" s="3954">
        <f t="shared" si="4"/>
        <v>33</v>
      </c>
      <c r="M22" s="3954">
        <f t="shared" si="4"/>
        <v>33</v>
      </c>
      <c r="N22" s="3954">
        <f t="shared" si="4"/>
        <v>33</v>
      </c>
      <c r="O22" s="4157"/>
      <c r="P22" s="4263">
        <f t="shared" si="3"/>
        <v>4.7902453186238929E-4</v>
      </c>
      <c r="Q22" s="4263">
        <f t="shared" si="1"/>
        <v>4.7902453186238962E-4</v>
      </c>
      <c r="R22"/>
      <c r="S22"/>
      <c r="T22"/>
      <c r="U22"/>
      <c r="V22"/>
      <c r="W22"/>
      <c r="X22"/>
      <c r="Y22"/>
      <c r="Z22"/>
      <c r="AA22"/>
      <c r="AB22" s="6"/>
      <c r="AC22" s="6"/>
      <c r="AD22" s="6"/>
      <c r="AE22" s="6"/>
      <c r="AF22" s="6"/>
    </row>
    <row r="23" spans="1:32" ht="15.5">
      <c r="A23"/>
      <c r="B23" s="55"/>
      <c r="C23" s="65">
        <v>1</v>
      </c>
      <c r="D23" s="103" t="s">
        <v>1891</v>
      </c>
      <c r="E23" s="1256" t="s">
        <v>1892</v>
      </c>
      <c r="F23" s="3953">
        <v>0</v>
      </c>
      <c r="G23" s="3954">
        <v>0</v>
      </c>
      <c r="H23" s="3954">
        <v>0</v>
      </c>
      <c r="I23" s="3954">
        <v>0</v>
      </c>
      <c r="J23" s="3954">
        <v>0</v>
      </c>
      <c r="K23" s="3954">
        <v>0</v>
      </c>
      <c r="L23" s="3954">
        <v>0</v>
      </c>
      <c r="M23" s="3954">
        <v>0</v>
      </c>
      <c r="N23" s="3954">
        <v>0</v>
      </c>
      <c r="O23" s="4157"/>
      <c r="P23" s="4263">
        <f t="shared" si="3"/>
        <v>0</v>
      </c>
      <c r="Q23" s="4263">
        <f t="shared" si="1"/>
        <v>0</v>
      </c>
      <c r="R23"/>
      <c r="S23"/>
      <c r="T23"/>
      <c r="U23"/>
      <c r="V23"/>
      <c r="W23"/>
      <c r="X23"/>
      <c r="Y23"/>
      <c r="Z23"/>
      <c r="AA23"/>
      <c r="AB23" s="6"/>
      <c r="AC23" s="3564"/>
      <c r="AD23" s="6"/>
      <c r="AE23" s="6"/>
      <c r="AF23" s="3564"/>
    </row>
    <row r="24" spans="1:32" ht="15.5">
      <c r="A24"/>
      <c r="B24" s="55"/>
      <c r="C24" s="65">
        <v>1</v>
      </c>
      <c r="D24" s="103" t="s">
        <v>1893</v>
      </c>
      <c r="E24" s="1256" t="s">
        <v>238</v>
      </c>
      <c r="F24" s="3953">
        <f t="shared" ref="F24:N24" si="5">(Unit.km2)*33620</f>
        <v>33620</v>
      </c>
      <c r="G24" s="3954">
        <f t="shared" si="5"/>
        <v>33620</v>
      </c>
      <c r="H24" s="3954">
        <f t="shared" si="5"/>
        <v>33620</v>
      </c>
      <c r="I24" s="3954">
        <f t="shared" si="5"/>
        <v>33620</v>
      </c>
      <c r="J24" s="3954">
        <f t="shared" si="5"/>
        <v>33620</v>
      </c>
      <c r="K24" s="3954">
        <f t="shared" si="5"/>
        <v>33620</v>
      </c>
      <c r="L24" s="3954">
        <f t="shared" si="5"/>
        <v>33620</v>
      </c>
      <c r="M24" s="3954">
        <f t="shared" si="5"/>
        <v>33620</v>
      </c>
      <c r="N24" s="3954">
        <f t="shared" si="5"/>
        <v>33620</v>
      </c>
      <c r="O24" s="4157"/>
      <c r="P24" s="4263">
        <f t="shared" si="3"/>
        <v>0.48802438670344028</v>
      </c>
      <c r="Q24" s="4263">
        <f t="shared" si="1"/>
        <v>0.48802438670344056</v>
      </c>
      <c r="R24"/>
      <c r="S24"/>
      <c r="T24"/>
      <c r="U24"/>
      <c r="V24"/>
      <c r="W24"/>
      <c r="X24"/>
      <c r="Y24"/>
      <c r="Z24"/>
      <c r="AA24"/>
      <c r="AB24" s="6"/>
      <c r="AC24" s="6"/>
      <c r="AD24" s="6"/>
      <c r="AE24" s="6"/>
      <c r="AF24" s="6"/>
    </row>
    <row r="25" spans="1:32" ht="15.5">
      <c r="A25"/>
      <c r="B25" s="55"/>
      <c r="C25" s="65">
        <v>1</v>
      </c>
      <c r="D25" s="103" t="s">
        <v>1894</v>
      </c>
      <c r="E25" s="1256" t="s">
        <v>1895</v>
      </c>
      <c r="F25" s="3953">
        <f>(Unit.km2)*1746.91</f>
        <v>1746.91</v>
      </c>
      <c r="G25" s="3954">
        <f>(Unit.km2)*1773.0302955658</f>
        <v>1773.0302955658001</v>
      </c>
      <c r="H25" s="3954">
        <f>(Unit.km2)*1838.33103448029</f>
        <v>1838.3310344802901</v>
      </c>
      <c r="I25" s="3954">
        <f>(Unit.km2)*1903.63177339479</f>
        <v>1903.6317733947899</v>
      </c>
      <c r="J25" s="3954">
        <f>(Unit.km2)*1968.93251230928</f>
        <v>1968.9325123092799</v>
      </c>
      <c r="K25" s="3954">
        <f>(Unit.km2)*2034.23325122378</f>
        <v>2034.2332512237799</v>
      </c>
      <c r="L25" s="3954">
        <f>(Unit.km2)*2099.53399013827</f>
        <v>2099.5339901382699</v>
      </c>
      <c r="M25" s="3954">
        <f>(Unit.km2)*2164.83472905277</f>
        <v>2164.8347290527699</v>
      </c>
      <c r="N25" s="3954">
        <f>(Unit.km2)*2230.13546796726</f>
        <v>2230.13546796726</v>
      </c>
      <c r="O25" s="4157" t="s">
        <v>5</v>
      </c>
      <c r="P25" s="4263">
        <f t="shared" si="3"/>
        <v>2.5357961968355349E-2</v>
      </c>
      <c r="Q25" s="4263">
        <f t="shared" si="1"/>
        <v>3.2372412076749332E-2</v>
      </c>
      <c r="R25"/>
      <c r="S25"/>
      <c r="T25"/>
      <c r="U25"/>
      <c r="V25"/>
      <c r="W25"/>
      <c r="X25"/>
      <c r="Y25"/>
      <c r="Z25"/>
      <c r="AA25"/>
      <c r="AB25"/>
      <c r="AC25"/>
      <c r="AD25"/>
      <c r="AE25"/>
      <c r="AF25"/>
    </row>
    <row r="26" spans="1:32" ht="15.5">
      <c r="A26"/>
      <c r="B26" s="55"/>
      <c r="C26" s="65">
        <v>1</v>
      </c>
      <c r="D26" s="103" t="s">
        <v>1896</v>
      </c>
      <c r="E26" s="1256" t="s">
        <v>451</v>
      </c>
      <c r="F26" s="3953">
        <f>(Unit.km2)*7566</f>
        <v>7566</v>
      </c>
      <c r="G26" s="3954">
        <f>(Unit.km2)*7652.48648648649</f>
        <v>7652.4864864864903</v>
      </c>
      <c r="H26" s="3954">
        <f>(Unit.km2)*7868.7027027027</f>
        <v>7868.7027027026998</v>
      </c>
      <c r="I26" s="3954">
        <f>(Unit.km2)*8084.91891891892</f>
        <v>8084.9189189189201</v>
      </c>
      <c r="J26" s="3954">
        <f>(Unit.km2)*8301.13513513513</f>
        <v>8301.1351351351295</v>
      </c>
      <c r="K26" s="3954">
        <f>(Unit.km2)*8517.35135135135</f>
        <v>8517.3513513513499</v>
      </c>
      <c r="L26" s="3954">
        <f>(Unit.km2)*8733.56756756757</f>
        <v>8733.5675675675702</v>
      </c>
      <c r="M26" s="3954">
        <f>(Unit.km2)*8949.78378378378</f>
        <v>8949.7837837837797</v>
      </c>
      <c r="N26" s="3954">
        <f>(Unit.km2)*9166</f>
        <v>9166</v>
      </c>
      <c r="O26" s="4157"/>
      <c r="P26" s="4263">
        <f t="shared" si="3"/>
        <v>0.10982726085063144</v>
      </c>
      <c r="Q26" s="4263">
        <f t="shared" si="1"/>
        <v>0.13305269269850495</v>
      </c>
      <c r="R26"/>
      <c r="S26"/>
      <c r="T26"/>
      <c r="U26"/>
      <c r="V26"/>
      <c r="W26"/>
      <c r="X26"/>
      <c r="Y26"/>
      <c r="Z26"/>
      <c r="AA26"/>
      <c r="AB26" s="6"/>
      <c r="AC26" s="6"/>
      <c r="AD26" s="6"/>
      <c r="AE26" s="6"/>
      <c r="AF26" s="6"/>
    </row>
    <row r="27" spans="1:32" ht="15.5">
      <c r="A27"/>
      <c r="B27" s="55"/>
      <c r="C27" s="65">
        <v>1</v>
      </c>
      <c r="D27" s="103" t="s">
        <v>402</v>
      </c>
      <c r="E27" s="1256" t="s">
        <v>1897</v>
      </c>
      <c r="F27" s="3953">
        <f>(Unit.km2)*14247.09</f>
        <v>14247.09</v>
      </c>
      <c r="G27" s="3955">
        <f>(Unit.km2)*14134.4832179477</f>
        <v>14134.4832179477</v>
      </c>
      <c r="H27" s="3955">
        <f>(Unit.km2)*13852.966262817</f>
        <v>13852.966262817001</v>
      </c>
      <c r="I27" s="3955">
        <f>(Unit.km2)*13571.4493076863</f>
        <v>13571.4493076863</v>
      </c>
      <c r="J27" s="3955">
        <f>(Unit.km2)*13289.9323525556</f>
        <v>13289.932352555599</v>
      </c>
      <c r="K27" s="3955">
        <f>(Unit.km2)*13008.4153974249</f>
        <v>13008.4153974249</v>
      </c>
      <c r="L27" s="3955">
        <f>(Unit.km2)*12726.8984422942</f>
        <v>12726.898442294199</v>
      </c>
      <c r="M27" s="3955">
        <f>(Unit.km2)*12445.3814871635</f>
        <v>12445.3814871635</v>
      </c>
      <c r="N27" s="3955">
        <f>(Unit.km2)*12163.8645320327</f>
        <v>12163.8645320327</v>
      </c>
      <c r="O27" s="4157"/>
      <c r="P27" s="4263">
        <f t="shared" si="3"/>
        <v>0.20680926114094933</v>
      </c>
      <c r="Q27" s="4263">
        <f t="shared" si="1"/>
        <v>0.17656937918468149</v>
      </c>
      <c r="R27"/>
      <c r="S27"/>
      <c r="T27"/>
      <c r="U27"/>
      <c r="V27"/>
      <c r="W27"/>
      <c r="X27"/>
      <c r="Y27" s="3565"/>
      <c r="Z27" s="3565"/>
      <c r="AA27" s="6"/>
      <c r="AB27" s="6"/>
      <c r="AC27" s="6"/>
      <c r="AD27" s="6"/>
      <c r="AE27" s="6"/>
      <c r="AF27" s="6"/>
    </row>
    <row r="28" spans="1:32" ht="15.5">
      <c r="B28" s="55"/>
      <c r="C28" s="1170">
        <v>2</v>
      </c>
      <c r="D28" s="1170" t="s">
        <v>1886</v>
      </c>
      <c r="E28" s="1170" t="s">
        <v>1887</v>
      </c>
      <c r="F28" s="3956">
        <f>(Unit.km2)*11554</f>
        <v>11554</v>
      </c>
      <c r="G28" s="3958">
        <f>(Unit.km2)*11544.4324324324</f>
        <v>11544.432432432401</v>
      </c>
      <c r="H28" s="3959">
        <f>(Unit.km2)*11520.5135135135</f>
        <v>11520.513513513501</v>
      </c>
      <c r="I28" s="3959">
        <f>(Unit.km2)*11496.5945945946</f>
        <v>11496.5945945946</v>
      </c>
      <c r="J28" s="3959">
        <f>(Unit.km2)*11472.6756756757</f>
        <v>11472.6756756757</v>
      </c>
      <c r="K28" s="3959">
        <f>(Unit.km2)*11448.7567567568</f>
        <v>11448.7567567568</v>
      </c>
      <c r="L28" s="3959">
        <f>(Unit.km2)*11424.8378378378</f>
        <v>11424.8378378378</v>
      </c>
      <c r="M28" s="3959">
        <f>(Unit.km2)*11400.9189189189</f>
        <v>11400.9189189189</v>
      </c>
      <c r="N28" s="3959">
        <f>(Unit.km2)*11377</f>
        <v>11377</v>
      </c>
      <c r="O28" s="4263">
        <f>SUM(N29:N31)/SUM(N28:N35)</f>
        <v>3.8220351284656666E-2</v>
      </c>
      <c r="P28" s="4263">
        <f>F28/SUM(F$28:F$35)</f>
        <v>0.16771664973145595</v>
      </c>
      <c r="Q28" s="4263">
        <f t="shared" ref="Q28:Q35" si="6">N28/SUM(N$28:N$35)</f>
        <v>0.16514733633328479</v>
      </c>
      <c r="R28"/>
      <c r="S28"/>
      <c r="T28"/>
      <c r="U28"/>
      <c r="V28"/>
      <c r="W28"/>
      <c r="X28"/>
      <c r="Y28" s="6"/>
      <c r="Z28" s="6"/>
      <c r="AA28" s="6"/>
      <c r="AB28" s="6"/>
      <c r="AC28" s="6"/>
      <c r="AD28" s="6"/>
      <c r="AE28" s="6"/>
      <c r="AF28" s="6"/>
    </row>
    <row r="29" spans="1:32" ht="15.5">
      <c r="B29" s="55"/>
      <c r="C29" s="65">
        <v>2</v>
      </c>
      <c r="D29" s="65" t="s">
        <v>1888</v>
      </c>
      <c r="E29" s="65" t="s">
        <v>669</v>
      </c>
      <c r="F29" s="3953">
        <f>(Unit.km2)*123</f>
        <v>123</v>
      </c>
      <c r="G29" s="3954">
        <f>(Unit.km2)*132.567567567568</f>
        <v>132.56756756756801</v>
      </c>
      <c r="H29" s="3954">
        <f>(Unit.km2)*156.486486486486</f>
        <v>156.486486486486</v>
      </c>
      <c r="I29" s="3954">
        <f>(Unit.km2)*180.405405405405</f>
        <v>180.40540540540499</v>
      </c>
      <c r="J29" s="3954">
        <f>(Unit.km2)*204.324324324324</f>
        <v>204.32432432432401</v>
      </c>
      <c r="K29" s="3954">
        <f>(Unit.km2)*228.243243243243</f>
        <v>228.243243243243</v>
      </c>
      <c r="L29" s="3954">
        <f>(Unit.km2)*252.162162162162</f>
        <v>252.16216216216199</v>
      </c>
      <c r="M29" s="3954">
        <f>(Unit.km2)*276.081081081081</f>
        <v>276.08108108108098</v>
      </c>
      <c r="N29" s="3926">
        <f>(Unit.km2)*300</f>
        <v>300</v>
      </c>
      <c r="O29" s="4157"/>
      <c r="P29" s="4263">
        <f t="shared" ref="P29:P51" si="7">F29/SUM(F$28:F$35)</f>
        <v>1.7854550733052692E-3</v>
      </c>
      <c r="Q29" s="4263">
        <f t="shared" si="6"/>
        <v>4.3547684714762627E-3</v>
      </c>
      <c r="R29"/>
      <c r="S29"/>
      <c r="T29"/>
      <c r="U29"/>
      <c r="V29"/>
      <c r="W29"/>
      <c r="X29"/>
      <c r="Y29" s="6"/>
      <c r="Z29" s="6"/>
      <c r="AA29" s="6"/>
      <c r="AB29" s="6"/>
      <c r="AC29" s="6"/>
      <c r="AD29" s="6"/>
      <c r="AE29" s="6"/>
      <c r="AF29" s="6"/>
    </row>
    <row r="30" spans="1:32" ht="15.5">
      <c r="B30" s="55"/>
      <c r="C30" s="65">
        <v>2</v>
      </c>
      <c r="D30" s="65" t="s">
        <v>1889</v>
      </c>
      <c r="E30" s="65" t="s">
        <v>1890</v>
      </c>
      <c r="F30" s="3953">
        <f t="shared" ref="F30:N30" si="8">(Unit.km2)*33</f>
        <v>33</v>
      </c>
      <c r="G30" s="3954">
        <f>(Unit.km2)*33</f>
        <v>33</v>
      </c>
      <c r="H30" s="3954">
        <f t="shared" si="8"/>
        <v>33</v>
      </c>
      <c r="I30" s="3954">
        <f t="shared" si="8"/>
        <v>33</v>
      </c>
      <c r="J30" s="3954">
        <f t="shared" si="8"/>
        <v>33</v>
      </c>
      <c r="K30" s="3954">
        <f t="shared" si="8"/>
        <v>33</v>
      </c>
      <c r="L30" s="3954">
        <f t="shared" si="8"/>
        <v>33</v>
      </c>
      <c r="M30" s="3954">
        <f t="shared" si="8"/>
        <v>33</v>
      </c>
      <c r="N30" s="3954">
        <f t="shared" si="8"/>
        <v>33</v>
      </c>
      <c r="O30" s="4157"/>
      <c r="P30" s="4263">
        <f t="shared" si="7"/>
        <v>4.7902453186238929E-4</v>
      </c>
      <c r="Q30" s="4263">
        <f t="shared" si="6"/>
        <v>4.7902453186238891E-4</v>
      </c>
      <c r="R30"/>
      <c r="S30"/>
      <c r="T30"/>
      <c r="U30"/>
      <c r="V30"/>
      <c r="W30"/>
      <c r="X30"/>
      <c r="Y30" s="6"/>
      <c r="Z30" s="6"/>
      <c r="AA30" s="6"/>
      <c r="AB30" s="6"/>
      <c r="AC30" s="6"/>
      <c r="AD30" s="6"/>
      <c r="AE30" s="6"/>
      <c r="AF30" s="6"/>
    </row>
    <row r="31" spans="1:32" ht="15.5">
      <c r="B31" s="55"/>
      <c r="C31" s="65">
        <v>2</v>
      </c>
      <c r="D31" s="65" t="s">
        <v>1891</v>
      </c>
      <c r="E31" s="65" t="s">
        <v>1892</v>
      </c>
      <c r="F31" s="3953">
        <v>0</v>
      </c>
      <c r="G31" s="3954">
        <f>(Unit.km2)*30</f>
        <v>30</v>
      </c>
      <c r="H31" s="3954">
        <f>(Unit.km2)*90</f>
        <v>90</v>
      </c>
      <c r="I31" s="3954">
        <f>(Unit.km2)*200</f>
        <v>200</v>
      </c>
      <c r="J31" s="3954">
        <f>(Unit.km2)*500</f>
        <v>500</v>
      </c>
      <c r="K31" s="3954">
        <f>(Unit.km2)*900</f>
        <v>900</v>
      </c>
      <c r="L31" s="3954">
        <f>(Unit.km2)*1300</f>
        <v>1300</v>
      </c>
      <c r="M31" s="3954">
        <f>(Unit.km2)*1800</f>
        <v>1800</v>
      </c>
      <c r="N31" s="3926">
        <f>(Unit.km2)*2300</f>
        <v>2300</v>
      </c>
      <c r="O31" s="4157"/>
      <c r="P31" s="4263">
        <f t="shared" si="7"/>
        <v>0</v>
      </c>
      <c r="Q31" s="4263">
        <f t="shared" si="6"/>
        <v>3.3386558281318014E-2</v>
      </c>
      <c r="R31"/>
      <c r="S31"/>
      <c r="T31"/>
      <c r="U31"/>
      <c r="V31"/>
      <c r="W31"/>
      <c r="X31"/>
      <c r="Y31" s="6"/>
      <c r="Z31" s="6"/>
      <c r="AA31" s="6"/>
      <c r="AB31" s="6"/>
      <c r="AC31" s="6"/>
      <c r="AD31" s="6"/>
      <c r="AE31" s="6"/>
      <c r="AF31" s="6"/>
    </row>
    <row r="32" spans="1:32" ht="15.5">
      <c r="B32" s="55"/>
      <c r="C32" s="65">
        <v>2</v>
      </c>
      <c r="D32" s="65" t="s">
        <v>1893</v>
      </c>
      <c r="E32" s="65" t="s">
        <v>238</v>
      </c>
      <c r="F32" s="3953">
        <f>(Unit.km2)*33620</f>
        <v>33620</v>
      </c>
      <c r="G32" s="3954">
        <f>(Unit.km2)*33432.7233617207</f>
        <v>33432.723361720702</v>
      </c>
      <c r="H32" s="3954">
        <f>(Unit.km2)*33150.2872234414</f>
        <v>33150.287223441403</v>
      </c>
      <c r="I32" s="3954">
        <f>(Unit.km2)*32868.6873826619</f>
        <v>32868.687382661898</v>
      </c>
      <c r="J32" s="3954">
        <f>(Unit.km2)*32587.9196578952</f>
        <v>32587.9196578952</v>
      </c>
      <c r="K32" s="3954">
        <f>(Unit.km2)*32307.9798885608</f>
        <v>32307.9798885608</v>
      </c>
      <c r="L32" s="3954">
        <f>(Unit.km2)*32028.8639348817</f>
        <v>32028.863934881701</v>
      </c>
      <c r="M32" s="3954">
        <f>(Unit.km2)*31750.5676777796</f>
        <v>31750.5676777796</v>
      </c>
      <c r="N32" s="3926">
        <f>(Unit.km2)*31473.0870187716</f>
        <v>31473.087018771599</v>
      </c>
      <c r="O32" s="4157" t="s">
        <v>5</v>
      </c>
      <c r="P32" s="4263">
        <f t="shared" si="7"/>
        <v>0.48802438670344028</v>
      </c>
      <c r="Q32" s="4263">
        <f t="shared" si="6"/>
        <v>0.45686002349791804</v>
      </c>
      <c r="R32"/>
      <c r="S32"/>
      <c r="T32"/>
      <c r="U32"/>
      <c r="V32"/>
      <c r="W32"/>
      <c r="X32"/>
      <c r="Y32"/>
      <c r="Z32"/>
      <c r="AA32" s="6"/>
      <c r="AB32" s="6"/>
      <c r="AC32" s="6"/>
      <c r="AD32" s="6"/>
      <c r="AE32" s="6"/>
      <c r="AF32" s="6"/>
    </row>
    <row r="33" spans="2:32" ht="15.5">
      <c r="B33" s="55"/>
      <c r="C33" s="65">
        <v>2</v>
      </c>
      <c r="D33" s="65" t="s">
        <v>1894</v>
      </c>
      <c r="E33" s="65" t="s">
        <v>1895</v>
      </c>
      <c r="F33" s="3953">
        <f>(Unit.km2)*1746.91</f>
        <v>1746.91</v>
      </c>
      <c r="G33" s="3954">
        <f>(Unit.km2)*1773.0302955658</f>
        <v>1773.0302955658001</v>
      </c>
      <c r="H33" s="3954">
        <f>(Unit.km2)*1838.33103448029</f>
        <v>1838.3310344802901</v>
      </c>
      <c r="I33" s="3954">
        <f>(Unit.km2)*1903.63177339479</f>
        <v>1903.6317733947899</v>
      </c>
      <c r="J33" s="3954">
        <f>(Unit.km2)*1968.93251230928</f>
        <v>1968.9325123092799</v>
      </c>
      <c r="K33" s="3954">
        <f>(Unit.km2)*2034.23325122378</f>
        <v>2034.2332512237799</v>
      </c>
      <c r="L33" s="3954">
        <f>(Unit.km2)*2099.53399013827</f>
        <v>2099.5339901382699</v>
      </c>
      <c r="M33" s="3954">
        <f>(Unit.km2)*2164.83472905277</f>
        <v>2164.8347290527699</v>
      </c>
      <c r="N33" s="3926">
        <f>(Unit.km2)*2230.13546796726</f>
        <v>2230.13546796726</v>
      </c>
      <c r="O33" s="4157"/>
      <c r="P33" s="4263">
        <f t="shared" si="7"/>
        <v>2.5357961968355349E-2</v>
      </c>
      <c r="Q33" s="4263">
        <f t="shared" si="6"/>
        <v>3.2372412076749284E-2</v>
      </c>
      <c r="R33"/>
      <c r="S33"/>
      <c r="T33"/>
      <c r="U33"/>
      <c r="V33"/>
      <c r="W33"/>
      <c r="X33"/>
      <c r="Y33"/>
      <c r="Z33"/>
      <c r="AA33" s="6"/>
      <c r="AB33" s="6"/>
      <c r="AC33" s="6"/>
      <c r="AD33" s="6"/>
      <c r="AE33" s="6"/>
      <c r="AF33" s="6"/>
    </row>
    <row r="34" spans="2:32" ht="15.5">
      <c r="B34" s="55"/>
      <c r="C34" s="65">
        <v>2</v>
      </c>
      <c r="D34" s="65" t="s">
        <v>1896</v>
      </c>
      <c r="E34" s="65" t="s">
        <v>451</v>
      </c>
      <c r="F34" s="3953">
        <f>(Unit.km2)*7566</f>
        <v>7566</v>
      </c>
      <c r="G34" s="3954">
        <f>(Unit.km2)*7726</f>
        <v>7726</v>
      </c>
      <c r="H34" s="3954">
        <f>(Unit.km2)*8126</f>
        <v>8126</v>
      </c>
      <c r="I34" s="3954">
        <f>(Unit.km2)*8526</f>
        <v>8526</v>
      </c>
      <c r="J34" s="3954">
        <f>(Unit.km2)*8926</f>
        <v>8926</v>
      </c>
      <c r="K34" s="3954">
        <f>(Unit.km2)*9326</f>
        <v>9326</v>
      </c>
      <c r="L34" s="3954">
        <f>(Unit.km2)*9726</f>
        <v>9726</v>
      </c>
      <c r="M34" s="3954">
        <f>(Unit.km2)*10126</f>
        <v>10126</v>
      </c>
      <c r="N34" s="3926">
        <f>(Unit.km2)*10526</f>
        <v>10526</v>
      </c>
      <c r="O34" s="4157" t="s">
        <v>5</v>
      </c>
      <c r="P34" s="4263">
        <f t="shared" si="7"/>
        <v>0.10982726085063144</v>
      </c>
      <c r="Q34" s="4263">
        <f t="shared" si="6"/>
        <v>0.15279430976919714</v>
      </c>
      <c r="R34" s="6"/>
      <c r="S34"/>
      <c r="T34"/>
      <c r="U34"/>
      <c r="V34"/>
      <c r="W34"/>
      <c r="X34"/>
      <c r="Y34"/>
      <c r="Z34"/>
      <c r="AA34" s="6"/>
      <c r="AB34" s="6"/>
      <c r="AC34" s="6"/>
      <c r="AD34" s="6"/>
      <c r="AE34" s="6"/>
      <c r="AF34" s="6"/>
    </row>
    <row r="35" spans="2:32" ht="15.5">
      <c r="B35" s="55"/>
      <c r="C35" s="917">
        <v>2</v>
      </c>
      <c r="D35" s="917" t="s">
        <v>402</v>
      </c>
      <c r="E35" s="917" t="s">
        <v>1897</v>
      </c>
      <c r="F35" s="3957">
        <f>(Unit.km2)*14247.09</f>
        <v>14247.09</v>
      </c>
      <c r="G35" s="3955">
        <f>(Unit.km2)*14218.2463427135</f>
        <v>14218.246342713501</v>
      </c>
      <c r="H35" s="3955">
        <f>(Unit.km2)*13975.3817420784</f>
        <v>13975.3817420784</v>
      </c>
      <c r="I35" s="3955">
        <f>(Unit.km2)*13681.6808439433</f>
        <v>13681.680843943301</v>
      </c>
      <c r="J35" s="3955">
        <f>(Unit.km2)*13197.1478297955</f>
        <v>13197.1478297955</v>
      </c>
      <c r="K35" s="3955">
        <f>(Unit.km2)*12611.7868602154</f>
        <v>12611.786860215399</v>
      </c>
      <c r="L35" s="3955">
        <f>(Unit.km2)*12025.60207498</f>
        <v>12025.602074980001</v>
      </c>
      <c r="M35" s="3955">
        <f>(Unit.km2)*11338.5975931677</f>
        <v>11338.5975931677</v>
      </c>
      <c r="N35" s="3955">
        <f>(Unit.km2)*10650.7775132612</f>
        <v>10650.777513261201</v>
      </c>
      <c r="O35" s="4157"/>
      <c r="P35" s="4263">
        <f t="shared" si="7"/>
        <v>0.20680926114094933</v>
      </c>
      <c r="Q35" s="4263">
        <f t="shared" si="6"/>
        <v>0.15460556703819409</v>
      </c>
      <c r="R35" s="6"/>
      <c r="S35"/>
      <c r="T35"/>
      <c r="U35"/>
      <c r="V35"/>
      <c r="W35"/>
      <c r="X35"/>
      <c r="Y35"/>
      <c r="Z35"/>
      <c r="AA35" s="6"/>
      <c r="AB35" s="6"/>
      <c r="AC35" s="6"/>
      <c r="AD35" s="6"/>
      <c r="AE35" s="6"/>
      <c r="AF35" s="6"/>
    </row>
    <row r="36" spans="2:32" ht="15.5">
      <c r="B36" s="55"/>
      <c r="C36" s="65">
        <v>3</v>
      </c>
      <c r="D36" s="65" t="s">
        <v>1886</v>
      </c>
      <c r="E36" s="65" t="s">
        <v>1887</v>
      </c>
      <c r="F36" s="3956">
        <f>(Unit.km2)*11554</f>
        <v>11554</v>
      </c>
      <c r="G36" s="4252">
        <f>(Unit.km2)*11501.2162162162</f>
        <v>11501.2162162162</v>
      </c>
      <c r="H36" s="3959">
        <f>(Unit.km2)*11346.0424710425</f>
        <v>11346.0424710425</v>
      </c>
      <c r="I36" s="3959">
        <f>(Unit.km2)*11190.8687258687</f>
        <v>11190.8687258687</v>
      </c>
      <c r="J36" s="3959">
        <f>(Unit.km2)*11035.694980695</f>
        <v>11035.694980695</v>
      </c>
      <c r="K36" s="3959">
        <f>(Unit.km2)*10880.5212355212</f>
        <v>10880.521235521201</v>
      </c>
      <c r="L36" s="3959">
        <f>(Unit.km2)*10725.3474903475</f>
        <v>10725.3474903475</v>
      </c>
      <c r="M36" s="3959">
        <f>(Unit.km2)*10570.1737451737</f>
        <v>10570.173745173701</v>
      </c>
      <c r="N36" s="3959">
        <f>(Unit.km2)*10415</f>
        <v>10415</v>
      </c>
      <c r="O36" s="4263">
        <f>SUM(N37:N39)/SUM(N36:N43)</f>
        <v>6.9603716069095628E-2</v>
      </c>
      <c r="P36" s="4263">
        <f t="shared" si="7"/>
        <v>0.16771664973145595</v>
      </c>
      <c r="Q36" s="4263">
        <f t="shared" ref="Q36:Q43" si="9">N36/SUM(N$36:N$43)</f>
        <v>0.151183045434751</v>
      </c>
      <c r="R36" s="6"/>
      <c r="S36"/>
      <c r="T36"/>
      <c r="U36"/>
      <c r="V36"/>
      <c r="W36"/>
      <c r="X36"/>
      <c r="Y36"/>
      <c r="Z36"/>
      <c r="AA36" s="6"/>
      <c r="AB36" s="6"/>
      <c r="AC36" s="6"/>
      <c r="AD36" s="6"/>
      <c r="AE36" s="6"/>
      <c r="AF36" s="6"/>
    </row>
    <row r="37" spans="2:32" ht="15.5">
      <c r="B37" s="55"/>
      <c r="C37" s="65">
        <v>3</v>
      </c>
      <c r="D37" s="65" t="s">
        <v>1888</v>
      </c>
      <c r="E37" s="65" t="s">
        <v>669</v>
      </c>
      <c r="F37" s="3953">
        <f>(Unit.km2)*123</f>
        <v>123</v>
      </c>
      <c r="G37" s="3954">
        <f>(Unit.km2)*140</f>
        <v>140</v>
      </c>
      <c r="H37" s="3954">
        <f>(Unit.km2)*205.714285714286</f>
        <v>205.71428571428601</v>
      </c>
      <c r="I37" s="3954">
        <f>(Unit.km2)*271.428571428571</f>
        <v>271.42857142857099</v>
      </c>
      <c r="J37" s="3954">
        <f>(Unit.km2)*337.142857142857</f>
        <v>337.142857142857</v>
      </c>
      <c r="K37" s="3954">
        <f>(Unit.km2)*402.857142857143</f>
        <v>402.857142857143</v>
      </c>
      <c r="L37" s="3954">
        <f>(Unit.km2)*468.571428571429</f>
        <v>468.57142857142901</v>
      </c>
      <c r="M37" s="3954">
        <f>(Unit.km2)*534.285714285714</f>
        <v>534.28571428571399</v>
      </c>
      <c r="N37" s="3926">
        <f>(Unit.km2)*600</f>
        <v>600</v>
      </c>
      <c r="O37" s="4157"/>
      <c r="P37" s="4263">
        <f t="shared" si="7"/>
        <v>1.7854550733052692E-3</v>
      </c>
      <c r="Q37" s="4263">
        <f t="shared" si="9"/>
        <v>8.7095369429525289E-3</v>
      </c>
      <c r="R37" s="6"/>
      <c r="S37"/>
      <c r="T37"/>
      <c r="U37"/>
      <c r="V37"/>
      <c r="W37"/>
      <c r="X37"/>
      <c r="Y37"/>
      <c r="Z37"/>
      <c r="AA37" s="6"/>
      <c r="AB37" s="6"/>
      <c r="AC37" s="6"/>
      <c r="AD37" s="6"/>
      <c r="AE37" s="6"/>
      <c r="AF37" s="6"/>
    </row>
    <row r="38" spans="2:32" ht="15.5">
      <c r="B38" s="55"/>
      <c r="C38" s="65">
        <v>3</v>
      </c>
      <c r="D38" s="65" t="s">
        <v>1889</v>
      </c>
      <c r="E38" s="65" t="s">
        <v>1890</v>
      </c>
      <c r="F38" s="3953">
        <f>(Unit.km2)*33</f>
        <v>33</v>
      </c>
      <c r="G38" s="3954">
        <f>(Unit.km2)*68.7837837837838</f>
        <v>68.783783783783804</v>
      </c>
      <c r="H38" s="3954">
        <f>(Unit.km2)*158.243243243243</f>
        <v>158.243243243243</v>
      </c>
      <c r="I38" s="3954">
        <f>(Unit.km2)*247.702702702703</f>
        <v>247.70270270270299</v>
      </c>
      <c r="J38" s="3954">
        <f>(Unit.km2)*337.162162162162</f>
        <v>337.16216216216202</v>
      </c>
      <c r="K38" s="3954">
        <f>(Unit.km2)*426.621621621622</f>
        <v>426.62162162162201</v>
      </c>
      <c r="L38" s="3954">
        <f>(Unit.km2)*516.081081081081</f>
        <v>516.08108108108104</v>
      </c>
      <c r="M38" s="3954">
        <f>(Unit.km2)*605.540540540541</f>
        <v>605.54054054054097</v>
      </c>
      <c r="N38" s="3926">
        <f>(Unit.km2)*695</f>
        <v>695</v>
      </c>
      <c r="O38" s="4157"/>
      <c r="P38" s="4263">
        <f t="shared" si="7"/>
        <v>4.7902453186238929E-4</v>
      </c>
      <c r="Q38" s="4263">
        <f t="shared" si="9"/>
        <v>1.0088546958920013E-2</v>
      </c>
      <c r="R38" s="6"/>
      <c r="S38"/>
      <c r="T38"/>
      <c r="U38"/>
      <c r="V38"/>
      <c r="W38"/>
      <c r="X38"/>
      <c r="Y38"/>
      <c r="Z38"/>
      <c r="AA38" s="6"/>
      <c r="AB38" s="6"/>
      <c r="AC38" s="6"/>
      <c r="AD38" s="6"/>
      <c r="AE38" s="6"/>
      <c r="AF38" s="6"/>
    </row>
    <row r="39" spans="2:32" ht="15.5">
      <c r="B39" s="55"/>
      <c r="C39" s="65">
        <v>3</v>
      </c>
      <c r="D39" s="65" t="s">
        <v>1891</v>
      </c>
      <c r="E39" s="65" t="s">
        <v>1892</v>
      </c>
      <c r="F39" s="3953">
        <v>0</v>
      </c>
      <c r="G39" s="3954">
        <f>(Unit.km2)*200</f>
        <v>200</v>
      </c>
      <c r="H39" s="3954">
        <f>(Unit.km2)*671.428571428571</f>
        <v>671.42857142857099</v>
      </c>
      <c r="I39" s="3954">
        <f>(Unit.km2)*1142.85714285714</f>
        <v>1142.8571428571399</v>
      </c>
      <c r="J39" s="3954">
        <f>(Unit.km2)*1614.28571428571</f>
        <v>1614.2857142857099</v>
      </c>
      <c r="K39" s="3954">
        <f>(Unit.km2)*2085.71428571429</f>
        <v>2085.7142857142899</v>
      </c>
      <c r="L39" s="3954">
        <f>(Unit.km2)*2557.14285714286</f>
        <v>2557.1428571428601</v>
      </c>
      <c r="M39" s="3954">
        <f>(Unit.km2)*3028.57142857143</f>
        <v>3028.5714285714298</v>
      </c>
      <c r="N39" s="3926">
        <f>(Unit.km2)*3500</f>
        <v>3500</v>
      </c>
      <c r="O39" s="4263"/>
      <c r="P39" s="4263">
        <f t="shared" si="7"/>
        <v>0</v>
      </c>
      <c r="Q39" s="4263">
        <f t="shared" si="9"/>
        <v>5.0805632167223086E-2</v>
      </c>
      <c r="R39"/>
      <c r="S39"/>
      <c r="T39"/>
      <c r="U39"/>
      <c r="V39"/>
      <c r="W39"/>
      <c r="X39"/>
      <c r="Y39"/>
      <c r="Z39"/>
      <c r="AA39" s="6"/>
      <c r="AB39" s="6"/>
      <c r="AC39" s="6"/>
      <c r="AD39" s="6"/>
      <c r="AE39" s="6"/>
      <c r="AF39" s="6"/>
    </row>
    <row r="40" spans="2:32" ht="15.5">
      <c r="B40" s="55"/>
      <c r="C40" s="65">
        <v>3</v>
      </c>
      <c r="D40" s="65" t="s">
        <v>1893</v>
      </c>
      <c r="E40" s="65" t="s">
        <v>238</v>
      </c>
      <c r="F40" s="3953">
        <f>(Unit.km2)*33620</f>
        <v>33620</v>
      </c>
      <c r="G40" s="3954">
        <f>(Unit.km2)*33586.8219118532</f>
        <v>33586.8219118532</v>
      </c>
      <c r="H40" s="3954">
        <f>(Unit.km2)*33090.1303776791</f>
        <v>33090.130377679103</v>
      </c>
      <c r="I40" s="3954">
        <f>(Unit.km2)*32584.7570230363</f>
        <v>32584.757023036302</v>
      </c>
      <c r="J40" s="3954">
        <f>(Unit.km2)*32070.9188934365</f>
        <v>32070.918893436501</v>
      </c>
      <c r="K40" s="3954">
        <f>(Unit.km2)*31548.8276082535</f>
        <v>31548.827608253501</v>
      </c>
      <c r="L40" s="3954">
        <f>(Unit.km2)*31018.689496377</f>
        <v>31018.689496376999</v>
      </c>
      <c r="M40" s="3954">
        <f>(Unit.km2)*30480.7057284743</f>
        <v>30480.705728474299</v>
      </c>
      <c r="N40" s="3926">
        <f>(Unit.km2)*29935.0724459461</f>
        <v>29935.072445946102</v>
      </c>
      <c r="O40" s="4157"/>
      <c r="P40" s="4263">
        <f t="shared" si="7"/>
        <v>0.48802438670344028</v>
      </c>
      <c r="Q40" s="4263">
        <f t="shared" si="9"/>
        <v>0.43453436559654651</v>
      </c>
      <c r="R40"/>
      <c r="S40"/>
      <c r="T40"/>
      <c r="U40"/>
      <c r="V40"/>
      <c r="W40"/>
      <c r="X40"/>
      <c r="Y40"/>
      <c r="Z40"/>
      <c r="AA40" s="6"/>
      <c r="AB40" s="6"/>
      <c r="AC40" s="6"/>
      <c r="AD40" s="6"/>
      <c r="AE40" s="6"/>
      <c r="AF40" s="6"/>
    </row>
    <row r="41" spans="2:32" ht="15.5">
      <c r="B41" s="55"/>
      <c r="C41" s="65">
        <v>3</v>
      </c>
      <c r="D41" s="65" t="s">
        <v>1894</v>
      </c>
      <c r="E41" s="65" t="s">
        <v>1895</v>
      </c>
      <c r="F41" s="3953">
        <f>(Unit.km2)*1746.91</f>
        <v>1746.91</v>
      </c>
      <c r="G41" s="3954">
        <f>(Unit.km2)*1773.0302955658</f>
        <v>1773.0302955658001</v>
      </c>
      <c r="H41" s="3954">
        <f>(Unit.km2)*1838.33103448029</f>
        <v>1838.3310344802901</v>
      </c>
      <c r="I41" s="3954">
        <f>(Unit.km2)*1903.63177339479</f>
        <v>1903.6317733947899</v>
      </c>
      <c r="J41" s="3954">
        <f>(Unit.km2)*1968.93251230928</f>
        <v>1968.9325123092799</v>
      </c>
      <c r="K41" s="3954">
        <f>(Unit.km2)*2034.23325122378</f>
        <v>2034.2332512237799</v>
      </c>
      <c r="L41" s="3954">
        <f>(Unit.km2)*2099.53399013827</f>
        <v>2099.5339901382699</v>
      </c>
      <c r="M41" s="3954">
        <f>(Unit.km2)*2164.83472905277</f>
        <v>2164.8347290527699</v>
      </c>
      <c r="N41" s="3926">
        <f>(Unit.km2)*2230.13546796726</f>
        <v>2230.13546796726</v>
      </c>
      <c r="O41" s="4157"/>
      <c r="P41" s="4263">
        <f t="shared" si="7"/>
        <v>2.5357961968355349E-2</v>
      </c>
      <c r="Q41" s="4263">
        <f t="shared" si="9"/>
        <v>3.2372412076749298E-2</v>
      </c>
      <c r="R41"/>
      <c r="S41"/>
      <c r="T41"/>
      <c r="U41"/>
      <c r="V41"/>
      <c r="W41"/>
      <c r="X41"/>
      <c r="Y41"/>
      <c r="Z41"/>
      <c r="AA41" s="6"/>
      <c r="AB41" s="6"/>
      <c r="AC41" s="6"/>
      <c r="AD41" s="6"/>
      <c r="AE41" s="6"/>
      <c r="AF41" s="6"/>
    </row>
    <row r="42" spans="2:32" ht="15.5">
      <c r="B42" s="55"/>
      <c r="C42" s="65">
        <v>3</v>
      </c>
      <c r="D42" s="65" t="s">
        <v>1896</v>
      </c>
      <c r="E42" s="65" t="s">
        <v>451</v>
      </c>
      <c r="F42" s="3953">
        <f>(Unit.km2)*7566</f>
        <v>7566</v>
      </c>
      <c r="G42" s="3954">
        <f>(Unit.km2)*7806</f>
        <v>7806</v>
      </c>
      <c r="H42" s="3954">
        <f>(Unit.km2)*8406</f>
        <v>8406</v>
      </c>
      <c r="I42" s="3954">
        <f>(Unit.km2)*9006</f>
        <v>9006</v>
      </c>
      <c r="J42" s="3954">
        <f>(Unit.km2)*9606</f>
        <v>9606</v>
      </c>
      <c r="K42" s="3954">
        <f>(Unit.km2)*10206</f>
        <v>10206</v>
      </c>
      <c r="L42" s="3954">
        <f>(Unit.km2)*10806</f>
        <v>10806</v>
      </c>
      <c r="M42" s="3954">
        <f>(Unit.km2)*11406</f>
        <v>11406</v>
      </c>
      <c r="N42" s="3926">
        <f>(Unit.km2)*12006</f>
        <v>12006</v>
      </c>
      <c r="O42" s="4157"/>
      <c r="P42" s="4263">
        <f t="shared" si="7"/>
        <v>0.10982726085063144</v>
      </c>
      <c r="Q42" s="4263">
        <f t="shared" si="9"/>
        <v>0.17427783422848012</v>
      </c>
      <c r="R42"/>
      <c r="S42"/>
      <c r="T42"/>
      <c r="U42"/>
      <c r="V42"/>
      <c r="W42"/>
      <c r="X42"/>
      <c r="Y42"/>
      <c r="Z42"/>
      <c r="AA42" s="6"/>
      <c r="AB42" s="6"/>
      <c r="AC42" s="6"/>
      <c r="AD42" s="6"/>
      <c r="AE42" s="6"/>
      <c r="AF42" s="6"/>
    </row>
    <row r="43" spans="2:32" ht="15.5">
      <c r="B43" s="55"/>
      <c r="C43" s="917">
        <v>3</v>
      </c>
      <c r="D43" s="917" t="s">
        <v>402</v>
      </c>
      <c r="E43" s="917" t="s">
        <v>1897</v>
      </c>
      <c r="F43" s="3957">
        <f>(Unit.km2)*14247.09</f>
        <v>14247.09</v>
      </c>
      <c r="G43" s="3955">
        <f>(Unit.km2)*13814.147792581</f>
        <v>13814.147792581</v>
      </c>
      <c r="H43" s="3955">
        <f>(Unit.km2)*13174.110016412</f>
        <v>13174.110016412</v>
      </c>
      <c r="I43" s="3955">
        <f>(Unit.km2)*12542.7540607117</f>
        <v>12542.754060711701</v>
      </c>
      <c r="J43" s="3955">
        <f>(Unit.km2)*11919.8628799685</f>
        <v>11919.862879968499</v>
      </c>
      <c r="K43" s="3955">
        <f>(Unit.km2)*11305.2248548084</f>
        <v>11305.224854808401</v>
      </c>
      <c r="L43" s="3955">
        <f>(Unit.km2)*10698.6336563419</f>
        <v>10698.633656341901</v>
      </c>
      <c r="M43" s="3955">
        <f>(Unit.km2)*10099.8881139015</f>
        <v>10099.888113901499</v>
      </c>
      <c r="N43" s="3955">
        <f>(Unit.km2)*9508.79208608666</f>
        <v>9508.7920860866598</v>
      </c>
      <c r="O43" s="4157"/>
      <c r="P43" s="4263">
        <f t="shared" si="7"/>
        <v>0.20680926114094933</v>
      </c>
      <c r="Q43" s="4263">
        <f t="shared" si="9"/>
        <v>0.13802862659437734</v>
      </c>
      <c r="R43"/>
      <c r="S43"/>
      <c r="T43"/>
      <c r="U43"/>
      <c r="V43"/>
      <c r="W43"/>
      <c r="X43"/>
      <c r="Y43"/>
      <c r="Z43"/>
      <c r="AA43" s="850"/>
      <c r="AB43" s="6"/>
      <c r="AC43" s="6"/>
      <c r="AD43" s="6"/>
      <c r="AE43" s="6"/>
      <c r="AF43" s="6"/>
    </row>
    <row r="44" spans="2:32" ht="15.5">
      <c r="B44" s="55"/>
      <c r="C44" s="65">
        <v>4</v>
      </c>
      <c r="D44" s="103" t="s">
        <v>1886</v>
      </c>
      <c r="E44" s="1256" t="s">
        <v>1887</v>
      </c>
      <c r="F44" s="3956">
        <f>(Unit.km2)*11554</f>
        <v>11554</v>
      </c>
      <c r="G44" s="4252">
        <f>(Unit.km2)*11501.2162162162</f>
        <v>11501.2162162162</v>
      </c>
      <c r="H44" s="3959">
        <f>(Unit.km2)*11346.0424710425</f>
        <v>11346.0424710425</v>
      </c>
      <c r="I44" s="3959">
        <f>(Unit.km2)*11190.8687258687</f>
        <v>11190.8687258687</v>
      </c>
      <c r="J44" s="3959">
        <f>(Unit.km2)*11035.694980695</f>
        <v>11035.694980695</v>
      </c>
      <c r="K44" s="3959">
        <f>(Unit.km2)*10880.5212355212</f>
        <v>10880.521235521201</v>
      </c>
      <c r="L44" s="3959">
        <f>(Unit.km2)*10725.3474903475</f>
        <v>10725.3474903475</v>
      </c>
      <c r="M44" s="3959">
        <f>(Unit.km2)*10570.1737451737</f>
        <v>10570.173745173701</v>
      </c>
      <c r="N44" s="3959">
        <f>(Unit.km2)*10415</f>
        <v>10415</v>
      </c>
      <c r="O44" s="4264">
        <f>SUM(N45:N47)/SUM(F44:F51)</f>
        <v>0.11024822180287415</v>
      </c>
      <c r="P44" s="4263">
        <f t="shared" si="7"/>
        <v>0.16771664973145595</v>
      </c>
      <c r="Q44" s="4263">
        <f t="shared" ref="Q44:Q51" si="10">N44/SUM(N$44:N$51)</f>
        <v>0.15118304496641966</v>
      </c>
      <c r="R44"/>
      <c r="S44"/>
      <c r="T44"/>
      <c r="U44"/>
      <c r="V44"/>
      <c r="W44"/>
      <c r="X44"/>
      <c r="Y44"/>
      <c r="Z44"/>
      <c r="AA44" s="850"/>
      <c r="AB44" s="6"/>
      <c r="AC44" s="6"/>
      <c r="AD44" s="6"/>
      <c r="AE44" s="6"/>
      <c r="AF44" s="6"/>
    </row>
    <row r="45" spans="2:32" ht="15.5">
      <c r="B45" s="55"/>
      <c r="C45" s="65">
        <v>4</v>
      </c>
      <c r="D45" s="103" t="s">
        <v>1888</v>
      </c>
      <c r="E45" s="1256" t="s">
        <v>669</v>
      </c>
      <c r="F45" s="3953">
        <f>(Unit.km2)*123</f>
        <v>123</v>
      </c>
      <c r="G45" s="3954">
        <f>(Unit.km2)*140</f>
        <v>140</v>
      </c>
      <c r="H45" s="3954">
        <f>(Unit.km2)*205.714285714286</f>
        <v>205.71428571428601</v>
      </c>
      <c r="I45" s="3954">
        <f>(Unit.km2)*271.428571428571</f>
        <v>271.42857142857099</v>
      </c>
      <c r="J45" s="3954">
        <f>(Unit.km2)*337.142857142857</f>
        <v>337.142857142857</v>
      </c>
      <c r="K45" s="3954">
        <f>(Unit.km2)*402.857142857143</f>
        <v>402.857142857143</v>
      </c>
      <c r="L45" s="3954">
        <f>(Unit.km2)*468.571428571429</f>
        <v>468.57142857142901</v>
      </c>
      <c r="M45" s="3954">
        <f>(Unit.km2)*534.285714285714</f>
        <v>534.28571428571399</v>
      </c>
      <c r="N45" s="3926">
        <f>(Unit.km2)*600</f>
        <v>600</v>
      </c>
      <c r="O45" s="67"/>
      <c r="P45" s="4263">
        <f t="shared" si="7"/>
        <v>1.7854550733052692E-3</v>
      </c>
      <c r="Q45" s="4263">
        <f t="shared" si="10"/>
        <v>8.7095369159723279E-3</v>
      </c>
      <c r="R45"/>
      <c r="S45"/>
      <c r="T45"/>
      <c r="U45"/>
      <c r="V45"/>
      <c r="W45"/>
      <c r="X45"/>
      <c r="Y45"/>
      <c r="Z45"/>
      <c r="AA45" s="850"/>
      <c r="AB45" s="6"/>
      <c r="AC45" s="6"/>
      <c r="AD45" s="6"/>
      <c r="AE45" s="6"/>
      <c r="AF45" s="6"/>
    </row>
    <row r="46" spans="2:32" ht="15.5">
      <c r="B46" s="55"/>
      <c r="C46" s="65">
        <v>4</v>
      </c>
      <c r="D46" s="103" t="s">
        <v>1889</v>
      </c>
      <c r="E46" s="1256" t="s">
        <v>1890</v>
      </c>
      <c r="F46" s="3953">
        <f>(Unit.km2)*33</f>
        <v>33</v>
      </c>
      <c r="G46" s="3954">
        <f>(Unit.km2)*68.7837837837838</f>
        <v>68.783783783783804</v>
      </c>
      <c r="H46" s="3954">
        <f>(Unit.km2)*158.243243243243</f>
        <v>158.243243243243</v>
      </c>
      <c r="I46" s="3954">
        <f>(Unit.km2)*247.702702702703</f>
        <v>247.70270270270299</v>
      </c>
      <c r="J46" s="3954">
        <f>(Unit.km2)*337.162162162162</f>
        <v>337.16216216216202</v>
      </c>
      <c r="K46" s="3954">
        <f>(Unit.km2)*426.621621621622</f>
        <v>426.62162162162201</v>
      </c>
      <c r="L46" s="3954">
        <f>(Unit.km2)*516.081081081081</f>
        <v>516.08108108108104</v>
      </c>
      <c r="M46" s="3954">
        <f>(Unit.km2)*605.540540540541</f>
        <v>605.54054054054097</v>
      </c>
      <c r="N46" s="3926">
        <f>(Unit.km2)*695</f>
        <v>695</v>
      </c>
      <c r="O46" s="75"/>
      <c r="P46" s="4263">
        <f t="shared" si="7"/>
        <v>4.7902453186238929E-4</v>
      </c>
      <c r="Q46" s="4263">
        <f t="shared" si="10"/>
        <v>1.0088546927667946E-2</v>
      </c>
      <c r="R46"/>
      <c r="S46"/>
      <c r="T46"/>
      <c r="U46"/>
      <c r="V46"/>
      <c r="W46"/>
      <c r="X46"/>
      <c r="Y46"/>
      <c r="Z46"/>
      <c r="AA46" s="850"/>
      <c r="AB46" s="6"/>
      <c r="AC46" s="6"/>
      <c r="AD46" s="6"/>
      <c r="AE46" s="6"/>
      <c r="AF46" s="6"/>
    </row>
    <row r="47" spans="2:32" ht="15.5">
      <c r="B47" s="55"/>
      <c r="C47" s="65">
        <v>4</v>
      </c>
      <c r="D47" s="103" t="s">
        <v>1891</v>
      </c>
      <c r="E47" s="1256" t="s">
        <v>1892</v>
      </c>
      <c r="F47" s="3953"/>
      <c r="G47" s="3954">
        <f>(Unit.km2)*200</f>
        <v>200</v>
      </c>
      <c r="H47" s="3954">
        <f>(Unit.km2)*671.428571428571</f>
        <v>671.42857142857099</v>
      </c>
      <c r="I47" s="3954">
        <f>(Unit.km2)*1142.85714285714</f>
        <v>1142.8571428571399</v>
      </c>
      <c r="J47" s="3954">
        <f>(Unit.km2)*2000</f>
        <v>2000</v>
      </c>
      <c r="K47" s="3954">
        <f>(Unit.km2)*3000</f>
        <v>3000</v>
      </c>
      <c r="L47" s="3954">
        <f>(Unit.km2)*4100</f>
        <v>4100</v>
      </c>
      <c r="M47" s="3954">
        <f>(Unit.km2)*5200</f>
        <v>5200</v>
      </c>
      <c r="N47" s="3926">
        <f>(Unit.km2)*6300</f>
        <v>6300</v>
      </c>
      <c r="O47" s="2599"/>
      <c r="P47" s="4263">
        <f t="shared" si="7"/>
        <v>0</v>
      </c>
      <c r="Q47" s="4263">
        <f t="shared" si="10"/>
        <v>9.145013761770944E-2</v>
      </c>
      <c r="R47"/>
      <c r="S47"/>
      <c r="T47"/>
      <c r="U47"/>
      <c r="V47"/>
      <c r="W47"/>
      <c r="X47"/>
      <c r="Y47"/>
      <c r="Z47"/>
      <c r="AA47" s="850"/>
      <c r="AB47" s="6"/>
      <c r="AC47" s="6"/>
      <c r="AD47" s="6"/>
      <c r="AE47" s="6"/>
      <c r="AF47" s="6"/>
    </row>
    <row r="48" spans="2:32" ht="15.5">
      <c r="B48" s="55"/>
      <c r="C48" s="65">
        <v>4</v>
      </c>
      <c r="D48" s="103" t="s">
        <v>1893</v>
      </c>
      <c r="E48" s="1256" t="s">
        <v>238</v>
      </c>
      <c r="F48" s="3953">
        <f>(Unit.km2)*33620</f>
        <v>33620</v>
      </c>
      <c r="G48" s="3954">
        <f>(Unit.km2)*33511.181</f>
        <v>33511.180999999997</v>
      </c>
      <c r="H48" s="3954">
        <f>(Unit.km2)*32724.536</f>
        <v>32724.536</v>
      </c>
      <c r="I48" s="3954">
        <f>(Unit.km2)*31929.208</f>
        <v>31929.207999999999</v>
      </c>
      <c r="J48" s="3954">
        <f>(Unit.km2)*30739.702</f>
        <v>30739.702000000001</v>
      </c>
      <c r="K48" s="3954">
        <f>(Unit.km2)*29399.085</f>
        <v>29399.084999999999</v>
      </c>
      <c r="L48" s="3954">
        <f>(Unit.km2)*27950.421</f>
        <v>27950.420999999998</v>
      </c>
      <c r="M48" s="3954">
        <f>(Unit.km2)*26337.912</f>
        <v>26337.912</v>
      </c>
      <c r="N48" s="3926">
        <f>(Unit.km2)*24729.753</f>
        <v>24729.753000000001</v>
      </c>
      <c r="O48" s="2599" t="s">
        <v>5</v>
      </c>
      <c r="P48" s="4263">
        <f t="shared" si="7"/>
        <v>0.48802438670344028</v>
      </c>
      <c r="Q48" s="4263">
        <f t="shared" si="10"/>
        <v>0.35897449446062907</v>
      </c>
      <c r="R48" s="6"/>
      <c r="S48"/>
      <c r="T48"/>
      <c r="U48"/>
      <c r="V48"/>
      <c r="W48"/>
      <c r="X48"/>
      <c r="Y48"/>
      <c r="Z48"/>
      <c r="AA48" s="850"/>
      <c r="AB48" s="6"/>
      <c r="AC48" s="6"/>
      <c r="AD48" s="6"/>
      <c r="AE48" s="6"/>
      <c r="AF48" s="6"/>
    </row>
    <row r="49" spans="2:32" ht="15.5">
      <c r="B49" s="55"/>
      <c r="C49" s="65">
        <v>4</v>
      </c>
      <c r="D49" s="103" t="s">
        <v>1894</v>
      </c>
      <c r="E49" s="1256" t="s">
        <v>1895</v>
      </c>
      <c r="F49" s="3953">
        <f>(Unit.km2)*1746.91</f>
        <v>1746.91</v>
      </c>
      <c r="G49" s="3954">
        <f>(Unit.km2)*1773.0302955658</f>
        <v>1773.0302955658001</v>
      </c>
      <c r="H49" s="3954">
        <f>(Unit.km2)*1838.33103448029</f>
        <v>1838.3310344802901</v>
      </c>
      <c r="I49" s="3954">
        <f>(Unit.km2)*1903.63177339479</f>
        <v>1903.6317733947899</v>
      </c>
      <c r="J49" s="3954">
        <f>(Unit.km2)*1968.93251230928</f>
        <v>1968.9325123092799</v>
      </c>
      <c r="K49" s="3954">
        <f>(Unit.km2)*2034.23325122378</f>
        <v>2034.2332512237799</v>
      </c>
      <c r="L49" s="3954">
        <f>(Unit.km2)*2099.53399013827</f>
        <v>2099.5339901382699</v>
      </c>
      <c r="M49" s="3954">
        <f>(Unit.km2)*2164.83472905277</f>
        <v>2164.8347290527699</v>
      </c>
      <c r="N49" s="3926">
        <f>(Unit.km2)*2230.13546796726</f>
        <v>2230.13546796726</v>
      </c>
      <c r="O49" s="67"/>
      <c r="P49" s="4263">
        <f t="shared" si="7"/>
        <v>2.5357961968355349E-2</v>
      </c>
      <c r="Q49" s="4263">
        <f t="shared" si="10"/>
        <v>3.2372411976466786E-2</v>
      </c>
      <c r="R49" s="6"/>
      <c r="S49"/>
      <c r="T49"/>
      <c r="U49"/>
      <c r="V49"/>
      <c r="W49"/>
      <c r="X49"/>
      <c r="Y49"/>
      <c r="Z49"/>
      <c r="AA49" s="850"/>
      <c r="AB49" s="6"/>
      <c r="AC49" s="6"/>
      <c r="AD49" s="6"/>
      <c r="AE49" s="6"/>
      <c r="AF49" s="6"/>
    </row>
    <row r="50" spans="2:32" ht="15.5">
      <c r="B50" s="55"/>
      <c r="C50" s="65">
        <v>4</v>
      </c>
      <c r="D50" s="103" t="s">
        <v>1896</v>
      </c>
      <c r="E50" s="1256" t="s">
        <v>451</v>
      </c>
      <c r="F50" s="3953">
        <f>(Unit.km2)*7566</f>
        <v>7566</v>
      </c>
      <c r="G50" s="3954">
        <f>(Unit.km2)*7966</f>
        <v>7966</v>
      </c>
      <c r="H50" s="3954">
        <f>(Unit.km2)*8966</f>
        <v>8966</v>
      </c>
      <c r="I50" s="3954">
        <f>(Unit.km2)*9966</f>
        <v>9966</v>
      </c>
      <c r="J50" s="3954">
        <f>(Unit.km2)*10966</f>
        <v>10966</v>
      </c>
      <c r="K50" s="3954">
        <f>(Unit.km2)*11966</f>
        <v>11966</v>
      </c>
      <c r="L50" s="3954">
        <f>(Unit.km2)*12966</f>
        <v>12966</v>
      </c>
      <c r="M50" s="3954">
        <f>(Unit.km2)*13966</f>
        <v>13966</v>
      </c>
      <c r="N50" s="3926">
        <f>(Unit.km2)*14966</f>
        <v>14966</v>
      </c>
      <c r="O50" s="67"/>
      <c r="P50" s="4263">
        <f t="shared" si="7"/>
        <v>0.10982726085063144</v>
      </c>
      <c r="Q50" s="4263">
        <f t="shared" si="10"/>
        <v>0.21724488247406976</v>
      </c>
      <c r="R50" s="6"/>
      <c r="S50"/>
      <c r="T50"/>
      <c r="U50"/>
      <c r="V50"/>
      <c r="W50"/>
      <c r="X50"/>
      <c r="Y50"/>
      <c r="Z50"/>
      <c r="AA50" s="850"/>
      <c r="AB50" s="6"/>
      <c r="AC50" s="6"/>
      <c r="AD50" s="6"/>
      <c r="AE50" s="6"/>
      <c r="AF50" s="6"/>
    </row>
    <row r="51" spans="2:32" ht="15.5">
      <c r="B51" s="55"/>
      <c r="C51" s="917">
        <v>4</v>
      </c>
      <c r="D51" s="194" t="s">
        <v>402</v>
      </c>
      <c r="E51" s="1310" t="s">
        <v>1897</v>
      </c>
      <c r="F51" s="3957">
        <f>(Unit.km2)*14247.09</f>
        <v>14247.09</v>
      </c>
      <c r="G51" s="3955">
        <f>(Unit.km2)*13729.7884256757</f>
        <v>13729.788425675701</v>
      </c>
      <c r="H51" s="3955">
        <f>(Unit.km2)*12979.7047961148</f>
        <v>12979.7047961148</v>
      </c>
      <c r="I51" s="3955">
        <f>(Unit.km2)*12238.3029870228</f>
        <v>12238.3029870228</v>
      </c>
      <c r="J51" s="3955">
        <f>(Unit.km2)*11505.3659528877</f>
        <v>11505.3659528877</v>
      </c>
      <c r="K51" s="3955">
        <f>(Unit.km2)*10780.6820743358</f>
        <v>10780.6820743358</v>
      </c>
      <c r="L51" s="3955">
        <f>(Unit.km2)*10064.0450224774</f>
        <v>10064.045022477399</v>
      </c>
      <c r="M51" s="3955">
        <f>(Unit.km2)*9511.25362664522</f>
        <v>9511.2536266452207</v>
      </c>
      <c r="N51" s="3955">
        <f>(Unit.km2)*8954.11174543862</f>
        <v>8954.1117454386203</v>
      </c>
      <c r="O51" s="67"/>
      <c r="P51" s="4263">
        <f t="shared" si="7"/>
        <v>0.20680926114094933</v>
      </c>
      <c r="Q51" s="4263">
        <f t="shared" si="10"/>
        <v>0.12997694466106513</v>
      </c>
      <c r="R51" s="6"/>
      <c r="S51"/>
      <c r="T51"/>
      <c r="U51"/>
      <c r="V51"/>
      <c r="W51"/>
      <c r="X51"/>
      <c r="Y51"/>
      <c r="Z51"/>
      <c r="AA51" s="850"/>
      <c r="AB51" s="6"/>
      <c r="AC51" s="6"/>
      <c r="AD51" s="6"/>
      <c r="AE51" s="6"/>
      <c r="AF51" s="6"/>
    </row>
    <row r="52" spans="2:32" ht="15.5">
      <c r="B52" s="55"/>
      <c r="C52" s="3836"/>
      <c r="D52" s="103"/>
      <c r="E52" s="103"/>
      <c r="F52" s="167"/>
      <c r="G52" s="1062"/>
      <c r="H52" s="1062"/>
      <c r="I52" s="1062"/>
      <c r="J52" s="1062"/>
      <c r="K52" s="1062"/>
      <c r="L52" s="1062"/>
      <c r="M52" s="1062"/>
      <c r="N52" s="1062"/>
      <c r="O52" s="67"/>
      <c r="P52" s="67"/>
      <c r="Q52" s="67"/>
      <c r="R52" s="6"/>
      <c r="S52"/>
      <c r="T52"/>
      <c r="U52"/>
      <c r="V52"/>
      <c r="W52"/>
      <c r="X52"/>
      <c r="Y52"/>
      <c r="Z52"/>
      <c r="AA52" s="850"/>
      <c r="AB52" s="6"/>
      <c r="AC52" s="6"/>
      <c r="AD52" s="6"/>
      <c r="AE52" s="6"/>
      <c r="AF52" s="6"/>
    </row>
    <row r="53" spans="2:32" s="4247" customFormat="1" ht="15.5">
      <c r="B53" s="55"/>
      <c r="C53" s="2207" t="s">
        <v>63</v>
      </c>
      <c r="D53" s="2248" t="s">
        <v>3671</v>
      </c>
      <c r="E53" s="103"/>
      <c r="F53" s="59"/>
      <c r="G53" s="59"/>
      <c r="H53" s="59"/>
      <c r="I53" s="59"/>
      <c r="J53" s="59" t="s">
        <v>5</v>
      </c>
      <c r="K53" s="59"/>
      <c r="L53" s="59"/>
      <c r="M53" s="59"/>
      <c r="N53" s="59"/>
      <c r="O53" s="67"/>
      <c r="P53" s="67"/>
      <c r="Q53" s="67"/>
      <c r="R53" s="6"/>
      <c r="AA53" s="850"/>
      <c r="AB53" s="6"/>
      <c r="AC53" s="6"/>
      <c r="AD53" s="6"/>
      <c r="AE53" s="6"/>
      <c r="AF53" s="6"/>
    </row>
    <row r="54" spans="2:32" s="4249" customFormat="1" ht="15.5">
      <c r="B54" s="55"/>
      <c r="C54" s="2207"/>
      <c r="D54" s="2248" t="s">
        <v>3795</v>
      </c>
      <c r="E54" s="103"/>
      <c r="F54" s="59"/>
      <c r="G54" s="4253"/>
      <c r="H54" s="4253"/>
      <c r="I54" s="4253"/>
      <c r="J54" s="4253"/>
      <c r="K54" s="4253"/>
      <c r="L54" s="4253"/>
      <c r="M54" s="4253"/>
      <c r="N54" s="4253"/>
      <c r="O54" s="67"/>
      <c r="P54" s="67"/>
      <c r="Q54" s="67"/>
      <c r="R54" s="6"/>
      <c r="AA54" s="850"/>
      <c r="AB54" s="6"/>
      <c r="AC54" s="6"/>
      <c r="AD54" s="6"/>
      <c r="AE54" s="6"/>
      <c r="AF54" s="6"/>
    </row>
    <row r="55" spans="2:32" s="4247" customFormat="1" ht="15.5">
      <c r="B55" s="55"/>
      <c r="C55" s="3836"/>
      <c r="D55" s="3836" t="s">
        <v>3694</v>
      </c>
      <c r="E55" s="103"/>
      <c r="F55" s="59"/>
      <c r="G55" s="1217"/>
      <c r="H55" s="1217"/>
      <c r="I55" s="1217"/>
      <c r="J55" s="1217"/>
      <c r="K55" s="1217"/>
      <c r="L55" s="1217" t="s">
        <v>5</v>
      </c>
      <c r="M55" s="1217"/>
      <c r="N55" s="1217"/>
      <c r="O55" s="67"/>
      <c r="P55" s="67"/>
      <c r="Q55" s="67"/>
      <c r="R55" s="6"/>
      <c r="AA55" s="850"/>
      <c r="AB55" s="6"/>
      <c r="AC55" s="6"/>
      <c r="AD55" s="6"/>
      <c r="AE55" s="6"/>
      <c r="AF55" s="6"/>
    </row>
    <row r="56" spans="2:32" s="4247" customFormat="1" ht="15.5">
      <c r="B56" s="55"/>
      <c r="C56" s="3836"/>
      <c r="D56" s="3836" t="s">
        <v>3672</v>
      </c>
      <c r="E56" s="103"/>
      <c r="F56" s="59"/>
      <c r="G56" s="1217"/>
      <c r="H56" s="1217"/>
      <c r="I56" s="1217"/>
      <c r="J56" s="1217"/>
      <c r="K56" s="1217"/>
      <c r="L56" s="1217"/>
      <c r="M56" s="1217"/>
      <c r="N56" s="1217"/>
      <c r="O56" s="67"/>
      <c r="P56" s="67"/>
      <c r="Q56" s="67"/>
      <c r="R56" s="6"/>
      <c r="AA56" s="850"/>
      <c r="AB56" s="6"/>
      <c r="AC56" s="6"/>
      <c r="AD56" s="6"/>
      <c r="AE56" s="6"/>
      <c r="AF56" s="6"/>
    </row>
    <row r="57" spans="2:32" s="4248" customFormat="1" ht="15.5">
      <c r="B57" s="55"/>
      <c r="C57" s="3836"/>
      <c r="D57" s="3836" t="s">
        <v>3673</v>
      </c>
      <c r="E57" s="103"/>
      <c r="F57" s="59"/>
      <c r="G57" s="1217"/>
      <c r="H57" s="1217"/>
      <c r="I57" s="1217"/>
      <c r="J57" s="1217"/>
      <c r="K57" s="1217"/>
      <c r="L57" s="1217"/>
      <c r="M57" s="1217"/>
      <c r="N57" s="1217"/>
      <c r="O57" s="67"/>
      <c r="P57" s="67"/>
      <c r="Q57" s="67"/>
      <c r="R57" s="6"/>
      <c r="AA57" s="850"/>
      <c r="AB57" s="6"/>
      <c r="AC57" s="6"/>
      <c r="AD57" s="6"/>
      <c r="AE57" s="6"/>
      <c r="AF57" s="6"/>
    </row>
    <row r="58" spans="2:32" s="4247" customFormat="1" ht="15.5">
      <c r="B58" s="55"/>
      <c r="C58" s="3836"/>
      <c r="D58" s="3836" t="s">
        <v>3674</v>
      </c>
      <c r="E58" s="103"/>
      <c r="F58" s="59"/>
      <c r="G58" s="1217"/>
      <c r="H58" s="1217"/>
      <c r="I58" s="1217"/>
      <c r="J58" s="1217"/>
      <c r="K58" s="1217"/>
      <c r="L58" s="1217"/>
      <c r="M58" s="1217"/>
      <c r="N58" s="1217"/>
      <c r="O58" s="67"/>
      <c r="P58" s="67"/>
      <c r="Q58" s="67"/>
      <c r="R58" s="6"/>
      <c r="AA58" s="850"/>
      <c r="AB58" s="6"/>
      <c r="AC58" s="6"/>
      <c r="AD58" s="6"/>
      <c r="AE58" s="6"/>
      <c r="AF58" s="6"/>
    </row>
    <row r="59" spans="2:32" s="4247" customFormat="1" ht="15.5">
      <c r="B59" s="55"/>
      <c r="C59" s="3836"/>
      <c r="D59" s="3836" t="s">
        <v>3675</v>
      </c>
      <c r="E59" s="103"/>
      <c r="F59" s="59"/>
      <c r="G59" s="1217"/>
      <c r="H59" s="1217"/>
      <c r="I59" s="1217"/>
      <c r="J59" s="1217"/>
      <c r="K59" s="1217"/>
      <c r="L59" s="1217"/>
      <c r="M59" s="1217"/>
      <c r="N59" s="1217"/>
      <c r="O59" s="67"/>
      <c r="P59" s="67"/>
      <c r="Q59" s="67"/>
      <c r="R59" s="6"/>
      <c r="AA59" s="850"/>
      <c r="AB59" s="6"/>
      <c r="AC59" s="6"/>
      <c r="AD59" s="6"/>
      <c r="AE59" s="6"/>
      <c r="AF59" s="6"/>
    </row>
    <row r="60" spans="2:32" s="4248" customFormat="1" ht="15.5">
      <c r="B60" s="55"/>
      <c r="C60" s="3836"/>
      <c r="D60" s="3836" t="s">
        <v>3695</v>
      </c>
      <c r="E60" s="103"/>
      <c r="F60" s="59"/>
      <c r="G60" s="1217"/>
      <c r="H60" s="4251"/>
      <c r="I60" s="1217"/>
      <c r="J60" s="1217"/>
      <c r="K60" s="1217"/>
      <c r="L60" s="1217"/>
      <c r="M60" s="1217"/>
      <c r="N60" s="1217"/>
      <c r="O60" s="67"/>
      <c r="P60" s="67"/>
      <c r="Q60" s="67"/>
      <c r="R60" s="6"/>
      <c r="AA60" s="850"/>
      <c r="AB60" s="6"/>
      <c r="AC60" s="6"/>
      <c r="AD60" s="6"/>
      <c r="AE60" s="6"/>
      <c r="AF60" s="6"/>
    </row>
    <row r="61" spans="2:32" s="4247" customFormat="1" ht="15.5">
      <c r="B61" s="55"/>
      <c r="C61" s="3836"/>
      <c r="D61" s="4266" t="s">
        <v>3676</v>
      </c>
      <c r="E61" s="103"/>
      <c r="F61" s="59"/>
      <c r="G61" s="1217"/>
      <c r="H61" s="1217" t="s">
        <v>5</v>
      </c>
      <c r="I61" s="1217"/>
      <c r="J61" s="1217"/>
      <c r="K61" s="1217"/>
      <c r="L61" s="1217"/>
      <c r="M61" s="1217"/>
      <c r="N61" s="1217"/>
      <c r="O61" s="67"/>
      <c r="P61" s="67"/>
      <c r="Q61" s="67"/>
      <c r="R61" s="6"/>
      <c r="AA61" s="850"/>
      <c r="AB61" s="6"/>
      <c r="AC61" s="6"/>
      <c r="AD61" s="6"/>
      <c r="AE61" s="6"/>
      <c r="AF61" s="6"/>
    </row>
    <row r="62" spans="2:32" ht="15.5">
      <c r="B62" s="55"/>
      <c r="C62" s="49" t="s">
        <v>3186</v>
      </c>
      <c r="D62" s="67"/>
      <c r="E62" s="50"/>
      <c r="F62" s="67"/>
      <c r="G62" s="49" t="s">
        <v>8</v>
      </c>
      <c r="H62" s="67"/>
      <c r="I62" s="67"/>
      <c r="J62" s="51" t="s">
        <v>1012</v>
      </c>
      <c r="K62" s="67"/>
      <c r="L62" s="67"/>
      <c r="M62" s="67"/>
      <c r="N62" s="67"/>
      <c r="O62" s="51"/>
      <c r="P62" s="876"/>
      <c r="Q62" s="876"/>
      <c r="R62" s="6"/>
      <c r="S62" s="6"/>
      <c r="U62" s="6"/>
      <c r="V62" s="6"/>
      <c r="W62" s="6"/>
      <c r="X62" s="1610"/>
      <c r="Y62" s="1610"/>
      <c r="Z62" s="850"/>
      <c r="AA62" s="850"/>
      <c r="AB62" s="6"/>
      <c r="AC62" s="6"/>
      <c r="AD62" s="6"/>
      <c r="AE62" s="6"/>
      <c r="AF62" s="6"/>
    </row>
    <row r="63" spans="2:32" ht="15.5">
      <c r="B63" s="55"/>
      <c r="C63" s="67"/>
      <c r="D63" s="67"/>
      <c r="E63" s="67"/>
      <c r="F63" s="67"/>
      <c r="G63" s="67"/>
      <c r="H63" s="67"/>
      <c r="I63" s="67"/>
      <c r="J63" s="67"/>
      <c r="K63" s="67"/>
      <c r="L63" s="67"/>
      <c r="M63" s="67"/>
      <c r="N63" s="67"/>
      <c r="O63" s="67"/>
      <c r="P63" s="876"/>
      <c r="Q63" s="876"/>
      <c r="R63" s="6"/>
      <c r="S63" s="6"/>
      <c r="U63" s="6"/>
      <c r="V63" s="6"/>
      <c r="W63" s="6"/>
      <c r="X63" s="1610"/>
      <c r="Y63" s="1610"/>
      <c r="Z63" s="850"/>
      <c r="AA63" s="850"/>
      <c r="AB63" s="6"/>
      <c r="AC63" s="6"/>
      <c r="AD63" s="6"/>
      <c r="AE63" s="6"/>
      <c r="AF63" s="6"/>
    </row>
    <row r="64" spans="2:32" ht="15.5">
      <c r="B64" s="55"/>
      <c r="C64" s="878" t="s">
        <v>773</v>
      </c>
      <c r="D64" s="878" t="s">
        <v>71</v>
      </c>
      <c r="E64" s="878"/>
      <c r="F64" s="899"/>
      <c r="G64" s="1265">
        <v>1</v>
      </c>
      <c r="H64" s="87">
        <v>2</v>
      </c>
      <c r="I64" s="87">
        <v>3</v>
      </c>
      <c r="J64" s="87">
        <v>4</v>
      </c>
      <c r="K64" s="911"/>
      <c r="L64" s="911"/>
      <c r="M64" s="911"/>
      <c r="N64" s="911"/>
      <c r="O64" s="911"/>
      <c r="P64" s="876"/>
      <c r="Q64" s="876"/>
      <c r="R64"/>
      <c r="S64"/>
      <c r="T64"/>
      <c r="U64"/>
      <c r="V64"/>
      <c r="W64"/>
      <c r="X64"/>
      <c r="Y64" s="850"/>
      <c r="Z64" s="850"/>
      <c r="AA64" s="850"/>
      <c r="AB64" s="6"/>
      <c r="AC64" s="6"/>
      <c r="AD64" s="6"/>
      <c r="AE64" s="6"/>
      <c r="AF64" s="6"/>
    </row>
    <row r="65" spans="2:32" ht="15.5">
      <c r="B65" s="55"/>
      <c r="C65" s="65">
        <v>1</v>
      </c>
      <c r="D65" s="103" t="s">
        <v>1898</v>
      </c>
      <c r="E65" s="1256"/>
      <c r="F65" s="59"/>
      <c r="G65" s="2648">
        <v>0.01</v>
      </c>
      <c r="H65" s="2648">
        <v>4.0000000000000001E-3</v>
      </c>
      <c r="I65" s="2648">
        <v>-2E-3</v>
      </c>
      <c r="J65" s="2648">
        <v>-5.0000000000000001E-3</v>
      </c>
      <c r="K65" s="59"/>
      <c r="L65" s="59"/>
      <c r="M65" s="59"/>
      <c r="N65" s="59"/>
      <c r="O65" s="59"/>
      <c r="P65" s="876"/>
      <c r="Q65" s="876"/>
      <c r="R65"/>
      <c r="S65"/>
      <c r="T65"/>
      <c r="U65"/>
      <c r="V65"/>
      <c r="W65"/>
      <c r="X65"/>
      <c r="Y65" s="850"/>
      <c r="Z65" s="850"/>
      <c r="AA65" s="850"/>
      <c r="AB65" s="6"/>
      <c r="AC65" s="6"/>
      <c r="AD65" s="6"/>
      <c r="AE65" s="6"/>
      <c r="AF65" s="6"/>
    </row>
    <row r="66" spans="2:32" ht="15.5">
      <c r="B66" s="55"/>
      <c r="C66" s="65">
        <v>2</v>
      </c>
      <c r="D66" s="103" t="s">
        <v>3679</v>
      </c>
      <c r="E66" s="103"/>
      <c r="F66" s="59"/>
      <c r="G66" s="296">
        <v>0</v>
      </c>
      <c r="H66" s="296">
        <v>-2E-3</v>
      </c>
      <c r="I66" s="296">
        <v>-3.2000000000000002E-3</v>
      </c>
      <c r="J66" s="296">
        <v>-6.0000000000000001E-3</v>
      </c>
      <c r="K66" s="60"/>
      <c r="L66" s="60" t="s">
        <v>5</v>
      </c>
      <c r="M66" s="60"/>
      <c r="N66" s="60"/>
      <c r="O66" s="60"/>
      <c r="P66" s="876"/>
      <c r="Q66" s="876"/>
      <c r="R66"/>
      <c r="S66"/>
      <c r="T66"/>
      <c r="U66"/>
      <c r="V66"/>
      <c r="W66"/>
      <c r="X66"/>
      <c r="Y66" s="850"/>
      <c r="Z66" s="850"/>
      <c r="AA66" s="850"/>
      <c r="AB66" s="6"/>
      <c r="AC66" s="6"/>
      <c r="AD66" s="6"/>
      <c r="AE66" s="6"/>
      <c r="AF66" s="6"/>
    </row>
    <row r="67" spans="2:32" ht="15.5">
      <c r="B67" s="55"/>
      <c r="C67" s="887">
        <v>3</v>
      </c>
      <c r="D67" s="888" t="s">
        <v>3680</v>
      </c>
      <c r="E67" s="888"/>
      <c r="F67" s="1178"/>
      <c r="G67" s="1151">
        <v>0.01</v>
      </c>
      <c r="H67" s="1151">
        <f>0.4%</f>
        <v>4.0000000000000001E-3</v>
      </c>
      <c r="I67" s="1151">
        <v>-2E-3</v>
      </c>
      <c r="J67" s="1398">
        <v>-5.0000000000000001E-3</v>
      </c>
      <c r="K67" s="60"/>
      <c r="L67" s="60"/>
      <c r="M67" s="60"/>
      <c r="N67" s="60"/>
      <c r="O67" s="60"/>
      <c r="P67" s="876"/>
      <c r="Q67" s="876"/>
      <c r="R67"/>
      <c r="S67"/>
      <c r="T67"/>
      <c r="U67"/>
      <c r="V67"/>
      <c r="W67"/>
      <c r="X67"/>
      <c r="Y67" s="647"/>
      <c r="Z67" s="850"/>
      <c r="AA67" s="850"/>
      <c r="AB67" s="6"/>
      <c r="AC67" s="6"/>
      <c r="AD67" s="6"/>
      <c r="AE67" s="6"/>
      <c r="AF67" s="6"/>
    </row>
    <row r="68" spans="2:32" ht="15.5">
      <c r="B68" s="55"/>
      <c r="C68" s="65"/>
      <c r="D68" s="103"/>
      <c r="E68" s="103"/>
      <c r="F68" s="59"/>
      <c r="G68" s="1217"/>
      <c r="H68" s="1217"/>
      <c r="I68" s="1217"/>
      <c r="J68" s="1217"/>
      <c r="K68" s="1217"/>
      <c r="L68" s="1217"/>
      <c r="M68" s="1217"/>
      <c r="N68" s="1217"/>
      <c r="O68" s="1217"/>
      <c r="P68" s="876"/>
      <c r="Q68" s="876"/>
      <c r="R68"/>
      <c r="S68"/>
      <c r="T68"/>
      <c r="U68"/>
      <c r="V68"/>
      <c r="W68"/>
      <c r="X68"/>
      <c r="Y68" s="647"/>
      <c r="Z68" s="850"/>
      <c r="AA68" s="850"/>
      <c r="AB68" s="6"/>
      <c r="AC68" s="6"/>
      <c r="AD68" s="6"/>
      <c r="AE68" s="6"/>
      <c r="AF68" s="6"/>
    </row>
    <row r="69" spans="2:32" ht="15.5">
      <c r="B69" s="55"/>
      <c r="C69" s="49" t="s">
        <v>1900</v>
      </c>
      <c r="D69" s="67" t="s">
        <v>5</v>
      </c>
      <c r="E69" s="50"/>
      <c r="F69" s="67"/>
      <c r="G69" s="49" t="s">
        <v>8</v>
      </c>
      <c r="H69" s="67"/>
      <c r="I69" s="67"/>
      <c r="J69" s="1217" t="s">
        <v>1012</v>
      </c>
      <c r="K69" s="67"/>
      <c r="L69" s="67"/>
      <c r="M69" s="67"/>
      <c r="N69" s="67"/>
      <c r="O69" s="51"/>
      <c r="P69" s="876"/>
      <c r="Q69" s="876"/>
      <c r="R69"/>
      <c r="S69"/>
      <c r="T69"/>
      <c r="U69"/>
      <c r="V69"/>
      <c r="W69"/>
      <c r="X69"/>
      <c r="Y69" s="647"/>
      <c r="Z69" s="850"/>
      <c r="AA69" s="850"/>
      <c r="AB69" s="6"/>
      <c r="AC69" s="6"/>
      <c r="AD69" s="6"/>
      <c r="AE69" s="6"/>
      <c r="AF69" s="6"/>
    </row>
    <row r="70" spans="2:32" ht="15.5">
      <c r="B70" s="55"/>
      <c r="C70" s="67"/>
      <c r="D70" s="67"/>
      <c r="E70" s="67"/>
      <c r="F70" s="67"/>
      <c r="G70" s="67"/>
      <c r="H70" s="67"/>
      <c r="I70" s="67"/>
      <c r="J70" s="67"/>
      <c r="K70" s="67"/>
      <c r="L70" s="67"/>
      <c r="M70" s="67"/>
      <c r="N70" s="67"/>
      <c r="O70" s="67"/>
      <c r="P70" s="876"/>
      <c r="Q70" s="876"/>
      <c r="R70"/>
      <c r="S70"/>
      <c r="T70"/>
      <c r="U70"/>
      <c r="V70"/>
      <c r="W70"/>
      <c r="X70"/>
      <c r="Y70" s="647"/>
      <c r="Z70" s="850"/>
      <c r="AA70" s="850"/>
      <c r="AB70" s="6"/>
      <c r="AC70" s="6"/>
      <c r="AD70" s="6"/>
      <c r="AE70" s="6"/>
      <c r="AF70" s="6"/>
    </row>
    <row r="71" spans="2:32" ht="15.5">
      <c r="B71" s="55"/>
      <c r="C71" s="878" t="s">
        <v>773</v>
      </c>
      <c r="D71" s="878" t="s">
        <v>71</v>
      </c>
      <c r="E71" s="878"/>
      <c r="F71" s="899"/>
      <c r="G71" s="1265">
        <v>1</v>
      </c>
      <c r="H71" s="87">
        <v>2</v>
      </c>
      <c r="I71" s="87">
        <v>3</v>
      </c>
      <c r="J71" s="87">
        <v>4</v>
      </c>
      <c r="K71" s="911"/>
      <c r="L71" s="911"/>
      <c r="M71" s="911"/>
      <c r="N71" s="911"/>
      <c r="O71" s="911"/>
      <c r="P71" s="876"/>
      <c r="Q71" s="876"/>
      <c r="R71"/>
      <c r="S71"/>
      <c r="T71"/>
      <c r="U71"/>
      <c r="V71"/>
      <c r="W71"/>
      <c r="X71"/>
      <c r="Y71" s="647"/>
      <c r="Z71" s="850"/>
      <c r="AA71" s="850"/>
      <c r="AB71" s="6"/>
      <c r="AC71" s="6"/>
      <c r="AD71" s="6"/>
      <c r="AE71" s="6"/>
      <c r="AF71" s="6"/>
    </row>
    <row r="72" spans="2:32" ht="15.5">
      <c r="B72" s="55"/>
      <c r="C72" s="65" t="s">
        <v>1901</v>
      </c>
      <c r="D72" s="103" t="s">
        <v>1752</v>
      </c>
      <c r="E72" s="1256"/>
      <c r="F72" s="896"/>
      <c r="G72" s="2545">
        <v>1.475507415268118E-2</v>
      </c>
      <c r="H72" s="296">
        <v>8.8859995024890281E-3</v>
      </c>
      <c r="I72" s="296">
        <v>1.125341116489631E-2</v>
      </c>
      <c r="J72" s="296">
        <v>1.125341116489631E-2</v>
      </c>
      <c r="K72" s="59"/>
      <c r="L72" s="59"/>
      <c r="M72" s="911"/>
      <c r="N72" s="59"/>
      <c r="O72" s="59"/>
      <c r="P72" s="876"/>
      <c r="Q72" s="876"/>
      <c r="R72" s="6"/>
      <c r="S72" s="6"/>
      <c r="U72" s="6"/>
      <c r="V72" s="6"/>
      <c r="W72" s="6"/>
      <c r="X72" s="850"/>
      <c r="Y72" s="850"/>
      <c r="Z72" s="850"/>
      <c r="AA72" s="850"/>
      <c r="AB72" s="6"/>
      <c r="AC72" s="6"/>
      <c r="AD72" s="6"/>
      <c r="AE72" s="6"/>
      <c r="AF72" s="6"/>
    </row>
    <row r="73" spans="2:32" ht="15.5">
      <c r="B73" s="55"/>
      <c r="C73" s="65" t="s">
        <v>1901</v>
      </c>
      <c r="D73" s="103" t="s">
        <v>1902</v>
      </c>
      <c r="E73" s="1256"/>
      <c r="F73" s="896"/>
      <c r="G73" s="2545">
        <v>1.475507415268118E-2</v>
      </c>
      <c r="H73" s="296">
        <v>8.8859995024890281E-3</v>
      </c>
      <c r="I73" s="296">
        <v>1.125341116489631E-2</v>
      </c>
      <c r="J73" s="296">
        <v>1.125341116489631E-2</v>
      </c>
      <c r="K73" s="59"/>
      <c r="L73" s="59"/>
      <c r="M73" s="911"/>
      <c r="N73" s="59"/>
      <c r="O73" s="59"/>
      <c r="P73" s="876"/>
      <c r="Q73" s="876"/>
      <c r="R73" s="6"/>
      <c r="S73" s="6"/>
      <c r="U73" s="6"/>
      <c r="V73" s="6"/>
      <c r="W73" s="6"/>
      <c r="X73" s="6"/>
      <c r="Y73" s="6"/>
      <c r="Z73" s="6"/>
      <c r="AA73" s="6"/>
      <c r="AB73" s="6"/>
      <c r="AC73" s="6"/>
      <c r="AD73" s="6"/>
      <c r="AE73" s="6"/>
      <c r="AF73" s="6"/>
    </row>
    <row r="74" spans="2:32" ht="15.5">
      <c r="B74" s="55"/>
      <c r="C74" s="65" t="s">
        <v>1901</v>
      </c>
      <c r="D74" s="103" t="s">
        <v>1903</v>
      </c>
      <c r="E74" s="103"/>
      <c r="F74" s="896"/>
      <c r="G74" s="2545">
        <v>2.5000000000000001E-3</v>
      </c>
      <c r="H74" s="296">
        <v>2.5000000000000001E-3</v>
      </c>
      <c r="I74" s="906">
        <v>0.01</v>
      </c>
      <c r="J74" s="906">
        <v>1.4999999999999999E-2</v>
      </c>
      <c r="K74" s="60"/>
      <c r="L74" s="60"/>
      <c r="M74" s="911"/>
      <c r="N74" s="60"/>
      <c r="O74" s="60"/>
      <c r="P74" s="876"/>
      <c r="Q74" s="876"/>
      <c r="R74" s="6"/>
      <c r="S74" s="6"/>
      <c r="U74" s="6"/>
      <c r="V74" s="6"/>
      <c r="W74" s="6"/>
      <c r="X74" s="6"/>
      <c r="Y74" s="6"/>
      <c r="Z74" s="6"/>
      <c r="AA74" s="6"/>
      <c r="AB74" s="6"/>
      <c r="AC74" s="6"/>
      <c r="AD74" s="6"/>
      <c r="AE74" s="6"/>
      <c r="AF74" s="6"/>
    </row>
    <row r="75" spans="2:32" ht="15.5">
      <c r="B75" s="55"/>
      <c r="C75" s="67" t="s">
        <v>393</v>
      </c>
      <c r="D75" s="67" t="s">
        <v>1904</v>
      </c>
      <c r="E75" s="103"/>
      <c r="F75" s="896"/>
      <c r="G75" s="2545">
        <v>0</v>
      </c>
      <c r="H75" s="296">
        <v>0</v>
      </c>
      <c r="I75" s="91">
        <v>0</v>
      </c>
      <c r="J75" s="91">
        <v>0</v>
      </c>
      <c r="K75" s="60"/>
      <c r="L75" s="60"/>
      <c r="M75" s="911"/>
      <c r="N75" s="60"/>
      <c r="O75" s="60"/>
      <c r="P75" s="876"/>
      <c r="Q75" s="876"/>
      <c r="R75" s="6"/>
      <c r="S75" s="6"/>
      <c r="U75" s="6"/>
      <c r="V75" s="6"/>
      <c r="W75" s="6"/>
      <c r="X75" s="6"/>
      <c r="Y75" s="6"/>
      <c r="Z75" s="6"/>
      <c r="AA75" s="6"/>
      <c r="AB75" s="6"/>
      <c r="AC75" s="6"/>
      <c r="AD75" s="6"/>
      <c r="AE75" s="6"/>
      <c r="AF75" s="6"/>
    </row>
    <row r="76" spans="2:32" ht="15.5">
      <c r="B76" s="55"/>
      <c r="C76" s="67" t="s">
        <v>393</v>
      </c>
      <c r="D76" s="67" t="s">
        <v>1905</v>
      </c>
      <c r="E76" s="103"/>
      <c r="F76" s="896"/>
      <c r="G76" s="2545">
        <v>0</v>
      </c>
      <c r="H76" s="296">
        <v>0</v>
      </c>
      <c r="I76" s="906">
        <v>0</v>
      </c>
      <c r="J76" s="906">
        <v>0</v>
      </c>
      <c r="K76" s="60"/>
      <c r="L76" s="60"/>
      <c r="M76" s="911"/>
      <c r="N76" s="60"/>
      <c r="O76" s="60"/>
      <c r="P76" s="876"/>
      <c r="Q76" s="876"/>
      <c r="R76" s="6"/>
      <c r="S76" s="6"/>
      <c r="U76" s="6"/>
      <c r="V76" s="6"/>
      <c r="W76" s="6"/>
      <c r="X76" s="6"/>
      <c r="Y76" s="6"/>
      <c r="Z76" s="6"/>
      <c r="AA76" s="6"/>
      <c r="AB76" s="6"/>
      <c r="AC76" s="6"/>
      <c r="AD76" s="6"/>
      <c r="AE76" s="6"/>
      <c r="AF76" s="6"/>
    </row>
    <row r="77" spans="2:32" ht="15.5">
      <c r="B77" s="55"/>
      <c r="C77" s="67" t="s">
        <v>393</v>
      </c>
      <c r="D77" s="67" t="s">
        <v>1906</v>
      </c>
      <c r="E77" s="103" t="s">
        <v>5</v>
      </c>
      <c r="F77" s="896"/>
      <c r="G77" s="2545">
        <v>5.0000000000000001E-3</v>
      </c>
      <c r="H77" s="296">
        <v>2E-3</v>
      </c>
      <c r="I77" s="906">
        <v>2E-3</v>
      </c>
      <c r="J77" s="906">
        <v>2E-3</v>
      </c>
      <c r="K77" s="1217"/>
      <c r="L77" s="1217"/>
      <c r="M77" s="911"/>
      <c r="N77" s="1217"/>
      <c r="O77" s="1217"/>
      <c r="P77" s="876"/>
      <c r="Q77" s="876"/>
      <c r="R77" s="6"/>
      <c r="S77" s="6"/>
      <c r="U77" s="6"/>
      <c r="V77" s="6"/>
      <c r="W77" s="6"/>
      <c r="X77" s="6"/>
      <c r="Y77" s="6"/>
      <c r="Z77" s="6"/>
      <c r="AA77" s="6"/>
      <c r="AB77" s="6"/>
      <c r="AC77" s="6"/>
      <c r="AD77" s="6"/>
      <c r="AE77" s="6"/>
      <c r="AF77" s="6"/>
    </row>
    <row r="78" spans="2:32" ht="15.5">
      <c r="B78" s="55"/>
      <c r="C78" s="67" t="s">
        <v>1907</v>
      </c>
      <c r="D78" s="67" t="s">
        <v>1908</v>
      </c>
      <c r="E78" s="934"/>
      <c r="F78" s="2546"/>
      <c r="G78" s="2545">
        <v>2E-3</v>
      </c>
      <c r="H78" s="296">
        <v>2E-3</v>
      </c>
      <c r="I78" s="1348">
        <v>0</v>
      </c>
      <c r="J78" s="1348">
        <v>2E-3</v>
      </c>
      <c r="K78" s="67"/>
      <c r="L78" s="67"/>
      <c r="M78" s="911"/>
      <c r="N78" s="67"/>
      <c r="O78" s="51"/>
      <c r="P78" s="876"/>
      <c r="Q78" s="876"/>
      <c r="R78" s="6"/>
      <c r="S78" s="6"/>
      <c r="U78" s="6"/>
      <c r="V78" s="6"/>
      <c r="W78" s="6"/>
      <c r="X78" s="6"/>
      <c r="Y78" s="6"/>
      <c r="Z78" s="6"/>
      <c r="AA78" s="6"/>
      <c r="AB78" s="6"/>
      <c r="AC78" s="6"/>
      <c r="AD78" s="6"/>
      <c r="AE78" s="6"/>
      <c r="AF78" s="6"/>
    </row>
    <row r="79" spans="2:32" ht="15.5">
      <c r="B79" s="55"/>
      <c r="C79" s="67" t="s">
        <v>1907</v>
      </c>
      <c r="D79" s="67" t="s">
        <v>1909</v>
      </c>
      <c r="E79" s="934"/>
      <c r="F79" s="2546"/>
      <c r="G79" s="2545">
        <v>1E-3</v>
      </c>
      <c r="H79" s="296">
        <v>1E-3</v>
      </c>
      <c r="I79" s="1348">
        <v>1E-3</v>
      </c>
      <c r="J79" s="1348">
        <v>1E-3</v>
      </c>
      <c r="K79" s="67"/>
      <c r="L79" s="67"/>
      <c r="M79" s="911"/>
      <c r="N79" s="67"/>
      <c r="O79" s="67"/>
      <c r="P79" s="876"/>
      <c r="Q79" s="876"/>
      <c r="R79" s="6"/>
      <c r="S79" s="6"/>
      <c r="U79" s="6"/>
      <c r="V79" s="6"/>
      <c r="W79" s="6"/>
      <c r="X79" s="6"/>
      <c r="Y79" s="6"/>
      <c r="Z79" s="6"/>
      <c r="AA79" s="6"/>
      <c r="AB79" s="6"/>
      <c r="AC79" s="6"/>
      <c r="AD79" s="6"/>
      <c r="AE79" s="6"/>
      <c r="AF79" s="6"/>
    </row>
    <row r="80" spans="2:32" ht="15.5">
      <c r="B80" s="55"/>
      <c r="C80" s="67" t="s">
        <v>1907</v>
      </c>
      <c r="D80" s="67" t="s">
        <v>1910</v>
      </c>
      <c r="E80" s="934"/>
      <c r="F80" s="2547"/>
      <c r="G80" s="2545">
        <v>3.0000000000000001E-3</v>
      </c>
      <c r="H80" s="296">
        <v>2E-3</v>
      </c>
      <c r="I80" s="2548">
        <v>0</v>
      </c>
      <c r="J80" s="2548">
        <v>2E-3</v>
      </c>
      <c r="K80" s="911"/>
      <c r="L80" s="911"/>
      <c r="M80" s="911"/>
      <c r="N80" s="911"/>
      <c r="O80" s="911"/>
      <c r="P80" s="876"/>
      <c r="Q80" s="876"/>
      <c r="R80" s="6"/>
      <c r="S80" s="6"/>
      <c r="U80" s="6"/>
      <c r="V80" s="6"/>
      <c r="W80" s="6"/>
      <c r="X80" s="6"/>
      <c r="Y80" s="6"/>
      <c r="Z80" s="6"/>
      <c r="AA80" s="6"/>
      <c r="AB80" s="6"/>
      <c r="AC80" s="6"/>
      <c r="AD80" s="6"/>
      <c r="AE80" s="6"/>
      <c r="AF80" s="6"/>
    </row>
    <row r="81" spans="2:32" ht="15.5">
      <c r="B81" s="55"/>
      <c r="C81" s="969" t="s">
        <v>1907</v>
      </c>
      <c r="D81" s="2549" t="s">
        <v>1911</v>
      </c>
      <c r="E81" s="2550"/>
      <c r="F81" s="2551"/>
      <c r="G81" s="2552">
        <v>0</v>
      </c>
      <c r="H81" s="1151">
        <v>0</v>
      </c>
      <c r="I81" s="94">
        <v>0</v>
      </c>
      <c r="J81" s="94">
        <v>0</v>
      </c>
      <c r="K81" s="59"/>
      <c r="L81" s="59"/>
      <c r="M81" s="911"/>
      <c r="N81" s="59"/>
      <c r="O81" s="59"/>
      <c r="P81" s="876"/>
      <c r="Q81" s="876"/>
      <c r="R81" s="6"/>
      <c r="S81" s="6"/>
      <c r="U81" s="6"/>
      <c r="V81" s="6"/>
      <c r="W81" s="6"/>
      <c r="X81" s="6"/>
      <c r="Y81" s="6"/>
      <c r="Z81" s="6"/>
      <c r="AA81" s="6"/>
      <c r="AB81" s="6"/>
      <c r="AC81" s="6"/>
      <c r="AD81" s="6"/>
      <c r="AE81" s="6"/>
      <c r="AF81" s="6"/>
    </row>
    <row r="82" spans="2:32" ht="15.5">
      <c r="B82" s="55"/>
      <c r="C82" s="3567"/>
      <c r="D82" s="3568"/>
      <c r="E82" s="3568"/>
      <c r="F82" s="3569"/>
      <c r="G82" s="3570"/>
      <c r="H82" s="60"/>
      <c r="I82" s="60"/>
      <c r="J82" s="60"/>
      <c r="K82" s="60"/>
      <c r="L82" s="60"/>
      <c r="M82" s="60"/>
      <c r="N82" s="60"/>
      <c r="O82" s="60"/>
      <c r="P82" s="876"/>
      <c r="Q82" s="876"/>
      <c r="R82" s="6"/>
      <c r="S82" s="6"/>
      <c r="U82" s="6"/>
      <c r="V82" s="6"/>
      <c r="W82" s="6"/>
      <c r="X82" s="6"/>
      <c r="Y82" s="6"/>
      <c r="Z82" s="6"/>
      <c r="AA82" s="6"/>
      <c r="AB82" s="6"/>
      <c r="AC82" s="6"/>
      <c r="AD82" s="6"/>
      <c r="AE82" s="6"/>
      <c r="AF82" s="6"/>
    </row>
    <row r="83" spans="2:32" s="6" customFormat="1" ht="15.5">
      <c r="B83" s="966"/>
      <c r="C83" s="84" t="s">
        <v>1912</v>
      </c>
      <c r="D83" s="103"/>
      <c r="E83" s="85"/>
      <c r="F83" s="103"/>
      <c r="G83" s="117" t="s">
        <v>8</v>
      </c>
      <c r="H83" s="103"/>
      <c r="I83" s="103"/>
      <c r="J83" s="66" t="s">
        <v>1913</v>
      </c>
      <c r="K83" s="117" t="s">
        <v>8</v>
      </c>
      <c r="L83" s="103"/>
      <c r="M83" s="103"/>
      <c r="N83" s="1217" t="s">
        <v>1914</v>
      </c>
      <c r="O83" s="85"/>
      <c r="P83" s="884"/>
      <c r="Q83" s="884"/>
      <c r="T83" s="2476"/>
    </row>
    <row r="84" spans="2:32" s="6" customFormat="1" ht="15.5">
      <c r="B84" s="966"/>
      <c r="C84" s="103"/>
      <c r="D84" s="103"/>
      <c r="E84" s="103" t="s">
        <v>5</v>
      </c>
      <c r="F84" s="103"/>
      <c r="G84" s="103"/>
      <c r="H84" s="103"/>
      <c r="I84" s="103"/>
      <c r="J84" s="103"/>
      <c r="K84" s="103"/>
      <c r="L84" s="103"/>
      <c r="M84" s="103"/>
      <c r="N84" s="103"/>
      <c r="O84" s="103"/>
      <c r="P84" s="884"/>
      <c r="Q84" s="884"/>
      <c r="T84" s="2476"/>
    </row>
    <row r="85" spans="2:32" s="6" customFormat="1" ht="15.5">
      <c r="B85" s="966"/>
      <c r="C85" s="878" t="s">
        <v>773</v>
      </c>
      <c r="D85" s="878" t="s">
        <v>71</v>
      </c>
      <c r="E85" s="878"/>
      <c r="F85" s="900"/>
      <c r="G85" s="1265">
        <v>1</v>
      </c>
      <c r="H85" s="87">
        <v>2</v>
      </c>
      <c r="I85" s="87">
        <v>3</v>
      </c>
      <c r="J85" s="87">
        <v>4</v>
      </c>
      <c r="K85" s="1265">
        <v>1</v>
      </c>
      <c r="L85" s="87">
        <v>2</v>
      </c>
      <c r="M85" s="87">
        <v>3</v>
      </c>
      <c r="N85" s="87">
        <v>4</v>
      </c>
      <c r="O85" s="911"/>
      <c r="P85" s="884"/>
      <c r="Q85" s="884"/>
      <c r="T85" s="2476"/>
    </row>
    <row r="86" spans="2:32" s="6" customFormat="1" ht="15.5">
      <c r="B86" s="966"/>
      <c r="C86" s="65" t="s">
        <v>1915</v>
      </c>
      <c r="D86" s="103" t="s">
        <v>1916</v>
      </c>
      <c r="E86" s="1256"/>
      <c r="F86" s="167"/>
      <c r="G86" s="2553">
        <v>-2.4472451512579374E-3</v>
      </c>
      <c r="H86" s="2554">
        <v>-2.4472451512579374E-3</v>
      </c>
      <c r="I86" s="2555">
        <v>-3.772376630140406E-3</v>
      </c>
      <c r="J86" s="2555">
        <v>-1.1921561279377713E-3</v>
      </c>
      <c r="K86" s="2556">
        <v>-7.4310483882145117E-4</v>
      </c>
      <c r="L86" s="2555">
        <v>-7.4310483882145117E-4</v>
      </c>
      <c r="M86" s="2555">
        <v>-3.772376630140406E-3</v>
      </c>
      <c r="N86" s="2555">
        <v>-1.1921561279377713E-3</v>
      </c>
      <c r="O86" s="74"/>
      <c r="P86" s="884"/>
      <c r="Q86" s="884"/>
      <c r="T86" s="2476"/>
    </row>
    <row r="87" spans="2:32" s="6" customFormat="1" ht="15.5">
      <c r="B87" s="966"/>
      <c r="C87" s="917" t="s">
        <v>1917</v>
      </c>
      <c r="D87" s="194" t="s">
        <v>1918</v>
      </c>
      <c r="E87" s="194"/>
      <c r="F87" s="343"/>
      <c r="G87" s="2557">
        <v>-2.4472451512579374E-3</v>
      </c>
      <c r="H87" s="1398">
        <v>-2.4472451512579374E-3</v>
      </c>
      <c r="I87" s="1151">
        <v>-3.772376630140406E-3</v>
      </c>
      <c r="J87" s="1398">
        <v>-2.4472451512579374E-3</v>
      </c>
      <c r="K87" s="2552">
        <v>-7.4310483882134015E-4</v>
      </c>
      <c r="L87" s="1151">
        <v>-2.4472451512579374E-3</v>
      </c>
      <c r="M87" s="1398">
        <v>-3.772376630140406E-3</v>
      </c>
      <c r="N87" s="1398">
        <v>-2.4472451512579374E-3</v>
      </c>
      <c r="O87" s="77"/>
      <c r="P87" s="884"/>
      <c r="Q87" s="884"/>
      <c r="T87" s="2476"/>
    </row>
    <row r="88" spans="2:32" ht="15.5">
      <c r="B88" s="55"/>
      <c r="C88" s="65"/>
      <c r="D88" s="103"/>
      <c r="E88" s="103"/>
      <c r="F88" s="74"/>
      <c r="G88" s="77"/>
      <c r="H88" s="77"/>
      <c r="I88" s="77"/>
      <c r="J88" s="77"/>
      <c r="K88" s="77"/>
      <c r="L88" s="77"/>
      <c r="M88" s="77"/>
      <c r="N88" s="77"/>
      <c r="O88" s="77"/>
      <c r="P88" s="876"/>
      <c r="Q88" s="876"/>
      <c r="R88" s="6"/>
      <c r="S88" s="6"/>
      <c r="U88" s="6"/>
      <c r="V88" s="6"/>
      <c r="W88" s="6"/>
      <c r="X88" s="6"/>
      <c r="Y88" s="6"/>
      <c r="Z88" s="6"/>
      <c r="AA88" s="6"/>
      <c r="AB88" s="6"/>
      <c r="AC88" s="6"/>
      <c r="AD88" s="6"/>
      <c r="AE88" s="6"/>
      <c r="AF88" s="6"/>
    </row>
    <row r="89" spans="2:32" ht="15.5">
      <c r="B89" s="55"/>
      <c r="C89" s="84" t="s">
        <v>1919</v>
      </c>
      <c r="D89" s="103"/>
      <c r="E89" s="1217" t="s">
        <v>5</v>
      </c>
      <c r="F89" s="103"/>
      <c r="G89" s="117" t="s">
        <v>8</v>
      </c>
      <c r="H89" s="103"/>
      <c r="I89" s="103"/>
      <c r="J89" s="66" t="s">
        <v>1913</v>
      </c>
      <c r="K89" s="117" t="s">
        <v>8</v>
      </c>
      <c r="L89" s="103"/>
      <c r="M89" s="103"/>
      <c r="N89" s="1217" t="s">
        <v>1914</v>
      </c>
      <c r="O89" s="77"/>
      <c r="P89" s="876"/>
      <c r="Q89" s="876"/>
      <c r="R89" s="6"/>
      <c r="S89" s="6"/>
      <c r="U89" s="6"/>
      <c r="V89" s="6"/>
      <c r="W89" s="6"/>
      <c r="X89" s="6"/>
      <c r="Y89" s="6"/>
      <c r="Z89" s="6"/>
      <c r="AA89" s="6"/>
      <c r="AB89" s="6"/>
      <c r="AC89" s="6"/>
      <c r="AD89" s="6"/>
      <c r="AE89" s="6"/>
      <c r="AF89" s="6"/>
    </row>
    <row r="90" spans="2:32" ht="15.5">
      <c r="B90" s="55"/>
      <c r="C90" s="103"/>
      <c r="D90" s="103"/>
      <c r="E90" s="103"/>
      <c r="F90" s="103"/>
      <c r="G90" s="103"/>
      <c r="H90" s="103"/>
      <c r="I90" s="103"/>
      <c r="J90" s="103"/>
      <c r="K90" s="103"/>
      <c r="L90" s="103"/>
      <c r="M90" s="103"/>
      <c r="N90" s="103"/>
      <c r="O90" s="77"/>
      <c r="P90" s="876"/>
      <c r="Q90" s="876"/>
      <c r="R90" s="6"/>
      <c r="S90" s="6"/>
      <c r="U90" s="6"/>
      <c r="V90" s="6"/>
      <c r="W90" s="6"/>
      <c r="X90" s="6"/>
      <c r="Y90" s="6"/>
      <c r="Z90" s="6"/>
      <c r="AA90" s="6"/>
      <c r="AB90" s="6"/>
      <c r="AC90" s="6"/>
      <c r="AD90" s="6"/>
      <c r="AE90" s="6"/>
      <c r="AF90" s="6"/>
    </row>
    <row r="91" spans="2:32" ht="15.5">
      <c r="B91" s="55"/>
      <c r="C91" s="878" t="s">
        <v>773</v>
      </c>
      <c r="D91" s="878" t="s">
        <v>71</v>
      </c>
      <c r="E91" s="878"/>
      <c r="F91" s="900"/>
      <c r="G91" s="1265">
        <v>1</v>
      </c>
      <c r="H91" s="87">
        <v>2</v>
      </c>
      <c r="I91" s="87">
        <v>3</v>
      </c>
      <c r="J91" s="87">
        <v>4</v>
      </c>
      <c r="K91" s="1265">
        <v>1</v>
      </c>
      <c r="L91" s="87">
        <v>2</v>
      </c>
      <c r="M91" s="87">
        <v>3</v>
      </c>
      <c r="N91" s="87">
        <v>4</v>
      </c>
      <c r="O91" s="77"/>
      <c r="P91" s="876"/>
      <c r="Q91" s="876"/>
      <c r="R91" s="6"/>
      <c r="S91" s="6"/>
      <c r="U91" s="6"/>
      <c r="V91" s="6"/>
      <c r="W91" s="6"/>
      <c r="X91" s="6"/>
      <c r="Y91" s="6"/>
      <c r="Z91" s="6"/>
      <c r="AA91" s="6"/>
      <c r="AB91" s="6"/>
      <c r="AC91" s="6"/>
      <c r="AD91" s="6"/>
      <c r="AE91" s="6"/>
      <c r="AF91" s="6"/>
    </row>
    <row r="92" spans="2:32" ht="15.5">
      <c r="B92" s="55"/>
      <c r="C92" s="907" t="s">
        <v>1920</v>
      </c>
      <c r="D92" s="908" t="s">
        <v>1921</v>
      </c>
      <c r="E92" s="1499"/>
      <c r="F92" s="2558"/>
      <c r="G92" s="2559">
        <v>-6.3934443203000901E-3</v>
      </c>
      <c r="H92" s="2560">
        <v>-6.3934443203000901E-3</v>
      </c>
      <c r="I92" s="2560">
        <v>-6.3934443203000901E-3</v>
      </c>
      <c r="J92" s="2560">
        <v>-6.3934443203000901E-3</v>
      </c>
      <c r="K92" s="2559">
        <v>0</v>
      </c>
      <c r="L92" s="2560">
        <v>-6.7319687848443888E-4</v>
      </c>
      <c r="M92" s="2560">
        <v>-2.416099615924483E-3</v>
      </c>
      <c r="N92" s="2560">
        <v>-6.7319687848443888E-4</v>
      </c>
      <c r="O92" s="77"/>
      <c r="P92" s="876"/>
      <c r="Q92" s="876"/>
      <c r="R92" s="6"/>
      <c r="S92" s="6"/>
      <c r="U92" s="6"/>
      <c r="V92" s="6"/>
      <c r="W92" s="6"/>
      <c r="X92" s="6"/>
      <c r="Y92" s="6"/>
      <c r="Z92" s="6"/>
      <c r="AA92" s="6"/>
      <c r="AB92" s="6"/>
      <c r="AC92" s="6"/>
      <c r="AD92" s="6"/>
      <c r="AE92" s="6"/>
      <c r="AF92" s="6"/>
    </row>
    <row r="93" spans="2:32" ht="15.5">
      <c r="B93" s="55"/>
      <c r="C93" s="65"/>
      <c r="D93" s="103"/>
      <c r="E93" s="103"/>
      <c r="F93" s="74"/>
      <c r="G93" s="77"/>
      <c r="H93" s="77"/>
      <c r="I93" s="77"/>
      <c r="J93" s="77"/>
      <c r="K93" s="77"/>
      <c r="L93" s="77"/>
      <c r="M93" s="77"/>
      <c r="N93" s="77"/>
      <c r="O93" s="77"/>
      <c r="P93" s="67"/>
      <c r="Q93" s="67"/>
      <c r="R93" s="6"/>
      <c r="S93" s="6"/>
      <c r="U93" s="6"/>
      <c r="V93" s="6"/>
      <c r="W93" s="6"/>
      <c r="X93" s="6"/>
      <c r="Y93" s="6"/>
      <c r="Z93" s="6"/>
      <c r="AA93" s="6"/>
      <c r="AB93" s="6"/>
      <c r="AC93" s="6"/>
      <c r="AD93" s="6"/>
      <c r="AE93" s="6"/>
      <c r="AF93" s="6"/>
    </row>
    <row r="94" spans="2:32" ht="15.5">
      <c r="B94" s="55"/>
      <c r="C94" s="49" t="s">
        <v>1922</v>
      </c>
      <c r="D94" s="67"/>
      <c r="E94" s="50"/>
      <c r="F94" s="67"/>
      <c r="G94" s="67"/>
      <c r="H94" s="67"/>
      <c r="I94" s="67"/>
      <c r="J94" s="67"/>
      <c r="K94" s="67"/>
      <c r="L94" s="67"/>
      <c r="M94" s="67"/>
      <c r="N94" s="51" t="s">
        <v>251</v>
      </c>
      <c r="O94" s="67"/>
      <c r="P94" s="67"/>
      <c r="Q94" s="67"/>
      <c r="R94" s="6"/>
      <c r="S94" s="6"/>
      <c r="U94" s="6"/>
      <c r="V94" s="6"/>
      <c r="W94" s="6"/>
      <c r="X94" s="6"/>
      <c r="Y94" s="6"/>
      <c r="Z94" s="6"/>
      <c r="AA94" s="6"/>
      <c r="AB94" s="6"/>
      <c r="AC94" s="6"/>
      <c r="AD94" s="6"/>
      <c r="AE94" s="6"/>
      <c r="AF94" s="6"/>
    </row>
    <row r="95" spans="2:32" ht="15.5">
      <c r="B95" s="55"/>
      <c r="C95" s="4301"/>
      <c r="D95" s="67"/>
      <c r="E95" s="67"/>
      <c r="F95" s="67"/>
      <c r="G95" s="67"/>
      <c r="H95" s="67"/>
      <c r="I95" s="67"/>
      <c r="J95" s="67"/>
      <c r="K95" s="67"/>
      <c r="L95" s="67"/>
      <c r="M95" s="67"/>
      <c r="N95" s="67"/>
      <c r="O95" s="67"/>
      <c r="P95" s="67"/>
      <c r="Q95" s="67"/>
      <c r="R95" s="6"/>
      <c r="S95" s="6"/>
      <c r="U95" s="6"/>
      <c r="V95" s="6"/>
      <c r="W95" s="6"/>
      <c r="X95" s="6"/>
      <c r="Y95" s="6"/>
      <c r="Z95" s="6"/>
      <c r="AA95" s="6"/>
      <c r="AB95" s="6"/>
      <c r="AC95" s="6"/>
      <c r="AD95" s="6"/>
      <c r="AE95" s="6"/>
      <c r="AF95" s="6"/>
    </row>
    <row r="96" spans="2:32" ht="15.5">
      <c r="B96" s="55"/>
      <c r="C96" s="878" t="s">
        <v>8</v>
      </c>
      <c r="D96" s="878" t="s">
        <v>71</v>
      </c>
      <c r="E96" s="878" t="s">
        <v>30</v>
      </c>
      <c r="F96" s="899">
        <v>2013</v>
      </c>
      <c r="G96" s="87">
        <v>2015</v>
      </c>
      <c r="H96" s="87">
        <v>2020</v>
      </c>
      <c r="I96" s="87">
        <v>2025</v>
      </c>
      <c r="J96" s="87">
        <v>2030</v>
      </c>
      <c r="K96" s="87">
        <v>2035</v>
      </c>
      <c r="L96" s="87">
        <v>2040</v>
      </c>
      <c r="M96" s="87">
        <v>2045</v>
      </c>
      <c r="N96" s="87">
        <v>2050</v>
      </c>
      <c r="O96" s="67"/>
      <c r="P96" s="67"/>
      <c r="Q96" s="67"/>
      <c r="R96" s="6"/>
      <c r="S96" s="6"/>
      <c r="U96" s="6"/>
      <c r="V96" s="6"/>
      <c r="W96" s="6"/>
      <c r="X96" s="6"/>
      <c r="Y96" s="6"/>
      <c r="Z96" s="6"/>
      <c r="AA96" s="6"/>
      <c r="AB96" s="6"/>
      <c r="AC96" s="6"/>
      <c r="AD96" s="6"/>
      <c r="AE96" s="6"/>
      <c r="AF96" s="6"/>
    </row>
    <row r="97" spans="2:32" ht="15.5">
      <c r="B97" s="55"/>
      <c r="C97" s="65">
        <v>1</v>
      </c>
      <c r="D97" s="103" t="s">
        <v>1923</v>
      </c>
      <c r="E97" s="2561"/>
      <c r="F97" s="1026">
        <v>-3.746</v>
      </c>
      <c r="G97" s="4304">
        <f t="shared" ref="G97:N97" si="11">$E$102*G26</f>
        <v>-3.7888202984904029</v>
      </c>
      <c r="H97" s="4304">
        <f t="shared" si="11"/>
        <v>-3.8958710447164036</v>
      </c>
      <c r="I97" s="4304">
        <f t="shared" si="11"/>
        <v>-4.00292179094241</v>
      </c>
      <c r="J97" s="4304">
        <f t="shared" si="11"/>
        <v>-4.1099725371684102</v>
      </c>
      <c r="K97" s="4304">
        <f t="shared" si="11"/>
        <v>-4.2170232833944166</v>
      </c>
      <c r="L97" s="4304">
        <f t="shared" si="11"/>
        <v>-4.3240740296204221</v>
      </c>
      <c r="M97" s="4304">
        <f t="shared" si="11"/>
        <v>-4.4311247758464232</v>
      </c>
      <c r="N97" s="4304">
        <f t="shared" si="11"/>
        <v>-4.5381755220724287</v>
      </c>
      <c r="O97" s="67"/>
      <c r="P97" s="67"/>
      <c r="Q97" s="67"/>
      <c r="R97" s="6"/>
      <c r="S97" s="6"/>
      <c r="U97" s="6"/>
      <c r="V97" s="6"/>
      <c r="W97" s="6"/>
      <c r="X97" s="6"/>
      <c r="Y97" s="6"/>
      <c r="Z97" s="6"/>
      <c r="AA97" s="6"/>
      <c r="AB97" s="6"/>
      <c r="AC97" s="6"/>
      <c r="AD97" s="6"/>
      <c r="AE97" s="6"/>
      <c r="AF97" s="6"/>
    </row>
    <row r="98" spans="2:32" ht="15.5">
      <c r="B98" s="55"/>
      <c r="C98" s="65">
        <v>2</v>
      </c>
      <c r="D98" s="103" t="s">
        <v>1924</v>
      </c>
      <c r="E98" s="103"/>
      <c r="F98" s="896">
        <v>-3.746</v>
      </c>
      <c r="G98" s="4305">
        <f t="shared" ref="G98:N98" si="12">$E$102*G34</f>
        <v>-3.8252175522072425</v>
      </c>
      <c r="H98" s="4305">
        <f t="shared" si="12"/>
        <v>-4.0232614327253495</v>
      </c>
      <c r="I98" s="4305">
        <f t="shared" si="12"/>
        <v>-4.221305313243457</v>
      </c>
      <c r="J98" s="4305">
        <f t="shared" si="12"/>
        <v>-4.4193491937615645</v>
      </c>
      <c r="K98" s="4305">
        <f t="shared" si="12"/>
        <v>-4.617393074279672</v>
      </c>
      <c r="L98" s="4305">
        <f t="shared" si="12"/>
        <v>-4.8154369547977787</v>
      </c>
      <c r="M98" s="4305">
        <f t="shared" si="12"/>
        <v>-5.0134808353158862</v>
      </c>
      <c r="N98" s="4305">
        <f t="shared" si="12"/>
        <v>-5.2115247158339937</v>
      </c>
      <c r="O98" s="67"/>
      <c r="P98" s="67"/>
      <c r="Q98" s="67"/>
      <c r="R98" s="6"/>
      <c r="S98" s="6"/>
      <c r="U98" s="6"/>
      <c r="V98" s="6"/>
      <c r="W98" s="6"/>
      <c r="X98" s="6"/>
      <c r="Y98" s="6"/>
      <c r="Z98" s="6"/>
      <c r="AA98" s="6"/>
      <c r="AB98" s="6"/>
      <c r="AC98" s="6"/>
      <c r="AD98" s="6"/>
      <c r="AE98" s="6"/>
      <c r="AF98" s="6"/>
    </row>
    <row r="99" spans="2:32" ht="15.5">
      <c r="B99" s="55"/>
      <c r="C99" s="65">
        <v>3</v>
      </c>
      <c r="D99" s="103" t="s">
        <v>1925</v>
      </c>
      <c r="E99" s="103"/>
      <c r="F99" s="896">
        <v>-3.746</v>
      </c>
      <c r="G99" s="4305">
        <f t="shared" ref="G99:N99" si="13">$E$102*G42</f>
        <v>-3.8648263283108641</v>
      </c>
      <c r="H99" s="4305">
        <f t="shared" si="13"/>
        <v>-4.1618921490880245</v>
      </c>
      <c r="I99" s="4305">
        <f t="shared" si="13"/>
        <v>-4.4589579698651862</v>
      </c>
      <c r="J99" s="4305">
        <f t="shared" si="13"/>
        <v>-4.756023790642347</v>
      </c>
      <c r="K99" s="4305">
        <f t="shared" si="13"/>
        <v>-5.0530896114195079</v>
      </c>
      <c r="L99" s="4305">
        <f t="shared" si="13"/>
        <v>-5.3501554321966687</v>
      </c>
      <c r="M99" s="4305">
        <f t="shared" si="13"/>
        <v>-5.6472212529738295</v>
      </c>
      <c r="N99" s="4305">
        <f t="shared" si="13"/>
        <v>-5.9442870737509903</v>
      </c>
      <c r="O99" s="67"/>
      <c r="P99" s="67"/>
      <c r="Q99" s="67"/>
      <c r="R99" s="6"/>
      <c r="S99" s="6"/>
      <c r="U99" s="6"/>
      <c r="V99" s="6"/>
      <c r="W99" s="6"/>
      <c r="X99" s="6"/>
      <c r="Y99" s="6"/>
      <c r="Z99" s="6"/>
      <c r="AA99" s="6"/>
      <c r="AB99" s="6"/>
      <c r="AC99" s="6"/>
      <c r="AD99" s="6"/>
      <c r="AE99" s="6"/>
      <c r="AF99" s="6"/>
    </row>
    <row r="100" spans="2:32" ht="15.5">
      <c r="B100" s="55"/>
      <c r="C100" s="887">
        <v>4</v>
      </c>
      <c r="D100" s="888" t="s">
        <v>1926</v>
      </c>
      <c r="E100" s="888"/>
      <c r="F100" s="2551">
        <v>-3.746</v>
      </c>
      <c r="G100" s="4306">
        <f t="shared" ref="G100:N100" si="14">$E$102*G50</f>
        <v>-3.9440438805181071</v>
      </c>
      <c r="H100" s="4306">
        <f t="shared" si="14"/>
        <v>-4.4391535818133754</v>
      </c>
      <c r="I100" s="4306">
        <f t="shared" si="14"/>
        <v>-4.9342632831086437</v>
      </c>
      <c r="J100" s="4306">
        <f t="shared" si="14"/>
        <v>-5.429372984403912</v>
      </c>
      <c r="K100" s="4306">
        <f t="shared" si="14"/>
        <v>-5.9244826856991804</v>
      </c>
      <c r="L100" s="4306">
        <f t="shared" si="14"/>
        <v>-6.4195923869944478</v>
      </c>
      <c r="M100" s="4306">
        <f t="shared" si="14"/>
        <v>-6.9147020882897161</v>
      </c>
      <c r="N100" s="4306">
        <f t="shared" si="14"/>
        <v>-7.4098117895849844</v>
      </c>
      <c r="O100" s="67"/>
      <c r="P100" s="67"/>
      <c r="Q100" s="67"/>
      <c r="R100" s="6"/>
      <c r="S100" s="6"/>
      <c r="U100" s="6"/>
      <c r="V100" s="6"/>
      <c r="W100" s="6"/>
      <c r="X100" s="6"/>
      <c r="Y100" s="6"/>
      <c r="Z100" s="6"/>
      <c r="AA100" s="6"/>
      <c r="AB100" s="6"/>
      <c r="AC100" s="6"/>
      <c r="AD100" s="6"/>
      <c r="AE100" s="6"/>
      <c r="AF100" s="6"/>
    </row>
    <row r="101" spans="2:32" ht="15.5">
      <c r="B101" s="55"/>
      <c r="C101" s="4302" t="s">
        <v>3794</v>
      </c>
      <c r="D101" s="4303"/>
      <c r="E101" s="4303"/>
      <c r="F101" s="74"/>
      <c r="G101" s="77"/>
      <c r="H101" s="77"/>
      <c r="I101" s="77"/>
      <c r="J101" s="77"/>
      <c r="K101" s="77"/>
      <c r="L101" s="77"/>
      <c r="M101" s="77"/>
      <c r="N101" s="77"/>
      <c r="O101" s="67"/>
      <c r="P101" s="67"/>
      <c r="Q101" s="67"/>
      <c r="R101" s="6"/>
      <c r="S101" s="6"/>
      <c r="U101" s="6"/>
      <c r="V101" s="6"/>
      <c r="W101" s="6"/>
      <c r="X101" s="6"/>
      <c r="Y101" s="6"/>
      <c r="Z101" s="6"/>
      <c r="AA101" s="6"/>
      <c r="AB101" s="6"/>
      <c r="AC101" s="6"/>
      <c r="AD101" s="6"/>
      <c r="AE101" s="6"/>
      <c r="AF101" s="6"/>
    </row>
    <row r="102" spans="2:32" s="4261" customFormat="1" ht="15.5">
      <c r="B102" s="55"/>
      <c r="C102" s="4302" t="str">
        <f>"Mt CO2e sequestered per "&amp;(Preferences.AreaUnits)</f>
        <v>Mt CO2e sequestered per km^2</v>
      </c>
      <c r="D102" s="4303"/>
      <c r="E102" s="4301">
        <f>F97/F26</f>
        <v>-4.9510970129526826E-4</v>
      </c>
      <c r="F102" s="74"/>
      <c r="G102" s="77"/>
      <c r="H102" s="77"/>
      <c r="I102" s="77"/>
      <c r="J102" s="77"/>
      <c r="K102" s="77"/>
      <c r="L102" s="77"/>
      <c r="M102" s="77"/>
      <c r="N102" s="77"/>
      <c r="O102" s="67"/>
      <c r="P102" s="67"/>
      <c r="Q102" s="67"/>
      <c r="R102" s="6"/>
      <c r="S102" s="6"/>
      <c r="U102" s="6"/>
      <c r="V102" s="6"/>
      <c r="W102" s="6"/>
      <c r="X102" s="6"/>
      <c r="Y102" s="6"/>
      <c r="Z102" s="6"/>
      <c r="AA102" s="6"/>
      <c r="AB102" s="6"/>
      <c r="AC102" s="6"/>
      <c r="AD102" s="6"/>
      <c r="AE102" s="6"/>
      <c r="AF102" s="6"/>
    </row>
    <row r="103" spans="2:32" s="4261" customFormat="1" ht="15.5">
      <c r="B103" s="55"/>
      <c r="C103" s="3836"/>
      <c r="D103" s="103"/>
      <c r="E103" s="103"/>
      <c r="F103" s="74"/>
      <c r="G103" s="77"/>
      <c r="H103" s="77"/>
      <c r="I103" s="77"/>
      <c r="J103" s="77"/>
      <c r="K103" s="77"/>
      <c r="L103" s="77"/>
      <c r="M103" s="77"/>
      <c r="N103" s="77"/>
      <c r="O103" s="67"/>
      <c r="P103" s="67"/>
      <c r="Q103" s="67"/>
      <c r="R103" s="6"/>
      <c r="S103" s="6"/>
      <c r="U103" s="6"/>
      <c r="V103" s="6"/>
      <c r="W103" s="6"/>
      <c r="X103" s="6"/>
      <c r="Y103" s="6"/>
      <c r="Z103" s="6"/>
      <c r="AA103" s="6"/>
      <c r="AB103" s="6"/>
      <c r="AC103" s="6"/>
      <c r="AD103" s="6"/>
      <c r="AE103" s="6"/>
      <c r="AF103" s="6"/>
    </row>
    <row r="104" spans="2:32" ht="15.5">
      <c r="B104" s="55"/>
      <c r="C104" s="49" t="s">
        <v>1927</v>
      </c>
      <c r="D104" s="67" t="s">
        <v>5</v>
      </c>
      <c r="E104" s="50"/>
      <c r="F104" s="67"/>
      <c r="G104" s="67"/>
      <c r="H104" s="67"/>
      <c r="I104" s="67"/>
      <c r="J104" s="67"/>
      <c r="K104" s="67"/>
      <c r="L104" s="67"/>
      <c r="M104" s="67"/>
      <c r="N104" s="51" t="s">
        <v>1928</v>
      </c>
      <c r="O104" s="67"/>
      <c r="P104" s="67"/>
      <c r="Q104" s="67"/>
      <c r="R104" s="6"/>
      <c r="S104" s="6"/>
      <c r="U104" s="6"/>
      <c r="V104" s="6"/>
      <c r="W104" s="6"/>
      <c r="X104" s="6"/>
      <c r="Y104" s="6"/>
      <c r="Z104" s="6"/>
      <c r="AA104" s="6"/>
      <c r="AB104" s="6"/>
      <c r="AC104" s="6"/>
      <c r="AD104" s="6"/>
      <c r="AE104" s="6"/>
      <c r="AF104" s="6"/>
    </row>
    <row r="105" spans="2:32" ht="15.5">
      <c r="B105" s="55"/>
      <c r="C105" s="67"/>
      <c r="D105" s="67"/>
      <c r="E105" s="67"/>
      <c r="F105" s="67"/>
      <c r="G105" s="67"/>
      <c r="H105" s="67"/>
      <c r="I105" s="67"/>
      <c r="J105" s="67"/>
      <c r="K105" s="67"/>
      <c r="L105" s="67"/>
      <c r="M105" s="67"/>
      <c r="N105" s="67"/>
      <c r="O105" s="67"/>
      <c r="P105" s="67"/>
      <c r="Q105" s="67"/>
      <c r="R105" s="6"/>
      <c r="S105" s="6"/>
      <c r="U105" s="6"/>
      <c r="V105" s="6"/>
      <c r="W105" s="6"/>
      <c r="X105" s="6"/>
      <c r="Y105" s="6"/>
      <c r="Z105" s="6"/>
      <c r="AA105" s="6"/>
      <c r="AB105" s="6"/>
      <c r="AC105" s="6"/>
      <c r="AD105" s="6"/>
      <c r="AE105" s="6"/>
      <c r="AF105" s="6"/>
    </row>
    <row r="106" spans="2:32" ht="15.5">
      <c r="B106" s="55"/>
      <c r="C106" s="878" t="s">
        <v>8</v>
      </c>
      <c r="D106" s="878" t="s">
        <v>71</v>
      </c>
      <c r="E106" s="878" t="s">
        <v>30</v>
      </c>
      <c r="F106" s="899">
        <v>2013</v>
      </c>
      <c r="G106" s="87">
        <v>2015</v>
      </c>
      <c r="H106" s="87">
        <v>2020</v>
      </c>
      <c r="I106" s="87">
        <v>2025</v>
      </c>
      <c r="J106" s="87">
        <v>2030</v>
      </c>
      <c r="K106" s="87">
        <v>2035</v>
      </c>
      <c r="L106" s="87">
        <v>2040</v>
      </c>
      <c r="M106" s="87">
        <v>2045</v>
      </c>
      <c r="N106" s="87">
        <v>2050</v>
      </c>
      <c r="O106" s="67"/>
      <c r="P106" s="67"/>
      <c r="Q106" s="67"/>
      <c r="R106" s="6"/>
      <c r="S106" s="6"/>
      <c r="U106" s="6"/>
      <c r="V106" s="6"/>
      <c r="W106" s="6"/>
      <c r="X106" s="6"/>
      <c r="Y106" s="6"/>
      <c r="Z106" s="6"/>
      <c r="AA106" s="6"/>
      <c r="AB106" s="6"/>
      <c r="AC106" s="6"/>
      <c r="AD106" s="6"/>
      <c r="AE106" s="6"/>
      <c r="AF106" s="6"/>
    </row>
    <row r="107" spans="2:32" ht="15.5">
      <c r="B107" s="55"/>
      <c r="C107" s="65">
        <v>1</v>
      </c>
      <c r="D107" s="103" t="s">
        <v>1923</v>
      </c>
      <c r="E107" s="2561"/>
      <c r="F107" s="1204">
        <v>0</v>
      </c>
      <c r="G107" s="89">
        <v>0.03</v>
      </c>
      <c r="H107" s="89">
        <v>0.05</v>
      </c>
      <c r="I107" s="89">
        <v>0.05</v>
      </c>
      <c r="J107" s="89">
        <v>0.05</v>
      </c>
      <c r="K107" s="89">
        <v>0.05</v>
      </c>
      <c r="L107" s="89">
        <v>0.05</v>
      </c>
      <c r="M107" s="89">
        <v>0.05</v>
      </c>
      <c r="N107" s="89">
        <v>0.05</v>
      </c>
      <c r="O107" s="67"/>
      <c r="P107" s="67"/>
      <c r="Q107" s="67"/>
      <c r="R107" s="6"/>
      <c r="S107" s="6"/>
      <c r="U107" s="6"/>
      <c r="V107" s="6"/>
      <c r="W107" s="6"/>
      <c r="X107" s="6"/>
      <c r="Y107" s="6"/>
      <c r="Z107" s="6"/>
      <c r="AA107" s="6"/>
      <c r="AB107" s="6"/>
      <c r="AC107" s="6"/>
      <c r="AD107" s="6"/>
      <c r="AE107" s="6"/>
      <c r="AF107" s="6"/>
    </row>
    <row r="108" spans="2:32" ht="15.5">
      <c r="B108" s="55"/>
      <c r="C108" s="65">
        <v>2</v>
      </c>
      <c r="D108" s="103" t="s">
        <v>1924</v>
      </c>
      <c r="E108" s="103"/>
      <c r="F108" s="1205">
        <v>0</v>
      </c>
      <c r="G108" s="89">
        <v>0.03</v>
      </c>
      <c r="H108" s="89">
        <v>5.6569474269697086E-2</v>
      </c>
      <c r="I108" s="89">
        <v>7.2198577010732554E-2</v>
      </c>
      <c r="J108" s="89">
        <v>9.2145712677534339E-2</v>
      </c>
      <c r="K108" s="89">
        <v>0.1176038741537596</v>
      </c>
      <c r="L108" s="89">
        <v>0.15009565626101368</v>
      </c>
      <c r="M108" s="89">
        <v>0.19156431869726948</v>
      </c>
      <c r="N108" s="89">
        <v>0.24449000798619908</v>
      </c>
      <c r="O108" s="67"/>
      <c r="P108" s="67"/>
      <c r="Q108" s="67"/>
      <c r="R108" s="6"/>
      <c r="S108" s="6"/>
      <c r="U108" s="6"/>
      <c r="V108" s="6"/>
      <c r="W108" s="6"/>
      <c r="X108" s="6"/>
      <c r="Y108" s="6"/>
      <c r="Z108" s="6"/>
      <c r="AA108" s="6"/>
      <c r="AB108" s="6"/>
      <c r="AC108" s="6"/>
      <c r="AD108" s="6"/>
      <c r="AE108" s="6"/>
      <c r="AF108" s="6"/>
    </row>
    <row r="109" spans="2:32" ht="15.5">
      <c r="B109" s="55"/>
      <c r="C109" s="65">
        <v>3</v>
      </c>
      <c r="D109" s="103" t="s">
        <v>1925</v>
      </c>
      <c r="E109" s="103"/>
      <c r="F109" s="1205">
        <v>0</v>
      </c>
      <c r="G109" s="89">
        <v>0.03</v>
      </c>
      <c r="H109" s="89">
        <v>0.1</v>
      </c>
      <c r="I109" s="89">
        <v>0.4</v>
      </c>
      <c r="J109" s="89">
        <v>0.5</v>
      </c>
      <c r="K109" s="89">
        <v>0.7</v>
      </c>
      <c r="L109" s="89">
        <v>0.8</v>
      </c>
      <c r="M109" s="89">
        <v>0.8</v>
      </c>
      <c r="N109" s="89">
        <v>0.8</v>
      </c>
      <c r="O109" s="67"/>
      <c r="P109" s="67"/>
      <c r="Q109" s="67"/>
      <c r="R109" s="6"/>
      <c r="S109" s="6"/>
      <c r="U109" s="6"/>
      <c r="V109" s="6"/>
      <c r="W109" s="6"/>
      <c r="X109" s="6"/>
      <c r="Y109" s="6"/>
      <c r="Z109" s="6"/>
      <c r="AA109" s="6"/>
      <c r="AB109" s="6"/>
      <c r="AC109" s="6"/>
      <c r="AD109" s="6"/>
      <c r="AE109" s="6"/>
      <c r="AF109" s="6"/>
    </row>
    <row r="110" spans="2:32" ht="15.5">
      <c r="B110" s="55"/>
      <c r="C110" s="887">
        <v>4</v>
      </c>
      <c r="D110" s="888" t="s">
        <v>1926</v>
      </c>
      <c r="E110" s="888"/>
      <c r="F110" s="2562">
        <v>0</v>
      </c>
      <c r="G110" s="95">
        <v>0.03</v>
      </c>
      <c r="H110" s="95">
        <v>0.1</v>
      </c>
      <c r="I110" s="95">
        <v>0.4</v>
      </c>
      <c r="J110" s="95">
        <v>0.5</v>
      </c>
      <c r="K110" s="95">
        <v>0.7</v>
      </c>
      <c r="L110" s="95">
        <v>0.8</v>
      </c>
      <c r="M110" s="95">
        <v>0.8</v>
      </c>
      <c r="N110" s="95">
        <v>0.8</v>
      </c>
      <c r="O110" s="67"/>
      <c r="P110" s="67"/>
      <c r="Q110" s="67"/>
      <c r="R110" s="6"/>
      <c r="S110" s="6"/>
      <c r="U110" s="6"/>
      <c r="V110" s="6"/>
      <c r="W110" s="6"/>
      <c r="X110" s="6"/>
      <c r="Y110" s="6"/>
      <c r="Z110" s="6"/>
      <c r="AA110" s="6"/>
      <c r="AB110" s="6"/>
      <c r="AC110" s="6"/>
      <c r="AD110" s="6"/>
      <c r="AE110" s="6"/>
      <c r="AF110" s="6"/>
    </row>
    <row r="111" spans="2:32">
      <c r="B111" s="45"/>
      <c r="C111" s="67"/>
      <c r="D111" s="82"/>
      <c r="E111" s="67"/>
      <c r="F111" s="67"/>
      <c r="G111" s="67"/>
      <c r="H111" s="67"/>
      <c r="I111" s="67"/>
      <c r="J111" s="67"/>
      <c r="K111" s="67"/>
      <c r="L111" s="67"/>
      <c r="M111" s="67"/>
      <c r="N111" s="67"/>
      <c r="O111" s="67"/>
      <c r="P111" s="67"/>
      <c r="Q111" s="67"/>
      <c r="R111" s="6"/>
      <c r="S111" s="6"/>
      <c r="U111" s="6"/>
      <c r="V111" s="6"/>
      <c r="W111" s="6"/>
      <c r="X111" s="6"/>
      <c r="Y111" s="6"/>
      <c r="Z111" s="6"/>
      <c r="AA111" s="6"/>
      <c r="AB111" s="6"/>
      <c r="AC111" s="6"/>
      <c r="AD111" s="6"/>
      <c r="AE111" s="6"/>
      <c r="AF111" s="6"/>
    </row>
    <row r="112" spans="2:32">
      <c r="B112" s="45"/>
      <c r="C112" s="49" t="s">
        <v>3684</v>
      </c>
      <c r="D112" s="67"/>
      <c r="E112" s="51"/>
      <c r="F112" s="67"/>
      <c r="G112" s="67"/>
      <c r="H112" s="67"/>
      <c r="I112" s="67"/>
      <c r="J112" s="67"/>
      <c r="K112" s="67"/>
      <c r="L112" s="67"/>
      <c r="M112" s="67"/>
      <c r="N112" s="51" t="s">
        <v>1929</v>
      </c>
      <c r="O112" s="67"/>
      <c r="P112" s="67"/>
      <c r="Q112" s="67"/>
      <c r="R112" s="6"/>
      <c r="S112" s="6"/>
      <c r="U112" s="6"/>
      <c r="V112" s="6"/>
      <c r="W112" s="6"/>
      <c r="X112" s="6"/>
      <c r="Y112" s="6"/>
      <c r="Z112" s="6"/>
      <c r="AA112" s="6"/>
      <c r="AB112" s="6"/>
      <c r="AC112" s="6"/>
      <c r="AD112" s="6"/>
      <c r="AE112" s="6"/>
      <c r="AF112" s="6"/>
    </row>
    <row r="113" spans="1:32">
      <c r="B113" s="45"/>
      <c r="C113" s="67"/>
      <c r="D113" s="67"/>
      <c r="E113" s="67"/>
      <c r="F113" s="67"/>
      <c r="G113" s="67"/>
      <c r="H113" s="67"/>
      <c r="I113" s="67"/>
      <c r="J113" s="67"/>
      <c r="K113" s="67"/>
      <c r="L113" s="67"/>
      <c r="M113" s="67"/>
      <c r="N113" s="67"/>
      <c r="O113" s="67"/>
      <c r="P113" s="67"/>
      <c r="Q113" s="67"/>
      <c r="R113" s="6"/>
      <c r="S113" s="6"/>
      <c r="U113" s="6"/>
      <c r="V113" s="6"/>
      <c r="W113" s="6"/>
      <c r="X113" s="6"/>
      <c r="Y113" s="6"/>
      <c r="Z113" s="6"/>
      <c r="AA113" s="6"/>
      <c r="AB113" s="6"/>
      <c r="AC113" s="6"/>
      <c r="AD113" s="6"/>
      <c r="AE113" s="6"/>
      <c r="AF113" s="6"/>
    </row>
    <row r="114" spans="1:32" ht="15.5">
      <c r="B114" s="55"/>
      <c r="C114" s="878" t="s">
        <v>8</v>
      </c>
      <c r="D114" s="878" t="s">
        <v>71</v>
      </c>
      <c r="E114" s="878" t="s">
        <v>30</v>
      </c>
      <c r="F114" s="899">
        <v>2013</v>
      </c>
      <c r="G114" s="87">
        <v>2015</v>
      </c>
      <c r="H114" s="87">
        <v>2020</v>
      </c>
      <c r="I114" s="87">
        <v>2025</v>
      </c>
      <c r="J114" s="87">
        <v>2030</v>
      </c>
      <c r="K114" s="87">
        <v>2035</v>
      </c>
      <c r="L114" s="87">
        <v>2040</v>
      </c>
      <c r="M114" s="87">
        <v>2045</v>
      </c>
      <c r="N114" s="87">
        <v>2050</v>
      </c>
      <c r="O114" s="67"/>
      <c r="P114" s="67"/>
      <c r="Q114" s="67"/>
      <c r="R114" s="6"/>
      <c r="S114" s="6"/>
      <c r="U114" s="6"/>
      <c r="V114" s="6"/>
      <c r="W114" s="6"/>
      <c r="X114" s="6"/>
      <c r="Y114" s="6"/>
      <c r="Z114" s="6"/>
      <c r="AA114" s="6"/>
      <c r="AB114" s="6"/>
      <c r="AC114" s="6"/>
      <c r="AD114" s="6"/>
      <c r="AE114" s="6"/>
      <c r="AF114" s="6"/>
    </row>
    <row r="115" spans="1:32" ht="15.5">
      <c r="A115" s="39"/>
      <c r="B115" s="55"/>
      <c r="C115" s="65">
        <v>1</v>
      </c>
      <c r="D115" s="103" t="s">
        <v>1923</v>
      </c>
      <c r="E115" s="2561"/>
      <c r="F115" s="1204">
        <v>0.01</v>
      </c>
      <c r="G115" s="89">
        <v>0.02</v>
      </c>
      <c r="H115" s="89">
        <v>0.05</v>
      </c>
      <c r="I115" s="89">
        <v>0.1</v>
      </c>
      <c r="J115" s="89">
        <v>0.1</v>
      </c>
      <c r="K115" s="89">
        <v>0.2</v>
      </c>
      <c r="L115" s="89">
        <v>0.3</v>
      </c>
      <c r="M115" s="89">
        <v>0.4</v>
      </c>
      <c r="N115" s="89">
        <v>0.4</v>
      </c>
      <c r="O115" s="67"/>
      <c r="P115" s="67"/>
      <c r="Q115" s="67"/>
      <c r="R115" s="6"/>
      <c r="S115" s="6"/>
      <c r="U115" s="6"/>
      <c r="V115" s="6"/>
      <c r="W115" s="6"/>
      <c r="X115" s="6"/>
      <c r="Y115" s="6"/>
      <c r="Z115" s="6"/>
      <c r="AA115" s="6"/>
      <c r="AB115" s="6"/>
      <c r="AC115" s="6"/>
      <c r="AD115" s="6"/>
      <c r="AE115" s="6"/>
      <c r="AF115" s="6"/>
    </row>
    <row r="116" spans="1:32" ht="15.5">
      <c r="A116" s="39"/>
      <c r="B116" s="55"/>
      <c r="C116" s="65">
        <v>2</v>
      </c>
      <c r="D116" s="103" t="s">
        <v>1924</v>
      </c>
      <c r="E116" s="103"/>
      <c r="F116" s="1205">
        <v>0.01</v>
      </c>
      <c r="G116" s="89">
        <v>0.02</v>
      </c>
      <c r="H116" s="89">
        <v>0.05</v>
      </c>
      <c r="I116" s="89">
        <v>0.1</v>
      </c>
      <c r="J116" s="89">
        <v>0.2</v>
      </c>
      <c r="K116" s="89">
        <v>0.3</v>
      </c>
      <c r="L116" s="89">
        <v>0.4</v>
      </c>
      <c r="M116" s="89">
        <v>0.5</v>
      </c>
      <c r="N116" s="89">
        <v>0.5</v>
      </c>
      <c r="O116" s="67"/>
      <c r="P116" s="67"/>
      <c r="Q116" s="67"/>
      <c r="R116" s="6"/>
      <c r="S116" s="6"/>
      <c r="U116" s="6"/>
      <c r="V116" s="6"/>
      <c r="W116" s="6"/>
      <c r="X116" s="6"/>
      <c r="Y116" s="6"/>
      <c r="Z116" s="6"/>
      <c r="AA116" s="6"/>
      <c r="AB116" s="6"/>
      <c r="AC116" s="6"/>
      <c r="AD116" s="6"/>
      <c r="AE116" s="6"/>
      <c r="AF116" s="6"/>
    </row>
    <row r="117" spans="1:32" ht="15.5">
      <c r="A117" s="39"/>
      <c r="B117" s="55"/>
      <c r="C117" s="65">
        <v>3</v>
      </c>
      <c r="D117" s="103" t="s">
        <v>1925</v>
      </c>
      <c r="E117" s="103"/>
      <c r="F117" s="1205">
        <v>0.01</v>
      </c>
      <c r="G117" s="89">
        <v>0.02</v>
      </c>
      <c r="H117" s="89">
        <v>7.0000000000000007E-2</v>
      </c>
      <c r="I117" s="89">
        <v>0.15</v>
      </c>
      <c r="J117" s="89">
        <v>0.3</v>
      </c>
      <c r="K117" s="89">
        <v>0.3</v>
      </c>
      <c r="L117" s="89">
        <v>0.5</v>
      </c>
      <c r="M117" s="89">
        <v>0.5</v>
      </c>
      <c r="N117" s="89">
        <v>0.5</v>
      </c>
      <c r="O117" s="67"/>
      <c r="P117" s="67"/>
      <c r="Q117" s="67"/>
      <c r="R117" s="6"/>
      <c r="S117" s="6"/>
      <c r="U117" s="6"/>
      <c r="V117" s="6"/>
      <c r="W117" s="6"/>
      <c r="X117" s="6"/>
      <c r="Y117" s="6"/>
      <c r="Z117" s="6"/>
      <c r="AA117" s="6"/>
      <c r="AB117" s="6"/>
      <c r="AC117" s="6"/>
      <c r="AD117" s="6"/>
      <c r="AE117" s="6"/>
      <c r="AF117" s="6"/>
    </row>
    <row r="118" spans="1:32" ht="15.5">
      <c r="A118" s="39"/>
      <c r="B118" s="55"/>
      <c r="C118" s="887">
        <v>4</v>
      </c>
      <c r="D118" s="888" t="s">
        <v>1926</v>
      </c>
      <c r="E118" s="888"/>
      <c r="F118" s="2562">
        <v>0.01</v>
      </c>
      <c r="G118" s="95">
        <v>0.02</v>
      </c>
      <c r="H118" s="95">
        <v>0.1</v>
      </c>
      <c r="I118" s="95">
        <v>0.2</v>
      </c>
      <c r="J118" s="95">
        <v>0.5</v>
      </c>
      <c r="K118" s="95">
        <v>0.6</v>
      </c>
      <c r="L118" s="95">
        <v>0.7</v>
      </c>
      <c r="M118" s="95">
        <v>0.8</v>
      </c>
      <c r="N118" s="95">
        <v>0.8</v>
      </c>
      <c r="O118" s="67"/>
      <c r="P118" s="67"/>
      <c r="Q118" s="67"/>
      <c r="R118" s="6"/>
      <c r="S118" s="6"/>
      <c r="U118" s="6"/>
      <c r="V118" s="6"/>
      <c r="W118" s="6"/>
      <c r="X118" s="6"/>
      <c r="Y118" s="6"/>
      <c r="Z118" s="6"/>
      <c r="AA118" s="6"/>
      <c r="AB118" s="6"/>
      <c r="AC118" s="6"/>
      <c r="AD118" s="6"/>
      <c r="AE118" s="6"/>
      <c r="AF118" s="6"/>
    </row>
    <row r="119" spans="1:32" ht="15.5">
      <c r="B119" s="55"/>
      <c r="C119" s="65"/>
      <c r="D119" s="103"/>
      <c r="E119" s="103"/>
      <c r="F119" s="74"/>
      <c r="G119" s="77"/>
      <c r="H119" s="77"/>
      <c r="I119" s="77"/>
      <c r="J119" s="77"/>
      <c r="K119" s="77"/>
      <c r="L119" s="77"/>
      <c r="M119" s="77"/>
      <c r="N119" s="77"/>
      <c r="O119" s="67"/>
      <c r="P119" s="67"/>
      <c r="Q119" s="67"/>
      <c r="R119" s="6"/>
      <c r="S119" s="6"/>
      <c r="U119" s="6"/>
      <c r="V119" s="6"/>
      <c r="W119" s="6"/>
      <c r="X119" s="6"/>
      <c r="Y119" s="6"/>
      <c r="Z119" s="6"/>
      <c r="AA119" s="6"/>
      <c r="AB119" s="6"/>
      <c r="AC119" s="6"/>
      <c r="AD119" s="6"/>
      <c r="AE119" s="6"/>
      <c r="AF119" s="6"/>
    </row>
    <row r="120" spans="1:32">
      <c r="B120" s="45"/>
      <c r="C120" s="49" t="s">
        <v>1930</v>
      </c>
      <c r="D120" s="82"/>
      <c r="E120" s="67"/>
      <c r="F120" s="67"/>
      <c r="G120" s="67"/>
      <c r="H120" s="67"/>
      <c r="I120" s="67"/>
      <c r="J120" s="67"/>
      <c r="K120" s="67"/>
      <c r="L120" s="67"/>
      <c r="M120" s="67"/>
      <c r="N120" s="51" t="s">
        <v>1928</v>
      </c>
      <c r="O120" s="67"/>
      <c r="P120" s="67"/>
      <c r="Q120" s="67"/>
      <c r="R120" s="6"/>
      <c r="S120" s="6"/>
      <c r="U120" s="6"/>
      <c r="V120" s="6"/>
      <c r="W120" s="6"/>
      <c r="X120" s="6"/>
      <c r="Y120" s="6"/>
      <c r="Z120" s="6"/>
      <c r="AA120" s="6"/>
      <c r="AB120" s="6"/>
      <c r="AC120" s="6"/>
      <c r="AD120" s="6"/>
      <c r="AE120" s="6"/>
      <c r="AF120" s="6"/>
    </row>
    <row r="121" spans="1:32">
      <c r="B121" s="45"/>
      <c r="C121" s="67"/>
      <c r="D121" s="82"/>
      <c r="E121" s="67"/>
      <c r="F121" s="67"/>
      <c r="G121" s="67"/>
      <c r="H121" s="67"/>
      <c r="I121" s="67"/>
      <c r="J121" s="67"/>
      <c r="K121" s="67"/>
      <c r="L121" s="67"/>
      <c r="M121" s="67"/>
      <c r="N121" s="67"/>
      <c r="O121" s="67"/>
      <c r="P121" s="67"/>
      <c r="Q121" s="67"/>
      <c r="R121" s="6"/>
      <c r="S121" s="6"/>
      <c r="U121" s="6"/>
      <c r="V121" s="6"/>
      <c r="W121" s="6"/>
      <c r="X121" s="6"/>
      <c r="Y121" s="6"/>
      <c r="Z121" s="6"/>
      <c r="AA121" s="6"/>
      <c r="AB121" s="6"/>
      <c r="AC121" s="6"/>
      <c r="AD121" s="6"/>
      <c r="AE121" s="6"/>
      <c r="AF121" s="6"/>
    </row>
    <row r="122" spans="1:32" ht="15.5">
      <c r="B122" s="55"/>
      <c r="C122" s="878" t="s">
        <v>8</v>
      </c>
      <c r="D122" s="878" t="s">
        <v>71</v>
      </c>
      <c r="E122" s="878" t="s">
        <v>30</v>
      </c>
      <c r="F122" s="899">
        <v>2013</v>
      </c>
      <c r="G122" s="87">
        <v>2015</v>
      </c>
      <c r="H122" s="87">
        <v>2020</v>
      </c>
      <c r="I122" s="87">
        <v>2025</v>
      </c>
      <c r="J122" s="87">
        <v>2030</v>
      </c>
      <c r="K122" s="87">
        <v>2035</v>
      </c>
      <c r="L122" s="87">
        <v>2040</v>
      </c>
      <c r="M122" s="87">
        <v>2045</v>
      </c>
      <c r="N122" s="87">
        <v>2050</v>
      </c>
      <c r="O122" s="67"/>
      <c r="P122" s="67"/>
      <c r="Q122" s="67"/>
      <c r="R122" s="6"/>
      <c r="S122" s="6"/>
      <c r="U122" s="6"/>
      <c r="V122" s="6"/>
      <c r="W122" s="6"/>
      <c r="X122" s="6"/>
      <c r="Y122" s="6"/>
      <c r="Z122" s="6"/>
      <c r="AA122" s="6"/>
      <c r="AB122" s="6"/>
      <c r="AC122" s="6"/>
      <c r="AD122" s="6"/>
      <c r="AE122" s="6"/>
      <c r="AF122" s="6"/>
    </row>
    <row r="123" spans="1:32" ht="15.5">
      <c r="B123" s="55"/>
      <c r="C123" s="65">
        <v>1</v>
      </c>
      <c r="D123" s="103" t="s">
        <v>1923</v>
      </c>
      <c r="E123" s="2561"/>
      <c r="F123" s="1204">
        <v>0.15</v>
      </c>
      <c r="G123" s="89">
        <v>0.2</v>
      </c>
      <c r="H123" s="89">
        <v>0.2</v>
      </c>
      <c r="I123" s="89">
        <v>0.25</v>
      </c>
      <c r="J123" s="89">
        <v>0.25</v>
      </c>
      <c r="K123" s="89">
        <v>0.25</v>
      </c>
      <c r="L123" s="89">
        <v>0.25</v>
      </c>
      <c r="M123" s="89">
        <v>0.25</v>
      </c>
      <c r="N123" s="89">
        <v>0.25</v>
      </c>
      <c r="O123" s="67"/>
      <c r="P123" s="67"/>
      <c r="Q123" s="67"/>
      <c r="R123" s="6"/>
      <c r="S123" s="6"/>
      <c r="U123" s="6"/>
      <c r="V123" s="6"/>
      <c r="W123" s="6"/>
      <c r="X123" s="6"/>
      <c r="Y123" s="6"/>
      <c r="Z123" s="6"/>
      <c r="AA123" s="6"/>
      <c r="AB123" s="6"/>
      <c r="AC123" s="6"/>
      <c r="AD123" s="6"/>
      <c r="AE123" s="6"/>
      <c r="AF123" s="6"/>
    </row>
    <row r="124" spans="1:32" ht="15.5">
      <c r="B124" s="55"/>
      <c r="C124" s="65">
        <v>2</v>
      </c>
      <c r="D124" s="103" t="s">
        <v>1924</v>
      </c>
      <c r="E124" s="103"/>
      <c r="F124" s="1205">
        <v>0.15</v>
      </c>
      <c r="G124" s="89">
        <v>0.2</v>
      </c>
      <c r="H124" s="89">
        <v>0.2</v>
      </c>
      <c r="I124" s="89">
        <v>0.25</v>
      </c>
      <c r="J124" s="89">
        <v>0.3</v>
      </c>
      <c r="K124" s="89">
        <v>0.35</v>
      </c>
      <c r="L124" s="89">
        <v>0.35</v>
      </c>
      <c r="M124" s="89">
        <v>0.35</v>
      </c>
      <c r="N124" s="89">
        <v>0.35</v>
      </c>
      <c r="O124" s="67"/>
      <c r="P124" s="67"/>
      <c r="Q124" s="67"/>
      <c r="R124" s="6"/>
      <c r="S124" s="6"/>
      <c r="U124" s="6"/>
      <c r="V124" s="6"/>
      <c r="W124" s="6"/>
      <c r="X124" s="6"/>
      <c r="Y124" s="6"/>
      <c r="Z124" s="6"/>
      <c r="AA124" s="6"/>
      <c r="AB124" s="6"/>
      <c r="AC124" s="6"/>
      <c r="AD124" s="6"/>
      <c r="AE124" s="6"/>
      <c r="AF124" s="6"/>
    </row>
    <row r="125" spans="1:32" ht="15.5">
      <c r="B125" s="55"/>
      <c r="C125" s="65">
        <v>3</v>
      </c>
      <c r="D125" s="103" t="s">
        <v>1925</v>
      </c>
      <c r="E125" s="103"/>
      <c r="F125" s="1205">
        <v>0.15</v>
      </c>
      <c r="G125" s="89">
        <v>0.2</v>
      </c>
      <c r="H125" s="89">
        <v>0.2</v>
      </c>
      <c r="I125" s="89">
        <v>0.25</v>
      </c>
      <c r="J125" s="89">
        <v>0.4</v>
      </c>
      <c r="K125" s="89">
        <v>0.4</v>
      </c>
      <c r="L125" s="89">
        <v>0.8</v>
      </c>
      <c r="M125" s="89">
        <v>0.8</v>
      </c>
      <c r="N125" s="89">
        <v>0.8</v>
      </c>
      <c r="O125" s="67"/>
      <c r="P125" s="67"/>
      <c r="Q125" s="67"/>
      <c r="R125" s="6"/>
      <c r="S125" s="6"/>
      <c r="U125" s="6"/>
      <c r="V125" s="6"/>
      <c r="W125" s="6"/>
      <c r="X125" s="6"/>
      <c r="Y125" s="6"/>
      <c r="Z125" s="6"/>
      <c r="AA125" s="6"/>
      <c r="AB125" s="6"/>
      <c r="AC125" s="6"/>
      <c r="AD125" s="6"/>
      <c r="AE125" s="6"/>
      <c r="AF125" s="6"/>
    </row>
    <row r="126" spans="1:32" ht="15.5">
      <c r="B126" s="55"/>
      <c r="C126" s="887">
        <v>4</v>
      </c>
      <c r="D126" s="888" t="s">
        <v>1926</v>
      </c>
      <c r="E126" s="888"/>
      <c r="F126" s="2562">
        <v>0.15</v>
      </c>
      <c r="G126" s="95">
        <v>0.2</v>
      </c>
      <c r="H126" s="95">
        <v>0.2</v>
      </c>
      <c r="I126" s="95">
        <v>0.25</v>
      </c>
      <c r="J126" s="95">
        <v>0.4</v>
      </c>
      <c r="K126" s="95">
        <v>0.4</v>
      </c>
      <c r="L126" s="95">
        <v>0.8</v>
      </c>
      <c r="M126" s="95">
        <v>0.8</v>
      </c>
      <c r="N126" s="95">
        <v>0.8</v>
      </c>
      <c r="O126" s="67"/>
      <c r="P126" s="67"/>
      <c r="Q126" s="67"/>
      <c r="R126" s="6"/>
      <c r="S126" s="6"/>
      <c r="U126" s="6"/>
      <c r="V126" s="6"/>
      <c r="W126" s="6"/>
      <c r="X126" s="6"/>
      <c r="Y126" s="6"/>
      <c r="Z126" s="6"/>
      <c r="AA126" s="6"/>
      <c r="AB126" s="6"/>
      <c r="AC126" s="6"/>
      <c r="AD126" s="6"/>
      <c r="AE126" s="6"/>
      <c r="AF126" s="6"/>
    </row>
    <row r="127" spans="1:32">
      <c r="B127" s="45"/>
      <c r="C127" s="3828" t="s">
        <v>3685</v>
      </c>
      <c r="D127" s="82"/>
      <c r="E127" s="67"/>
      <c r="F127" s="67"/>
      <c r="G127" s="67"/>
      <c r="H127" s="67"/>
      <c r="I127" s="67"/>
      <c r="J127" s="67"/>
      <c r="K127" s="67"/>
      <c r="L127" s="67"/>
      <c r="M127" s="67"/>
      <c r="N127" s="67"/>
      <c r="O127" s="67"/>
      <c r="P127" s="67"/>
      <c r="Q127" s="67"/>
      <c r="R127" s="6"/>
      <c r="S127" s="6"/>
      <c r="U127" s="6"/>
      <c r="V127" s="6"/>
      <c r="W127" s="6"/>
      <c r="X127" s="6"/>
      <c r="Y127" s="6"/>
      <c r="Z127" s="6"/>
      <c r="AA127" s="6"/>
      <c r="AB127" s="6"/>
      <c r="AC127" s="6"/>
      <c r="AD127" s="6"/>
      <c r="AE127" s="6"/>
      <c r="AF127" s="6"/>
    </row>
    <row r="128" spans="1:32" hidden="1">
      <c r="B128" s="45"/>
      <c r="C128" s="49" t="s">
        <v>2711</v>
      </c>
      <c r="D128" s="82"/>
      <c r="E128" s="67"/>
      <c r="F128" s="67"/>
      <c r="G128" s="67"/>
      <c r="H128" s="67"/>
      <c r="I128" s="67"/>
      <c r="J128" s="67"/>
      <c r="K128" s="67"/>
      <c r="L128" s="67"/>
      <c r="M128" s="67"/>
      <c r="N128" s="51" t="s">
        <v>1931</v>
      </c>
      <c r="O128" s="67"/>
      <c r="P128" s="67"/>
      <c r="Q128" s="6"/>
      <c r="R128" s="6"/>
      <c r="S128" s="6"/>
      <c r="U128" s="6"/>
      <c r="V128" s="6"/>
      <c r="W128" s="6"/>
      <c r="X128" s="6"/>
      <c r="Y128" s="6"/>
      <c r="Z128" s="6"/>
      <c r="AA128" s="6"/>
      <c r="AB128" s="6"/>
      <c r="AC128" s="6"/>
      <c r="AD128" s="6"/>
      <c r="AE128" s="6"/>
      <c r="AF128" s="6"/>
    </row>
    <row r="129" spans="1:32" hidden="1">
      <c r="B129" s="45"/>
      <c r="C129" s="67"/>
      <c r="D129" s="82"/>
      <c r="E129" s="67"/>
      <c r="F129" s="67"/>
      <c r="G129" s="67"/>
      <c r="H129" s="67"/>
      <c r="I129" s="67"/>
      <c r="J129" s="67"/>
      <c r="K129" s="67"/>
      <c r="L129" s="67"/>
      <c r="M129" s="67"/>
      <c r="N129" s="67"/>
      <c r="O129" s="67"/>
      <c r="P129" s="67"/>
      <c r="Q129" s="6"/>
      <c r="R129" s="6"/>
      <c r="S129" s="6"/>
      <c r="U129" s="6"/>
      <c r="V129" s="6"/>
      <c r="W129" s="6"/>
      <c r="X129" s="6"/>
      <c r="Y129" s="6"/>
      <c r="Z129" s="6"/>
      <c r="AA129" s="6"/>
      <c r="AB129" s="6"/>
      <c r="AC129" s="6"/>
      <c r="AD129" s="6"/>
      <c r="AE129" s="6"/>
      <c r="AF129" s="6"/>
    </row>
    <row r="130" spans="1:32" ht="15.5" hidden="1">
      <c r="B130" s="55"/>
      <c r="C130" s="878" t="s">
        <v>8</v>
      </c>
      <c r="D130" s="878" t="s">
        <v>71</v>
      </c>
      <c r="E130" s="878" t="s">
        <v>30</v>
      </c>
      <c r="F130" s="899">
        <v>2013</v>
      </c>
      <c r="G130" s="87">
        <v>2015</v>
      </c>
      <c r="H130" s="87">
        <v>2020</v>
      </c>
      <c r="I130" s="87">
        <v>2025</v>
      </c>
      <c r="J130" s="87">
        <v>2030</v>
      </c>
      <c r="K130" s="87">
        <v>2035</v>
      </c>
      <c r="L130" s="87">
        <v>2040</v>
      </c>
      <c r="M130" s="87">
        <v>2045</v>
      </c>
      <c r="N130" s="87">
        <v>2050</v>
      </c>
      <c r="O130" s="67"/>
      <c r="P130" s="67"/>
      <c r="Q130" s="6"/>
      <c r="R130" s="6"/>
      <c r="S130" s="6"/>
      <c r="U130" s="6"/>
      <c r="V130" s="6"/>
      <c r="W130" s="6"/>
      <c r="X130" s="6"/>
      <c r="Y130" s="6"/>
      <c r="Z130" s="6"/>
      <c r="AA130" s="6"/>
      <c r="AB130" s="6"/>
      <c r="AC130" s="6"/>
      <c r="AD130" s="6"/>
      <c r="AE130" s="6"/>
      <c r="AF130" s="6"/>
    </row>
    <row r="131" spans="1:32" ht="15.5" hidden="1">
      <c r="B131" s="55"/>
      <c r="C131" s="65">
        <v>1</v>
      </c>
      <c r="D131" s="103" t="s">
        <v>1923</v>
      </c>
      <c r="E131" s="2561"/>
      <c r="F131" s="2563"/>
      <c r="G131" s="883"/>
      <c r="H131" s="883"/>
      <c r="I131" s="883"/>
      <c r="J131" s="883"/>
      <c r="K131" s="883"/>
      <c r="L131" s="883"/>
      <c r="M131" s="883"/>
      <c r="N131" s="883"/>
      <c r="O131" s="67"/>
      <c r="P131" s="67"/>
      <c r="Q131" s="6"/>
      <c r="R131"/>
      <c r="S131"/>
      <c r="T131"/>
      <c r="U131"/>
      <c r="V131"/>
      <c r="W131"/>
      <c r="X131"/>
      <c r="Y131"/>
      <c r="Z131"/>
      <c r="AA131" s="6"/>
      <c r="AB131" s="6"/>
      <c r="AC131" s="6"/>
      <c r="AD131" s="6"/>
      <c r="AE131" s="6"/>
      <c r="AF131" s="6"/>
    </row>
    <row r="132" spans="1:32" ht="15.5" hidden="1">
      <c r="B132" s="55"/>
      <c r="C132" s="65">
        <v>2</v>
      </c>
      <c r="D132" s="103" t="s">
        <v>1924</v>
      </c>
      <c r="E132" s="103"/>
      <c r="F132" s="882"/>
      <c r="G132" s="883"/>
      <c r="H132" s="883"/>
      <c r="I132" s="883"/>
      <c r="J132" s="883"/>
      <c r="K132" s="883"/>
      <c r="L132" s="883"/>
      <c r="M132" s="883"/>
      <c r="N132" s="883"/>
      <c r="O132" s="67"/>
      <c r="P132" s="67"/>
      <c r="Q132" s="6"/>
      <c r="R132"/>
      <c r="S132"/>
      <c r="T132"/>
      <c r="U132"/>
      <c r="V132"/>
      <c r="W132"/>
      <c r="X132"/>
      <c r="Y132"/>
      <c r="Z132"/>
      <c r="AA132" s="6"/>
      <c r="AB132" s="6"/>
      <c r="AC132" s="6"/>
      <c r="AD132" s="6"/>
      <c r="AE132" s="6"/>
      <c r="AF132" s="6"/>
    </row>
    <row r="133" spans="1:32" ht="15.5" hidden="1">
      <c r="B133" s="55"/>
      <c r="C133" s="65">
        <v>3</v>
      </c>
      <c r="D133" s="103" t="s">
        <v>1925</v>
      </c>
      <c r="E133" s="103"/>
      <c r="F133" s="882"/>
      <c r="G133" s="883"/>
      <c r="H133" s="883"/>
      <c r="I133" s="883"/>
      <c r="J133" s="883"/>
      <c r="K133" s="883"/>
      <c r="L133" s="883"/>
      <c r="M133" s="883"/>
      <c r="N133" s="883"/>
      <c r="O133" s="67"/>
      <c r="P133" s="67"/>
      <c r="Q133" s="6"/>
      <c r="R133"/>
      <c r="S133"/>
      <c r="T133"/>
      <c r="U133"/>
      <c r="V133"/>
      <c r="W133"/>
      <c r="X133"/>
      <c r="Y133"/>
      <c r="Z133"/>
      <c r="AA133" s="6"/>
      <c r="AB133" s="6"/>
      <c r="AC133" s="6"/>
      <c r="AD133" s="6"/>
      <c r="AE133" s="6"/>
      <c r="AF133" s="6"/>
    </row>
    <row r="134" spans="1:32" ht="15.5" hidden="1">
      <c r="B134" s="55"/>
      <c r="C134" s="887">
        <v>4</v>
      </c>
      <c r="D134" s="888" t="s">
        <v>1926</v>
      </c>
      <c r="E134" s="888"/>
      <c r="F134" s="2564"/>
      <c r="G134" s="890"/>
      <c r="H134" s="890"/>
      <c r="I134" s="890"/>
      <c r="J134" s="890"/>
      <c r="K134" s="890"/>
      <c r="L134" s="890"/>
      <c r="M134" s="890"/>
      <c r="N134" s="890"/>
      <c r="O134" s="67"/>
      <c r="P134" s="67"/>
      <c r="Q134" s="6"/>
      <c r="R134"/>
      <c r="S134"/>
      <c r="T134"/>
      <c r="U134"/>
      <c r="V134"/>
      <c r="W134"/>
      <c r="X134"/>
      <c r="Y134"/>
      <c r="Z134"/>
      <c r="AA134" s="6"/>
      <c r="AB134" s="6"/>
      <c r="AC134" s="6"/>
      <c r="AD134" s="6"/>
      <c r="AE134" s="6"/>
      <c r="AF134" s="6"/>
    </row>
    <row r="135" spans="1:32" hidden="1">
      <c r="B135" s="45"/>
      <c r="C135" s="67"/>
      <c r="D135" s="82"/>
      <c r="E135" s="67"/>
      <c r="F135" s="67"/>
      <c r="G135" s="67"/>
      <c r="H135" s="67"/>
      <c r="I135" s="67"/>
      <c r="J135" s="67"/>
      <c r="K135" s="67"/>
      <c r="L135" s="67"/>
      <c r="M135" s="67"/>
      <c r="N135" s="67"/>
      <c r="O135" s="67"/>
      <c r="P135" s="67"/>
      <c r="Q135" s="6"/>
      <c r="R135" s="6"/>
      <c r="S135" s="6"/>
      <c r="U135" s="6"/>
      <c r="V135" s="6"/>
      <c r="W135" s="6"/>
      <c r="X135" s="6"/>
      <c r="Y135" s="6"/>
      <c r="Z135" s="6"/>
      <c r="AA135" s="6"/>
      <c r="AB135" s="6"/>
      <c r="AC135" s="6"/>
      <c r="AD135" s="6"/>
      <c r="AE135" s="6"/>
      <c r="AF135" s="6"/>
    </row>
    <row r="136" spans="1:32">
      <c r="Q136" s="6"/>
      <c r="R136" s="6"/>
      <c r="S136" s="6"/>
      <c r="U136" s="6"/>
      <c r="V136" s="6"/>
      <c r="W136" s="6"/>
      <c r="X136" s="6"/>
      <c r="Y136" s="6"/>
      <c r="Z136" s="6"/>
      <c r="AA136" s="6"/>
      <c r="AB136" s="6"/>
      <c r="AC136" s="6"/>
      <c r="AD136" s="6"/>
      <c r="AE136" s="6"/>
      <c r="AF136" s="6"/>
    </row>
    <row r="137" spans="1:32" s="6" customFormat="1" ht="23.5">
      <c r="A137" s="40"/>
      <c r="B137" s="869" t="s">
        <v>69</v>
      </c>
      <c r="C137" s="870"/>
      <c r="D137" s="870"/>
      <c r="E137" s="870"/>
      <c r="F137" s="870"/>
      <c r="G137" s="870"/>
      <c r="H137" s="870"/>
      <c r="I137" s="870"/>
      <c r="J137" s="870"/>
      <c r="K137" s="870"/>
      <c r="L137" s="870"/>
      <c r="M137" s="870"/>
      <c r="N137" s="870"/>
      <c r="O137" s="927"/>
      <c r="P137" s="927"/>
      <c r="R137" s="6" t="s">
        <v>5</v>
      </c>
      <c r="T137" s="2476"/>
      <c r="W137" s="6" t="s">
        <v>5</v>
      </c>
    </row>
    <row r="138" spans="1:32">
      <c r="B138" s="105"/>
      <c r="C138" s="67"/>
      <c r="D138" s="67"/>
      <c r="E138" s="67"/>
      <c r="F138" s="67"/>
      <c r="G138" s="67"/>
      <c r="H138" s="67"/>
      <c r="I138" s="67"/>
      <c r="J138" s="67"/>
      <c r="K138" s="67"/>
      <c r="L138" s="67"/>
      <c r="M138" s="67"/>
      <c r="N138" s="67"/>
      <c r="O138" s="67"/>
      <c r="P138" s="67"/>
      <c r="S138" s="3566" t="s">
        <v>5</v>
      </c>
    </row>
    <row r="139" spans="1:32">
      <c r="B139" s="105"/>
      <c r="C139" s="49" t="s">
        <v>1932</v>
      </c>
      <c r="D139" s="67"/>
      <c r="E139" s="50"/>
      <c r="F139" s="51" t="s">
        <v>1933</v>
      </c>
      <c r="G139" s="67"/>
      <c r="H139" s="3826" t="s">
        <v>63</v>
      </c>
      <c r="I139" s="67"/>
      <c r="J139" s="67"/>
      <c r="K139" s="67"/>
      <c r="L139" s="67"/>
      <c r="M139" s="67"/>
      <c r="N139" s="67"/>
      <c r="O139" s="67"/>
      <c r="P139" s="67"/>
    </row>
    <row r="140" spans="1:32">
      <c r="B140" s="105"/>
      <c r="C140" s="67"/>
      <c r="D140" s="67"/>
      <c r="E140" s="67"/>
      <c r="F140" s="67"/>
      <c r="G140" s="67"/>
      <c r="H140" s="67"/>
      <c r="I140" s="67"/>
      <c r="J140" s="67"/>
      <c r="K140" s="67"/>
      <c r="L140" s="67"/>
      <c r="M140" s="67"/>
      <c r="N140" s="67"/>
      <c r="O140" s="67"/>
      <c r="P140" s="67"/>
    </row>
    <row r="141" spans="1:32" ht="15.5">
      <c r="B141" s="55"/>
      <c r="C141" s="878" t="s">
        <v>773</v>
      </c>
      <c r="D141" s="878" t="s">
        <v>71</v>
      </c>
      <c r="E141" s="878"/>
      <c r="F141" s="900">
        <v>2013</v>
      </c>
      <c r="G141" s="67" t="s">
        <v>5</v>
      </c>
      <c r="H141" s="67"/>
      <c r="I141" s="67"/>
      <c r="J141" s="67"/>
      <c r="K141" s="67"/>
      <c r="L141" s="67"/>
      <c r="M141" s="67"/>
      <c r="N141" s="67"/>
      <c r="O141" s="67"/>
      <c r="P141" s="67"/>
    </row>
    <row r="142" spans="1:32" ht="15.5">
      <c r="B142" s="55"/>
      <c r="C142" s="1083">
        <v>1</v>
      </c>
      <c r="D142" s="881" t="s">
        <v>1898</v>
      </c>
      <c r="E142" s="1306"/>
      <c r="F142" s="342">
        <v>1082</v>
      </c>
      <c r="G142" s="67"/>
      <c r="H142" s="3828" t="s">
        <v>3682</v>
      </c>
      <c r="I142" s="67"/>
      <c r="J142" s="67"/>
      <c r="K142" s="67"/>
      <c r="L142" s="67"/>
      <c r="M142" s="67"/>
      <c r="N142" s="67"/>
      <c r="O142" s="67"/>
      <c r="P142" s="67"/>
    </row>
    <row r="143" spans="1:32" s="4255" customFormat="1" ht="15.5">
      <c r="B143" s="55"/>
      <c r="C143" s="65">
        <v>2</v>
      </c>
      <c r="D143" s="103" t="s">
        <v>3679</v>
      </c>
      <c r="E143" s="103"/>
      <c r="F143" s="167">
        <v>5227</v>
      </c>
      <c r="G143" s="67" t="s">
        <v>5</v>
      </c>
      <c r="H143" s="3828" t="s">
        <v>3682</v>
      </c>
      <c r="I143" s="67"/>
      <c r="J143" s="67"/>
      <c r="K143" s="67"/>
      <c r="L143" s="67"/>
      <c r="M143" s="67"/>
      <c r="N143" s="67"/>
      <c r="O143" s="67"/>
      <c r="P143" s="67"/>
    </row>
    <row r="144" spans="1:32" s="4255" customFormat="1" ht="15.5">
      <c r="B144" s="55"/>
      <c r="C144" s="65">
        <v>3</v>
      </c>
      <c r="D144" s="103" t="s">
        <v>3680</v>
      </c>
      <c r="E144" s="103"/>
      <c r="F144" s="167">
        <v>1469</v>
      </c>
      <c r="G144" s="2599"/>
      <c r="H144" s="3828" t="s">
        <v>3682</v>
      </c>
      <c r="I144" s="67"/>
      <c r="J144" s="67"/>
      <c r="K144" s="67"/>
      <c r="L144" s="67"/>
      <c r="M144" s="67"/>
      <c r="N144" s="67"/>
      <c r="O144" s="67"/>
      <c r="P144" s="67"/>
    </row>
    <row r="145" spans="2:16" ht="15.5">
      <c r="B145" s="55"/>
      <c r="C145" s="65">
        <v>4</v>
      </c>
      <c r="D145" s="103" t="s">
        <v>1899</v>
      </c>
      <c r="E145" s="103"/>
      <c r="F145" s="167">
        <v>15177</v>
      </c>
      <c r="G145" s="67" t="s">
        <v>5</v>
      </c>
      <c r="H145" s="3828" t="s">
        <v>2915</v>
      </c>
      <c r="I145" s="67"/>
      <c r="J145" s="67"/>
      <c r="K145" s="67"/>
      <c r="L145" s="67"/>
      <c r="M145" s="67"/>
      <c r="N145" s="67"/>
      <c r="O145" s="67"/>
      <c r="P145" s="67"/>
    </row>
    <row r="146" spans="2:16" s="4255" customFormat="1" ht="15.5">
      <c r="B146" s="55"/>
      <c r="C146" s="917">
        <v>5</v>
      </c>
      <c r="D146" s="194" t="s">
        <v>3681</v>
      </c>
      <c r="E146" s="194"/>
      <c r="F146" s="343">
        <v>3324</v>
      </c>
      <c r="G146" s="67"/>
      <c r="H146" s="3828" t="s">
        <v>3682</v>
      </c>
      <c r="I146" s="67"/>
      <c r="J146" s="67"/>
      <c r="K146" s="67"/>
      <c r="L146" s="67"/>
      <c r="M146" s="67"/>
      <c r="N146" s="67"/>
      <c r="O146" s="67"/>
      <c r="P146" s="67"/>
    </row>
    <row r="147" spans="2:16">
      <c r="B147" s="105"/>
      <c r="C147" s="67"/>
      <c r="D147" s="67"/>
      <c r="E147" s="67"/>
      <c r="F147" s="67"/>
      <c r="G147" s="67"/>
      <c r="H147" s="67"/>
      <c r="I147" s="67"/>
      <c r="J147" s="67"/>
      <c r="K147" s="67"/>
      <c r="L147" s="67"/>
      <c r="M147" s="67"/>
      <c r="N147" s="67"/>
      <c r="O147" s="67"/>
      <c r="P147" s="67"/>
    </row>
    <row r="148" spans="2:16">
      <c r="B148" s="105"/>
      <c r="C148" s="49" t="s">
        <v>1934</v>
      </c>
      <c r="D148" s="67"/>
      <c r="E148" s="67"/>
      <c r="F148" s="67"/>
      <c r="G148" s="67"/>
      <c r="H148" s="67"/>
      <c r="I148" s="67"/>
      <c r="J148" s="67"/>
      <c r="K148" s="67"/>
      <c r="L148" s="67"/>
      <c r="M148" s="67"/>
      <c r="N148" s="67"/>
      <c r="O148" s="67"/>
      <c r="P148" s="67"/>
    </row>
    <row r="149" spans="2:16">
      <c r="B149" s="105"/>
      <c r="C149" s="67"/>
      <c r="D149" s="67"/>
      <c r="E149" s="67"/>
      <c r="F149" s="67"/>
      <c r="G149" s="67"/>
      <c r="H149" s="67" t="s">
        <v>5</v>
      </c>
      <c r="I149" s="67"/>
      <c r="J149" s="67"/>
      <c r="K149" s="67"/>
      <c r="L149" s="67"/>
      <c r="M149" s="67"/>
      <c r="N149" s="67"/>
      <c r="O149" s="67"/>
      <c r="P149" s="67"/>
    </row>
    <row r="150" spans="2:16" ht="15.5">
      <c r="B150" s="55"/>
      <c r="C150" s="878" t="s">
        <v>773</v>
      </c>
      <c r="D150" s="878" t="s">
        <v>71</v>
      </c>
      <c r="E150" s="878" t="s">
        <v>1447</v>
      </c>
      <c r="F150" s="900">
        <v>2013</v>
      </c>
      <c r="G150" s="67"/>
      <c r="H150" s="67"/>
      <c r="I150" s="67"/>
      <c r="J150" s="67"/>
      <c r="K150" s="67"/>
      <c r="L150" s="67"/>
      <c r="M150" s="67"/>
      <c r="N150" s="67"/>
      <c r="O150" s="67"/>
      <c r="P150" s="67"/>
    </row>
    <row r="151" spans="2:16" ht="15.5">
      <c r="B151" s="55"/>
      <c r="C151" s="65" t="s">
        <v>1901</v>
      </c>
      <c r="D151" s="103" t="s">
        <v>1752</v>
      </c>
      <c r="E151" s="1256" t="s">
        <v>1935</v>
      </c>
      <c r="F151" s="59">
        <v>9.6999999999999993</v>
      </c>
      <c r="G151" s="67"/>
      <c r="H151" s="67"/>
      <c r="I151" s="67"/>
      <c r="J151" s="67"/>
      <c r="K151" s="67"/>
      <c r="L151" s="67"/>
      <c r="M151" s="67"/>
      <c r="N151" s="67"/>
      <c r="O151" s="67"/>
      <c r="P151" s="67"/>
    </row>
    <row r="152" spans="2:16" ht="15.5">
      <c r="B152" s="55"/>
      <c r="C152" s="65" t="s">
        <v>1901</v>
      </c>
      <c r="D152" s="103" t="s">
        <v>1902</v>
      </c>
      <c r="E152" s="1256" t="s">
        <v>1935</v>
      </c>
      <c r="F152" s="59">
        <v>3</v>
      </c>
      <c r="G152" s="67"/>
      <c r="H152" s="67"/>
      <c r="I152" s="67"/>
      <c r="J152" s="67"/>
      <c r="K152" s="67"/>
      <c r="L152" s="67"/>
      <c r="M152" s="67"/>
      <c r="N152" s="67"/>
      <c r="O152" s="67"/>
      <c r="P152" s="67"/>
    </row>
    <row r="153" spans="2:16" ht="15.5">
      <c r="B153" s="55"/>
      <c r="C153" s="65" t="s">
        <v>1901</v>
      </c>
      <c r="D153" s="103" t="s">
        <v>1903</v>
      </c>
      <c r="E153" s="103" t="s">
        <v>1935</v>
      </c>
      <c r="F153" s="167">
        <v>10</v>
      </c>
      <c r="G153" s="67"/>
      <c r="H153" s="67"/>
      <c r="I153" s="67"/>
      <c r="J153" s="67"/>
      <c r="K153" s="67"/>
      <c r="L153" s="67"/>
      <c r="M153" s="67"/>
      <c r="N153" s="67"/>
      <c r="O153" s="67"/>
      <c r="P153" s="67"/>
    </row>
    <row r="154" spans="2:16" ht="15.5">
      <c r="B154" s="55"/>
      <c r="C154" s="67" t="s">
        <v>393</v>
      </c>
      <c r="D154" s="67" t="s">
        <v>1904</v>
      </c>
      <c r="E154" s="103" t="s">
        <v>1935</v>
      </c>
      <c r="F154" s="2565">
        <v>3.28</v>
      </c>
      <c r="G154" s="67"/>
      <c r="H154" s="67"/>
      <c r="I154" s="67"/>
      <c r="J154" s="67"/>
      <c r="K154" s="67"/>
      <c r="L154" s="67"/>
      <c r="M154" s="67"/>
      <c r="N154" s="67"/>
      <c r="O154" s="67"/>
      <c r="P154" s="67"/>
    </row>
    <row r="155" spans="2:16" ht="15.5">
      <c r="B155" s="55"/>
      <c r="C155" s="67" t="s">
        <v>393</v>
      </c>
      <c r="D155" s="67" t="s">
        <v>1905</v>
      </c>
      <c r="E155" s="103" t="s">
        <v>1935</v>
      </c>
      <c r="F155" s="2565">
        <v>1.72</v>
      </c>
      <c r="G155" s="67"/>
      <c r="H155" s="67"/>
      <c r="I155" s="67"/>
      <c r="J155" s="67"/>
      <c r="K155" s="67"/>
      <c r="L155" s="67"/>
      <c r="M155" s="67"/>
      <c r="N155" s="67"/>
      <c r="O155" s="67"/>
      <c r="P155" s="67"/>
    </row>
    <row r="156" spans="2:16" ht="15.5">
      <c r="B156" s="55"/>
      <c r="C156" s="67" t="s">
        <v>393</v>
      </c>
      <c r="D156" s="67" t="s">
        <v>1936</v>
      </c>
      <c r="E156" s="67" t="s">
        <v>1937</v>
      </c>
      <c r="F156" s="2565">
        <v>0.36499999999999999</v>
      </c>
      <c r="G156" s="67"/>
      <c r="H156" s="67"/>
      <c r="I156" s="67"/>
      <c r="J156" s="67"/>
      <c r="K156" s="67"/>
      <c r="L156" s="67"/>
      <c r="M156" s="67"/>
      <c r="N156" s="67"/>
      <c r="O156" s="67"/>
      <c r="P156" s="67"/>
    </row>
    <row r="157" spans="2:16" ht="15.5">
      <c r="B157" s="55"/>
      <c r="C157" s="67" t="s">
        <v>1907</v>
      </c>
      <c r="D157" s="67" t="s">
        <v>1908</v>
      </c>
      <c r="E157" s="67" t="s">
        <v>1938</v>
      </c>
      <c r="F157" s="350">
        <v>70</v>
      </c>
      <c r="G157" s="67"/>
      <c r="H157" s="67"/>
      <c r="I157" s="67"/>
      <c r="J157" s="67"/>
      <c r="K157" s="67"/>
      <c r="L157" s="67"/>
      <c r="M157" s="67"/>
      <c r="N157" s="67"/>
      <c r="O157" s="67"/>
      <c r="P157" s="67"/>
    </row>
    <row r="158" spans="2:16" ht="15.5">
      <c r="B158" s="55"/>
      <c r="C158" s="67" t="s">
        <v>1907</v>
      </c>
      <c r="D158" s="67" t="s">
        <v>1909</v>
      </c>
      <c r="E158" s="67" t="s">
        <v>1939</v>
      </c>
      <c r="F158" s="2565">
        <v>1.7</v>
      </c>
      <c r="G158" s="67"/>
      <c r="H158" s="67"/>
      <c r="I158" s="67"/>
      <c r="J158" s="67"/>
      <c r="K158" s="67"/>
      <c r="L158" s="67"/>
      <c r="M158" s="67"/>
      <c r="N158" s="67"/>
      <c r="O158" s="67"/>
      <c r="P158" s="67"/>
    </row>
    <row r="159" spans="2:16" ht="15.5">
      <c r="B159" s="55"/>
      <c r="C159" s="67" t="s">
        <v>1907</v>
      </c>
      <c r="D159" s="67" t="s">
        <v>1910</v>
      </c>
      <c r="E159" s="67" t="s">
        <v>1940</v>
      </c>
      <c r="F159" s="350">
        <v>5000</v>
      </c>
      <c r="G159" s="67"/>
      <c r="H159" s="67"/>
      <c r="I159" s="67"/>
      <c r="J159" s="67"/>
      <c r="K159" s="67"/>
      <c r="L159" s="67"/>
      <c r="M159" s="67"/>
      <c r="N159" s="67"/>
      <c r="O159" s="67"/>
      <c r="P159" s="67"/>
    </row>
    <row r="160" spans="2:16" ht="15.5">
      <c r="B160" s="55"/>
      <c r="C160" s="969" t="s">
        <v>1907</v>
      </c>
      <c r="D160" s="969" t="s">
        <v>1911</v>
      </c>
      <c r="E160" s="969" t="s">
        <v>1941</v>
      </c>
      <c r="F160" s="352">
        <v>298</v>
      </c>
      <c r="G160" s="67"/>
      <c r="H160" s="67"/>
      <c r="I160" s="67"/>
      <c r="J160" s="67"/>
      <c r="K160" s="67"/>
      <c r="L160" s="67"/>
      <c r="M160" s="67"/>
      <c r="N160" s="67"/>
      <c r="O160" s="67"/>
      <c r="P160" s="67"/>
    </row>
    <row r="161" spans="2:16">
      <c r="B161" s="105"/>
      <c r="C161" s="67"/>
      <c r="D161" s="67"/>
      <c r="E161" s="67"/>
      <c r="F161" s="67"/>
      <c r="G161" s="67"/>
      <c r="H161" s="67"/>
      <c r="I161" s="67"/>
      <c r="J161" s="67"/>
      <c r="K161" s="67"/>
      <c r="L161" s="67"/>
      <c r="M161" s="67"/>
      <c r="N161" s="67"/>
      <c r="O161" s="67"/>
      <c r="P161" s="67"/>
    </row>
    <row r="162" spans="2:16">
      <c r="B162" s="105"/>
      <c r="C162" s="49" t="s">
        <v>1942</v>
      </c>
      <c r="D162" s="67"/>
      <c r="E162" s="50"/>
      <c r="F162" s="51"/>
      <c r="G162" s="67"/>
      <c r="H162" s="67"/>
      <c r="I162" s="67"/>
      <c r="J162" s="67"/>
      <c r="K162" s="67"/>
      <c r="L162" s="67"/>
      <c r="M162" s="67"/>
      <c r="N162" s="67"/>
      <c r="O162" s="67"/>
      <c r="P162" s="67"/>
    </row>
    <row r="163" spans="2:16">
      <c r="B163" s="105"/>
      <c r="C163" s="67"/>
      <c r="D163" s="67"/>
      <c r="E163" s="67"/>
      <c r="F163" s="67"/>
      <c r="G163" s="67"/>
      <c r="H163" s="67"/>
      <c r="I163" s="67"/>
      <c r="J163" s="67"/>
      <c r="K163" s="67"/>
      <c r="L163" s="67"/>
      <c r="M163" s="67"/>
      <c r="N163" s="67"/>
      <c r="O163" s="67"/>
      <c r="P163" s="67"/>
    </row>
    <row r="164" spans="2:16" ht="15.5">
      <c r="B164" s="55"/>
      <c r="C164" s="878" t="s">
        <v>773</v>
      </c>
      <c r="D164" s="878" t="s">
        <v>71</v>
      </c>
      <c r="E164" s="878" t="s">
        <v>1447</v>
      </c>
      <c r="F164" s="900">
        <v>2013</v>
      </c>
      <c r="G164" s="67"/>
      <c r="H164" s="67"/>
      <c r="I164" s="67"/>
      <c r="J164" s="67"/>
      <c r="K164" s="67"/>
      <c r="L164" s="67"/>
      <c r="M164" s="67"/>
      <c r="N164" s="67"/>
      <c r="O164" s="67"/>
      <c r="P164" s="67"/>
    </row>
    <row r="165" spans="2:16" ht="15.5">
      <c r="B165" s="55"/>
      <c r="C165" s="65" t="s">
        <v>252</v>
      </c>
      <c r="D165" s="103" t="s">
        <v>1916</v>
      </c>
      <c r="E165" s="1256" t="s">
        <v>1943</v>
      </c>
      <c r="F165" s="59">
        <f>('EPA Emissions 2013'!F6+'EPA Emissions 2013'!F26+'EPA Emissions 2013'!F12)/(F$142+F$143+F$146)*1000</f>
        <v>1085.2444721270631</v>
      </c>
      <c r="G165" s="67"/>
      <c r="H165" s="3828" t="s">
        <v>3700</v>
      </c>
      <c r="I165" s="67"/>
      <c r="J165" s="67"/>
      <c r="K165" s="67"/>
      <c r="L165" s="67"/>
      <c r="M165" s="67"/>
      <c r="N165" s="67"/>
      <c r="O165" s="67"/>
      <c r="P165" s="67"/>
    </row>
    <row r="166" spans="2:16" ht="15.5">
      <c r="B166" s="55"/>
      <c r="C166" s="917" t="s">
        <v>252</v>
      </c>
      <c r="D166" s="194" t="s">
        <v>1918</v>
      </c>
      <c r="E166" s="194" t="s">
        <v>1944</v>
      </c>
      <c r="F166" s="1014">
        <f>(1000*('EPA Emissions 2013'!F28+'EPA Emissions 2013'!F38+'EPA Emissions 2013'!F36+'EPA Emissions 2013'!F37))/((F$142+F$143)*F$156*F$198)</f>
        <v>909.59425217725493</v>
      </c>
      <c r="G166" s="67"/>
      <c r="H166" s="3828" t="s">
        <v>3700</v>
      </c>
      <c r="I166" s="67"/>
      <c r="J166" s="67"/>
      <c r="K166" s="67"/>
      <c r="L166" s="67"/>
      <c r="M166" s="67"/>
      <c r="N166" s="67"/>
      <c r="O166" s="67"/>
      <c r="P166" s="67"/>
    </row>
    <row r="167" spans="2:16">
      <c r="B167" s="105"/>
      <c r="C167" s="67"/>
      <c r="D167" s="67"/>
      <c r="E167" s="67"/>
      <c r="F167" s="67"/>
      <c r="G167" s="67"/>
      <c r="H167" s="3828"/>
      <c r="I167" s="67"/>
      <c r="J167" s="67"/>
      <c r="K167" s="67"/>
      <c r="L167" s="67"/>
      <c r="M167" s="67"/>
      <c r="N167" s="67"/>
      <c r="O167" s="67"/>
      <c r="P167" s="67"/>
    </row>
    <row r="168" spans="2:16">
      <c r="B168" s="105"/>
      <c r="C168" s="49" t="s">
        <v>1945</v>
      </c>
      <c r="D168" s="67"/>
      <c r="E168" s="50"/>
      <c r="F168" s="51"/>
      <c r="G168" s="67"/>
      <c r="H168" s="3828" t="s">
        <v>5</v>
      </c>
      <c r="I168" s="67"/>
      <c r="J168" s="67"/>
      <c r="K168" s="67"/>
      <c r="L168" s="67"/>
      <c r="M168" s="67"/>
      <c r="N168" s="67"/>
      <c r="O168" s="67"/>
      <c r="P168" s="67"/>
    </row>
    <row r="169" spans="2:16">
      <c r="B169" s="105"/>
      <c r="C169" s="67"/>
      <c r="D169" s="67"/>
      <c r="E169" s="67"/>
      <c r="F169" s="67"/>
      <c r="G169" s="67"/>
      <c r="H169" s="3828"/>
      <c r="I169" s="67"/>
      <c r="J169" s="67"/>
      <c r="K169" s="67"/>
      <c r="L169" s="67"/>
      <c r="M169" s="67"/>
      <c r="N169" s="67"/>
      <c r="O169" s="67"/>
      <c r="P169" s="67"/>
    </row>
    <row r="170" spans="2:16" ht="15.5">
      <c r="B170" s="55"/>
      <c r="C170" s="878" t="s">
        <v>773</v>
      </c>
      <c r="D170" s="878" t="s">
        <v>71</v>
      </c>
      <c r="E170" s="878" t="s">
        <v>1447</v>
      </c>
      <c r="F170" s="900">
        <v>2013</v>
      </c>
      <c r="G170" s="67"/>
      <c r="H170" s="3828"/>
      <c r="I170" s="67"/>
      <c r="J170" s="67"/>
      <c r="K170" s="67"/>
      <c r="L170" s="67"/>
      <c r="M170" s="67"/>
      <c r="N170" s="67"/>
      <c r="O170" s="67"/>
      <c r="P170" s="67"/>
    </row>
    <row r="171" spans="2:16" ht="15.5">
      <c r="B171" s="55"/>
      <c r="C171" s="907" t="s">
        <v>253</v>
      </c>
      <c r="D171" s="908" t="s">
        <v>1946</v>
      </c>
      <c r="E171" s="1499" t="s">
        <v>251</v>
      </c>
      <c r="F171" s="2558">
        <f>'EPA Emissions 2013'!G7+'EPA Emissions 2013'!G31</f>
        <v>6.11327</v>
      </c>
      <c r="G171" s="67"/>
      <c r="H171" s="3828" t="s">
        <v>3700</v>
      </c>
      <c r="I171" s="67"/>
      <c r="J171" s="67"/>
      <c r="K171" s="67"/>
      <c r="L171" s="67"/>
      <c r="M171" s="67"/>
      <c r="N171" s="67"/>
      <c r="O171" s="67"/>
      <c r="P171" s="67"/>
    </row>
    <row r="172" spans="2:16">
      <c r="B172" s="105"/>
      <c r="C172" s="67"/>
      <c r="D172" s="67"/>
      <c r="E172" s="67"/>
      <c r="F172" s="67"/>
      <c r="G172" s="67"/>
      <c r="H172" s="3828"/>
      <c r="I172" s="67"/>
      <c r="J172" s="67"/>
      <c r="K172" s="67"/>
      <c r="L172" s="67"/>
      <c r="M172" s="67"/>
      <c r="N172" s="67"/>
      <c r="O172" s="67"/>
      <c r="P172" s="67"/>
    </row>
    <row r="173" spans="2:16">
      <c r="B173" s="105"/>
      <c r="C173" s="49" t="s">
        <v>1947</v>
      </c>
      <c r="D173" s="67"/>
      <c r="E173" s="67"/>
      <c r="F173" s="51" t="str">
        <f>"Mt CO2e / " &amp; Preferences.AreaUnits</f>
        <v>Mt CO2e / km^2</v>
      </c>
      <c r="G173" s="67"/>
      <c r="H173" s="3828" t="s">
        <v>5</v>
      </c>
      <c r="I173" s="67"/>
      <c r="J173" s="67"/>
      <c r="K173" s="67"/>
      <c r="L173" s="67"/>
      <c r="M173" s="67"/>
      <c r="N173" s="67"/>
      <c r="O173" s="67"/>
      <c r="P173" s="67"/>
    </row>
    <row r="174" spans="2:16">
      <c r="B174" s="105"/>
      <c r="C174" s="67"/>
      <c r="D174" s="67"/>
      <c r="E174" s="67"/>
      <c r="F174" s="67"/>
      <c r="G174" s="67"/>
      <c r="H174" s="3828"/>
      <c r="I174" s="67"/>
      <c r="J174" s="67"/>
      <c r="K174" s="67"/>
      <c r="L174" s="67"/>
      <c r="M174" s="67"/>
      <c r="N174" s="67"/>
      <c r="O174" s="67"/>
      <c r="P174" s="67"/>
    </row>
    <row r="175" spans="2:16" ht="15.5">
      <c r="B175" s="55"/>
      <c r="C175" s="878" t="s">
        <v>302</v>
      </c>
      <c r="D175" s="878" t="s">
        <v>71</v>
      </c>
      <c r="E175" s="878" t="s">
        <v>30</v>
      </c>
      <c r="F175" s="900">
        <v>2013</v>
      </c>
      <c r="G175" s="67"/>
      <c r="H175" s="3828"/>
      <c r="I175" s="67"/>
      <c r="J175" s="67"/>
      <c r="K175" s="67"/>
      <c r="L175" s="67"/>
      <c r="M175" s="67"/>
      <c r="N175" s="67"/>
      <c r="O175" s="67"/>
      <c r="P175" s="67"/>
    </row>
    <row r="176" spans="2:16" ht="15.5">
      <c r="B176" s="55"/>
      <c r="C176" s="65" t="s">
        <v>1948</v>
      </c>
      <c r="D176" s="103" t="s">
        <v>1949</v>
      </c>
      <c r="E176" s="1256"/>
      <c r="F176" s="883">
        <f>'EPA Emissions 2013'!G34/(F$20+F$21)</f>
        <v>-3.1204932773828895E-5</v>
      </c>
      <c r="G176" s="67"/>
      <c r="H176" s="3828" t="s">
        <v>3700</v>
      </c>
      <c r="I176" s="67"/>
      <c r="J176" s="67"/>
      <c r="K176" s="67"/>
      <c r="L176" s="67"/>
      <c r="M176" s="67"/>
      <c r="N176" s="67"/>
      <c r="O176" s="67"/>
      <c r="P176" s="67"/>
    </row>
    <row r="177" spans="2:16" ht="15.5">
      <c r="B177" s="55"/>
      <c r="C177" s="917" t="s">
        <v>1950</v>
      </c>
      <c r="D177" s="194" t="s">
        <v>1951</v>
      </c>
      <c r="E177" s="1310"/>
      <c r="F177" s="1148">
        <f>('EPA Emissions 2013'!G8+'EPA Emissions 2013'!G33)/F$24</f>
        <v>1.5282926829268293E-4</v>
      </c>
      <c r="G177" s="67"/>
      <c r="H177" s="3828" t="s">
        <v>3700</v>
      </c>
      <c r="I177" s="67"/>
      <c r="J177" s="67"/>
      <c r="K177" s="67"/>
      <c r="L177" s="67"/>
      <c r="M177" s="67"/>
      <c r="N177" s="67"/>
      <c r="O177" s="67"/>
      <c r="P177" s="67"/>
    </row>
    <row r="178" spans="2:16" ht="15.5">
      <c r="B178" s="55"/>
      <c r="C178" s="65"/>
      <c r="D178" s="103"/>
      <c r="E178" s="1256"/>
      <c r="F178" s="59"/>
      <c r="G178" s="67"/>
      <c r="H178" s="3828" t="s">
        <v>5</v>
      </c>
      <c r="I178" s="67"/>
      <c r="J178" s="67"/>
      <c r="K178" s="67"/>
      <c r="L178" s="67"/>
      <c r="M178" s="67"/>
      <c r="N178" s="67"/>
      <c r="O178" s="67"/>
      <c r="P178" s="67"/>
    </row>
    <row r="179" spans="2:16" ht="15.5">
      <c r="B179" s="55"/>
      <c r="C179" s="49" t="s">
        <v>1952</v>
      </c>
      <c r="D179" s="67"/>
      <c r="E179" s="67"/>
      <c r="F179" s="51" t="str">
        <f>"Mt CO2e / " &amp; Preferences.AreaUnits</f>
        <v>Mt CO2e / km^2</v>
      </c>
      <c r="G179" s="67"/>
      <c r="H179" s="3828" t="s">
        <v>5</v>
      </c>
      <c r="I179" s="67"/>
      <c r="J179" s="67"/>
      <c r="K179" s="67"/>
      <c r="L179" s="67"/>
      <c r="M179" s="67"/>
      <c r="N179" s="67"/>
      <c r="O179" s="67"/>
      <c r="P179" s="67"/>
    </row>
    <row r="180" spans="2:16" ht="15.5">
      <c r="B180" s="55"/>
      <c r="C180" s="67"/>
      <c r="D180" s="67"/>
      <c r="E180" s="67"/>
      <c r="F180" s="67"/>
      <c r="G180" s="67"/>
      <c r="H180" s="3828"/>
      <c r="I180" s="67"/>
      <c r="J180" s="67"/>
      <c r="K180" s="67"/>
      <c r="L180" s="67"/>
      <c r="M180" s="67"/>
      <c r="N180" s="67"/>
      <c r="O180" s="67"/>
      <c r="P180" s="67"/>
    </row>
    <row r="181" spans="2:16" ht="15.5">
      <c r="B181" s="55"/>
      <c r="C181" s="878" t="s">
        <v>302</v>
      </c>
      <c r="D181" s="878" t="s">
        <v>71</v>
      </c>
      <c r="E181" s="878" t="s">
        <v>30</v>
      </c>
      <c r="F181" s="900">
        <v>2013</v>
      </c>
      <c r="G181" s="67"/>
      <c r="H181" s="3828"/>
      <c r="I181" s="67"/>
      <c r="J181" s="67"/>
      <c r="K181" s="67"/>
      <c r="L181" s="67"/>
      <c r="M181" s="67"/>
      <c r="N181" s="67"/>
      <c r="O181" s="67"/>
      <c r="P181" s="67"/>
    </row>
    <row r="182" spans="2:16" ht="15.5">
      <c r="B182" s="55"/>
      <c r="C182" s="916" t="s">
        <v>1953</v>
      </c>
      <c r="D182" s="916" t="s">
        <v>1894</v>
      </c>
      <c r="E182" s="916"/>
      <c r="F182" s="2566">
        <f>0/F25</f>
        <v>0</v>
      </c>
      <c r="G182" s="67"/>
      <c r="H182" s="3828" t="s">
        <v>3700</v>
      </c>
      <c r="I182" s="67"/>
      <c r="J182" s="67"/>
      <c r="K182" s="67"/>
      <c r="L182" s="67"/>
      <c r="M182" s="67"/>
      <c r="N182" s="67"/>
      <c r="O182" s="67"/>
      <c r="P182" s="67"/>
    </row>
    <row r="183" spans="2:16" ht="15.5">
      <c r="B183" s="55"/>
      <c r="C183" s="969" t="s">
        <v>1954</v>
      </c>
      <c r="D183" s="969" t="s">
        <v>402</v>
      </c>
      <c r="E183" s="969" t="s">
        <v>3788</v>
      </c>
      <c r="F183" s="2567">
        <f>('EPA Emissions 2013'!G14)/F27</f>
        <v>1.8842233747382796E-4</v>
      </c>
      <c r="G183" s="67"/>
      <c r="H183" s="3828" t="s">
        <v>3700</v>
      </c>
      <c r="I183" s="67"/>
      <c r="J183" s="67"/>
      <c r="K183" s="67"/>
      <c r="L183" s="67"/>
      <c r="M183" s="67"/>
      <c r="N183" s="67"/>
      <c r="O183" s="67"/>
      <c r="P183" s="67"/>
    </row>
    <row r="184" spans="2:16">
      <c r="B184" s="105"/>
      <c r="C184" s="67"/>
      <c r="D184" s="67"/>
      <c r="E184" s="67"/>
      <c r="F184" s="67"/>
      <c r="G184" s="67"/>
      <c r="H184" s="67"/>
      <c r="I184" s="67"/>
      <c r="J184" s="67"/>
      <c r="K184" s="67"/>
      <c r="L184" s="67"/>
      <c r="M184" s="67"/>
      <c r="N184" s="67"/>
      <c r="O184" s="67"/>
      <c r="P184" s="67"/>
    </row>
    <row r="185" spans="2:16">
      <c r="B185" s="105"/>
      <c r="C185" s="49" t="s">
        <v>1955</v>
      </c>
      <c r="D185" s="67"/>
      <c r="E185" s="67"/>
      <c r="F185" s="51" t="str">
        <f>Preferences.EnergyUnits &amp; " / million odt"</f>
        <v>TWh / million odt</v>
      </c>
      <c r="G185" s="67"/>
      <c r="H185" s="67"/>
      <c r="I185" s="67"/>
      <c r="J185" s="67"/>
      <c r="K185" s="67"/>
      <c r="L185" s="67"/>
      <c r="M185" s="67"/>
      <c r="N185" s="67"/>
      <c r="O185" s="67"/>
      <c r="P185" s="876"/>
    </row>
    <row r="186" spans="2:16">
      <c r="B186" s="105"/>
      <c r="C186" s="67"/>
      <c r="D186" s="67"/>
      <c r="E186" s="67"/>
      <c r="F186" s="67"/>
      <c r="G186" s="67"/>
      <c r="H186" s="67"/>
      <c r="I186" s="67"/>
      <c r="J186" s="67"/>
      <c r="K186" s="67"/>
      <c r="L186" s="67"/>
      <c r="M186" s="67"/>
      <c r="N186" s="67"/>
      <c r="O186" s="67"/>
      <c r="P186" s="876"/>
    </row>
    <row r="187" spans="2:16" ht="15.5">
      <c r="B187" s="55"/>
      <c r="C187" s="878" t="s">
        <v>773</v>
      </c>
      <c r="D187" s="878" t="s">
        <v>71</v>
      </c>
      <c r="E187" s="878" t="s">
        <v>30</v>
      </c>
      <c r="F187" s="900">
        <v>2013</v>
      </c>
      <c r="G187" s="67"/>
      <c r="H187" s="67"/>
      <c r="I187" s="67"/>
      <c r="J187" s="67"/>
      <c r="K187" s="67"/>
      <c r="L187" s="67"/>
      <c r="M187" s="67"/>
      <c r="N187" s="67"/>
      <c r="O187" s="67"/>
      <c r="P187" s="876"/>
    </row>
    <row r="188" spans="2:16" ht="15.5">
      <c r="B188" s="55"/>
      <c r="C188" s="65">
        <v>1</v>
      </c>
      <c r="D188" s="103" t="s">
        <v>1956</v>
      </c>
      <c r="E188" s="1256"/>
      <c r="F188" s="2639">
        <f>5.3*Unit.GJ * 1000000</f>
        <v>1.4722222222222221</v>
      </c>
      <c r="G188" s="67"/>
      <c r="H188" s="67"/>
      <c r="I188" s="67"/>
      <c r="J188" s="67"/>
      <c r="K188" s="67"/>
      <c r="L188" s="67"/>
      <c r="M188" s="67"/>
      <c r="N188" s="67"/>
      <c r="O188" s="67"/>
      <c r="P188" s="876"/>
    </row>
    <row r="189" spans="2:16" ht="15.5">
      <c r="B189" s="55"/>
      <c r="C189" s="65">
        <v>2</v>
      </c>
      <c r="D189" s="103" t="s">
        <v>1902</v>
      </c>
      <c r="E189" s="1256"/>
      <c r="F189" s="2639">
        <f>14*Unit.GJ *1000000</f>
        <v>3.8888888888888888</v>
      </c>
      <c r="G189" s="67"/>
      <c r="H189" s="67"/>
      <c r="I189" s="67"/>
      <c r="J189" s="67"/>
      <c r="K189" s="67"/>
      <c r="L189" s="67"/>
      <c r="M189" s="67"/>
      <c r="N189" s="67"/>
      <c r="O189" s="67"/>
      <c r="P189" s="876"/>
    </row>
    <row r="190" spans="2:16" ht="15.5">
      <c r="B190" s="55"/>
      <c r="C190" s="65">
        <v>3</v>
      </c>
      <c r="D190" s="103" t="s">
        <v>1903</v>
      </c>
      <c r="E190" s="103"/>
      <c r="F190" s="2639">
        <f>18.5*Unit.GJ *1000000</f>
        <v>5.1388888888888884</v>
      </c>
      <c r="G190" s="67"/>
      <c r="H190" s="67"/>
      <c r="I190" s="67"/>
      <c r="J190" s="67"/>
      <c r="K190" s="67"/>
      <c r="L190" s="67"/>
      <c r="M190" s="67"/>
      <c r="N190" s="67"/>
      <c r="O190" s="67"/>
      <c r="P190" s="876"/>
    </row>
    <row r="191" spans="2:16" ht="15.5">
      <c r="B191" s="55"/>
      <c r="C191" s="65">
        <v>4</v>
      </c>
      <c r="D191" s="103" t="s">
        <v>1957</v>
      </c>
      <c r="E191" s="103"/>
      <c r="F191" s="2639">
        <f>15*Unit.GJ *1000000</f>
        <v>4.1666666666666661</v>
      </c>
      <c r="G191" s="67"/>
      <c r="H191" s="67"/>
      <c r="I191" s="67"/>
      <c r="J191" s="67"/>
      <c r="K191" s="67"/>
      <c r="L191" s="67"/>
      <c r="M191" s="67"/>
      <c r="N191" s="67"/>
      <c r="O191" s="67"/>
      <c r="P191" s="876"/>
    </row>
    <row r="192" spans="2:16" ht="15.5">
      <c r="B192" s="55"/>
      <c r="C192" s="65">
        <v>5</v>
      </c>
      <c r="D192" s="103" t="s">
        <v>1958</v>
      </c>
      <c r="E192" s="103"/>
      <c r="F192" s="2639">
        <f>18.6*Unit.GJ *1000000</f>
        <v>5.166666666666667</v>
      </c>
      <c r="G192" s="67"/>
      <c r="H192" s="67"/>
      <c r="I192" s="67"/>
      <c r="J192" s="67"/>
      <c r="K192" s="67"/>
      <c r="L192" s="67"/>
      <c r="M192" s="67"/>
      <c r="N192" s="67"/>
      <c r="O192" s="67"/>
      <c r="P192" s="876"/>
    </row>
    <row r="193" spans="2:16" ht="15.5">
      <c r="B193" s="55"/>
      <c r="C193" s="887">
        <v>6</v>
      </c>
      <c r="D193" s="888" t="s">
        <v>1959</v>
      </c>
      <c r="E193" s="888"/>
      <c r="F193" s="2640">
        <f>18.6*Unit.GJ *1000000</f>
        <v>5.166666666666667</v>
      </c>
      <c r="G193" s="67"/>
      <c r="H193" s="67"/>
      <c r="I193" s="67"/>
      <c r="J193" s="67"/>
      <c r="K193" s="67"/>
      <c r="L193" s="67"/>
      <c r="M193" s="67"/>
      <c r="N193" s="67"/>
      <c r="O193" s="67"/>
      <c r="P193" s="876"/>
    </row>
    <row r="194" spans="2:16">
      <c r="B194" s="105"/>
      <c r="C194" s="67"/>
      <c r="D194" s="67"/>
      <c r="E194" s="67"/>
      <c r="F194" s="67"/>
      <c r="G194" s="67"/>
      <c r="H194" s="67"/>
      <c r="I194" s="67"/>
      <c r="J194" s="67"/>
      <c r="K194" s="67"/>
      <c r="L194" s="67"/>
      <c r="M194" s="67"/>
      <c r="N194" s="67"/>
      <c r="O194" s="67"/>
      <c r="P194" s="876"/>
    </row>
    <row r="195" spans="2:16">
      <c r="B195" s="105"/>
      <c r="C195" s="49" t="s">
        <v>1960</v>
      </c>
      <c r="D195" s="67"/>
      <c r="E195" s="67"/>
      <c r="F195" s="67"/>
      <c r="G195" s="67"/>
      <c r="H195" s="67"/>
      <c r="I195" s="67"/>
      <c r="J195" s="67"/>
      <c r="K195" s="67"/>
      <c r="L195" s="67"/>
      <c r="M195" s="67"/>
      <c r="N195" s="67"/>
      <c r="O195" s="67"/>
      <c r="P195" s="876"/>
    </row>
    <row r="196" spans="2:16">
      <c r="B196" s="105"/>
      <c r="C196" s="49"/>
      <c r="D196" s="67"/>
      <c r="E196" s="67"/>
      <c r="F196" s="67"/>
      <c r="G196" s="67"/>
      <c r="H196" s="67"/>
      <c r="I196" s="67"/>
      <c r="J196" s="67"/>
      <c r="K196" s="67"/>
      <c r="L196" s="67"/>
      <c r="M196" s="67"/>
      <c r="N196" s="67"/>
      <c r="O196" s="67"/>
      <c r="P196" s="876"/>
    </row>
    <row r="197" spans="2:16" ht="15.5">
      <c r="B197" s="55"/>
      <c r="C197" s="878" t="s">
        <v>773</v>
      </c>
      <c r="D197" s="878" t="s">
        <v>71</v>
      </c>
      <c r="E197" s="878" t="s">
        <v>30</v>
      </c>
      <c r="F197" s="900">
        <v>2013</v>
      </c>
      <c r="G197" s="67"/>
      <c r="H197" s="67"/>
      <c r="I197" s="67"/>
      <c r="J197" s="67"/>
      <c r="K197" s="67"/>
      <c r="L197" s="67"/>
      <c r="M197" s="67"/>
      <c r="N197" s="67"/>
      <c r="O197" s="67"/>
      <c r="P197" s="876"/>
    </row>
    <row r="198" spans="2:16" ht="15.5">
      <c r="B198" s="55"/>
      <c r="C198" s="907" t="s">
        <v>1959</v>
      </c>
      <c r="D198" s="908" t="s">
        <v>1961</v>
      </c>
      <c r="E198" s="1499"/>
      <c r="F198" s="910">
        <v>0.65</v>
      </c>
      <c r="G198" s="67"/>
      <c r="H198" s="67"/>
      <c r="I198" s="67"/>
      <c r="J198" s="67"/>
      <c r="K198" s="67"/>
      <c r="L198" s="67"/>
      <c r="M198" s="67"/>
      <c r="N198" s="67"/>
      <c r="O198" s="67"/>
      <c r="P198" s="876"/>
    </row>
    <row r="199" spans="2:16">
      <c r="B199" s="105"/>
      <c r="C199" s="49"/>
      <c r="D199" s="67"/>
      <c r="E199" s="67"/>
      <c r="F199" s="67"/>
      <c r="G199" s="67"/>
      <c r="H199" s="67"/>
      <c r="I199" s="67"/>
      <c r="J199" s="67"/>
      <c r="K199" s="67"/>
      <c r="L199" s="67"/>
      <c r="M199" s="67"/>
      <c r="N199" s="67"/>
      <c r="O199" s="67"/>
      <c r="P199" s="876"/>
    </row>
    <row r="200" spans="2:16">
      <c r="B200" s="105"/>
      <c r="C200" s="49" t="s">
        <v>1962</v>
      </c>
      <c r="D200" s="67"/>
      <c r="E200" s="67"/>
      <c r="F200" s="51" t="str">
        <f>Preferences.AreaUnits</f>
        <v>km^2</v>
      </c>
      <c r="G200" s="67"/>
      <c r="H200" s="67"/>
      <c r="I200" s="67"/>
      <c r="J200" s="67"/>
      <c r="K200" s="67"/>
      <c r="L200" s="67"/>
      <c r="M200" s="67"/>
      <c r="N200" s="67"/>
      <c r="O200" s="67"/>
      <c r="P200" s="876"/>
    </row>
    <row r="201" spans="2:16">
      <c r="B201" s="105"/>
      <c r="C201" s="49"/>
      <c r="D201" s="67"/>
      <c r="E201" s="67"/>
      <c r="F201" s="67"/>
      <c r="G201" s="67"/>
      <c r="H201" s="67"/>
      <c r="I201" s="67"/>
      <c r="J201" s="67"/>
      <c r="K201" s="67"/>
      <c r="L201" s="67"/>
      <c r="M201" s="67"/>
      <c r="N201" s="67"/>
      <c r="O201" s="67"/>
      <c r="P201" s="876"/>
    </row>
    <row r="202" spans="2:16" ht="15.5">
      <c r="B202" s="55"/>
      <c r="C202" s="878" t="s">
        <v>773</v>
      </c>
      <c r="D202" s="878" t="s">
        <v>71</v>
      </c>
      <c r="E202" s="878" t="s">
        <v>30</v>
      </c>
      <c r="F202" s="900">
        <v>2013</v>
      </c>
      <c r="G202" s="67"/>
      <c r="H202" s="67"/>
      <c r="I202" s="67"/>
      <c r="J202" s="67"/>
      <c r="K202" s="67"/>
      <c r="L202" s="67"/>
      <c r="M202" s="67"/>
      <c r="N202" s="67"/>
      <c r="O202" s="67"/>
      <c r="P202" s="876"/>
    </row>
    <row r="203" spans="2:16" ht="15.5">
      <c r="B203" s="55"/>
      <c r="C203" s="907" t="s">
        <v>1896</v>
      </c>
      <c r="D203" s="908" t="s">
        <v>1963</v>
      </c>
      <c r="E203" s="1499"/>
      <c r="F203" s="2568">
        <v>0</v>
      </c>
      <c r="G203" s="67"/>
      <c r="H203" s="67"/>
      <c r="I203" s="67"/>
      <c r="J203" s="67"/>
      <c r="K203" s="67"/>
      <c r="L203" s="67"/>
      <c r="M203" s="67"/>
      <c r="N203" s="67"/>
      <c r="O203" s="67"/>
      <c r="P203" s="876"/>
    </row>
    <row r="204" spans="2:16">
      <c r="B204" s="105"/>
      <c r="C204" s="49"/>
      <c r="D204" s="67"/>
      <c r="E204" s="67"/>
      <c r="F204" s="67"/>
      <c r="G204" s="67"/>
      <c r="H204" s="67"/>
      <c r="I204" s="67"/>
      <c r="J204" s="67"/>
      <c r="K204" s="67"/>
      <c r="L204" s="67"/>
      <c r="M204" s="67"/>
      <c r="N204" s="67"/>
      <c r="O204" s="67"/>
      <c r="P204" s="876"/>
    </row>
    <row r="205" spans="2:16">
      <c r="B205" s="105"/>
      <c r="C205" s="49" t="s">
        <v>1964</v>
      </c>
      <c r="D205" s="67"/>
      <c r="E205" s="50"/>
      <c r="F205" s="51" t="s">
        <v>42</v>
      </c>
      <c r="G205" s="67"/>
      <c r="H205" s="67"/>
      <c r="I205" s="67"/>
      <c r="J205" s="67"/>
      <c r="K205" s="67"/>
      <c r="L205" s="67"/>
      <c r="M205" s="67"/>
      <c r="N205" s="67"/>
      <c r="O205" s="67"/>
      <c r="P205" s="876"/>
    </row>
    <row r="206" spans="2:16">
      <c r="B206" s="105"/>
      <c r="C206" s="67"/>
      <c r="D206" s="67"/>
      <c r="E206" s="67"/>
      <c r="F206" s="67"/>
      <c r="G206" s="67"/>
      <c r="H206" s="67"/>
      <c r="I206" s="67"/>
      <c r="J206" s="67"/>
      <c r="K206" s="67"/>
      <c r="L206" s="67"/>
      <c r="M206" s="67"/>
      <c r="N206" s="67"/>
      <c r="O206" s="67"/>
      <c r="P206" s="876"/>
    </row>
    <row r="207" spans="2:16" ht="15.5">
      <c r="B207" s="55"/>
      <c r="C207" s="878" t="s">
        <v>131</v>
      </c>
      <c r="D207" s="878" t="s">
        <v>71</v>
      </c>
      <c r="E207" s="878" t="s">
        <v>30</v>
      </c>
      <c r="F207" s="900">
        <v>2013</v>
      </c>
      <c r="G207" s="67"/>
      <c r="H207" s="67"/>
      <c r="I207" s="67"/>
      <c r="J207" s="67"/>
      <c r="K207" s="67"/>
      <c r="L207" s="67"/>
      <c r="M207" s="67"/>
      <c r="N207" s="67"/>
      <c r="O207" s="67"/>
      <c r="P207" s="876"/>
    </row>
    <row r="208" spans="2:16" ht="15.5">
      <c r="B208" s="55"/>
      <c r="C208" s="907" t="s">
        <v>98</v>
      </c>
      <c r="D208" s="908" t="s">
        <v>88</v>
      </c>
      <c r="E208" s="1499"/>
      <c r="F208" s="910">
        <v>0.31</v>
      </c>
      <c r="G208" s="67"/>
      <c r="H208" s="67"/>
      <c r="I208" s="67"/>
      <c r="J208" s="67"/>
      <c r="K208" s="67"/>
      <c r="L208" s="67"/>
      <c r="M208" s="67"/>
      <c r="N208" s="67"/>
      <c r="O208" s="67"/>
      <c r="P208" s="876"/>
    </row>
    <row r="209" spans="2:16">
      <c r="B209" s="105"/>
      <c r="C209" s="49"/>
      <c r="D209" s="67"/>
      <c r="E209" s="67"/>
      <c r="F209" s="67"/>
      <c r="G209" s="67"/>
      <c r="H209" s="67"/>
      <c r="I209" s="67"/>
      <c r="J209" s="67"/>
      <c r="K209" s="67"/>
      <c r="L209" s="67"/>
      <c r="M209" s="67"/>
      <c r="N209" s="67"/>
      <c r="O209" s="67"/>
      <c r="P209" s="876"/>
    </row>
    <row r="210" spans="2:16">
      <c r="B210" s="105"/>
      <c r="C210" s="49" t="s">
        <v>1965</v>
      </c>
      <c r="D210" s="67"/>
      <c r="E210" s="50"/>
      <c r="F210" s="51" t="str">
        <f>Preferences.EnergyUnits</f>
        <v>TWh</v>
      </c>
      <c r="G210" s="67"/>
      <c r="H210" s="67"/>
      <c r="I210" s="67"/>
      <c r="J210" s="67"/>
      <c r="K210" s="67"/>
      <c r="L210" s="67"/>
      <c r="M210" s="67"/>
      <c r="N210" s="67"/>
      <c r="O210" s="67"/>
      <c r="P210" s="876"/>
    </row>
    <row r="211" spans="2:16">
      <c r="B211" s="105"/>
      <c r="C211" s="67"/>
      <c r="D211" s="67"/>
      <c r="E211" s="67"/>
      <c r="F211" s="67"/>
      <c r="G211" s="67"/>
      <c r="H211" s="67"/>
      <c r="I211" s="67"/>
      <c r="J211" s="67"/>
      <c r="K211" s="67"/>
      <c r="L211" s="67"/>
      <c r="M211" s="67"/>
      <c r="N211" s="67"/>
      <c r="O211" s="67"/>
      <c r="P211" s="876"/>
    </row>
    <row r="212" spans="2:16" ht="15.5">
      <c r="B212" s="55"/>
      <c r="C212" s="878" t="s">
        <v>131</v>
      </c>
      <c r="D212" s="878" t="s">
        <v>71</v>
      </c>
      <c r="E212" s="878" t="s">
        <v>30</v>
      </c>
      <c r="F212" s="900">
        <v>2013</v>
      </c>
      <c r="G212" s="67"/>
      <c r="H212" s="67"/>
      <c r="I212" s="67"/>
      <c r="J212" s="67"/>
      <c r="K212" s="67"/>
      <c r="L212" s="67"/>
      <c r="M212" s="67"/>
      <c r="N212" s="67"/>
      <c r="O212" s="67"/>
      <c r="P212" s="876"/>
    </row>
    <row r="213" spans="2:16" ht="15.5">
      <c r="B213" s="55"/>
      <c r="C213" s="1083" t="s">
        <v>1966</v>
      </c>
      <c r="D213" s="1083" t="s">
        <v>1966</v>
      </c>
      <c r="E213" s="1306"/>
      <c r="F213" s="1658">
        <f>(Unit.TWh)*1.61</f>
        <v>1.61</v>
      </c>
      <c r="G213" s="67"/>
      <c r="H213" s="3842" t="s">
        <v>3016</v>
      </c>
      <c r="I213" s="67"/>
      <c r="J213" s="67"/>
      <c r="K213" s="67"/>
      <c r="L213" s="67"/>
      <c r="M213" s="67"/>
      <c r="N213" s="67"/>
      <c r="O213" s="67"/>
      <c r="P213" s="876"/>
    </row>
    <row r="214" spans="2:16" ht="15.5">
      <c r="B214" s="55"/>
      <c r="C214" s="65" t="s">
        <v>1967</v>
      </c>
      <c r="D214" s="65" t="s">
        <v>1967</v>
      </c>
      <c r="E214" s="1256"/>
      <c r="F214" s="883">
        <f>(Unit.TWh)*0.3</f>
        <v>0.3</v>
      </c>
      <c r="G214" s="67"/>
      <c r="H214" s="3828"/>
      <c r="I214" s="67"/>
      <c r="J214" s="67"/>
      <c r="K214" s="67"/>
      <c r="L214" s="67"/>
      <c r="M214" s="67"/>
      <c r="N214" s="67"/>
      <c r="O214" s="67"/>
      <c r="P214" s="876"/>
    </row>
    <row r="215" spans="2:16" ht="15.5">
      <c r="B215" s="55"/>
      <c r="C215" s="917" t="s">
        <v>1968</v>
      </c>
      <c r="D215" s="917" t="s">
        <v>1968</v>
      </c>
      <c r="E215" s="1310"/>
      <c r="F215" s="1148">
        <f>(Unit.TWh)*0.7</f>
        <v>0.7</v>
      </c>
      <c r="G215" s="67"/>
      <c r="H215" s="3828"/>
      <c r="I215" s="67"/>
      <c r="J215" s="67"/>
      <c r="K215" s="67"/>
      <c r="L215" s="67"/>
      <c r="M215" s="67"/>
      <c r="N215" s="67"/>
      <c r="O215" s="67"/>
      <c r="P215" s="876"/>
    </row>
    <row r="216" spans="2:16">
      <c r="B216" s="105"/>
      <c r="C216" s="49"/>
      <c r="D216" s="67"/>
      <c r="E216" s="67"/>
      <c r="F216" s="2565"/>
      <c r="G216" s="67"/>
      <c r="H216" s="3828"/>
      <c r="I216" s="67"/>
      <c r="J216" s="67"/>
      <c r="K216" s="67"/>
      <c r="L216" s="67"/>
      <c r="M216" s="67"/>
      <c r="N216" s="67"/>
      <c r="O216" s="67"/>
      <c r="P216" s="876"/>
    </row>
    <row r="217" spans="2:16">
      <c r="B217" s="105"/>
      <c r="C217" s="49" t="s">
        <v>1969</v>
      </c>
      <c r="D217" s="67"/>
      <c r="E217" s="50"/>
      <c r="F217" s="51" t="s">
        <v>42</v>
      </c>
      <c r="G217" s="67"/>
      <c r="H217" s="3828"/>
      <c r="I217" s="67"/>
      <c r="J217" s="67"/>
      <c r="K217" s="67"/>
      <c r="L217" s="67"/>
      <c r="M217" s="67"/>
      <c r="N217" s="67"/>
      <c r="O217" s="67"/>
      <c r="P217" s="876"/>
    </row>
    <row r="218" spans="2:16">
      <c r="B218" s="105"/>
      <c r="C218" s="67"/>
      <c r="D218" s="67"/>
      <c r="E218" s="67"/>
      <c r="F218" s="67"/>
      <c r="G218" s="67"/>
      <c r="H218" s="3828"/>
      <c r="I218" s="67"/>
      <c r="J218" s="67"/>
      <c r="K218" s="67"/>
      <c r="L218" s="67"/>
      <c r="M218" s="67"/>
      <c r="N218" s="67"/>
      <c r="O218" s="67"/>
      <c r="P218" s="876"/>
    </row>
    <row r="219" spans="2:16" ht="15.5">
      <c r="B219" s="55"/>
      <c r="C219" s="878" t="s">
        <v>131</v>
      </c>
      <c r="D219" s="878" t="s">
        <v>71</v>
      </c>
      <c r="E219" s="878" t="s">
        <v>30</v>
      </c>
      <c r="F219" s="900">
        <v>2013</v>
      </c>
      <c r="G219" s="67"/>
      <c r="H219" s="3828"/>
      <c r="I219" s="67"/>
      <c r="J219" s="67"/>
      <c r="K219" s="67"/>
      <c r="L219" s="67"/>
      <c r="M219" s="67"/>
      <c r="N219" s="67"/>
      <c r="O219" s="67"/>
      <c r="P219" s="876"/>
    </row>
    <row r="220" spans="2:16" ht="15.5">
      <c r="B220" s="55"/>
      <c r="C220" s="1083" t="s">
        <v>95</v>
      </c>
      <c r="D220" s="1083" t="s">
        <v>85</v>
      </c>
      <c r="E220" s="1306"/>
      <c r="F220" s="1201">
        <v>0.21</v>
      </c>
      <c r="G220" s="67"/>
      <c r="H220" s="3828" t="s">
        <v>1032</v>
      </c>
      <c r="I220" s="67"/>
      <c r="J220" s="67"/>
      <c r="K220" s="67"/>
      <c r="L220" s="67"/>
      <c r="M220" s="67"/>
      <c r="N220" s="67"/>
      <c r="O220" s="67"/>
      <c r="P220" s="876"/>
    </row>
    <row r="221" spans="2:16" ht="15.5">
      <c r="B221" s="55"/>
      <c r="C221" s="65" t="s">
        <v>97</v>
      </c>
      <c r="D221" s="65" t="s">
        <v>87</v>
      </c>
      <c r="E221" s="1256"/>
      <c r="F221" s="88">
        <v>0</v>
      </c>
      <c r="G221" s="67"/>
      <c r="H221" s="67"/>
      <c r="I221" s="67"/>
      <c r="J221" s="67"/>
      <c r="K221" s="67"/>
      <c r="L221" s="67"/>
      <c r="M221" s="67"/>
      <c r="N221" s="67"/>
      <c r="O221" s="67"/>
      <c r="P221" s="876"/>
    </row>
    <row r="222" spans="2:16" ht="15.5">
      <c r="B222" s="55"/>
      <c r="C222" s="65" t="s">
        <v>98</v>
      </c>
      <c r="D222" s="65" t="s">
        <v>88</v>
      </c>
      <c r="E222" s="1256"/>
      <c r="F222" s="88">
        <v>0.79</v>
      </c>
      <c r="G222" s="67"/>
      <c r="H222" s="67"/>
      <c r="I222" s="67"/>
      <c r="J222" s="67"/>
      <c r="K222" s="67"/>
      <c r="L222" s="67"/>
      <c r="M222" s="67"/>
      <c r="N222" s="67"/>
      <c r="O222" s="67"/>
      <c r="P222" s="876"/>
    </row>
    <row r="223" spans="2:16" ht="15.5">
      <c r="B223" s="55"/>
      <c r="C223" s="917" t="s">
        <v>99</v>
      </c>
      <c r="D223" s="917" t="s">
        <v>89</v>
      </c>
      <c r="E223" s="1310"/>
      <c r="F223" s="142">
        <v>0</v>
      </c>
      <c r="G223" s="67"/>
      <c r="H223" s="67"/>
      <c r="I223" s="67"/>
      <c r="J223" s="67"/>
      <c r="K223" s="67"/>
      <c r="L223" s="67"/>
      <c r="M223" s="67"/>
      <c r="N223" s="67"/>
      <c r="O223" s="67"/>
      <c r="P223" s="67"/>
    </row>
    <row r="224" spans="2:16">
      <c r="B224" s="105"/>
      <c r="C224" s="65"/>
      <c r="D224" s="65"/>
      <c r="E224" s="1256"/>
      <c r="F224" s="2569">
        <f>SUM(F$220:F$223)</f>
        <v>1</v>
      </c>
      <c r="G224" s="67"/>
      <c r="H224" s="67"/>
      <c r="I224" s="67"/>
      <c r="J224" s="67"/>
      <c r="K224" s="67"/>
      <c r="L224" s="67"/>
      <c r="M224" s="67"/>
      <c r="N224" s="67"/>
      <c r="O224" s="67"/>
      <c r="P224" s="67"/>
    </row>
    <row r="225" spans="2:16" ht="15.5">
      <c r="B225" s="55"/>
      <c r="C225" s="84" t="s">
        <v>779</v>
      </c>
      <c r="D225" s="103"/>
      <c r="E225" s="103"/>
      <c r="F225" s="167"/>
      <c r="G225" s="934"/>
      <c r="H225" s="67"/>
      <c r="I225" s="59"/>
      <c r="J225" s="59"/>
      <c r="K225" s="59"/>
      <c r="L225" s="59"/>
      <c r="M225" s="59"/>
      <c r="N225" s="2449" t="str">
        <f>"Kte/"&amp;Preferences.EnergyUnits</f>
        <v>Kte/TWh</v>
      </c>
      <c r="O225" s="67"/>
      <c r="P225" s="67"/>
    </row>
    <row r="226" spans="2:16" ht="15.5">
      <c r="B226" s="55"/>
      <c r="C226" s="84"/>
      <c r="D226" s="103"/>
      <c r="E226" s="103"/>
      <c r="F226" s="167"/>
      <c r="G226" s="934"/>
      <c r="H226" s="67"/>
      <c r="I226" s="59"/>
      <c r="J226" s="59"/>
      <c r="K226" s="59"/>
      <c r="L226" s="59"/>
      <c r="M226" s="59"/>
      <c r="N226" s="59"/>
      <c r="O226" s="67"/>
      <c r="P226" s="67"/>
    </row>
    <row r="227" spans="2:16" ht="15.5">
      <c r="B227" s="55"/>
      <c r="C227" s="878" t="s">
        <v>43</v>
      </c>
      <c r="D227" s="878" t="s">
        <v>130</v>
      </c>
      <c r="E227" s="878" t="s">
        <v>28</v>
      </c>
      <c r="F227" s="899">
        <v>2013</v>
      </c>
      <c r="G227" s="87" t="s">
        <v>132</v>
      </c>
      <c r="H227" s="87" t="s">
        <v>133</v>
      </c>
      <c r="I227" s="87" t="s">
        <v>134</v>
      </c>
      <c r="J227" s="87" t="s">
        <v>135</v>
      </c>
      <c r="K227" s="87" t="s">
        <v>136</v>
      </c>
      <c r="L227" s="87" t="s">
        <v>137</v>
      </c>
      <c r="M227" s="87" t="s">
        <v>138</v>
      </c>
      <c r="N227" s="87" t="s">
        <v>139</v>
      </c>
      <c r="O227" s="59"/>
      <c r="P227" s="67"/>
    </row>
    <row r="228" spans="2:16" ht="15.5">
      <c r="B228" s="55"/>
      <c r="C228" s="65" t="s">
        <v>501</v>
      </c>
      <c r="D228" s="103" t="s">
        <v>502</v>
      </c>
      <c r="E228" s="296" t="s">
        <v>87</v>
      </c>
      <c r="F228" s="2641">
        <f>G228</f>
        <v>0.39857142857142902</v>
      </c>
      <c r="G228" s="2642">
        <f t="shared" ref="G228:N228" si="15">0.398571428571429*(1/Unit.TWh)</f>
        <v>0.39857142857142902</v>
      </c>
      <c r="H228" s="2643">
        <f t="shared" si="15"/>
        <v>0.39857142857142902</v>
      </c>
      <c r="I228" s="2643">
        <f t="shared" si="15"/>
        <v>0.39857142857142902</v>
      </c>
      <c r="J228" s="2643">
        <f t="shared" si="15"/>
        <v>0.39857142857142902</v>
      </c>
      <c r="K228" s="2643">
        <f t="shared" si="15"/>
        <v>0.39857142857142902</v>
      </c>
      <c r="L228" s="2643">
        <f t="shared" si="15"/>
        <v>0.39857142857142902</v>
      </c>
      <c r="M228" s="2643">
        <f t="shared" si="15"/>
        <v>0.39857142857142902</v>
      </c>
      <c r="N228" s="2643">
        <f t="shared" si="15"/>
        <v>0.39857142857142902</v>
      </c>
      <c r="O228" s="59"/>
      <c r="P228" s="67"/>
    </row>
    <row r="229" spans="2:16" ht="15.5">
      <c r="B229" s="55"/>
      <c r="C229" s="65" t="s">
        <v>501</v>
      </c>
      <c r="D229" s="103" t="s">
        <v>502</v>
      </c>
      <c r="E229" s="296" t="s">
        <v>88</v>
      </c>
      <c r="F229" s="2639">
        <f>G229</f>
        <v>8.5491904985246503E-2</v>
      </c>
      <c r="G229" s="2644">
        <f>0.0854919049852465*(1/Unit.TWh)</f>
        <v>8.5491904985246503E-2</v>
      </c>
      <c r="H229" s="2643">
        <f t="shared" ref="H229:N229" si="16">0.0854919049852467*(1/Unit.TWh)</f>
        <v>8.5491904985246697E-2</v>
      </c>
      <c r="I229" s="2643">
        <f t="shared" si="16"/>
        <v>8.5491904985246697E-2</v>
      </c>
      <c r="J229" s="2643">
        <f t="shared" si="16"/>
        <v>8.5491904985246697E-2</v>
      </c>
      <c r="K229" s="2643">
        <f t="shared" si="16"/>
        <v>8.5491904985246697E-2</v>
      </c>
      <c r="L229" s="2643">
        <f t="shared" si="16"/>
        <v>8.5491904985246697E-2</v>
      </c>
      <c r="M229" s="2643">
        <f t="shared" si="16"/>
        <v>8.5491904985246697E-2</v>
      </c>
      <c r="N229" s="2643">
        <f t="shared" si="16"/>
        <v>8.5491904985246697E-2</v>
      </c>
      <c r="O229" s="59"/>
      <c r="P229" s="67"/>
    </row>
    <row r="230" spans="2:16" ht="15.5">
      <c r="B230" s="55"/>
      <c r="C230" s="887" t="s">
        <v>501</v>
      </c>
      <c r="D230" s="888" t="s">
        <v>502</v>
      </c>
      <c r="E230" s="1028" t="s">
        <v>89</v>
      </c>
      <c r="F230" s="2645">
        <f>G230</f>
        <v>2.74990867559079E-3</v>
      </c>
      <c r="G230" s="2646">
        <f t="shared" ref="G230:N230" si="17">0.00274990867559079*(1/Unit.TWh)</f>
        <v>2.74990867559079E-3</v>
      </c>
      <c r="H230" s="2647">
        <f t="shared" si="17"/>
        <v>2.74990867559079E-3</v>
      </c>
      <c r="I230" s="2647">
        <f t="shared" si="17"/>
        <v>2.74990867559079E-3</v>
      </c>
      <c r="J230" s="2647">
        <f t="shared" si="17"/>
        <v>2.74990867559079E-3</v>
      </c>
      <c r="K230" s="2647">
        <f t="shared" si="17"/>
        <v>2.74990867559079E-3</v>
      </c>
      <c r="L230" s="2647">
        <f t="shared" si="17"/>
        <v>2.74990867559079E-3</v>
      </c>
      <c r="M230" s="2647">
        <f t="shared" si="17"/>
        <v>2.74990867559079E-3</v>
      </c>
      <c r="N230" s="2647">
        <f t="shared" si="17"/>
        <v>2.74990867559079E-3</v>
      </c>
      <c r="O230" s="59"/>
      <c r="P230" s="67"/>
    </row>
    <row r="231" spans="2:16" ht="15.5">
      <c r="B231" s="55"/>
      <c r="C231" s="65"/>
      <c r="D231" s="103"/>
      <c r="E231" s="103"/>
      <c r="F231" s="160"/>
      <c r="G231" s="51"/>
      <c r="H231" s="51"/>
      <c r="I231" s="60"/>
      <c r="J231" s="60"/>
      <c r="K231" s="60"/>
      <c r="L231" s="60"/>
      <c r="M231" s="60"/>
      <c r="N231" s="60"/>
      <c r="O231" s="59"/>
      <c r="P231" s="67"/>
    </row>
    <row r="232" spans="2:16" ht="15.5">
      <c r="B232" s="55"/>
      <c r="C232" s="84" t="s">
        <v>781</v>
      </c>
      <c r="D232" s="103"/>
      <c r="E232" s="103"/>
      <c r="F232" s="167"/>
      <c r="G232" s="934"/>
      <c r="H232" s="67"/>
      <c r="I232" s="59"/>
      <c r="J232" s="59"/>
      <c r="K232" s="59"/>
      <c r="L232" s="59"/>
      <c r="M232" s="59"/>
      <c r="N232" s="2449" t="str">
        <f>"Kte/"&amp;Preferences.EnergyUnits</f>
        <v>Kte/TWh</v>
      </c>
      <c r="O232" s="67"/>
      <c r="P232" s="67"/>
    </row>
    <row r="233" spans="2:16" ht="15.5">
      <c r="B233" s="55"/>
      <c r="C233" s="84"/>
      <c r="D233" s="103"/>
      <c r="E233" s="103"/>
      <c r="F233" s="167"/>
      <c r="G233" s="934"/>
      <c r="H233" s="67"/>
      <c r="I233" s="59"/>
      <c r="J233" s="59"/>
      <c r="K233" s="59"/>
      <c r="L233" s="59"/>
      <c r="M233" s="59"/>
      <c r="N233" s="59"/>
      <c r="O233" s="67"/>
      <c r="P233" s="67"/>
    </row>
    <row r="234" spans="2:16" ht="15.5">
      <c r="B234" s="55"/>
      <c r="C234" s="878" t="s">
        <v>43</v>
      </c>
      <c r="D234" s="878" t="s">
        <v>130</v>
      </c>
      <c r="E234" s="878" t="s">
        <v>28</v>
      </c>
      <c r="F234" s="899">
        <v>2013</v>
      </c>
      <c r="G234" s="87" t="s">
        <v>132</v>
      </c>
      <c r="H234" s="87" t="s">
        <v>133</v>
      </c>
      <c r="I234" s="87" t="s">
        <v>134</v>
      </c>
      <c r="J234" s="87" t="s">
        <v>135</v>
      </c>
      <c r="K234" s="87" t="s">
        <v>136</v>
      </c>
      <c r="L234" s="87" t="s">
        <v>137</v>
      </c>
      <c r="M234" s="87" t="s">
        <v>138</v>
      </c>
      <c r="N234" s="87" t="s">
        <v>139</v>
      </c>
      <c r="O234" s="67"/>
      <c r="P234" s="67"/>
    </row>
    <row r="235" spans="2:16" ht="15.5">
      <c r="B235" s="55"/>
      <c r="C235" s="65" t="s">
        <v>501</v>
      </c>
      <c r="D235" s="103" t="s">
        <v>502</v>
      </c>
      <c r="E235" s="296" t="s">
        <v>87</v>
      </c>
      <c r="F235" s="2641">
        <f>G235</f>
        <v>0.61071428571428599</v>
      </c>
      <c r="G235" s="2642">
        <f t="shared" ref="G235:N235" si="18">0.610714285714286*(1/Unit.TWh)</f>
        <v>0.61071428571428599</v>
      </c>
      <c r="H235" s="2643">
        <f t="shared" si="18"/>
        <v>0.61071428571428599</v>
      </c>
      <c r="I235" s="2643">
        <f t="shared" si="18"/>
        <v>0.61071428571428599</v>
      </c>
      <c r="J235" s="2643">
        <f t="shared" si="18"/>
        <v>0.61071428571428599</v>
      </c>
      <c r="K235" s="2643">
        <f t="shared" si="18"/>
        <v>0.61071428571428599</v>
      </c>
      <c r="L235" s="2643">
        <f t="shared" si="18"/>
        <v>0.61071428571428599</v>
      </c>
      <c r="M235" s="2643">
        <f t="shared" si="18"/>
        <v>0.61071428571428599</v>
      </c>
      <c r="N235" s="2643">
        <f t="shared" si="18"/>
        <v>0.61071428571428599</v>
      </c>
      <c r="O235" s="67"/>
      <c r="P235" s="67"/>
    </row>
    <row r="236" spans="2:16" ht="15.5">
      <c r="B236" s="55"/>
      <c r="C236" s="65" t="s">
        <v>501</v>
      </c>
      <c r="D236" s="103" t="s">
        <v>502</v>
      </c>
      <c r="E236" s="296" t="s">
        <v>88</v>
      </c>
      <c r="F236" s="2639">
        <f>G236</f>
        <v>0.63897774511862204</v>
      </c>
      <c r="G236" s="2644">
        <f>0.638977745118622*(1/Unit.TWh)</f>
        <v>0.63897774511862204</v>
      </c>
      <c r="H236" s="2643">
        <f t="shared" ref="H236:N236" si="19">0.638977745118623*(1/Unit.TWh)</f>
        <v>0.63897774511862304</v>
      </c>
      <c r="I236" s="2643">
        <f t="shared" si="19"/>
        <v>0.63897774511862304</v>
      </c>
      <c r="J236" s="2643">
        <f t="shared" si="19"/>
        <v>0.63897774511862304</v>
      </c>
      <c r="K236" s="2643">
        <f t="shared" si="19"/>
        <v>0.63897774511862304</v>
      </c>
      <c r="L236" s="2643">
        <f t="shared" si="19"/>
        <v>0.63897774511862304</v>
      </c>
      <c r="M236" s="2643">
        <f t="shared" si="19"/>
        <v>0.63897774511862304</v>
      </c>
      <c r="N236" s="2643">
        <f t="shared" si="19"/>
        <v>0.63897774511862304</v>
      </c>
      <c r="O236" s="67"/>
      <c r="P236" s="67"/>
    </row>
    <row r="237" spans="2:16" ht="15.5">
      <c r="B237" s="55"/>
      <c r="C237" s="887" t="s">
        <v>501</v>
      </c>
      <c r="D237" s="888" t="s">
        <v>502</v>
      </c>
      <c r="E237" s="1028" t="s">
        <v>89</v>
      </c>
      <c r="F237" s="2645">
        <f>G237</f>
        <v>0.14123937011600701</v>
      </c>
      <c r="G237" s="2646">
        <f t="shared" ref="G237:N237" si="20">0.141239370116007*(1/Unit.TWh)</f>
        <v>0.14123937011600701</v>
      </c>
      <c r="H237" s="2647">
        <f t="shared" si="20"/>
        <v>0.14123937011600701</v>
      </c>
      <c r="I237" s="2647">
        <f t="shared" si="20"/>
        <v>0.14123937011600701</v>
      </c>
      <c r="J237" s="2647">
        <f t="shared" si="20"/>
        <v>0.14123937011600701</v>
      </c>
      <c r="K237" s="2647">
        <f t="shared" si="20"/>
        <v>0.14123937011600701</v>
      </c>
      <c r="L237" s="2647">
        <f t="shared" si="20"/>
        <v>0.14123937011600701</v>
      </c>
      <c r="M237" s="2647">
        <f t="shared" si="20"/>
        <v>0.14123937011600701</v>
      </c>
      <c r="N237" s="2647">
        <f t="shared" si="20"/>
        <v>0.14123937011600701</v>
      </c>
      <c r="O237" s="59"/>
      <c r="P237" s="67"/>
    </row>
    <row r="238" spans="2:16" ht="15.5">
      <c r="B238" s="55"/>
      <c r="C238" s="65"/>
      <c r="D238" s="103"/>
      <c r="E238" s="103"/>
      <c r="F238" s="160"/>
      <c r="G238" s="51"/>
      <c r="H238" s="51"/>
      <c r="I238" s="60"/>
      <c r="J238" s="60"/>
      <c r="K238" s="60"/>
      <c r="L238" s="60"/>
      <c r="M238" s="60"/>
      <c r="N238" s="60"/>
      <c r="O238" s="59"/>
      <c r="P238" s="67"/>
    </row>
    <row r="239" spans="2:16" ht="15.5">
      <c r="B239" s="55"/>
      <c r="C239" s="84" t="s">
        <v>782</v>
      </c>
      <c r="D239" s="103"/>
      <c r="E239" s="103"/>
      <c r="F239" s="167"/>
      <c r="G239" s="934"/>
      <c r="H239" s="67"/>
      <c r="I239" s="59"/>
      <c r="J239" s="59"/>
      <c r="K239" s="59"/>
      <c r="L239" s="59"/>
      <c r="M239" s="59"/>
      <c r="N239" s="2449" t="str">
        <f>"Kte/"&amp;Preferences.EnergyUnits</f>
        <v>Kte/TWh</v>
      </c>
      <c r="O239" s="59"/>
      <c r="P239" s="67"/>
    </row>
    <row r="240" spans="2:16" ht="3.75" customHeight="1">
      <c r="B240" s="55"/>
      <c r="C240" s="84"/>
      <c r="D240" s="103"/>
      <c r="E240" s="103"/>
      <c r="F240" s="167"/>
      <c r="G240" s="934"/>
      <c r="H240" s="67"/>
      <c r="I240" s="59"/>
      <c r="J240" s="59"/>
      <c r="K240" s="59"/>
      <c r="L240" s="59"/>
      <c r="M240" s="59"/>
      <c r="N240" s="59"/>
      <c r="O240" s="59"/>
      <c r="P240" s="67"/>
    </row>
    <row r="241" spans="2:33" ht="15.5">
      <c r="B241" s="55"/>
      <c r="C241" s="878" t="s">
        <v>43</v>
      </c>
      <c r="D241" s="878" t="s">
        <v>130</v>
      </c>
      <c r="E241" s="878" t="s">
        <v>28</v>
      </c>
      <c r="F241" s="899">
        <v>2013</v>
      </c>
      <c r="G241" s="87" t="s">
        <v>132</v>
      </c>
      <c r="H241" s="87" t="s">
        <v>133</v>
      </c>
      <c r="I241" s="87" t="s">
        <v>134</v>
      </c>
      <c r="J241" s="87" t="s">
        <v>135</v>
      </c>
      <c r="K241" s="87" t="s">
        <v>136</v>
      </c>
      <c r="L241" s="87" t="s">
        <v>137</v>
      </c>
      <c r="M241" s="87" t="s">
        <v>138</v>
      </c>
      <c r="N241" s="87" t="s">
        <v>139</v>
      </c>
      <c r="O241" s="59"/>
      <c r="P241" s="67"/>
    </row>
    <row r="242" spans="2:33" ht="15.5">
      <c r="B242" s="55"/>
      <c r="C242" s="65" t="s">
        <v>501</v>
      </c>
      <c r="D242" s="103" t="s">
        <v>502</v>
      </c>
      <c r="E242" s="296" t="s">
        <v>87</v>
      </c>
      <c r="F242" s="2641">
        <f>G242</f>
        <v>2.1859257888483699</v>
      </c>
      <c r="G242" s="2642">
        <f t="shared" ref="G242:N242" si="21">2.18592578884837*(1/Unit.TWh)</f>
        <v>2.1859257888483699</v>
      </c>
      <c r="H242" s="2643">
        <f t="shared" si="21"/>
        <v>2.1859257888483699</v>
      </c>
      <c r="I242" s="2643">
        <f t="shared" si="21"/>
        <v>2.1859257888483699</v>
      </c>
      <c r="J242" s="2643">
        <f t="shared" si="21"/>
        <v>2.1859257888483699</v>
      </c>
      <c r="K242" s="2643">
        <f t="shared" si="21"/>
        <v>2.1859257888483699</v>
      </c>
      <c r="L242" s="2643">
        <f t="shared" si="21"/>
        <v>2.1859257888483699</v>
      </c>
      <c r="M242" s="2643">
        <f t="shared" si="21"/>
        <v>2.1859257888483699</v>
      </c>
      <c r="N242" s="2643">
        <f t="shared" si="21"/>
        <v>2.1859257888483699</v>
      </c>
      <c r="O242" s="67"/>
      <c r="P242" s="67"/>
    </row>
    <row r="243" spans="2:33" ht="15.5">
      <c r="B243" s="55"/>
      <c r="C243" s="65" t="s">
        <v>501</v>
      </c>
      <c r="D243" s="103" t="s">
        <v>502</v>
      </c>
      <c r="E243" s="296" t="s">
        <v>88</v>
      </c>
      <c r="F243" s="2639">
        <f>G243</f>
        <v>1.23374964461587</v>
      </c>
      <c r="G243" s="2644">
        <f>1.23374964461587*(1/Unit.TWh)</f>
        <v>1.23374964461587</v>
      </c>
      <c r="H243" s="2643">
        <f t="shared" ref="H243:N243" si="22">1.41390376930762*(1/Unit.TWh)</f>
        <v>1.41390376930762</v>
      </c>
      <c r="I243" s="2643">
        <f t="shared" si="22"/>
        <v>1.41390376930762</v>
      </c>
      <c r="J243" s="2643">
        <f t="shared" si="22"/>
        <v>1.41390376930762</v>
      </c>
      <c r="K243" s="2643">
        <f t="shared" si="22"/>
        <v>1.41390376930762</v>
      </c>
      <c r="L243" s="2643">
        <f t="shared" si="22"/>
        <v>1.41390376930762</v>
      </c>
      <c r="M243" s="2643">
        <f t="shared" si="22"/>
        <v>1.41390376930762</v>
      </c>
      <c r="N243" s="2643">
        <f t="shared" si="22"/>
        <v>1.41390376930762</v>
      </c>
      <c r="O243" s="67"/>
      <c r="P243" s="67"/>
    </row>
    <row r="244" spans="2:33" ht="15.5">
      <c r="B244" s="55"/>
      <c r="C244" s="887" t="s">
        <v>501</v>
      </c>
      <c r="D244" s="888" t="s">
        <v>502</v>
      </c>
      <c r="E244" s="1028" t="s">
        <v>89</v>
      </c>
      <c r="F244" s="2645">
        <f>G244</f>
        <v>0</v>
      </c>
      <c r="G244" s="2646">
        <f t="shared" ref="G244:N244" si="23">0*(1/Unit.TWh)</f>
        <v>0</v>
      </c>
      <c r="H244" s="2647">
        <f t="shared" si="23"/>
        <v>0</v>
      </c>
      <c r="I244" s="2647">
        <f t="shared" si="23"/>
        <v>0</v>
      </c>
      <c r="J244" s="2647">
        <f t="shared" si="23"/>
        <v>0</v>
      </c>
      <c r="K244" s="2647">
        <f t="shared" si="23"/>
        <v>0</v>
      </c>
      <c r="L244" s="2647">
        <f t="shared" si="23"/>
        <v>0</v>
      </c>
      <c r="M244" s="2647">
        <f t="shared" si="23"/>
        <v>0</v>
      </c>
      <c r="N244" s="2647">
        <f t="shared" si="23"/>
        <v>0</v>
      </c>
      <c r="O244" s="67"/>
      <c r="P244" s="67"/>
    </row>
    <row r="245" spans="2:33" ht="15.5">
      <c r="B245" s="55"/>
      <c r="C245" s="65"/>
      <c r="D245" s="103"/>
      <c r="E245" s="103"/>
      <c r="F245" s="160"/>
      <c r="G245" s="51"/>
      <c r="H245" s="51"/>
      <c r="I245" s="60"/>
      <c r="J245" s="60"/>
      <c r="K245" s="60"/>
      <c r="L245" s="60"/>
      <c r="M245" s="60"/>
      <c r="N245" s="60"/>
      <c r="O245" s="67"/>
      <c r="P245" s="67"/>
    </row>
    <row r="246" spans="2:33" ht="15.5">
      <c r="B246" s="55"/>
      <c r="C246" s="84" t="s">
        <v>783</v>
      </c>
      <c r="D246" s="103"/>
      <c r="E246" s="103"/>
      <c r="F246" s="167"/>
      <c r="G246" s="934"/>
      <c r="H246" s="67"/>
      <c r="I246" s="59"/>
      <c r="J246" s="59"/>
      <c r="K246" s="59"/>
      <c r="L246" s="59"/>
      <c r="M246" s="59"/>
      <c r="N246" s="2449" t="str">
        <f>"Kte/"&amp;Preferences.EnergyUnits</f>
        <v>Kte/TWh</v>
      </c>
      <c r="O246" s="59"/>
      <c r="P246" s="67"/>
    </row>
    <row r="247" spans="2:33" ht="3.75" customHeight="1">
      <c r="B247" s="55"/>
      <c r="C247" s="84"/>
      <c r="D247" s="103"/>
      <c r="E247" s="103"/>
      <c r="F247" s="167"/>
      <c r="G247" s="934"/>
      <c r="H247" s="67"/>
      <c r="I247" s="59"/>
      <c r="J247" s="59"/>
      <c r="K247" s="59"/>
      <c r="L247" s="59"/>
      <c r="M247" s="59"/>
      <c r="N247" s="59"/>
      <c r="O247" s="59"/>
      <c r="P247" s="67"/>
    </row>
    <row r="248" spans="2:33" ht="15.5">
      <c r="B248" s="55"/>
      <c r="C248" s="878" t="s">
        <v>43</v>
      </c>
      <c r="D248" s="878" t="s">
        <v>130</v>
      </c>
      <c r="E248" s="878" t="s">
        <v>28</v>
      </c>
      <c r="F248" s="899">
        <v>2013</v>
      </c>
      <c r="G248" s="87" t="s">
        <v>132</v>
      </c>
      <c r="H248" s="87" t="s">
        <v>133</v>
      </c>
      <c r="I248" s="87" t="s">
        <v>134</v>
      </c>
      <c r="J248" s="87" t="s">
        <v>135</v>
      </c>
      <c r="K248" s="87" t="s">
        <v>136</v>
      </c>
      <c r="L248" s="87" t="s">
        <v>137</v>
      </c>
      <c r="M248" s="87" t="s">
        <v>138</v>
      </c>
      <c r="N248" s="87" t="s">
        <v>139</v>
      </c>
      <c r="O248" s="59"/>
      <c r="P248" s="67"/>
    </row>
    <row r="249" spans="2:33" ht="15.5">
      <c r="B249" s="55"/>
      <c r="C249" s="65" t="s">
        <v>501</v>
      </c>
      <c r="D249" s="103" t="s">
        <v>502</v>
      </c>
      <c r="E249" s="296" t="s">
        <v>87</v>
      </c>
      <c r="F249" s="2641">
        <f>G249</f>
        <v>6.4285714285714302E-3</v>
      </c>
      <c r="G249" s="2642">
        <f t="shared" ref="G249:N249" si="24">0.00642857142857143*(1/Unit.TWh)</f>
        <v>6.4285714285714302E-3</v>
      </c>
      <c r="H249" s="2643">
        <f t="shared" si="24"/>
        <v>6.4285714285714302E-3</v>
      </c>
      <c r="I249" s="2643">
        <f t="shared" si="24"/>
        <v>6.4285714285714302E-3</v>
      </c>
      <c r="J249" s="2643">
        <f t="shared" si="24"/>
        <v>6.4285714285714302E-3</v>
      </c>
      <c r="K249" s="2643">
        <f t="shared" si="24"/>
        <v>6.4285714285714302E-3</v>
      </c>
      <c r="L249" s="2643">
        <f t="shared" si="24"/>
        <v>6.4285714285714302E-3</v>
      </c>
      <c r="M249" s="2643">
        <f t="shared" si="24"/>
        <v>6.4285714285714302E-3</v>
      </c>
      <c r="N249" s="2643">
        <f t="shared" si="24"/>
        <v>6.4285714285714302E-3</v>
      </c>
      <c r="O249" s="59"/>
      <c r="P249" s="67"/>
    </row>
    <row r="250" spans="2:33" ht="15.5">
      <c r="B250" s="55"/>
      <c r="C250" s="65" t="s">
        <v>501</v>
      </c>
      <c r="D250" s="103" t="s">
        <v>502</v>
      </c>
      <c r="E250" s="296" t="s">
        <v>88</v>
      </c>
      <c r="F250" s="2639">
        <f>G250</f>
        <v>1.14430115473441E-2</v>
      </c>
      <c r="G250" s="2644">
        <f t="shared" ref="G250:N250" si="25">0.0114430115473441*(1/Unit.TWh)</f>
        <v>1.14430115473441E-2</v>
      </c>
      <c r="H250" s="2643">
        <f t="shared" si="25"/>
        <v>1.14430115473441E-2</v>
      </c>
      <c r="I250" s="2643">
        <f t="shared" si="25"/>
        <v>1.14430115473441E-2</v>
      </c>
      <c r="J250" s="2643">
        <f t="shared" si="25"/>
        <v>1.14430115473441E-2</v>
      </c>
      <c r="K250" s="2643">
        <f t="shared" si="25"/>
        <v>1.14430115473441E-2</v>
      </c>
      <c r="L250" s="2643">
        <f t="shared" si="25"/>
        <v>1.14430115473441E-2</v>
      </c>
      <c r="M250" s="2643">
        <f t="shared" si="25"/>
        <v>1.14430115473441E-2</v>
      </c>
      <c r="N250" s="2643">
        <f t="shared" si="25"/>
        <v>1.14430115473441E-2</v>
      </c>
      <c r="O250" s="59"/>
      <c r="P250" s="67"/>
      <c r="V250" s="1068"/>
      <c r="W250" s="1068"/>
      <c r="X250" s="1068"/>
      <c r="Y250" s="1068"/>
      <c r="Z250" s="1068"/>
      <c r="AA250" s="1068"/>
      <c r="AB250" s="1068"/>
      <c r="AC250" s="1068"/>
      <c r="AD250" s="1068"/>
      <c r="AE250" s="1068"/>
      <c r="AF250" s="1068"/>
      <c r="AG250" s="1068"/>
    </row>
    <row r="251" spans="2:33" ht="15.5">
      <c r="B251" s="55"/>
      <c r="C251" s="887" t="s">
        <v>501</v>
      </c>
      <c r="D251" s="888" t="s">
        <v>502</v>
      </c>
      <c r="E251" s="1028" t="s">
        <v>89</v>
      </c>
      <c r="F251" s="2645">
        <f>G251</f>
        <v>8.0207196413967109E-3</v>
      </c>
      <c r="G251" s="2646">
        <f>0.00802071964139671*(1/Unit.TWh)</f>
        <v>8.0207196413967109E-3</v>
      </c>
      <c r="H251" s="2647">
        <f t="shared" ref="H251:N251" si="26">0.00802071964139672*(1/Unit.TWh)</f>
        <v>8.0207196413967195E-3</v>
      </c>
      <c r="I251" s="2647">
        <f t="shared" si="26"/>
        <v>8.0207196413967195E-3</v>
      </c>
      <c r="J251" s="2647">
        <f t="shared" si="26"/>
        <v>8.0207196413967195E-3</v>
      </c>
      <c r="K251" s="2647">
        <f t="shared" si="26"/>
        <v>8.0207196413967195E-3</v>
      </c>
      <c r="L251" s="2647">
        <f t="shared" si="26"/>
        <v>8.0207196413967195E-3</v>
      </c>
      <c r="M251" s="2647">
        <f t="shared" si="26"/>
        <v>8.0207196413967195E-3</v>
      </c>
      <c r="N251" s="2647">
        <f t="shared" si="26"/>
        <v>8.0207196413967195E-3</v>
      </c>
      <c r="O251" s="59"/>
      <c r="P251" s="67"/>
      <c r="V251" s="2500"/>
      <c r="W251" s="647"/>
      <c r="X251" s="647"/>
      <c r="Y251" s="647"/>
      <c r="Z251" s="647"/>
      <c r="AA251" s="647"/>
      <c r="AB251" s="647"/>
      <c r="AC251" s="647"/>
      <c r="AD251" s="647"/>
      <c r="AE251" s="647"/>
      <c r="AF251" s="647"/>
      <c r="AG251" s="1068"/>
    </row>
    <row r="252" spans="2:33" s="918" customFormat="1">
      <c r="B252" s="1268"/>
      <c r="C252" s="49"/>
      <c r="D252" s="67"/>
      <c r="E252" s="67"/>
      <c r="F252" s="1089"/>
      <c r="G252" s="1270"/>
      <c r="H252" s="1270"/>
      <c r="I252" s="1270"/>
      <c r="J252" s="1270"/>
      <c r="K252" s="1270"/>
      <c r="L252" s="1270"/>
      <c r="M252" s="1270"/>
      <c r="N252" s="1270"/>
      <c r="O252" s="1270"/>
      <c r="P252" s="67"/>
      <c r="V252" s="1068"/>
      <c r="W252" s="1068"/>
      <c r="X252" s="1068"/>
      <c r="Y252" s="1068"/>
      <c r="Z252" s="1068"/>
      <c r="AA252" s="1068"/>
      <c r="AB252" s="1068"/>
      <c r="AC252" s="1068"/>
      <c r="AD252" s="1068"/>
      <c r="AE252" s="1068"/>
      <c r="AF252" s="1068"/>
      <c r="AG252" s="1162"/>
    </row>
    <row r="253" spans="2:33">
      <c r="B253" s="81"/>
      <c r="C253" s="1068"/>
      <c r="D253" s="1420"/>
      <c r="E253" s="1068"/>
      <c r="F253" s="1068"/>
      <c r="G253" s="1068"/>
      <c r="H253" s="1068"/>
      <c r="I253" s="1068"/>
      <c r="J253" s="1068"/>
      <c r="K253" s="1068"/>
      <c r="L253" s="1068"/>
      <c r="M253" s="1068"/>
      <c r="N253" s="1068"/>
      <c r="O253" s="1068"/>
      <c r="P253" s="1068"/>
      <c r="Q253" s="389"/>
      <c r="R253" s="1649"/>
      <c r="V253" s="2570"/>
      <c r="W253" s="202"/>
      <c r="X253" s="1420"/>
      <c r="Y253" s="1068"/>
      <c r="Z253" s="1068"/>
      <c r="AA253" s="2571"/>
      <c r="AB253" s="2466"/>
      <c r="AC253" s="2571"/>
      <c r="AD253" s="2571"/>
      <c r="AE253" s="202"/>
      <c r="AF253" s="1068"/>
      <c r="AG253" s="1068"/>
    </row>
    <row r="254" spans="2:33" ht="15">
      <c r="B254" s="869" t="s">
        <v>2719</v>
      </c>
      <c r="C254" s="870"/>
      <c r="D254" s="870"/>
      <c r="E254" s="870"/>
      <c r="F254" s="870"/>
      <c r="G254" s="870"/>
      <c r="H254" s="870"/>
      <c r="I254" s="870"/>
      <c r="J254" s="870"/>
      <c r="K254" s="870"/>
      <c r="L254" s="870"/>
      <c r="M254" s="870"/>
      <c r="N254" s="870"/>
      <c r="O254" s="870"/>
      <c r="P254" s="870"/>
      <c r="R254" s="389"/>
      <c r="V254" s="2570"/>
      <c r="W254" s="202"/>
      <c r="X254" s="1420"/>
      <c r="Y254" s="1068"/>
      <c r="Z254" s="2571"/>
      <c r="AA254" s="2571"/>
      <c r="AB254" s="2571"/>
      <c r="AC254" s="2571"/>
      <c r="AD254" s="2571"/>
      <c r="AE254" s="202"/>
      <c r="AF254" s="1068"/>
      <c r="AG254" s="1068"/>
    </row>
    <row r="255" spans="2:33" ht="4.5" customHeight="1">
      <c r="B255" s="922"/>
      <c r="C255" s="922"/>
      <c r="D255" s="922"/>
      <c r="E255" s="922"/>
      <c r="F255" s="922"/>
      <c r="G255" s="922"/>
      <c r="H255" s="922"/>
      <c r="I255" s="922"/>
      <c r="J255" s="922"/>
      <c r="K255" s="922"/>
      <c r="L255" s="67"/>
      <c r="M255" s="67"/>
      <c r="N255" s="67"/>
      <c r="O255" s="67"/>
      <c r="P255" s="67"/>
      <c r="R255" s="389"/>
      <c r="V255" s="2572"/>
      <c r="W255" s="2542"/>
      <c r="X255" s="2542"/>
      <c r="Y255" s="2542"/>
      <c r="Z255" s="2573"/>
      <c r="AA255" s="2573"/>
      <c r="AB255" s="2466"/>
      <c r="AC255" s="2571"/>
      <c r="AD255" s="2571"/>
      <c r="AE255" s="202"/>
      <c r="AF255" s="1068"/>
      <c r="AG255" s="1068"/>
    </row>
    <row r="256" spans="2:33" ht="15.75" hidden="1" customHeight="1">
      <c r="B256" s="2574"/>
      <c r="C256" s="49" t="s">
        <v>1970</v>
      </c>
      <c r="D256" s="195"/>
      <c r="E256" s="67"/>
      <c r="F256" s="2477"/>
      <c r="G256" s="2477"/>
      <c r="H256" s="2575"/>
      <c r="I256" s="2575"/>
      <c r="J256" s="49"/>
      <c r="K256" s="67"/>
      <c r="L256" s="67"/>
      <c r="M256" s="67"/>
      <c r="N256" s="47"/>
      <c r="O256" s="3579" t="s">
        <v>2742</v>
      </c>
      <c r="P256" s="2477"/>
      <c r="R256" s="389"/>
      <c r="V256" s="2572"/>
      <c r="W256" s="2525"/>
      <c r="X256" s="2525"/>
      <c r="Y256" s="2576"/>
      <c r="Z256" s="2577"/>
      <c r="AA256" s="2577"/>
      <c r="AB256" s="2466"/>
      <c r="AC256" s="2571"/>
      <c r="AD256" s="2571"/>
      <c r="AE256" s="202"/>
      <c r="AF256" s="1068"/>
      <c r="AG256" s="1068"/>
    </row>
    <row r="257" spans="2:33" ht="15.75" hidden="1" customHeight="1">
      <c r="B257" s="67"/>
      <c r="C257" s="1260" t="s">
        <v>131</v>
      </c>
      <c r="D257" s="2578" t="s">
        <v>71</v>
      </c>
      <c r="E257" s="1094"/>
      <c r="F257" s="954" t="s">
        <v>159</v>
      </c>
      <c r="G257" s="955">
        <v>2013</v>
      </c>
      <c r="H257" s="965">
        <v>2015</v>
      </c>
      <c r="I257" s="965">
        <v>2020</v>
      </c>
      <c r="J257" s="965">
        <v>2025</v>
      </c>
      <c r="K257" s="965">
        <v>2030</v>
      </c>
      <c r="L257" s="965">
        <v>2035</v>
      </c>
      <c r="M257" s="965">
        <v>2040</v>
      </c>
      <c r="N257" s="965">
        <v>2045</v>
      </c>
      <c r="O257" s="965">
        <v>2050</v>
      </c>
      <c r="P257" s="2579"/>
      <c r="V257" s="2572"/>
      <c r="W257" s="2525"/>
      <c r="X257" s="2525"/>
      <c r="Y257" s="2576"/>
      <c r="Z257" s="2577"/>
      <c r="AA257" s="2577"/>
      <c r="AB257" s="2466"/>
      <c r="AC257" s="2571"/>
      <c r="AD257" s="2571"/>
      <c r="AE257" s="202"/>
      <c r="AF257" s="1068"/>
      <c r="AG257" s="1068"/>
    </row>
    <row r="258" spans="2:33" ht="15.5" hidden="1">
      <c r="B258" s="895"/>
      <c r="C258" s="2580"/>
      <c r="D258" s="1170" t="s">
        <v>372</v>
      </c>
      <c r="E258" s="964"/>
      <c r="F258" s="957"/>
      <c r="G258" s="1531"/>
      <c r="H258" s="1071"/>
      <c r="I258" s="1071"/>
      <c r="J258" s="1071"/>
      <c r="K258" s="1071"/>
      <c r="L258" s="1071"/>
      <c r="M258" s="1071"/>
      <c r="N258" s="1071"/>
      <c r="O258" s="1531"/>
      <c r="P258" s="167"/>
      <c r="U258" s="2581"/>
      <c r="V258" s="2572"/>
      <c r="W258" s="2525"/>
      <c r="X258" s="2525"/>
      <c r="Y258" s="2576"/>
      <c r="Z258" s="2577"/>
      <c r="AA258" s="2577"/>
      <c r="AB258" s="2466"/>
      <c r="AC258" s="2571"/>
      <c r="AD258" s="2571"/>
      <c r="AE258" s="202"/>
      <c r="AF258" s="1068"/>
      <c r="AG258" s="1068"/>
    </row>
    <row r="259" spans="2:33" ht="15.5" hidden="1">
      <c r="B259" s="895"/>
      <c r="C259" s="104"/>
      <c r="D259" s="65" t="s">
        <v>371</v>
      </c>
      <c r="E259" s="67"/>
      <c r="F259" s="944"/>
      <c r="G259" s="167"/>
      <c r="H259" s="945"/>
      <c r="I259" s="945"/>
      <c r="J259" s="945"/>
      <c r="K259" s="945"/>
      <c r="L259" s="945"/>
      <c r="M259" s="945"/>
      <c r="N259" s="945"/>
      <c r="O259" s="167"/>
      <c r="P259" s="167"/>
      <c r="V259" s="2572"/>
      <c r="W259" s="2525"/>
      <c r="X259" s="2525"/>
      <c r="Y259" s="2576"/>
      <c r="Z259" s="2577"/>
      <c r="AA259" s="2577"/>
      <c r="AB259" s="2571"/>
      <c r="AC259" s="2571"/>
      <c r="AD259" s="2571"/>
      <c r="AE259" s="202"/>
      <c r="AF259" s="1068"/>
      <c r="AG259" s="1068"/>
    </row>
    <row r="260" spans="2:33" ht="15.5" hidden="1">
      <c r="B260" s="877"/>
      <c r="C260" s="104"/>
      <c r="D260" s="65" t="s">
        <v>1971</v>
      </c>
      <c r="E260" s="67"/>
      <c r="F260" s="944"/>
      <c r="G260" s="167"/>
      <c r="H260" s="945"/>
      <c r="I260" s="945"/>
      <c r="J260" s="945"/>
      <c r="K260" s="945"/>
      <c r="L260" s="945"/>
      <c r="M260" s="945"/>
      <c r="N260" s="945"/>
      <c r="O260" s="167"/>
      <c r="P260" s="167"/>
      <c r="V260" s="2572"/>
      <c r="W260" s="2525"/>
      <c r="X260" s="2525"/>
      <c r="Y260" s="2576"/>
      <c r="Z260" s="2577"/>
      <c r="AA260" s="2577"/>
      <c r="AB260" s="2571"/>
      <c r="AC260" s="2571"/>
      <c r="AD260" s="2571"/>
      <c r="AE260" s="202"/>
      <c r="AF260" s="1068"/>
      <c r="AG260" s="1068"/>
    </row>
    <row r="261" spans="2:33" ht="15.5" hidden="1">
      <c r="B261" s="877"/>
      <c r="C261" s="104"/>
      <c r="D261" s="65" t="s">
        <v>1972</v>
      </c>
      <c r="E261" s="67"/>
      <c r="F261" s="944"/>
      <c r="G261" s="167"/>
      <c r="H261" s="945"/>
      <c r="I261" s="945"/>
      <c r="J261" s="945"/>
      <c r="K261" s="945"/>
      <c r="L261" s="945"/>
      <c r="M261" s="945"/>
      <c r="N261" s="945"/>
      <c r="O261" s="167"/>
      <c r="P261" s="167"/>
      <c r="V261" s="2572"/>
      <c r="W261" s="202"/>
      <c r="X261" s="1420"/>
      <c r="Y261" s="1068"/>
      <c r="Z261" s="2571"/>
      <c r="AA261" s="2571"/>
      <c r="AB261" s="2571"/>
      <c r="AC261" s="2571"/>
      <c r="AD261" s="2571"/>
      <c r="AE261" s="202"/>
      <c r="AF261" s="1068"/>
      <c r="AG261" s="1068"/>
    </row>
    <row r="262" spans="2:33" ht="15.5" hidden="1">
      <c r="B262" s="877"/>
      <c r="C262" s="2582"/>
      <c r="D262" s="917" t="s">
        <v>1973</v>
      </c>
      <c r="E262" s="969"/>
      <c r="F262" s="949"/>
      <c r="G262" s="343"/>
      <c r="H262" s="950"/>
      <c r="I262" s="950"/>
      <c r="J262" s="950"/>
      <c r="K262" s="950"/>
      <c r="L262" s="950"/>
      <c r="M262" s="950"/>
      <c r="N262" s="950"/>
      <c r="O262" s="343"/>
      <c r="P262" s="167"/>
      <c r="V262" s="2572"/>
      <c r="W262" s="202"/>
      <c r="X262" s="1420"/>
      <c r="Y262" s="1068"/>
      <c r="Z262" s="1068"/>
      <c r="AA262" s="2571"/>
      <c r="AB262" s="2466"/>
      <c r="AC262" s="2571"/>
      <c r="AD262" s="2571"/>
      <c r="AE262" s="202"/>
      <c r="AF262" s="1068"/>
      <c r="AG262" s="1068"/>
    </row>
    <row r="263" spans="2:33" ht="15.5" hidden="1">
      <c r="B263" s="877"/>
      <c r="C263" s="104"/>
      <c r="D263" s="103"/>
      <c r="E263" s="103"/>
      <c r="F263" s="944"/>
      <c r="G263" s="2565"/>
      <c r="H263" s="945"/>
      <c r="I263" s="945"/>
      <c r="J263" s="945"/>
      <c r="K263" s="945"/>
      <c r="L263" s="945"/>
      <c r="M263" s="945"/>
      <c r="N263" s="945"/>
      <c r="O263" s="2565"/>
      <c r="P263" s="2565"/>
      <c r="V263" s="2572"/>
      <c r="W263" s="202"/>
      <c r="X263" s="1420"/>
      <c r="Y263" s="1068"/>
      <c r="Z263" s="2571"/>
      <c r="AA263" s="2571"/>
      <c r="AB263" s="2571"/>
      <c r="AC263" s="2571"/>
      <c r="AD263" s="2571"/>
      <c r="AE263" s="202"/>
      <c r="AF263" s="1068"/>
      <c r="AG263" s="1068"/>
    </row>
    <row r="264" spans="2:33" ht="15.5" hidden="1">
      <c r="B264" s="877"/>
      <c r="C264" s="49" t="s">
        <v>1974</v>
      </c>
      <c r="D264" s="103"/>
      <c r="E264" s="103"/>
      <c r="F264" s="47"/>
      <c r="G264" s="47"/>
      <c r="H264" s="47"/>
      <c r="I264" s="47"/>
      <c r="J264" s="47"/>
      <c r="K264" s="47"/>
      <c r="L264" s="47"/>
      <c r="M264" s="47"/>
      <c r="N264" s="47"/>
      <c r="O264" s="3579" t="s">
        <v>2747</v>
      </c>
      <c r="P264" s="2477"/>
      <c r="V264" s="2572"/>
      <c r="W264" s="2542"/>
      <c r="X264" s="2542"/>
      <c r="Y264" s="2542"/>
      <c r="Z264" s="2573"/>
      <c r="AA264" s="2573"/>
      <c r="AB264" s="2466"/>
      <c r="AC264" s="2571"/>
      <c r="AD264" s="2571"/>
      <c r="AE264" s="202"/>
      <c r="AF264" s="1068"/>
      <c r="AG264" s="1068"/>
    </row>
    <row r="265" spans="2:33" ht="15.5" hidden="1">
      <c r="B265" s="877"/>
      <c r="C265" s="1527" t="s">
        <v>131</v>
      </c>
      <c r="D265" s="1527" t="s">
        <v>71</v>
      </c>
      <c r="E265" s="1527" t="s">
        <v>1975</v>
      </c>
      <c r="F265" s="971" t="s">
        <v>159</v>
      </c>
      <c r="G265" s="972">
        <v>2013</v>
      </c>
      <c r="H265" s="965">
        <v>2015</v>
      </c>
      <c r="I265" s="965">
        <v>2020</v>
      </c>
      <c r="J265" s="965">
        <v>2025</v>
      </c>
      <c r="K265" s="965">
        <v>2030</v>
      </c>
      <c r="L265" s="965">
        <v>2035</v>
      </c>
      <c r="M265" s="965">
        <v>2040</v>
      </c>
      <c r="N265" s="965">
        <v>2045</v>
      </c>
      <c r="O265" s="965">
        <v>2050</v>
      </c>
      <c r="P265" s="2579"/>
      <c r="V265" s="2572"/>
      <c r="W265" s="2525"/>
      <c r="X265" s="2525"/>
      <c r="Y265" s="2543"/>
      <c r="Z265" s="2577"/>
      <c r="AA265" s="2577"/>
      <c r="AB265" s="2466"/>
      <c r="AC265" s="2571"/>
      <c r="AD265" s="2571"/>
      <c r="AE265" s="202"/>
      <c r="AF265" s="1068"/>
      <c r="AG265" s="1068"/>
    </row>
    <row r="266" spans="2:33" ht="15.75" hidden="1" customHeight="1">
      <c r="B266" s="877"/>
      <c r="C266" s="2580"/>
      <c r="D266" s="1170" t="s">
        <v>1976</v>
      </c>
      <c r="E266" s="2583">
        <v>1.9</v>
      </c>
      <c r="F266" s="957"/>
      <c r="G266" s="1531"/>
      <c r="H266" s="1071"/>
      <c r="I266" s="1071"/>
      <c r="J266" s="1071"/>
      <c r="K266" s="1071"/>
      <c r="L266" s="1071"/>
      <c r="M266" s="1071"/>
      <c r="N266" s="1071"/>
      <c r="O266" s="1531"/>
      <c r="P266" s="167"/>
      <c r="V266" s="2572"/>
      <c r="W266" s="202"/>
      <c r="X266" s="1420"/>
      <c r="Y266" s="2584"/>
      <c r="Z266" s="2577"/>
      <c r="AA266" s="1172"/>
      <c r="AB266" s="2466"/>
      <c r="AC266" s="2571"/>
      <c r="AD266" s="2571"/>
      <c r="AE266" s="202"/>
      <c r="AF266" s="1068"/>
      <c r="AG266" s="1068"/>
    </row>
    <row r="267" spans="2:33" ht="15.5" hidden="1">
      <c r="B267" s="877"/>
      <c r="C267" s="104"/>
      <c r="D267" s="195" t="s">
        <v>1977</v>
      </c>
      <c r="E267" s="2565">
        <v>1.5</v>
      </c>
      <c r="F267" s="944"/>
      <c r="G267" s="167"/>
      <c r="H267" s="945"/>
      <c r="I267" s="945"/>
      <c r="J267" s="945"/>
      <c r="K267" s="945"/>
      <c r="L267" s="945"/>
      <c r="M267" s="945"/>
      <c r="N267" s="945"/>
      <c r="O267" s="167"/>
      <c r="P267" s="167"/>
      <c r="V267" s="2572"/>
      <c r="W267" s="202"/>
      <c r="X267" s="1420"/>
      <c r="Y267" s="1068"/>
      <c r="Z267" s="2571"/>
      <c r="AA267" s="2466"/>
      <c r="AB267" s="2466"/>
      <c r="AC267" s="2571"/>
      <c r="AD267" s="2571"/>
      <c r="AE267" s="202"/>
      <c r="AF267" s="1068"/>
      <c r="AG267" s="1068"/>
    </row>
    <row r="268" spans="2:33" ht="15.5" hidden="1">
      <c r="B268" s="877"/>
      <c r="C268" s="104"/>
      <c r="D268" s="65" t="s">
        <v>1978</v>
      </c>
      <c r="E268" s="103"/>
      <c r="F268" s="944"/>
      <c r="G268" s="167"/>
      <c r="H268" s="945"/>
      <c r="I268" s="945"/>
      <c r="J268" s="945"/>
      <c r="K268" s="945"/>
      <c r="L268" s="945"/>
      <c r="M268" s="945"/>
      <c r="N268" s="945"/>
      <c r="O268" s="167"/>
      <c r="P268" s="167"/>
      <c r="V268" s="2572"/>
      <c r="W268" s="202"/>
      <c r="X268" s="1420"/>
      <c r="Y268" s="1068"/>
      <c r="Z268" s="1068"/>
      <c r="AA268" s="2571"/>
      <c r="AB268" s="2466"/>
      <c r="AC268" s="2571"/>
      <c r="AD268" s="2571"/>
      <c r="AE268" s="202"/>
      <c r="AF268" s="1068"/>
      <c r="AG268" s="1068"/>
    </row>
    <row r="269" spans="2:33" ht="15.5" hidden="1">
      <c r="B269" s="877"/>
      <c r="C269" s="2582"/>
      <c r="D269" s="917" t="s">
        <v>1979</v>
      </c>
      <c r="E269" s="194"/>
      <c r="F269" s="949"/>
      <c r="G269" s="343"/>
      <c r="H269" s="950"/>
      <c r="I269" s="950"/>
      <c r="J269" s="950"/>
      <c r="K269" s="950"/>
      <c r="L269" s="950"/>
      <c r="M269" s="950"/>
      <c r="N269" s="950"/>
      <c r="O269" s="343"/>
      <c r="P269" s="167"/>
      <c r="V269" s="2572"/>
      <c r="W269" s="202"/>
      <c r="X269" s="1420"/>
      <c r="Y269" s="1068"/>
      <c r="Z269" s="2571"/>
      <c r="AA269" s="2571"/>
      <c r="AB269" s="2571"/>
      <c r="AC269" s="2571"/>
      <c r="AD269" s="2571"/>
      <c r="AE269" s="202"/>
      <c r="AF269" s="1068"/>
      <c r="AG269" s="1068"/>
    </row>
    <row r="270" spans="2:33" ht="15.5" hidden="1">
      <c r="B270" s="877"/>
      <c r="C270" s="104"/>
      <c r="D270" s="103"/>
      <c r="E270" s="103"/>
      <c r="F270" s="944"/>
      <c r="G270" s="2565"/>
      <c r="H270" s="945"/>
      <c r="I270" s="945"/>
      <c r="J270" s="945"/>
      <c r="K270" s="945"/>
      <c r="L270" s="945"/>
      <c r="M270" s="945"/>
      <c r="N270" s="945"/>
      <c r="O270" s="2565"/>
      <c r="P270" s="2565"/>
      <c r="V270" s="2572"/>
      <c r="W270" s="2542"/>
      <c r="X270" s="2542"/>
      <c r="Y270" s="2542"/>
      <c r="Z270" s="2573"/>
      <c r="AA270" s="2573"/>
      <c r="AB270" s="2466"/>
      <c r="AC270" s="2571"/>
      <c r="AD270" s="2571"/>
      <c r="AE270" s="202"/>
      <c r="AF270" s="1068"/>
      <c r="AG270" s="1068"/>
    </row>
    <row r="271" spans="2:33" ht="15.5" hidden="1">
      <c r="B271" s="877"/>
      <c r="C271" s="49" t="s">
        <v>1980</v>
      </c>
      <c r="D271" s="195"/>
      <c r="E271" s="67"/>
      <c r="F271" s="2477"/>
      <c r="G271" s="2477"/>
      <c r="H271" s="2477"/>
      <c r="I271" s="2477"/>
      <c r="J271" s="49"/>
      <c r="K271" s="67"/>
      <c r="L271" s="67"/>
      <c r="M271" s="67"/>
      <c r="N271" s="47"/>
      <c r="O271" s="3579" t="s">
        <v>2742</v>
      </c>
      <c r="P271" s="2477"/>
      <c r="V271" s="2572"/>
      <c r="W271" s="2525"/>
      <c r="X271" s="2525"/>
      <c r="Y271" s="2543"/>
      <c r="Z271" s="2577"/>
      <c r="AA271" s="2577"/>
      <c r="AB271" s="2466"/>
      <c r="AC271" s="2571"/>
      <c r="AD271" s="2571"/>
      <c r="AE271" s="202"/>
      <c r="AF271" s="1068"/>
      <c r="AG271" s="1068"/>
    </row>
    <row r="272" spans="2:33" ht="15.75" hidden="1" customHeight="1">
      <c r="B272" s="877"/>
      <c r="C272" s="1260" t="s">
        <v>131</v>
      </c>
      <c r="D272" s="2578" t="s">
        <v>71</v>
      </c>
      <c r="E272" s="1094"/>
      <c r="F272" s="971" t="s">
        <v>159</v>
      </c>
      <c r="G272" s="972">
        <v>2013</v>
      </c>
      <c r="H272" s="965">
        <v>2015</v>
      </c>
      <c r="I272" s="965">
        <v>2020</v>
      </c>
      <c r="J272" s="965">
        <v>2025</v>
      </c>
      <c r="K272" s="965">
        <v>2030</v>
      </c>
      <c r="L272" s="965">
        <v>2035</v>
      </c>
      <c r="M272" s="965">
        <v>2040</v>
      </c>
      <c r="N272" s="965">
        <v>2045</v>
      </c>
      <c r="O272" s="965">
        <v>2050</v>
      </c>
      <c r="P272" s="2579"/>
      <c r="R272" s="1068"/>
      <c r="S272" s="1068"/>
      <c r="T272" s="1068"/>
      <c r="V272" s="2572"/>
      <c r="W272" s="202"/>
      <c r="X272" s="1420"/>
      <c r="Y272" s="1068"/>
      <c r="Z272" s="2571"/>
      <c r="AA272" s="2466"/>
      <c r="AB272" s="2466"/>
      <c r="AC272" s="2571"/>
      <c r="AD272" s="2571"/>
      <c r="AE272" s="202"/>
      <c r="AF272" s="1068"/>
      <c r="AG272" s="1068"/>
    </row>
    <row r="273" spans="2:33" ht="15.5" hidden="1">
      <c r="B273" s="877"/>
      <c r="C273" s="2580"/>
      <c r="D273" s="1170" t="s">
        <v>372</v>
      </c>
      <c r="E273" s="964"/>
      <c r="F273" s="957"/>
      <c r="G273" s="1531"/>
      <c r="H273" s="1071"/>
      <c r="I273" s="1071"/>
      <c r="J273" s="1071"/>
      <c r="K273" s="1071"/>
      <c r="L273" s="1071"/>
      <c r="M273" s="1071"/>
      <c r="N273" s="1071"/>
      <c r="O273" s="1531"/>
      <c r="P273" s="167"/>
      <c r="R273" s="1164"/>
      <c r="S273" s="1164"/>
      <c r="T273" s="1068"/>
      <c r="V273" s="2572"/>
      <c r="W273" s="202"/>
      <c r="X273" s="1420"/>
      <c r="Y273" s="1068"/>
      <c r="Z273" s="1068"/>
      <c r="AA273" s="2571"/>
      <c r="AB273" s="2466"/>
      <c r="AC273" s="2571"/>
      <c r="AD273" s="2571"/>
      <c r="AE273" s="202"/>
      <c r="AF273" s="1068"/>
      <c r="AG273" s="1068"/>
    </row>
    <row r="274" spans="2:33" ht="15.5" hidden="1">
      <c r="B274" s="877"/>
      <c r="C274" s="104"/>
      <c r="D274" s="65" t="s">
        <v>371</v>
      </c>
      <c r="E274" s="67"/>
      <c r="F274" s="944"/>
      <c r="G274" s="167"/>
      <c r="H274" s="945"/>
      <c r="I274" s="945"/>
      <c r="J274" s="945"/>
      <c r="K274" s="945"/>
      <c r="L274" s="945"/>
      <c r="M274" s="945"/>
      <c r="N274" s="945"/>
      <c r="O274" s="167"/>
      <c r="P274" s="167"/>
      <c r="R274" s="1164"/>
      <c r="S274" s="1164"/>
      <c r="T274" s="1068"/>
      <c r="V274" s="2572"/>
      <c r="W274" s="202"/>
      <c r="X274" s="1420"/>
      <c r="Y274" s="1068"/>
      <c r="Z274" s="2571"/>
      <c r="AA274" s="2571"/>
      <c r="AB274" s="2571"/>
      <c r="AC274" s="2571"/>
      <c r="AD274" s="2571"/>
      <c r="AE274" s="202"/>
      <c r="AF274" s="1068"/>
      <c r="AG274" s="1068"/>
    </row>
    <row r="275" spans="2:33" ht="15.5" hidden="1">
      <c r="B275" s="877"/>
      <c r="C275" s="104"/>
      <c r="D275" s="65" t="s">
        <v>1971</v>
      </c>
      <c r="E275" s="67"/>
      <c r="F275" s="944"/>
      <c r="G275" s="167"/>
      <c r="H275" s="933"/>
      <c r="I275" s="933"/>
      <c r="J275" s="933"/>
      <c r="K275" s="933"/>
      <c r="L275" s="933"/>
      <c r="M275" s="933"/>
      <c r="N275" s="933"/>
      <c r="O275" s="167"/>
      <c r="P275" s="167"/>
      <c r="R275" s="1164"/>
      <c r="S275" s="1164"/>
      <c r="T275" s="1068"/>
      <c r="V275" s="2572"/>
      <c r="W275" s="2542"/>
      <c r="X275" s="2542"/>
      <c r="Y275" s="2542"/>
      <c r="Z275" s="2573"/>
      <c r="AA275" s="2573"/>
      <c r="AB275" s="2466"/>
      <c r="AC275" s="4335"/>
      <c r="AD275" s="4335"/>
      <c r="AE275" s="202"/>
      <c r="AF275" s="1068"/>
      <c r="AG275" s="1068"/>
    </row>
    <row r="276" spans="2:33" ht="15.5" hidden="1">
      <c r="B276" s="877"/>
      <c r="C276" s="104"/>
      <c r="D276" s="65" t="s">
        <v>1972</v>
      </c>
      <c r="E276" s="67"/>
      <c r="F276" s="944"/>
      <c r="G276" s="167"/>
      <c r="H276" s="945"/>
      <c r="I276" s="945"/>
      <c r="J276" s="945"/>
      <c r="K276" s="945"/>
      <c r="L276" s="945"/>
      <c r="M276" s="945"/>
      <c r="N276" s="945"/>
      <c r="O276" s="167"/>
      <c r="P276" s="167"/>
      <c r="R276" s="2159"/>
      <c r="S276" s="2159"/>
      <c r="T276" s="1068"/>
      <c r="V276" s="2572"/>
      <c r="W276" s="2525"/>
      <c r="X276" s="2525"/>
      <c r="Y276" s="2543"/>
      <c r="Z276" s="2577"/>
      <c r="AA276" s="2577"/>
      <c r="AB276" s="2466"/>
      <c r="AC276" s="4335"/>
      <c r="AD276" s="4335"/>
      <c r="AE276" s="202"/>
      <c r="AF276" s="1068"/>
      <c r="AG276" s="1068"/>
    </row>
    <row r="277" spans="2:33" ht="15.75" hidden="1" customHeight="1">
      <c r="B277" s="105"/>
      <c r="C277" s="2582"/>
      <c r="D277" s="917" t="s">
        <v>1973</v>
      </c>
      <c r="E277" s="969"/>
      <c r="F277" s="949"/>
      <c r="G277" s="343"/>
      <c r="H277" s="950"/>
      <c r="I277" s="950"/>
      <c r="J277" s="950"/>
      <c r="K277" s="950"/>
      <c r="L277" s="950"/>
      <c r="M277" s="950"/>
      <c r="N277" s="950"/>
      <c r="O277" s="343"/>
      <c r="P277" s="167"/>
      <c r="R277" s="1164"/>
      <c r="S277" s="1164"/>
      <c r="T277" s="1068"/>
      <c r="V277" s="2572"/>
      <c r="W277" s="202"/>
      <c r="X277" s="1420"/>
      <c r="Y277" s="1068"/>
      <c r="Z277" s="2571"/>
      <c r="AA277" s="2466"/>
      <c r="AB277" s="2466"/>
      <c r="AC277" s="4335"/>
      <c r="AD277" s="4335"/>
      <c r="AE277" s="202"/>
      <c r="AF277" s="1068"/>
      <c r="AG277" s="1068"/>
    </row>
    <row r="278" spans="2:33" hidden="1">
      <c r="B278" s="105"/>
      <c r="C278" s="104"/>
      <c r="D278" s="103"/>
      <c r="E278" s="103"/>
      <c r="F278" s="944"/>
      <c r="G278" s="2565"/>
      <c r="H278" s="945"/>
      <c r="I278" s="945"/>
      <c r="J278" s="945"/>
      <c r="K278" s="945"/>
      <c r="L278" s="945"/>
      <c r="M278" s="945"/>
      <c r="N278" s="945"/>
      <c r="O278" s="2565"/>
      <c r="P278" s="2565"/>
      <c r="R278" s="1068"/>
      <c r="S278" s="1068"/>
      <c r="T278" s="1068"/>
      <c r="V278" s="1068"/>
      <c r="W278" s="1068"/>
      <c r="X278" s="1068"/>
      <c r="Y278" s="1068"/>
      <c r="Z278" s="1068"/>
      <c r="AA278" s="1068"/>
      <c r="AB278" s="2585"/>
      <c r="AC278" s="2585"/>
      <c r="AD278" s="2586"/>
      <c r="AE278" s="2587"/>
      <c r="AF278" s="2587"/>
      <c r="AG278" s="1068"/>
    </row>
    <row r="279" spans="2:33" hidden="1">
      <c r="B279" s="105"/>
      <c r="C279" s="49" t="s">
        <v>1981</v>
      </c>
      <c r="D279" s="103"/>
      <c r="E279" s="103"/>
      <c r="F279" s="47"/>
      <c r="G279" s="47"/>
      <c r="H279" s="47"/>
      <c r="I279" s="47"/>
      <c r="J279" s="47"/>
      <c r="K279" s="47"/>
      <c r="L279" s="47"/>
      <c r="M279" s="47"/>
      <c r="N279" s="47"/>
      <c r="O279" s="3579" t="s">
        <v>2747</v>
      </c>
      <c r="P279" s="2477"/>
      <c r="R279" s="1068"/>
      <c r="S279" s="1068"/>
      <c r="T279" s="1068"/>
      <c r="V279" s="1068"/>
      <c r="W279" s="202"/>
      <c r="X279" s="2588"/>
      <c r="Y279" s="1419"/>
      <c r="Z279" s="2588"/>
      <c r="AA279" s="2588"/>
      <c r="AB279" s="2588"/>
      <c r="AC279" s="2588"/>
      <c r="AD279" s="2588"/>
      <c r="AE279" s="2588"/>
      <c r="AF279" s="2588"/>
      <c r="AG279" s="1068"/>
    </row>
    <row r="280" spans="2:33" hidden="1">
      <c r="B280" s="105"/>
      <c r="C280" s="1527" t="s">
        <v>131</v>
      </c>
      <c r="D280" s="1527" t="s">
        <v>71</v>
      </c>
      <c r="E280" s="1527" t="s">
        <v>1975</v>
      </c>
      <c r="F280" s="971" t="s">
        <v>159</v>
      </c>
      <c r="G280" s="972">
        <v>2013</v>
      </c>
      <c r="H280" s="965">
        <v>2015</v>
      </c>
      <c r="I280" s="965">
        <v>2020</v>
      </c>
      <c r="J280" s="965">
        <v>2025</v>
      </c>
      <c r="K280" s="965">
        <v>2030</v>
      </c>
      <c r="L280" s="965">
        <v>2035</v>
      </c>
      <c r="M280" s="965">
        <v>2040</v>
      </c>
      <c r="N280" s="965">
        <v>2045</v>
      </c>
      <c r="O280" s="965">
        <v>2050</v>
      </c>
      <c r="P280" s="2579"/>
      <c r="R280" s="1068"/>
      <c r="S280" s="1068"/>
      <c r="T280" s="1068"/>
      <c r="V280" s="1068"/>
      <c r="W280" s="1068"/>
      <c r="X280" s="1068"/>
      <c r="Y280" s="1068"/>
      <c r="Z280" s="1068"/>
      <c r="AA280" s="1068"/>
      <c r="AB280" s="1068"/>
      <c r="AC280" s="1068"/>
      <c r="AD280" s="1068"/>
      <c r="AE280" s="1068"/>
      <c r="AF280" s="1068"/>
      <c r="AG280" s="1068"/>
    </row>
    <row r="281" spans="2:33" hidden="1">
      <c r="B281" s="105"/>
      <c r="C281" s="2580"/>
      <c r="D281" s="1170" t="s">
        <v>1976</v>
      </c>
      <c r="E281" s="2583">
        <v>1.9</v>
      </c>
      <c r="F281" s="957"/>
      <c r="G281" s="2589"/>
      <c r="H281" s="1071"/>
      <c r="I281" s="1071"/>
      <c r="J281" s="1071"/>
      <c r="K281" s="1071"/>
      <c r="L281" s="1071"/>
      <c r="M281" s="1071"/>
      <c r="N281" s="1071"/>
      <c r="O281" s="2589"/>
      <c r="P281" s="2590"/>
      <c r="R281" s="1068"/>
      <c r="S281" s="1068"/>
      <c r="T281" s="1068"/>
    </row>
    <row r="282" spans="2:33" hidden="1">
      <c r="B282" s="105"/>
      <c r="C282" s="104"/>
      <c r="D282" s="195" t="s">
        <v>1977</v>
      </c>
      <c r="E282" s="2565">
        <v>1.5</v>
      </c>
      <c r="F282" s="944"/>
      <c r="G282" s="2590"/>
      <c r="H282" s="945"/>
      <c r="I282" s="945"/>
      <c r="J282" s="945"/>
      <c r="K282" s="945"/>
      <c r="L282" s="945"/>
      <c r="M282" s="945"/>
      <c r="N282" s="945"/>
      <c r="O282" s="2590"/>
      <c r="P282" s="2590"/>
      <c r="R282" s="1068"/>
      <c r="S282" s="1068"/>
      <c r="T282" s="1068"/>
    </row>
    <row r="283" spans="2:33" hidden="1">
      <c r="B283" s="895"/>
      <c r="C283" s="104"/>
      <c r="D283" s="65" t="s">
        <v>1978</v>
      </c>
      <c r="E283" s="103"/>
      <c r="F283" s="944"/>
      <c r="G283" s="2590"/>
      <c r="H283" s="945"/>
      <c r="I283" s="945"/>
      <c r="J283" s="945"/>
      <c r="K283" s="945"/>
      <c r="L283" s="945"/>
      <c r="M283" s="945"/>
      <c r="N283" s="945"/>
      <c r="O283" s="2590"/>
      <c r="P283" s="2590"/>
      <c r="R283" s="1068"/>
      <c r="S283" s="1068"/>
      <c r="T283" s="1068"/>
    </row>
    <row r="284" spans="2:33" hidden="1">
      <c r="B284" s="895"/>
      <c r="C284" s="2582"/>
      <c r="D284" s="917" t="s">
        <v>1979</v>
      </c>
      <c r="E284" s="194"/>
      <c r="F284" s="949"/>
      <c r="G284" s="2591"/>
      <c r="H284" s="950"/>
      <c r="I284" s="950"/>
      <c r="J284" s="950"/>
      <c r="K284" s="950"/>
      <c r="L284" s="950"/>
      <c r="M284" s="950"/>
      <c r="N284" s="950"/>
      <c r="O284" s="2591"/>
      <c r="P284" s="2590"/>
      <c r="R284" s="1068"/>
      <c r="S284" s="1068"/>
      <c r="T284" s="1068"/>
    </row>
    <row r="285" spans="2:33" ht="15.5" hidden="1" collapsed="1">
      <c r="B285" s="877"/>
      <c r="C285" s="104"/>
      <c r="D285" s="103"/>
      <c r="E285" s="103"/>
      <c r="F285" s="944"/>
      <c r="G285" s="2565"/>
      <c r="H285" s="945"/>
      <c r="I285" s="945"/>
      <c r="J285" s="945"/>
      <c r="K285" s="945"/>
      <c r="L285" s="945"/>
      <c r="M285" s="945"/>
      <c r="N285" s="945"/>
      <c r="O285" s="2565"/>
      <c r="P285" s="2565"/>
    </row>
    <row r="286" spans="2:33" ht="15.5" hidden="1">
      <c r="B286" s="877"/>
      <c r="C286" s="49" t="s">
        <v>1982</v>
      </c>
      <c r="D286" s="195"/>
      <c r="E286" s="67"/>
      <c r="F286" s="2477"/>
      <c r="G286" s="2477"/>
      <c r="H286" s="2477"/>
      <c r="I286" s="2477"/>
      <c r="J286" s="49"/>
      <c r="K286" s="67"/>
      <c r="L286" s="67"/>
      <c r="M286" s="67"/>
      <c r="N286" s="47"/>
      <c r="O286" s="3579" t="s">
        <v>2742</v>
      </c>
      <c r="P286" s="2477"/>
    </row>
    <row r="287" spans="2:33" ht="15.5" hidden="1">
      <c r="B287" s="877"/>
      <c r="C287" s="1260" t="s">
        <v>131</v>
      </c>
      <c r="D287" s="2578" t="s">
        <v>71</v>
      </c>
      <c r="E287" s="1094"/>
      <c r="F287" s="954" t="s">
        <v>159</v>
      </c>
      <c r="G287" s="955">
        <v>2013</v>
      </c>
      <c r="H287" s="965">
        <v>2015</v>
      </c>
      <c r="I287" s="965">
        <v>2020</v>
      </c>
      <c r="J287" s="965">
        <v>2025</v>
      </c>
      <c r="K287" s="965">
        <v>2030</v>
      </c>
      <c r="L287" s="965">
        <v>2035</v>
      </c>
      <c r="M287" s="965">
        <v>2040</v>
      </c>
      <c r="N287" s="965">
        <v>2045</v>
      </c>
      <c r="O287" s="965">
        <v>2050</v>
      </c>
      <c r="P287" s="2579"/>
    </row>
    <row r="288" spans="2:33" ht="15.5" hidden="1">
      <c r="B288" s="877"/>
      <c r="C288" s="2580"/>
      <c r="D288" s="1170" t="s">
        <v>372</v>
      </c>
      <c r="E288" s="964"/>
      <c r="F288" s="957"/>
      <c r="G288" s="1531"/>
      <c r="H288" s="1071"/>
      <c r="I288" s="1071"/>
      <c r="J288" s="1071"/>
      <c r="K288" s="1071"/>
      <c r="L288" s="1071"/>
      <c r="M288" s="1071"/>
      <c r="N288" s="1071"/>
      <c r="O288" s="1531"/>
      <c r="P288" s="167"/>
      <c r="R288" s="2571"/>
      <c r="S288" s="2571"/>
      <c r="T288" s="2571"/>
      <c r="U288" s="2571"/>
      <c r="V288" s="2571"/>
      <c r="W288" s="202"/>
      <c r="X288" s="1068"/>
      <c r="Y288" s="1068"/>
      <c r="Z288" s="1068"/>
      <c r="AA288" s="1068"/>
      <c r="AB288" s="2571"/>
    </row>
    <row r="289" spans="2:28" ht="15.5" hidden="1">
      <c r="B289" s="877"/>
      <c r="C289" s="104"/>
      <c r="D289" s="65" t="s">
        <v>371</v>
      </c>
      <c r="E289" s="67"/>
      <c r="F289" s="944"/>
      <c r="G289" s="167"/>
      <c r="H289" s="945"/>
      <c r="I289" s="945"/>
      <c r="J289" s="945"/>
      <c r="K289" s="945"/>
      <c r="L289" s="945"/>
      <c r="M289" s="945"/>
      <c r="N289" s="945"/>
      <c r="O289" s="167"/>
      <c r="P289" s="167"/>
      <c r="R289" s="2522"/>
      <c r="S289" s="2592"/>
      <c r="T289" s="2593"/>
      <c r="U289" s="2593"/>
      <c r="V289" s="2593"/>
      <c r="W289" s="2593"/>
      <c r="X289" s="2593"/>
      <c r="Y289" s="2593"/>
      <c r="Z289" s="2593"/>
      <c r="AA289" s="2593"/>
      <c r="AB289" s="2593"/>
    </row>
    <row r="290" spans="2:28" ht="15.5" hidden="1">
      <c r="B290" s="877"/>
      <c r="C290" s="104"/>
      <c r="D290" s="65" t="s">
        <v>1971</v>
      </c>
      <c r="E290" s="67"/>
      <c r="F290" s="944"/>
      <c r="G290" s="167"/>
      <c r="H290" s="945"/>
      <c r="I290" s="945"/>
      <c r="J290" s="945"/>
      <c r="K290" s="945"/>
      <c r="L290" s="945"/>
      <c r="M290" s="945"/>
      <c r="N290" s="945"/>
      <c r="O290" s="167"/>
      <c r="P290" s="167"/>
      <c r="R290" s="1172"/>
      <c r="S290" s="2594"/>
      <c r="T290" s="2594"/>
      <c r="U290" s="2529"/>
      <c r="V290" s="2529"/>
      <c r="W290" s="2529"/>
      <c r="X290" s="2529"/>
      <c r="Y290" s="2529"/>
      <c r="Z290" s="2529"/>
      <c r="AA290" s="2529"/>
      <c r="AB290" s="2594"/>
    </row>
    <row r="291" spans="2:28" ht="15.5" hidden="1">
      <c r="B291" s="877"/>
      <c r="C291" s="104"/>
      <c r="D291" s="65" t="s">
        <v>1972</v>
      </c>
      <c r="E291" s="67"/>
      <c r="F291" s="944"/>
      <c r="G291" s="167"/>
      <c r="H291" s="945"/>
      <c r="I291" s="945"/>
      <c r="J291" s="945"/>
      <c r="K291" s="945"/>
      <c r="L291" s="945"/>
      <c r="M291" s="945"/>
      <c r="N291" s="945"/>
      <c r="O291" s="167"/>
      <c r="P291" s="167"/>
      <c r="R291" s="1172"/>
      <c r="S291" s="2594"/>
      <c r="T291" s="2594"/>
      <c r="U291" s="2529"/>
      <c r="V291" s="2529"/>
      <c r="W291" s="2529"/>
      <c r="X291" s="2529"/>
      <c r="Y291" s="2529"/>
      <c r="Z291" s="2529"/>
      <c r="AA291" s="2529"/>
      <c r="AB291" s="2594"/>
    </row>
    <row r="292" spans="2:28" ht="15.5" hidden="1">
      <c r="B292" s="877"/>
      <c r="C292" s="2582"/>
      <c r="D292" s="917" t="s">
        <v>1973</v>
      </c>
      <c r="E292" s="969"/>
      <c r="F292" s="949"/>
      <c r="G292" s="343"/>
      <c r="H292" s="950"/>
      <c r="I292" s="950"/>
      <c r="J292" s="950"/>
      <c r="K292" s="950"/>
      <c r="L292" s="950"/>
      <c r="M292" s="950"/>
      <c r="N292" s="950"/>
      <c r="O292" s="343"/>
      <c r="P292" s="167"/>
      <c r="R292" s="512"/>
      <c r="S292" s="2594"/>
      <c r="T292" s="2594"/>
      <c r="U292" s="2529"/>
      <c r="V292" s="2529"/>
      <c r="W292" s="2529"/>
      <c r="X292" s="2529"/>
      <c r="Y292" s="2529"/>
      <c r="Z292" s="2529"/>
      <c r="AA292" s="2529"/>
      <c r="AB292" s="2594"/>
    </row>
    <row r="293" spans="2:28" hidden="1">
      <c r="B293" s="47"/>
      <c r="C293" s="47"/>
      <c r="D293" s="47"/>
      <c r="E293" s="47"/>
      <c r="F293" s="47"/>
      <c r="G293" s="47"/>
      <c r="H293" s="47"/>
      <c r="I293" s="47"/>
      <c r="J293" s="47"/>
      <c r="K293" s="47"/>
      <c r="L293" s="47"/>
      <c r="M293" s="47"/>
      <c r="N293" s="47"/>
      <c r="O293" s="47"/>
      <c r="P293" s="67"/>
    </row>
    <row r="294" spans="2:28" hidden="1">
      <c r="B294" s="105"/>
      <c r="C294" s="49" t="s">
        <v>1983</v>
      </c>
      <c r="D294" s="103"/>
      <c r="E294" s="103"/>
      <c r="F294" s="47"/>
      <c r="G294" s="47"/>
      <c r="H294" s="47"/>
      <c r="I294" s="47"/>
      <c r="J294" s="47"/>
      <c r="K294" s="47"/>
      <c r="L294" s="47"/>
      <c r="M294" s="47"/>
      <c r="N294" s="47"/>
      <c r="O294" s="3579" t="s">
        <v>2747</v>
      </c>
      <c r="P294" s="2477"/>
    </row>
    <row r="295" spans="2:28" hidden="1">
      <c r="B295" s="105"/>
      <c r="C295" s="1527" t="s">
        <v>131</v>
      </c>
      <c r="D295" s="1527" t="s">
        <v>71</v>
      </c>
      <c r="E295" s="1527" t="s">
        <v>1975</v>
      </c>
      <c r="F295" s="971" t="s">
        <v>159</v>
      </c>
      <c r="G295" s="972">
        <v>2013</v>
      </c>
      <c r="H295" s="965">
        <v>2015</v>
      </c>
      <c r="I295" s="965">
        <v>2020</v>
      </c>
      <c r="J295" s="965">
        <v>2025</v>
      </c>
      <c r="K295" s="965">
        <v>2030</v>
      </c>
      <c r="L295" s="965">
        <v>2035</v>
      </c>
      <c r="M295" s="965">
        <v>2040</v>
      </c>
      <c r="N295" s="965">
        <v>2045</v>
      </c>
      <c r="O295" s="965">
        <v>2050</v>
      </c>
      <c r="P295" s="2579"/>
    </row>
    <row r="296" spans="2:28" hidden="1">
      <c r="B296" s="105"/>
      <c r="C296" s="2580"/>
      <c r="D296" s="1170" t="s">
        <v>1976</v>
      </c>
      <c r="E296" s="2583">
        <v>1.9</v>
      </c>
      <c r="F296" s="957"/>
      <c r="G296" s="1531"/>
      <c r="H296" s="1071"/>
      <c r="I296" s="1071"/>
      <c r="J296" s="1071"/>
      <c r="K296" s="1071"/>
      <c r="L296" s="1071"/>
      <c r="M296" s="1071"/>
      <c r="N296" s="1071"/>
      <c r="O296" s="1531"/>
      <c r="P296" s="167"/>
    </row>
    <row r="297" spans="2:28" hidden="1">
      <c r="B297" s="105"/>
      <c r="C297" s="104"/>
      <c r="D297" s="195" t="s">
        <v>1977</v>
      </c>
      <c r="E297" s="2565">
        <v>1.5</v>
      </c>
      <c r="F297" s="944"/>
      <c r="G297" s="167"/>
      <c r="H297" s="945"/>
      <c r="I297" s="945"/>
      <c r="J297" s="945"/>
      <c r="K297" s="945"/>
      <c r="L297" s="945"/>
      <c r="M297" s="945"/>
      <c r="N297" s="945"/>
      <c r="O297" s="167"/>
      <c r="P297" s="167"/>
    </row>
    <row r="298" spans="2:28" hidden="1">
      <c r="B298" s="895"/>
      <c r="C298" s="104"/>
      <c r="D298" s="65" t="s">
        <v>1978</v>
      </c>
      <c r="E298" s="103"/>
      <c r="F298" s="944"/>
      <c r="G298" s="167"/>
      <c r="H298" s="945"/>
      <c r="I298" s="945"/>
      <c r="J298" s="945"/>
      <c r="K298" s="945"/>
      <c r="L298" s="945"/>
      <c r="M298" s="945"/>
      <c r="N298" s="945"/>
      <c r="O298" s="167"/>
      <c r="P298" s="167"/>
    </row>
    <row r="299" spans="2:28" hidden="1">
      <c r="B299" s="895"/>
      <c r="C299" s="2582"/>
      <c r="D299" s="917" t="s">
        <v>1979</v>
      </c>
      <c r="E299" s="194"/>
      <c r="F299" s="949"/>
      <c r="G299" s="343"/>
      <c r="H299" s="950"/>
      <c r="I299" s="950"/>
      <c r="J299" s="950"/>
      <c r="K299" s="950"/>
      <c r="L299" s="950"/>
      <c r="M299" s="950"/>
      <c r="N299" s="950"/>
      <c r="O299" s="343"/>
      <c r="P299" s="167"/>
    </row>
    <row r="300" spans="2:28" ht="15.5" hidden="1">
      <c r="B300" s="877"/>
      <c r="C300" s="104"/>
      <c r="D300" s="103"/>
      <c r="E300" s="103"/>
      <c r="F300" s="944"/>
      <c r="G300" s="2565"/>
      <c r="H300" s="945"/>
      <c r="I300" s="945"/>
      <c r="J300" s="945"/>
      <c r="K300" s="945"/>
      <c r="L300" s="945"/>
      <c r="M300" s="945"/>
      <c r="N300" s="945"/>
      <c r="O300" s="2565"/>
      <c r="P300" s="2565"/>
    </row>
    <row r="301" spans="2:28" hidden="1">
      <c r="B301" s="47"/>
      <c r="C301" s="2595" t="s">
        <v>63</v>
      </c>
      <c r="D301" s="2596" t="s">
        <v>1984</v>
      </c>
      <c r="E301" s="2597"/>
      <c r="F301" s="2598"/>
      <c r="G301" s="47"/>
      <c r="H301" s="47"/>
      <c r="I301" s="47"/>
      <c r="J301" s="47"/>
      <c r="K301" s="47"/>
      <c r="L301" s="47"/>
      <c r="M301" s="47"/>
      <c r="N301" s="47"/>
      <c r="O301" s="47"/>
      <c r="P301" s="67"/>
    </row>
    <row r="302" spans="2:28" hidden="1">
      <c r="B302" s="47"/>
      <c r="C302" s="47"/>
      <c r="D302" s="47"/>
      <c r="E302" s="47"/>
      <c r="F302" s="47"/>
      <c r="G302" s="47"/>
      <c r="H302" s="47"/>
      <c r="I302" s="47"/>
      <c r="J302" s="47"/>
      <c r="K302" s="47"/>
      <c r="L302" s="47"/>
      <c r="M302" s="47"/>
      <c r="N302" s="47"/>
      <c r="O302" s="47"/>
      <c r="P302" s="67"/>
    </row>
    <row r="303" spans="2:28">
      <c r="Q303" s="1068"/>
    </row>
    <row r="304" spans="2:28" ht="15">
      <c r="B304" s="869" t="s">
        <v>177</v>
      </c>
      <c r="C304" s="1272"/>
      <c r="D304" s="1272"/>
      <c r="E304" s="1272"/>
      <c r="F304" s="1272"/>
      <c r="G304" s="1272"/>
      <c r="H304" s="1272"/>
      <c r="I304" s="1272"/>
      <c r="J304" s="1272"/>
      <c r="K304" s="1272"/>
      <c r="L304" s="1272"/>
      <c r="M304" s="1272"/>
      <c r="N304" s="1272"/>
      <c r="O304" s="1272"/>
      <c r="P304" s="1272"/>
      <c r="Q304" s="1068"/>
      <c r="U304" s="6"/>
      <c r="V304" s="6"/>
      <c r="W304" s="6"/>
      <c r="X304" s="6"/>
      <c r="Y304" s="6"/>
    </row>
    <row r="305" spans="2:25">
      <c r="B305" s="105"/>
      <c r="C305" s="67"/>
      <c r="D305" s="67"/>
      <c r="E305" s="67"/>
      <c r="F305" s="67"/>
      <c r="G305" s="67"/>
      <c r="H305" s="67"/>
      <c r="I305" s="67"/>
      <c r="J305" s="67"/>
      <c r="K305" s="67"/>
      <c r="L305" s="67"/>
      <c r="M305" s="67"/>
      <c r="N305" s="67"/>
      <c r="O305" s="67"/>
      <c r="P305" s="67"/>
      <c r="Q305" s="1068"/>
      <c r="U305" s="6"/>
      <c r="V305" s="6"/>
      <c r="W305" s="6"/>
      <c r="X305" s="6"/>
      <c r="Y305" s="6"/>
    </row>
    <row r="306" spans="2:25">
      <c r="B306" s="105"/>
      <c r="C306" s="67" t="s">
        <v>1985</v>
      </c>
      <c r="D306" s="67"/>
      <c r="E306" s="67"/>
      <c r="F306" s="67"/>
      <c r="G306" s="67"/>
      <c r="H306" s="67"/>
      <c r="I306" s="67"/>
      <c r="J306" s="67"/>
      <c r="K306" s="67"/>
      <c r="L306" s="67"/>
      <c r="M306" s="67"/>
      <c r="N306" s="67"/>
      <c r="O306" s="67"/>
      <c r="P306" s="67"/>
      <c r="Q306" s="1068"/>
      <c r="U306" s="6"/>
      <c r="V306" s="6"/>
      <c r="W306" s="6"/>
      <c r="X306" s="6"/>
      <c r="Y306" s="6"/>
    </row>
    <row r="307" spans="2:25">
      <c r="B307" s="105"/>
      <c r="C307" s="67"/>
      <c r="D307" s="67"/>
      <c r="E307" s="67"/>
      <c r="F307" s="67"/>
      <c r="G307" s="67"/>
      <c r="H307" s="67"/>
      <c r="I307" s="67"/>
      <c r="J307" s="67"/>
      <c r="K307" s="67"/>
      <c r="L307" s="67"/>
      <c r="M307" s="67"/>
      <c r="N307" s="67"/>
      <c r="O307" s="67"/>
      <c r="P307" s="67"/>
      <c r="Q307" s="1068"/>
      <c r="U307" s="6"/>
      <c r="V307" s="6"/>
      <c r="W307" s="6"/>
      <c r="X307" s="6"/>
      <c r="Y307" s="6"/>
    </row>
    <row r="308" spans="2:25">
      <c r="B308" s="105"/>
      <c r="C308" s="49" t="s">
        <v>1885</v>
      </c>
      <c r="D308" s="67"/>
      <c r="E308" s="50"/>
      <c r="F308" s="67"/>
      <c r="G308" s="67"/>
      <c r="H308" s="67"/>
      <c r="I308" s="67"/>
      <c r="J308" s="67"/>
      <c r="K308" s="67"/>
      <c r="L308" s="67"/>
      <c r="M308" s="67"/>
      <c r="N308" s="51" t="str">
        <f>Preferences.AreaUnits</f>
        <v>km^2</v>
      </c>
      <c r="O308" s="67"/>
      <c r="P308" s="67"/>
      <c r="Q308" s="1068"/>
      <c r="U308" s="6"/>
      <c r="V308" s="6"/>
      <c r="W308" s="6"/>
      <c r="X308" s="6"/>
      <c r="Y308" s="6"/>
    </row>
    <row r="309" spans="2:25">
      <c r="B309" s="105"/>
      <c r="C309" s="67"/>
      <c r="D309" s="67"/>
      <c r="E309" s="67"/>
      <c r="F309" s="67"/>
      <c r="G309" s="67"/>
      <c r="H309" s="67"/>
      <c r="I309" s="67"/>
      <c r="J309" s="67"/>
      <c r="K309" s="67"/>
      <c r="L309" s="67"/>
      <c r="M309" s="67"/>
      <c r="N309" s="67"/>
      <c r="O309" s="67"/>
      <c r="P309" s="67"/>
      <c r="Q309" s="1068"/>
      <c r="U309" s="6"/>
      <c r="V309" s="6"/>
      <c r="W309" s="6"/>
      <c r="X309" s="6"/>
      <c r="Y309" s="6"/>
    </row>
    <row r="310" spans="2:25" ht="15.5">
      <c r="B310" s="55"/>
      <c r="C310" s="878" t="s">
        <v>773</v>
      </c>
      <c r="D310" s="878" t="s">
        <v>71</v>
      </c>
      <c r="E310" s="878" t="s">
        <v>30</v>
      </c>
      <c r="F310" s="899">
        <v>2013</v>
      </c>
      <c r="G310" s="87">
        <v>2015</v>
      </c>
      <c r="H310" s="87">
        <v>2020</v>
      </c>
      <c r="I310" s="87">
        <v>2025</v>
      </c>
      <c r="J310" s="87">
        <v>2030</v>
      </c>
      <c r="K310" s="87">
        <v>2035</v>
      </c>
      <c r="L310" s="87">
        <v>2040</v>
      </c>
      <c r="M310" s="87">
        <v>2045</v>
      </c>
      <c r="N310" s="87">
        <v>2050</v>
      </c>
      <c r="O310" s="67"/>
      <c r="P310" s="67"/>
      <c r="Q310" s="1068"/>
      <c r="U310" s="6"/>
      <c r="V310" s="6"/>
      <c r="W310" s="6"/>
      <c r="X310" s="6"/>
      <c r="Y310" s="6"/>
    </row>
    <row r="311" spans="2:25" ht="15.5">
      <c r="B311" s="55"/>
      <c r="C311" s="1083" t="s">
        <v>1887</v>
      </c>
      <c r="D311" s="881" t="s">
        <v>1886</v>
      </c>
      <c r="E311" s="1306"/>
      <c r="F311" s="342">
        <f t="shared" ref="F311:N318" si="27">SUMIFS(F$20:F$51, $C$20:$C$51, $E$9, $E$20:$E$51, $C311)</f>
        <v>11554</v>
      </c>
      <c r="G311" s="1429">
        <f t="shared" si="27"/>
        <v>11554</v>
      </c>
      <c r="H311" s="342">
        <f t="shared" si="27"/>
        <v>11554</v>
      </c>
      <c r="I311" s="342">
        <f t="shared" si="27"/>
        <v>11554</v>
      </c>
      <c r="J311" s="342">
        <f t="shared" si="27"/>
        <v>11554</v>
      </c>
      <c r="K311" s="342">
        <f t="shared" si="27"/>
        <v>11554</v>
      </c>
      <c r="L311" s="342">
        <f t="shared" si="27"/>
        <v>11554</v>
      </c>
      <c r="M311" s="342">
        <f t="shared" si="27"/>
        <v>11554</v>
      </c>
      <c r="N311" s="342">
        <f t="shared" si="27"/>
        <v>11554</v>
      </c>
      <c r="O311" s="67"/>
      <c r="P311" s="67"/>
      <c r="Q311" s="1068"/>
      <c r="U311" s="6"/>
      <c r="V311" s="6"/>
      <c r="W311" s="6"/>
      <c r="X311" s="6"/>
      <c r="Y311" s="6"/>
    </row>
    <row r="312" spans="2:25" ht="15.5">
      <c r="B312" s="55"/>
      <c r="C312" s="65" t="s">
        <v>669</v>
      </c>
      <c r="D312" s="103" t="s">
        <v>1888</v>
      </c>
      <c r="E312" s="1256"/>
      <c r="F312" s="167">
        <f t="shared" si="27"/>
        <v>123</v>
      </c>
      <c r="G312" s="1430">
        <f t="shared" si="27"/>
        <v>123</v>
      </c>
      <c r="H312" s="167">
        <f t="shared" si="27"/>
        <v>123</v>
      </c>
      <c r="I312" s="167">
        <f t="shared" si="27"/>
        <v>123</v>
      </c>
      <c r="J312" s="167">
        <f t="shared" si="27"/>
        <v>123</v>
      </c>
      <c r="K312" s="167">
        <f t="shared" si="27"/>
        <v>123</v>
      </c>
      <c r="L312" s="167">
        <f t="shared" si="27"/>
        <v>123</v>
      </c>
      <c r="M312" s="167">
        <f t="shared" si="27"/>
        <v>123</v>
      </c>
      <c r="N312" s="167">
        <f t="shared" si="27"/>
        <v>123</v>
      </c>
      <c r="O312" s="67"/>
      <c r="P312" s="67"/>
      <c r="Q312" s="1068"/>
      <c r="U312" s="6"/>
      <c r="V312" s="6"/>
      <c r="W312" s="6"/>
      <c r="X312" s="6"/>
      <c r="Y312" s="6"/>
    </row>
    <row r="313" spans="2:25" ht="15.5">
      <c r="B313" s="55"/>
      <c r="C313" s="65" t="s">
        <v>1890</v>
      </c>
      <c r="D313" s="103" t="s">
        <v>1889</v>
      </c>
      <c r="E313" s="1256"/>
      <c r="F313" s="167">
        <f t="shared" si="27"/>
        <v>33</v>
      </c>
      <c r="G313" s="1430">
        <f t="shared" si="27"/>
        <v>33</v>
      </c>
      <c r="H313" s="167">
        <f t="shared" si="27"/>
        <v>33</v>
      </c>
      <c r="I313" s="167">
        <f t="shared" si="27"/>
        <v>33</v>
      </c>
      <c r="J313" s="167">
        <f t="shared" si="27"/>
        <v>33</v>
      </c>
      <c r="K313" s="167">
        <f t="shared" si="27"/>
        <v>33</v>
      </c>
      <c r="L313" s="167">
        <f t="shared" si="27"/>
        <v>33</v>
      </c>
      <c r="M313" s="167">
        <f t="shared" si="27"/>
        <v>33</v>
      </c>
      <c r="N313" s="167">
        <f t="shared" si="27"/>
        <v>33</v>
      </c>
      <c r="O313" s="67"/>
      <c r="P313" s="67"/>
      <c r="Q313" s="1068"/>
      <c r="U313" s="6"/>
      <c r="V313" s="6"/>
      <c r="W313" s="6"/>
      <c r="X313" s="6"/>
      <c r="Y313" s="6"/>
    </row>
    <row r="314" spans="2:25" ht="15.5">
      <c r="B314" s="55"/>
      <c r="C314" s="65" t="s">
        <v>1892</v>
      </c>
      <c r="D314" s="103" t="s">
        <v>1891</v>
      </c>
      <c r="E314" s="1256"/>
      <c r="F314" s="167">
        <f t="shared" si="27"/>
        <v>0</v>
      </c>
      <c r="G314" s="1430">
        <f t="shared" si="27"/>
        <v>0</v>
      </c>
      <c r="H314" s="167">
        <f t="shared" si="27"/>
        <v>0</v>
      </c>
      <c r="I314" s="167">
        <f t="shared" si="27"/>
        <v>0</v>
      </c>
      <c r="J314" s="167">
        <f t="shared" si="27"/>
        <v>0</v>
      </c>
      <c r="K314" s="167">
        <f t="shared" si="27"/>
        <v>0</v>
      </c>
      <c r="L314" s="167">
        <f t="shared" si="27"/>
        <v>0</v>
      </c>
      <c r="M314" s="167">
        <f t="shared" si="27"/>
        <v>0</v>
      </c>
      <c r="N314" s="167">
        <f t="shared" si="27"/>
        <v>0</v>
      </c>
      <c r="O314" s="67"/>
      <c r="P314" s="67"/>
      <c r="Q314" s="1068"/>
      <c r="U314" s="6"/>
      <c r="V314" s="6"/>
      <c r="W314" s="6"/>
      <c r="X314" s="6"/>
      <c r="Y314" s="6"/>
    </row>
    <row r="315" spans="2:25" ht="15.5">
      <c r="B315" s="55"/>
      <c r="C315" s="65" t="s">
        <v>238</v>
      </c>
      <c r="D315" s="103" t="s">
        <v>1893</v>
      </c>
      <c r="E315" s="1256"/>
      <c r="F315" s="167">
        <f t="shared" si="27"/>
        <v>33620</v>
      </c>
      <c r="G315" s="1430">
        <f t="shared" si="27"/>
        <v>33620</v>
      </c>
      <c r="H315" s="167">
        <f t="shared" si="27"/>
        <v>33620</v>
      </c>
      <c r="I315" s="167">
        <f t="shared" si="27"/>
        <v>33620</v>
      </c>
      <c r="J315" s="167">
        <f t="shared" si="27"/>
        <v>33620</v>
      </c>
      <c r="K315" s="167">
        <f t="shared" si="27"/>
        <v>33620</v>
      </c>
      <c r="L315" s="167">
        <f t="shared" si="27"/>
        <v>33620</v>
      </c>
      <c r="M315" s="167">
        <f t="shared" si="27"/>
        <v>33620</v>
      </c>
      <c r="N315" s="167">
        <f t="shared" si="27"/>
        <v>33620</v>
      </c>
      <c r="O315" s="67"/>
      <c r="P315" s="67"/>
      <c r="Q315" s="1068"/>
    </row>
    <row r="316" spans="2:25" ht="15.5">
      <c r="B316" s="55"/>
      <c r="C316" s="65" t="s">
        <v>1895</v>
      </c>
      <c r="D316" s="103" t="s">
        <v>1894</v>
      </c>
      <c r="E316" s="1256"/>
      <c r="F316" s="167">
        <f t="shared" si="27"/>
        <v>1746.91</v>
      </c>
      <c r="G316" s="1430">
        <f t="shared" si="27"/>
        <v>1773.0302955658001</v>
      </c>
      <c r="H316" s="167">
        <f t="shared" si="27"/>
        <v>1838.3310344802901</v>
      </c>
      <c r="I316" s="167">
        <f t="shared" si="27"/>
        <v>1903.6317733947899</v>
      </c>
      <c r="J316" s="167">
        <f t="shared" si="27"/>
        <v>1968.9325123092799</v>
      </c>
      <c r="K316" s="167">
        <f t="shared" si="27"/>
        <v>2034.2332512237799</v>
      </c>
      <c r="L316" s="167">
        <f t="shared" si="27"/>
        <v>2099.5339901382699</v>
      </c>
      <c r="M316" s="167">
        <f t="shared" si="27"/>
        <v>2164.8347290527699</v>
      </c>
      <c r="N316" s="167">
        <f t="shared" si="27"/>
        <v>2230.13546796726</v>
      </c>
      <c r="O316" s="67"/>
      <c r="P316" s="67"/>
      <c r="Q316" s="1068"/>
    </row>
    <row r="317" spans="2:25" ht="15.5">
      <c r="B317" s="55"/>
      <c r="C317" s="65" t="s">
        <v>451</v>
      </c>
      <c r="D317" s="103" t="s">
        <v>1896</v>
      </c>
      <c r="E317" s="1256"/>
      <c r="F317" s="167">
        <f t="shared" si="27"/>
        <v>7566</v>
      </c>
      <c r="G317" s="1430">
        <f t="shared" si="27"/>
        <v>7652.4864864864903</v>
      </c>
      <c r="H317" s="167">
        <f t="shared" si="27"/>
        <v>7868.7027027026998</v>
      </c>
      <c r="I317" s="167">
        <f t="shared" si="27"/>
        <v>8084.9189189189201</v>
      </c>
      <c r="J317" s="167">
        <f t="shared" si="27"/>
        <v>8301.1351351351295</v>
      </c>
      <c r="K317" s="167">
        <f t="shared" si="27"/>
        <v>8517.3513513513499</v>
      </c>
      <c r="L317" s="167">
        <f t="shared" si="27"/>
        <v>8733.5675675675702</v>
      </c>
      <c r="M317" s="167">
        <f t="shared" si="27"/>
        <v>8949.7837837837797</v>
      </c>
      <c r="N317" s="167">
        <f t="shared" si="27"/>
        <v>9166</v>
      </c>
      <c r="O317" s="67"/>
      <c r="P317" s="67"/>
      <c r="Q317" s="1068"/>
    </row>
    <row r="318" spans="2:25" ht="15.5">
      <c r="B318" s="55"/>
      <c r="C318" s="917" t="s">
        <v>1897</v>
      </c>
      <c r="D318" s="194" t="s">
        <v>402</v>
      </c>
      <c r="E318" s="1310"/>
      <c r="F318" s="343">
        <f t="shared" si="27"/>
        <v>14247.09</v>
      </c>
      <c r="G318" s="1433">
        <f t="shared" si="27"/>
        <v>14134.4832179477</v>
      </c>
      <c r="H318" s="343">
        <f t="shared" si="27"/>
        <v>13852.966262817001</v>
      </c>
      <c r="I318" s="343">
        <f t="shared" si="27"/>
        <v>13571.4493076863</v>
      </c>
      <c r="J318" s="343">
        <f t="shared" si="27"/>
        <v>13289.932352555599</v>
      </c>
      <c r="K318" s="343">
        <f t="shared" si="27"/>
        <v>13008.4153974249</v>
      </c>
      <c r="L318" s="343">
        <f t="shared" si="27"/>
        <v>12726.898442294199</v>
      </c>
      <c r="M318" s="343">
        <f t="shared" si="27"/>
        <v>12445.3814871635</v>
      </c>
      <c r="N318" s="343">
        <f t="shared" si="27"/>
        <v>12163.8645320327</v>
      </c>
      <c r="O318" s="67"/>
      <c r="P318" s="67"/>
      <c r="Q318" s="1068"/>
    </row>
    <row r="319" spans="2:25" ht="15.5">
      <c r="B319" s="55"/>
      <c r="C319" s="65"/>
      <c r="D319" s="103"/>
      <c r="E319" s="1256"/>
      <c r="F319" s="167">
        <f>SUM(F311:F318)</f>
        <v>68890</v>
      </c>
      <c r="G319" s="167">
        <f t="shared" ref="G319:N319" si="28">SUM(G311:G318)</f>
        <v>68889.999999999985</v>
      </c>
      <c r="H319" s="167">
        <f t="shared" si="28"/>
        <v>68889.999999999985</v>
      </c>
      <c r="I319" s="167">
        <f t="shared" si="28"/>
        <v>68890</v>
      </c>
      <c r="J319" s="167">
        <f t="shared" si="28"/>
        <v>68890</v>
      </c>
      <c r="K319" s="167">
        <f t="shared" si="28"/>
        <v>68890.000000000029</v>
      </c>
      <c r="L319" s="167">
        <f t="shared" si="28"/>
        <v>68890.000000000044</v>
      </c>
      <c r="M319" s="167">
        <f t="shared" si="28"/>
        <v>68890.000000000044</v>
      </c>
      <c r="N319" s="167">
        <f t="shared" si="28"/>
        <v>68889.999999999956</v>
      </c>
      <c r="O319" s="67"/>
      <c r="P319" s="67"/>
      <c r="Q319" s="1068"/>
    </row>
    <row r="320" spans="2:25">
      <c r="B320" s="105"/>
      <c r="C320" s="67"/>
      <c r="D320" s="67"/>
      <c r="E320" s="67"/>
      <c r="F320" s="67"/>
      <c r="G320" s="67"/>
      <c r="H320" s="67"/>
      <c r="I320" s="67"/>
      <c r="J320" s="67"/>
      <c r="K320" s="67"/>
      <c r="L320" s="67"/>
      <c r="M320" s="67"/>
      <c r="N320" s="67"/>
      <c r="O320" s="67"/>
      <c r="P320" s="67"/>
      <c r="Q320" s="1068"/>
    </row>
    <row r="321" spans="1:41">
      <c r="B321" s="105"/>
      <c r="C321" s="49" t="s">
        <v>3185</v>
      </c>
      <c r="D321" s="67"/>
      <c r="E321" s="50"/>
      <c r="F321" s="51"/>
      <c r="G321" s="67"/>
      <c r="H321" s="67"/>
      <c r="I321" s="67"/>
      <c r="J321" s="67"/>
      <c r="K321" s="67"/>
      <c r="L321" s="67"/>
      <c r="M321" s="67"/>
      <c r="N321" s="51" t="s">
        <v>1933</v>
      </c>
      <c r="O321" s="67"/>
      <c r="P321" s="67"/>
      <c r="Q321" s="1068"/>
      <c r="AO321" s="67" t="s">
        <v>5</v>
      </c>
    </row>
    <row r="322" spans="1:41">
      <c r="B322" s="105"/>
      <c r="C322" s="67"/>
      <c r="D322" s="67"/>
      <c r="E322" s="67"/>
      <c r="F322" s="67"/>
      <c r="G322" s="67"/>
      <c r="H322" s="67"/>
      <c r="I322" s="67"/>
      <c r="J322" s="67"/>
      <c r="K322" s="67"/>
      <c r="L322" s="67"/>
      <c r="M322" s="67"/>
      <c r="N322" s="67"/>
      <c r="O322" s="67"/>
      <c r="P322" s="67"/>
      <c r="Q322" s="1068"/>
    </row>
    <row r="323" spans="1:41" s="6" customFormat="1" ht="23.5">
      <c r="A323" s="7"/>
      <c r="B323" s="55"/>
      <c r="C323" s="878" t="s">
        <v>773</v>
      </c>
      <c r="D323" s="878" t="s">
        <v>71</v>
      </c>
      <c r="E323" s="878" t="s">
        <v>1986</v>
      </c>
      <c r="F323" s="899">
        <v>2013</v>
      </c>
      <c r="G323" s="87">
        <v>2015</v>
      </c>
      <c r="H323" s="87">
        <v>2020</v>
      </c>
      <c r="I323" s="87">
        <v>2025</v>
      </c>
      <c r="J323" s="87">
        <v>2030</v>
      </c>
      <c r="K323" s="87">
        <v>2035</v>
      </c>
      <c r="L323" s="87">
        <v>2040</v>
      </c>
      <c r="M323" s="87">
        <v>2045</v>
      </c>
      <c r="N323" s="87">
        <v>2050</v>
      </c>
      <c r="O323" s="67"/>
      <c r="P323" s="67" t="s">
        <v>980</v>
      </c>
      <c r="Q323" s="1068"/>
      <c r="R323" s="2476"/>
      <c r="S323" s="2476"/>
      <c r="T323" s="2476"/>
      <c r="U323" s="2476"/>
      <c r="V323" s="2476"/>
      <c r="W323" s="2476"/>
      <c r="X323" s="2476"/>
      <c r="Y323" s="2476"/>
    </row>
    <row r="324" spans="1:41" s="6" customFormat="1" ht="15.5">
      <c r="A324" s="2476"/>
      <c r="B324" s="55"/>
      <c r="C324" s="65">
        <v>1</v>
      </c>
      <c r="D324" s="103" t="s">
        <v>3184</v>
      </c>
      <c r="E324" s="2648">
        <f>INDEX($G65:$J65, MATCH($E$8, $G$64:$J$64, 0))</f>
        <v>0.01</v>
      </c>
      <c r="F324" s="342">
        <f t="array" ref="F324:F326">F$142:F$144</f>
        <v>1082</v>
      </c>
      <c r="G324" s="3925">
        <f t="shared" ref="G324:N324" si="29">$F324*(1+$E324)^(G$323-$F$323)</f>
        <v>1103.7482</v>
      </c>
      <c r="H324" s="2599">
        <f t="shared" si="29"/>
        <v>1160.0504509797847</v>
      </c>
      <c r="I324" s="2599">
        <f t="shared" si="29"/>
        <v>1219.2246826027913</v>
      </c>
      <c r="J324" s="2599">
        <f t="shared" si="29"/>
        <v>1281.4173947455165</v>
      </c>
      <c r="K324" s="2599">
        <f t="shared" si="29"/>
        <v>1346.782560250497</v>
      </c>
      <c r="L324" s="2599">
        <f t="shared" si="29"/>
        <v>1415.4820061226808</v>
      </c>
      <c r="M324" s="2599">
        <f t="shared" si="29"/>
        <v>1487.6858141706475</v>
      </c>
      <c r="N324" s="2599">
        <f t="shared" si="29"/>
        <v>1563.5727420845517</v>
      </c>
      <c r="O324" s="75">
        <f>(N324-F324)/F324</f>
        <v>0.44507647142749696</v>
      </c>
      <c r="P324" s="1348">
        <f>(SUM(N324:N326)-SUM(F324:F326))/SUM(F324:F326)</f>
        <v>0.14597455369137885</v>
      </c>
      <c r="Q324" s="1068"/>
      <c r="R324" s="2476"/>
      <c r="S324" s="2476"/>
      <c r="T324" s="2476"/>
      <c r="U324" s="2476"/>
      <c r="V324" s="2476"/>
      <c r="W324" s="2476"/>
      <c r="X324" s="2476"/>
      <c r="Y324" s="2476"/>
    </row>
    <row r="325" spans="1:41" s="6" customFormat="1" ht="15.5">
      <c r="A325" s="2476"/>
      <c r="B325" s="55"/>
      <c r="C325" s="65">
        <v>2</v>
      </c>
      <c r="D325" s="103" t="s">
        <v>3679</v>
      </c>
      <c r="E325" s="2648">
        <f>INDEX($G66:$J66, MATCH($E$8, $G$64:$J$64, 0))</f>
        <v>0</v>
      </c>
      <c r="F325" s="167">
        <v>5227</v>
      </c>
      <c r="G325" s="1430">
        <f t="shared" ref="G325:N326" si="30">$F325*(1+$E325)^(G$323-$F$323)</f>
        <v>5227</v>
      </c>
      <c r="H325" s="2599">
        <f t="shared" si="30"/>
        <v>5227</v>
      </c>
      <c r="I325" s="2599">
        <f t="shared" si="30"/>
        <v>5227</v>
      </c>
      <c r="J325" s="2599">
        <f t="shared" si="30"/>
        <v>5227</v>
      </c>
      <c r="K325" s="2599">
        <f t="shared" si="30"/>
        <v>5227</v>
      </c>
      <c r="L325" s="2599">
        <f t="shared" si="30"/>
        <v>5227</v>
      </c>
      <c r="M325" s="2599">
        <f t="shared" si="30"/>
        <v>5227</v>
      </c>
      <c r="N325" s="2599">
        <f t="shared" si="30"/>
        <v>5227</v>
      </c>
      <c r="O325" s="75">
        <f>(N325-F325)/F325</f>
        <v>0</v>
      </c>
      <c r="P325" s="67"/>
      <c r="Q325" s="1068"/>
      <c r="R325" s="2476"/>
      <c r="S325" s="2476"/>
      <c r="T325" s="2476"/>
      <c r="U325" s="2476"/>
      <c r="V325" s="2476"/>
      <c r="W325" s="2476"/>
      <c r="X325" s="2476"/>
      <c r="Y325" s="2476"/>
    </row>
    <row r="326" spans="1:41" s="6" customFormat="1" ht="15.5">
      <c r="A326" s="2476"/>
      <c r="B326" s="55"/>
      <c r="C326" s="887">
        <v>3</v>
      </c>
      <c r="D326" s="888" t="s">
        <v>3680</v>
      </c>
      <c r="E326" s="2649">
        <f>INDEX($G67:$J67, MATCH($E$8, $G$64:$J$64, 0))</f>
        <v>0.01</v>
      </c>
      <c r="F326" s="343">
        <v>1469</v>
      </c>
      <c r="G326" s="1433">
        <f t="shared" si="30"/>
        <v>1498.5269000000001</v>
      </c>
      <c r="H326" s="2600">
        <f t="shared" si="30"/>
        <v>1574.9668322451973</v>
      </c>
      <c r="I326" s="2600">
        <f t="shared" si="30"/>
        <v>1655.3059692638635</v>
      </c>
      <c r="J326" s="2600">
        <f t="shared" si="30"/>
        <v>1739.7432096868426</v>
      </c>
      <c r="K326" s="2600">
        <f t="shared" si="30"/>
        <v>1828.4875979741034</v>
      </c>
      <c r="L326" s="2600">
        <f t="shared" si="30"/>
        <v>1921.7588419539909</v>
      </c>
      <c r="M326" s="2600">
        <f t="shared" si="30"/>
        <v>2019.7878567621824</v>
      </c>
      <c r="N326" s="2600">
        <f t="shared" si="30"/>
        <v>2122.8173365269927</v>
      </c>
      <c r="O326" s="75">
        <f>(N326-F326)/F326</f>
        <v>0.44507647142749673</v>
      </c>
      <c r="P326" s="67"/>
      <c r="Q326" s="1068"/>
      <c r="R326" s="2476"/>
      <c r="S326" s="2476"/>
      <c r="T326" s="2476"/>
      <c r="U326" s="2476"/>
      <c r="V326" s="2476"/>
      <c r="W326" s="2476"/>
      <c r="X326" s="2476"/>
      <c r="Y326" s="2476"/>
    </row>
    <row r="327" spans="1:41" s="6" customFormat="1">
      <c r="A327" s="2476"/>
      <c r="B327" s="105"/>
      <c r="C327" s="3843" t="s">
        <v>3196</v>
      </c>
      <c r="D327" s="67"/>
      <c r="E327" s="67"/>
      <c r="F327" s="3926">
        <f t="array" ref="F327">F$142:F$143</f>
        <v>1082</v>
      </c>
      <c r="G327" s="3926">
        <v>1125</v>
      </c>
      <c r="H327" s="3927">
        <v>1250</v>
      </c>
      <c r="I327" s="3927">
        <v>1420</v>
      </c>
      <c r="J327" s="3927">
        <v>1450</v>
      </c>
      <c r="K327" s="3927">
        <v>1450</v>
      </c>
      <c r="L327" s="3927">
        <v>1420</v>
      </c>
      <c r="M327" s="3927">
        <v>1420</v>
      </c>
      <c r="N327" s="3927">
        <v>1420</v>
      </c>
      <c r="O327" s="75"/>
      <c r="P327" s="67"/>
      <c r="Q327" s="1068"/>
      <c r="R327" s="2476"/>
      <c r="S327" s="2476"/>
      <c r="T327" s="2476"/>
      <c r="U327" s="2476"/>
      <c r="V327" s="2476"/>
      <c r="W327" s="2476"/>
      <c r="X327" s="2476"/>
      <c r="Y327" s="2476"/>
    </row>
    <row r="328" spans="1:41" s="6" customFormat="1">
      <c r="A328" s="2476"/>
      <c r="B328" s="105"/>
      <c r="C328" s="3828" t="s">
        <v>3195</v>
      </c>
      <c r="D328" s="67"/>
      <c r="E328" s="67"/>
      <c r="F328" s="3926"/>
      <c r="G328" s="3926"/>
      <c r="H328" s="3927"/>
      <c r="I328" s="3927"/>
      <c r="J328" s="3927"/>
      <c r="K328" s="3927"/>
      <c r="L328" s="3927"/>
      <c r="M328" s="3927"/>
      <c r="N328" s="3927"/>
      <c r="O328" s="67"/>
      <c r="P328" s="67"/>
      <c r="Q328" s="1068"/>
      <c r="R328" s="2476"/>
      <c r="S328" s="2476"/>
      <c r="T328" s="2476"/>
      <c r="U328" s="2476"/>
      <c r="V328" s="2476"/>
      <c r="W328" s="2476"/>
      <c r="X328" s="2476"/>
      <c r="Y328" s="2476"/>
    </row>
    <row r="329" spans="1:41" s="6" customFormat="1">
      <c r="A329" s="2476"/>
      <c r="B329" s="105"/>
      <c r="C329" s="67" t="s">
        <v>1987</v>
      </c>
      <c r="D329" s="67"/>
      <c r="E329" s="67" t="s">
        <v>5</v>
      </c>
      <c r="F329" s="67" t="s">
        <v>5</v>
      </c>
      <c r="G329" s="1586"/>
      <c r="H329" s="1586"/>
      <c r="I329" s="67"/>
      <c r="J329" s="67"/>
      <c r="K329" s="67"/>
      <c r="L329" s="67"/>
      <c r="M329" s="67"/>
      <c r="N329" s="67"/>
      <c r="O329" s="67"/>
      <c r="P329" s="67"/>
      <c r="Q329" s="1068"/>
      <c r="R329" s="2476"/>
      <c r="S329" s="2476"/>
      <c r="T329" s="2476"/>
      <c r="U329" s="2476"/>
      <c r="V329" s="2476"/>
      <c r="W329" s="2476"/>
      <c r="X329" s="2476"/>
      <c r="Y329" s="2476"/>
    </row>
    <row r="330" spans="1:41" s="6" customFormat="1">
      <c r="A330" s="2476"/>
      <c r="B330" s="105"/>
      <c r="C330" s="67"/>
      <c r="D330" s="67"/>
      <c r="E330" s="67" t="s">
        <v>5</v>
      </c>
      <c r="F330" s="67" t="s">
        <v>5</v>
      </c>
      <c r="G330" s="67" t="s">
        <v>5</v>
      </c>
      <c r="H330" s="67" t="s">
        <v>5</v>
      </c>
      <c r="I330" s="67"/>
      <c r="J330" s="67"/>
      <c r="K330" s="67"/>
      <c r="L330" s="67"/>
      <c r="M330" s="67"/>
      <c r="N330" s="67"/>
      <c r="O330" s="67"/>
      <c r="P330" s="67"/>
      <c r="Q330" s="1068"/>
      <c r="R330" s="2476"/>
      <c r="S330" s="2476"/>
      <c r="T330" s="2476"/>
      <c r="U330" s="2476"/>
      <c r="V330" s="2476"/>
      <c r="W330" s="2476"/>
      <c r="X330" s="2476"/>
      <c r="Y330" s="2476"/>
    </row>
    <row r="331" spans="1:41" s="6" customFormat="1">
      <c r="A331" s="2476"/>
      <c r="B331" s="105"/>
      <c r="C331" s="49" t="s">
        <v>1988</v>
      </c>
      <c r="D331" s="67"/>
      <c r="E331" s="67"/>
      <c r="F331" s="67"/>
      <c r="G331" s="67"/>
      <c r="H331" s="67"/>
      <c r="I331" s="67"/>
      <c r="J331" s="67"/>
      <c r="K331" s="67"/>
      <c r="L331" s="67"/>
      <c r="M331" s="67"/>
      <c r="N331" s="51" t="s">
        <v>1989</v>
      </c>
      <c r="O331" s="67"/>
      <c r="P331" s="67"/>
      <c r="Q331" s="1068"/>
      <c r="R331" s="2476"/>
      <c r="S331" s="2476"/>
      <c r="T331" s="2476"/>
      <c r="U331" s="2476"/>
      <c r="V331" s="2476"/>
      <c r="W331" s="2476"/>
      <c r="X331" s="2476"/>
      <c r="Y331" s="2476"/>
    </row>
    <row r="332" spans="1:41" s="6" customFormat="1">
      <c r="A332" s="2476"/>
      <c r="B332" s="105"/>
      <c r="C332" s="67"/>
      <c r="D332" s="67"/>
      <c r="E332" s="67"/>
      <c r="F332" s="67"/>
      <c r="G332" s="67"/>
      <c r="H332" s="67"/>
      <c r="I332" s="67"/>
      <c r="J332" s="67"/>
      <c r="K332" s="67"/>
      <c r="L332" s="67"/>
      <c r="M332" s="67"/>
      <c r="N332" s="67"/>
      <c r="O332" s="67"/>
      <c r="P332" s="67"/>
      <c r="Q332" s="1068"/>
      <c r="R332" s="2476"/>
      <c r="S332" s="2476"/>
      <c r="T332" s="2476"/>
      <c r="U332" s="2476"/>
      <c r="V332" s="2476"/>
      <c r="W332" s="2476"/>
      <c r="X332" s="2476"/>
      <c r="Y332" s="2476"/>
    </row>
    <row r="333" spans="1:41" s="6" customFormat="1" ht="15.5">
      <c r="A333" s="2476"/>
      <c r="B333" s="966"/>
      <c r="C333" s="878" t="s">
        <v>773</v>
      </c>
      <c r="D333" s="878" t="s">
        <v>71</v>
      </c>
      <c r="E333" s="878" t="s">
        <v>1986</v>
      </c>
      <c r="F333" s="900">
        <v>2013</v>
      </c>
      <c r="G333" s="87">
        <v>2015</v>
      </c>
      <c r="H333" s="87">
        <v>2020</v>
      </c>
      <c r="I333" s="87">
        <v>2025</v>
      </c>
      <c r="J333" s="87">
        <v>2030</v>
      </c>
      <c r="K333" s="87">
        <v>2035</v>
      </c>
      <c r="L333" s="87">
        <v>2040</v>
      </c>
      <c r="M333" s="87">
        <v>2045</v>
      </c>
      <c r="N333" s="87">
        <v>2050</v>
      </c>
      <c r="O333" s="103"/>
      <c r="P333" s="103"/>
      <c r="Q333" s="647"/>
      <c r="U333" s="2476"/>
      <c r="V333" s="2476"/>
      <c r="W333" s="2476"/>
      <c r="X333" s="2476"/>
      <c r="Y333" s="2476"/>
    </row>
    <row r="334" spans="1:41" ht="15.5">
      <c r="B334" s="966"/>
      <c r="C334" s="65" t="s">
        <v>1901</v>
      </c>
      <c r="D334" s="103" t="s">
        <v>1752</v>
      </c>
      <c r="E334" s="2648">
        <f>INDEX($G72:$J72, MATCH($E$9, $G$71:$J$71, 0))</f>
        <v>1.475507415268118E-2</v>
      </c>
      <c r="F334" s="59">
        <f t="array" ref="F334:F343">F151:F160</f>
        <v>9.6999999999999993</v>
      </c>
      <c r="G334" s="2601">
        <f t="shared" ref="G334:N343" si="31">$F334*(1+$E334)^(G$333-$F$333)</f>
        <v>9.9883602470305508</v>
      </c>
      <c r="H334" s="1025">
        <f t="shared" si="31"/>
        <v>10.747324343966705</v>
      </c>
      <c r="I334" s="1025">
        <f t="shared" si="31"/>
        <v>11.563958217141595</v>
      </c>
      <c r="J334" s="1025">
        <f t="shared" si="31"/>
        <v>12.442643896093704</v>
      </c>
      <c r="K334" s="1025">
        <f t="shared" si="31"/>
        <v>13.388096378237046</v>
      </c>
      <c r="L334" s="1025">
        <f t="shared" si="31"/>
        <v>14.405388929376629</v>
      </c>
      <c r="M334" s="1025">
        <f t="shared" si="31"/>
        <v>15.499980306679904</v>
      </c>
      <c r="N334" s="1025">
        <f t="shared" si="31"/>
        <v>16.677744050181726</v>
      </c>
      <c r="O334" s="103"/>
      <c r="P334" s="103"/>
      <c r="Q334" s="647"/>
      <c r="S334" s="6"/>
      <c r="T334" s="6"/>
    </row>
    <row r="335" spans="1:41" ht="15.5">
      <c r="B335" s="966"/>
      <c r="C335" s="65" t="s">
        <v>1901</v>
      </c>
      <c r="D335" s="103" t="s">
        <v>1902</v>
      </c>
      <c r="E335" s="2648">
        <f>INDEX($G73:$J73, MATCH($E$9, $G$71:$J$71, 0))</f>
        <v>1.475507415268118E-2</v>
      </c>
      <c r="F335" s="59">
        <v>3</v>
      </c>
      <c r="G335" s="138">
        <f t="shared" si="31"/>
        <v>3.0891835815558406</v>
      </c>
      <c r="H335" s="59">
        <f t="shared" si="31"/>
        <v>3.3239147455567135</v>
      </c>
      <c r="I335" s="59">
        <f t="shared" si="31"/>
        <v>3.5764819228272975</v>
      </c>
      <c r="J335" s="59">
        <f t="shared" si="31"/>
        <v>3.8482403802351666</v>
      </c>
      <c r="K335" s="59">
        <f t="shared" si="31"/>
        <v>4.1406483644032104</v>
      </c>
      <c r="L335" s="59">
        <f t="shared" si="31"/>
        <v>4.4552749266113292</v>
      </c>
      <c r="M335" s="59">
        <f t="shared" si="31"/>
        <v>4.7938083422721354</v>
      </c>
      <c r="N335" s="59">
        <f t="shared" si="31"/>
        <v>5.158065170159297</v>
      </c>
      <c r="O335" s="103"/>
      <c r="P335" s="103"/>
      <c r="Q335" s="647"/>
      <c r="S335" s="6"/>
      <c r="T335" s="6"/>
    </row>
    <row r="336" spans="1:41" ht="15.5">
      <c r="B336" s="966"/>
      <c r="C336" s="65" t="s">
        <v>1901</v>
      </c>
      <c r="D336" s="103" t="s">
        <v>1903</v>
      </c>
      <c r="E336" s="2648">
        <f>INDEX($G74:$J74, MATCH($E$9, $G$71:$J$71, 0))</f>
        <v>2.5000000000000001E-3</v>
      </c>
      <c r="F336" s="167">
        <v>10</v>
      </c>
      <c r="G336" s="1430">
        <f t="shared" si="31"/>
        <v>10.050062499999999</v>
      </c>
      <c r="H336" s="167">
        <f t="shared" si="31"/>
        <v>10.176317982442395</v>
      </c>
      <c r="I336" s="167">
        <f t="shared" si="31"/>
        <v>10.304159569135066</v>
      </c>
      <c r="J336" s="167">
        <f t="shared" si="31"/>
        <v>10.433607185760794</v>
      </c>
      <c r="K336" s="167">
        <f t="shared" si="31"/>
        <v>10.564681008321866</v>
      </c>
      <c r="L336" s="167">
        <f t="shared" si="31"/>
        <v>10.697401466284761</v>
      </c>
      <c r="M336" s="167">
        <f t="shared" si="31"/>
        <v>10.831789245764323</v>
      </c>
      <c r="N336" s="167">
        <f t="shared" si="31"/>
        <v>10.967865292747947</v>
      </c>
      <c r="O336" s="103"/>
      <c r="P336" s="103"/>
      <c r="Q336" s="647"/>
      <c r="R336" s="6"/>
      <c r="S336" s="6"/>
      <c r="T336" s="6"/>
    </row>
    <row r="337" spans="1:20" ht="15.5">
      <c r="B337" s="966"/>
      <c r="C337" s="103" t="s">
        <v>393</v>
      </c>
      <c r="D337" s="103" t="s">
        <v>1904</v>
      </c>
      <c r="E337" s="2648">
        <f>INDEX($G75:$J75, MATCH($E$9, $G$71:$J$71, 0))</f>
        <v>0</v>
      </c>
      <c r="F337" s="59">
        <v>3.28</v>
      </c>
      <c r="G337" s="138">
        <f t="shared" si="31"/>
        <v>3.28</v>
      </c>
      <c r="H337" s="59">
        <f t="shared" si="31"/>
        <v>3.28</v>
      </c>
      <c r="I337" s="59">
        <f t="shared" si="31"/>
        <v>3.28</v>
      </c>
      <c r="J337" s="59">
        <f t="shared" si="31"/>
        <v>3.28</v>
      </c>
      <c r="K337" s="59">
        <f t="shared" si="31"/>
        <v>3.28</v>
      </c>
      <c r="L337" s="59">
        <f t="shared" si="31"/>
        <v>3.28</v>
      </c>
      <c r="M337" s="59">
        <f t="shared" si="31"/>
        <v>3.28</v>
      </c>
      <c r="N337" s="59">
        <f t="shared" si="31"/>
        <v>3.28</v>
      </c>
      <c r="O337" s="103"/>
      <c r="P337" s="103"/>
      <c r="Q337" s="647"/>
      <c r="R337" s="6"/>
      <c r="S337" s="6"/>
      <c r="T337" s="6"/>
    </row>
    <row r="338" spans="1:20" ht="15.5">
      <c r="B338" s="966"/>
      <c r="C338" s="103" t="s">
        <v>393</v>
      </c>
      <c r="D338" s="103" t="s">
        <v>1905</v>
      </c>
      <c r="E338" s="2648">
        <f>INDEX($G76:$J76, MATCH($E$9, $G$71:$J$71, 0))</f>
        <v>0</v>
      </c>
      <c r="F338" s="59">
        <v>1.72</v>
      </c>
      <c r="G338" s="138">
        <f t="shared" si="31"/>
        <v>1.72</v>
      </c>
      <c r="H338" s="59">
        <f t="shared" si="31"/>
        <v>1.72</v>
      </c>
      <c r="I338" s="59">
        <f t="shared" si="31"/>
        <v>1.72</v>
      </c>
      <c r="J338" s="59">
        <f t="shared" si="31"/>
        <v>1.72</v>
      </c>
      <c r="K338" s="59">
        <f t="shared" si="31"/>
        <v>1.72</v>
      </c>
      <c r="L338" s="59">
        <f t="shared" si="31"/>
        <v>1.72</v>
      </c>
      <c r="M338" s="59">
        <f t="shared" si="31"/>
        <v>1.72</v>
      </c>
      <c r="N338" s="59">
        <f t="shared" si="31"/>
        <v>1.72</v>
      </c>
      <c r="O338" s="103"/>
      <c r="P338" s="103"/>
      <c r="Q338" s="647"/>
      <c r="R338" s="6"/>
      <c r="S338" s="6"/>
      <c r="T338" s="6"/>
    </row>
    <row r="339" spans="1:20" ht="15.5">
      <c r="B339" s="966"/>
      <c r="C339" s="103" t="s">
        <v>2254</v>
      </c>
      <c r="D339" s="103" t="s">
        <v>1936</v>
      </c>
      <c r="E339" s="2648">
        <v>5.0000000000000001E-3</v>
      </c>
      <c r="F339" s="59">
        <v>0.36499999999999999</v>
      </c>
      <c r="G339" s="138">
        <f t="shared" si="31"/>
        <v>0.36865912499999987</v>
      </c>
      <c r="H339" s="59">
        <f t="shared" si="31"/>
        <v>0.37796822988336765</v>
      </c>
      <c r="I339" s="59">
        <f t="shared" si="31"/>
        <v>0.3875124013305416</v>
      </c>
      <c r="J339" s="59">
        <f t="shared" si="31"/>
        <v>0.39729757506682645</v>
      </c>
      <c r="K339" s="59">
        <f t="shared" si="31"/>
        <v>0.40732983670202871</v>
      </c>
      <c r="L339" s="59">
        <f t="shared" si="31"/>
        <v>0.41761542551522923</v>
      </c>
      <c r="M339" s="59">
        <f t="shared" si="31"/>
        <v>0.42816073833512353</v>
      </c>
      <c r="N339" s="59">
        <f t="shared" si="31"/>
        <v>0.43897233351834825</v>
      </c>
      <c r="O339" s="103"/>
      <c r="P339" s="103"/>
      <c r="Q339" s="647"/>
      <c r="R339" s="6"/>
      <c r="S339" s="6"/>
      <c r="T339" s="6"/>
    </row>
    <row r="340" spans="1:20" ht="15.5">
      <c r="B340" s="966"/>
      <c r="C340" s="103" t="s">
        <v>2255</v>
      </c>
      <c r="D340" s="103" t="s">
        <v>1908</v>
      </c>
      <c r="E340" s="2648">
        <v>2E-3</v>
      </c>
      <c r="F340" s="167">
        <v>70</v>
      </c>
      <c r="G340" s="1430">
        <f t="shared" si="31"/>
        <v>70.280279999999991</v>
      </c>
      <c r="H340" s="167">
        <f t="shared" si="31"/>
        <v>70.985899639247052</v>
      </c>
      <c r="I340" s="167">
        <f t="shared" si="31"/>
        <v>71.698603756178215</v>
      </c>
      <c r="J340" s="167">
        <f t="shared" si="31"/>
        <v>72.418463479516717</v>
      </c>
      <c r="K340" s="167">
        <f t="shared" si="31"/>
        <v>73.145550652123916</v>
      </c>
      <c r="L340" s="167">
        <f t="shared" si="31"/>
        <v>73.879937838169283</v>
      </c>
      <c r="M340" s="167">
        <f t="shared" si="31"/>
        <v>74.621698330372283</v>
      </c>
      <c r="N340" s="167">
        <f t="shared" si="31"/>
        <v>75.370906157317208</v>
      </c>
      <c r="O340" s="103"/>
      <c r="P340" s="103"/>
      <c r="Q340" s="647"/>
      <c r="R340" s="6"/>
      <c r="S340" s="6"/>
      <c r="T340" s="6"/>
    </row>
    <row r="341" spans="1:20" ht="15.5">
      <c r="B341" s="966"/>
      <c r="C341" s="103" t="s">
        <v>2255</v>
      </c>
      <c r="D341" s="103" t="s">
        <v>1909</v>
      </c>
      <c r="E341" s="2648">
        <v>1E-3</v>
      </c>
      <c r="F341" s="59">
        <v>1.7</v>
      </c>
      <c r="G341" s="138">
        <f t="shared" si="31"/>
        <v>1.7034016999999995</v>
      </c>
      <c r="H341" s="59">
        <f t="shared" si="31"/>
        <v>1.7119357595595339</v>
      </c>
      <c r="I341" s="59">
        <f t="shared" si="31"/>
        <v>1.7205125748428451</v>
      </c>
      <c r="J341" s="59">
        <f t="shared" si="31"/>
        <v>1.7291323600565367</v>
      </c>
      <c r="K341" s="59">
        <f t="shared" si="31"/>
        <v>1.7377953304803895</v>
      </c>
      <c r="L341" s="59">
        <f t="shared" si="31"/>
        <v>1.7465017024727394</v>
      </c>
      <c r="M341" s="59">
        <f t="shared" si="31"/>
        <v>1.7552516934758777</v>
      </c>
      <c r="N341" s="59">
        <f t="shared" si="31"/>
        <v>1.7640455220214859</v>
      </c>
      <c r="O341" s="103"/>
      <c r="P341" s="103"/>
      <c r="Q341" s="647"/>
      <c r="R341" s="6"/>
      <c r="S341" s="6"/>
      <c r="T341" s="6"/>
    </row>
    <row r="342" spans="1:20" ht="15.5">
      <c r="B342" s="966"/>
      <c r="C342" s="103" t="s">
        <v>2255</v>
      </c>
      <c r="D342" s="103" t="s">
        <v>2253</v>
      </c>
      <c r="E342" s="2648"/>
      <c r="F342" s="167">
        <v>5000</v>
      </c>
      <c r="G342" s="1430">
        <v>5100</v>
      </c>
      <c r="H342" s="167">
        <v>5285</v>
      </c>
      <c r="I342" s="167">
        <v>5285</v>
      </c>
      <c r="J342" s="167">
        <v>5285</v>
      </c>
      <c r="K342" s="167">
        <v>5285</v>
      </c>
      <c r="L342" s="167">
        <v>5285</v>
      </c>
      <c r="M342" s="167">
        <v>5285</v>
      </c>
      <c r="N342" s="167">
        <v>5285</v>
      </c>
      <c r="O342" s="103"/>
      <c r="P342" s="103"/>
      <c r="Q342" s="647"/>
      <c r="R342" s="6"/>
      <c r="S342" s="6"/>
      <c r="T342" s="6"/>
    </row>
    <row r="343" spans="1:20" ht="15.5">
      <c r="B343" s="966"/>
      <c r="C343" s="194" t="s">
        <v>2255</v>
      </c>
      <c r="D343" s="194" t="s">
        <v>1911</v>
      </c>
      <c r="E343" s="2650">
        <v>0</v>
      </c>
      <c r="F343" s="343">
        <v>298</v>
      </c>
      <c r="G343" s="1433">
        <f t="shared" si="31"/>
        <v>298</v>
      </c>
      <c r="H343" s="343">
        <f t="shared" si="31"/>
        <v>298</v>
      </c>
      <c r="I343" s="343">
        <f t="shared" si="31"/>
        <v>298</v>
      </c>
      <c r="J343" s="343">
        <f t="shared" si="31"/>
        <v>298</v>
      </c>
      <c r="K343" s="343">
        <f t="shared" si="31"/>
        <v>298</v>
      </c>
      <c r="L343" s="343">
        <f t="shared" si="31"/>
        <v>298</v>
      </c>
      <c r="M343" s="343">
        <f t="shared" si="31"/>
        <v>298</v>
      </c>
      <c r="N343" s="343">
        <f t="shared" si="31"/>
        <v>298</v>
      </c>
      <c r="O343" s="103"/>
      <c r="P343" s="103"/>
      <c r="Q343" s="647"/>
      <c r="R343" s="6"/>
      <c r="S343" s="6"/>
      <c r="T343" s="6"/>
    </row>
    <row r="344" spans="1:20">
      <c r="B344" s="105"/>
      <c r="C344" s="67"/>
      <c r="D344" s="67"/>
      <c r="E344" s="67"/>
      <c r="F344" s="67"/>
      <c r="G344" s="67"/>
      <c r="H344" s="67"/>
      <c r="I344" s="67"/>
      <c r="J344" s="67"/>
      <c r="K344" s="67"/>
      <c r="L344" s="67"/>
      <c r="M344" s="67"/>
      <c r="N344" s="67"/>
      <c r="O344" s="67"/>
      <c r="P344" s="67"/>
      <c r="Q344" s="1068"/>
    </row>
    <row r="345" spans="1:20">
      <c r="B345" s="105"/>
      <c r="C345" s="67"/>
      <c r="D345" s="67"/>
      <c r="E345" s="67"/>
      <c r="F345" s="67"/>
      <c r="G345" s="67"/>
      <c r="H345" s="67"/>
      <c r="I345" s="67"/>
      <c r="J345" s="67"/>
      <c r="K345" s="67"/>
      <c r="L345" s="67"/>
      <c r="M345" s="67"/>
      <c r="N345" s="67"/>
      <c r="O345" s="67"/>
      <c r="P345" s="67"/>
      <c r="Q345" s="1068"/>
    </row>
    <row r="346" spans="1:20">
      <c r="B346" s="105"/>
      <c r="C346" s="67" t="s">
        <v>249</v>
      </c>
      <c r="D346" s="67"/>
      <c r="E346" s="67"/>
      <c r="F346" s="67"/>
      <c r="G346" s="67"/>
      <c r="H346" s="67"/>
      <c r="I346" s="67"/>
      <c r="J346" s="67"/>
      <c r="K346" s="67"/>
      <c r="L346" s="67"/>
      <c r="M346" s="67"/>
      <c r="N346" s="67"/>
      <c r="O346" s="67"/>
      <c r="P346" s="67"/>
      <c r="Q346" s="1068"/>
    </row>
    <row r="347" spans="1:20">
      <c r="B347" s="105"/>
      <c r="C347" s="67"/>
      <c r="D347" s="67"/>
      <c r="E347" s="67"/>
      <c r="F347" s="67"/>
      <c r="G347" s="67"/>
      <c r="H347" s="67"/>
      <c r="I347" s="67"/>
      <c r="J347" s="67"/>
      <c r="K347" s="67"/>
      <c r="L347" s="67"/>
      <c r="M347" s="67"/>
      <c r="N347" s="67"/>
      <c r="O347" s="67"/>
      <c r="P347" s="67"/>
      <c r="Q347" s="1068"/>
    </row>
    <row r="348" spans="1:20">
      <c r="B348" s="105"/>
      <c r="C348" s="49" t="s">
        <v>1990</v>
      </c>
      <c r="D348" s="67"/>
      <c r="E348" s="67"/>
      <c r="F348" s="67"/>
      <c r="G348" s="67"/>
      <c r="H348" s="67"/>
      <c r="I348" s="67"/>
      <c r="J348" s="67"/>
      <c r="K348" s="67"/>
      <c r="L348" s="67"/>
      <c r="M348" s="67"/>
      <c r="N348" s="51" t="s">
        <v>1991</v>
      </c>
      <c r="O348" s="67"/>
      <c r="P348" s="67"/>
      <c r="Q348" s="1068"/>
    </row>
    <row r="349" spans="1:20">
      <c r="B349" s="105"/>
      <c r="C349" s="67"/>
      <c r="D349" s="67"/>
      <c r="E349" s="67"/>
      <c r="F349" s="67"/>
      <c r="G349" s="67"/>
      <c r="H349" s="67"/>
      <c r="I349" s="67"/>
      <c r="J349" s="67"/>
      <c r="K349" s="67"/>
      <c r="L349" s="67"/>
      <c r="M349" s="67"/>
      <c r="N349" s="67"/>
      <c r="O349" s="67"/>
      <c r="P349" s="67"/>
      <c r="Q349" s="1068"/>
    </row>
    <row r="350" spans="1:20" ht="15.5">
      <c r="B350" s="55"/>
      <c r="C350" s="878" t="s">
        <v>773</v>
      </c>
      <c r="D350" s="878" t="s">
        <v>71</v>
      </c>
      <c r="E350" s="878"/>
      <c r="F350" s="899">
        <v>2013</v>
      </c>
      <c r="G350" s="879">
        <v>2015</v>
      </c>
      <c r="H350" s="87">
        <v>2020</v>
      </c>
      <c r="I350" s="87">
        <v>2025</v>
      </c>
      <c r="J350" s="87">
        <v>2030</v>
      </c>
      <c r="K350" s="87">
        <v>2035</v>
      </c>
      <c r="L350" s="87">
        <v>2040</v>
      </c>
      <c r="M350" s="87">
        <v>2045</v>
      </c>
      <c r="N350" s="87">
        <v>2050</v>
      </c>
      <c r="O350" s="67"/>
      <c r="P350" s="67"/>
      <c r="Q350" s="1068"/>
    </row>
    <row r="351" spans="1:20" ht="15.5">
      <c r="B351" s="55"/>
      <c r="C351" s="65" t="s">
        <v>252</v>
      </c>
      <c r="D351" s="103" t="s">
        <v>1916</v>
      </c>
      <c r="E351" s="296"/>
      <c r="F351" s="2602">
        <f t="shared" ref="F351:H352" si="32">INDEX($G86:$J86, MATCH($E$9, $G$85:$J$85, 0))</f>
        <v>-2.4472451512579374E-3</v>
      </c>
      <c r="G351" s="2603">
        <f t="shared" si="32"/>
        <v>-2.4472451512579374E-3</v>
      </c>
      <c r="H351" s="2604">
        <f t="shared" si="32"/>
        <v>-2.4472451512579374E-3</v>
      </c>
      <c r="I351" s="2605">
        <f t="shared" ref="I351:N352" si="33">INDEX($K86:$N86, MATCH($E$9, $K$85:$N$85, 0))</f>
        <v>-7.4310483882145117E-4</v>
      </c>
      <c r="J351" s="2605">
        <f t="shared" si="33"/>
        <v>-7.4310483882145117E-4</v>
      </c>
      <c r="K351" s="2605">
        <f t="shared" si="33"/>
        <v>-7.4310483882145117E-4</v>
      </c>
      <c r="L351" s="2605">
        <f t="shared" si="33"/>
        <v>-7.4310483882145117E-4</v>
      </c>
      <c r="M351" s="2605">
        <f t="shared" si="33"/>
        <v>-7.4310483882145117E-4</v>
      </c>
      <c r="N351" s="2605">
        <f t="shared" si="33"/>
        <v>-7.4310483882145117E-4</v>
      </c>
      <c r="O351" s="67"/>
      <c r="P351" s="67"/>
      <c r="Q351" s="1068"/>
    </row>
    <row r="352" spans="1:20" ht="15.5">
      <c r="A352" s="6"/>
      <c r="B352" s="55"/>
      <c r="C352" s="917" t="s">
        <v>252</v>
      </c>
      <c r="D352" s="194" t="s">
        <v>1918</v>
      </c>
      <c r="E352" s="1151"/>
      <c r="F352" s="2606">
        <f t="shared" si="32"/>
        <v>-2.4472451512579374E-3</v>
      </c>
      <c r="G352" s="2607">
        <f t="shared" si="32"/>
        <v>-2.4472451512579374E-3</v>
      </c>
      <c r="H352" s="2608">
        <f t="shared" si="32"/>
        <v>-2.4472451512579374E-3</v>
      </c>
      <c r="I352" s="2609">
        <f t="shared" si="33"/>
        <v>-7.4310483882134015E-4</v>
      </c>
      <c r="J352" s="2609">
        <f t="shared" si="33"/>
        <v>-7.4310483882134015E-4</v>
      </c>
      <c r="K352" s="2609">
        <f t="shared" si="33"/>
        <v>-7.4310483882134015E-4</v>
      </c>
      <c r="L352" s="2609">
        <f t="shared" si="33"/>
        <v>-7.4310483882134015E-4</v>
      </c>
      <c r="M352" s="2609">
        <f t="shared" si="33"/>
        <v>-7.4310483882134015E-4</v>
      </c>
      <c r="N352" s="2609">
        <f t="shared" si="33"/>
        <v>-7.4310483882134015E-4</v>
      </c>
      <c r="O352" s="67"/>
      <c r="P352" s="67"/>
      <c r="Q352" s="1068"/>
    </row>
    <row r="353" spans="1:25">
      <c r="A353" s="6"/>
      <c r="B353" s="105"/>
      <c r="C353" s="67"/>
      <c r="D353" s="67"/>
      <c r="E353" s="67"/>
      <c r="F353" s="67"/>
      <c r="G353" s="67"/>
      <c r="H353" s="67"/>
      <c r="I353" s="67"/>
      <c r="J353" s="67"/>
      <c r="K353" s="67"/>
      <c r="L353" s="67"/>
      <c r="M353" s="67"/>
      <c r="N353" s="67"/>
      <c r="O353" s="67"/>
      <c r="P353" s="67"/>
      <c r="Q353" s="1068"/>
      <c r="U353" s="2"/>
      <c r="V353" s="2"/>
      <c r="W353" s="2"/>
      <c r="X353" s="2"/>
      <c r="Y353" s="2"/>
    </row>
    <row r="354" spans="1:25">
      <c r="A354" s="6"/>
      <c r="B354" s="105"/>
      <c r="C354" s="49" t="s">
        <v>1992</v>
      </c>
      <c r="D354" s="67"/>
      <c r="E354" s="67"/>
      <c r="F354" s="67"/>
      <c r="G354" s="67"/>
      <c r="H354" s="67"/>
      <c r="I354" s="67"/>
      <c r="J354" s="67"/>
      <c r="K354" s="67"/>
      <c r="L354" s="67"/>
      <c r="M354" s="67"/>
      <c r="N354" s="51" t="s">
        <v>1991</v>
      </c>
      <c r="O354" s="67"/>
      <c r="P354" s="67"/>
      <c r="Q354" s="1068"/>
      <c r="U354" s="2"/>
      <c r="V354" s="2"/>
      <c r="W354" s="2"/>
      <c r="X354" s="2"/>
      <c r="Y354" s="2"/>
    </row>
    <row r="355" spans="1:25">
      <c r="A355" s="6"/>
      <c r="B355" s="105"/>
      <c r="C355" s="67"/>
      <c r="D355" s="67"/>
      <c r="E355" s="67"/>
      <c r="F355" s="67"/>
      <c r="G355" s="67"/>
      <c r="H355" s="67"/>
      <c r="I355" s="67"/>
      <c r="J355" s="67"/>
      <c r="K355" s="67"/>
      <c r="L355" s="67"/>
      <c r="M355" s="67"/>
      <c r="N355" s="67"/>
      <c r="O355" s="67"/>
      <c r="P355" s="67"/>
      <c r="Q355" s="1068"/>
      <c r="U355" s="2"/>
      <c r="V355" s="2"/>
      <c r="W355" s="2"/>
      <c r="X355" s="2"/>
      <c r="Y355" s="2"/>
    </row>
    <row r="356" spans="1:25" ht="15.5">
      <c r="A356" s="6"/>
      <c r="B356" s="55"/>
      <c r="C356" s="878" t="s">
        <v>773</v>
      </c>
      <c r="D356" s="878" t="s">
        <v>71</v>
      </c>
      <c r="E356" s="878"/>
      <c r="F356" s="899">
        <v>2013</v>
      </c>
      <c r="G356" s="87">
        <v>2015</v>
      </c>
      <c r="H356" s="87">
        <v>2020</v>
      </c>
      <c r="I356" s="87">
        <v>2025</v>
      </c>
      <c r="J356" s="87">
        <v>2030</v>
      </c>
      <c r="K356" s="87">
        <v>2035</v>
      </c>
      <c r="L356" s="87">
        <v>2040</v>
      </c>
      <c r="M356" s="87">
        <v>2045</v>
      </c>
      <c r="N356" s="87">
        <v>2050</v>
      </c>
      <c r="O356" s="67"/>
      <c r="P356" s="67"/>
      <c r="Q356" s="1068"/>
      <c r="U356" s="2"/>
      <c r="V356" s="2"/>
      <c r="W356" s="2"/>
      <c r="X356" s="2"/>
      <c r="Y356" s="2"/>
    </row>
    <row r="357" spans="1:25" ht="15.5">
      <c r="A357" s="6"/>
      <c r="B357" s="55"/>
      <c r="C357" s="65" t="s">
        <v>252</v>
      </c>
      <c r="D357" s="103" t="s">
        <v>1916</v>
      </c>
      <c r="E357" s="296"/>
      <c r="F357" s="342">
        <f t="array" ref="F357:F358">F165:F166</f>
        <v>1085.2444721270631</v>
      </c>
      <c r="G357" s="1429">
        <f t="shared" ref="G357:N358" si="34">F357*(1+F351)^(G$356-F$356)</f>
        <v>1079.9392531211049</v>
      </c>
      <c r="H357" s="2599">
        <f t="shared" si="34"/>
        <v>1066.7893921855677</v>
      </c>
      <c r="I357" s="2599">
        <f t="shared" si="34"/>
        <v>1053.7996502957308</v>
      </c>
      <c r="J357" s="2599">
        <f t="shared" si="34"/>
        <v>1049.8900470089632</v>
      </c>
      <c r="K357" s="2599">
        <f t="shared" si="34"/>
        <v>1045.9949483748167</v>
      </c>
      <c r="L357" s="2599">
        <f t="shared" si="34"/>
        <v>1042.1143005809395</v>
      </c>
      <c r="M357" s="2599">
        <f t="shared" si="34"/>
        <v>1038.2480500146241</v>
      </c>
      <c r="N357" s="2599">
        <f t="shared" si="34"/>
        <v>1034.3961432620663</v>
      </c>
      <c r="O357" s="67"/>
      <c r="P357" s="67"/>
      <c r="Q357" s="1068"/>
      <c r="U357" s="2"/>
      <c r="V357" s="2"/>
      <c r="W357" s="2"/>
      <c r="X357" s="2"/>
      <c r="Y357" s="2"/>
    </row>
    <row r="358" spans="1:25" ht="15.5">
      <c r="A358" s="6"/>
      <c r="B358" s="55"/>
      <c r="C358" s="917" t="s">
        <v>252</v>
      </c>
      <c r="D358" s="194" t="s">
        <v>1918</v>
      </c>
      <c r="E358" s="1151"/>
      <c r="F358" s="343">
        <v>909.59425217725493</v>
      </c>
      <c r="G358" s="1433">
        <f t="shared" si="34"/>
        <v>905.14769949875745</v>
      </c>
      <c r="H358" s="2600">
        <f t="shared" si="34"/>
        <v>894.12618477917408</v>
      </c>
      <c r="I358" s="2600">
        <f t="shared" si="34"/>
        <v>883.23887333578671</v>
      </c>
      <c r="J358" s="2600">
        <f t="shared" si="34"/>
        <v>879.96205159720955</v>
      </c>
      <c r="K358" s="2600">
        <f t="shared" si="34"/>
        <v>876.69738688775624</v>
      </c>
      <c r="L358" s="2600">
        <f t="shared" si="34"/>
        <v>873.44483410477267</v>
      </c>
      <c r="M358" s="2600">
        <f t="shared" si="34"/>
        <v>870.20434831293596</v>
      </c>
      <c r="N358" s="2600">
        <f t="shared" si="34"/>
        <v>866.97588474363363</v>
      </c>
      <c r="O358" s="67"/>
      <c r="P358" s="67"/>
      <c r="Q358" s="1068"/>
      <c r="U358" s="2"/>
      <c r="V358" s="2"/>
      <c r="W358" s="2"/>
      <c r="X358" s="2"/>
      <c r="Y358" s="2"/>
    </row>
    <row r="359" spans="1:25">
      <c r="A359" s="6"/>
      <c r="B359" s="105"/>
      <c r="C359" s="67"/>
      <c r="D359" s="67"/>
      <c r="E359" s="67"/>
      <c r="F359" s="67"/>
      <c r="G359" s="67"/>
      <c r="H359" s="67"/>
      <c r="I359" s="67"/>
      <c r="J359" s="67"/>
      <c r="K359" s="67"/>
      <c r="L359" s="67"/>
      <c r="M359" s="67"/>
      <c r="N359" s="67"/>
      <c r="O359" s="67"/>
      <c r="P359" s="67"/>
      <c r="Q359" s="1068"/>
    </row>
    <row r="360" spans="1:25">
      <c r="A360" s="6"/>
      <c r="B360" s="105"/>
      <c r="C360" s="49" t="s">
        <v>1919</v>
      </c>
      <c r="D360" s="67"/>
      <c r="E360" s="67"/>
      <c r="F360" s="67"/>
      <c r="G360" s="67"/>
      <c r="H360" s="67"/>
      <c r="I360" s="67"/>
      <c r="J360" s="67"/>
      <c r="K360" s="67"/>
      <c r="L360" s="67"/>
      <c r="M360" s="67"/>
      <c r="N360" s="51" t="s">
        <v>251</v>
      </c>
      <c r="O360" s="67"/>
      <c r="P360" s="67"/>
      <c r="Q360" s="1068"/>
    </row>
    <row r="361" spans="1:25">
      <c r="A361" s="6"/>
      <c r="B361" s="105"/>
      <c r="C361" s="67"/>
      <c r="D361" s="67"/>
      <c r="E361" s="67"/>
      <c r="F361" s="67"/>
      <c r="G361" s="67"/>
      <c r="H361" s="67"/>
      <c r="I361" s="67"/>
      <c r="J361" s="67"/>
      <c r="K361" s="67"/>
      <c r="L361" s="67"/>
      <c r="M361" s="67"/>
      <c r="N361" s="67"/>
      <c r="O361" s="67"/>
      <c r="P361" s="67"/>
      <c r="Q361" s="1068"/>
    </row>
    <row r="362" spans="1:25" ht="15.5">
      <c r="A362" s="6"/>
      <c r="B362" s="55"/>
      <c r="C362" s="878" t="s">
        <v>773</v>
      </c>
      <c r="D362" s="878" t="s">
        <v>71</v>
      </c>
      <c r="E362" s="878"/>
      <c r="F362" s="899">
        <v>2013</v>
      </c>
      <c r="G362" s="879">
        <v>2015</v>
      </c>
      <c r="H362" s="87">
        <v>2020</v>
      </c>
      <c r="I362" s="87">
        <v>2025</v>
      </c>
      <c r="J362" s="87">
        <v>2030</v>
      </c>
      <c r="K362" s="87">
        <v>2035</v>
      </c>
      <c r="L362" s="87">
        <v>2040</v>
      </c>
      <c r="M362" s="87">
        <v>2045</v>
      </c>
      <c r="N362" s="87">
        <v>2050</v>
      </c>
      <c r="O362" s="67"/>
      <c r="P362" s="67"/>
      <c r="Q362" s="1068"/>
    </row>
    <row r="363" spans="1:25" ht="15.5">
      <c r="B363" s="55"/>
      <c r="C363" s="907" t="s">
        <v>253</v>
      </c>
      <c r="D363" s="908" t="s">
        <v>1921</v>
      </c>
      <c r="E363" s="2560"/>
      <c r="F363" s="2610">
        <f>INDEX($G92:$J92, MATCH($E$9, $G$91:$J$91, 0))</f>
        <v>-6.3934443203000901E-3</v>
      </c>
      <c r="G363" s="2611">
        <f>INDEX($G92:$J92, MATCH($E$9, $G$91:$J$91, 0))</f>
        <v>-6.3934443203000901E-3</v>
      </c>
      <c r="H363" s="2612">
        <f>INDEX($G92:$J92, MATCH($E$9, $G$91:$J$91, 0))</f>
        <v>-6.3934443203000901E-3</v>
      </c>
      <c r="I363" s="2610">
        <f t="shared" ref="I363:N363" si="35">INDEX($K92:$N92, MATCH($E$9, $K$91:$N$91, 0))</f>
        <v>0</v>
      </c>
      <c r="J363" s="2610">
        <f t="shared" si="35"/>
        <v>0</v>
      </c>
      <c r="K363" s="2610">
        <f t="shared" si="35"/>
        <v>0</v>
      </c>
      <c r="L363" s="2610">
        <f t="shared" si="35"/>
        <v>0</v>
      </c>
      <c r="M363" s="2610">
        <f t="shared" si="35"/>
        <v>0</v>
      </c>
      <c r="N363" s="2610">
        <f t="shared" si="35"/>
        <v>0</v>
      </c>
      <c r="O363" s="67"/>
      <c r="P363" s="67"/>
      <c r="Q363" s="1068"/>
      <c r="U363" s="405"/>
      <c r="V363" s="405"/>
      <c r="W363" s="405"/>
      <c r="X363" s="405"/>
      <c r="Y363" s="405"/>
    </row>
    <row r="364" spans="1:25">
      <c r="B364" s="105"/>
      <c r="C364" s="67"/>
      <c r="D364" s="67"/>
      <c r="E364" s="67"/>
      <c r="F364" s="67"/>
      <c r="G364" s="67"/>
      <c r="H364" s="67"/>
      <c r="I364" s="67"/>
      <c r="J364" s="67"/>
      <c r="K364" s="67"/>
      <c r="L364" s="67"/>
      <c r="M364" s="67"/>
      <c r="N364" s="67"/>
      <c r="O364" s="67"/>
      <c r="P364" s="67"/>
      <c r="Q364" s="1068"/>
    </row>
    <row r="365" spans="1:25">
      <c r="B365" s="105"/>
      <c r="C365" s="49" t="s">
        <v>1993</v>
      </c>
      <c r="D365" s="67"/>
      <c r="E365" s="67"/>
      <c r="F365" s="67"/>
      <c r="G365" s="67"/>
      <c r="H365" s="67"/>
      <c r="I365" s="67"/>
      <c r="J365" s="67"/>
      <c r="K365" s="67"/>
      <c r="L365" s="67"/>
      <c r="M365" s="67"/>
      <c r="N365" s="51" t="s">
        <v>251</v>
      </c>
      <c r="O365" s="67"/>
      <c r="P365" s="67"/>
      <c r="Q365" s="1068"/>
    </row>
    <row r="366" spans="1:25">
      <c r="B366" s="105"/>
      <c r="C366" s="67"/>
      <c r="D366" s="67"/>
      <c r="E366" s="67"/>
      <c r="F366" s="67"/>
      <c r="G366" s="67"/>
      <c r="H366" s="67"/>
      <c r="I366" s="67"/>
      <c r="J366" s="67"/>
      <c r="K366" s="67"/>
      <c r="L366" s="67"/>
      <c r="M366" s="67"/>
      <c r="N366" s="67"/>
      <c r="O366" s="67"/>
      <c r="P366" s="67"/>
      <c r="Q366" s="1068"/>
    </row>
    <row r="367" spans="1:25" ht="15.5">
      <c r="B367" s="55"/>
      <c r="C367" s="878" t="s">
        <v>773</v>
      </c>
      <c r="D367" s="878" t="s">
        <v>71</v>
      </c>
      <c r="E367" s="878"/>
      <c r="F367" s="899">
        <v>2013</v>
      </c>
      <c r="G367" s="87">
        <v>2015</v>
      </c>
      <c r="H367" s="87">
        <v>2020</v>
      </c>
      <c r="I367" s="87">
        <v>2025</v>
      </c>
      <c r="J367" s="87">
        <v>2030</v>
      </c>
      <c r="K367" s="87">
        <v>2035</v>
      </c>
      <c r="L367" s="87">
        <v>2040</v>
      </c>
      <c r="M367" s="87">
        <v>2045</v>
      </c>
      <c r="N367" s="87">
        <v>2050</v>
      </c>
      <c r="O367" s="67"/>
      <c r="P367" s="67"/>
      <c r="Q367" s="1068"/>
    </row>
    <row r="368" spans="1:25" ht="15.5">
      <c r="B368" s="55"/>
      <c r="C368" s="907" t="s">
        <v>253</v>
      </c>
      <c r="D368" s="908" t="s">
        <v>1921</v>
      </c>
      <c r="E368" s="2560"/>
      <c r="F368" s="912">
        <f>F$171</f>
        <v>6.11327</v>
      </c>
      <c r="G368" s="2510">
        <f t="shared" ref="G368:N368" si="36">F368*(1+F363)^(G$367-F$367)</f>
        <v>6.0353501841010155</v>
      </c>
      <c r="H368" s="2613">
        <f t="shared" si="36"/>
        <v>5.8448681025440212</v>
      </c>
      <c r="I368" s="2613">
        <f t="shared" si="36"/>
        <v>5.6603978384106233</v>
      </c>
      <c r="J368" s="2613">
        <f t="shared" si="36"/>
        <v>5.6603978384106233</v>
      </c>
      <c r="K368" s="2613">
        <f t="shared" si="36"/>
        <v>5.6603978384106233</v>
      </c>
      <c r="L368" s="2613">
        <f t="shared" si="36"/>
        <v>5.6603978384106233</v>
      </c>
      <c r="M368" s="2613">
        <f t="shared" si="36"/>
        <v>5.6603978384106233</v>
      </c>
      <c r="N368" s="2613">
        <f t="shared" si="36"/>
        <v>5.6603978384106233</v>
      </c>
      <c r="O368" s="67"/>
      <c r="P368" s="67"/>
      <c r="Q368" s="1068"/>
    </row>
    <row r="369" spans="1:25">
      <c r="B369" s="105"/>
      <c r="C369" s="67"/>
      <c r="D369" s="67"/>
      <c r="E369" s="67"/>
      <c r="F369" s="67"/>
      <c r="G369" s="67"/>
      <c r="H369" s="67"/>
      <c r="I369" s="67"/>
      <c r="J369" s="67"/>
      <c r="K369" s="67"/>
      <c r="L369" s="67"/>
      <c r="M369" s="67"/>
      <c r="N369" s="67"/>
      <c r="O369" s="67"/>
      <c r="P369" s="67"/>
      <c r="Q369" s="1068"/>
    </row>
    <row r="370" spans="1:25">
      <c r="B370" s="105"/>
      <c r="C370" s="67"/>
      <c r="D370" s="67"/>
      <c r="E370" s="67"/>
      <c r="F370" s="2565"/>
      <c r="G370" s="2565"/>
      <c r="H370" s="2565"/>
      <c r="I370" s="2565"/>
      <c r="J370" s="2565"/>
      <c r="K370" s="2565"/>
      <c r="L370" s="2565"/>
      <c r="M370" s="2565"/>
      <c r="N370" s="2565"/>
      <c r="O370" s="67"/>
      <c r="P370" s="67"/>
      <c r="Q370" s="1068"/>
    </row>
    <row r="371" spans="1:25">
      <c r="B371" s="105"/>
      <c r="C371" s="67" t="s">
        <v>1994</v>
      </c>
      <c r="D371" s="67"/>
      <c r="E371" s="67"/>
      <c r="F371" s="2565"/>
      <c r="G371" s="67"/>
      <c r="H371" s="67"/>
      <c r="I371" s="67"/>
      <c r="J371" s="67"/>
      <c r="K371" s="67"/>
      <c r="L371" s="67"/>
      <c r="M371" s="67"/>
      <c r="N371" s="67"/>
      <c r="O371" s="67"/>
      <c r="P371" s="67"/>
      <c r="Q371" s="1068"/>
    </row>
    <row r="372" spans="1:25" s="2" customFormat="1">
      <c r="A372" s="2476"/>
      <c r="B372" s="105"/>
      <c r="C372" s="67"/>
      <c r="D372" s="67"/>
      <c r="E372" s="67"/>
      <c r="F372" s="67"/>
      <c r="G372" s="67"/>
      <c r="H372" s="67"/>
      <c r="I372" s="67"/>
      <c r="J372" s="67"/>
      <c r="K372" s="67"/>
      <c r="L372" s="67"/>
      <c r="M372" s="67"/>
      <c r="N372" s="67"/>
      <c r="O372" s="67"/>
      <c r="P372" s="67"/>
      <c r="Q372" s="1068"/>
      <c r="R372" s="2476"/>
      <c r="S372" s="2476"/>
      <c r="T372" s="2476"/>
      <c r="U372" s="2476"/>
      <c r="V372" s="2476"/>
      <c r="W372" s="2476"/>
      <c r="X372" s="2476"/>
      <c r="Y372" s="2476"/>
    </row>
    <row r="373" spans="1:25" s="2" customFormat="1">
      <c r="A373" s="2476"/>
      <c r="B373" s="105"/>
      <c r="C373" s="49" t="s">
        <v>1995</v>
      </c>
      <c r="D373" s="67"/>
      <c r="E373" s="67"/>
      <c r="F373" s="67"/>
      <c r="G373" s="67"/>
      <c r="H373" s="67"/>
      <c r="I373" s="67"/>
      <c r="J373" s="67"/>
      <c r="K373" s="67"/>
      <c r="L373" s="67"/>
      <c r="M373" s="67"/>
      <c r="N373" s="51" t="str">
        <f>Preferences.AreaUnits</f>
        <v>km^2</v>
      </c>
      <c r="O373" s="67"/>
      <c r="P373" s="67"/>
      <c r="Q373" s="1068"/>
      <c r="R373" s="2476"/>
      <c r="S373" s="2476"/>
      <c r="T373" s="2476"/>
      <c r="U373" s="405"/>
      <c r="V373" s="405"/>
      <c r="W373" s="405"/>
      <c r="X373" s="405"/>
      <c r="Y373" s="405"/>
    </row>
    <row r="374" spans="1:25" s="2" customFormat="1">
      <c r="A374" s="2476"/>
      <c r="B374" s="105"/>
      <c r="C374" s="67"/>
      <c r="D374" s="67"/>
      <c r="E374" s="67"/>
      <c r="F374" s="67"/>
      <c r="G374" s="67"/>
      <c r="H374" s="67"/>
      <c r="I374" s="67"/>
      <c r="J374" s="67"/>
      <c r="K374" s="67"/>
      <c r="L374" s="67"/>
      <c r="M374" s="67"/>
      <c r="N374" s="67"/>
      <c r="O374" s="67"/>
      <c r="P374" s="67"/>
      <c r="Q374" s="1068"/>
      <c r="R374" s="2476"/>
      <c r="S374" s="2476"/>
      <c r="T374" s="2476"/>
      <c r="U374" s="2476"/>
      <c r="V374" s="2476"/>
      <c r="W374" s="2476"/>
      <c r="X374" s="2476"/>
      <c r="Y374" s="2476"/>
    </row>
    <row r="375" spans="1:25" s="2" customFormat="1" ht="15.5">
      <c r="A375" s="2476"/>
      <c r="B375" s="55"/>
      <c r="C375" s="878" t="s">
        <v>773</v>
      </c>
      <c r="D375" s="878" t="s">
        <v>71</v>
      </c>
      <c r="E375" s="878"/>
      <c r="F375" s="899">
        <v>2013</v>
      </c>
      <c r="G375" s="87">
        <v>2015</v>
      </c>
      <c r="H375" s="87">
        <v>2020</v>
      </c>
      <c r="I375" s="87">
        <v>2025</v>
      </c>
      <c r="J375" s="87">
        <v>2030</v>
      </c>
      <c r="K375" s="87">
        <v>2035</v>
      </c>
      <c r="L375" s="87">
        <v>2040</v>
      </c>
      <c r="M375" s="87">
        <v>2045</v>
      </c>
      <c r="N375" s="87">
        <v>2050</v>
      </c>
      <c r="O375" s="67"/>
      <c r="P375" s="67"/>
      <c r="Q375" s="1068"/>
      <c r="R375" s="2476"/>
      <c r="S375" s="2476"/>
      <c r="T375" s="2476"/>
      <c r="U375" s="2476"/>
      <c r="V375" s="2476"/>
      <c r="W375" s="2476"/>
      <c r="X375" s="2476"/>
      <c r="Y375" s="2476"/>
    </row>
    <row r="376" spans="1:25" s="2" customFormat="1" ht="15.5">
      <c r="A376" s="2476"/>
      <c r="B376" s="55"/>
      <c r="C376" s="65" t="s">
        <v>1996</v>
      </c>
      <c r="D376" s="103" t="s">
        <v>1997</v>
      </c>
      <c r="E376" s="296"/>
      <c r="F376" s="1025">
        <f>F$317</f>
        <v>7566</v>
      </c>
      <c r="G376" s="2601">
        <f t="shared" ref="G376:N376" si="37">F376-$F$203*(G$375-F$375)</f>
        <v>7566</v>
      </c>
      <c r="H376" s="2565">
        <f t="shared" si="37"/>
        <v>7566</v>
      </c>
      <c r="I376" s="2565">
        <f t="shared" si="37"/>
        <v>7566</v>
      </c>
      <c r="J376" s="2565">
        <f t="shared" si="37"/>
        <v>7566</v>
      </c>
      <c r="K376" s="2565">
        <f t="shared" si="37"/>
        <v>7566</v>
      </c>
      <c r="L376" s="2565">
        <f t="shared" si="37"/>
        <v>7566</v>
      </c>
      <c r="M376" s="2565">
        <f t="shared" si="37"/>
        <v>7566</v>
      </c>
      <c r="N376" s="2565">
        <f t="shared" si="37"/>
        <v>7566</v>
      </c>
      <c r="O376" s="67"/>
      <c r="P376" s="67"/>
      <c r="Q376" s="1068"/>
      <c r="R376" s="2476"/>
      <c r="S376" s="2476"/>
      <c r="T376" s="2476"/>
      <c r="U376" s="405"/>
      <c r="V376" s="405"/>
      <c r="W376" s="405"/>
      <c r="X376" s="405"/>
      <c r="Y376" s="405"/>
    </row>
    <row r="377" spans="1:25" s="2" customFormat="1" ht="15.5">
      <c r="A377" s="2476"/>
      <c r="B377" s="55"/>
      <c r="C377" s="917" t="s">
        <v>1998</v>
      </c>
      <c r="D377" s="194" t="s">
        <v>1999</v>
      </c>
      <c r="E377" s="1151"/>
      <c r="F377" s="1014">
        <v>0</v>
      </c>
      <c r="G377" s="143">
        <f t="shared" ref="G377:N377" si="38">G$317-G376</f>
        <v>86.486486486490321</v>
      </c>
      <c r="H377" s="2567">
        <f t="shared" si="38"/>
        <v>302.70270270269975</v>
      </c>
      <c r="I377" s="2567">
        <f t="shared" si="38"/>
        <v>518.9189189189201</v>
      </c>
      <c r="J377" s="2567">
        <f t="shared" si="38"/>
        <v>735.13513513512953</v>
      </c>
      <c r="K377" s="2567">
        <f t="shared" si="38"/>
        <v>951.35135135134988</v>
      </c>
      <c r="L377" s="2567">
        <f t="shared" si="38"/>
        <v>1167.5675675675702</v>
      </c>
      <c r="M377" s="2567">
        <f t="shared" si="38"/>
        <v>1383.7837837837797</v>
      </c>
      <c r="N377" s="2567">
        <f t="shared" si="38"/>
        <v>1600</v>
      </c>
      <c r="O377" s="67"/>
      <c r="P377" s="67"/>
      <c r="Q377" s="1068"/>
      <c r="R377" s="2476"/>
      <c r="S377" s="2476"/>
      <c r="T377" s="2476"/>
      <c r="U377" s="405"/>
      <c r="V377" s="405"/>
      <c r="W377" s="405"/>
      <c r="X377" s="405"/>
      <c r="Y377" s="405"/>
    </row>
    <row r="378" spans="1:25">
      <c r="B378" s="105"/>
      <c r="C378" s="67"/>
      <c r="D378" s="67" t="s">
        <v>2320</v>
      </c>
      <c r="E378" s="67"/>
      <c r="F378" s="67"/>
      <c r="G378" s="67"/>
      <c r="H378" s="4262">
        <f>(H377-G377)/(H375-G375)</f>
        <v>43.243243243241885</v>
      </c>
      <c r="I378" s="4262">
        <f t="shared" ref="I378:N378" si="39">(I377-H377)/(I375-H375)</f>
        <v>43.243243243244066</v>
      </c>
      <c r="J378" s="4262">
        <f t="shared" si="39"/>
        <v>43.243243243241885</v>
      </c>
      <c r="K378" s="4262">
        <f t="shared" si="39"/>
        <v>43.243243243244066</v>
      </c>
      <c r="L378" s="4262">
        <f t="shared" si="39"/>
        <v>43.243243243244066</v>
      </c>
      <c r="M378" s="4262">
        <f t="shared" si="39"/>
        <v>43.243243243241885</v>
      </c>
      <c r="N378" s="4262">
        <f t="shared" si="39"/>
        <v>43.243243243244066</v>
      </c>
      <c r="O378" s="67"/>
      <c r="P378" s="67"/>
      <c r="Q378" s="1068"/>
    </row>
    <row r="380" spans="1:25" ht="15.5">
      <c r="B380" s="1101" t="s">
        <v>206</v>
      </c>
    </row>
    <row r="381" spans="1:25" s="405" customFormat="1">
      <c r="A381" s="2476"/>
      <c r="B381" s="354">
        <v>1</v>
      </c>
      <c r="C381" s="2476" t="s">
        <v>2000</v>
      </c>
      <c r="D381" s="2"/>
      <c r="E381" s="2"/>
      <c r="F381" s="2"/>
      <c r="G381" s="2"/>
      <c r="H381" s="2"/>
      <c r="I381" s="2"/>
      <c r="J381" s="2"/>
      <c r="K381" s="2"/>
      <c r="L381" s="2"/>
      <c r="M381" s="2"/>
      <c r="N381" s="2"/>
      <c r="O381" s="2"/>
      <c r="Q381" s="2"/>
      <c r="R381" s="2"/>
      <c r="S381" s="2"/>
      <c r="T381" s="2"/>
      <c r="U381" s="2476"/>
      <c r="V381" s="2476"/>
      <c r="W381" s="2476"/>
      <c r="X381" s="2476"/>
      <c r="Y381" s="2476"/>
    </row>
    <row r="382" spans="1:25">
      <c r="B382" s="354">
        <v>2</v>
      </c>
      <c r="C382" s="2476" t="s">
        <v>2001</v>
      </c>
      <c r="D382" s="2"/>
      <c r="E382" s="2"/>
      <c r="F382" s="2"/>
      <c r="G382" s="2"/>
      <c r="H382" s="2"/>
      <c r="I382" s="2"/>
      <c r="J382" s="2"/>
      <c r="K382" s="2"/>
      <c r="L382" s="2"/>
      <c r="M382" s="2"/>
      <c r="N382" s="2"/>
      <c r="O382" s="2"/>
      <c r="Q382" s="2"/>
      <c r="R382" s="2"/>
      <c r="S382" s="2"/>
      <c r="T382" s="2"/>
    </row>
    <row r="383" spans="1:25">
      <c r="B383" s="354">
        <v>3</v>
      </c>
      <c r="C383" s="2476" t="s">
        <v>2002</v>
      </c>
      <c r="D383" s="2"/>
      <c r="E383" s="2"/>
      <c r="F383" s="2"/>
      <c r="G383" s="2"/>
      <c r="H383" s="2"/>
      <c r="I383" s="2"/>
      <c r="J383" s="2"/>
      <c r="K383" s="2"/>
      <c r="L383" s="2"/>
      <c r="M383" s="2"/>
      <c r="N383" s="2"/>
      <c r="O383" s="2"/>
      <c r="Q383" s="2"/>
      <c r="R383" s="2"/>
      <c r="S383" s="2"/>
      <c r="T383" s="2"/>
    </row>
    <row r="384" spans="1:25">
      <c r="B384" s="354">
        <v>4</v>
      </c>
      <c r="C384" s="2476" t="s">
        <v>2003</v>
      </c>
      <c r="D384" s="2"/>
      <c r="E384" s="2"/>
      <c r="F384" s="2"/>
      <c r="G384" s="2"/>
      <c r="H384" s="2"/>
      <c r="I384" s="2"/>
      <c r="J384" s="2"/>
      <c r="K384" s="2"/>
      <c r="L384" s="2"/>
      <c r="M384" s="2"/>
      <c r="N384" s="2"/>
      <c r="O384" s="2"/>
      <c r="Q384" s="2"/>
      <c r="R384" s="2"/>
      <c r="S384" s="2"/>
      <c r="T384" s="2"/>
    </row>
    <row r="385" spans="1:25">
      <c r="B385" s="354">
        <v>5</v>
      </c>
      <c r="C385" s="2476" t="s">
        <v>213</v>
      </c>
      <c r="D385" s="2"/>
      <c r="E385" s="2"/>
      <c r="F385" s="2"/>
      <c r="G385" s="2"/>
      <c r="H385" s="2"/>
      <c r="I385" s="2"/>
      <c r="J385" s="2"/>
      <c r="K385" s="2"/>
      <c r="L385" s="2"/>
      <c r="M385" s="2"/>
      <c r="N385" s="2"/>
      <c r="O385" s="2"/>
      <c r="Q385" s="2"/>
      <c r="R385" s="2"/>
      <c r="S385" s="2"/>
      <c r="T385" s="2"/>
      <c r="U385" s="405"/>
      <c r="V385" s="405"/>
      <c r="W385" s="405"/>
      <c r="X385" s="405"/>
      <c r="Y385" s="405"/>
    </row>
    <row r="386" spans="1:25">
      <c r="B386" s="354">
        <v>6</v>
      </c>
      <c r="C386" s="2476" t="s">
        <v>2004</v>
      </c>
      <c r="D386" s="2"/>
      <c r="E386" s="2"/>
      <c r="F386" s="2"/>
      <c r="G386" s="2"/>
      <c r="H386" s="2"/>
      <c r="I386" s="2"/>
      <c r="J386" s="2"/>
      <c r="K386" s="2"/>
      <c r="L386" s="2"/>
      <c r="M386" s="2"/>
      <c r="N386" s="2"/>
      <c r="O386" s="2"/>
      <c r="Q386" s="2"/>
      <c r="R386" s="2"/>
      <c r="S386" s="2"/>
      <c r="T386" s="2"/>
    </row>
    <row r="389" spans="1:25">
      <c r="B389" s="354">
        <v>1</v>
      </c>
      <c r="C389" s="354" t="s">
        <v>2005</v>
      </c>
      <c r="F389" s="1313">
        <v>2013</v>
      </c>
      <c r="G389" s="1313">
        <v>2015</v>
      </c>
      <c r="H389" s="1313">
        <v>2020</v>
      </c>
      <c r="I389" s="1313">
        <v>2025</v>
      </c>
      <c r="J389" s="1313">
        <v>2030</v>
      </c>
      <c r="K389" s="1313">
        <v>2035</v>
      </c>
      <c r="L389" s="1313">
        <v>2040</v>
      </c>
      <c r="M389" s="1313">
        <v>2045</v>
      </c>
      <c r="N389" s="1313">
        <v>2050</v>
      </c>
    </row>
    <row r="390" spans="1:25">
      <c r="U390" s="405"/>
      <c r="V390" s="405"/>
      <c r="W390" s="405"/>
      <c r="X390" s="405"/>
      <c r="Y390" s="405"/>
    </row>
    <row r="391" spans="1:25" s="405" customFormat="1">
      <c r="A391" s="2476"/>
      <c r="B391" s="2476"/>
      <c r="C391" s="2476" t="s">
        <v>1902</v>
      </c>
      <c r="D391" s="2476"/>
      <c r="E391" s="2476" t="s">
        <v>2006</v>
      </c>
      <c r="F391" s="1314">
        <f t="shared" ref="F391:N391" si="40">F$335*F$312/Unit.Mha</f>
        <v>3.6900000000000002E-2</v>
      </c>
      <c r="G391" s="1314">
        <f t="shared" si="40"/>
        <v>3.7996958053136839E-2</v>
      </c>
      <c r="H391" s="1314">
        <f t="shared" si="40"/>
        <v>4.0884151370347573E-2</v>
      </c>
      <c r="I391" s="1314">
        <f t="shared" si="40"/>
        <v>4.399072765077576E-2</v>
      </c>
      <c r="J391" s="1314">
        <f t="shared" si="40"/>
        <v>4.7333356676892549E-2</v>
      </c>
      <c r="K391" s="1314">
        <f t="shared" si="40"/>
        <v>5.0929974882159487E-2</v>
      </c>
      <c r="L391" s="1314">
        <f t="shared" si="40"/>
        <v>5.4799881597319348E-2</v>
      </c>
      <c r="M391" s="1314">
        <f t="shared" si="40"/>
        <v>5.8963842609947269E-2</v>
      </c>
      <c r="N391" s="1314">
        <f t="shared" si="40"/>
        <v>6.3444201592959354E-2</v>
      </c>
      <c r="O391" s="2476"/>
      <c r="Q391" s="2476"/>
      <c r="R391" s="2476"/>
      <c r="U391" s="2476"/>
      <c r="V391" s="2476"/>
      <c r="W391" s="2476"/>
      <c r="X391" s="2476"/>
      <c r="Y391" s="2476"/>
    </row>
    <row r="392" spans="1:25">
      <c r="B392" s="1369" t="s">
        <v>218</v>
      </c>
      <c r="C392" s="405" t="s">
        <v>1271</v>
      </c>
      <c r="D392" s="405"/>
      <c r="E392" s="405" t="str">
        <f>Preferences.EnergyUnits &amp; " / M odt"</f>
        <v>TWh / M odt</v>
      </c>
      <c r="F392" s="1676">
        <f>$F$189</f>
        <v>3.8888888888888888</v>
      </c>
      <c r="G392" s="1676"/>
      <c r="H392" s="1676"/>
      <c r="I392" s="1676"/>
      <c r="J392" s="1676"/>
      <c r="K392" s="1676"/>
      <c r="L392" s="1676"/>
      <c r="M392" s="1676"/>
      <c r="N392" s="1676"/>
      <c r="O392" s="405"/>
      <c r="Q392" s="405"/>
      <c r="R392" s="405"/>
    </row>
    <row r="393" spans="1:25">
      <c r="B393" s="2614" t="s">
        <v>220</v>
      </c>
      <c r="C393" s="354" t="s">
        <v>2007</v>
      </c>
      <c r="E393" s="354" t="str">
        <f>Preferences.EnergyUnits</f>
        <v>TWh</v>
      </c>
      <c r="F393" s="1315">
        <f t="shared" ref="F393:N393" si="41">F391*$F392</f>
        <v>0.14350000000000002</v>
      </c>
      <c r="G393" s="1315">
        <f t="shared" si="41"/>
        <v>0.14776594798442105</v>
      </c>
      <c r="H393" s="1315">
        <f t="shared" si="41"/>
        <v>0.15899392199579612</v>
      </c>
      <c r="I393" s="1315">
        <f t="shared" si="41"/>
        <v>0.17107505197523906</v>
      </c>
      <c r="J393" s="1315">
        <f t="shared" si="41"/>
        <v>0.18407416485458214</v>
      </c>
      <c r="K393" s="1315">
        <f t="shared" si="41"/>
        <v>0.19806101343062021</v>
      </c>
      <c r="L393" s="1315">
        <f t="shared" si="41"/>
        <v>0.21311065065624191</v>
      </c>
      <c r="M393" s="1315">
        <f t="shared" si="41"/>
        <v>0.22930383237201715</v>
      </c>
      <c r="N393" s="1315">
        <f t="shared" si="41"/>
        <v>0.24672745063928636</v>
      </c>
    </row>
    <row r="394" spans="1:25" s="405" customFormat="1">
      <c r="A394" s="2476"/>
      <c r="B394" s="2476"/>
      <c r="C394" s="2476"/>
      <c r="D394" s="2476"/>
      <c r="E394" s="2476"/>
      <c r="F394" s="1314"/>
      <c r="G394" s="1314"/>
      <c r="H394" s="1314"/>
      <c r="I394" s="1314"/>
      <c r="J394" s="1314"/>
      <c r="K394" s="1314"/>
      <c r="L394" s="1314"/>
      <c r="M394" s="1314"/>
      <c r="N394" s="1314"/>
      <c r="O394" s="2476"/>
      <c r="Q394" s="2476"/>
      <c r="R394" s="2476"/>
      <c r="S394" s="2476"/>
      <c r="T394" s="2476"/>
      <c r="U394" s="2476"/>
      <c r="V394" s="2476"/>
      <c r="W394" s="2476"/>
      <c r="X394" s="2476"/>
      <c r="Y394" s="2476"/>
    </row>
    <row r="395" spans="1:25" s="405" customFormat="1">
      <c r="A395" s="2476"/>
      <c r="B395" s="2476"/>
      <c r="C395" s="2615" t="s">
        <v>2008</v>
      </c>
      <c r="D395" s="2020"/>
      <c r="E395" s="2020"/>
      <c r="F395" s="2020"/>
      <c r="G395" s="2020"/>
      <c r="H395" s="2020"/>
      <c r="I395" s="2020"/>
      <c r="J395" s="2020"/>
      <c r="K395" s="2020"/>
      <c r="L395" s="2020"/>
      <c r="M395" s="2020"/>
      <c r="N395" s="2020"/>
      <c r="O395" s="2476"/>
      <c r="Q395" s="2476"/>
      <c r="R395" s="2476"/>
      <c r="S395" s="2476"/>
      <c r="T395" s="2476"/>
      <c r="U395" s="2476"/>
      <c r="V395" s="2476"/>
      <c r="W395" s="2476"/>
      <c r="X395" s="2476"/>
      <c r="Y395" s="2476"/>
    </row>
    <row r="396" spans="1:25">
      <c r="C396" s="2616" t="s">
        <v>422</v>
      </c>
      <c r="D396" s="426" t="str">
        <f>INDEX(Vectors[Description], MATCH(C396, Vectors[Code], 0))</f>
        <v>Energy crops (first generation)</v>
      </c>
      <c r="E396" s="1230" t="str">
        <f>Preferences.EnergyUnits</f>
        <v>TWh</v>
      </c>
      <c r="F396" s="2617">
        <f>F393</f>
        <v>0.14350000000000002</v>
      </c>
      <c r="G396" s="2617">
        <f t="shared" ref="G396:N396" si="42">G393</f>
        <v>0.14776594798442105</v>
      </c>
      <c r="H396" s="2617">
        <f t="shared" si="42"/>
        <v>0.15899392199579612</v>
      </c>
      <c r="I396" s="2617">
        <f t="shared" si="42"/>
        <v>0.17107505197523906</v>
      </c>
      <c r="J396" s="2617">
        <f t="shared" si="42"/>
        <v>0.18407416485458214</v>
      </c>
      <c r="K396" s="2617">
        <f t="shared" si="42"/>
        <v>0.19806101343062021</v>
      </c>
      <c r="L396" s="2617">
        <f t="shared" si="42"/>
        <v>0.21311065065624191</v>
      </c>
      <c r="M396" s="2617">
        <f t="shared" si="42"/>
        <v>0.22930383237201715</v>
      </c>
      <c r="N396" s="2617">
        <f t="shared" si="42"/>
        <v>0.24672745063928636</v>
      </c>
    </row>
    <row r="397" spans="1:25">
      <c r="F397" s="1314"/>
      <c r="G397" s="1314"/>
      <c r="H397" s="1314"/>
      <c r="I397" s="1314"/>
      <c r="J397" s="1314"/>
      <c r="K397" s="1314"/>
      <c r="L397" s="1314"/>
      <c r="M397" s="1314"/>
      <c r="N397" s="1314"/>
    </row>
    <row r="398" spans="1:25">
      <c r="F398" s="1314"/>
      <c r="G398" s="1314"/>
      <c r="H398" s="1314"/>
      <c r="I398" s="1314"/>
      <c r="J398" s="1314"/>
      <c r="K398" s="1314"/>
      <c r="L398" s="1314"/>
      <c r="M398" s="1314"/>
      <c r="N398" s="1314"/>
    </row>
    <row r="399" spans="1:25" ht="18.5">
      <c r="A399" s="346"/>
      <c r="B399" s="354">
        <v>2</v>
      </c>
      <c r="C399" s="354" t="s">
        <v>2009</v>
      </c>
      <c r="F399" s="1313">
        <v>2013</v>
      </c>
      <c r="G399" s="1313">
        <v>2015</v>
      </c>
      <c r="H399" s="1313">
        <v>2020</v>
      </c>
      <c r="I399" s="1313">
        <v>2025</v>
      </c>
      <c r="J399" s="1313">
        <v>2030</v>
      </c>
      <c r="K399" s="1313">
        <v>2035</v>
      </c>
      <c r="L399" s="1313">
        <v>2040</v>
      </c>
      <c r="M399" s="1313">
        <v>2045</v>
      </c>
      <c r="N399" s="1313">
        <v>2050</v>
      </c>
      <c r="U399" s="405"/>
      <c r="V399" s="405"/>
      <c r="W399" s="405"/>
      <c r="X399" s="405"/>
      <c r="Y399" s="405"/>
    </row>
    <row r="400" spans="1:25">
      <c r="A400" s="2"/>
      <c r="F400" s="1314"/>
      <c r="G400" s="1314"/>
      <c r="H400" s="1314"/>
      <c r="I400" s="1314"/>
      <c r="J400" s="1314"/>
      <c r="K400" s="1314"/>
      <c r="L400" s="1314"/>
      <c r="M400" s="1314"/>
      <c r="N400" s="1314"/>
      <c r="U400" s="405"/>
      <c r="V400" s="405"/>
      <c r="W400" s="405"/>
      <c r="X400" s="405"/>
      <c r="Y400" s="405"/>
    </row>
    <row r="401" spans="1:25">
      <c r="A401" s="2"/>
      <c r="C401" s="2476" t="s">
        <v>1903</v>
      </c>
      <c r="E401" s="2476" t="s">
        <v>2010</v>
      </c>
      <c r="F401" s="2656">
        <f t="shared" ref="F401:M401" si="43">F$336*(F$313+F$314)/Unit.Mha</f>
        <v>3.3000000000000002E-2</v>
      </c>
      <c r="G401" s="1314">
        <f t="shared" si="43"/>
        <v>3.3165206250000002E-2</v>
      </c>
      <c r="H401" s="1314">
        <f t="shared" si="43"/>
        <v>3.3581849342059905E-2</v>
      </c>
      <c r="I401" s="1314">
        <f t="shared" si="43"/>
        <v>3.4003726578145724E-2</v>
      </c>
      <c r="J401" s="1314">
        <f t="shared" si="43"/>
        <v>3.4430903713010622E-2</v>
      </c>
      <c r="K401" s="1314">
        <f t="shared" si="43"/>
        <v>3.486344732746216E-2</v>
      </c>
      <c r="L401" s="1314">
        <f t="shared" si="43"/>
        <v>3.5301424838739714E-2</v>
      </c>
      <c r="M401" s="1314">
        <f t="shared" si="43"/>
        <v>3.5744904511022267E-2</v>
      </c>
      <c r="N401" s="1314">
        <f>N$336*(N$313+N$314)/Unit.Mha</f>
        <v>3.6193955466068226E-2</v>
      </c>
      <c r="S401" s="405"/>
      <c r="T401" s="405"/>
    </row>
    <row r="402" spans="1:25">
      <c r="A402" s="2"/>
      <c r="B402" s="1369" t="s">
        <v>218</v>
      </c>
      <c r="C402" s="405" t="s">
        <v>1271</v>
      </c>
      <c r="D402" s="405"/>
      <c r="E402" s="405" t="str">
        <f>Preferences.EnergyUnits &amp; " / M odt"</f>
        <v>TWh / M odt</v>
      </c>
      <c r="F402" s="1676">
        <f>$F$190</f>
        <v>5.1388888888888884</v>
      </c>
      <c r="G402" s="1676"/>
      <c r="H402" s="1676"/>
      <c r="I402" s="1676"/>
      <c r="J402" s="1676"/>
      <c r="K402" s="1676"/>
      <c r="L402" s="1676"/>
      <c r="M402" s="1676"/>
      <c r="N402" s="1676"/>
      <c r="O402" s="405"/>
      <c r="Q402" s="405"/>
      <c r="R402" s="405"/>
    </row>
    <row r="403" spans="1:25">
      <c r="A403" s="2"/>
      <c r="B403" s="2614" t="s">
        <v>220</v>
      </c>
      <c r="C403" s="354" t="s">
        <v>2011</v>
      </c>
      <c r="E403" s="354" t="str">
        <f>Preferences.EnergyUnits</f>
        <v>TWh</v>
      </c>
      <c r="F403" s="1315">
        <f t="shared" ref="F403:M403" si="44">F401*$F402</f>
        <v>0.16958333333333334</v>
      </c>
      <c r="G403" s="1315">
        <f t="shared" si="44"/>
        <v>0.17043230989583333</v>
      </c>
      <c r="H403" s="1315">
        <f t="shared" si="44"/>
        <v>0.17257339245225228</v>
      </c>
      <c r="I403" s="1315">
        <f t="shared" si="44"/>
        <v>0.17474137269324885</v>
      </c>
      <c r="J403" s="1315">
        <f t="shared" si="44"/>
        <v>0.17693658852519345</v>
      </c>
      <c r="K403" s="1315">
        <f t="shared" si="44"/>
        <v>0.17915938209945831</v>
      </c>
      <c r="L403" s="1315">
        <f t="shared" si="44"/>
        <v>0.18141009986574574</v>
      </c>
      <c r="M403" s="1315">
        <f t="shared" si="44"/>
        <v>0.18368909262608663</v>
      </c>
      <c r="N403" s="1315">
        <f>N401*$F402</f>
        <v>0.18599671558951725</v>
      </c>
    </row>
    <row r="404" spans="1:25" s="405" customFormat="1">
      <c r="A404" s="2"/>
      <c r="B404" s="373"/>
      <c r="C404" s="2476"/>
      <c r="D404" s="2476"/>
      <c r="E404" s="2476"/>
      <c r="F404" s="1314"/>
      <c r="G404" s="1314"/>
      <c r="H404" s="1314"/>
      <c r="I404" s="1314"/>
      <c r="J404" s="1314"/>
      <c r="K404" s="1314"/>
      <c r="L404" s="1314"/>
      <c r="M404" s="1314"/>
      <c r="N404" s="1314"/>
      <c r="O404" s="2476"/>
      <c r="Q404" s="2476"/>
      <c r="R404" s="2476"/>
      <c r="U404" s="2476"/>
      <c r="V404" s="2476"/>
      <c r="W404" s="2476"/>
      <c r="X404" s="2476"/>
      <c r="Y404" s="2476"/>
    </row>
    <row r="405" spans="1:25">
      <c r="A405" s="2"/>
      <c r="B405" s="1369"/>
      <c r="C405" s="405" t="s">
        <v>2012</v>
      </c>
      <c r="D405" s="405"/>
      <c r="E405" s="405" t="str">
        <f>Preferences.EnergyUnits</f>
        <v>TWh</v>
      </c>
      <c r="F405" s="1676">
        <f t="shared" ref="F405:N405" si="45">F393+F403</f>
        <v>0.31308333333333338</v>
      </c>
      <c r="G405" s="1676">
        <f t="shared" si="45"/>
        <v>0.31819825788025435</v>
      </c>
      <c r="H405" s="1676">
        <f t="shared" si="45"/>
        <v>0.33156731444804843</v>
      </c>
      <c r="I405" s="1676">
        <f t="shared" si="45"/>
        <v>0.34581642466848794</v>
      </c>
      <c r="J405" s="1676">
        <f t="shared" si="45"/>
        <v>0.36101075337977562</v>
      </c>
      <c r="K405" s="1676">
        <f t="shared" si="45"/>
        <v>0.37722039553007852</v>
      </c>
      <c r="L405" s="1676">
        <f t="shared" si="45"/>
        <v>0.39452075052198765</v>
      </c>
      <c r="M405" s="1676">
        <f t="shared" si="45"/>
        <v>0.41299292499810381</v>
      </c>
      <c r="N405" s="1676">
        <f t="shared" si="45"/>
        <v>0.43272416622880361</v>
      </c>
      <c r="O405" s="405"/>
      <c r="Q405" s="405"/>
      <c r="R405" s="405"/>
      <c r="S405" s="405"/>
      <c r="T405" s="405"/>
    </row>
    <row r="406" spans="1:25">
      <c r="B406" s="1369"/>
      <c r="C406" s="405" t="s">
        <v>2013</v>
      </c>
      <c r="D406" s="405"/>
      <c r="E406" s="1369" t="s">
        <v>42</v>
      </c>
      <c r="F406" s="2618">
        <f t="shared" ref="F406:N406" si="46">F405/(F312+F313+F314)/Unit.GWyear*1000000000/10000000000/Global.IrelandIncidentSolarEnergy</f>
        <v>2.289516580853368E-7</v>
      </c>
      <c r="G406" s="2618">
        <f t="shared" si="46"/>
        <v>2.3269210138370979E-7</v>
      </c>
      <c r="H406" s="2618">
        <f t="shared" si="46"/>
        <v>2.4246862840494938E-7</v>
      </c>
      <c r="I406" s="2618">
        <f t="shared" si="46"/>
        <v>2.5288872128078761E-7</v>
      </c>
      <c r="J406" s="2618">
        <f t="shared" si="46"/>
        <v>2.6400003377035783E-7</v>
      </c>
      <c r="K406" s="2618">
        <f t="shared" si="46"/>
        <v>2.7585382492483798E-7</v>
      </c>
      <c r="L406" s="2618">
        <f t="shared" si="46"/>
        <v>2.885052328381599E-7</v>
      </c>
      <c r="M406" s="2618">
        <f t="shared" si="46"/>
        <v>3.0201356919615326E-7</v>
      </c>
      <c r="N406" s="2618">
        <f t="shared" si="46"/>
        <v>3.1644263620445933E-7</v>
      </c>
      <c r="O406" s="405"/>
      <c r="Q406" s="405"/>
      <c r="R406" s="405"/>
    </row>
    <row r="407" spans="1:25">
      <c r="B407" s="373"/>
      <c r="E407" s="373"/>
      <c r="F407" s="1314"/>
      <c r="G407" s="1314"/>
      <c r="H407" s="1314"/>
      <c r="I407" s="1314"/>
      <c r="J407" s="1314"/>
      <c r="K407" s="1314"/>
      <c r="L407" s="1314"/>
      <c r="M407" s="1314"/>
      <c r="N407" s="1314"/>
    </row>
    <row r="408" spans="1:25">
      <c r="B408" s="373"/>
      <c r="C408" s="2615" t="s">
        <v>2008</v>
      </c>
      <c r="D408" s="2020"/>
      <c r="E408" s="2020"/>
      <c r="F408" s="2020"/>
      <c r="G408" s="2020"/>
      <c r="H408" s="2020"/>
      <c r="I408" s="2020"/>
      <c r="J408" s="2020"/>
      <c r="K408" s="2020"/>
      <c r="L408" s="2020"/>
      <c r="M408" s="2020"/>
      <c r="N408" s="2020"/>
    </row>
    <row r="409" spans="1:25" s="405" customFormat="1">
      <c r="A409" s="2476"/>
      <c r="B409" s="373"/>
      <c r="C409" s="2616" t="s">
        <v>421</v>
      </c>
      <c r="D409" s="426" t="str">
        <f>INDEX(Vectors[Description], MATCH(C409, Vectors[Code], 0))</f>
        <v>Energy crops (second generation)</v>
      </c>
      <c r="E409" s="1230" t="str">
        <f>Preferences.EnergyUnits</f>
        <v>TWh</v>
      </c>
      <c r="F409" s="2617">
        <f>F403</f>
        <v>0.16958333333333334</v>
      </c>
      <c r="G409" s="2617">
        <f t="shared" ref="G409:M409" si="47">G403</f>
        <v>0.17043230989583333</v>
      </c>
      <c r="H409" s="2617">
        <f t="shared" si="47"/>
        <v>0.17257339245225228</v>
      </c>
      <c r="I409" s="2617">
        <f t="shared" si="47"/>
        <v>0.17474137269324885</v>
      </c>
      <c r="J409" s="2617">
        <f t="shared" si="47"/>
        <v>0.17693658852519345</v>
      </c>
      <c r="K409" s="2617">
        <f t="shared" si="47"/>
        <v>0.17915938209945831</v>
      </c>
      <c r="L409" s="2617">
        <f t="shared" si="47"/>
        <v>0.18141009986574574</v>
      </c>
      <c r="M409" s="2617">
        <f t="shared" si="47"/>
        <v>0.18368909262608663</v>
      </c>
      <c r="N409" s="2617">
        <f>N403</f>
        <v>0.18599671558951725</v>
      </c>
      <c r="O409" s="2476"/>
      <c r="Q409" s="2476"/>
      <c r="R409" s="2476"/>
      <c r="S409" s="2476"/>
      <c r="T409" s="2476"/>
      <c r="U409" s="2476"/>
      <c r="V409" s="2476"/>
      <c r="W409" s="2476"/>
      <c r="X409" s="2476"/>
      <c r="Y409" s="2476"/>
    </row>
    <row r="410" spans="1:25">
      <c r="B410" s="373"/>
      <c r="E410" s="373"/>
      <c r="F410" s="1314"/>
      <c r="G410" s="1314"/>
      <c r="H410" s="1314"/>
      <c r="I410" s="1314"/>
      <c r="J410" s="1314"/>
      <c r="K410" s="1314"/>
      <c r="L410" s="1314"/>
      <c r="M410" s="1314"/>
      <c r="N410" s="1314"/>
    </row>
    <row r="411" spans="1:25">
      <c r="A411" s="405"/>
      <c r="B411" s="373"/>
      <c r="E411" s="373"/>
      <c r="F411" s="1314"/>
      <c r="G411" s="1314"/>
      <c r="H411" s="1314"/>
      <c r="I411" s="1314"/>
      <c r="J411" s="1314"/>
      <c r="K411" s="1314"/>
      <c r="L411" s="1314"/>
      <c r="M411" s="1314"/>
      <c r="N411" s="1314"/>
    </row>
    <row r="412" spans="1:25">
      <c r="B412" s="355">
        <v>3</v>
      </c>
      <c r="C412" s="354" t="s">
        <v>2014</v>
      </c>
      <c r="E412" s="373"/>
      <c r="F412" s="1313">
        <v>2013</v>
      </c>
      <c r="G412" s="1313">
        <v>2015</v>
      </c>
      <c r="H412" s="1313">
        <v>2020</v>
      </c>
      <c r="I412" s="1313">
        <v>2025</v>
      </c>
      <c r="J412" s="1313">
        <v>2030</v>
      </c>
      <c r="K412" s="1313">
        <v>2035</v>
      </c>
      <c r="L412" s="1313">
        <v>2040</v>
      </c>
      <c r="M412" s="1313">
        <v>2045</v>
      </c>
      <c r="N412" s="1313">
        <v>2050</v>
      </c>
    </row>
    <row r="413" spans="1:25">
      <c r="B413" s="373"/>
      <c r="E413" s="373"/>
      <c r="F413" s="1314"/>
      <c r="G413" s="1314"/>
      <c r="H413" s="1314"/>
      <c r="I413" s="1314"/>
      <c r="J413" s="1314"/>
      <c r="K413" s="1314"/>
      <c r="L413" s="1314"/>
      <c r="M413" s="1314"/>
      <c r="N413" s="1314"/>
    </row>
    <row r="414" spans="1:25">
      <c r="B414" s="2294" t="s">
        <v>3192</v>
      </c>
      <c r="C414" s="2" t="s">
        <v>2015</v>
      </c>
      <c r="D414" s="2"/>
      <c r="E414" s="2" t="s">
        <v>2006</v>
      </c>
      <c r="F414" s="1314">
        <f t="shared" ref="F414:N414" si="48">((F$311/4)+F$312+$F313)*F$337/Unit.Mha</f>
        <v>0.99859599999999993</v>
      </c>
      <c r="G414" s="1314">
        <f t="shared" si="48"/>
        <v>0.99859599999999993</v>
      </c>
      <c r="H414" s="1314">
        <f t="shared" si="48"/>
        <v>0.99859599999999993</v>
      </c>
      <c r="I414" s="1314">
        <f t="shared" si="48"/>
        <v>0.99859599999999993</v>
      </c>
      <c r="J414" s="1314">
        <f t="shared" si="48"/>
        <v>0.99859599999999993</v>
      </c>
      <c r="K414" s="1314">
        <f t="shared" si="48"/>
        <v>0.99859599999999993</v>
      </c>
      <c r="L414" s="1314">
        <f t="shared" si="48"/>
        <v>0.99859599999999993</v>
      </c>
      <c r="M414" s="1314">
        <f t="shared" si="48"/>
        <v>0.99859599999999993</v>
      </c>
      <c r="N414" s="1314">
        <f t="shared" si="48"/>
        <v>0.99859599999999993</v>
      </c>
      <c r="S414" s="405"/>
      <c r="T414" s="405"/>
    </row>
    <row r="415" spans="1:25">
      <c r="B415" s="1369" t="s">
        <v>218</v>
      </c>
      <c r="C415" s="405" t="s">
        <v>2016</v>
      </c>
      <c r="D415" s="405"/>
      <c r="E415" s="405"/>
      <c r="F415" s="2619">
        <f t="shared" ref="F415:N415" si="49">INDEX(F$107:F$110, MATCH($E$9, $C$107:$C$110, 0))</f>
        <v>0</v>
      </c>
      <c r="G415" s="2619">
        <f t="shared" si="49"/>
        <v>0.03</v>
      </c>
      <c r="H415" s="2619">
        <f t="shared" si="49"/>
        <v>0.05</v>
      </c>
      <c r="I415" s="2619">
        <f t="shared" si="49"/>
        <v>0.05</v>
      </c>
      <c r="J415" s="2619">
        <f t="shared" si="49"/>
        <v>0.05</v>
      </c>
      <c r="K415" s="2619">
        <f t="shared" si="49"/>
        <v>0.05</v>
      </c>
      <c r="L415" s="2619">
        <f t="shared" si="49"/>
        <v>0.05</v>
      </c>
      <c r="M415" s="2619">
        <f t="shared" si="49"/>
        <v>0.05</v>
      </c>
      <c r="N415" s="2619">
        <f t="shared" si="49"/>
        <v>0.05</v>
      </c>
      <c r="O415" s="405"/>
      <c r="Q415" s="405"/>
      <c r="R415" s="405"/>
    </row>
    <row r="416" spans="1:25">
      <c r="B416" s="1369" t="s">
        <v>218</v>
      </c>
      <c r="C416" s="405" t="s">
        <v>1271</v>
      </c>
      <c r="D416" s="405"/>
      <c r="E416" s="405" t="str">
        <f>Preferences.EnergyUnits &amp; " / M odt"</f>
        <v>TWh / M odt</v>
      </c>
      <c r="F416" s="1676">
        <f>$F$191</f>
        <v>4.1666666666666661</v>
      </c>
      <c r="G416" s="1314"/>
      <c r="H416" s="1314"/>
      <c r="I416" s="1314"/>
      <c r="J416" s="1314"/>
      <c r="K416" s="1314"/>
      <c r="L416" s="1314"/>
      <c r="M416" s="1314"/>
      <c r="N416" s="1314"/>
    </row>
    <row r="417" spans="1:25">
      <c r="B417" s="2614" t="s">
        <v>220</v>
      </c>
      <c r="C417" s="354" t="s">
        <v>1971</v>
      </c>
      <c r="E417" s="354" t="str">
        <f>Preferences.EnergyUnits</f>
        <v>TWh</v>
      </c>
      <c r="F417" s="1315">
        <f t="shared" ref="F417:N417" si="50">F414*F415*$F416</f>
        <v>0</v>
      </c>
      <c r="G417" s="1315">
        <f t="shared" si="50"/>
        <v>0.12482449999999996</v>
      </c>
      <c r="H417" s="1315">
        <f t="shared" si="50"/>
        <v>0.20804083333333329</v>
      </c>
      <c r="I417" s="1315">
        <f t="shared" si="50"/>
        <v>0.20804083333333329</v>
      </c>
      <c r="J417" s="1315">
        <f t="shared" si="50"/>
        <v>0.20804083333333329</v>
      </c>
      <c r="K417" s="1315">
        <f t="shared" si="50"/>
        <v>0.20804083333333329</v>
      </c>
      <c r="L417" s="1315">
        <f t="shared" si="50"/>
        <v>0.20804083333333329</v>
      </c>
      <c r="M417" s="1315">
        <f t="shared" si="50"/>
        <v>0.20804083333333329</v>
      </c>
      <c r="N417" s="1315">
        <f t="shared" si="50"/>
        <v>0.20804083333333329</v>
      </c>
    </row>
    <row r="418" spans="1:25" s="4250" customFormat="1">
      <c r="B418" s="2614"/>
      <c r="C418" s="354"/>
      <c r="E418" s="354"/>
      <c r="F418" s="1315"/>
      <c r="G418" s="1315"/>
      <c r="H418" s="1315"/>
      <c r="I418" s="1315"/>
      <c r="J418" s="1315"/>
      <c r="K418" s="1315"/>
      <c r="L418" s="1315"/>
      <c r="M418" s="1315"/>
      <c r="N418" s="1315"/>
    </row>
    <row r="419" spans="1:25" s="4255" customFormat="1">
      <c r="A419" s="4255" t="s">
        <v>5</v>
      </c>
      <c r="B419" s="2297" t="s">
        <v>1454</v>
      </c>
      <c r="C419" s="2295" t="s">
        <v>3688</v>
      </c>
      <c r="E419" s="354"/>
      <c r="F419" s="1315"/>
      <c r="G419" s="1315"/>
      <c r="H419" s="1315"/>
      <c r="I419" s="1315"/>
      <c r="J419" s="1315"/>
      <c r="K419" s="1315"/>
      <c r="L419" s="1315"/>
      <c r="M419" s="1315"/>
      <c r="N419" s="1315"/>
    </row>
    <row r="420" spans="1:25" s="405" customFormat="1">
      <c r="A420" s="2476"/>
      <c r="B420" s="373"/>
      <c r="C420" s="2476"/>
      <c r="D420" s="2476"/>
      <c r="E420" s="373"/>
      <c r="F420" s="1314"/>
      <c r="G420" s="1314"/>
      <c r="H420" s="1314"/>
      <c r="I420" s="1314"/>
      <c r="J420" s="1314"/>
      <c r="K420" s="1314"/>
      <c r="L420" s="1314"/>
      <c r="M420" s="1314"/>
      <c r="N420" s="1314"/>
      <c r="O420" s="2476"/>
      <c r="Q420" s="2476"/>
      <c r="R420" s="2476"/>
      <c r="S420" s="2476"/>
      <c r="T420" s="2476"/>
      <c r="U420" s="2476"/>
      <c r="V420" s="2476"/>
      <c r="W420" s="2476"/>
      <c r="X420" s="2476"/>
      <c r="Y420" s="2476"/>
    </row>
    <row r="421" spans="1:25" s="405" customFormat="1">
      <c r="A421" s="2476"/>
      <c r="B421" s="373"/>
      <c r="C421" s="2" t="s">
        <v>2017</v>
      </c>
      <c r="D421" s="2"/>
      <c r="E421" s="2" t="s">
        <v>2006</v>
      </c>
      <c r="F421" s="1314">
        <f>F$376*F$338/Unit.Mha</f>
        <v>1.3013520000000001</v>
      </c>
      <c r="G421" s="1314">
        <f t="shared" ref="G421:N421" si="51">G$376*G$338/Unit.Mha</f>
        <v>1.3013520000000001</v>
      </c>
      <c r="H421" s="1314">
        <f t="shared" si="51"/>
        <v>1.3013520000000001</v>
      </c>
      <c r="I421" s="1314">
        <f t="shared" si="51"/>
        <v>1.3013520000000001</v>
      </c>
      <c r="J421" s="1314">
        <f t="shared" si="51"/>
        <v>1.3013520000000001</v>
      </c>
      <c r="K421" s="1314">
        <f t="shared" si="51"/>
        <v>1.3013520000000001</v>
      </c>
      <c r="L421" s="1314">
        <f t="shared" si="51"/>
        <v>1.3013520000000001</v>
      </c>
      <c r="M421" s="1314">
        <f t="shared" si="51"/>
        <v>1.3013520000000001</v>
      </c>
      <c r="N421" s="1314">
        <f t="shared" si="51"/>
        <v>1.3013520000000001</v>
      </c>
      <c r="O421" s="2476"/>
      <c r="Q421" s="2476"/>
      <c r="R421" s="2476"/>
      <c r="U421" s="2476"/>
      <c r="V421" s="2476"/>
      <c r="W421" s="2476"/>
      <c r="X421" s="2476"/>
      <c r="Y421" s="2476"/>
    </row>
    <row r="422" spans="1:25">
      <c r="B422" s="1369" t="s">
        <v>218</v>
      </c>
      <c r="C422" s="405" t="s">
        <v>2016</v>
      </c>
      <c r="D422" s="405"/>
      <c r="E422" s="405"/>
      <c r="F422" s="2619">
        <f t="shared" ref="F422:N422" si="52">INDEX(F$123:F$126, MATCH($E$9, $C$123:$C$126, 0))</f>
        <v>0.15</v>
      </c>
      <c r="G422" s="2619">
        <f t="shared" si="52"/>
        <v>0.2</v>
      </c>
      <c r="H422" s="2619">
        <f t="shared" si="52"/>
        <v>0.2</v>
      </c>
      <c r="I422" s="2619">
        <f t="shared" si="52"/>
        <v>0.25</v>
      </c>
      <c r="J422" s="2619">
        <f t="shared" si="52"/>
        <v>0.25</v>
      </c>
      <c r="K422" s="2619">
        <f t="shared" si="52"/>
        <v>0.25</v>
      </c>
      <c r="L422" s="2619">
        <f t="shared" si="52"/>
        <v>0.25</v>
      </c>
      <c r="M422" s="2619">
        <f t="shared" si="52"/>
        <v>0.25</v>
      </c>
      <c r="N422" s="2619">
        <f t="shared" si="52"/>
        <v>0.25</v>
      </c>
      <c r="O422" s="405"/>
      <c r="Q422" s="405"/>
      <c r="R422" s="405"/>
    </row>
    <row r="423" spans="1:25">
      <c r="A423" s="405"/>
      <c r="B423" s="1369" t="s">
        <v>218</v>
      </c>
      <c r="C423" s="405" t="s">
        <v>1271</v>
      </c>
      <c r="D423" s="405"/>
      <c r="E423" s="405" t="str">
        <f>Preferences.EnergyUnits &amp; " / M odt"</f>
        <v>TWh / M odt</v>
      </c>
      <c r="F423" s="1676">
        <f>$F$192</f>
        <v>5.166666666666667</v>
      </c>
      <c r="G423" s="1314"/>
      <c r="H423" s="1314"/>
      <c r="I423" s="1314"/>
      <c r="J423" s="1314"/>
      <c r="K423" s="1314"/>
      <c r="L423" s="1314"/>
      <c r="M423" s="1314"/>
      <c r="N423" s="1314"/>
    </row>
    <row r="424" spans="1:25">
      <c r="B424" s="2614" t="s">
        <v>220</v>
      </c>
      <c r="C424" s="354" t="s">
        <v>1972</v>
      </c>
      <c r="E424" s="354" t="str">
        <f>Preferences.EnergyUnits</f>
        <v>TWh</v>
      </c>
      <c r="F424" s="1315">
        <f t="shared" ref="F424:N424" si="53">F421*F422*$F423</f>
        <v>1.0085478000000001</v>
      </c>
      <c r="G424" s="1315">
        <f t="shared" si="53"/>
        <v>1.3447304000000002</v>
      </c>
      <c r="H424" s="1315">
        <f t="shared" si="53"/>
        <v>1.3447304000000002</v>
      </c>
      <c r="I424" s="1315">
        <f t="shared" si="53"/>
        <v>1.6809130000000001</v>
      </c>
      <c r="J424" s="1315">
        <f t="shared" si="53"/>
        <v>1.6809130000000001</v>
      </c>
      <c r="K424" s="1315">
        <f t="shared" si="53"/>
        <v>1.6809130000000001</v>
      </c>
      <c r="L424" s="1315">
        <f t="shared" si="53"/>
        <v>1.6809130000000001</v>
      </c>
      <c r="M424" s="1315">
        <f t="shared" si="53"/>
        <v>1.6809130000000001</v>
      </c>
      <c r="N424" s="1315">
        <f t="shared" si="53"/>
        <v>1.6809130000000001</v>
      </c>
    </row>
    <row r="425" spans="1:25">
      <c r="B425" s="373"/>
      <c r="E425"/>
      <c r="F425"/>
      <c r="G425"/>
      <c r="H425"/>
      <c r="I425"/>
      <c r="J425"/>
      <c r="K425" s="1314"/>
      <c r="L425" s="1314"/>
      <c r="M425" s="1314"/>
      <c r="N425" s="1314"/>
    </row>
    <row r="426" spans="1:25">
      <c r="A426" s="405"/>
      <c r="B426" s="373"/>
      <c r="C426" s="2476" t="s">
        <v>2018</v>
      </c>
      <c r="D426" s="2"/>
      <c r="E426" s="2" t="s">
        <v>2006</v>
      </c>
      <c r="F426" s="1685">
        <f t="shared" ref="F426:N426" si="54">(F$377*F$338/Unit.Mha)*F422</f>
        <v>0</v>
      </c>
      <c r="G426" s="1685">
        <f t="shared" si="54"/>
        <v>2.975135135135267E-3</v>
      </c>
      <c r="H426" s="1685">
        <f t="shared" si="54"/>
        <v>1.0412972972972872E-2</v>
      </c>
      <c r="I426" s="1685">
        <f t="shared" si="54"/>
        <v>2.2313513513513565E-2</v>
      </c>
      <c r="J426" s="1685">
        <f t="shared" si="54"/>
        <v>3.1610810810810568E-2</v>
      </c>
      <c r="K426" s="1685">
        <f t="shared" si="54"/>
        <v>4.0908108108108042E-2</v>
      </c>
      <c r="L426" s="1685">
        <f t="shared" si="54"/>
        <v>5.0205405405405523E-2</v>
      </c>
      <c r="M426" s="1685">
        <f t="shared" si="54"/>
        <v>5.9502702702702526E-2</v>
      </c>
      <c r="N426" s="1685">
        <f t="shared" si="54"/>
        <v>6.88E-2</v>
      </c>
    </row>
    <row r="427" spans="1:25">
      <c r="A427" s="405"/>
      <c r="B427" s="1369" t="s">
        <v>218</v>
      </c>
      <c r="C427" s="405" t="s">
        <v>1271</v>
      </c>
      <c r="D427" s="405"/>
      <c r="E427" s="405" t="str">
        <f>Preferences.EnergyUnits &amp; " / M odt"</f>
        <v>TWh / M odt</v>
      </c>
      <c r="F427" s="1676">
        <f>$F$192</f>
        <v>5.166666666666667</v>
      </c>
      <c r="G427" s="1314"/>
      <c r="H427" s="1314"/>
      <c r="I427" s="1314"/>
      <c r="J427" s="1314"/>
      <c r="K427" s="1314"/>
      <c r="L427" s="1314"/>
      <c r="M427" s="1314"/>
      <c r="N427" s="1314"/>
    </row>
    <row r="428" spans="1:25">
      <c r="B428" s="2614" t="s">
        <v>220</v>
      </c>
      <c r="C428" s="354" t="s">
        <v>1972</v>
      </c>
      <c r="E428" s="354" t="str">
        <f>Preferences.EnergyUnits</f>
        <v>TWh</v>
      </c>
      <c r="F428" s="1315">
        <f t="shared" ref="F428:N428" si="55">F426*$F427</f>
        <v>0</v>
      </c>
      <c r="G428" s="1315">
        <f t="shared" si="55"/>
        <v>1.5371531531532213E-2</v>
      </c>
      <c r="H428" s="1315">
        <f t="shared" si="55"/>
        <v>5.3800360360359845E-2</v>
      </c>
      <c r="I428" s="1315">
        <f t="shared" si="55"/>
        <v>0.11528648648648676</v>
      </c>
      <c r="J428" s="1315">
        <f t="shared" si="55"/>
        <v>0.16332252252252127</v>
      </c>
      <c r="K428" s="1315">
        <f t="shared" si="55"/>
        <v>0.21135855855855823</v>
      </c>
      <c r="L428" s="1315">
        <f t="shared" si="55"/>
        <v>0.25939459459459524</v>
      </c>
      <c r="M428" s="1315">
        <f t="shared" si="55"/>
        <v>0.30743063063062975</v>
      </c>
      <c r="N428" s="1315">
        <f t="shared" si="55"/>
        <v>0.35546666666666671</v>
      </c>
    </row>
    <row r="429" spans="1:25">
      <c r="B429" s="2614"/>
      <c r="C429" s="354"/>
      <c r="E429" s="354"/>
      <c r="F429" s="1315"/>
      <c r="G429" s="1315"/>
      <c r="H429" s="1315"/>
      <c r="I429" s="1315"/>
      <c r="J429" s="1315"/>
      <c r="K429" s="1315"/>
      <c r="L429" s="1315"/>
      <c r="M429" s="1315"/>
      <c r="N429" s="1315"/>
    </row>
    <row r="430" spans="1:25">
      <c r="B430" s="2294" t="s">
        <v>3192</v>
      </c>
      <c r="C430" s="39" t="s">
        <v>3677</v>
      </c>
      <c r="D430" s="39"/>
      <c r="E430" s="39" t="s">
        <v>2006</v>
      </c>
      <c r="F430" s="1685">
        <f>((F$324*F$339)/1000)</f>
        <v>0.39493</v>
      </c>
      <c r="G430" s="1685">
        <f t="shared" ref="G430:N430" si="56">((G$324*G$339)/1000)</f>
        <v>0.40690684563232488</v>
      </c>
      <c r="H430" s="1685">
        <f t="shared" si="56"/>
        <v>0.43846221553223158</v>
      </c>
      <c r="I430" s="1685">
        <f t="shared" si="56"/>
        <v>0.47246468451687507</v>
      </c>
      <c r="J430" s="1685">
        <f t="shared" si="56"/>
        <v>0.50910402358084395</v>
      </c>
      <c r="K430" s="1685">
        <f t="shared" si="56"/>
        <v>0.54858472033997507</v>
      </c>
      <c r="L430" s="1685">
        <f t="shared" si="56"/>
        <v>0.59112712029607362</v>
      </c>
      <c r="M430" s="1685">
        <f t="shared" si="56"/>
        <v>0.63696865660599378</v>
      </c>
      <c r="N430" s="1685">
        <f t="shared" si="56"/>
        <v>0.68636517521853824</v>
      </c>
      <c r="S430" s="405"/>
      <c r="T430" s="405"/>
    </row>
    <row r="431" spans="1:25">
      <c r="B431" s="1369" t="s">
        <v>218</v>
      </c>
      <c r="C431" s="3530" t="s">
        <v>1961</v>
      </c>
      <c r="D431" s="3530"/>
      <c r="E431" s="3530"/>
      <c r="F431" s="4256">
        <f>$F$198</f>
        <v>0.65</v>
      </c>
      <c r="G431" s="4257"/>
      <c r="H431" s="4257"/>
      <c r="I431" s="4257"/>
      <c r="J431" s="4257"/>
      <c r="K431" s="4257"/>
      <c r="L431" s="4257"/>
      <c r="M431" s="4257"/>
      <c r="N431" s="4257"/>
      <c r="O431" s="405"/>
      <c r="Q431" s="405"/>
      <c r="R431" s="405"/>
      <c r="S431" s="405"/>
      <c r="T431" s="405"/>
    </row>
    <row r="432" spans="1:25">
      <c r="B432" s="1369" t="s">
        <v>218</v>
      </c>
      <c r="C432" s="3530" t="s">
        <v>2016</v>
      </c>
      <c r="D432" s="4258" t="s">
        <v>3678</v>
      </c>
      <c r="E432" s="3530"/>
      <c r="F432" s="4256">
        <f>MIN(10%, INDEX(F$115:F$118, MATCH($E$9, $C$115:$C$118, 0)))</f>
        <v>0.01</v>
      </c>
      <c r="G432" s="4256">
        <f t="shared" ref="G432:N432" si="57">MIN(10%, INDEX(G$115:G$118, MATCH($E$9, $C$115:$C$118, 0)))</f>
        <v>0.02</v>
      </c>
      <c r="H432" s="4256">
        <f t="shared" si="57"/>
        <v>0.05</v>
      </c>
      <c r="I432" s="4256">
        <f t="shared" si="57"/>
        <v>0.1</v>
      </c>
      <c r="J432" s="4256">
        <f t="shared" si="57"/>
        <v>0.1</v>
      </c>
      <c r="K432" s="4256">
        <f t="shared" si="57"/>
        <v>0.1</v>
      </c>
      <c r="L432" s="4256">
        <f t="shared" si="57"/>
        <v>0.1</v>
      </c>
      <c r="M432" s="4256">
        <f t="shared" si="57"/>
        <v>0.1</v>
      </c>
      <c r="N432" s="4256">
        <f t="shared" si="57"/>
        <v>0.1</v>
      </c>
      <c r="O432" s="405" t="s">
        <v>5</v>
      </c>
      <c r="Q432" s="405"/>
      <c r="R432" s="405"/>
    </row>
    <row r="433" spans="1:20">
      <c r="B433" s="1369" t="s">
        <v>218</v>
      </c>
      <c r="C433" s="3530" t="s">
        <v>1271</v>
      </c>
      <c r="D433" s="3530"/>
      <c r="E433" s="3530" t="str">
        <f>Preferences.EnergyUnits &amp; " / M odt"</f>
        <v>TWh / M odt</v>
      </c>
      <c r="F433" s="4257">
        <f>$F$193</f>
        <v>5.166666666666667</v>
      </c>
      <c r="G433" s="1685"/>
      <c r="H433" s="1685"/>
      <c r="I433" s="1685"/>
      <c r="J433" s="1685"/>
      <c r="K433" s="1685"/>
      <c r="L433" s="1685"/>
      <c r="M433" s="1685"/>
      <c r="N433" s="1685"/>
    </row>
    <row r="434" spans="1:20">
      <c r="B434" s="2614" t="s">
        <v>220</v>
      </c>
      <c r="C434" s="399" t="s">
        <v>1973</v>
      </c>
      <c r="D434" s="39"/>
      <c r="E434" s="399" t="str">
        <f>Preferences.EnergyUnits</f>
        <v>TWh</v>
      </c>
      <c r="F434" s="1611">
        <f t="shared" ref="F434:N434" si="58">F430*$F431*F432*$F433</f>
        <v>1.3263065833333334E-2</v>
      </c>
      <c r="G434" s="1611">
        <f t="shared" si="58"/>
        <v>2.7330576464971158E-2</v>
      </c>
      <c r="H434" s="1611">
        <f t="shared" si="58"/>
        <v>7.36251136914539E-2</v>
      </c>
      <c r="I434" s="1611">
        <f t="shared" si="58"/>
        <v>0.15866938988358389</v>
      </c>
      <c r="J434" s="1611">
        <f t="shared" si="58"/>
        <v>0.17097410125256679</v>
      </c>
      <c r="K434" s="1611">
        <f t="shared" si="58"/>
        <v>0.18423303524750831</v>
      </c>
      <c r="L434" s="1611">
        <f t="shared" si="58"/>
        <v>0.19852019123276476</v>
      </c>
      <c r="M434" s="1611">
        <f t="shared" si="58"/>
        <v>0.21391530717684629</v>
      </c>
      <c r="N434" s="1611">
        <f t="shared" si="58"/>
        <v>0.23050430467755911</v>
      </c>
    </row>
    <row r="435" spans="1:20" s="4254" customFormat="1">
      <c r="A435" s="4254" t="s">
        <v>5</v>
      </c>
      <c r="B435" s="2614"/>
      <c r="C435" s="399"/>
      <c r="D435" s="39"/>
      <c r="E435" s="399"/>
      <c r="F435" s="1611"/>
      <c r="G435" s="1611"/>
      <c r="H435" s="1611"/>
      <c r="I435" s="1611"/>
      <c r="J435" s="1611"/>
      <c r="K435" s="1611"/>
      <c r="L435" s="1611"/>
      <c r="M435" s="1611"/>
      <c r="N435" s="1611"/>
    </row>
    <row r="436" spans="1:20" s="4255" customFormat="1">
      <c r="A436" s="4255" t="s">
        <v>5</v>
      </c>
      <c r="B436" s="373"/>
      <c r="C436" s="39" t="s">
        <v>3683</v>
      </c>
      <c r="D436" s="39"/>
      <c r="E436" s="39" t="s">
        <v>2006</v>
      </c>
      <c r="F436" s="1685">
        <f>((F$325+F$326)*F$339)/1000</f>
        <v>2.4440399999999998</v>
      </c>
      <c r="G436" s="1685">
        <f t="shared" ref="G436:N436" si="59">((G$325+G$326)*G$339)/1000</f>
        <v>2.4794268621179616</v>
      </c>
      <c r="H436" s="1685">
        <f t="shared" si="59"/>
        <v>2.5709273633090945</v>
      </c>
      <c r="I436" s="1685">
        <f t="shared" si="59"/>
        <v>2.66697891284096</v>
      </c>
      <c r="J436" s="1685">
        <f t="shared" si="59"/>
        <v>2.7678701833218615</v>
      </c>
      <c r="K436" s="1685">
        <f t="shared" si="59"/>
        <v>2.8739106111359805</v>
      </c>
      <c r="L436" s="1685">
        <f t="shared" si="59"/>
        <v>2.985431965688373</v>
      </c>
      <c r="M436" s="1685">
        <f t="shared" si="59"/>
        <v>3.1027900393093035</v>
      </c>
      <c r="N436" s="1685">
        <f t="shared" si="59"/>
        <v>3.226366467148865</v>
      </c>
      <c r="S436" s="405"/>
      <c r="T436" s="405"/>
    </row>
    <row r="437" spans="1:20" s="4255" customFormat="1">
      <c r="B437" s="1369" t="s">
        <v>218</v>
      </c>
      <c r="C437" s="3530" t="s">
        <v>1961</v>
      </c>
      <c r="D437" s="3530"/>
      <c r="E437" s="3530"/>
      <c r="F437" s="4256">
        <v>0.1</v>
      </c>
      <c r="G437" s="4257"/>
      <c r="H437" s="4257"/>
      <c r="I437" s="4257"/>
      <c r="J437" s="4257"/>
      <c r="K437" s="4257"/>
      <c r="L437" s="4257"/>
      <c r="M437" s="4257"/>
      <c r="N437" s="4257"/>
      <c r="O437" s="405"/>
      <c r="Q437" s="405"/>
      <c r="R437" s="405"/>
      <c r="S437" s="405"/>
      <c r="T437" s="405"/>
    </row>
    <row r="438" spans="1:20" s="4255" customFormat="1">
      <c r="B438" s="1369" t="s">
        <v>218</v>
      </c>
      <c r="C438" s="3530" t="s">
        <v>2016</v>
      </c>
      <c r="D438" s="3530"/>
      <c r="E438" s="3530"/>
      <c r="F438" s="4256">
        <f>INDEX(F$115:F$118, MATCH($E$9, $C$115:$C$118, 0))</f>
        <v>0.01</v>
      </c>
      <c r="G438" s="4256">
        <f t="shared" ref="G438:N438" si="60">INDEX(G$115:G$118, MATCH($E$9, $C$115:$C$118, 0))</f>
        <v>0.02</v>
      </c>
      <c r="H438" s="4256">
        <f t="shared" si="60"/>
        <v>0.05</v>
      </c>
      <c r="I438" s="4256">
        <f t="shared" si="60"/>
        <v>0.1</v>
      </c>
      <c r="J438" s="4256">
        <f t="shared" si="60"/>
        <v>0.1</v>
      </c>
      <c r="K438" s="4256">
        <f t="shared" si="60"/>
        <v>0.2</v>
      </c>
      <c r="L438" s="4256">
        <f t="shared" si="60"/>
        <v>0.3</v>
      </c>
      <c r="M438" s="4256">
        <f t="shared" si="60"/>
        <v>0.4</v>
      </c>
      <c r="N438" s="4256">
        <f t="shared" si="60"/>
        <v>0.4</v>
      </c>
      <c r="O438" s="405" t="s">
        <v>5</v>
      </c>
      <c r="Q438" s="405"/>
      <c r="R438" s="405"/>
    </row>
    <row r="439" spans="1:20" s="4255" customFormat="1">
      <c r="B439" s="1369" t="s">
        <v>218</v>
      </c>
      <c r="C439" s="3530" t="s">
        <v>1271</v>
      </c>
      <c r="D439" s="3530"/>
      <c r="E439" s="3530" t="str">
        <f>Preferences.EnergyUnits &amp; " / M odt"</f>
        <v>TWh / M odt</v>
      </c>
      <c r="F439" s="4257">
        <f>$F$193</f>
        <v>5.166666666666667</v>
      </c>
      <c r="G439" s="1685"/>
      <c r="H439" s="1685"/>
      <c r="I439" s="1685"/>
      <c r="J439" s="1685"/>
      <c r="K439" s="1685"/>
      <c r="L439" s="1685"/>
      <c r="M439" s="1685"/>
      <c r="N439" s="1685"/>
    </row>
    <row r="440" spans="1:20" s="4255" customFormat="1">
      <c r="B440" s="2614" t="s">
        <v>220</v>
      </c>
      <c r="C440" s="399" t="s">
        <v>1973</v>
      </c>
      <c r="D440" s="39"/>
      <c r="E440" s="399" t="str">
        <f>Preferences.EnergyUnits</f>
        <v>TWh</v>
      </c>
      <c r="F440" s="1611">
        <f t="shared" ref="F440:N440" si="61">F436*$F437*F438*$F439</f>
        <v>1.262754E-2</v>
      </c>
      <c r="G440" s="1611">
        <f t="shared" si="61"/>
        <v>2.5620744241885603E-2</v>
      </c>
      <c r="H440" s="1611">
        <f t="shared" si="61"/>
        <v>6.6415623552151609E-2</v>
      </c>
      <c r="I440" s="1611">
        <f t="shared" si="61"/>
        <v>0.13779391049678294</v>
      </c>
      <c r="J440" s="1611">
        <f t="shared" si="61"/>
        <v>0.14300662613829621</v>
      </c>
      <c r="K440" s="1611">
        <f t="shared" si="61"/>
        <v>0.29697076315071808</v>
      </c>
      <c r="L440" s="1611">
        <f t="shared" si="61"/>
        <v>0.46274195468169788</v>
      </c>
      <c r="M440" s="1611">
        <f t="shared" si="61"/>
        <v>0.64124327479058951</v>
      </c>
      <c r="N440" s="1611">
        <f t="shared" si="61"/>
        <v>0.66678240321076554</v>
      </c>
    </row>
    <row r="441" spans="1:20" s="4255" customFormat="1">
      <c r="B441" s="2614"/>
      <c r="C441" s="399"/>
      <c r="D441" s="39"/>
      <c r="E441" s="399"/>
      <c r="F441" s="1611"/>
      <c r="G441" s="1611"/>
      <c r="H441" s="1611"/>
      <c r="I441" s="1611"/>
      <c r="J441" s="1611"/>
      <c r="K441" s="1611"/>
      <c r="L441" s="1611"/>
      <c r="M441" s="1611"/>
      <c r="N441" s="1611"/>
    </row>
    <row r="442" spans="1:20" s="4255" customFormat="1">
      <c r="B442" s="2297" t="s">
        <v>1454</v>
      </c>
      <c r="C442" s="2295" t="s">
        <v>3686</v>
      </c>
      <c r="D442" s="39"/>
      <c r="E442" s="354"/>
      <c r="F442" s="1611"/>
      <c r="G442" s="1315"/>
      <c r="H442" s="1315"/>
      <c r="I442" s="1315"/>
      <c r="J442" s="1315"/>
      <c r="K442" s="1315"/>
      <c r="L442" s="1315"/>
      <c r="M442" s="1315"/>
      <c r="N442" s="1315"/>
    </row>
    <row r="443" spans="1:20">
      <c r="E443" s="373"/>
      <c r="F443" s="1314"/>
      <c r="G443" s="1314"/>
      <c r="H443" s="1314"/>
      <c r="I443" s="1314"/>
      <c r="J443" s="1314"/>
      <c r="K443" s="1314"/>
      <c r="L443" s="1314"/>
      <c r="M443" s="1314"/>
      <c r="N443" s="1314"/>
    </row>
    <row r="444" spans="1:20">
      <c r="A444" s="405"/>
      <c r="C444" s="2615" t="s">
        <v>2008</v>
      </c>
      <c r="D444" s="2020"/>
      <c r="E444" s="2020"/>
      <c r="F444" s="2020"/>
      <c r="G444" s="2020"/>
      <c r="H444" s="2020"/>
      <c r="I444" s="2020"/>
      <c r="J444" s="2020"/>
      <c r="K444" s="2020"/>
      <c r="L444" s="2020"/>
      <c r="M444" s="2020"/>
      <c r="N444" s="2020"/>
    </row>
    <row r="445" spans="1:20">
      <c r="C445" s="1691" t="s">
        <v>423</v>
      </c>
      <c r="D445" s="297" t="str">
        <f>INDEX(Vectors[Description], MATCH(C445, Vectors[Code], 0))</f>
        <v>Dry biomass and waste</v>
      </c>
      <c r="E445" s="389"/>
      <c r="F445" s="1443">
        <f>F$417+F$424+F$428</f>
        <v>1.0085478000000001</v>
      </c>
      <c r="G445" s="1443">
        <f t="shared" ref="G445:M445" si="62">G$417+G$424+G$428</f>
        <v>1.4849264315315323</v>
      </c>
      <c r="H445" s="1443">
        <f t="shared" si="62"/>
        <v>1.6065715936936933</v>
      </c>
      <c r="I445" s="1443">
        <f t="shared" si="62"/>
        <v>2.0042403198198202</v>
      </c>
      <c r="J445" s="1443">
        <f t="shared" si="62"/>
        <v>2.0522763558558546</v>
      </c>
      <c r="K445" s="1443">
        <f t="shared" si="62"/>
        <v>2.1003123918918916</v>
      </c>
      <c r="L445" s="1443">
        <f t="shared" si="62"/>
        <v>2.1483484279279286</v>
      </c>
      <c r="M445" s="1443">
        <f t="shared" si="62"/>
        <v>2.1963844639639629</v>
      </c>
      <c r="N445" s="1443">
        <f>N$417+N$424+N$428</f>
        <v>2.2444204999999999</v>
      </c>
    </row>
    <row r="446" spans="1:20">
      <c r="C446" s="2616" t="s">
        <v>424</v>
      </c>
      <c r="D446" s="426" t="str">
        <f>INDEX(Vectors[Description], MATCH(C446, Vectors[Code], 0))</f>
        <v>Wet biomass and waste</v>
      </c>
      <c r="E446" s="1230" t="str">
        <f>Preferences.EnergyUnits</f>
        <v>TWh</v>
      </c>
      <c r="F446" s="2026">
        <f>F$434+F$440</f>
        <v>2.5890605833333333E-2</v>
      </c>
      <c r="G446" s="2617">
        <f t="shared" ref="G446:N446" si="63">G$434+G$440</f>
        <v>5.2951320706856764E-2</v>
      </c>
      <c r="H446" s="2617">
        <f t="shared" si="63"/>
        <v>0.1400407372436055</v>
      </c>
      <c r="I446" s="2617">
        <f t="shared" si="63"/>
        <v>0.29646330038036683</v>
      </c>
      <c r="J446" s="2617">
        <f t="shared" si="63"/>
        <v>0.31398072739086302</v>
      </c>
      <c r="K446" s="2617">
        <f t="shared" si="63"/>
        <v>0.48120379839822636</v>
      </c>
      <c r="L446" s="2617">
        <f t="shared" si="63"/>
        <v>0.66126214591446264</v>
      </c>
      <c r="M446" s="2617">
        <f t="shared" si="63"/>
        <v>0.85515858196743577</v>
      </c>
      <c r="N446" s="2617">
        <f t="shared" si="63"/>
        <v>0.89728670788832465</v>
      </c>
    </row>
    <row r="447" spans="1:20">
      <c r="E447" s="373"/>
      <c r="F447" s="1314"/>
      <c r="G447" s="1314"/>
      <c r="H447" s="1314"/>
      <c r="I447" s="1314"/>
      <c r="J447" s="1314"/>
      <c r="K447" s="1314"/>
      <c r="L447" s="1314"/>
      <c r="M447" s="1314"/>
      <c r="N447" s="1314"/>
    </row>
    <row r="448" spans="1:20">
      <c r="E448" s="373"/>
      <c r="F448" s="1314"/>
      <c r="G448" s="1314"/>
      <c r="H448" s="1314"/>
      <c r="I448" s="1314"/>
      <c r="J448" s="1314"/>
      <c r="K448" s="1314"/>
      <c r="L448" s="1314"/>
      <c r="M448" s="1314"/>
      <c r="N448" s="1314"/>
    </row>
    <row r="449" spans="1:25">
      <c r="A449" s="405"/>
      <c r="B449" s="354">
        <v>4</v>
      </c>
      <c r="C449" s="354" t="s">
        <v>2019</v>
      </c>
      <c r="E449" s="373"/>
      <c r="F449" s="1313">
        <v>2013</v>
      </c>
      <c r="G449" s="1313">
        <v>2015</v>
      </c>
      <c r="H449" s="1313">
        <v>2020</v>
      </c>
      <c r="I449" s="1313">
        <v>2025</v>
      </c>
      <c r="J449" s="1313">
        <v>2030</v>
      </c>
      <c r="K449" s="1313">
        <v>2035</v>
      </c>
      <c r="L449" s="1313">
        <v>2040</v>
      </c>
      <c r="M449" s="1313">
        <v>2045</v>
      </c>
      <c r="N449" s="1313">
        <v>2050</v>
      </c>
    </row>
    <row r="450" spans="1:25">
      <c r="E450" s="373"/>
      <c r="F450" s="1314"/>
      <c r="G450" s="1314"/>
      <c r="H450" s="1314"/>
      <c r="I450" s="1314"/>
      <c r="J450" s="1314"/>
      <c r="K450" s="1314"/>
      <c r="L450" s="1314"/>
      <c r="M450" s="1314"/>
      <c r="N450" s="1314"/>
    </row>
    <row r="451" spans="1:25">
      <c r="C451" s="2476" t="s">
        <v>2020</v>
      </c>
      <c r="E451" s="2" t="str">
        <f>Preferences.EnergyUnits</f>
        <v>TWh</v>
      </c>
      <c r="F451" s="1314">
        <f t="array" ref="F451:F453">F213:F215</f>
        <v>1.61</v>
      </c>
      <c r="G451" s="1314">
        <f t="shared" ref="G451:N451" si="64">$F451*(G$324/$F$324)</f>
        <v>1.6423610000000002</v>
      </c>
      <c r="H451" s="1314">
        <f t="shared" si="64"/>
        <v>1.7261379168922859</v>
      </c>
      <c r="I451" s="1314">
        <f t="shared" si="64"/>
        <v>1.8141882985124715</v>
      </c>
      <c r="J451" s="1314">
        <f t="shared" si="64"/>
        <v>1.9067301345104268</v>
      </c>
      <c r="K451" s="1314">
        <f t="shared" si="64"/>
        <v>2.0039925341989835</v>
      </c>
      <c r="L451" s="1314">
        <f t="shared" si="64"/>
        <v>2.1062162937684992</v>
      </c>
      <c r="M451" s="1314">
        <f t="shared" si="64"/>
        <v>2.2136544924350674</v>
      </c>
      <c r="N451" s="1314">
        <f t="shared" si="64"/>
        <v>2.3265731189982701</v>
      </c>
    </row>
    <row r="452" spans="1:25">
      <c r="C452" s="2476" t="s">
        <v>2021</v>
      </c>
      <c r="E452" s="2" t="str">
        <f>Preferences.EnergyUnits</f>
        <v>TWh</v>
      </c>
      <c r="F452" s="1314">
        <v>0.3</v>
      </c>
      <c r="G452" s="1314">
        <f t="shared" ref="G452:N452" si="65">$F452</f>
        <v>0.3</v>
      </c>
      <c r="H452" s="1314">
        <f t="shared" si="65"/>
        <v>0.3</v>
      </c>
      <c r="I452" s="1314">
        <f t="shared" si="65"/>
        <v>0.3</v>
      </c>
      <c r="J452" s="1314">
        <f t="shared" si="65"/>
        <v>0.3</v>
      </c>
      <c r="K452" s="1314">
        <f t="shared" si="65"/>
        <v>0.3</v>
      </c>
      <c r="L452" s="1314">
        <f t="shared" si="65"/>
        <v>0.3</v>
      </c>
      <c r="M452" s="1314">
        <f t="shared" si="65"/>
        <v>0.3</v>
      </c>
      <c r="N452" s="1314">
        <f t="shared" si="65"/>
        <v>0.3</v>
      </c>
      <c r="U452" s="6"/>
      <c r="V452" s="6"/>
      <c r="W452" s="6"/>
      <c r="X452" s="6"/>
      <c r="Y452" s="6"/>
    </row>
    <row r="453" spans="1:25">
      <c r="C453" s="2476" t="s">
        <v>2022</v>
      </c>
      <c r="E453" s="2" t="str">
        <f>Preferences.EnergyUnits</f>
        <v>TWh</v>
      </c>
      <c r="F453" s="1314">
        <v>0.7</v>
      </c>
      <c r="G453" s="1314">
        <f t="shared" ref="G453:N453" si="66">$F453*(SUM(G$311:G$314)/SUM($F$311:$F$314))</f>
        <v>0.7</v>
      </c>
      <c r="H453" s="1314">
        <f t="shared" si="66"/>
        <v>0.7</v>
      </c>
      <c r="I453" s="1314">
        <f t="shared" si="66"/>
        <v>0.7</v>
      </c>
      <c r="J453" s="1314">
        <f t="shared" si="66"/>
        <v>0.7</v>
      </c>
      <c r="K453" s="1314">
        <f t="shared" si="66"/>
        <v>0.7</v>
      </c>
      <c r="L453" s="1314">
        <f t="shared" si="66"/>
        <v>0.7</v>
      </c>
      <c r="M453" s="1314">
        <f t="shared" si="66"/>
        <v>0.7</v>
      </c>
      <c r="N453" s="1314">
        <f t="shared" si="66"/>
        <v>0.7</v>
      </c>
      <c r="U453" s="6"/>
      <c r="V453" s="6"/>
      <c r="W453" s="6"/>
      <c r="X453" s="6"/>
      <c r="Y453" s="6"/>
    </row>
    <row r="454" spans="1:25">
      <c r="C454" s="354"/>
      <c r="E454" s="373"/>
      <c r="F454" s="1314"/>
      <c r="G454" s="1314"/>
      <c r="H454" s="1314"/>
      <c r="I454" s="1314"/>
      <c r="J454" s="1314"/>
      <c r="K454" s="1314"/>
      <c r="L454" s="1314"/>
      <c r="M454" s="1314"/>
      <c r="N454" s="1314"/>
      <c r="U454" s="6"/>
      <c r="V454" s="6"/>
      <c r="W454" s="6"/>
      <c r="X454" s="6"/>
      <c r="Y454" s="6"/>
    </row>
    <row r="455" spans="1:25">
      <c r="C455" s="354" t="s">
        <v>2023</v>
      </c>
      <c r="E455" s="373"/>
      <c r="F455" s="1315">
        <f t="shared" ref="F455:N455" si="67">SUM(F$451:F$453)</f>
        <v>2.6100000000000003</v>
      </c>
      <c r="G455" s="1315">
        <f t="shared" si="67"/>
        <v>2.6423610000000002</v>
      </c>
      <c r="H455" s="1315">
        <f t="shared" si="67"/>
        <v>2.7261379168922861</v>
      </c>
      <c r="I455" s="1315">
        <f t="shared" si="67"/>
        <v>2.8141882985124713</v>
      </c>
      <c r="J455" s="1315">
        <f t="shared" si="67"/>
        <v>2.9067301345104264</v>
      </c>
      <c r="K455" s="1315">
        <f t="shared" si="67"/>
        <v>3.003992534198983</v>
      </c>
      <c r="L455" s="1315">
        <f t="shared" si="67"/>
        <v>3.1062162937684992</v>
      </c>
      <c r="M455" s="1315">
        <f t="shared" si="67"/>
        <v>3.213654492435067</v>
      </c>
      <c r="N455" s="1315">
        <f t="shared" si="67"/>
        <v>3.3265731189982697</v>
      </c>
      <c r="U455" s="6"/>
      <c r="V455" s="6"/>
      <c r="W455" s="6"/>
      <c r="X455" s="6"/>
      <c r="Y455" s="6"/>
    </row>
    <row r="456" spans="1:25">
      <c r="B456" s="2476" t="s">
        <v>95</v>
      </c>
      <c r="C456" s="2476" t="s">
        <v>85</v>
      </c>
      <c r="E456" s="373"/>
      <c r="F456" s="1314">
        <f t="array" ref="F456:F459">F$455*$F$220:$F$223</f>
        <v>0.54810000000000003</v>
      </c>
      <c r="G456" s="1314">
        <f t="array" ref="G456:G459">G$455*$F$220:$F$223</f>
        <v>0.55489580999999999</v>
      </c>
      <c r="H456" s="1314">
        <f t="array" ref="H456:H459">H$455*$F$220:$F$223</f>
        <v>0.57248896254738002</v>
      </c>
      <c r="I456" s="1314">
        <f t="array" ref="I456:I459">I$455*$F$220:$F$223</f>
        <v>0.59097954268761899</v>
      </c>
      <c r="J456" s="1314">
        <f t="array" ref="J456:J459">J$455*$F$220:$F$223</f>
        <v>0.61041332824718952</v>
      </c>
      <c r="K456" s="1314">
        <f t="array" ref="K456:K459">K$455*$F$220:$F$223</f>
        <v>0.63083843218178637</v>
      </c>
      <c r="L456" s="1314">
        <f t="array" ref="L456:L459">L$455*$F$220:$F$223</f>
        <v>0.65230542169138483</v>
      </c>
      <c r="M456" s="1314">
        <f t="array" ref="M456:M459">M$455*$F$220:$F$223</f>
        <v>0.67486744341136407</v>
      </c>
      <c r="N456" s="1314">
        <f t="array" ref="N456:N459">N$455*$F$220:$F$223</f>
        <v>0.69858035498963655</v>
      </c>
      <c r="U456" s="6"/>
      <c r="V456" s="6"/>
      <c r="W456" s="6"/>
      <c r="X456" s="6"/>
      <c r="Y456" s="6"/>
    </row>
    <row r="457" spans="1:25">
      <c r="B457" s="2476" t="s">
        <v>97</v>
      </c>
      <c r="C457" s="2476" t="s">
        <v>87</v>
      </c>
      <c r="E457" s="373"/>
      <c r="F457" s="1314">
        <v>0</v>
      </c>
      <c r="G457" s="1314">
        <v>0</v>
      </c>
      <c r="H457" s="1314">
        <v>0</v>
      </c>
      <c r="I457" s="1314">
        <v>0</v>
      </c>
      <c r="J457" s="1314">
        <v>0</v>
      </c>
      <c r="K457" s="1314">
        <v>0</v>
      </c>
      <c r="L457" s="1314">
        <v>0</v>
      </c>
      <c r="M457" s="1314">
        <v>0</v>
      </c>
      <c r="N457" s="1314">
        <v>0</v>
      </c>
      <c r="U457" s="6"/>
      <c r="V457" s="6"/>
      <c r="W457" s="6"/>
      <c r="X457" s="6"/>
      <c r="Y457" s="6"/>
    </row>
    <row r="458" spans="1:25">
      <c r="A458" s="405"/>
      <c r="B458" s="2476" t="s">
        <v>98</v>
      </c>
      <c r="C458" s="2476" t="s">
        <v>88</v>
      </c>
      <c r="E458" s="373"/>
      <c r="F458" s="1314">
        <v>2.0619000000000005</v>
      </c>
      <c r="G458" s="1314">
        <v>2.0874651900000001</v>
      </c>
      <c r="H458" s="1314">
        <v>2.1536489543449062</v>
      </c>
      <c r="I458" s="1314">
        <v>2.2232087558248526</v>
      </c>
      <c r="J458" s="1314">
        <v>2.2963168062632371</v>
      </c>
      <c r="K458" s="1314">
        <v>2.3731541020171969</v>
      </c>
      <c r="L458" s="1314">
        <v>2.4539108720771146</v>
      </c>
      <c r="M458" s="1314">
        <v>2.538787049023703</v>
      </c>
      <c r="N458" s="1314">
        <v>2.6279927640086331</v>
      </c>
    </row>
    <row r="459" spans="1:25">
      <c r="A459" s="405"/>
      <c r="B459" s="2476" t="s">
        <v>99</v>
      </c>
      <c r="C459" s="2476" t="s">
        <v>89</v>
      </c>
      <c r="E459" s="373"/>
      <c r="F459" s="1314">
        <v>0</v>
      </c>
      <c r="G459" s="1314">
        <v>0</v>
      </c>
      <c r="H459" s="1314">
        <v>0</v>
      </c>
      <c r="I459" s="1314">
        <v>0</v>
      </c>
      <c r="J459" s="1314">
        <v>0</v>
      </c>
      <c r="K459" s="1314">
        <v>0</v>
      </c>
      <c r="L459" s="1314">
        <v>0</v>
      </c>
      <c r="M459" s="1314">
        <v>0</v>
      </c>
      <c r="N459" s="1314">
        <v>0</v>
      </c>
    </row>
    <row r="460" spans="1:25">
      <c r="E460" s="373"/>
      <c r="F460" s="1314"/>
      <c r="G460" s="1314"/>
      <c r="H460" s="1314"/>
      <c r="I460" s="1314"/>
      <c r="J460" s="1314"/>
      <c r="K460" s="1314"/>
      <c r="L460" s="1314"/>
      <c r="M460" s="1314"/>
      <c r="N460" s="1314"/>
    </row>
    <row r="461" spans="1:25">
      <c r="B461" s="354">
        <v>5</v>
      </c>
      <c r="C461" s="354" t="s">
        <v>249</v>
      </c>
      <c r="E461" s="373"/>
      <c r="F461" s="1313">
        <v>2013</v>
      </c>
      <c r="G461" s="1313">
        <v>2015</v>
      </c>
      <c r="H461" s="1313">
        <v>2020</v>
      </c>
      <c r="I461" s="1313">
        <v>2025</v>
      </c>
      <c r="J461" s="1313">
        <v>2030</v>
      </c>
      <c r="K461" s="1313">
        <v>2035</v>
      </c>
      <c r="L461" s="1313">
        <v>2040</v>
      </c>
      <c r="M461" s="1313">
        <v>2045</v>
      </c>
      <c r="N461" s="1313">
        <v>2050</v>
      </c>
    </row>
    <row r="462" spans="1:25">
      <c r="B462" s="354"/>
      <c r="C462" s="354"/>
      <c r="E462" s="373"/>
      <c r="F462" s="1313"/>
      <c r="G462" s="1313"/>
      <c r="H462" s="1313"/>
      <c r="I462" s="1313"/>
      <c r="J462" s="1313"/>
      <c r="K462" s="1313"/>
      <c r="L462" s="1313"/>
      <c r="M462" s="1313"/>
      <c r="N462" s="1313"/>
    </row>
    <row r="463" spans="1:25">
      <c r="C463" s="354" t="s">
        <v>1223</v>
      </c>
      <c r="D463" s="373" t="s">
        <v>3783</v>
      </c>
      <c r="E463" s="373"/>
      <c r="F463" s="1314"/>
      <c r="G463" s="1314"/>
      <c r="H463" s="1314"/>
      <c r="I463" s="1314"/>
      <c r="J463" s="1314"/>
      <c r="K463" s="1314"/>
      <c r="L463" s="1314"/>
      <c r="M463" s="1314"/>
      <c r="N463" s="1314"/>
    </row>
    <row r="464" spans="1:25">
      <c r="B464" s="2476" t="s">
        <v>250</v>
      </c>
      <c r="C464" s="2476" t="s">
        <v>1223</v>
      </c>
      <c r="D464" s="1146">
        <f>'EPA Emissions 2013'!G29</f>
        <v>0.54191</v>
      </c>
      <c r="E464" s="373" t="s">
        <v>251</v>
      </c>
      <c r="F464" s="2137">
        <f t="array" ref="F464">SUM(F$456:F$459*SUMIFS(EF[CO2],EF[Vector], $B$456:$B$459))</f>
        <v>0.54409417199999999</v>
      </c>
      <c r="G464" s="2137">
        <f t="array" ref="G464">SUM(G$456:G$459*SUMIFS(EF[CO2],EF[Vector], $B$456:$B$459))</f>
        <v>0.55084031433719993</v>
      </c>
      <c r="H464" s="2137">
        <f t="array" ref="H464">SUM(H$456:H$459*SUMIFS(EF[CO2],EF[Vector], $B$456:$B$459))</f>
        <v>0.56830488607253371</v>
      </c>
      <c r="I464" s="2137">
        <f t="array" ref="I464">SUM(I$456:I$459*SUMIFS(EF[CO2],EF[Vector], $B$456:$B$459))</f>
        <v>0.58666032648706201</v>
      </c>
      <c r="J464" s="2137">
        <f t="array" ref="J464">SUM(J$456:J$459*SUMIFS(EF[CO2],EF[Vector], $B$456:$B$459))</f>
        <v>0.60595207883674285</v>
      </c>
      <c r="K464" s="2137">
        <f t="array" ref="K464">SUM(K$456:K$459*SUMIFS(EF[CO2],EF[Vector], $B$456:$B$459))</f>
        <v>0.62622790444029774</v>
      </c>
      <c r="L464" s="2137">
        <f t="array" ref="L464">SUM(L$456:L$459*SUMIFS(EF[CO2],EF[Vector], $B$456:$B$459))</f>
        <v>0.64753800092370883</v>
      </c>
      <c r="M464" s="2137">
        <f t="array" ref="M464">SUM(M$456:M$459*SUMIFS(EF[CO2],EF[Vector], $B$456:$B$459))</f>
        <v>0.66993512649637466</v>
      </c>
      <c r="N464" s="2137">
        <f t="array" ref="N464">SUM(N$456:N$459*SUMIFS(EF[CO2],EF[Vector], $B$456:$B$459))</f>
        <v>0.69347473056659792</v>
      </c>
    </row>
    <row r="465" spans="2:33">
      <c r="B465" s="2476" t="s">
        <v>252</v>
      </c>
      <c r="C465" s="2476" t="s">
        <v>1223</v>
      </c>
      <c r="F465" s="2137">
        <f t="array" ref="F465">SUM(F$456:F$459*SUMIFS(EF[CH4],EF[Vector], $B$456:$B$459))</f>
        <v>4.6763892000000016E-4</v>
      </c>
      <c r="G465" s="2137">
        <f t="array" ref="G465">SUM(G$456:G$459*SUMIFS(EF[CH4],EF[Vector], $B$456:$B$459))</f>
        <v>4.7343710509200004E-4</v>
      </c>
      <c r="H465" s="2137">
        <f t="array" ref="H465">SUM(H$456:H$459*SUMIFS(EF[CH4],EF[Vector], $B$456:$B$459))</f>
        <v>4.8844758284542474E-4</v>
      </c>
      <c r="I465" s="2137">
        <f t="array" ref="I465">SUM(I$456:I$459*SUMIFS(EF[CH4],EF[Vector], $B$456:$B$459))</f>
        <v>5.042237458210766E-4</v>
      </c>
      <c r="J465" s="2137">
        <f t="array" ref="J465">SUM(J$456:J$459*SUMIFS(EF[CH4],EF[Vector], $B$456:$B$459))</f>
        <v>5.2080465166050218E-4</v>
      </c>
      <c r="K465" s="2137">
        <f t="array" ref="K465">SUM(K$456:K$459*SUMIFS(EF[CH4],EF[Vector], $B$456:$B$459))</f>
        <v>5.3823135033750024E-4</v>
      </c>
      <c r="L465" s="2137">
        <f t="array" ref="L465">SUM(L$456:L$459*SUMIFS(EF[CH4],EF[Vector], $B$456:$B$459))</f>
        <v>5.5654698578708965E-4</v>
      </c>
      <c r="M465" s="2137">
        <f t="array" ref="M465">SUM(M$456:M$459*SUMIFS(EF[CH4],EF[Vector], $B$456:$B$459))</f>
        <v>5.7579690271857584E-4</v>
      </c>
      <c r="N465" s="2137">
        <f t="array" ref="N465">SUM(N$456:N$459*SUMIFS(EF[CH4],EF[Vector], $B$456:$B$459))</f>
        <v>5.9602875887715802E-4</v>
      </c>
    </row>
    <row r="466" spans="2:33">
      <c r="B466" s="2476" t="s">
        <v>253</v>
      </c>
      <c r="C466" s="2476" t="s">
        <v>1223</v>
      </c>
      <c r="F466" s="2137">
        <f t="array" ref="F466">SUM(F$456:F$459*SUMIFS(EF[N2O],EF[Vector], $B$456:$B$459))</f>
        <v>1.3806482400000003E-3</v>
      </c>
      <c r="G466" s="2137">
        <f t="array" ref="G466">SUM(G$456:G$459*SUMIFS(EF[N2O],EF[Vector], $B$456:$B$459))</f>
        <v>1.3977666912240001E-3</v>
      </c>
      <c r="H466" s="2137">
        <f t="array" ref="H466">SUM(H$456:H$459*SUMIFS(EF[N2O],EF[Vector], $B$456:$B$459))</f>
        <v>1.4420833398293492E-3</v>
      </c>
      <c r="I466" s="2137">
        <f t="array" ref="I466">SUM(I$456:I$459*SUMIFS(EF[N2O],EF[Vector], $B$456:$B$459))</f>
        <v>1.4886605829003213E-3</v>
      </c>
      <c r="J466" s="2137">
        <f t="array" ref="J466">SUM(J$456:J$459*SUMIFS(EF[N2O],EF[Vector], $B$456:$B$459))</f>
        <v>1.5376137334738636E-3</v>
      </c>
      <c r="K466" s="2137">
        <f t="array" ref="K466">SUM(K$456:K$459*SUMIFS(EF[N2O],EF[Vector], $B$456:$B$459))</f>
        <v>1.589063986710715E-3</v>
      </c>
      <c r="L466" s="2137">
        <f t="array" ref="L466">SUM(L$456:L$459*SUMIFS(EF[N2O],EF[Vector], $B$456:$B$459))</f>
        <v>1.643138719942836E-3</v>
      </c>
      <c r="M466" s="2137">
        <f t="array" ref="M466">SUM(M$456:M$459*SUMIFS(EF[N2O],EF[Vector], $B$456:$B$459))</f>
        <v>1.6999718080262715E-3</v>
      </c>
      <c r="N466" s="2137">
        <f t="array" ref="N466">SUM(N$456:N$459*SUMIFS(EF[N2O],EF[Vector], $B$456:$B$459))</f>
        <v>1.7597039547801807E-3</v>
      </c>
    </row>
    <row r="467" spans="2:33">
      <c r="E467" s="373"/>
      <c r="F467" s="1314"/>
      <c r="G467" s="1314"/>
      <c r="H467" s="1314"/>
      <c r="I467" s="1314"/>
      <c r="J467" s="1314"/>
      <c r="K467" s="1314"/>
      <c r="L467" s="1314"/>
      <c r="M467" s="1314"/>
      <c r="N467" s="1314"/>
    </row>
    <row r="468" spans="2:33">
      <c r="C468" s="354" t="s">
        <v>2024</v>
      </c>
      <c r="D468" s="373" t="s">
        <v>3783</v>
      </c>
      <c r="E468" s="373"/>
      <c r="F468" s="1685"/>
      <c r="G468" s="1314"/>
      <c r="H468" s="1314"/>
      <c r="I468" s="1314"/>
      <c r="J468" s="1314"/>
      <c r="K468" s="1314"/>
      <c r="L468" s="1314"/>
      <c r="M468" s="1314"/>
      <c r="N468" s="1314"/>
    </row>
    <row r="469" spans="2:33" ht="15">
      <c r="B469" s="2476" t="s">
        <v>252</v>
      </c>
      <c r="C469" s="2" t="s">
        <v>1916</v>
      </c>
      <c r="D469" s="4285">
        <f>'EPA Emissions 2013'!G6+'EPA Emissions 2013'!G12+'EPA Emissions 2013'!G26</f>
        <v>10.45416</v>
      </c>
      <c r="E469" s="373" t="s">
        <v>2048</v>
      </c>
      <c r="F469" s="3571">
        <f t="shared" ref="F469:N469" si="68">(F$324+F$325+$F$146)*F$357/1000000</f>
        <v>10.454159999999998</v>
      </c>
      <c r="G469" s="1685">
        <f t="shared" si="68"/>
        <v>10.426541560180333</v>
      </c>
      <c r="H469" s="1685">
        <f t="shared" si="68"/>
        <v>10.359645608084108</v>
      </c>
      <c r="I469" s="1685">
        <f t="shared" si="68"/>
        <v>10.295859353837539</v>
      </c>
      <c r="J469" s="1685">
        <f t="shared" si="68"/>
        <v>10.322957160781117</v>
      </c>
      <c r="K469" s="1685">
        <f t="shared" si="68"/>
        <v>10.353030558134378</v>
      </c>
      <c r="L469" s="1685">
        <f t="shared" si="68"/>
        <v>10.386213425063056</v>
      </c>
      <c r="M469" s="1685">
        <f t="shared" si="68"/>
        <v>10.422645971272145</v>
      </c>
      <c r="N469" s="1685">
        <f t="shared" si="68"/>
        <v>10.462475035155881</v>
      </c>
      <c r="Q469" s="1314"/>
    </row>
    <row r="470" spans="2:33">
      <c r="B470" s="2476" t="s">
        <v>252</v>
      </c>
      <c r="C470" s="2476" t="s">
        <v>1918</v>
      </c>
      <c r="D470" s="4285">
        <f>'EPA Emissions 2013'!G36+'EPA Emissions 2013'!G37+'EPA Emissions 2013'!G38+'EPA Emissions 2013'!G28</f>
        <v>1.3614900000000001</v>
      </c>
      <c r="E470" s="373"/>
      <c r="F470" s="3571">
        <f>(F$430*$F$431*(1-F$432)*F$358/1000)+(F$436*$F$437*(1-F$438)*F$358/1000)</f>
        <v>0.45124735720399434</v>
      </c>
      <c r="G470" s="1314">
        <f t="shared" ref="G470:N470" si="69">G$430*$F$431*(1-G$432)*G$358/1000</f>
        <v>0.23461397656430952</v>
      </c>
      <c r="H470" s="1314">
        <f t="shared" si="69"/>
        <v>0.24208503835520892</v>
      </c>
      <c r="I470" s="1314">
        <f t="shared" si="69"/>
        <v>0.24412001775152514</v>
      </c>
      <c r="J470" s="1314">
        <f t="shared" si="69"/>
        <v>0.26207544932395727</v>
      </c>
      <c r="K470" s="1314">
        <f t="shared" si="69"/>
        <v>0.28135153262303492</v>
      </c>
      <c r="L470" s="1314">
        <f t="shared" si="69"/>
        <v>0.30204540377027406</v>
      </c>
      <c r="M470" s="1314">
        <f t="shared" si="69"/>
        <v>0.32426134340978735</v>
      </c>
      <c r="N470" s="1314">
        <f t="shared" si="69"/>
        <v>0.34811130219975217</v>
      </c>
      <c r="Q470" s="1314"/>
    </row>
    <row r="471" spans="2:33">
      <c r="B471" s="2476" t="s">
        <v>253</v>
      </c>
      <c r="C471" s="2" t="s">
        <v>2025</v>
      </c>
      <c r="D471" s="4285">
        <f>'EPA Emissions 2013'!G7+'EPA Emissions 2013'!G31</f>
        <v>6.11327</v>
      </c>
      <c r="E471" s="373"/>
      <c r="F471" s="3571">
        <f>F$368</f>
        <v>6.11327</v>
      </c>
      <c r="G471" s="1314">
        <f t="shared" ref="G471:N471" si="70">G$368</f>
        <v>6.0353501841010155</v>
      </c>
      <c r="H471" s="1314">
        <f t="shared" si="70"/>
        <v>5.8448681025440212</v>
      </c>
      <c r="I471" s="1314">
        <f t="shared" si="70"/>
        <v>5.6603978384106233</v>
      </c>
      <c r="J471" s="1314">
        <f t="shared" si="70"/>
        <v>5.6603978384106233</v>
      </c>
      <c r="K471" s="1314">
        <f t="shared" si="70"/>
        <v>5.6603978384106233</v>
      </c>
      <c r="L471" s="1314">
        <f t="shared" si="70"/>
        <v>5.6603978384106233</v>
      </c>
      <c r="M471" s="1314">
        <f t="shared" si="70"/>
        <v>5.6603978384106233</v>
      </c>
      <c r="N471" s="1314">
        <f t="shared" si="70"/>
        <v>5.6603978384106233</v>
      </c>
      <c r="Q471" s="1314"/>
      <c r="Z471" s="6"/>
      <c r="AA471" s="6"/>
      <c r="AB471" s="6"/>
      <c r="AC471" s="6"/>
      <c r="AD471" s="6"/>
      <c r="AE471" s="6"/>
      <c r="AF471" s="6"/>
      <c r="AG471" s="6"/>
    </row>
    <row r="472" spans="2:33">
      <c r="C472" s="354" t="s">
        <v>2026</v>
      </c>
      <c r="E472" s="373"/>
      <c r="F472" s="1611">
        <f>F469+F470+F471</f>
        <v>17.018677357203991</v>
      </c>
      <c r="G472" s="1315">
        <f t="shared" ref="G472:N472" si="71">G469+G470+G471</f>
        <v>16.696505720845657</v>
      </c>
      <c r="H472" s="1315">
        <f t="shared" si="71"/>
        <v>16.446598748983337</v>
      </c>
      <c r="I472" s="1315">
        <f>I469+I470+I471</f>
        <v>16.200377209999687</v>
      </c>
      <c r="J472" s="1315">
        <f t="shared" si="71"/>
        <v>16.245430448515698</v>
      </c>
      <c r="K472" s="1315">
        <f t="shared" si="71"/>
        <v>16.294779929168037</v>
      </c>
      <c r="L472" s="1315">
        <f t="shared" si="71"/>
        <v>16.348656667243954</v>
      </c>
      <c r="M472" s="1315">
        <f t="shared" si="71"/>
        <v>16.407305153092555</v>
      </c>
      <c r="N472" s="1315">
        <f t="shared" si="71"/>
        <v>16.470984175766258</v>
      </c>
      <c r="Z472" s="6"/>
      <c r="AA472" s="6"/>
      <c r="AB472" s="6"/>
      <c r="AC472" s="6"/>
      <c r="AD472" s="6"/>
      <c r="AE472" s="6"/>
      <c r="AF472" s="6"/>
      <c r="AG472" s="6"/>
    </row>
    <row r="473" spans="2:33">
      <c r="C473" s="354"/>
      <c r="E473" s="373"/>
      <c r="F473" s="1315"/>
      <c r="G473" s="1315"/>
      <c r="H473" s="1315"/>
      <c r="I473" s="1315"/>
      <c r="J473" s="1315"/>
      <c r="K473" s="1315"/>
      <c r="L473" s="1315"/>
      <c r="M473" s="1315"/>
      <c r="N473" s="1315"/>
      <c r="Z473" s="6"/>
      <c r="AA473" s="6"/>
      <c r="AB473" s="6"/>
      <c r="AC473" s="6"/>
      <c r="AD473" s="6"/>
      <c r="AE473" s="6"/>
      <c r="AF473" s="6"/>
      <c r="AG473" s="6"/>
    </row>
    <row r="474" spans="2:33">
      <c r="C474" s="354" t="s">
        <v>2027</v>
      </c>
      <c r="D474" s="373" t="s">
        <v>3783</v>
      </c>
      <c r="E474" s="373"/>
      <c r="F474" s="1315"/>
      <c r="G474" s="1315"/>
      <c r="H474" s="1315"/>
      <c r="I474" s="1315"/>
      <c r="J474" s="1315"/>
      <c r="K474" s="1315"/>
      <c r="L474" s="1315"/>
      <c r="M474" s="1315"/>
      <c r="N474" s="1315"/>
      <c r="Z474" s="6"/>
      <c r="AA474" s="6"/>
      <c r="AB474" s="6"/>
      <c r="AC474" s="6"/>
      <c r="AD474" s="6"/>
      <c r="AE474" s="6"/>
      <c r="AF474" s="6"/>
      <c r="AG474" s="6"/>
    </row>
    <row r="475" spans="2:33" ht="15">
      <c r="B475" s="2476" t="s">
        <v>2028</v>
      </c>
      <c r="C475" s="2" t="s">
        <v>2029</v>
      </c>
      <c r="D475" s="1146">
        <f>'EPA Emissions 2013'!G11</f>
        <v>-3.7469800000000002</v>
      </c>
      <c r="E475" s="373" t="s">
        <v>2048</v>
      </c>
      <c r="F475" s="1685">
        <f t="shared" ref="F475:N475" si="72">INDEX(F$97:F$100, MATCH($E$9, $C$97:$C$100, 0))</f>
        <v>-3.746</v>
      </c>
      <c r="G475" s="1314">
        <f t="shared" si="72"/>
        <v>-3.7888202984904029</v>
      </c>
      <c r="H475" s="1314">
        <f t="shared" si="72"/>
        <v>-3.8958710447164036</v>
      </c>
      <c r="I475" s="1314">
        <f t="shared" si="72"/>
        <v>-4.00292179094241</v>
      </c>
      <c r="J475" s="1314">
        <f t="shared" si="72"/>
        <v>-4.1099725371684102</v>
      </c>
      <c r="K475" s="1314">
        <f t="shared" si="72"/>
        <v>-4.2170232833944166</v>
      </c>
      <c r="L475" s="1314">
        <f t="shared" si="72"/>
        <v>-4.3240740296204221</v>
      </c>
      <c r="M475" s="1314">
        <f t="shared" si="72"/>
        <v>-4.4311247758464232</v>
      </c>
      <c r="N475" s="1314">
        <f t="shared" si="72"/>
        <v>-4.5381755220724287</v>
      </c>
      <c r="Z475" s="6"/>
      <c r="AA475" s="6"/>
      <c r="AB475" s="6"/>
      <c r="AC475" s="6"/>
      <c r="AD475" s="6"/>
      <c r="AE475" s="6"/>
      <c r="AF475" s="6"/>
      <c r="AG475" s="6"/>
    </row>
    <row r="476" spans="2:33">
      <c r="B476" s="2476" t="s">
        <v>1948</v>
      </c>
      <c r="C476" s="2" t="s">
        <v>1949</v>
      </c>
      <c r="D476" s="1146">
        <f>'EPA Emissions 2013'!G34</f>
        <v>-0.36437999999999998</v>
      </c>
      <c r="E476" s="373"/>
      <c r="F476" s="1685">
        <f t="shared" ref="F476:N476" si="73">(F$311+F$312)*$F$176</f>
        <v>-0.36437999999999998</v>
      </c>
      <c r="G476" s="1314">
        <f t="shared" si="73"/>
        <v>-0.36437999999999998</v>
      </c>
      <c r="H476" s="1314">
        <f t="shared" si="73"/>
        <v>-0.36437999999999998</v>
      </c>
      <c r="I476" s="1314">
        <f t="shared" si="73"/>
        <v>-0.36437999999999998</v>
      </c>
      <c r="J476" s="1314">
        <f t="shared" si="73"/>
        <v>-0.36437999999999998</v>
      </c>
      <c r="K476" s="1314">
        <f t="shared" si="73"/>
        <v>-0.36437999999999998</v>
      </c>
      <c r="L476" s="1314">
        <f t="shared" si="73"/>
        <v>-0.36437999999999998</v>
      </c>
      <c r="M476" s="1314">
        <f t="shared" si="73"/>
        <v>-0.36437999999999998</v>
      </c>
      <c r="N476" s="1314">
        <f t="shared" si="73"/>
        <v>-0.36437999999999998</v>
      </c>
      <c r="Z476" s="6"/>
      <c r="AA476" s="6"/>
      <c r="AB476" s="6"/>
      <c r="AC476" s="6"/>
      <c r="AD476" s="6"/>
      <c r="AE476" s="6"/>
      <c r="AF476" s="6"/>
      <c r="AG476" s="6"/>
    </row>
    <row r="477" spans="2:33">
      <c r="B477" s="2476" t="s">
        <v>1950</v>
      </c>
      <c r="C477" s="2" t="s">
        <v>1951</v>
      </c>
      <c r="D477" s="1146">
        <f>'EPA Emissions 2013'!G33+'EPA Emissions 2013'!G8</f>
        <v>5.1381199999999998</v>
      </c>
      <c r="E477" s="373"/>
      <c r="F477" s="1685">
        <f>F$315*$F$177</f>
        <v>5.1381200000000007</v>
      </c>
      <c r="G477" s="1314">
        <f t="shared" ref="G477:N477" si="74">G$315*$F$177</f>
        <v>5.1381200000000007</v>
      </c>
      <c r="H477" s="1314">
        <f t="shared" si="74"/>
        <v>5.1381200000000007</v>
      </c>
      <c r="I477" s="1314">
        <f t="shared" si="74"/>
        <v>5.1381200000000007</v>
      </c>
      <c r="J477" s="1314">
        <f t="shared" si="74"/>
        <v>5.1381200000000007</v>
      </c>
      <c r="K477" s="1314">
        <f t="shared" si="74"/>
        <v>5.1381200000000007</v>
      </c>
      <c r="L477" s="1314">
        <f t="shared" si="74"/>
        <v>5.1381200000000007</v>
      </c>
      <c r="M477" s="1314">
        <f t="shared" si="74"/>
        <v>5.1381200000000007</v>
      </c>
      <c r="N477" s="1314">
        <f t="shared" si="74"/>
        <v>5.1381200000000007</v>
      </c>
    </row>
    <row r="478" spans="2:33">
      <c r="B478" s="2476" t="s">
        <v>1953</v>
      </c>
      <c r="C478" s="2" t="s">
        <v>1894</v>
      </c>
      <c r="D478" s="2476">
        <v>0</v>
      </c>
      <c r="E478" s="373"/>
      <c r="F478" s="1615">
        <f>$F$182*F316</f>
        <v>0</v>
      </c>
      <c r="G478" s="1615">
        <f t="shared" ref="G478:N478" si="75">$F$182*G316</f>
        <v>0</v>
      </c>
      <c r="H478" s="1615">
        <f t="shared" si="75"/>
        <v>0</v>
      </c>
      <c r="I478" s="1615">
        <f t="shared" si="75"/>
        <v>0</v>
      </c>
      <c r="J478" s="1615">
        <f t="shared" si="75"/>
        <v>0</v>
      </c>
      <c r="K478" s="1615">
        <f t="shared" si="75"/>
        <v>0</v>
      </c>
      <c r="L478" s="1615">
        <f t="shared" si="75"/>
        <v>0</v>
      </c>
      <c r="M478" s="1615">
        <f t="shared" si="75"/>
        <v>0</v>
      </c>
      <c r="N478" s="1615">
        <f t="shared" si="75"/>
        <v>0</v>
      </c>
    </row>
    <row r="479" spans="2:33">
      <c r="B479" s="2476" t="s">
        <v>1954</v>
      </c>
      <c r="C479" s="2" t="s">
        <v>402</v>
      </c>
      <c r="D479" s="1146">
        <f>'EPA Emissions 2013'!G14</f>
        <v>2.6844699999999997</v>
      </c>
      <c r="E479" s="373"/>
      <c r="F479" s="1615">
        <f>$F$183*F318</f>
        <v>2.6844699999999997</v>
      </c>
      <c r="G479" s="1615">
        <f t="shared" ref="G479:N479" si="76">$F$183*G318</f>
        <v>2.6632523669102994</v>
      </c>
      <c r="H479" s="1615">
        <f t="shared" si="76"/>
        <v>2.6102082841860583</v>
      </c>
      <c r="I479" s="1615">
        <f t="shared" si="76"/>
        <v>2.5571642014618168</v>
      </c>
      <c r="J479" s="1615">
        <f t="shared" si="76"/>
        <v>2.5041201187375752</v>
      </c>
      <c r="K479" s="1615">
        <f t="shared" si="76"/>
        <v>2.4510760360133346</v>
      </c>
      <c r="L479" s="1615">
        <f t="shared" si="76"/>
        <v>2.398031953289093</v>
      </c>
      <c r="M479" s="1615">
        <f t="shared" si="76"/>
        <v>2.3449878705648519</v>
      </c>
      <c r="N479" s="1615">
        <f t="shared" si="76"/>
        <v>2.2919437878405917</v>
      </c>
    </row>
    <row r="480" spans="2:33">
      <c r="C480" s="354" t="s">
        <v>2030</v>
      </c>
      <c r="E480" s="373"/>
      <c r="F480" s="1611">
        <f t="shared" ref="F480:N480" si="77">SUM(F$475:F$479)</f>
        <v>3.7122100000000002</v>
      </c>
      <c r="G480" s="1315">
        <f t="shared" si="77"/>
        <v>3.6481720684198971</v>
      </c>
      <c r="H480" s="1315">
        <f t="shared" si="77"/>
        <v>3.4880772394696558</v>
      </c>
      <c r="I480" s="1315">
        <f t="shared" si="77"/>
        <v>3.3279824105194078</v>
      </c>
      <c r="J480" s="1315">
        <f t="shared" si="77"/>
        <v>3.1678875815691661</v>
      </c>
      <c r="K480" s="1315">
        <f t="shared" si="77"/>
        <v>3.007792752618919</v>
      </c>
      <c r="L480" s="1315">
        <f t="shared" si="77"/>
        <v>2.8476979236686719</v>
      </c>
      <c r="M480" s="1315">
        <f t="shared" si="77"/>
        <v>2.6876030947184297</v>
      </c>
      <c r="N480" s="1315">
        <f t="shared" si="77"/>
        <v>2.527508265768164</v>
      </c>
    </row>
    <row r="481" spans="2:20">
      <c r="C481" s="354"/>
      <c r="E481" s="373" t="s">
        <v>5</v>
      </c>
      <c r="F481" s="1611"/>
      <c r="G481" s="1315"/>
      <c r="H481" s="1315"/>
      <c r="I481" s="1315"/>
      <c r="J481" s="1315"/>
      <c r="K481" s="1315"/>
      <c r="L481" s="1315"/>
      <c r="M481" s="1315"/>
      <c r="N481" s="1315"/>
      <c r="S481" s="365"/>
      <c r="T481" s="6"/>
    </row>
    <row r="482" spans="2:20" ht="15.5">
      <c r="B482" s="2541"/>
      <c r="C482" s="1447" t="s">
        <v>2031</v>
      </c>
      <c r="D482" s="1447"/>
      <c r="E482" s="1447"/>
      <c r="F482" s="2620">
        <v>2013</v>
      </c>
      <c r="G482" s="2620" t="s">
        <v>132</v>
      </c>
      <c r="H482" s="2620" t="s">
        <v>133</v>
      </c>
      <c r="I482" s="2620" t="s">
        <v>134</v>
      </c>
      <c r="J482" s="2620" t="s">
        <v>135</v>
      </c>
      <c r="K482" s="2620" t="s">
        <v>136</v>
      </c>
      <c r="L482" s="2620" t="s">
        <v>137</v>
      </c>
      <c r="M482" s="2620" t="s">
        <v>138</v>
      </c>
      <c r="N482" s="2620" t="s">
        <v>139</v>
      </c>
      <c r="O482" s="1068"/>
      <c r="R482" s="6"/>
      <c r="S482" s="365"/>
      <c r="T482" s="6"/>
    </row>
    <row r="483" spans="2:20" ht="15.5">
      <c r="B483" s="2541"/>
      <c r="C483" s="1447"/>
      <c r="D483" s="1447" t="s">
        <v>5</v>
      </c>
      <c r="E483" s="1447"/>
      <c r="F483" s="2620"/>
      <c r="G483" s="2620"/>
      <c r="H483" s="2620"/>
      <c r="I483" s="2620"/>
      <c r="J483" s="2620"/>
      <c r="K483" s="2620"/>
      <c r="L483" s="2620"/>
      <c r="M483" s="2620"/>
      <c r="N483" s="2620"/>
      <c r="O483" s="1068"/>
      <c r="R483" s="6"/>
      <c r="S483" s="365"/>
      <c r="T483" s="6"/>
    </row>
    <row r="484" spans="2:20" ht="15.5">
      <c r="B484" s="2541"/>
      <c r="C484" s="1697" t="s">
        <v>826</v>
      </c>
      <c r="D484" s="1447"/>
      <c r="E484" s="1447"/>
      <c r="F484" s="2620"/>
      <c r="G484" s="2620"/>
      <c r="H484" s="2620"/>
      <c r="I484" s="2620"/>
      <c r="J484" s="2620"/>
      <c r="K484" s="2620"/>
      <c r="L484" s="2620"/>
      <c r="M484" s="2620"/>
      <c r="N484" s="2620"/>
      <c r="O484" s="1068"/>
      <c r="R484" s="6"/>
      <c r="S484" s="365"/>
      <c r="T484" s="6"/>
    </row>
    <row r="485" spans="2:20">
      <c r="B485" s="2476" t="s">
        <v>97</v>
      </c>
      <c r="C485" s="2476" t="s">
        <v>87</v>
      </c>
      <c r="D485" s="1447"/>
      <c r="E485" s="1447"/>
      <c r="F485" s="2621">
        <f>F457</f>
        <v>0</v>
      </c>
      <c r="G485" s="2621">
        <f t="shared" ref="G485:N485" si="78">G457</f>
        <v>0</v>
      </c>
      <c r="H485" s="2621">
        <f t="shared" si="78"/>
        <v>0</v>
      </c>
      <c r="I485" s="2621">
        <f t="shared" si="78"/>
        <v>0</v>
      </c>
      <c r="J485" s="2621">
        <f t="shared" si="78"/>
        <v>0</v>
      </c>
      <c r="K485" s="2621">
        <f t="shared" si="78"/>
        <v>0</v>
      </c>
      <c r="L485" s="2621">
        <f t="shared" si="78"/>
        <v>0</v>
      </c>
      <c r="M485" s="2621">
        <f t="shared" si="78"/>
        <v>0</v>
      </c>
      <c r="N485" s="2621">
        <f t="shared" si="78"/>
        <v>0</v>
      </c>
      <c r="O485" s="1068"/>
      <c r="R485" s="6"/>
      <c r="S485" s="365"/>
      <c r="T485" s="6"/>
    </row>
    <row r="486" spans="2:20">
      <c r="B486" s="2476" t="s">
        <v>98</v>
      </c>
      <c r="C486" s="2476" t="s">
        <v>88</v>
      </c>
      <c r="D486" s="1447"/>
      <c r="E486" s="1447"/>
      <c r="F486" s="2621">
        <f t="shared" ref="F486:N487" si="79">F458</f>
        <v>2.0619000000000005</v>
      </c>
      <c r="G486" s="2621">
        <f t="shared" si="79"/>
        <v>2.0874651900000001</v>
      </c>
      <c r="H486" s="2621">
        <f t="shared" si="79"/>
        <v>2.1536489543449062</v>
      </c>
      <c r="I486" s="2621">
        <f t="shared" si="79"/>
        <v>2.2232087558248526</v>
      </c>
      <c r="J486" s="2621">
        <f t="shared" si="79"/>
        <v>2.2963168062632371</v>
      </c>
      <c r="K486" s="2621">
        <f t="shared" si="79"/>
        <v>2.3731541020171969</v>
      </c>
      <c r="L486" s="2621">
        <f t="shared" si="79"/>
        <v>2.4539108720771146</v>
      </c>
      <c r="M486" s="2621">
        <f t="shared" si="79"/>
        <v>2.538787049023703</v>
      </c>
      <c r="N486" s="2621">
        <f t="shared" si="79"/>
        <v>2.6279927640086331</v>
      </c>
      <c r="O486" s="1068"/>
      <c r="R486" s="6"/>
      <c r="S486" s="365"/>
      <c r="T486" s="6"/>
    </row>
    <row r="487" spans="2:20">
      <c r="B487" s="2476" t="s">
        <v>99</v>
      </c>
      <c r="C487" s="2476" t="s">
        <v>89</v>
      </c>
      <c r="D487" s="1447"/>
      <c r="E487" s="1447"/>
      <c r="F487" s="2621">
        <f t="shared" si="79"/>
        <v>0</v>
      </c>
      <c r="G487" s="2621">
        <f t="shared" si="79"/>
        <v>0</v>
      </c>
      <c r="H487" s="2621">
        <f t="shared" si="79"/>
        <v>0</v>
      </c>
      <c r="I487" s="2621">
        <f t="shared" si="79"/>
        <v>0</v>
      </c>
      <c r="J487" s="2621">
        <f t="shared" si="79"/>
        <v>0</v>
      </c>
      <c r="K487" s="2621">
        <f t="shared" si="79"/>
        <v>0</v>
      </c>
      <c r="L487" s="2621">
        <f t="shared" si="79"/>
        <v>0</v>
      </c>
      <c r="M487" s="2621">
        <f t="shared" si="79"/>
        <v>0</v>
      </c>
      <c r="N487" s="2621">
        <f t="shared" si="79"/>
        <v>0</v>
      </c>
      <c r="O487" s="1068"/>
      <c r="R487" s="6"/>
      <c r="S487" s="365"/>
      <c r="T487" s="6"/>
    </row>
    <row r="488" spans="2:20">
      <c r="D488" s="1447"/>
      <c r="E488" s="1447"/>
      <c r="F488" s="2620"/>
      <c r="G488" s="2620"/>
      <c r="H488" s="2620"/>
      <c r="I488" s="2620"/>
      <c r="J488" s="2620"/>
      <c r="K488" s="2620"/>
      <c r="L488" s="2620"/>
      <c r="M488" s="2620"/>
      <c r="N488" s="2620"/>
      <c r="O488" s="1068"/>
      <c r="R488" s="6"/>
      <c r="S488" s="365"/>
      <c r="T488" s="6"/>
    </row>
    <row r="489" spans="2:20">
      <c r="C489" s="405" t="s">
        <v>827</v>
      </c>
      <c r="D489" s="1447"/>
      <c r="E489" s="1447"/>
      <c r="F489" s="2620"/>
      <c r="G489" s="2620"/>
      <c r="H489" s="2620"/>
      <c r="I489" s="2620"/>
      <c r="J489" s="2620"/>
      <c r="K489" s="2620"/>
      <c r="L489" s="2620"/>
      <c r="M489" s="2620"/>
      <c r="N489" s="2620"/>
      <c r="O489" s="1068"/>
      <c r="R489" s="6"/>
      <c r="S489" s="365"/>
      <c r="T489" s="6"/>
    </row>
    <row r="490" spans="2:20">
      <c r="C490" s="2476" t="s">
        <v>146</v>
      </c>
      <c r="D490" s="1447"/>
      <c r="E490" s="1447"/>
      <c r="F490" s="1448">
        <f ca="1">F485*(1-'Intermediate output'!AY$253)</f>
        <v>0</v>
      </c>
      <c r="G490" s="1448">
        <f ca="1">G485*(1-'Intermediate output'!AZ$253)</f>
        <v>0</v>
      </c>
      <c r="H490" s="1448">
        <f ca="1">H485*(1-'Intermediate output'!BA$253)</f>
        <v>0</v>
      </c>
      <c r="I490" s="1448">
        <f ca="1">I485*(1-'Intermediate output'!BB$253)</f>
        <v>0</v>
      </c>
      <c r="J490" s="1448">
        <f ca="1">J485*(1-'Intermediate output'!BC$253)</f>
        <v>0</v>
      </c>
      <c r="K490" s="1448">
        <f ca="1">K485*(1-'Intermediate output'!BD$253)</f>
        <v>0</v>
      </c>
      <c r="L490" s="1448">
        <f ca="1">L485*(1-'Intermediate output'!BE$253)</f>
        <v>0</v>
      </c>
      <c r="M490" s="1448">
        <f ca="1">M485*(1-'Intermediate output'!BF$253)</f>
        <v>0</v>
      </c>
      <c r="N490" s="1448">
        <f ca="1">N485*(1-'Intermediate output'!BG$253)</f>
        <v>0</v>
      </c>
      <c r="O490" s="1068"/>
      <c r="R490" s="6"/>
      <c r="S490" s="365"/>
      <c r="T490" s="6"/>
    </row>
    <row r="491" spans="2:20">
      <c r="C491" s="2476" t="s">
        <v>144</v>
      </c>
      <c r="D491" s="1447"/>
      <c r="E491" s="1447"/>
      <c r="F491" s="1448">
        <f ca="1">F486*(1-'Intermediate output'!AY254)</f>
        <v>2.0346216798781183</v>
      </c>
      <c r="G491" s="1448">
        <f ca="1">G486*(1-'Intermediate output'!AZ254)</f>
        <v>2.0554070916204168</v>
      </c>
      <c r="H491" s="1448">
        <f ca="1">H486*(1-'Intermediate output'!BA254)</f>
        <v>2.1209003870749847</v>
      </c>
      <c r="I491" s="1448">
        <f ca="1">I486*(1-'Intermediate output'!BB254)</f>
        <v>2.1888059938994897</v>
      </c>
      <c r="J491" s="1448">
        <f ca="1">J486*(1-'Intermediate output'!BC254)</f>
        <v>2.2740126137808199</v>
      </c>
      <c r="K491" s="1448">
        <f ca="1">K486*(1-'Intermediate output'!BD254)</f>
        <v>2.3545740510627442</v>
      </c>
      <c r="L491" s="1448">
        <f ca="1">L486*(1-'Intermediate output'!BE254)</f>
        <v>2.4393160336720507</v>
      </c>
      <c r="M491" s="1448">
        <f ca="1">M486*(1-'Intermediate output'!BF254)</f>
        <v>2.5285060639266606</v>
      </c>
      <c r="N491" s="1448">
        <f ca="1">N486*(1-'Intermediate output'!BG254)</f>
        <v>2.6223027860337949</v>
      </c>
      <c r="O491" s="1068"/>
      <c r="R491" s="6"/>
      <c r="S491" s="365"/>
      <c r="T491" s="6"/>
    </row>
    <row r="492" spans="2:20">
      <c r="C492" s="2476" t="s">
        <v>141</v>
      </c>
      <c r="D492" s="1447"/>
      <c r="E492" s="1447"/>
      <c r="F492" s="1448">
        <f ca="1">F487*(1-'Intermediate output'!AY255)</f>
        <v>0</v>
      </c>
      <c r="G492" s="1448">
        <f ca="1">G487*(1-'Intermediate output'!AZ255)</f>
        <v>0</v>
      </c>
      <c r="H492" s="1448">
        <f ca="1">H487*(1-'Intermediate output'!BA255)</f>
        <v>0</v>
      </c>
      <c r="I492" s="1448">
        <f ca="1">I487*(1-'Intermediate output'!BB255)</f>
        <v>0</v>
      </c>
      <c r="J492" s="1448">
        <f ca="1">J487*(1-'Intermediate output'!BC255)</f>
        <v>0</v>
      </c>
      <c r="K492" s="1448">
        <f ca="1">K487*(1-'Intermediate output'!BD255)</f>
        <v>0</v>
      </c>
      <c r="L492" s="1448">
        <f ca="1">L487*(1-'Intermediate output'!BE255)</f>
        <v>0</v>
      </c>
      <c r="M492" s="1448">
        <f ca="1">M487*(1-'Intermediate output'!BF255)</f>
        <v>0</v>
      </c>
      <c r="N492" s="1448">
        <f ca="1">N487*(1-'Intermediate output'!BG255)</f>
        <v>0</v>
      </c>
      <c r="O492" s="1068"/>
      <c r="R492" s="6"/>
      <c r="S492" s="365"/>
      <c r="T492" s="6"/>
    </row>
    <row r="493" spans="2:20">
      <c r="C493" s="2476" t="s">
        <v>147</v>
      </c>
      <c r="D493" s="1447"/>
      <c r="E493" s="1447"/>
      <c r="F493" s="1448">
        <f ca="1">F485*('Intermediate output'!AY$253)</f>
        <v>0</v>
      </c>
      <c r="G493" s="1448">
        <f ca="1">G485*('Intermediate output'!AZ$253)</f>
        <v>0</v>
      </c>
      <c r="H493" s="1448">
        <f ca="1">H485*('Intermediate output'!BA$253)</f>
        <v>0</v>
      </c>
      <c r="I493" s="1448">
        <f ca="1">I485*('Intermediate output'!BB$253)</f>
        <v>0</v>
      </c>
      <c r="J493" s="1448">
        <f ca="1">J485*('Intermediate output'!BC$253)</f>
        <v>0</v>
      </c>
      <c r="K493" s="1448">
        <f ca="1">K485*('Intermediate output'!BD$253)</f>
        <v>0</v>
      </c>
      <c r="L493" s="1448">
        <f ca="1">L485*('Intermediate output'!BE$253)</f>
        <v>0</v>
      </c>
      <c r="M493" s="1448">
        <f ca="1">M485*('Intermediate output'!BF$253)</f>
        <v>0</v>
      </c>
      <c r="N493" s="1448">
        <f ca="1">N485*('Intermediate output'!BG$253)</f>
        <v>0</v>
      </c>
      <c r="O493" s="1068"/>
      <c r="R493" s="6"/>
      <c r="S493" s="365"/>
      <c r="T493" s="6"/>
    </row>
    <row r="494" spans="2:20">
      <c r="C494" s="2476" t="s">
        <v>145</v>
      </c>
      <c r="D494" s="1447"/>
      <c r="E494" s="1447"/>
      <c r="F494" s="1448">
        <f ca="1">F486*'Intermediate output'!AY254</f>
        <v>2.7278320121882301E-2</v>
      </c>
      <c r="G494" s="1448">
        <f ca="1">G486*'Intermediate output'!AZ254</f>
        <v>3.205809837958315E-2</v>
      </c>
      <c r="H494" s="1448">
        <f ca="1">H486*'Intermediate output'!BA254</f>
        <v>3.2748567269921411E-2</v>
      </c>
      <c r="I494" s="1448">
        <f ca="1">I486*'Intermediate output'!BB254</f>
        <v>3.4402761925362541E-2</v>
      </c>
      <c r="J494" s="1448">
        <f ca="1">J486*'Intermediate output'!BC254</f>
        <v>2.2304192482417343E-2</v>
      </c>
      <c r="K494" s="1448">
        <f ca="1">K486*'Intermediate output'!BD254</f>
        <v>1.8580050954452899E-2</v>
      </c>
      <c r="L494" s="1448">
        <f ca="1">L486*'Intermediate output'!BE254</f>
        <v>1.4594838405063567E-2</v>
      </c>
      <c r="M494" s="1448">
        <f ca="1">M486*'Intermediate output'!BF254</f>
        <v>1.0280985097042417E-2</v>
      </c>
      <c r="N494" s="1448">
        <f ca="1">N486*'Intermediate output'!BG254</f>
        <v>5.6899779748382636E-3</v>
      </c>
      <c r="O494" s="1068"/>
      <c r="R494" s="6"/>
      <c r="S494" s="365"/>
      <c r="T494" s="6"/>
    </row>
    <row r="495" spans="2:20">
      <c r="C495" s="2476" t="s">
        <v>829</v>
      </c>
      <c r="D495" s="1447"/>
      <c r="E495" s="1447"/>
      <c r="F495" s="1448">
        <f ca="1">F487*'Intermediate output'!AY255</f>
        <v>0</v>
      </c>
      <c r="G495" s="1448">
        <f ca="1">G487*'Intermediate output'!AZ255</f>
        <v>0</v>
      </c>
      <c r="H495" s="1448">
        <f ca="1">H487*'Intermediate output'!BA255</f>
        <v>0</v>
      </c>
      <c r="I495" s="1448">
        <f ca="1">I487*'Intermediate output'!BB255</f>
        <v>0</v>
      </c>
      <c r="J495" s="1448">
        <f ca="1">J487*'Intermediate output'!BC255</f>
        <v>0</v>
      </c>
      <c r="K495" s="1448">
        <f ca="1">K487*'Intermediate output'!BD255</f>
        <v>0</v>
      </c>
      <c r="L495" s="1448">
        <f ca="1">L487*'Intermediate output'!BE255</f>
        <v>0</v>
      </c>
      <c r="M495" s="1448">
        <f ca="1">M487*'Intermediate output'!BF255</f>
        <v>0</v>
      </c>
      <c r="N495" s="1448">
        <f ca="1">N487*'Intermediate output'!BG255</f>
        <v>0</v>
      </c>
      <c r="O495" s="1068"/>
      <c r="R495" s="6"/>
      <c r="S495" s="365"/>
      <c r="T495" s="6"/>
    </row>
    <row r="496" spans="2:20" ht="15.5">
      <c r="B496" s="2541"/>
      <c r="C496" s="1447"/>
      <c r="D496" s="1447"/>
      <c r="E496" s="1447"/>
      <c r="F496" s="2620"/>
      <c r="G496" s="2620"/>
      <c r="H496" s="2620"/>
      <c r="I496" s="2620"/>
      <c r="J496" s="2620"/>
      <c r="K496" s="2620"/>
      <c r="L496" s="2620"/>
      <c r="M496" s="2620"/>
      <c r="N496" s="2620"/>
      <c r="O496" s="1068"/>
      <c r="R496" s="6"/>
      <c r="S496" s="365"/>
      <c r="T496" s="6"/>
    </row>
    <row r="497" spans="1:25">
      <c r="B497" s="81" t="s">
        <v>257</v>
      </c>
      <c r="C497" s="2622" t="s">
        <v>258</v>
      </c>
      <c r="E497" s="1419" t="s">
        <v>831</v>
      </c>
      <c r="F497" s="2623">
        <f ca="1">SUMPRODUCT(F490:F492,F228:F230)+SUMPRODUCT(F493:F495,F228:F230,Constants!$F$35:$F$37)</f>
        <v>0.18486825110125046</v>
      </c>
      <c r="G497" s="2623">
        <f ca="1">SUMPRODUCT(G490:G492,G228:G230)+SUMPRODUCT(G493:G495,G228:G230,Constants!$F$35:$F$37)</f>
        <v>0.18855946674748431</v>
      </c>
      <c r="H497" s="2623">
        <f ca="1">SUMPRODUCT(H490:H492,H228:H230)+SUMPRODUCT(H493:H495,H228:H230,Constants!$F$35:$F$37)</f>
        <v>0.19443513601949469</v>
      </c>
      <c r="I497" s="2623">
        <f ca="1">SUMPRODUCT(I490:I492,I228:I230)+SUMPRODUCT(I493:I495,I228:I230,Constants!$F$35:$F$37)</f>
        <v>0.20090299644273629</v>
      </c>
      <c r="J497" s="2623">
        <f ca="1">SUMPRODUCT(J490:J492,J228:J230)+SUMPRODUCT(J493:J495,J228:J230,Constants!$F$35:$F$37)</f>
        <v>0.20334217279482783</v>
      </c>
      <c r="K497" s="2623">
        <f ca="1">SUMPRODUCT(K490:K492,K228:K230)+SUMPRODUCT(K493:K495,K228:K230,Constants!$F$35:$F$37)</f>
        <v>0.20873805938818105</v>
      </c>
      <c r="L497" s="2623">
        <f ca="1">SUMPRODUCT(L490:L492,L228:L230)+SUMPRODUCT(L493:L495,L228:L230,Constants!$F$35:$F$37)</f>
        <v>0.21438679364430996</v>
      </c>
      <c r="M497" s="2623">
        <f ca="1">SUMPRODUCT(M490:M492,M228:M230)+SUMPRODUCT(M493:M495,M228:M230,Constants!$F$35:$F$37)</f>
        <v>0.22028418415565418</v>
      </c>
      <c r="N497" s="2623">
        <f ca="1">SUMPRODUCT(N490:N492,N228:N230)+SUMPRODUCT(N493:N495,N228:N230,Constants!$F$35:$F$37)</f>
        <v>0.22646441348501692</v>
      </c>
      <c r="O497" s="1068"/>
      <c r="R497" s="6"/>
      <c r="S497" s="365"/>
      <c r="T497" s="6"/>
    </row>
    <row r="498" spans="1:25">
      <c r="B498" s="81" t="s">
        <v>257</v>
      </c>
      <c r="C498" s="2622" t="s">
        <v>258</v>
      </c>
      <c r="D498" s="2476" t="s">
        <v>2032</v>
      </c>
      <c r="E498" s="1419"/>
      <c r="F498" s="2623">
        <v>10.757999999999999</v>
      </c>
      <c r="G498" s="2623">
        <f>$F498*SUM(G$324:G$326)/SUM($F$324:$F$326)</f>
        <v>10.828920227024941</v>
      </c>
      <c r="H498" s="2623">
        <f>$F498*SUM(H$324:H$326)/SUM($F$324:$F$326)</f>
        <v>11.012520176515087</v>
      </c>
      <c r="I498" s="2623">
        <f t="shared" ref="I498:N498" si="80">$F498*SUM(I$324:I$326)/SUM($F$324:$F$326)</f>
        <v>11.205485568627084</v>
      </c>
      <c r="J498" s="2623">
        <f t="shared" si="80"/>
        <v>11.408294135058282</v>
      </c>
      <c r="K498" s="2623">
        <f t="shared" si="80"/>
        <v>11.621447976623843</v>
      </c>
      <c r="L498" s="2623">
        <f t="shared" si="80"/>
        <v>11.845474806326669</v>
      </c>
      <c r="M498" s="2623">
        <f t="shared" si="80"/>
        <v>12.080929255836383</v>
      </c>
      <c r="N498" s="2623">
        <f t="shared" si="80"/>
        <v>12.328394248611852</v>
      </c>
      <c r="O498" s="1068"/>
      <c r="R498" s="6"/>
      <c r="S498" s="365"/>
      <c r="T498" s="6"/>
    </row>
    <row r="499" spans="1:25">
      <c r="B499" s="81" t="s">
        <v>259</v>
      </c>
      <c r="C499" s="2622" t="s">
        <v>260</v>
      </c>
      <c r="E499" s="81"/>
      <c r="F499" s="2623">
        <f ca="1">SUMPRODUCT(F490:F492,F235:F237)+SUMPRODUCT(F493:F495,F235:F237,Constants!$G$35:$G$37)</f>
        <v>1.3040952440069464</v>
      </c>
      <c r="G499" s="2623">
        <f ca="1">SUMPRODUCT(G490:G492,G235:G237)+SUMPRODUCT(G493:G495,G235:G237,Constants!$G$35:$G$37)</f>
        <v>1.3180805761850796</v>
      </c>
      <c r="H499" s="2623">
        <f ca="1">SUMPRODUCT(H490:H492,H235:H237)+SUMPRODUCT(H493:H495,H235:H237,Constants!$G$35:$G$37)</f>
        <v>1.3600310196018239</v>
      </c>
      <c r="I499" s="2623">
        <f ca="1">SUMPRODUCT(I490:I492,I235:I237)+SUMPRODUCT(I493:I495,I235:I237,Constants!$G$35:$G$37)</f>
        <v>1.403664803931111</v>
      </c>
      <c r="J499" s="2623">
        <f ca="1">SUMPRODUCT(J490:J492,J235:J237)+SUMPRODUCT(J493:J495,J235:J237,Constants!$G$35:$G$37)</f>
        <v>1.4563281847213556</v>
      </c>
      <c r="K499" s="2623">
        <f ca="1">SUMPRODUCT(K490:K492,K235:K237)+SUMPRODUCT(K493:K495,K235:K237,Constants!$G$35:$G$37)</f>
        <v>1.5072566969433681</v>
      </c>
      <c r="L499" s="2623">
        <f ca="1">SUMPRODUCT(L490:L492,L235:L237)+SUMPRODUCT(L493:L495,L235:L237,Constants!$G$35:$G$37)</f>
        <v>1.5608180367332989</v>
      </c>
      <c r="M499" s="2623">
        <f ca="1">SUMPRODUCT(M490:M492,M235:M237)+SUMPRODUCT(M493:M495,M235:M237,Constants!$G$35:$G$37)</f>
        <v>1.6171731811421388</v>
      </c>
      <c r="N499" s="2623">
        <f ca="1">SUMPRODUCT(N490:N492,N235:N237)+SUMPRODUCT(N493:N495,N235:N237,Constants!$G$35:$G$37)</f>
        <v>1.6764310827560818</v>
      </c>
      <c r="O499" s="1068"/>
      <c r="R499" s="6"/>
      <c r="S499" s="365"/>
      <c r="T499" s="6"/>
    </row>
    <row r="500" spans="1:25">
      <c r="B500" s="81" t="s">
        <v>261</v>
      </c>
      <c r="C500" s="2622" t="s">
        <v>262</v>
      </c>
      <c r="E500" s="81"/>
      <c r="F500" s="2623">
        <f ca="1">SUMPRODUCT(F490:F492,F242:F244)+SUMPRODUCT(F493:F495,F242:F244,Constants!$H$35:$H$37)</f>
        <v>2.510653477067303</v>
      </c>
      <c r="G500" s="2623">
        <f ca="1">SUMPRODUCT(G490:G492,G242:G244)+SUMPRODUCT(G493:G495,G242:G244,Constants!$H$35:$H$37)</f>
        <v>2.5363745172499197</v>
      </c>
      <c r="H500" s="2623">
        <f ca="1">SUMPRODUCT(H490:H492,H242:H244)+SUMPRODUCT(H493:H495,H242:H244,Constants!$H$35:$H$37)</f>
        <v>2.9993540114139199</v>
      </c>
      <c r="I500" s="2623">
        <f ca="1">SUMPRODUCT(I490:I492,I242:I244)+SUMPRODUCT(I493:I495,I242:I244,Constants!$H$35:$H$37)</f>
        <v>3.0953965625717568</v>
      </c>
      <c r="J500" s="2623">
        <f ca="1">SUMPRODUCT(J490:J492,J242:J244)+SUMPRODUCT(J493:J495,J242:J244,Constants!$H$35:$H$37)</f>
        <v>3.2156470283739043</v>
      </c>
      <c r="K500" s="2623">
        <f ca="1">SUMPRODUCT(K490:K492,K242:K244)+SUMPRODUCT(K493:K495,K242:K244,Constants!$H$35:$H$37)</f>
        <v>3.3294843526507369</v>
      </c>
      <c r="L500" s="2623">
        <f ca="1">SUMPRODUCT(L490:L492,L242:L244)+SUMPRODUCT(L493:L495,L242:L244,Constants!$H$35:$H$37)</f>
        <v>3.4492277429944571</v>
      </c>
      <c r="M500" s="2623">
        <f ca="1">SUMPRODUCT(M490:M492,M242:M244)+SUMPRODUCT(M493:M495,M242:M244,Constants!$H$35:$H$37)</f>
        <v>3.575254173734161</v>
      </c>
      <c r="N500" s="2623">
        <f ca="1">SUMPRODUCT(N490:N492,N242:N244)+SUMPRODUCT(N493:N495,N242:N244,Constants!$H$35:$H$37)</f>
        <v>3.707788903623698</v>
      </c>
      <c r="O500" s="1068"/>
      <c r="R500" s="6"/>
      <c r="S500" s="365"/>
      <c r="T500" s="6"/>
    </row>
    <row r="501" spans="1:25">
      <c r="B501" s="81" t="s">
        <v>263</v>
      </c>
      <c r="C501" s="2622" t="s">
        <v>264</v>
      </c>
      <c r="E501" s="81"/>
      <c r="F501" s="2623">
        <f ca="1">SUMPRODUCT(F490:F492,F249:F251)+SUMPRODUCT(F493:F495,F249:F251,Constants!$I$35:$I$37)</f>
        <v>2.596373917447805E-2</v>
      </c>
      <c r="G501" s="2623">
        <f ca="1">SUMPRODUCT(G490:G492,G249:G251)+SUMPRODUCT(G493:G495,G249:G251,Constants!$I$35:$I$37)</f>
        <v>2.6671453264414183E-2</v>
      </c>
      <c r="H501" s="2623">
        <f ca="1">SUMPRODUCT(H490:H492,H249:H251)+SUMPRODUCT(H493:H495,H249:H251,Constants!$I$35:$I$37)</f>
        <v>2.7488768940974108E-2</v>
      </c>
      <c r="I501" s="2623">
        <f ca="1">SUMPRODUCT(I490:I492,I249:I251)+SUMPRODUCT(I493:I495,I249:I251,Constants!$I$35:$I$37)</f>
        <v>2.8428425826282092E-2</v>
      </c>
      <c r="J501" s="2623">
        <f ca="1">SUMPRODUCT(J490:J492,J249:J251)+SUMPRODUCT(J493:J495,J249:J251,Constants!$I$35:$I$37)</f>
        <v>2.8214120891281322E-2</v>
      </c>
      <c r="K501" s="2623">
        <f ca="1">SUMPRODUCT(K490:K492,K249:K251)+SUMPRODUCT(K493:K495,K249:K251,Constants!$I$35:$I$37)</f>
        <v>2.8769892187406835E-2</v>
      </c>
      <c r="L501" s="2623">
        <f ca="1">SUMPRODUCT(L490:L492,L249:L251)+SUMPRODUCT(L493:L495,L249:L251,Constants!$I$35:$I$37)</f>
        <v>2.9347837456037595E-2</v>
      </c>
      <c r="M501" s="2623">
        <f ca="1">SUMPRODUCT(M490:M492,M249:M251)+SUMPRODUCT(M493:M495,M249:M251,Constants!$I$35:$I$37)</f>
        <v>2.9944375423653535E-2</v>
      </c>
      <c r="N501" s="2623">
        <f ca="1">SUMPRODUCT(N490:N492,N249:N251)+SUMPRODUCT(N493:N495,N249:N251,Constants!$I$35:$I$37)</f>
        <v>3.0566382777140317E-2</v>
      </c>
      <c r="O501" s="1068"/>
      <c r="R501" s="6"/>
      <c r="S501" s="365"/>
      <c r="T501" s="6"/>
    </row>
    <row r="502" spans="1:25" ht="15.5">
      <c r="B502" s="2541"/>
      <c r="C502" s="1068"/>
      <c r="D502" s="1420"/>
      <c r="E502" s="1068"/>
      <c r="F502" s="2624"/>
      <c r="G502" s="2624"/>
      <c r="H502" s="2624"/>
      <c r="I502" s="2624"/>
      <c r="J502" s="2624"/>
      <c r="K502" s="2624"/>
      <c r="L502" s="2624"/>
      <c r="M502" s="2624"/>
      <c r="N502" s="2624"/>
      <c r="O502" s="1068"/>
      <c r="R502" s="6"/>
    </row>
    <row r="503" spans="1:25">
      <c r="B503" s="354">
        <v>4</v>
      </c>
      <c r="C503" s="354" t="s">
        <v>2718</v>
      </c>
      <c r="E503" s="373"/>
      <c r="F503" s="1315"/>
      <c r="G503" s="1315"/>
      <c r="H503" s="1315"/>
      <c r="I503" s="1315"/>
      <c r="J503" s="1315"/>
      <c r="K503" s="1315"/>
      <c r="L503" s="1315"/>
      <c r="M503" s="1315"/>
      <c r="N503" s="1315"/>
    </row>
    <row r="504" spans="1:25" s="389" customFormat="1" hidden="1">
      <c r="C504" s="423"/>
      <c r="E504" s="1691"/>
      <c r="F504" s="1619"/>
      <c r="G504" s="1619"/>
      <c r="H504" s="1619"/>
      <c r="I504" s="1619"/>
      <c r="J504" s="1619"/>
      <c r="K504" s="1619"/>
      <c r="L504" s="1619"/>
      <c r="M504" s="1619"/>
      <c r="N504" s="1619"/>
    </row>
    <row r="505" spans="1:25" hidden="1">
      <c r="A505" s="389"/>
      <c r="B505" s="389"/>
      <c r="C505" s="423" t="s">
        <v>572</v>
      </c>
      <c r="D505" s="389"/>
      <c r="E505" s="1691"/>
      <c r="F505" s="1619"/>
      <c r="G505" s="1619"/>
      <c r="H505" s="1619"/>
      <c r="I505" s="1619"/>
      <c r="J505" s="1619"/>
      <c r="K505" s="1619"/>
      <c r="L505" s="1619"/>
      <c r="M505" s="1619"/>
      <c r="N505" s="1619"/>
      <c r="O505" s="389"/>
      <c r="Q505" s="389"/>
      <c r="R505" s="389"/>
      <c r="S505" s="389"/>
      <c r="T505" s="389"/>
    </row>
    <row r="506" spans="1:25" hidden="1">
      <c r="A506" s="389"/>
      <c r="B506" s="389"/>
      <c r="C506" s="423" t="s">
        <v>721</v>
      </c>
      <c r="D506" s="389"/>
      <c r="E506" s="1691"/>
      <c r="F506" s="2625">
        <v>2013</v>
      </c>
      <c r="G506" s="2625">
        <v>2015</v>
      </c>
      <c r="H506" s="2625">
        <v>2020</v>
      </c>
      <c r="I506" s="2625">
        <v>2025</v>
      </c>
      <c r="J506" s="2625">
        <v>2030</v>
      </c>
      <c r="K506" s="2625">
        <v>2035</v>
      </c>
      <c r="L506" s="2625">
        <v>2040</v>
      </c>
      <c r="M506" s="2625">
        <v>2045</v>
      </c>
      <c r="N506" s="2625">
        <v>2050</v>
      </c>
      <c r="O506" s="389"/>
      <c r="Q506" s="389"/>
      <c r="R506" s="389"/>
      <c r="S506" s="389"/>
      <c r="T506" s="389"/>
    </row>
    <row r="507" spans="1:25" hidden="1">
      <c r="A507" s="389"/>
      <c r="B507" s="389"/>
      <c r="C507" s="297" t="s">
        <v>372</v>
      </c>
      <c r="D507" s="389"/>
      <c r="E507" s="1691" t="s">
        <v>2748</v>
      </c>
      <c r="F507" s="2626"/>
      <c r="G507" s="2626"/>
      <c r="H507" s="2626"/>
      <c r="I507" s="2626"/>
      <c r="J507" s="2626"/>
      <c r="K507" s="2626"/>
      <c r="L507" s="2626"/>
      <c r="M507" s="2626"/>
      <c r="N507" s="2626"/>
      <c r="O507" s="389"/>
      <c r="Q507" s="389"/>
      <c r="R507" s="389"/>
      <c r="S507" s="389"/>
      <c r="T507" s="389"/>
      <c r="U507" s="6"/>
      <c r="V507" s="6"/>
      <c r="W507" s="6"/>
      <c r="X507" s="6"/>
      <c r="Y507" s="6"/>
    </row>
    <row r="508" spans="1:25" hidden="1">
      <c r="A508" s="389"/>
      <c r="B508" s="389"/>
      <c r="C508" s="297" t="s">
        <v>371</v>
      </c>
      <c r="D508" s="389"/>
      <c r="E508" s="1691"/>
      <c r="F508" s="2626"/>
      <c r="G508" s="2626"/>
      <c r="H508" s="2626"/>
      <c r="I508" s="2626"/>
      <c r="J508" s="2626"/>
      <c r="K508" s="2626"/>
      <c r="L508" s="2626"/>
      <c r="M508" s="2626"/>
      <c r="N508" s="2626"/>
      <c r="O508" s="389"/>
      <c r="Q508" s="389"/>
      <c r="R508" s="389"/>
      <c r="S508" s="389"/>
      <c r="T508" s="389"/>
      <c r="U508" s="6"/>
      <c r="V508" s="6"/>
      <c r="W508" s="6"/>
      <c r="X508" s="6"/>
      <c r="Y508" s="6"/>
    </row>
    <row r="509" spans="1:25" hidden="1">
      <c r="A509" s="389"/>
      <c r="B509" s="389"/>
      <c r="C509" s="297" t="s">
        <v>1971</v>
      </c>
      <c r="D509" s="389"/>
      <c r="E509" s="1691"/>
      <c r="F509" s="2626"/>
      <c r="G509" s="2626"/>
      <c r="H509" s="2626"/>
      <c r="I509" s="2626"/>
      <c r="J509" s="2626"/>
      <c r="K509" s="2626"/>
      <c r="L509" s="2626"/>
      <c r="M509" s="2626"/>
      <c r="N509" s="2626"/>
      <c r="O509" s="389"/>
      <c r="Q509" s="389"/>
      <c r="R509" s="389"/>
      <c r="S509" s="389"/>
      <c r="T509" s="389"/>
      <c r="U509" s="6"/>
      <c r="V509" s="6"/>
      <c r="W509" s="6"/>
      <c r="X509" s="6"/>
      <c r="Y509" s="6"/>
    </row>
    <row r="510" spans="1:25" hidden="1">
      <c r="A510" s="389"/>
      <c r="B510" s="389"/>
      <c r="C510" s="297" t="s">
        <v>1972</v>
      </c>
      <c r="D510" s="389"/>
      <c r="E510" s="1691"/>
      <c r="F510" s="2626"/>
      <c r="G510" s="2626"/>
      <c r="H510" s="2626"/>
      <c r="I510" s="2626"/>
      <c r="J510" s="2626"/>
      <c r="K510" s="2626"/>
      <c r="L510" s="2626"/>
      <c r="M510" s="2626"/>
      <c r="N510" s="2626"/>
      <c r="O510" s="389"/>
      <c r="Q510" s="389"/>
      <c r="R510" s="389"/>
      <c r="S510" s="389"/>
      <c r="T510" s="389"/>
      <c r="U510" s="6"/>
      <c r="V510" s="6"/>
      <c r="W510" s="6"/>
      <c r="X510" s="6"/>
      <c r="Y510" s="6"/>
    </row>
    <row r="511" spans="1:25" hidden="1">
      <c r="A511" s="389"/>
      <c r="B511" s="389"/>
      <c r="C511" s="297" t="s">
        <v>1973</v>
      </c>
      <c r="D511" s="389"/>
      <c r="E511" s="1691"/>
      <c r="F511" s="2626"/>
      <c r="G511" s="2626"/>
      <c r="H511" s="2626"/>
      <c r="I511" s="2626"/>
      <c r="J511" s="2626"/>
      <c r="K511" s="2626"/>
      <c r="L511" s="2626"/>
      <c r="M511" s="2626"/>
      <c r="N511" s="2626"/>
      <c r="O511" s="389"/>
      <c r="Q511" s="389"/>
      <c r="R511" s="389"/>
      <c r="S511" s="389"/>
      <c r="T511" s="389"/>
      <c r="U511" s="6"/>
      <c r="V511" s="6"/>
      <c r="W511" s="6"/>
      <c r="X511" s="6"/>
      <c r="Y511" s="6"/>
    </row>
    <row r="512" spans="1:25" hidden="1">
      <c r="A512" s="389"/>
      <c r="B512" s="389"/>
      <c r="C512" s="297" t="s">
        <v>2033</v>
      </c>
      <c r="D512" s="389"/>
      <c r="E512" s="1691"/>
      <c r="F512" s="2626"/>
      <c r="G512" s="2626"/>
      <c r="H512" s="2626"/>
      <c r="I512" s="2626"/>
      <c r="J512" s="2626"/>
      <c r="K512" s="2626"/>
      <c r="L512" s="2626"/>
      <c r="M512" s="2626"/>
      <c r="N512" s="2626"/>
      <c r="O512" s="389"/>
      <c r="Q512" s="389"/>
      <c r="R512" s="389"/>
      <c r="S512" s="389"/>
      <c r="T512" s="389"/>
      <c r="U512" s="6"/>
      <c r="V512" s="6"/>
      <c r="W512" s="6"/>
      <c r="X512" s="6"/>
      <c r="Y512" s="6"/>
    </row>
    <row r="513" spans="1:25" hidden="1">
      <c r="A513" s="389"/>
      <c r="B513" s="389"/>
      <c r="C513" s="389"/>
      <c r="D513" s="389"/>
      <c r="E513" s="389"/>
      <c r="F513" s="389"/>
      <c r="G513" s="389"/>
      <c r="H513" s="389"/>
      <c r="I513" s="389"/>
      <c r="J513" s="389"/>
      <c r="K513" s="389"/>
      <c r="L513" s="389"/>
      <c r="M513" s="389"/>
      <c r="N513" s="389"/>
      <c r="O513" s="389"/>
      <c r="Q513" s="389"/>
      <c r="R513" s="389"/>
      <c r="S513" s="389"/>
      <c r="T513" s="389"/>
      <c r="U513" s="6"/>
      <c r="V513" s="6"/>
      <c r="W513" s="6"/>
      <c r="X513" s="6"/>
      <c r="Y513" s="6"/>
    </row>
    <row r="514" spans="1:25" hidden="1">
      <c r="A514" s="389"/>
      <c r="B514" s="389"/>
      <c r="C514" s="389" t="s">
        <v>2034</v>
      </c>
      <c r="D514" s="389"/>
      <c r="E514" s="1691"/>
      <c r="F514" s="2625"/>
      <c r="G514" s="2625"/>
      <c r="H514" s="2625"/>
      <c r="I514" s="2625"/>
      <c r="J514" s="2625"/>
      <c r="K514" s="2625"/>
      <c r="L514" s="2625"/>
      <c r="M514" s="2625"/>
      <c r="N514" s="2625"/>
      <c r="O514" s="389"/>
      <c r="Q514" s="389"/>
      <c r="R514" s="389"/>
      <c r="S514" s="389"/>
      <c r="T514" s="389"/>
    </row>
    <row r="515" spans="1:25" hidden="1">
      <c r="A515" s="389"/>
      <c r="B515" s="389"/>
      <c r="C515" s="297" t="s">
        <v>2025</v>
      </c>
      <c r="D515" s="389"/>
      <c r="E515" s="1691" t="s">
        <v>2035</v>
      </c>
      <c r="F515" s="2627"/>
      <c r="G515" s="2627"/>
      <c r="H515" s="2627"/>
      <c r="I515" s="2627"/>
      <c r="J515" s="2627"/>
      <c r="K515" s="2627"/>
      <c r="L515" s="2627"/>
      <c r="M515" s="2627"/>
      <c r="N515" s="2627"/>
      <c r="O515" s="389"/>
      <c r="Q515" s="389"/>
      <c r="R515" s="389"/>
      <c r="S515" s="389"/>
      <c r="T515" s="389"/>
    </row>
    <row r="516" spans="1:25" hidden="1">
      <c r="A516" s="389"/>
      <c r="B516" s="389"/>
      <c r="C516" s="297"/>
      <c r="D516" s="297"/>
      <c r="E516" s="1691" t="s">
        <v>2748</v>
      </c>
      <c r="F516" s="2626"/>
      <c r="G516" s="2626"/>
      <c r="H516" s="2626"/>
      <c r="I516" s="2626"/>
      <c r="J516" s="2626"/>
      <c r="K516" s="2626"/>
      <c r="L516" s="2626"/>
      <c r="M516" s="2626"/>
      <c r="N516" s="2626"/>
      <c r="O516" s="389"/>
      <c r="Q516" s="389"/>
      <c r="R516" s="389"/>
      <c r="S516" s="389"/>
      <c r="T516" s="389"/>
    </row>
    <row r="517" spans="1:25" hidden="1">
      <c r="A517" s="389"/>
      <c r="B517" s="389"/>
      <c r="C517" s="389" t="s">
        <v>2036</v>
      </c>
      <c r="D517" s="389"/>
      <c r="E517" s="1691" t="s">
        <v>2037</v>
      </c>
      <c r="F517" s="2628"/>
      <c r="G517" s="2628"/>
      <c r="H517" s="2628"/>
      <c r="I517" s="2628"/>
      <c r="J517" s="2628"/>
      <c r="K517" s="2628"/>
      <c r="L517" s="2628"/>
      <c r="M517" s="2628"/>
      <c r="N517" s="2628"/>
      <c r="O517" s="389"/>
      <c r="Q517" s="389"/>
      <c r="R517" s="389"/>
      <c r="S517" s="389"/>
      <c r="T517" s="389"/>
    </row>
    <row r="518" spans="1:25" hidden="1">
      <c r="A518" s="389"/>
      <c r="B518" s="389"/>
      <c r="C518" s="297"/>
      <c r="D518" s="297"/>
      <c r="E518" s="1691" t="s">
        <v>2748</v>
      </c>
      <c r="F518" s="2626"/>
      <c r="G518" s="2626"/>
      <c r="H518" s="2626"/>
      <c r="I518" s="2626"/>
      <c r="J518" s="2626"/>
      <c r="K518" s="2626"/>
      <c r="L518" s="2626"/>
      <c r="M518" s="2626"/>
      <c r="N518" s="2626"/>
      <c r="O518" s="389"/>
      <c r="Q518" s="389"/>
      <c r="R518" s="389"/>
      <c r="S518" s="389"/>
      <c r="T518" s="389"/>
    </row>
    <row r="519" spans="1:25" hidden="1">
      <c r="A519" s="389"/>
      <c r="B519" s="389"/>
      <c r="C519" s="389" t="s">
        <v>2038</v>
      </c>
      <c r="D519" s="389"/>
      <c r="E519" s="1691" t="s">
        <v>2039</v>
      </c>
      <c r="F519" s="2628"/>
      <c r="G519" s="2628"/>
      <c r="H519" s="2628"/>
      <c r="I519" s="2628"/>
      <c r="J519" s="2628"/>
      <c r="K519" s="2628"/>
      <c r="L519" s="2628"/>
      <c r="M519" s="2628"/>
      <c r="N519" s="2628"/>
      <c r="O519" s="389"/>
      <c r="Q519" s="389" t="s">
        <v>2040</v>
      </c>
      <c r="R519" s="389"/>
      <c r="S519" s="389"/>
      <c r="T519" s="389"/>
    </row>
    <row r="520" spans="1:25" hidden="1">
      <c r="A520" s="389"/>
      <c r="B520" s="389"/>
      <c r="C520" s="297"/>
      <c r="D520" s="297"/>
      <c r="E520" s="1691" t="s">
        <v>2748</v>
      </c>
      <c r="F520" s="2626"/>
      <c r="G520" s="2626"/>
      <c r="H520" s="2626"/>
      <c r="I520" s="2626"/>
      <c r="J520" s="2626"/>
      <c r="K520" s="2626"/>
      <c r="L520" s="2626"/>
      <c r="M520" s="2626"/>
      <c r="N520" s="2626"/>
      <c r="O520" s="389"/>
      <c r="Q520" s="389"/>
      <c r="R520" s="389"/>
      <c r="S520" s="389"/>
      <c r="T520" s="389"/>
    </row>
    <row r="521" spans="1:25" s="389" customFormat="1" hidden="1">
      <c r="C521" s="297"/>
      <c r="D521" s="297"/>
      <c r="E521" s="1691"/>
      <c r="F521" s="2626"/>
      <c r="G521" s="2626"/>
      <c r="H521" s="2626"/>
      <c r="I521" s="2626"/>
      <c r="J521" s="2626"/>
      <c r="K521" s="2626"/>
      <c r="L521" s="2626"/>
      <c r="M521" s="2626"/>
      <c r="N521" s="2626"/>
    </row>
    <row r="522" spans="1:25" hidden="1">
      <c r="A522" s="389"/>
      <c r="B522" s="389"/>
      <c r="C522" s="423" t="s">
        <v>720</v>
      </c>
      <c r="D522" s="389"/>
      <c r="E522" s="389"/>
      <c r="F522" s="2625">
        <v>2013</v>
      </c>
      <c r="G522" s="2625">
        <v>2015</v>
      </c>
      <c r="H522" s="2625">
        <v>2020</v>
      </c>
      <c r="I522" s="2625">
        <v>2025</v>
      </c>
      <c r="J522" s="2625">
        <v>2030</v>
      </c>
      <c r="K522" s="2625">
        <v>2035</v>
      </c>
      <c r="L522" s="2625">
        <v>2040</v>
      </c>
      <c r="M522" s="2625">
        <v>2045</v>
      </c>
      <c r="N522" s="2625">
        <v>2050</v>
      </c>
      <c r="O522" s="389"/>
      <c r="Q522" s="389"/>
      <c r="R522" s="389"/>
      <c r="S522" s="389"/>
      <c r="T522" s="389"/>
    </row>
    <row r="523" spans="1:25" hidden="1">
      <c r="A523" s="389"/>
      <c r="B523" s="389"/>
      <c r="C523" s="297" t="s">
        <v>372</v>
      </c>
      <c r="D523" s="389"/>
      <c r="E523" s="1691" t="s">
        <v>2748</v>
      </c>
      <c r="F523" s="2626"/>
      <c r="G523" s="2626"/>
      <c r="H523" s="2626"/>
      <c r="I523" s="2626"/>
      <c r="J523" s="2626"/>
      <c r="K523" s="2626"/>
      <c r="L523" s="2626"/>
      <c r="M523" s="2626"/>
      <c r="N523" s="2626"/>
      <c r="O523" s="389"/>
      <c r="Q523" s="389"/>
      <c r="R523" s="389"/>
      <c r="S523" s="389"/>
      <c r="T523" s="389"/>
    </row>
    <row r="524" spans="1:25" hidden="1">
      <c r="A524" s="389"/>
      <c r="B524" s="389"/>
      <c r="C524" s="297" t="s">
        <v>371</v>
      </c>
      <c r="D524" s="389"/>
      <c r="E524" s="1691"/>
      <c r="F524" s="2626"/>
      <c r="G524" s="2626"/>
      <c r="H524" s="2626"/>
      <c r="I524" s="2626"/>
      <c r="J524" s="2626"/>
      <c r="K524" s="2626"/>
      <c r="L524" s="2626"/>
      <c r="M524" s="2626"/>
      <c r="N524" s="2626"/>
      <c r="O524" s="389"/>
      <c r="Q524" s="389"/>
      <c r="R524" s="389"/>
      <c r="S524" s="389"/>
      <c r="T524" s="389"/>
    </row>
    <row r="525" spans="1:25" hidden="1">
      <c r="A525" s="389"/>
      <c r="B525" s="389"/>
      <c r="C525" s="297" t="s">
        <v>1971</v>
      </c>
      <c r="D525" s="389"/>
      <c r="E525" s="1691"/>
      <c r="F525" s="2626"/>
      <c r="G525" s="2626"/>
      <c r="H525" s="2626"/>
      <c r="I525" s="2626"/>
      <c r="J525" s="2626"/>
      <c r="K525" s="2626"/>
      <c r="L525" s="2626"/>
      <c r="M525" s="2626"/>
      <c r="N525" s="2626"/>
      <c r="O525" s="389"/>
      <c r="Q525" s="389"/>
      <c r="R525" s="389"/>
      <c r="S525" s="389"/>
      <c r="T525" s="389"/>
    </row>
    <row r="526" spans="1:25" hidden="1">
      <c r="A526" s="389"/>
      <c r="B526" s="389"/>
      <c r="C526" s="297" t="s">
        <v>1972</v>
      </c>
      <c r="D526" s="389"/>
      <c r="E526" s="1691"/>
      <c r="F526" s="2626"/>
      <c r="G526" s="2626"/>
      <c r="H526" s="2626"/>
      <c r="I526" s="2626"/>
      <c r="J526" s="2626"/>
      <c r="K526" s="2626"/>
      <c r="L526" s="2626"/>
      <c r="M526" s="2626"/>
      <c r="N526" s="2626"/>
      <c r="O526" s="389"/>
      <c r="Q526" s="389"/>
      <c r="R526" s="389"/>
      <c r="S526" s="389"/>
      <c r="T526" s="389"/>
    </row>
    <row r="527" spans="1:25" hidden="1">
      <c r="A527" s="389"/>
      <c r="B527" s="389"/>
      <c r="C527" s="297" t="s">
        <v>1973</v>
      </c>
      <c r="D527" s="389"/>
      <c r="E527" s="1691"/>
      <c r="F527" s="2626"/>
      <c r="G527" s="2626"/>
      <c r="H527" s="2626"/>
      <c r="I527" s="2626"/>
      <c r="J527" s="2626"/>
      <c r="K527" s="2626"/>
      <c r="L527" s="2626"/>
      <c r="M527" s="2626"/>
      <c r="N527" s="2626"/>
      <c r="O527" s="389"/>
      <c r="Q527" s="389"/>
      <c r="R527" s="389"/>
      <c r="S527" s="389"/>
      <c r="T527" s="389"/>
    </row>
    <row r="528" spans="1:25" hidden="1">
      <c r="A528" s="389"/>
      <c r="B528" s="389"/>
      <c r="C528" s="297" t="s">
        <v>2033</v>
      </c>
      <c r="D528" s="389"/>
      <c r="E528" s="1691"/>
      <c r="F528" s="2626"/>
      <c r="G528" s="2626"/>
      <c r="H528" s="2626"/>
      <c r="I528" s="2626"/>
      <c r="J528" s="2626"/>
      <c r="K528" s="2626"/>
      <c r="L528" s="2626"/>
      <c r="M528" s="2626"/>
      <c r="N528" s="2626"/>
      <c r="O528" s="389"/>
      <c r="Q528" s="389"/>
      <c r="R528" s="389"/>
      <c r="S528" s="389"/>
      <c r="T528" s="389"/>
    </row>
    <row r="529" spans="1:25" hidden="1">
      <c r="A529" s="389"/>
      <c r="B529" s="389"/>
      <c r="C529" s="423"/>
      <c r="D529" s="389"/>
      <c r="E529" s="1691"/>
      <c r="F529" s="1619"/>
      <c r="G529" s="1619"/>
      <c r="H529" s="1619"/>
      <c r="I529" s="1619"/>
      <c r="J529" s="1619"/>
      <c r="K529" s="1619"/>
      <c r="L529" s="1619"/>
      <c r="M529" s="1619"/>
      <c r="N529" s="1619"/>
      <c r="O529" s="389"/>
      <c r="Q529" s="389"/>
      <c r="R529" s="389"/>
      <c r="S529" s="389"/>
      <c r="T529" s="389"/>
    </row>
    <row r="530" spans="1:25" hidden="1">
      <c r="A530" s="389"/>
      <c r="B530" s="389"/>
      <c r="C530" s="389" t="s">
        <v>2034</v>
      </c>
      <c r="D530" s="389"/>
      <c r="E530" s="1691"/>
      <c r="F530" s="389"/>
      <c r="G530" s="389"/>
      <c r="H530" s="389"/>
      <c r="I530" s="389"/>
      <c r="J530" s="389"/>
      <c r="K530" s="389"/>
      <c r="L530" s="389"/>
      <c r="M530" s="389"/>
      <c r="N530" s="389"/>
      <c r="O530" s="389"/>
      <c r="Q530" s="389"/>
      <c r="R530" s="389"/>
      <c r="S530" s="389"/>
      <c r="T530" s="389"/>
      <c r="X530" s="6"/>
      <c r="Y530" s="6"/>
    </row>
    <row r="531" spans="1:25" hidden="1">
      <c r="A531" s="389"/>
      <c r="B531" s="389"/>
      <c r="C531" s="297" t="s">
        <v>2025</v>
      </c>
      <c r="D531" s="389"/>
      <c r="E531" s="1691" t="s">
        <v>2035</v>
      </c>
      <c r="F531" s="2627"/>
      <c r="G531" s="2627"/>
      <c r="H531" s="2627"/>
      <c r="I531" s="2627"/>
      <c r="J531" s="2627"/>
      <c r="K531" s="2627"/>
      <c r="L531" s="2627"/>
      <c r="M531" s="2627"/>
      <c r="N531" s="2627"/>
      <c r="O531" s="389"/>
      <c r="Q531" s="389"/>
      <c r="R531" s="389"/>
      <c r="S531" s="389"/>
      <c r="T531" s="389"/>
      <c r="X531" s="6"/>
      <c r="Y531" s="6"/>
    </row>
    <row r="532" spans="1:25" hidden="1">
      <c r="A532" s="389"/>
      <c r="B532" s="389"/>
      <c r="C532" s="297"/>
      <c r="D532" s="297"/>
      <c r="E532" s="1691" t="s">
        <v>2748</v>
      </c>
      <c r="F532" s="2626"/>
      <c r="G532" s="2626"/>
      <c r="H532" s="2626"/>
      <c r="I532" s="2626"/>
      <c r="J532" s="2626"/>
      <c r="K532" s="2626"/>
      <c r="L532" s="2626"/>
      <c r="M532" s="2626"/>
      <c r="N532" s="2626"/>
      <c r="O532" s="389"/>
      <c r="Q532" s="389"/>
      <c r="R532" s="389"/>
      <c r="S532" s="389"/>
      <c r="T532" s="389"/>
      <c r="X532" s="6"/>
      <c r="Y532" s="6"/>
    </row>
    <row r="533" spans="1:25" hidden="1">
      <c r="A533" s="389"/>
      <c r="B533" s="389"/>
      <c r="C533" s="389" t="s">
        <v>2036</v>
      </c>
      <c r="D533" s="389"/>
      <c r="E533" s="1691" t="s">
        <v>2037</v>
      </c>
      <c r="F533" s="2628"/>
      <c r="G533" s="2628"/>
      <c r="H533" s="2628"/>
      <c r="I533" s="2628"/>
      <c r="J533" s="2628"/>
      <c r="K533" s="2628"/>
      <c r="L533" s="2628"/>
      <c r="M533" s="2628"/>
      <c r="N533" s="2628"/>
      <c r="O533" s="389"/>
      <c r="Q533" s="389"/>
      <c r="R533" s="389"/>
      <c r="S533" s="389"/>
      <c r="T533" s="389"/>
      <c r="X533" s="6"/>
      <c r="Y533" s="6"/>
    </row>
    <row r="534" spans="1:25" hidden="1">
      <c r="A534" s="389"/>
      <c r="B534" s="389"/>
      <c r="C534" s="297"/>
      <c r="D534" s="297"/>
      <c r="E534" s="1691" t="s">
        <v>2748</v>
      </c>
      <c r="F534" s="2626"/>
      <c r="G534" s="2626"/>
      <c r="H534" s="2626"/>
      <c r="I534" s="2626"/>
      <c r="J534" s="2626"/>
      <c r="K534" s="2626"/>
      <c r="L534" s="2626"/>
      <c r="M534" s="2626"/>
      <c r="N534" s="2626"/>
      <c r="O534" s="389"/>
      <c r="Q534" s="389"/>
      <c r="R534" s="389"/>
      <c r="S534" s="389"/>
      <c r="T534" s="389"/>
      <c r="X534" s="6"/>
      <c r="Y534" s="6"/>
    </row>
    <row r="535" spans="1:25" hidden="1">
      <c r="A535" s="389"/>
      <c r="B535" s="389"/>
      <c r="C535" s="389" t="s">
        <v>2038</v>
      </c>
      <c r="D535" s="389"/>
      <c r="E535" s="1691" t="s">
        <v>2039</v>
      </c>
      <c r="F535" s="2628"/>
      <c r="G535" s="2628"/>
      <c r="H535" s="2628"/>
      <c r="I535" s="2628"/>
      <c r="J535" s="2628"/>
      <c r="K535" s="2628"/>
      <c r="L535" s="2628"/>
      <c r="M535" s="2628"/>
      <c r="N535" s="2628"/>
      <c r="O535" s="389"/>
      <c r="Q535" s="389" t="s">
        <v>2040</v>
      </c>
      <c r="R535" s="389"/>
      <c r="S535" s="389"/>
      <c r="T535" s="389"/>
      <c r="X535" s="6"/>
      <c r="Y535" s="6"/>
    </row>
    <row r="536" spans="1:25" hidden="1">
      <c r="A536" s="389"/>
      <c r="B536" s="389"/>
      <c r="C536" s="297"/>
      <c r="D536" s="297"/>
      <c r="E536" s="1691" t="s">
        <v>2748</v>
      </c>
      <c r="F536" s="2626"/>
      <c r="G536" s="2626"/>
      <c r="H536" s="2626"/>
      <c r="I536" s="2626"/>
      <c r="J536" s="2626"/>
      <c r="K536" s="2626"/>
      <c r="L536" s="2626"/>
      <c r="M536" s="2626"/>
      <c r="N536" s="2626"/>
      <c r="O536" s="389"/>
      <c r="Q536" s="389"/>
      <c r="R536" s="389"/>
      <c r="S536" s="389"/>
      <c r="T536" s="389"/>
      <c r="X536" s="6"/>
      <c r="Y536" s="6"/>
    </row>
    <row r="537" spans="1:25" s="389" customFormat="1" hidden="1">
      <c r="X537" s="1027"/>
      <c r="Y537" s="1027"/>
    </row>
    <row r="538" spans="1:25" hidden="1">
      <c r="A538" s="389"/>
      <c r="B538" s="389"/>
      <c r="C538" s="423" t="s">
        <v>719</v>
      </c>
      <c r="D538" s="389"/>
      <c r="E538" s="1691"/>
      <c r="F538" s="2625">
        <v>2013</v>
      </c>
      <c r="G538" s="2625">
        <v>2015</v>
      </c>
      <c r="H538" s="2625">
        <v>2020</v>
      </c>
      <c r="I538" s="2625">
        <v>2025</v>
      </c>
      <c r="J538" s="2625">
        <v>2030</v>
      </c>
      <c r="K538" s="2625">
        <v>2035</v>
      </c>
      <c r="L538" s="2625">
        <v>2040</v>
      </c>
      <c r="M538" s="2625">
        <v>2045</v>
      </c>
      <c r="N538" s="2625">
        <v>2050</v>
      </c>
      <c r="O538" s="389"/>
      <c r="Q538" s="389"/>
      <c r="R538" s="389"/>
      <c r="S538" s="389"/>
      <c r="T538" s="389"/>
      <c r="U538" s="6"/>
      <c r="V538" s="6"/>
      <c r="X538" s="6"/>
      <c r="Y538" s="6"/>
    </row>
    <row r="539" spans="1:25" hidden="1">
      <c r="A539" s="389"/>
      <c r="B539" s="389"/>
      <c r="C539" s="297" t="s">
        <v>372</v>
      </c>
      <c r="D539" s="389"/>
      <c r="E539" s="1691" t="s">
        <v>2748</v>
      </c>
      <c r="F539" s="2626"/>
      <c r="G539" s="2626"/>
      <c r="H539" s="2626"/>
      <c r="I539" s="2626"/>
      <c r="J539" s="2626"/>
      <c r="K539" s="2626"/>
      <c r="L539" s="2626"/>
      <c r="M539" s="2626"/>
      <c r="N539" s="2626"/>
      <c r="O539" s="389"/>
      <c r="Q539" s="389"/>
      <c r="R539" s="389"/>
      <c r="S539" s="389"/>
      <c r="T539" s="389"/>
      <c r="U539" s="6"/>
      <c r="V539" s="6"/>
      <c r="W539" s="6"/>
      <c r="X539" s="6"/>
      <c r="Y539" s="6"/>
    </row>
    <row r="540" spans="1:25" hidden="1">
      <c r="A540" s="389"/>
      <c r="B540" s="389"/>
      <c r="C540" s="297" t="s">
        <v>371</v>
      </c>
      <c r="D540" s="389"/>
      <c r="E540" s="1691"/>
      <c r="F540" s="2626"/>
      <c r="G540" s="2626"/>
      <c r="H540" s="2626"/>
      <c r="I540" s="2626"/>
      <c r="J540" s="2626"/>
      <c r="K540" s="2626"/>
      <c r="L540" s="2626"/>
      <c r="M540" s="2626"/>
      <c r="N540" s="2626"/>
      <c r="O540" s="389"/>
      <c r="Q540" s="389"/>
      <c r="R540" s="389"/>
      <c r="S540" s="389"/>
      <c r="T540" s="389"/>
      <c r="U540" s="6"/>
      <c r="V540" s="6"/>
      <c r="W540" s="6"/>
      <c r="X540" s="6"/>
      <c r="Y540" s="6"/>
    </row>
    <row r="541" spans="1:25" hidden="1">
      <c r="A541" s="1068"/>
      <c r="B541" s="389"/>
      <c r="C541" s="297" t="s">
        <v>1971</v>
      </c>
      <c r="D541" s="389"/>
      <c r="E541" s="1691"/>
      <c r="F541" s="2626"/>
      <c r="G541" s="2626"/>
      <c r="H541" s="2626"/>
      <c r="I541" s="2626"/>
      <c r="J541" s="2626"/>
      <c r="K541" s="2626"/>
      <c r="L541" s="2626"/>
      <c r="M541" s="2626"/>
      <c r="N541" s="2626"/>
      <c r="O541" s="389"/>
      <c r="Q541" s="389"/>
      <c r="R541" s="389"/>
      <c r="S541" s="389"/>
      <c r="T541" s="389"/>
      <c r="U541" s="6"/>
      <c r="V541" s="6"/>
      <c r="W541" s="6"/>
      <c r="X541" s="6"/>
      <c r="Y541" s="6"/>
    </row>
    <row r="542" spans="1:25" hidden="1">
      <c r="A542" s="1068"/>
      <c r="B542" s="389"/>
      <c r="C542" s="297" t="s">
        <v>1972</v>
      </c>
      <c r="D542" s="389"/>
      <c r="E542" s="1691"/>
      <c r="F542" s="2626"/>
      <c r="G542" s="2626"/>
      <c r="H542" s="2626"/>
      <c r="I542" s="2626"/>
      <c r="J542" s="2626"/>
      <c r="K542" s="2626"/>
      <c r="L542" s="2626"/>
      <c r="M542" s="2626"/>
      <c r="N542" s="2626"/>
      <c r="O542" s="389"/>
      <c r="Q542" s="389"/>
      <c r="R542" s="389"/>
      <c r="S542" s="389"/>
      <c r="T542" s="389"/>
      <c r="U542" s="6"/>
      <c r="V542" s="6"/>
      <c r="W542" s="6"/>
      <c r="X542" s="6"/>
      <c r="Y542" s="6"/>
    </row>
    <row r="543" spans="1:25" hidden="1">
      <c r="A543" s="1068"/>
      <c r="B543" s="389"/>
      <c r="C543" s="297" t="s">
        <v>1973</v>
      </c>
      <c r="D543" s="389"/>
      <c r="E543" s="1691"/>
      <c r="F543" s="2626"/>
      <c r="G543" s="2626"/>
      <c r="H543" s="2626"/>
      <c r="I543" s="2626"/>
      <c r="J543" s="2626"/>
      <c r="K543" s="2626"/>
      <c r="L543" s="2626"/>
      <c r="M543" s="2626"/>
      <c r="N543" s="2626"/>
      <c r="O543" s="389"/>
      <c r="Q543" s="389"/>
      <c r="R543" s="389"/>
      <c r="S543" s="389"/>
      <c r="T543" s="389"/>
      <c r="U543" s="6"/>
      <c r="V543" s="6"/>
      <c r="W543" s="6"/>
      <c r="X543" s="6"/>
      <c r="Y543" s="6"/>
    </row>
    <row r="544" spans="1:25" hidden="1">
      <c r="A544" s="1068"/>
      <c r="B544" s="389"/>
      <c r="C544" s="297" t="s">
        <v>2033</v>
      </c>
      <c r="D544" s="389"/>
      <c r="E544" s="1691"/>
      <c r="F544" s="2626"/>
      <c r="G544" s="2626"/>
      <c r="H544" s="2626"/>
      <c r="I544" s="2626"/>
      <c r="J544" s="2626"/>
      <c r="K544" s="2626"/>
      <c r="L544" s="2626"/>
      <c r="M544" s="2626"/>
      <c r="N544" s="2626"/>
      <c r="O544" s="389"/>
      <c r="Q544" s="389"/>
      <c r="R544" s="389"/>
      <c r="S544" s="389"/>
      <c r="T544" s="389"/>
      <c r="U544" s="6"/>
      <c r="V544" s="6"/>
      <c r="W544" s="6"/>
      <c r="X544" s="6"/>
      <c r="Y544" s="6"/>
    </row>
    <row r="545" spans="1:33" hidden="1">
      <c r="A545" s="1068"/>
      <c r="B545" s="389"/>
      <c r="C545" s="423"/>
      <c r="D545" s="389"/>
      <c r="E545" s="1691"/>
      <c r="F545" s="1619"/>
      <c r="G545" s="1619"/>
      <c r="H545" s="1619"/>
      <c r="I545" s="1619"/>
      <c r="J545" s="1619"/>
      <c r="K545" s="1619"/>
      <c r="L545" s="1619"/>
      <c r="M545" s="1619"/>
      <c r="N545" s="1619"/>
      <c r="O545" s="389"/>
      <c r="Q545" s="389"/>
      <c r="R545" s="389"/>
      <c r="S545" s="389"/>
      <c r="T545" s="389"/>
      <c r="U545" s="6"/>
      <c r="V545" s="6"/>
      <c r="W545" s="6"/>
      <c r="X545" s="6"/>
      <c r="Y545" s="6"/>
    </row>
    <row r="546" spans="1:33" hidden="1">
      <c r="A546" s="1068"/>
      <c r="B546" s="389"/>
      <c r="C546" s="389" t="s">
        <v>2034</v>
      </c>
      <c r="D546" s="389"/>
      <c r="E546" s="1691"/>
      <c r="F546" s="2625"/>
      <c r="G546" s="2625"/>
      <c r="H546" s="2625"/>
      <c r="I546" s="2625"/>
      <c r="J546" s="2625"/>
      <c r="K546" s="2625"/>
      <c r="L546" s="2625"/>
      <c r="M546" s="2625"/>
      <c r="N546" s="2625"/>
      <c r="O546" s="389"/>
      <c r="Q546" s="389"/>
      <c r="R546" s="389"/>
      <c r="S546" s="389"/>
      <c r="T546" s="389"/>
      <c r="U546" s="6"/>
      <c r="V546" s="6"/>
      <c r="W546" s="6"/>
      <c r="X546" s="6"/>
      <c r="Y546" s="6"/>
    </row>
    <row r="547" spans="1:33" hidden="1">
      <c r="A547" s="389"/>
      <c r="B547" s="389"/>
      <c r="C547" s="1068" t="s">
        <v>2025</v>
      </c>
      <c r="D547" s="389"/>
      <c r="E547" s="1691" t="s">
        <v>2035</v>
      </c>
      <c r="F547" s="2627"/>
      <c r="G547" s="2627"/>
      <c r="H547" s="2627"/>
      <c r="I547" s="2627"/>
      <c r="J547" s="2627"/>
      <c r="K547" s="2627"/>
      <c r="L547" s="2627"/>
      <c r="M547" s="2627"/>
      <c r="N547" s="2627"/>
      <c r="O547" s="389"/>
      <c r="Q547" s="389"/>
      <c r="R547" s="389"/>
      <c r="S547" s="389"/>
      <c r="T547" s="389"/>
      <c r="U547" s="6"/>
      <c r="V547" s="6"/>
      <c r="W547" s="6"/>
      <c r="X547" s="6"/>
      <c r="Y547" s="6"/>
    </row>
    <row r="548" spans="1:33" s="6" customFormat="1" hidden="1">
      <c r="A548" s="389"/>
      <c r="B548" s="389"/>
      <c r="C548" s="297"/>
      <c r="D548" s="297"/>
      <c r="E548" s="1691" t="s">
        <v>2748</v>
      </c>
      <c r="F548" s="2626"/>
      <c r="G548" s="2626"/>
      <c r="H548" s="2626"/>
      <c r="I548" s="2626"/>
      <c r="J548" s="2626"/>
      <c r="K548" s="2626"/>
      <c r="L548" s="2626"/>
      <c r="M548" s="2626"/>
      <c r="N548" s="2626"/>
      <c r="O548" s="389"/>
    </row>
    <row r="549" spans="1:33" hidden="1" collapsed="1">
      <c r="A549" s="389"/>
      <c r="B549" s="389"/>
      <c r="C549" s="389" t="s">
        <v>2036</v>
      </c>
      <c r="D549" s="389"/>
      <c r="E549" s="1691" t="s">
        <v>2037</v>
      </c>
      <c r="F549" s="2628"/>
      <c r="G549" s="2628"/>
      <c r="H549" s="2628"/>
      <c r="I549" s="2628"/>
      <c r="J549" s="2628"/>
      <c r="K549" s="2628"/>
      <c r="L549" s="2628"/>
      <c r="M549" s="2628"/>
      <c r="N549" s="2628"/>
      <c r="O549" s="389"/>
      <c r="Q549" s="389" t="s">
        <v>2041</v>
      </c>
      <c r="R549" s="389"/>
      <c r="S549" s="389"/>
      <c r="T549" s="389"/>
      <c r="U549" s="6"/>
      <c r="V549" s="6"/>
      <c r="W549" s="6"/>
      <c r="X549" s="6"/>
      <c r="Y549" s="6"/>
      <c r="Z549" s="6"/>
      <c r="AA549" s="6"/>
      <c r="AB549" s="6"/>
      <c r="AC549" s="6"/>
      <c r="AD549" s="6"/>
      <c r="AE549" s="6"/>
      <c r="AF549" s="6"/>
      <c r="AG549" s="6"/>
    </row>
    <row r="550" spans="1:33" hidden="1">
      <c r="A550" s="389"/>
      <c r="B550" s="389"/>
      <c r="C550" s="297"/>
      <c r="D550" s="297"/>
      <c r="E550" s="1691" t="s">
        <v>2748</v>
      </c>
      <c r="F550" s="2626"/>
      <c r="G550" s="2626"/>
      <c r="H550" s="2626"/>
      <c r="I550" s="2626"/>
      <c r="J550" s="2626"/>
      <c r="K550" s="2626"/>
      <c r="L550" s="2626"/>
      <c r="M550" s="2626"/>
      <c r="N550" s="2626"/>
      <c r="O550" s="389"/>
      <c r="Q550" s="389"/>
      <c r="R550" s="389"/>
      <c r="S550" s="389"/>
      <c r="T550" s="389"/>
      <c r="U550" s="6"/>
      <c r="V550" s="6"/>
      <c r="W550" s="6"/>
      <c r="X550" s="6"/>
      <c r="Y550" s="6"/>
      <c r="Z550" s="6"/>
      <c r="AA550" s="6"/>
      <c r="AB550" s="6"/>
      <c r="AC550" s="6"/>
      <c r="AD550" s="6"/>
      <c r="AE550" s="6"/>
      <c r="AF550" s="6"/>
      <c r="AG550" s="6"/>
    </row>
    <row r="551" spans="1:33" hidden="1">
      <c r="A551" s="389"/>
      <c r="B551" s="389"/>
      <c r="C551" s="389" t="s">
        <v>2038</v>
      </c>
      <c r="D551" s="389"/>
      <c r="E551" s="1691" t="s">
        <v>2039</v>
      </c>
      <c r="F551" s="2628"/>
      <c r="G551" s="2628"/>
      <c r="H551" s="2628"/>
      <c r="I551" s="2628"/>
      <c r="J551" s="2628"/>
      <c r="K551" s="2628"/>
      <c r="L551" s="2628"/>
      <c r="M551" s="2628"/>
      <c r="N551" s="2628"/>
      <c r="O551" s="389"/>
      <c r="Q551" s="389" t="s">
        <v>2040</v>
      </c>
      <c r="R551" s="389"/>
      <c r="S551" s="389"/>
      <c r="T551" s="389"/>
      <c r="U551" s="6"/>
      <c r="V551" s="6"/>
      <c r="W551" s="6"/>
      <c r="X551" s="6"/>
      <c r="Y551" s="6"/>
      <c r="Z551" s="6"/>
      <c r="AA551" s="6"/>
      <c r="AB551" s="6"/>
      <c r="AC551" s="6"/>
      <c r="AD551" s="6"/>
      <c r="AE551" s="6"/>
      <c r="AF551" s="6"/>
      <c r="AG551" s="6"/>
    </row>
    <row r="552" spans="1:33" ht="13.5" hidden="1" customHeight="1">
      <c r="A552" s="389"/>
      <c r="B552" s="389"/>
      <c r="C552" s="297"/>
      <c r="D552" s="297"/>
      <c r="E552" s="1691" t="s">
        <v>2748</v>
      </c>
      <c r="F552" s="2626"/>
      <c r="G552" s="2626"/>
      <c r="H552" s="2626"/>
      <c r="I552" s="2626"/>
      <c r="J552" s="2626"/>
      <c r="K552" s="2626"/>
      <c r="L552" s="2626"/>
      <c r="M552" s="2626"/>
      <c r="N552" s="2626"/>
      <c r="O552" s="389"/>
      <c r="Q552" s="389"/>
      <c r="R552" s="389"/>
      <c r="S552" s="389"/>
      <c r="T552" s="389"/>
      <c r="U552" s="6"/>
      <c r="V552" s="6"/>
      <c r="W552" s="6"/>
      <c r="X552" s="6"/>
      <c r="Y552" s="6"/>
      <c r="Z552" s="6"/>
      <c r="AA552" s="6"/>
      <c r="AB552" s="6"/>
      <c r="AC552" s="6"/>
      <c r="AD552" s="6"/>
      <c r="AE552" s="6"/>
      <c r="AF552" s="6"/>
      <c r="AG552" s="6"/>
    </row>
    <row r="553" spans="1:33" s="389" customFormat="1">
      <c r="C553" s="423"/>
      <c r="E553" s="1691"/>
      <c r="F553" s="1619"/>
      <c r="G553" s="1619"/>
      <c r="H553" s="1619"/>
      <c r="I553" s="1619"/>
      <c r="J553" s="1619"/>
      <c r="K553" s="1619"/>
      <c r="L553" s="1619"/>
      <c r="M553" s="1619"/>
      <c r="N553" s="2629"/>
      <c r="U553" s="1027"/>
      <c r="V553" s="1027"/>
      <c r="W553" s="1027"/>
      <c r="X553" s="1027"/>
      <c r="Y553" s="1027"/>
      <c r="Z553" s="1027"/>
      <c r="AA553" s="1027"/>
      <c r="AB553" s="1027"/>
      <c r="AC553" s="1027"/>
      <c r="AD553" s="1027"/>
      <c r="AE553" s="1027"/>
      <c r="AF553" s="1027"/>
      <c r="AG553" s="1027"/>
    </row>
    <row r="554" spans="1:33" ht="15">
      <c r="B554" s="2630" t="s">
        <v>296</v>
      </c>
      <c r="C554" s="2631"/>
      <c r="D554" s="2631"/>
      <c r="E554" s="2631"/>
      <c r="F554" s="2631"/>
      <c r="G554" s="2631"/>
      <c r="H554" s="2631"/>
      <c r="I554" s="2631"/>
      <c r="J554" s="2631"/>
      <c r="K554" s="2631"/>
      <c r="L554" s="2631"/>
      <c r="M554" s="2631"/>
      <c r="N554" s="2631"/>
      <c r="O554" s="2632"/>
      <c r="T554" s="6"/>
      <c r="U554" s="6"/>
      <c r="V554" s="6"/>
      <c r="W554" s="6"/>
      <c r="X554" s="6"/>
      <c r="Y554" s="6"/>
      <c r="Z554" s="6"/>
      <c r="AA554" s="6"/>
      <c r="AB554" s="6"/>
      <c r="AC554" s="6"/>
      <c r="AD554" s="6"/>
      <c r="AE554" s="6"/>
      <c r="AF554" s="6"/>
      <c r="AG554" s="6"/>
    </row>
    <row r="555" spans="1:33">
      <c r="B555" s="505"/>
      <c r="C555" s="506"/>
      <c r="D555" s="506"/>
      <c r="E555" s="506"/>
      <c r="F555" s="506"/>
      <c r="G555" s="506"/>
      <c r="H555" s="506"/>
      <c r="I555" s="506"/>
      <c r="J555" s="506"/>
      <c r="K555" s="506"/>
      <c r="L555" s="506"/>
      <c r="M555" s="506"/>
      <c r="N555" s="506"/>
      <c r="O555" s="858"/>
      <c r="T555" s="6"/>
      <c r="U555" s="6"/>
      <c r="V555" s="6"/>
      <c r="W555" s="6"/>
      <c r="X555" s="6"/>
      <c r="Y555" s="6"/>
      <c r="Z555" s="6"/>
      <c r="AA555" s="6"/>
      <c r="AB555" s="6"/>
      <c r="AC555" s="6"/>
      <c r="AD555" s="6"/>
      <c r="AE555" s="6"/>
      <c r="AF555" s="6"/>
      <c r="AG555" s="6"/>
    </row>
    <row r="556" spans="1:33">
      <c r="B556" s="505"/>
      <c r="C556" s="34" t="s">
        <v>746</v>
      </c>
      <c r="D556" s="506"/>
      <c r="E556" s="507"/>
      <c r="F556" s="506"/>
      <c r="G556" s="506"/>
      <c r="H556" s="506"/>
      <c r="I556" s="506"/>
      <c r="J556" s="506"/>
      <c r="K556" s="506"/>
      <c r="L556" s="506"/>
      <c r="M556" s="506"/>
      <c r="N556" s="507" t="str">
        <f>Preferences.EnergyUnits</f>
        <v>TWh</v>
      </c>
      <c r="O556" s="858"/>
      <c r="U556" s="6"/>
      <c r="V556" s="6"/>
      <c r="W556" s="6"/>
      <c r="X556" s="6"/>
      <c r="Y556" s="6"/>
      <c r="Z556" s="6"/>
      <c r="AA556" s="6"/>
      <c r="AB556" s="6"/>
      <c r="AC556" s="6"/>
      <c r="AD556" s="6"/>
      <c r="AE556" s="6"/>
      <c r="AF556" s="6"/>
      <c r="AG556" s="6"/>
    </row>
    <row r="557" spans="1:33" ht="4.5" customHeight="1">
      <c r="B557" s="505"/>
      <c r="C557" s="506"/>
      <c r="D557" s="506"/>
      <c r="E557" s="506"/>
      <c r="F557" s="506"/>
      <c r="G557" s="506"/>
      <c r="H557" s="506"/>
      <c r="I557" s="506"/>
      <c r="J557" s="506"/>
      <c r="K557" s="506"/>
      <c r="L557" s="506"/>
      <c r="M557" s="506"/>
      <c r="N557" s="506"/>
      <c r="O557" s="858"/>
      <c r="S557" s="365"/>
      <c r="T557" s="6"/>
      <c r="U557" s="6"/>
      <c r="V557" s="6"/>
      <c r="W557" s="6"/>
      <c r="X557" s="6"/>
      <c r="Y557" s="6"/>
      <c r="Z557" s="6"/>
      <c r="AA557" s="6"/>
      <c r="AB557" s="6"/>
      <c r="AC557" s="6"/>
      <c r="AD557" s="6"/>
      <c r="AE557" s="6"/>
      <c r="AF557" s="6"/>
      <c r="AG557" s="6"/>
    </row>
    <row r="558" spans="1:33" ht="15.5">
      <c r="B558" s="15"/>
      <c r="C558" s="864" t="s">
        <v>28</v>
      </c>
      <c r="D558" s="864" t="s">
        <v>29</v>
      </c>
      <c r="E558" s="864" t="s">
        <v>30</v>
      </c>
      <c r="F558" s="864" t="s">
        <v>588</v>
      </c>
      <c r="G558" s="864" t="s">
        <v>132</v>
      </c>
      <c r="H558" s="864" t="s">
        <v>133</v>
      </c>
      <c r="I558" s="864" t="s">
        <v>134</v>
      </c>
      <c r="J558" s="864" t="s">
        <v>135</v>
      </c>
      <c r="K558" s="864" t="s">
        <v>136</v>
      </c>
      <c r="L558" s="864" t="s">
        <v>137</v>
      </c>
      <c r="M558" s="864" t="s">
        <v>138</v>
      </c>
      <c r="N558" s="864" t="s">
        <v>139</v>
      </c>
      <c r="O558" s="858"/>
      <c r="V558" s="6"/>
      <c r="W558" s="6"/>
      <c r="X558" s="6"/>
      <c r="Y558" s="6"/>
      <c r="Z558" s="6"/>
      <c r="AA558" s="6"/>
      <c r="AB558" s="6"/>
      <c r="AC558" s="6"/>
      <c r="AD558" s="6"/>
      <c r="AE558" s="6"/>
      <c r="AF558" s="6"/>
      <c r="AG558" s="6"/>
    </row>
    <row r="559" spans="1:33" ht="15.5">
      <c r="B559" s="15"/>
      <c r="C559" s="864" t="s">
        <v>95</v>
      </c>
      <c r="D559" s="2921" t="str">
        <f>INDEX(Vectors[Description], MATCH(VI.a.Outputs[Vector], Vectors[Code], 0))</f>
        <v>Electricity (delivered to end user)</v>
      </c>
      <c r="E559" s="864"/>
      <c r="F559" s="2633">
        <f t="shared" ref="F559:N559" si="81">-F$456</f>
        <v>-0.54810000000000003</v>
      </c>
      <c r="G559" s="2633">
        <f t="shared" si="81"/>
        <v>-0.55489580999999999</v>
      </c>
      <c r="H559" s="2633">
        <f t="shared" si="81"/>
        <v>-0.57248896254738002</v>
      </c>
      <c r="I559" s="2633">
        <f t="shared" si="81"/>
        <v>-0.59097954268761899</v>
      </c>
      <c r="J559" s="2633">
        <f t="shared" si="81"/>
        <v>-0.61041332824718952</v>
      </c>
      <c r="K559" s="2633">
        <f t="shared" si="81"/>
        <v>-0.63083843218178637</v>
      </c>
      <c r="L559" s="2633">
        <f t="shared" si="81"/>
        <v>-0.65230542169138483</v>
      </c>
      <c r="M559" s="2633">
        <f t="shared" si="81"/>
        <v>-0.67486744341136407</v>
      </c>
      <c r="N559" s="2633">
        <f t="shared" si="81"/>
        <v>-0.69858035498963655</v>
      </c>
      <c r="O559" s="858"/>
      <c r="U559" s="6"/>
      <c r="V559" s="6"/>
      <c r="W559" s="6"/>
      <c r="X559" s="6"/>
      <c r="Y559" s="6"/>
      <c r="Z559" s="6"/>
      <c r="AA559" s="6"/>
      <c r="AB559" s="6"/>
      <c r="AC559" s="6"/>
      <c r="AD559" s="6"/>
      <c r="AE559" s="6"/>
      <c r="AF559" s="6"/>
      <c r="AG559" s="6"/>
    </row>
    <row r="560" spans="1:33" ht="15.5">
      <c r="B560" s="15"/>
      <c r="C560" s="864" t="s">
        <v>97</v>
      </c>
      <c r="D560" s="2921" t="str">
        <f>INDEX(Vectors[Description], MATCH(VI.a.Outputs[Vector], Vectors[Code], 0))</f>
        <v>Solid hydrocarbons</v>
      </c>
      <c r="E560" s="864"/>
      <c r="F560" s="2633">
        <f t="shared" ref="F560:N560" si="82">-F$457</f>
        <v>0</v>
      </c>
      <c r="G560" s="2633">
        <f t="shared" si="82"/>
        <v>0</v>
      </c>
      <c r="H560" s="2633">
        <f t="shared" si="82"/>
        <v>0</v>
      </c>
      <c r="I560" s="2633">
        <f t="shared" si="82"/>
        <v>0</v>
      </c>
      <c r="J560" s="2633">
        <f t="shared" si="82"/>
        <v>0</v>
      </c>
      <c r="K560" s="2633">
        <f t="shared" si="82"/>
        <v>0</v>
      </c>
      <c r="L560" s="2633">
        <f t="shared" si="82"/>
        <v>0</v>
      </c>
      <c r="M560" s="2633">
        <f t="shared" si="82"/>
        <v>0</v>
      </c>
      <c r="N560" s="2633">
        <f t="shared" si="82"/>
        <v>0</v>
      </c>
      <c r="O560" s="858"/>
      <c r="W560" s="6"/>
      <c r="X560" s="6"/>
      <c r="Y560" s="6"/>
      <c r="Z560" s="6"/>
      <c r="AA560" s="6"/>
      <c r="AB560" s="6"/>
      <c r="AC560" s="6"/>
      <c r="AD560" s="6"/>
      <c r="AE560" s="6"/>
      <c r="AF560" s="6"/>
      <c r="AG560" s="6"/>
    </row>
    <row r="561" spans="1:33" ht="15.5">
      <c r="B561" s="15"/>
      <c r="C561" s="864" t="s">
        <v>98</v>
      </c>
      <c r="D561" s="2921" t="str">
        <f>INDEX(Vectors[Description], MATCH(VI.a.Outputs[Vector], Vectors[Code], 0))</f>
        <v>Liquid hydrocarbons</v>
      </c>
      <c r="E561" s="864"/>
      <c r="F561" s="2633">
        <f t="shared" ref="F561:N561" si="83">-F$458</f>
        <v>-2.0619000000000005</v>
      </c>
      <c r="G561" s="2633">
        <f t="shared" si="83"/>
        <v>-2.0874651900000001</v>
      </c>
      <c r="H561" s="2633">
        <f t="shared" si="83"/>
        <v>-2.1536489543449062</v>
      </c>
      <c r="I561" s="2633">
        <f t="shared" si="83"/>
        <v>-2.2232087558248526</v>
      </c>
      <c r="J561" s="2633">
        <f t="shared" si="83"/>
        <v>-2.2963168062632371</v>
      </c>
      <c r="K561" s="2633">
        <f t="shared" si="83"/>
        <v>-2.3731541020171969</v>
      </c>
      <c r="L561" s="2633">
        <f t="shared" si="83"/>
        <v>-2.4539108720771146</v>
      </c>
      <c r="M561" s="2633">
        <f t="shared" si="83"/>
        <v>-2.538787049023703</v>
      </c>
      <c r="N561" s="2633">
        <f t="shared" si="83"/>
        <v>-2.6279927640086331</v>
      </c>
      <c r="O561" s="858"/>
      <c r="R561" s="6"/>
      <c r="S561" s="365"/>
      <c r="T561" s="6"/>
      <c r="U561" s="6"/>
      <c r="V561" s="6"/>
      <c r="W561" s="6"/>
      <c r="X561" s="6"/>
      <c r="Y561" s="6"/>
      <c r="Z561" s="6"/>
      <c r="AA561" s="6"/>
      <c r="AB561" s="6"/>
      <c r="AC561" s="6"/>
      <c r="AD561" s="6"/>
      <c r="AE561" s="6"/>
      <c r="AF561" s="6"/>
      <c r="AG561" s="6"/>
    </row>
    <row r="562" spans="1:33" ht="15.5">
      <c r="B562" s="15"/>
      <c r="C562" s="864" t="s">
        <v>99</v>
      </c>
      <c r="D562" s="2921" t="str">
        <f>INDEX(Vectors[Description], MATCH(VI.a.Outputs[Vector], Vectors[Code], 0))</f>
        <v>Gaseous hydrocarbons</v>
      </c>
      <c r="E562" s="864"/>
      <c r="F562" s="2633">
        <f t="shared" ref="F562:N562" si="84">-F$459</f>
        <v>0</v>
      </c>
      <c r="G562" s="2633">
        <f t="shared" si="84"/>
        <v>0</v>
      </c>
      <c r="H562" s="2633">
        <f t="shared" si="84"/>
        <v>0</v>
      </c>
      <c r="I562" s="2633">
        <f t="shared" si="84"/>
        <v>0</v>
      </c>
      <c r="J562" s="2633">
        <f t="shared" si="84"/>
        <v>0</v>
      </c>
      <c r="K562" s="2633">
        <f t="shared" si="84"/>
        <v>0</v>
      </c>
      <c r="L562" s="2633">
        <f t="shared" si="84"/>
        <v>0</v>
      </c>
      <c r="M562" s="2633">
        <f t="shared" si="84"/>
        <v>0</v>
      </c>
      <c r="N562" s="2633">
        <f t="shared" si="84"/>
        <v>0</v>
      </c>
      <c r="O562" s="858"/>
      <c r="R562" s="6"/>
      <c r="S562" s="365"/>
      <c r="T562" s="6"/>
      <c r="U562" s="6"/>
      <c r="V562" s="6"/>
      <c r="W562" s="6"/>
      <c r="X562" s="6"/>
      <c r="Y562" s="6"/>
      <c r="Z562" s="6"/>
      <c r="AA562" s="6"/>
      <c r="AB562" s="6"/>
      <c r="AC562" s="6"/>
      <c r="AD562" s="6"/>
      <c r="AE562" s="6"/>
      <c r="AF562" s="6"/>
      <c r="AG562" s="6"/>
    </row>
    <row r="563" spans="1:33" ht="15.5">
      <c r="B563" s="15"/>
      <c r="C563" s="864" t="s">
        <v>408</v>
      </c>
      <c r="D563" s="2921" t="str">
        <f>INDEX(Vectors[Description], MATCH(VI.a.Outputs[Vector], Vectors[Code], 0))</f>
        <v>Industry</v>
      </c>
      <c r="E563" s="864"/>
      <c r="F563" s="2633">
        <f t="shared" ref="F563:N563" si="85">F$455</f>
        <v>2.6100000000000003</v>
      </c>
      <c r="G563" s="2633">
        <f t="shared" si="85"/>
        <v>2.6423610000000002</v>
      </c>
      <c r="H563" s="2633">
        <f t="shared" si="85"/>
        <v>2.7261379168922861</v>
      </c>
      <c r="I563" s="2633">
        <f t="shared" si="85"/>
        <v>2.8141882985124713</v>
      </c>
      <c r="J563" s="2633">
        <f t="shared" si="85"/>
        <v>2.9067301345104264</v>
      </c>
      <c r="K563" s="2633">
        <f t="shared" si="85"/>
        <v>3.003992534198983</v>
      </c>
      <c r="L563" s="2633">
        <f t="shared" si="85"/>
        <v>3.1062162937684992</v>
      </c>
      <c r="M563" s="2633">
        <f t="shared" si="85"/>
        <v>3.213654492435067</v>
      </c>
      <c r="N563" s="2633">
        <f t="shared" si="85"/>
        <v>3.3265731189982697</v>
      </c>
      <c r="O563" s="858"/>
      <c r="R563" s="6"/>
      <c r="S563" s="365"/>
      <c r="T563" s="6"/>
      <c r="U563" s="6"/>
      <c r="V563" s="6"/>
      <c r="W563" s="6"/>
      <c r="X563" s="6"/>
      <c r="Y563" s="6"/>
      <c r="Z563" s="6"/>
      <c r="AA563" s="6"/>
      <c r="AB563" s="6"/>
      <c r="AC563" s="6"/>
      <c r="AD563" s="6"/>
      <c r="AE563" s="6"/>
      <c r="AF563" s="6"/>
      <c r="AG563" s="6"/>
    </row>
    <row r="564" spans="1:33" ht="15.5">
      <c r="B564" s="15"/>
      <c r="C564" s="864" t="s">
        <v>422</v>
      </c>
      <c r="D564" s="2921" t="str">
        <f>INDEX(Vectors[Description], MATCH(VI.a.Outputs[Vector], Vectors[Code], 0))</f>
        <v>Energy crops (first generation)</v>
      </c>
      <c r="E564" s="864"/>
      <c r="F564" s="2633">
        <f t="shared" ref="F564:N564" si="86">F$396</f>
        <v>0.14350000000000002</v>
      </c>
      <c r="G564" s="2633">
        <f t="shared" si="86"/>
        <v>0.14776594798442105</v>
      </c>
      <c r="H564" s="2633">
        <f t="shared" si="86"/>
        <v>0.15899392199579612</v>
      </c>
      <c r="I564" s="2633">
        <f t="shared" si="86"/>
        <v>0.17107505197523906</v>
      </c>
      <c r="J564" s="2633">
        <f t="shared" si="86"/>
        <v>0.18407416485458214</v>
      </c>
      <c r="K564" s="2633">
        <f t="shared" si="86"/>
        <v>0.19806101343062021</v>
      </c>
      <c r="L564" s="2633">
        <f t="shared" si="86"/>
        <v>0.21311065065624191</v>
      </c>
      <c r="M564" s="2633">
        <f t="shared" si="86"/>
        <v>0.22930383237201715</v>
      </c>
      <c r="N564" s="2633">
        <f t="shared" si="86"/>
        <v>0.24672745063928636</v>
      </c>
      <c r="O564" s="858"/>
      <c r="R564" s="6"/>
      <c r="S564" s="365"/>
      <c r="T564" s="6"/>
      <c r="U564" s="6"/>
      <c r="V564" s="6"/>
      <c r="W564" s="6"/>
      <c r="X564" s="6"/>
      <c r="Y564" s="6"/>
      <c r="Z564" s="6"/>
      <c r="AA564" s="6"/>
      <c r="AB564" s="6"/>
      <c r="AC564" s="6"/>
      <c r="AD564" s="6"/>
      <c r="AE564" s="6"/>
      <c r="AF564" s="6"/>
      <c r="AG564" s="6"/>
    </row>
    <row r="565" spans="1:33" ht="15.5">
      <c r="B565" s="15"/>
      <c r="C565" s="864" t="s">
        <v>421</v>
      </c>
      <c r="D565" s="2921" t="str">
        <f>INDEX(Vectors[Description], MATCH(VI.a.Outputs[Vector], Vectors[Code], 0))</f>
        <v>Energy crops (second generation)</v>
      </c>
      <c r="E565" s="864"/>
      <c r="F565" s="2633">
        <f t="shared" ref="F565:N565" si="87">F$409</f>
        <v>0.16958333333333334</v>
      </c>
      <c r="G565" s="2633">
        <f t="shared" si="87"/>
        <v>0.17043230989583333</v>
      </c>
      <c r="H565" s="2633">
        <f t="shared" si="87"/>
        <v>0.17257339245225228</v>
      </c>
      <c r="I565" s="2633">
        <f t="shared" si="87"/>
        <v>0.17474137269324885</v>
      </c>
      <c r="J565" s="2633">
        <f t="shared" si="87"/>
        <v>0.17693658852519345</v>
      </c>
      <c r="K565" s="2633">
        <f t="shared" si="87"/>
        <v>0.17915938209945831</v>
      </c>
      <c r="L565" s="2633">
        <f t="shared" si="87"/>
        <v>0.18141009986574574</v>
      </c>
      <c r="M565" s="2633">
        <f t="shared" si="87"/>
        <v>0.18368909262608663</v>
      </c>
      <c r="N565" s="2633">
        <f t="shared" si="87"/>
        <v>0.18599671558951725</v>
      </c>
      <c r="O565" s="858"/>
      <c r="R565" s="6"/>
      <c r="S565" s="365"/>
      <c r="T565" s="6"/>
      <c r="U565" s="6"/>
      <c r="V565" s="6"/>
      <c r="W565" s="6"/>
      <c r="X565" s="6"/>
      <c r="Y565" s="6"/>
      <c r="Z565" s="6"/>
      <c r="AA565" s="6"/>
      <c r="AB565" s="6"/>
      <c r="AC565" s="6"/>
      <c r="AD565" s="6"/>
      <c r="AE565" s="6"/>
      <c r="AF565" s="6"/>
      <c r="AG565" s="6"/>
    </row>
    <row r="566" spans="1:33" ht="15.5">
      <c r="B566" s="15"/>
      <c r="C566" s="17" t="s">
        <v>423</v>
      </c>
      <c r="D566" s="2457" t="str">
        <f>INDEX(Vectors[Description], MATCH(VI.a.Outputs[Vector], Vectors[Code], 0))</f>
        <v>Dry biomass and waste</v>
      </c>
      <c r="E566" s="17"/>
      <c r="F566" s="22">
        <f t="shared" ref="F566:N566" si="88">F$445</f>
        <v>1.0085478000000001</v>
      </c>
      <c r="G566" s="22">
        <f t="shared" si="88"/>
        <v>1.4849264315315323</v>
      </c>
      <c r="H566" s="22">
        <f t="shared" si="88"/>
        <v>1.6065715936936933</v>
      </c>
      <c r="I566" s="22">
        <f t="shared" si="88"/>
        <v>2.0042403198198202</v>
      </c>
      <c r="J566" s="22">
        <f t="shared" si="88"/>
        <v>2.0522763558558546</v>
      </c>
      <c r="K566" s="22">
        <f t="shared" si="88"/>
        <v>2.1003123918918916</v>
      </c>
      <c r="L566" s="22">
        <f t="shared" si="88"/>
        <v>2.1483484279279286</v>
      </c>
      <c r="M566" s="22">
        <f t="shared" si="88"/>
        <v>2.1963844639639629</v>
      </c>
      <c r="N566" s="22">
        <f t="shared" si="88"/>
        <v>2.2444204999999999</v>
      </c>
      <c r="O566" s="858"/>
      <c r="R566" s="6"/>
      <c r="S566" s="365"/>
      <c r="T566" s="6"/>
      <c r="U566" s="6"/>
      <c r="V566" s="6"/>
      <c r="W566" s="6"/>
      <c r="X566" s="6"/>
      <c r="Y566" s="6"/>
      <c r="Z566" s="6"/>
      <c r="AA566" s="6"/>
      <c r="AB566" s="6"/>
      <c r="AC566" s="6"/>
      <c r="AD566" s="6"/>
      <c r="AE566" s="6"/>
      <c r="AF566" s="6"/>
      <c r="AG566" s="6"/>
    </row>
    <row r="567" spans="1:33" ht="15.5">
      <c r="B567" s="15"/>
      <c r="C567" s="17" t="s">
        <v>424</v>
      </c>
      <c r="D567" s="2457" t="str">
        <f>INDEX(Vectors[Description], MATCH(VI.a.Outputs[Vector], Vectors[Code], 0))</f>
        <v>Wet biomass and waste</v>
      </c>
      <c r="E567" s="17"/>
      <c r="F567" s="22">
        <f t="shared" ref="F567:N567" si="89">F$446</f>
        <v>2.5890605833333333E-2</v>
      </c>
      <c r="G567" s="22">
        <f t="shared" si="89"/>
        <v>5.2951320706856764E-2</v>
      </c>
      <c r="H567" s="22">
        <f t="shared" si="89"/>
        <v>0.1400407372436055</v>
      </c>
      <c r="I567" s="22">
        <f t="shared" si="89"/>
        <v>0.29646330038036683</v>
      </c>
      <c r="J567" s="22">
        <f t="shared" si="89"/>
        <v>0.31398072739086302</v>
      </c>
      <c r="K567" s="22">
        <f t="shared" si="89"/>
        <v>0.48120379839822636</v>
      </c>
      <c r="L567" s="22">
        <f t="shared" si="89"/>
        <v>0.66126214591446264</v>
      </c>
      <c r="M567" s="22">
        <f t="shared" si="89"/>
        <v>0.85515858196743577</v>
      </c>
      <c r="N567" s="22">
        <f t="shared" si="89"/>
        <v>0.89728670788832465</v>
      </c>
      <c r="O567" s="858"/>
      <c r="R567" s="6"/>
      <c r="S567" s="365"/>
      <c r="T567" s="6"/>
      <c r="U567" s="6"/>
      <c r="V567" s="6"/>
      <c r="W567" s="6"/>
      <c r="X567" s="6"/>
      <c r="Y567" s="6"/>
      <c r="Z567" s="6"/>
      <c r="AA567" s="6"/>
      <c r="AB567" s="6"/>
      <c r="AC567" s="6"/>
      <c r="AD567" s="6"/>
      <c r="AE567" s="6"/>
      <c r="AF567" s="6"/>
      <c r="AG567" s="6"/>
    </row>
    <row r="568" spans="1:33" ht="15.5">
      <c r="B568" s="15"/>
      <c r="C568" s="17" t="s">
        <v>443</v>
      </c>
      <c r="D568" s="2457" t="str">
        <f>INDEX(Vectors[Description], MATCH(VI.a.Outputs[Vector], Vectors[Code], 0))</f>
        <v>Agriculture</v>
      </c>
      <c r="E568" s="17"/>
      <c r="F568" s="22">
        <f t="shared" ref="F568:N568" si="90">-(F$409+F$396)</f>
        <v>-0.31308333333333338</v>
      </c>
      <c r="G568" s="22">
        <f t="shared" si="90"/>
        <v>-0.31819825788025435</v>
      </c>
      <c r="H568" s="22">
        <f t="shared" si="90"/>
        <v>-0.33156731444804843</v>
      </c>
      <c r="I568" s="22">
        <f t="shared" si="90"/>
        <v>-0.34581642466848794</v>
      </c>
      <c r="J568" s="22">
        <f t="shared" si="90"/>
        <v>-0.36101075337977562</v>
      </c>
      <c r="K568" s="22">
        <f t="shared" si="90"/>
        <v>-0.37722039553007852</v>
      </c>
      <c r="L568" s="22">
        <f t="shared" si="90"/>
        <v>-0.39452075052198765</v>
      </c>
      <c r="M568" s="22">
        <f t="shared" si="90"/>
        <v>-0.41299292499810381</v>
      </c>
      <c r="N568" s="22">
        <f t="shared" si="90"/>
        <v>-0.43272416622880361</v>
      </c>
      <c r="O568" s="858"/>
      <c r="R568" s="6"/>
      <c r="S568" s="365"/>
      <c r="T568" s="6"/>
      <c r="U568" s="6"/>
      <c r="V568" s="6"/>
      <c r="W568" s="6"/>
      <c r="X568" s="6"/>
      <c r="Y568" s="6"/>
      <c r="Z568" s="6"/>
      <c r="AA568" s="6"/>
      <c r="AB568" s="6"/>
      <c r="AC568" s="6"/>
      <c r="AD568" s="6"/>
      <c r="AE568" s="6"/>
      <c r="AF568" s="6"/>
      <c r="AG568" s="6"/>
    </row>
    <row r="569" spans="1:33" ht="15.5">
      <c r="B569" s="15"/>
      <c r="C569" s="17" t="s">
        <v>444</v>
      </c>
      <c r="D569" s="2457" t="str">
        <f>INDEX(Vectors[Description], MATCH(VI.a.Outputs[Vector], Vectors[Code], 0))</f>
        <v>Waste (all forms of biomass)</v>
      </c>
      <c r="E569" s="17"/>
      <c r="F569" s="22">
        <f t="shared" ref="F569:N569" si="91">-(F$445+F$446)</f>
        <v>-1.0344384058333334</v>
      </c>
      <c r="G569" s="22">
        <f t="shared" si="91"/>
        <v>-1.5378777522383891</v>
      </c>
      <c r="H569" s="22">
        <f t="shared" si="91"/>
        <v>-1.7466123309372987</v>
      </c>
      <c r="I569" s="22">
        <f t="shared" si="91"/>
        <v>-2.3007036202001871</v>
      </c>
      <c r="J569" s="22">
        <f t="shared" si="91"/>
        <v>-2.3662570832467176</v>
      </c>
      <c r="K569" s="22">
        <f t="shared" si="91"/>
        <v>-2.581516190290118</v>
      </c>
      <c r="L569" s="22">
        <f t="shared" si="91"/>
        <v>-2.8096105738423911</v>
      </c>
      <c r="M569" s="22">
        <f t="shared" si="91"/>
        <v>-3.0515430459313988</v>
      </c>
      <c r="N569" s="22">
        <f t="shared" si="91"/>
        <v>-3.1417072078883246</v>
      </c>
      <c r="O569" s="858"/>
      <c r="R569" s="6"/>
      <c r="S569" s="365"/>
      <c r="T569" s="6"/>
      <c r="U569" s="6"/>
      <c r="V569" s="6"/>
      <c r="W569" s="6"/>
      <c r="X569" s="6"/>
      <c r="Y569" s="6"/>
      <c r="Z569" s="6"/>
      <c r="AA569" s="6"/>
      <c r="AB569" s="6"/>
      <c r="AC569" s="6"/>
      <c r="AD569" s="6"/>
      <c r="AE569" s="6"/>
      <c r="AF569" s="6"/>
      <c r="AG569" s="6"/>
    </row>
    <row r="570" spans="1:33" ht="15.5">
      <c r="B570" s="15"/>
      <c r="C570" s="2432" t="s">
        <v>58</v>
      </c>
      <c r="D570" s="2432"/>
      <c r="E570" s="2432"/>
      <c r="F570" s="3913">
        <f>SUBTOTAL(109,VI.a.Outputs[2013])</f>
        <v>0</v>
      </c>
      <c r="G570" s="3913">
        <f>SUBTOTAL(109,VI.a.Outputs[2015])</f>
        <v>0</v>
      </c>
      <c r="H570" s="3913">
        <f>SUBTOTAL(109,VI.a.Outputs[2020])</f>
        <v>0</v>
      </c>
      <c r="I570" s="3913">
        <f>SUBTOTAL(109,VI.a.Outputs[2025])</f>
        <v>0</v>
      </c>
      <c r="J570" s="3913">
        <f>SUBTOTAL(109,VI.a.Outputs[2030])</f>
        <v>0</v>
      </c>
      <c r="K570" s="3913">
        <f>SUBTOTAL(109,VI.a.Outputs[2035])</f>
        <v>0</v>
      </c>
      <c r="L570" s="3913">
        <f>SUBTOTAL(109,VI.a.Outputs[2040])</f>
        <v>0</v>
      </c>
      <c r="M570" s="3913">
        <f>SUBTOTAL(109,VI.a.Outputs[2045])</f>
        <v>0</v>
      </c>
      <c r="N570" s="3913">
        <f>SUBTOTAL(109,VI.a.Outputs[2050])</f>
        <v>0</v>
      </c>
      <c r="O570" s="858"/>
      <c r="R570" s="6"/>
      <c r="S570" s="365"/>
      <c r="T570" s="6"/>
      <c r="U570" s="6"/>
      <c r="V570" s="6"/>
      <c r="W570" s="6"/>
      <c r="X570" s="6"/>
      <c r="Y570" s="6"/>
      <c r="Z570" s="6"/>
      <c r="AA570" s="6"/>
      <c r="AB570" s="6"/>
      <c r="AC570" s="6"/>
      <c r="AD570" s="6"/>
      <c r="AE570" s="6"/>
      <c r="AF570" s="6"/>
      <c r="AG570" s="6"/>
    </row>
    <row r="571" spans="1:33" ht="15.5">
      <c r="A571" s="2476" t="s">
        <v>5</v>
      </c>
      <c r="B571" s="15"/>
      <c r="C571" s="443"/>
      <c r="D571" s="443"/>
      <c r="E571" s="443"/>
      <c r="F571" s="443"/>
      <c r="G571" s="443"/>
      <c r="H571" s="443"/>
      <c r="I571" s="443"/>
      <c r="J571" s="443"/>
      <c r="K571" s="443"/>
      <c r="L571" s="443"/>
      <c r="M571" s="443"/>
      <c r="N571" s="443"/>
      <c r="O571" s="858"/>
      <c r="R571" s="6"/>
      <c r="S571" s="365"/>
      <c r="T571" s="6"/>
      <c r="W571" s="6"/>
      <c r="Z571" s="6"/>
      <c r="AA571" s="6"/>
      <c r="AB571" s="6"/>
      <c r="AC571" s="6"/>
      <c r="AD571" s="6"/>
      <c r="AE571" s="6"/>
      <c r="AF571" s="6"/>
      <c r="AG571" s="6"/>
    </row>
    <row r="572" spans="1:33" ht="14.25" customHeight="1">
      <c r="R572" s="6"/>
      <c r="S572" s="365"/>
      <c r="T572" s="6"/>
      <c r="W572" s="6"/>
      <c r="Z572" s="6"/>
      <c r="AA572" s="6"/>
      <c r="AB572" s="6"/>
      <c r="AC572" s="6"/>
      <c r="AD572" s="6"/>
      <c r="AE572" s="6"/>
      <c r="AF572" s="6"/>
      <c r="AG572" s="6"/>
    </row>
    <row r="573" spans="1:33" ht="20.25" customHeight="1">
      <c r="B573" s="1118" t="s">
        <v>300</v>
      </c>
      <c r="C573" s="1119"/>
      <c r="D573" s="1120"/>
      <c r="E573" s="1120"/>
      <c r="F573" s="1120"/>
      <c r="G573" s="1120"/>
      <c r="H573" s="1120"/>
      <c r="I573" s="1120"/>
      <c r="J573" s="1120"/>
      <c r="K573" s="1120"/>
      <c r="L573" s="1120"/>
      <c r="M573" s="1120"/>
      <c r="N573" s="1120"/>
      <c r="O573" s="1121"/>
      <c r="R573" s="6"/>
      <c r="S573" s="365"/>
      <c r="T573" s="6"/>
      <c r="W573" s="6"/>
      <c r="Z573" s="6"/>
      <c r="AA573" s="6"/>
      <c r="AB573" s="6"/>
      <c r="AC573" s="6"/>
      <c r="AD573" s="6"/>
      <c r="AE573" s="6"/>
      <c r="AF573" s="6"/>
      <c r="AG573" s="6"/>
    </row>
    <row r="574" spans="1:33">
      <c r="B574" s="1122"/>
      <c r="C574" s="1123"/>
      <c r="D574" s="1123"/>
      <c r="E574" s="1123"/>
      <c r="F574" s="1123"/>
      <c r="G574" s="1123"/>
      <c r="H574" s="1123"/>
      <c r="I574" s="1123"/>
      <c r="J574" s="1123"/>
      <c r="K574" s="1123"/>
      <c r="L574" s="1123"/>
      <c r="M574" s="1123"/>
      <c r="N574" s="1123"/>
      <c r="O574" s="1124"/>
      <c r="R574" s="6"/>
      <c r="S574" s="365"/>
      <c r="T574" s="6"/>
      <c r="Z574" s="6"/>
      <c r="AA574" s="6"/>
      <c r="AB574" s="6"/>
      <c r="AC574" s="6"/>
      <c r="AD574" s="6"/>
      <c r="AE574" s="6"/>
      <c r="AF574" s="6"/>
      <c r="AG574" s="6"/>
    </row>
    <row r="575" spans="1:33" ht="15.75" customHeight="1">
      <c r="B575" s="1125"/>
      <c r="C575" s="453" t="s">
        <v>1005</v>
      </c>
      <c r="D575" s="1126"/>
      <c r="E575" s="1127"/>
      <c r="F575" s="1126"/>
      <c r="G575" s="1126"/>
      <c r="H575" s="1126"/>
      <c r="I575" s="1126"/>
      <c r="J575" s="1126"/>
      <c r="K575" s="1126"/>
      <c r="L575" s="1126"/>
      <c r="M575" s="1126"/>
      <c r="N575" s="1128" t="s">
        <v>251</v>
      </c>
      <c r="O575" s="1129"/>
      <c r="R575" s="6"/>
      <c r="S575" s="365"/>
      <c r="T575" s="6"/>
      <c r="Z575" s="6"/>
      <c r="AA575" s="6"/>
      <c r="AB575" s="6"/>
      <c r="AC575" s="6"/>
      <c r="AD575" s="6"/>
      <c r="AE575" s="6"/>
      <c r="AF575" s="6"/>
      <c r="AG575" s="6"/>
    </row>
    <row r="576" spans="1:33">
      <c r="B576" s="1125"/>
      <c r="C576" s="1126"/>
      <c r="D576" s="1126"/>
      <c r="E576" s="1126"/>
      <c r="F576" s="1126"/>
      <c r="G576" s="1126"/>
      <c r="H576" s="1126"/>
      <c r="I576" s="1126"/>
      <c r="J576" s="1126"/>
      <c r="K576" s="1126"/>
      <c r="L576" s="1126"/>
      <c r="M576" s="1126"/>
      <c r="N576" s="1126"/>
      <c r="O576" s="1129"/>
      <c r="R576" s="6"/>
      <c r="S576" s="365"/>
      <c r="T576" s="6"/>
      <c r="Z576" s="6"/>
      <c r="AA576" s="6"/>
      <c r="AB576" s="6"/>
      <c r="AC576" s="6"/>
      <c r="AD576" s="6"/>
      <c r="AE576" s="6"/>
      <c r="AF576" s="6"/>
      <c r="AG576" s="6"/>
    </row>
    <row r="577" spans="1:33" ht="15.5">
      <c r="B577" s="458"/>
      <c r="C577" s="1327" t="s">
        <v>302</v>
      </c>
      <c r="D577" s="1327" t="s">
        <v>303</v>
      </c>
      <c r="E577" s="1327" t="s">
        <v>30</v>
      </c>
      <c r="F577" s="1327" t="s">
        <v>588</v>
      </c>
      <c r="G577" s="1327" t="s">
        <v>132</v>
      </c>
      <c r="H577" s="1327" t="s">
        <v>133</v>
      </c>
      <c r="I577" s="1327" t="s">
        <v>134</v>
      </c>
      <c r="J577" s="1327" t="s">
        <v>135</v>
      </c>
      <c r="K577" s="1327" t="s">
        <v>136</v>
      </c>
      <c r="L577" s="1327" t="s">
        <v>137</v>
      </c>
      <c r="M577" s="1327" t="s">
        <v>138</v>
      </c>
      <c r="N577" s="1327" t="s">
        <v>139</v>
      </c>
      <c r="O577" s="1129"/>
      <c r="R577" s="6"/>
      <c r="S577" s="365"/>
      <c r="T577" s="6"/>
      <c r="Z577" s="6"/>
      <c r="AA577" s="6"/>
      <c r="AB577" s="6"/>
      <c r="AC577" s="6"/>
      <c r="AD577" s="6"/>
      <c r="AE577" s="6"/>
      <c r="AF577" s="6"/>
      <c r="AG577" s="6"/>
    </row>
    <row r="578" spans="1:33" ht="15.5">
      <c r="B578" s="458"/>
      <c r="C578" s="1130" t="s">
        <v>250</v>
      </c>
      <c r="D578" s="1451" t="s">
        <v>304</v>
      </c>
      <c r="E578" s="1131" t="s">
        <v>305</v>
      </c>
      <c r="F578" s="1452">
        <f t="shared" ref="F578:N578" si="92">F$464</f>
        <v>0.54409417199999999</v>
      </c>
      <c r="G578" s="1452">
        <f t="shared" si="92"/>
        <v>0.55084031433719993</v>
      </c>
      <c r="H578" s="1452">
        <f t="shared" si="92"/>
        <v>0.56830488607253371</v>
      </c>
      <c r="I578" s="1452">
        <f t="shared" si="92"/>
        <v>0.58666032648706201</v>
      </c>
      <c r="J578" s="1452">
        <f t="shared" si="92"/>
        <v>0.60595207883674285</v>
      </c>
      <c r="K578" s="1452">
        <f t="shared" si="92"/>
        <v>0.62622790444029774</v>
      </c>
      <c r="L578" s="1452">
        <f t="shared" si="92"/>
        <v>0.64753800092370883</v>
      </c>
      <c r="M578" s="1452">
        <f t="shared" si="92"/>
        <v>0.66993512649637466</v>
      </c>
      <c r="N578" s="1452">
        <f t="shared" si="92"/>
        <v>0.69347473056659792</v>
      </c>
      <c r="O578" s="1129"/>
      <c r="R578" s="6"/>
      <c r="S578" s="365"/>
      <c r="T578" s="6"/>
      <c r="Z578" s="6"/>
      <c r="AA578" s="6"/>
      <c r="AB578" s="6"/>
      <c r="AC578" s="6"/>
      <c r="AD578" s="6"/>
      <c r="AE578" s="6"/>
      <c r="AF578" s="6"/>
      <c r="AG578" s="6"/>
    </row>
    <row r="579" spans="1:33" ht="15.5">
      <c r="B579" s="458"/>
      <c r="C579" s="1130" t="s">
        <v>252</v>
      </c>
      <c r="D579" s="1451" t="s">
        <v>304</v>
      </c>
      <c r="E579" s="1131" t="s">
        <v>305</v>
      </c>
      <c r="F579" s="1452">
        <f t="shared" ref="F579:N579" si="93">F$465</f>
        <v>4.6763892000000016E-4</v>
      </c>
      <c r="G579" s="1452">
        <f t="shared" si="93"/>
        <v>4.7343710509200004E-4</v>
      </c>
      <c r="H579" s="1452">
        <f t="shared" si="93"/>
        <v>4.8844758284542474E-4</v>
      </c>
      <c r="I579" s="1452">
        <f t="shared" si="93"/>
        <v>5.042237458210766E-4</v>
      </c>
      <c r="J579" s="1452">
        <f t="shared" si="93"/>
        <v>5.2080465166050218E-4</v>
      </c>
      <c r="K579" s="1452">
        <f t="shared" si="93"/>
        <v>5.3823135033750024E-4</v>
      </c>
      <c r="L579" s="1452">
        <f t="shared" si="93"/>
        <v>5.5654698578708965E-4</v>
      </c>
      <c r="M579" s="1452">
        <f t="shared" si="93"/>
        <v>5.7579690271857584E-4</v>
      </c>
      <c r="N579" s="1452">
        <f t="shared" si="93"/>
        <v>5.9602875887715802E-4</v>
      </c>
      <c r="O579" s="1129"/>
      <c r="R579" s="6"/>
      <c r="S579" s="365"/>
      <c r="T579" s="6"/>
      <c r="Z579" s="6"/>
      <c r="AA579" s="6"/>
      <c r="AB579" s="6"/>
      <c r="AC579" s="6"/>
      <c r="AD579" s="6"/>
      <c r="AE579" s="6"/>
      <c r="AF579" s="6"/>
      <c r="AG579" s="6"/>
    </row>
    <row r="580" spans="1:33" ht="15.5">
      <c r="A580" s="6"/>
      <c r="B580" s="458"/>
      <c r="C580" s="1130" t="s">
        <v>253</v>
      </c>
      <c r="D580" s="1451" t="s">
        <v>304</v>
      </c>
      <c r="E580" s="1131" t="s">
        <v>305</v>
      </c>
      <c r="F580" s="1452">
        <f t="shared" ref="F580:N580" si="94">F$466</f>
        <v>1.3806482400000003E-3</v>
      </c>
      <c r="G580" s="1452">
        <f t="shared" si="94"/>
        <v>1.3977666912240001E-3</v>
      </c>
      <c r="H580" s="1452">
        <f t="shared" si="94"/>
        <v>1.4420833398293492E-3</v>
      </c>
      <c r="I580" s="1452">
        <f t="shared" si="94"/>
        <v>1.4886605829003213E-3</v>
      </c>
      <c r="J580" s="1452">
        <f t="shared" si="94"/>
        <v>1.5376137334738636E-3</v>
      </c>
      <c r="K580" s="1452">
        <f t="shared" si="94"/>
        <v>1.589063986710715E-3</v>
      </c>
      <c r="L580" s="1452">
        <f t="shared" si="94"/>
        <v>1.643138719942836E-3</v>
      </c>
      <c r="M580" s="1452">
        <f t="shared" si="94"/>
        <v>1.6999718080262715E-3</v>
      </c>
      <c r="N580" s="1452">
        <f t="shared" si="94"/>
        <v>1.7597039547801807E-3</v>
      </c>
      <c r="O580" s="1129"/>
      <c r="R580" s="6"/>
      <c r="S580" s="365"/>
      <c r="T580" s="6"/>
      <c r="Z580" s="6"/>
      <c r="AA580" s="6"/>
      <c r="AB580" s="6"/>
      <c r="AC580" s="6"/>
      <c r="AD580" s="6"/>
      <c r="AE580" s="6"/>
      <c r="AF580" s="6"/>
      <c r="AG580" s="6"/>
    </row>
    <row r="581" spans="1:33" ht="12" customHeight="1">
      <c r="A581" s="7"/>
      <c r="B581" s="458"/>
      <c r="C581" s="1131" t="s">
        <v>252</v>
      </c>
      <c r="D581" s="2634">
        <v>4</v>
      </c>
      <c r="E581" s="1131" t="s">
        <v>392</v>
      </c>
      <c r="F581" s="461">
        <f>F$469+F$470</f>
        <v>10.905407357203993</v>
      </c>
      <c r="G581" s="461">
        <f t="shared" ref="G581:N581" si="95">G$469+G$470</f>
        <v>10.661155536744642</v>
      </c>
      <c r="H581" s="461">
        <f t="shared" si="95"/>
        <v>10.601730646439316</v>
      </c>
      <c r="I581" s="461">
        <f t="shared" si="95"/>
        <v>10.539979371589064</v>
      </c>
      <c r="J581" s="461">
        <f t="shared" si="95"/>
        <v>10.585032610105074</v>
      </c>
      <c r="K581" s="461">
        <f t="shared" si="95"/>
        <v>10.634382090757413</v>
      </c>
      <c r="L581" s="461">
        <f t="shared" si="95"/>
        <v>10.68825882883333</v>
      </c>
      <c r="M581" s="461">
        <f t="shared" si="95"/>
        <v>10.746907314681932</v>
      </c>
      <c r="N581" s="461">
        <f t="shared" si="95"/>
        <v>10.810586337355634</v>
      </c>
      <c r="O581" s="1129"/>
      <c r="R581" s="6"/>
      <c r="S581" s="365"/>
      <c r="T581" s="6"/>
      <c r="Z581" s="6"/>
      <c r="AA581" s="6"/>
      <c r="AB581" s="6"/>
      <c r="AC581" s="6"/>
      <c r="AD581" s="6"/>
      <c r="AE581" s="6"/>
      <c r="AF581" s="6"/>
      <c r="AG581" s="6"/>
    </row>
    <row r="582" spans="1:33" ht="15.5">
      <c r="B582" s="458"/>
      <c r="C582" s="1131" t="s">
        <v>253</v>
      </c>
      <c r="D582" s="2634">
        <v>4</v>
      </c>
      <c r="E582" s="1131" t="s">
        <v>392</v>
      </c>
      <c r="F582" s="461">
        <f>F$471</f>
        <v>6.11327</v>
      </c>
      <c r="G582" s="461">
        <f t="shared" ref="G582:N582" si="96">G$471</f>
        <v>6.0353501841010155</v>
      </c>
      <c r="H582" s="461">
        <f t="shared" si="96"/>
        <v>5.8448681025440212</v>
      </c>
      <c r="I582" s="461">
        <f t="shared" si="96"/>
        <v>5.6603978384106233</v>
      </c>
      <c r="J582" s="461">
        <f t="shared" si="96"/>
        <v>5.6603978384106233</v>
      </c>
      <c r="K582" s="461">
        <f t="shared" si="96"/>
        <v>5.6603978384106233</v>
      </c>
      <c r="L582" s="461">
        <f t="shared" si="96"/>
        <v>5.6603978384106233</v>
      </c>
      <c r="M582" s="461">
        <f t="shared" si="96"/>
        <v>5.6603978384106233</v>
      </c>
      <c r="N582" s="461">
        <f t="shared" si="96"/>
        <v>5.6603978384106233</v>
      </c>
      <c r="O582" s="1129"/>
      <c r="R582" s="6"/>
      <c r="S582" s="365"/>
      <c r="T582" s="6"/>
      <c r="Z582" s="6"/>
      <c r="AA582" s="6"/>
      <c r="AB582" s="6"/>
      <c r="AC582" s="6"/>
      <c r="AD582" s="6"/>
      <c r="AE582" s="6"/>
      <c r="AF582" s="6"/>
      <c r="AG582" s="6"/>
    </row>
    <row r="583" spans="1:33" ht="15.5">
      <c r="B583" s="458"/>
      <c r="C583" s="1131" t="s">
        <v>250</v>
      </c>
      <c r="D583" s="2634">
        <v>5</v>
      </c>
      <c r="E583" s="1131" t="s">
        <v>401</v>
      </c>
      <c r="F583" s="461">
        <f t="shared" ref="F583:N583" si="97">F480</f>
        <v>3.7122100000000002</v>
      </c>
      <c r="G583" s="461">
        <f t="shared" si="97"/>
        <v>3.6481720684198971</v>
      </c>
      <c r="H583" s="461">
        <f t="shared" si="97"/>
        <v>3.4880772394696558</v>
      </c>
      <c r="I583" s="461">
        <f t="shared" si="97"/>
        <v>3.3279824105194078</v>
      </c>
      <c r="J583" s="461">
        <f t="shared" si="97"/>
        <v>3.1678875815691661</v>
      </c>
      <c r="K583" s="461">
        <f t="shared" si="97"/>
        <v>3.007792752618919</v>
      </c>
      <c r="L583" s="461">
        <f t="shared" si="97"/>
        <v>2.8476979236686719</v>
      </c>
      <c r="M583" s="461">
        <f t="shared" si="97"/>
        <v>2.6876030947184297</v>
      </c>
      <c r="N583" s="461">
        <f t="shared" si="97"/>
        <v>2.527508265768164</v>
      </c>
      <c r="O583" s="1129"/>
      <c r="R583" s="6"/>
      <c r="S583" s="365"/>
      <c r="T583" s="6"/>
      <c r="Z583" s="6"/>
      <c r="AA583" s="6"/>
      <c r="AB583" s="6"/>
      <c r="AC583" s="6"/>
      <c r="AD583" s="6"/>
      <c r="AE583" s="6"/>
      <c r="AF583" s="6"/>
      <c r="AG583" s="6"/>
    </row>
    <row r="584" spans="1:33" ht="15.5">
      <c r="A584" s="434"/>
      <c r="B584" s="458"/>
      <c r="C584" s="2436" t="s">
        <v>58</v>
      </c>
      <c r="D584" s="2651"/>
      <c r="E584" s="2436"/>
      <c r="F584" s="2437">
        <f>SUBTOTAL(109,VI.a.Emissions[2013])</f>
        <v>21.276829816363993</v>
      </c>
      <c r="G584" s="2437">
        <f>SUBTOTAL(109,VI.a.Emissions[2015])</f>
        <v>20.89738930739907</v>
      </c>
      <c r="H584" s="2437">
        <f>SUBTOTAL(109,VI.a.Emissions[2020])</f>
        <v>20.504911405448201</v>
      </c>
      <c r="I584" s="2437">
        <f>SUBTOTAL(109,VI.a.Emissions[2025])</f>
        <v>20.117012831334879</v>
      </c>
      <c r="J584" s="2437">
        <f>SUBTOTAL(109,VI.a.Emissions[2030])</f>
        <v>20.021328527306739</v>
      </c>
      <c r="K584" s="2437">
        <f>SUBTOTAL(109,VI.a.Emissions[2035])</f>
        <v>19.930927881564301</v>
      </c>
      <c r="L584" s="2437">
        <f>SUBTOTAL(109,VI.a.Emissions[2040])</f>
        <v>19.846092277542066</v>
      </c>
      <c r="M584" s="2437">
        <f>SUBTOTAL(109,VI.a.Emissions[2045])</f>
        <v>19.767119143018103</v>
      </c>
      <c r="N584" s="2437">
        <f>SUBTOTAL(109,VI.a.Emissions[2050])</f>
        <v>19.694322904814676</v>
      </c>
      <c r="O584" s="1129"/>
      <c r="R584" s="6"/>
      <c r="S584" s="365"/>
      <c r="T584" s="6"/>
      <c r="Z584" s="6"/>
      <c r="AA584" s="6"/>
      <c r="AB584" s="6"/>
      <c r="AC584" s="6"/>
      <c r="AD584" s="6"/>
      <c r="AE584" s="6"/>
      <c r="AF584" s="6"/>
      <c r="AG584" s="6"/>
    </row>
    <row r="585" spans="1:33" ht="15.5">
      <c r="A585" s="434"/>
      <c r="B585" s="458"/>
      <c r="C585" s="1131"/>
      <c r="D585" s="1372"/>
      <c r="E585" s="1131"/>
      <c r="F585" s="462"/>
      <c r="G585" s="462"/>
      <c r="H585" s="462"/>
      <c r="I585" s="462"/>
      <c r="J585" s="462"/>
      <c r="K585" s="462"/>
      <c r="L585" s="462"/>
      <c r="M585" s="462"/>
      <c r="N585" s="462"/>
      <c r="O585" s="1129"/>
      <c r="R585" s="6"/>
      <c r="S585" s="365"/>
      <c r="T585" s="6"/>
      <c r="Z585" s="6"/>
      <c r="AA585" s="6"/>
      <c r="AB585" s="6"/>
      <c r="AC585" s="6"/>
      <c r="AD585" s="6"/>
      <c r="AE585" s="6"/>
      <c r="AF585" s="6"/>
      <c r="AG585" s="6"/>
    </row>
    <row r="586" spans="1:33" ht="15.5">
      <c r="A586" s="434"/>
      <c r="B586" s="458"/>
      <c r="C586" s="466" t="s">
        <v>830</v>
      </c>
      <c r="D586" s="1372"/>
      <c r="E586" s="1131"/>
      <c r="F586" s="462"/>
      <c r="G586" s="462"/>
      <c r="H586" s="462"/>
      <c r="I586" s="462"/>
      <c r="J586" s="462"/>
      <c r="K586" s="462"/>
      <c r="L586" s="462"/>
      <c r="M586" s="462"/>
      <c r="N586" s="1134" t="s">
        <v>831</v>
      </c>
      <c r="O586" s="1129"/>
      <c r="R586" s="6"/>
      <c r="S586" s="365"/>
      <c r="T586" s="6"/>
      <c r="Z586" s="6"/>
      <c r="AA586" s="6"/>
      <c r="AB586" s="6"/>
      <c r="AC586" s="6"/>
      <c r="AD586" s="6"/>
      <c r="AE586" s="6"/>
      <c r="AF586" s="6"/>
      <c r="AG586" s="6"/>
    </row>
    <row r="587" spans="1:33" ht="15.5">
      <c r="A587" s="434"/>
      <c r="B587" s="458"/>
      <c r="C587" s="1131"/>
      <c r="D587" s="1372"/>
      <c r="E587" s="1131"/>
      <c r="F587" s="462"/>
      <c r="G587" s="462"/>
      <c r="H587" s="462"/>
      <c r="I587" s="462"/>
      <c r="J587" s="462"/>
      <c r="K587" s="462"/>
      <c r="L587" s="462"/>
      <c r="M587" s="462"/>
      <c r="N587" s="462"/>
      <c r="O587" s="1129"/>
      <c r="R587" s="6"/>
      <c r="S587" s="365"/>
      <c r="T587" s="6"/>
      <c r="Z587" s="6"/>
      <c r="AA587" s="6"/>
      <c r="AB587" s="6"/>
      <c r="AC587" s="6"/>
      <c r="AD587" s="6"/>
      <c r="AE587" s="6"/>
      <c r="AF587" s="6"/>
      <c r="AG587" s="6"/>
    </row>
    <row r="588" spans="1:33" ht="21.75" customHeight="1" collapsed="1">
      <c r="A588" s="434"/>
      <c r="B588" s="458"/>
      <c r="C588" s="2635" t="s">
        <v>28</v>
      </c>
      <c r="D588" s="2635" t="s">
        <v>29</v>
      </c>
      <c r="E588" s="2635" t="s">
        <v>30</v>
      </c>
      <c r="F588" s="2635" t="s">
        <v>588</v>
      </c>
      <c r="G588" s="2635" t="s">
        <v>132</v>
      </c>
      <c r="H588" s="2635" t="s">
        <v>133</v>
      </c>
      <c r="I588" s="2635" t="s">
        <v>134</v>
      </c>
      <c r="J588" s="2635" t="s">
        <v>135</v>
      </c>
      <c r="K588" s="2635" t="s">
        <v>136</v>
      </c>
      <c r="L588" s="2635" t="s">
        <v>137</v>
      </c>
      <c r="M588" s="2635" t="s">
        <v>138</v>
      </c>
      <c r="N588" s="2635" t="s">
        <v>139</v>
      </c>
      <c r="O588" s="1129"/>
      <c r="R588" s="6"/>
      <c r="S588" s="365"/>
      <c r="T588" s="6"/>
      <c r="Z588" s="6"/>
      <c r="AA588" s="6"/>
      <c r="AB588" s="6"/>
      <c r="AC588" s="6"/>
      <c r="AD588" s="6"/>
      <c r="AE588" s="6"/>
      <c r="AF588" s="6"/>
      <c r="AG588" s="6"/>
    </row>
    <row r="589" spans="1:33" ht="15.5">
      <c r="A589" s="434"/>
      <c r="B589" s="458"/>
      <c r="C589" s="1331" t="str">
        <f>INDEX(AirQualityVectors[Code],MATCH(D589,AirQualityVectors[Description],0))</f>
        <v>AQ.01</v>
      </c>
      <c r="D589" s="1331" t="s">
        <v>258</v>
      </c>
      <c r="E589" s="1332"/>
      <c r="F589" s="2636">
        <f ca="1">F497+F498</f>
        <v>10.942868251101249</v>
      </c>
      <c r="G589" s="2636">
        <f t="shared" ref="G589:N589" ca="1" si="98">G497+G498</f>
        <v>11.017479693772426</v>
      </c>
      <c r="H589" s="2636">
        <f t="shared" ca="1" si="98"/>
        <v>11.206955312534582</v>
      </c>
      <c r="I589" s="2636">
        <f t="shared" ca="1" si="98"/>
        <v>11.40638856506982</v>
      </c>
      <c r="J589" s="2636">
        <f t="shared" ca="1" si="98"/>
        <v>11.611636307853111</v>
      </c>
      <c r="K589" s="2636">
        <f t="shared" ca="1" si="98"/>
        <v>11.830186036012025</v>
      </c>
      <c r="L589" s="2636">
        <f t="shared" ca="1" si="98"/>
        <v>12.059861599970979</v>
      </c>
      <c r="M589" s="2636">
        <f t="shared" ca="1" si="98"/>
        <v>12.301213439992036</v>
      </c>
      <c r="N589" s="2636">
        <f t="shared" ca="1" si="98"/>
        <v>12.554858662096869</v>
      </c>
      <c r="O589" s="1129"/>
      <c r="R589" s="6"/>
      <c r="S589" s="365"/>
      <c r="T589" s="6"/>
    </row>
    <row r="590" spans="1:33" ht="15.5">
      <c r="A590" s="434"/>
      <c r="B590" s="458"/>
      <c r="C590" s="1135" t="str">
        <f>INDEX(AirQualityVectors[Code],MATCH(D590,AirQualityVectors[Description],0))</f>
        <v>AQ.02</v>
      </c>
      <c r="D590" s="1135" t="s">
        <v>260</v>
      </c>
      <c r="E590" s="1139"/>
      <c r="F590" s="2637">
        <f t="shared" ref="F590:N592" ca="1" si="99">F499</f>
        <v>1.3040952440069464</v>
      </c>
      <c r="G590" s="2637">
        <f t="shared" ca="1" si="99"/>
        <v>1.3180805761850796</v>
      </c>
      <c r="H590" s="2637">
        <f t="shared" ca="1" si="99"/>
        <v>1.3600310196018239</v>
      </c>
      <c r="I590" s="2637">
        <f t="shared" ca="1" si="99"/>
        <v>1.403664803931111</v>
      </c>
      <c r="J590" s="2637">
        <f t="shared" ca="1" si="99"/>
        <v>1.4563281847213556</v>
      </c>
      <c r="K590" s="2637">
        <f t="shared" ca="1" si="99"/>
        <v>1.5072566969433681</v>
      </c>
      <c r="L590" s="2637">
        <f t="shared" ca="1" si="99"/>
        <v>1.5608180367332989</v>
      </c>
      <c r="M590" s="2637">
        <f t="shared" ca="1" si="99"/>
        <v>1.6171731811421388</v>
      </c>
      <c r="N590" s="2637">
        <f t="shared" ca="1" si="99"/>
        <v>1.6764310827560818</v>
      </c>
      <c r="O590" s="1129"/>
      <c r="R590" s="6"/>
      <c r="S590" s="365"/>
      <c r="T590" s="6"/>
    </row>
    <row r="591" spans="1:33" ht="16.5" customHeight="1">
      <c r="A591" s="434"/>
      <c r="B591" s="458"/>
      <c r="C591" s="1135" t="str">
        <f>INDEX(AirQualityVectors[Code],MATCH(D591,AirQualityVectors[Description],0))</f>
        <v>AQ.03</v>
      </c>
      <c r="D591" s="1135" t="s">
        <v>262</v>
      </c>
      <c r="E591" s="1139"/>
      <c r="F591" s="2637">
        <f t="shared" ca="1" si="99"/>
        <v>2.510653477067303</v>
      </c>
      <c r="G591" s="2637">
        <f t="shared" ca="1" si="99"/>
        <v>2.5363745172499197</v>
      </c>
      <c r="H591" s="2637">
        <f t="shared" ca="1" si="99"/>
        <v>2.9993540114139199</v>
      </c>
      <c r="I591" s="2637">
        <f t="shared" ca="1" si="99"/>
        <v>3.0953965625717568</v>
      </c>
      <c r="J591" s="2637">
        <f t="shared" ca="1" si="99"/>
        <v>3.2156470283739043</v>
      </c>
      <c r="K591" s="2637">
        <f t="shared" ca="1" si="99"/>
        <v>3.3294843526507369</v>
      </c>
      <c r="L591" s="2637">
        <f t="shared" ca="1" si="99"/>
        <v>3.4492277429944571</v>
      </c>
      <c r="M591" s="2637">
        <f t="shared" ca="1" si="99"/>
        <v>3.575254173734161</v>
      </c>
      <c r="N591" s="2637">
        <f t="shared" ca="1" si="99"/>
        <v>3.707788903623698</v>
      </c>
      <c r="O591" s="1129"/>
      <c r="R591" s="6"/>
      <c r="S591" s="365"/>
      <c r="T591" s="6"/>
    </row>
    <row r="592" spans="1:33" ht="15.5">
      <c r="A592" s="434"/>
      <c r="B592" s="458"/>
      <c r="C592" s="1335" t="str">
        <f>INDEX(AirQualityVectors[Code],MATCH(D592,AirQualityVectors[Description],0))</f>
        <v>AQ.04</v>
      </c>
      <c r="D592" s="1335" t="s">
        <v>264</v>
      </c>
      <c r="E592" s="1336"/>
      <c r="F592" s="2652">
        <f t="shared" ca="1" si="99"/>
        <v>2.596373917447805E-2</v>
      </c>
      <c r="G592" s="2652">
        <f t="shared" ca="1" si="99"/>
        <v>2.6671453264414183E-2</v>
      </c>
      <c r="H592" s="2652">
        <f t="shared" ca="1" si="99"/>
        <v>2.7488768940974108E-2</v>
      </c>
      <c r="I592" s="2652">
        <f t="shared" ca="1" si="99"/>
        <v>2.8428425826282092E-2</v>
      </c>
      <c r="J592" s="2652">
        <f t="shared" ca="1" si="99"/>
        <v>2.8214120891281322E-2</v>
      </c>
      <c r="K592" s="2652">
        <f t="shared" ca="1" si="99"/>
        <v>2.8769892187406835E-2</v>
      </c>
      <c r="L592" s="2652">
        <f t="shared" ca="1" si="99"/>
        <v>2.9347837456037595E-2</v>
      </c>
      <c r="M592" s="2652">
        <f t="shared" ca="1" si="99"/>
        <v>2.9944375423653535E-2</v>
      </c>
      <c r="N592" s="2652">
        <f t="shared" ca="1" si="99"/>
        <v>3.0566382777140317E-2</v>
      </c>
      <c r="O592" s="1129"/>
      <c r="R592" s="6"/>
      <c r="S592" s="365"/>
      <c r="T592" s="6"/>
    </row>
    <row r="593" spans="1:20" ht="15.5">
      <c r="A593" s="434" t="s">
        <v>5</v>
      </c>
      <c r="B593" s="458"/>
      <c r="C593" s="1131"/>
      <c r="D593" s="1372"/>
      <c r="E593" s="1131"/>
      <c r="F593" s="462"/>
      <c r="G593" s="462"/>
      <c r="H593" s="462"/>
      <c r="I593" s="462"/>
      <c r="J593" s="462"/>
      <c r="K593" s="462"/>
      <c r="L593" s="462"/>
      <c r="M593" s="462"/>
      <c r="N593" s="462"/>
      <c r="O593" s="1129"/>
      <c r="R593" s="6"/>
      <c r="S593" s="365"/>
      <c r="T593" s="6"/>
    </row>
    <row r="594" spans="1:20" ht="5.25" customHeight="1">
      <c r="A594" s="434"/>
      <c r="R594" s="6"/>
      <c r="S594" s="365"/>
      <c r="T594" s="6"/>
    </row>
    <row r="595" spans="1:20" ht="15.5">
      <c r="A595" s="434"/>
      <c r="B595" s="986" t="s">
        <v>310</v>
      </c>
      <c r="C595" s="987"/>
      <c r="D595" s="988"/>
      <c r="E595" s="988"/>
      <c r="F595" s="988"/>
      <c r="G595" s="988"/>
      <c r="H595" s="988"/>
      <c r="I595" s="988"/>
      <c r="J595" s="988"/>
      <c r="K595" s="988"/>
      <c r="L595" s="988"/>
      <c r="M595" s="988"/>
      <c r="N595" s="988"/>
      <c r="O595" s="989"/>
      <c r="R595" s="6"/>
      <c r="S595" s="365"/>
      <c r="T595" s="6"/>
    </row>
    <row r="596" spans="1:20" ht="6" customHeight="1">
      <c r="A596" s="434"/>
      <c r="B596" s="990"/>
      <c r="C596" s="991"/>
      <c r="D596" s="991"/>
      <c r="E596" s="991"/>
      <c r="F596" s="991"/>
      <c r="G596" s="991"/>
      <c r="H596" s="991"/>
      <c r="I596" s="991"/>
      <c r="J596" s="991"/>
      <c r="K596" s="991"/>
      <c r="L596" s="991"/>
      <c r="M596" s="991"/>
      <c r="N596" s="991"/>
      <c r="O596" s="992"/>
      <c r="R596" s="6"/>
      <c r="S596" s="365"/>
      <c r="T596" s="6"/>
    </row>
    <row r="597" spans="1:20" ht="15.5">
      <c r="A597" s="434"/>
      <c r="B597" s="993"/>
      <c r="C597" s="479" t="s">
        <v>2042</v>
      </c>
      <c r="D597" s="994"/>
      <c r="E597" s="995"/>
      <c r="F597" s="994"/>
      <c r="G597" s="994"/>
      <c r="H597" s="994"/>
      <c r="I597" s="994"/>
      <c r="J597" s="994"/>
      <c r="K597" s="994"/>
      <c r="L597" s="994"/>
      <c r="M597" s="994"/>
      <c r="N597" s="995"/>
      <c r="O597" s="996"/>
      <c r="R597" s="6"/>
      <c r="S597" s="365"/>
      <c r="T597" s="6"/>
    </row>
    <row r="598" spans="1:20">
      <c r="B598" s="993"/>
      <c r="C598" s="994"/>
      <c r="D598" s="994"/>
      <c r="E598" s="994"/>
      <c r="F598" s="994"/>
      <c r="G598" s="994"/>
      <c r="H598" s="994"/>
      <c r="I598" s="994"/>
      <c r="J598" s="994"/>
      <c r="K598" s="994"/>
      <c r="L598" s="994"/>
      <c r="M598" s="994"/>
      <c r="N598" s="994"/>
      <c r="O598" s="996"/>
      <c r="R598" s="6"/>
      <c r="S598" s="365"/>
      <c r="T598" s="6"/>
    </row>
    <row r="599" spans="1:20" ht="23.5">
      <c r="A599" s="7"/>
      <c r="B599" s="483"/>
      <c r="C599" s="997" t="s">
        <v>28</v>
      </c>
      <c r="D599" s="997" t="s">
        <v>312</v>
      </c>
      <c r="E599" s="997" t="s">
        <v>30</v>
      </c>
      <c r="F599" s="997" t="s">
        <v>588</v>
      </c>
      <c r="G599" s="997" t="s">
        <v>132</v>
      </c>
      <c r="H599" s="997" t="s">
        <v>133</v>
      </c>
      <c r="I599" s="997" t="s">
        <v>134</v>
      </c>
      <c r="J599" s="997" t="s">
        <v>135</v>
      </c>
      <c r="K599" s="997" t="s">
        <v>136</v>
      </c>
      <c r="L599" s="997" t="s">
        <v>137</v>
      </c>
      <c r="M599" s="997" t="s">
        <v>138</v>
      </c>
      <c r="N599" s="997" t="s">
        <v>139</v>
      </c>
      <c r="O599" s="996"/>
      <c r="R599" s="6"/>
      <c r="S599" s="365"/>
      <c r="T599" s="6"/>
    </row>
    <row r="600" spans="1:20" ht="15.5">
      <c r="B600" s="483"/>
      <c r="C600" s="998" t="s">
        <v>868</v>
      </c>
      <c r="D600" s="998" t="s">
        <v>2043</v>
      </c>
      <c r="E600" s="485" t="str">
        <f>Preferences.AreaUnits</f>
        <v>km^2</v>
      </c>
      <c r="F600" s="1184">
        <f t="shared" ref="F600:N600" si="100">F312+F313+F314</f>
        <v>156</v>
      </c>
      <c r="G600" s="1184">
        <f t="shared" si="100"/>
        <v>156</v>
      </c>
      <c r="H600" s="1184">
        <f t="shared" si="100"/>
        <v>156</v>
      </c>
      <c r="I600" s="1184">
        <f t="shared" si="100"/>
        <v>156</v>
      </c>
      <c r="J600" s="1184">
        <f t="shared" si="100"/>
        <v>156</v>
      </c>
      <c r="K600" s="1184">
        <f t="shared" si="100"/>
        <v>156</v>
      </c>
      <c r="L600" s="1184">
        <f t="shared" si="100"/>
        <v>156</v>
      </c>
      <c r="M600" s="1184">
        <f t="shared" si="100"/>
        <v>156</v>
      </c>
      <c r="N600" s="1184">
        <f t="shared" si="100"/>
        <v>156</v>
      </c>
      <c r="O600" s="996"/>
      <c r="R600" s="6"/>
      <c r="S600" s="365"/>
      <c r="T600" s="6"/>
    </row>
    <row r="601" spans="1:20" ht="15.5">
      <c r="B601" s="483"/>
      <c r="C601" s="994"/>
      <c r="D601" s="994"/>
      <c r="E601" s="994"/>
      <c r="F601" s="994"/>
      <c r="G601" s="994"/>
      <c r="H601" s="994"/>
      <c r="I601" s="994"/>
      <c r="J601" s="994"/>
      <c r="K601" s="994"/>
      <c r="L601" s="994"/>
      <c r="M601" s="994"/>
      <c r="N601" s="994"/>
      <c r="O601" s="996"/>
      <c r="R601" s="6"/>
      <c r="T601" s="6"/>
    </row>
    <row r="602" spans="1:20">
      <c r="B602" s="993"/>
      <c r="C602" s="479" t="s">
        <v>2044</v>
      </c>
      <c r="D602" s="994"/>
      <c r="E602" s="995"/>
      <c r="F602" s="994"/>
      <c r="G602" s="994"/>
      <c r="H602" s="994"/>
      <c r="I602" s="994"/>
      <c r="J602" s="994"/>
      <c r="K602" s="994"/>
      <c r="L602" s="994"/>
      <c r="M602" s="994"/>
      <c r="N602" s="995"/>
      <c r="O602" s="996"/>
    </row>
    <row r="603" spans="1:20">
      <c r="B603" s="993"/>
      <c r="C603" s="994"/>
      <c r="D603" s="994"/>
      <c r="E603" s="994"/>
      <c r="F603" s="994"/>
      <c r="G603" s="994"/>
      <c r="H603" s="994"/>
      <c r="I603" s="994"/>
      <c r="J603" s="994"/>
      <c r="K603" s="994"/>
      <c r="L603" s="994"/>
      <c r="M603" s="994"/>
      <c r="N603" s="994"/>
      <c r="O603" s="996"/>
    </row>
    <row r="604" spans="1:20" ht="15.5">
      <c r="B604" s="483"/>
      <c r="C604" s="997" t="s">
        <v>28</v>
      </c>
      <c r="D604" s="997" t="s">
        <v>312</v>
      </c>
      <c r="E604" s="997" t="s">
        <v>30</v>
      </c>
      <c r="F604" s="997" t="s">
        <v>588</v>
      </c>
      <c r="G604" s="997" t="s">
        <v>132</v>
      </c>
      <c r="H604" s="997" t="s">
        <v>133</v>
      </c>
      <c r="I604" s="997" t="s">
        <v>134</v>
      </c>
      <c r="J604" s="997" t="s">
        <v>135</v>
      </c>
      <c r="K604" s="997" t="s">
        <v>136</v>
      </c>
      <c r="L604" s="997" t="s">
        <v>137</v>
      </c>
      <c r="M604" s="997" t="s">
        <v>138</v>
      </c>
      <c r="N604" s="997" t="s">
        <v>139</v>
      </c>
      <c r="O604" s="996"/>
    </row>
    <row r="605" spans="1:20" ht="15.5">
      <c r="B605" s="483"/>
      <c r="C605" s="998" t="s">
        <v>868</v>
      </c>
      <c r="D605" s="998" t="s">
        <v>2045</v>
      </c>
      <c r="E605" s="485" t="str">
        <f>Preferences.AreaUnits</f>
        <v>km^2</v>
      </c>
      <c r="F605" s="1184">
        <f t="shared" ref="F605:N605" si="101">F317</f>
        <v>7566</v>
      </c>
      <c r="G605" s="1184">
        <f t="shared" si="101"/>
        <v>7652.4864864864903</v>
      </c>
      <c r="H605" s="1184">
        <f t="shared" si="101"/>
        <v>7868.7027027026998</v>
      </c>
      <c r="I605" s="1184">
        <f t="shared" si="101"/>
        <v>8084.9189189189201</v>
      </c>
      <c r="J605" s="1184">
        <f t="shared" si="101"/>
        <v>8301.1351351351295</v>
      </c>
      <c r="K605" s="1184">
        <f t="shared" si="101"/>
        <v>8517.3513513513499</v>
      </c>
      <c r="L605" s="1184">
        <f t="shared" si="101"/>
        <v>8733.5675675675702</v>
      </c>
      <c r="M605" s="1184">
        <f t="shared" si="101"/>
        <v>8949.7837837837797</v>
      </c>
      <c r="N605" s="1184">
        <f t="shared" si="101"/>
        <v>9166</v>
      </c>
      <c r="O605" s="996"/>
      <c r="T605" s="6"/>
    </row>
    <row r="606" spans="1:20" ht="15.5">
      <c r="B606" s="488"/>
      <c r="C606" s="1001"/>
      <c r="D606" s="1001"/>
      <c r="E606" s="1001"/>
      <c r="F606" s="1001"/>
      <c r="G606" s="1001"/>
      <c r="H606" s="1001"/>
      <c r="I606" s="1001"/>
      <c r="J606" s="1001"/>
      <c r="K606" s="1001"/>
      <c r="L606" s="1001"/>
      <c r="M606" s="1001"/>
      <c r="N606" s="1001"/>
      <c r="O606" s="1002"/>
      <c r="T606" s="6"/>
    </row>
    <row r="608" spans="1:20" ht="15">
      <c r="B608" s="986" t="s">
        <v>2720</v>
      </c>
      <c r="C608" s="988"/>
      <c r="D608" s="988"/>
      <c r="E608" s="988"/>
      <c r="F608" s="988"/>
      <c r="G608" s="988"/>
      <c r="H608" s="988"/>
      <c r="I608" s="988"/>
      <c r="J608" s="988"/>
      <c r="K608" s="988"/>
      <c r="L608" s="988"/>
      <c r="M608" s="988"/>
      <c r="N608" s="988"/>
      <c r="O608" s="989"/>
    </row>
    <row r="609" spans="2:15" hidden="1">
      <c r="B609" s="993"/>
      <c r="C609" s="994"/>
      <c r="D609" s="994"/>
      <c r="E609" s="994"/>
      <c r="F609" s="994"/>
      <c r="G609" s="994"/>
      <c r="H609" s="994"/>
      <c r="I609" s="994"/>
      <c r="J609" s="994"/>
      <c r="K609" s="994"/>
      <c r="L609" s="994"/>
      <c r="M609" s="994"/>
      <c r="N609" s="994"/>
      <c r="O609" s="996"/>
    </row>
    <row r="610" spans="2:15" hidden="1">
      <c r="B610" s="993"/>
      <c r="C610" s="491" t="s">
        <v>2046</v>
      </c>
      <c r="D610" s="1003"/>
      <c r="E610" s="1003"/>
      <c r="F610" s="1003"/>
      <c r="G610" s="1003"/>
      <c r="H610" s="1003"/>
      <c r="I610" s="1003"/>
      <c r="J610" s="1003"/>
      <c r="K610" s="1003"/>
      <c r="L610" s="1003"/>
      <c r="M610" s="1003"/>
      <c r="N610" s="1004" t="s">
        <v>2736</v>
      </c>
      <c r="O610" s="996"/>
    </row>
    <row r="611" spans="2:15" hidden="1">
      <c r="B611" s="993"/>
      <c r="C611" s="994"/>
      <c r="D611" s="994"/>
      <c r="E611" s="994"/>
      <c r="F611" s="994"/>
      <c r="G611" s="994"/>
      <c r="H611" s="994"/>
      <c r="I611" s="994"/>
      <c r="J611" s="994"/>
      <c r="K611" s="994"/>
      <c r="L611" s="994"/>
      <c r="M611" s="994"/>
      <c r="N611" s="994"/>
      <c r="O611" s="996"/>
    </row>
    <row r="612" spans="2:15" ht="15.5" hidden="1">
      <c r="B612" s="483"/>
      <c r="C612" s="997" t="s">
        <v>28</v>
      </c>
      <c r="D612" s="997" t="s">
        <v>29</v>
      </c>
      <c r="E612" s="997" t="s">
        <v>30</v>
      </c>
      <c r="F612" s="997">
        <v>2013</v>
      </c>
      <c r="G612" s="997" t="s">
        <v>132</v>
      </c>
      <c r="H612" s="997" t="s">
        <v>133</v>
      </c>
      <c r="I612" s="997" t="s">
        <v>134</v>
      </c>
      <c r="J612" s="997" t="s">
        <v>135</v>
      </c>
      <c r="K612" s="997" t="s">
        <v>136</v>
      </c>
      <c r="L612" s="997" t="s">
        <v>137</v>
      </c>
      <c r="M612" s="997" t="s">
        <v>138</v>
      </c>
      <c r="N612" s="997" t="s">
        <v>139</v>
      </c>
      <c r="O612" s="1141"/>
    </row>
    <row r="613" spans="2:15" ht="15.5" hidden="1">
      <c r="B613" s="483"/>
      <c r="C613" s="1231" t="s">
        <v>332</v>
      </c>
      <c r="D613" s="485" t="s">
        <v>333</v>
      </c>
      <c r="E613" s="485"/>
      <c r="F613" s="497"/>
      <c r="G613" s="497"/>
      <c r="H613" s="497"/>
      <c r="I613" s="497"/>
      <c r="J613" s="497"/>
      <c r="K613" s="497"/>
      <c r="L613" s="497"/>
      <c r="M613" s="497"/>
      <c r="N613" s="497"/>
      <c r="O613" s="1141"/>
    </row>
    <row r="614" spans="2:15" ht="15.5" hidden="1">
      <c r="B614" s="483"/>
      <c r="C614" s="1231" t="s">
        <v>330</v>
      </c>
      <c r="D614" s="485" t="s">
        <v>331</v>
      </c>
      <c r="E614" s="495"/>
      <c r="F614" s="497"/>
      <c r="G614" s="497"/>
      <c r="H614" s="497"/>
      <c r="I614" s="497"/>
      <c r="J614" s="497"/>
      <c r="K614" s="497"/>
      <c r="L614" s="497"/>
      <c r="M614" s="497"/>
      <c r="N614" s="497"/>
      <c r="O614" s="1141"/>
    </row>
    <row r="615" spans="2:15" ht="15.5" hidden="1">
      <c r="B615" s="483"/>
      <c r="C615" s="998" t="s">
        <v>328</v>
      </c>
      <c r="D615" s="495" t="s">
        <v>329</v>
      </c>
      <c r="E615" s="2638"/>
      <c r="F615" s="497"/>
      <c r="G615" s="497"/>
      <c r="H615" s="497"/>
      <c r="I615" s="497"/>
      <c r="J615" s="497"/>
      <c r="K615" s="497"/>
      <c r="L615" s="497"/>
      <c r="M615" s="497"/>
      <c r="N615" s="497"/>
      <c r="O615" s="1141"/>
    </row>
    <row r="616" spans="2:15" ht="15.5" hidden="1">
      <c r="B616" s="483"/>
      <c r="C616" s="994"/>
      <c r="D616" s="994"/>
      <c r="E616" s="994"/>
      <c r="F616" s="994"/>
      <c r="G616" s="994"/>
      <c r="H616" s="994"/>
      <c r="I616" s="994"/>
      <c r="J616" s="994"/>
      <c r="K616" s="994"/>
      <c r="L616" s="994"/>
      <c r="M616" s="994"/>
      <c r="N616" s="994"/>
      <c r="O616" s="1141"/>
    </row>
    <row r="617" spans="2:15" ht="15.5" hidden="1">
      <c r="B617" s="483"/>
      <c r="C617" s="479" t="s">
        <v>2047</v>
      </c>
      <c r="D617" s="994"/>
      <c r="E617" s="994"/>
      <c r="F617" s="994"/>
      <c r="G617" s="994"/>
      <c r="H617" s="994"/>
      <c r="I617" s="994"/>
      <c r="J617" s="994"/>
      <c r="K617" s="994"/>
      <c r="L617" s="994"/>
      <c r="M617" s="994"/>
      <c r="N617" s="1004" t="s">
        <v>2736</v>
      </c>
      <c r="O617" s="1141"/>
    </row>
    <row r="618" spans="2:15" ht="15.5" hidden="1">
      <c r="B618" s="483"/>
      <c r="C618" s="994"/>
      <c r="D618" s="994"/>
      <c r="E618" s="994"/>
      <c r="F618" s="994"/>
      <c r="G618" s="994"/>
      <c r="H618" s="994"/>
      <c r="I618" s="994"/>
      <c r="J618" s="994"/>
      <c r="K618" s="994"/>
      <c r="L618" s="994"/>
      <c r="M618" s="994"/>
      <c r="N618" s="994"/>
      <c r="O618" s="1141"/>
    </row>
    <row r="619" spans="2:15" ht="15.5" hidden="1">
      <c r="B619" s="483"/>
      <c r="C619" s="997" t="s">
        <v>28</v>
      </c>
      <c r="D619" s="997" t="s">
        <v>29</v>
      </c>
      <c r="E619" s="997" t="s">
        <v>30</v>
      </c>
      <c r="F619" s="997">
        <v>2013</v>
      </c>
      <c r="G619" s="997" t="s">
        <v>132</v>
      </c>
      <c r="H619" s="997" t="s">
        <v>133</v>
      </c>
      <c r="I619" s="997" t="s">
        <v>134</v>
      </c>
      <c r="J619" s="997" t="s">
        <v>135</v>
      </c>
      <c r="K619" s="997" t="s">
        <v>136</v>
      </c>
      <c r="L619" s="997" t="s">
        <v>137</v>
      </c>
      <c r="M619" s="997" t="s">
        <v>138</v>
      </c>
      <c r="N619" s="997" t="s">
        <v>139</v>
      </c>
      <c r="O619" s="1141"/>
    </row>
    <row r="620" spans="2:15" ht="15.5" hidden="1">
      <c r="B620" s="483"/>
      <c r="C620" s="998" t="s">
        <v>756</v>
      </c>
      <c r="D620" s="485" t="s">
        <v>757</v>
      </c>
      <c r="E620" s="2638"/>
      <c r="F620" s="497"/>
      <c r="G620" s="497"/>
      <c r="H620" s="497"/>
      <c r="I620" s="497"/>
      <c r="J620" s="497"/>
      <c r="K620" s="497"/>
      <c r="L620" s="497"/>
      <c r="M620" s="497"/>
      <c r="N620" s="497"/>
      <c r="O620" s="1141"/>
    </row>
    <row r="621" spans="2:15" ht="15.5" hidden="1">
      <c r="B621" s="483"/>
      <c r="C621" s="998" t="s">
        <v>754</v>
      </c>
      <c r="D621" s="495" t="s">
        <v>755</v>
      </c>
      <c r="E621" s="2638"/>
      <c r="F621" s="497"/>
      <c r="G621" s="497"/>
      <c r="H621" s="497"/>
      <c r="I621" s="497"/>
      <c r="J621" s="497"/>
      <c r="K621" s="497"/>
      <c r="L621" s="497"/>
      <c r="M621" s="497"/>
      <c r="N621" s="497"/>
      <c r="O621" s="1141"/>
    </row>
    <row r="622" spans="2:15" hidden="1">
      <c r="B622" s="494"/>
      <c r="C622" s="998" t="s">
        <v>752</v>
      </c>
      <c r="D622" s="485" t="s">
        <v>753</v>
      </c>
      <c r="E622" s="2638"/>
      <c r="F622" s="497"/>
      <c r="G622" s="497"/>
      <c r="H622" s="497"/>
      <c r="I622" s="497"/>
      <c r="J622" s="497"/>
      <c r="K622" s="497"/>
      <c r="L622" s="497"/>
      <c r="M622" s="497"/>
      <c r="N622" s="497"/>
      <c r="O622" s="1142"/>
    </row>
    <row r="623" spans="2:15" hidden="1">
      <c r="B623" s="494"/>
      <c r="C623" s="2499"/>
      <c r="D623" s="2499"/>
      <c r="E623" s="2499"/>
      <c r="F623" s="2499"/>
      <c r="G623" s="2499"/>
      <c r="H623" s="2499"/>
      <c r="I623" s="2499"/>
      <c r="J623" s="2499"/>
      <c r="K623" s="2499"/>
      <c r="L623" s="2499"/>
      <c r="M623" s="2499"/>
      <c r="N623" s="2499"/>
      <c r="O623" s="2499"/>
    </row>
  </sheetData>
  <mergeCells count="3">
    <mergeCell ref="AC275:AD275"/>
    <mergeCell ref="AC276:AD276"/>
    <mergeCell ref="AC277:AD277"/>
  </mergeCells>
  <hyperlinks>
    <hyperlink ref="D301"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9"/>
  </sheetPr>
  <dimension ref="A1:AJ602"/>
  <sheetViews>
    <sheetView showGridLines="0" topLeftCell="E541" zoomScale="80" zoomScaleNormal="80" workbookViewId="0">
      <selection activeCell="E152" sqref="E152"/>
    </sheetView>
  </sheetViews>
  <sheetFormatPr defaultColWidth="8.81640625" defaultRowHeight="14.5"/>
  <cols>
    <col min="1" max="1" width="7.7265625" style="2776" customWidth="1"/>
    <col min="2" max="2" width="5.81640625" style="2776" customWidth="1"/>
    <col min="3" max="3" width="20.453125" style="2776" customWidth="1"/>
    <col min="4" max="4" width="30.7265625" style="2776" customWidth="1"/>
    <col min="5" max="5" width="24" style="2776" customWidth="1"/>
    <col min="6" max="15" width="17.7265625" style="2776" customWidth="1"/>
    <col min="16" max="16" width="9.7265625" style="2776" customWidth="1"/>
    <col min="17" max="17" width="10.81640625" style="2776" customWidth="1"/>
    <col min="18" max="18" width="8.81640625" style="2776"/>
    <col min="19" max="19" width="44.7265625" style="2776" customWidth="1"/>
    <col min="20" max="20" width="24.453125" style="2776" customWidth="1"/>
    <col min="21" max="16384" width="8.81640625" style="2776"/>
  </cols>
  <sheetData>
    <row r="1" spans="1:19" ht="20">
      <c r="A1" s="854" t="s">
        <v>503</v>
      </c>
      <c r="B1" s="854" t="s">
        <v>504</v>
      </c>
      <c r="C1" s="854"/>
      <c r="F1"/>
      <c r="G1"/>
      <c r="H1"/>
    </row>
    <row r="2" spans="1:19" s="6" customFormat="1" ht="15">
      <c r="A2" s="855" t="s">
        <v>499</v>
      </c>
      <c r="B2" s="855" t="s">
        <v>500</v>
      </c>
      <c r="C2" s="855"/>
      <c r="E2" s="5" t="s">
        <v>5</v>
      </c>
    </row>
    <row r="4" spans="1:19" ht="23.5">
      <c r="A4" s="7"/>
      <c r="B4" s="502" t="s">
        <v>352</v>
      </c>
      <c r="C4" s="856"/>
      <c r="D4" s="503"/>
      <c r="E4" s="504"/>
      <c r="F4" s="503"/>
      <c r="G4" s="503"/>
      <c r="H4" s="503"/>
      <c r="I4" s="503"/>
      <c r="J4" s="503"/>
      <c r="K4" s="503"/>
      <c r="L4" s="503"/>
      <c r="M4" s="503"/>
      <c r="N4" s="503"/>
      <c r="O4" s="857"/>
    </row>
    <row r="5" spans="1:19">
      <c r="B5" s="505"/>
      <c r="C5" s="12"/>
      <c r="D5" s="506"/>
      <c r="E5" s="507"/>
      <c r="F5" s="506"/>
      <c r="G5" s="506"/>
      <c r="H5" s="506"/>
      <c r="I5" s="506"/>
      <c r="J5" s="506"/>
      <c r="K5" s="506"/>
      <c r="L5" s="506"/>
      <c r="M5" s="506"/>
      <c r="N5" s="506"/>
      <c r="O5" s="858"/>
    </row>
    <row r="6" spans="1:19" ht="15.5">
      <c r="B6" s="15"/>
      <c r="C6" s="506"/>
      <c r="D6" s="16" t="s">
        <v>7</v>
      </c>
      <c r="E6" s="2780" t="s">
        <v>8</v>
      </c>
      <c r="F6" s="506"/>
      <c r="G6" s="506"/>
      <c r="H6" s="506"/>
      <c r="I6" s="506"/>
      <c r="J6" s="506"/>
      <c r="K6" s="506"/>
      <c r="L6" s="506"/>
      <c r="M6" s="506"/>
      <c r="N6" s="506"/>
      <c r="O6" s="858"/>
    </row>
    <row r="7" spans="1:19" ht="15.5">
      <c r="B7" s="15"/>
      <c r="C7" s="506"/>
      <c r="D7" s="859" t="s">
        <v>2049</v>
      </c>
      <c r="E7" s="859">
        <f>VI.b.Scenario</f>
        <v>1</v>
      </c>
      <c r="F7" s="506"/>
      <c r="G7" s="506"/>
      <c r="H7" s="506"/>
      <c r="I7" s="506"/>
      <c r="J7" s="506"/>
      <c r="K7" s="506"/>
      <c r="L7" s="506"/>
      <c r="M7" s="506"/>
      <c r="N7" s="506"/>
      <c r="O7" s="858"/>
    </row>
    <row r="8" spans="1:19" ht="15.5">
      <c r="B8" s="441"/>
      <c r="C8" s="443"/>
      <c r="D8" s="443"/>
      <c r="E8" s="443"/>
      <c r="F8" s="860"/>
      <c r="G8" s="860"/>
      <c r="H8" s="860"/>
      <c r="I8" s="860"/>
      <c r="J8" s="860"/>
      <c r="K8" s="860"/>
      <c r="L8" s="860"/>
      <c r="M8" s="860"/>
      <c r="N8" s="860"/>
      <c r="O8" s="861"/>
    </row>
    <row r="10" spans="1:19" ht="23.5">
      <c r="A10" s="7"/>
      <c r="B10" s="869" t="s">
        <v>33</v>
      </c>
      <c r="C10" s="870"/>
      <c r="D10" s="870"/>
      <c r="E10" s="870"/>
      <c r="F10" s="870"/>
      <c r="G10" s="870"/>
      <c r="H10" s="870"/>
      <c r="I10" s="870"/>
      <c r="J10" s="870"/>
      <c r="K10" s="870"/>
      <c r="L10" s="870"/>
      <c r="M10" s="870"/>
      <c r="N10" s="870"/>
      <c r="O10" s="871"/>
    </row>
    <row r="11" spans="1:19">
      <c r="B11" s="872"/>
      <c r="C11" s="873"/>
      <c r="D11" s="873"/>
      <c r="E11" s="873"/>
      <c r="F11" s="873"/>
      <c r="G11" s="873"/>
      <c r="H11" s="873"/>
      <c r="I11" s="873"/>
      <c r="J11" s="873"/>
      <c r="K11" s="873"/>
      <c r="L11" s="873"/>
      <c r="M11" s="873"/>
      <c r="N11" s="873"/>
      <c r="O11" s="874"/>
    </row>
    <row r="12" spans="1:19">
      <c r="B12" s="875"/>
      <c r="C12" s="49" t="s">
        <v>2907</v>
      </c>
      <c r="D12" s="67"/>
      <c r="E12" s="51"/>
      <c r="F12" s="51"/>
      <c r="G12" s="67"/>
      <c r="H12" s="67"/>
      <c r="I12" s="67"/>
      <c r="J12" s="67"/>
      <c r="K12" s="67"/>
      <c r="L12" s="67"/>
      <c r="M12" s="67"/>
      <c r="N12" s="51" t="s">
        <v>2104</v>
      </c>
      <c r="O12" s="876"/>
    </row>
    <row r="13" spans="1:19">
      <c r="B13" s="875"/>
      <c r="C13" s="67"/>
      <c r="D13" s="67"/>
      <c r="E13" s="67"/>
      <c r="F13" s="67"/>
      <c r="G13" s="67"/>
      <c r="H13" s="67"/>
      <c r="I13" s="67"/>
      <c r="J13" s="67"/>
      <c r="K13" s="67"/>
      <c r="L13" s="67"/>
      <c r="M13" s="67"/>
      <c r="N13" s="67"/>
      <c r="O13" s="876"/>
      <c r="R13" s="2776" t="s">
        <v>2105</v>
      </c>
    </row>
    <row r="14" spans="1:19" ht="15.5">
      <c r="B14" s="877"/>
      <c r="C14" s="878" t="s">
        <v>8</v>
      </c>
      <c r="D14" s="878" t="s">
        <v>71</v>
      </c>
      <c r="E14" s="878"/>
      <c r="F14" s="899">
        <v>2013</v>
      </c>
      <c r="G14" s="87">
        <v>2015</v>
      </c>
      <c r="H14" s="87">
        <v>2020</v>
      </c>
      <c r="I14" s="87">
        <v>2025</v>
      </c>
      <c r="J14" s="87">
        <v>2030</v>
      </c>
      <c r="K14" s="87">
        <v>2035</v>
      </c>
      <c r="L14" s="87">
        <v>2040</v>
      </c>
      <c r="M14" s="87">
        <v>2045</v>
      </c>
      <c r="N14" s="87">
        <v>2050</v>
      </c>
      <c r="O14" s="876"/>
      <c r="P14" s="2776" t="s">
        <v>980</v>
      </c>
      <c r="R14" s="2776" t="s">
        <v>2106</v>
      </c>
    </row>
    <row r="15" spans="1:19" ht="15.5">
      <c r="B15" s="880"/>
      <c r="C15" s="65">
        <v>1</v>
      </c>
      <c r="D15" s="103" t="s">
        <v>2107</v>
      </c>
      <c r="E15" s="103"/>
      <c r="F15" s="2781">
        <v>1.3629</v>
      </c>
      <c r="G15" s="2782">
        <v>1.4</v>
      </c>
      <c r="H15" s="2782">
        <v>1.5</v>
      </c>
      <c r="I15" s="2782">
        <v>1.59</v>
      </c>
      <c r="J15" s="2782">
        <v>1.69</v>
      </c>
      <c r="K15" s="2782">
        <v>1.77</v>
      </c>
      <c r="L15" s="2782">
        <v>1.85</v>
      </c>
      <c r="M15" s="2782">
        <v>1.93</v>
      </c>
      <c r="N15" s="2782">
        <v>2.02</v>
      </c>
      <c r="O15" s="884"/>
      <c r="P15" s="391">
        <f>(N15-F15)/F15</f>
        <v>0.48213368552351604</v>
      </c>
      <c r="R15" s="391">
        <v>0.28956737699508495</v>
      </c>
      <c r="S15" s="2779" t="s">
        <v>2252</v>
      </c>
    </row>
    <row r="16" spans="1:19" ht="15.5">
      <c r="B16" s="880"/>
      <c r="C16" s="65">
        <v>2</v>
      </c>
      <c r="D16" s="103" t="s">
        <v>2107</v>
      </c>
      <c r="E16" s="103"/>
      <c r="F16" s="2783">
        <v>1.3629</v>
      </c>
      <c r="G16" s="2782">
        <v>1.4</v>
      </c>
      <c r="H16" s="2782">
        <v>1.5</v>
      </c>
      <c r="I16" s="2782">
        <v>1.5149999999999999</v>
      </c>
      <c r="J16" s="2782">
        <v>1.5299999999999998</v>
      </c>
      <c r="K16" s="2782">
        <v>1.5449999999999999</v>
      </c>
      <c r="L16" s="2782">
        <v>1.56</v>
      </c>
      <c r="M16" s="2782">
        <v>1.575</v>
      </c>
      <c r="N16" s="2782">
        <v>1.5899999999999999</v>
      </c>
      <c r="O16" s="884"/>
      <c r="P16" s="391">
        <f>(N16-F16)/F16</f>
        <v>0.16662998018930211</v>
      </c>
      <c r="R16" s="391">
        <v>5.5820142877153707E-2</v>
      </c>
      <c r="S16" s="2776" t="s">
        <v>2105</v>
      </c>
    </row>
    <row r="17" spans="1:19" ht="15.5">
      <c r="B17" s="880"/>
      <c r="C17" s="65">
        <v>3</v>
      </c>
      <c r="D17" s="103" t="s">
        <v>2107</v>
      </c>
      <c r="E17" s="103"/>
      <c r="F17" s="2783">
        <v>1.3629</v>
      </c>
      <c r="G17" s="2782">
        <v>1.4</v>
      </c>
      <c r="H17" s="2782">
        <v>1.5</v>
      </c>
      <c r="I17" s="2782">
        <v>1.5445828187182655</v>
      </c>
      <c r="J17" s="2782">
        <v>1.5891656374365308</v>
      </c>
      <c r="K17" s="2782">
        <v>1.6337484561547961</v>
      </c>
      <c r="L17" s="2782">
        <v>1.6783312748730617</v>
      </c>
      <c r="M17" s="2782">
        <v>1.722914093591327</v>
      </c>
      <c r="N17" s="2782">
        <v>1.7674969123095923</v>
      </c>
      <c r="O17" s="884"/>
      <c r="P17" s="391">
        <f>(N17-F17)/F17</f>
        <v>0.29686470930339148</v>
      </c>
      <c r="R17" s="391">
        <v>0.17833127487306152</v>
      </c>
      <c r="S17" s="4260" t="s">
        <v>2105</v>
      </c>
    </row>
    <row r="18" spans="1:19" ht="15.5">
      <c r="B18" s="877"/>
      <c r="C18" s="887">
        <v>4</v>
      </c>
      <c r="D18" s="888" t="s">
        <v>2107</v>
      </c>
      <c r="E18" s="888"/>
      <c r="F18" s="2784">
        <v>1.3629</v>
      </c>
      <c r="G18" s="2785">
        <v>1.4</v>
      </c>
      <c r="H18" s="2782">
        <v>1.5</v>
      </c>
      <c r="I18" s="2782">
        <v>1.4209586484066972</v>
      </c>
      <c r="J18" s="2782">
        <v>1.3419172968133941</v>
      </c>
      <c r="K18" s="2782">
        <v>1.2628759452200911</v>
      </c>
      <c r="L18" s="2782">
        <v>1.1838345936267882</v>
      </c>
      <c r="M18" s="2782">
        <v>1.1047932420334852</v>
      </c>
      <c r="N18" s="2782">
        <v>1.0257518904401821</v>
      </c>
      <c r="O18" s="876"/>
      <c r="P18" s="391">
        <f>(N18-F18)/F18</f>
        <v>-0.24737552979662331</v>
      </c>
      <c r="R18" s="391">
        <v>-0.31616540637321189</v>
      </c>
      <c r="S18" s="4260" t="s">
        <v>2105</v>
      </c>
    </row>
    <row r="19" spans="1:19" ht="15.5">
      <c r="B19" s="55"/>
      <c r="C19" s="1015" t="s">
        <v>37</v>
      </c>
      <c r="D19" s="892"/>
      <c r="E19" s="892"/>
      <c r="F19" s="1692">
        <f>(INDEX(F$15:F$18,ROUNDDOWN($E$7,0))*(1-MOD($E$7,1)))+(INDEX(F$15:F$18,ROUNDUP($E$7,0))*MOD($E$7,1))</f>
        <v>1.3629</v>
      </c>
      <c r="G19" s="2786">
        <f t="shared" ref="G19:N19" si="0">(INDEX(G$15:G$18,ROUNDDOWN($E$7,0))*(1-MOD($E$7,1)))+(INDEX(G$15:G$18,ROUNDUP($E$7,0))*MOD($E$7,1))</f>
        <v>1.4</v>
      </c>
      <c r="H19" s="1692">
        <f t="shared" si="0"/>
        <v>1.5</v>
      </c>
      <c r="I19" s="1692">
        <f t="shared" si="0"/>
        <v>1.59</v>
      </c>
      <c r="J19" s="1692">
        <f t="shared" si="0"/>
        <v>1.69</v>
      </c>
      <c r="K19" s="1692">
        <f t="shared" si="0"/>
        <v>1.77</v>
      </c>
      <c r="L19" s="1692">
        <f t="shared" si="0"/>
        <v>1.85</v>
      </c>
      <c r="M19" s="1692">
        <f t="shared" si="0"/>
        <v>1.93</v>
      </c>
      <c r="N19" s="1692">
        <f t="shared" si="0"/>
        <v>2.02</v>
      </c>
      <c r="O19" s="876"/>
      <c r="R19" s="391"/>
      <c r="S19" s="2776" t="s">
        <v>5</v>
      </c>
    </row>
    <row r="20" spans="1:19">
      <c r="B20" s="895"/>
      <c r="C20" s="67"/>
      <c r="D20" s="195"/>
      <c r="E20" s="67"/>
      <c r="F20" s="67"/>
      <c r="G20" s="67"/>
      <c r="H20" s="67"/>
      <c r="I20" s="67"/>
      <c r="J20" s="67"/>
      <c r="K20" s="67"/>
      <c r="L20" s="67"/>
      <c r="M20" s="67"/>
      <c r="N20" s="67"/>
      <c r="O20" s="876"/>
      <c r="R20" s="391"/>
    </row>
    <row r="21" spans="1:19">
      <c r="B21" s="895"/>
      <c r="C21" s="49" t="s">
        <v>2908</v>
      </c>
      <c r="D21" s="67"/>
      <c r="E21" s="51"/>
      <c r="F21" s="51"/>
      <c r="G21" s="67"/>
      <c r="H21" s="67"/>
      <c r="I21" s="67"/>
      <c r="J21" s="67"/>
      <c r="K21" s="67"/>
      <c r="L21" s="67"/>
      <c r="M21" s="67"/>
      <c r="N21" s="51" t="s">
        <v>2104</v>
      </c>
      <c r="O21" s="876"/>
      <c r="R21" s="391"/>
    </row>
    <row r="22" spans="1:19">
      <c r="B22" s="895"/>
      <c r="C22" s="67"/>
      <c r="D22" s="67"/>
      <c r="E22" s="67"/>
      <c r="F22" s="67"/>
      <c r="G22" s="67"/>
      <c r="H22" s="67"/>
      <c r="I22" s="67"/>
      <c r="J22" s="67"/>
      <c r="K22" s="67"/>
      <c r="L22" s="67"/>
      <c r="M22" s="67"/>
      <c r="N22" s="67"/>
      <c r="O22" s="876"/>
      <c r="R22" s="391"/>
    </row>
    <row r="23" spans="1:19" ht="15.5">
      <c r="B23" s="877"/>
      <c r="C23" s="878" t="s">
        <v>8</v>
      </c>
      <c r="D23" s="878" t="s">
        <v>71</v>
      </c>
      <c r="E23" s="878"/>
      <c r="F23" s="899">
        <v>2013</v>
      </c>
      <c r="G23" s="87">
        <v>2015</v>
      </c>
      <c r="H23" s="87">
        <v>2020</v>
      </c>
      <c r="I23" s="87">
        <v>2025</v>
      </c>
      <c r="J23" s="87">
        <v>2030</v>
      </c>
      <c r="K23" s="87">
        <v>2035</v>
      </c>
      <c r="L23" s="87">
        <v>2040</v>
      </c>
      <c r="M23" s="87">
        <v>2045</v>
      </c>
      <c r="N23" s="87">
        <v>2050</v>
      </c>
      <c r="O23" s="876"/>
      <c r="R23" s="391"/>
    </row>
    <row r="24" spans="1:19" ht="15.5">
      <c r="B24" s="877"/>
      <c r="C24" s="65">
        <v>1</v>
      </c>
      <c r="D24" s="103" t="s">
        <v>2109</v>
      </c>
      <c r="E24" s="103"/>
      <c r="F24" s="2781">
        <v>1.115437</v>
      </c>
      <c r="G24" s="2782">
        <v>1.17</v>
      </c>
      <c r="H24" s="2787">
        <v>1.3175126747058823</v>
      </c>
      <c r="I24" s="2782">
        <v>1.46</v>
      </c>
      <c r="J24" s="2782">
        <v>1.61</v>
      </c>
      <c r="K24" s="2782">
        <v>1.69</v>
      </c>
      <c r="L24" s="2782">
        <v>1.77</v>
      </c>
      <c r="M24" s="2782">
        <v>1.86</v>
      </c>
      <c r="N24" s="2782">
        <v>1.96</v>
      </c>
      <c r="O24" s="876"/>
      <c r="P24" s="391">
        <f>(N24-F24)/F24</f>
        <v>0.75715885343591793</v>
      </c>
      <c r="R24" s="391">
        <v>0.50584328501181408</v>
      </c>
      <c r="S24" s="2779" t="s">
        <v>2252</v>
      </c>
    </row>
    <row r="25" spans="1:19" ht="15.5">
      <c r="B25" s="877"/>
      <c r="C25" s="65">
        <v>2</v>
      </c>
      <c r="D25" s="103" t="s">
        <v>2109</v>
      </c>
      <c r="E25" s="103"/>
      <c r="F25" s="2783">
        <v>1.115437</v>
      </c>
      <c r="G25" s="2782">
        <v>1.17</v>
      </c>
      <c r="H25" s="2787">
        <v>1.3175126747058823</v>
      </c>
      <c r="I25" s="2787">
        <v>1.3572521111466009</v>
      </c>
      <c r="J25" s="2787">
        <v>1.3969915475873198</v>
      </c>
      <c r="K25" s="2787">
        <v>1.4367309840280387</v>
      </c>
      <c r="L25" s="2787">
        <v>1.4764704204687575</v>
      </c>
      <c r="M25" s="2787">
        <v>1.5162098569094762</v>
      </c>
      <c r="N25" s="2787">
        <v>1.5559492933501951</v>
      </c>
      <c r="O25" s="876"/>
      <c r="P25" s="391">
        <f>(N25-F25)/F25</f>
        <v>0.39492350832023237</v>
      </c>
      <c r="R25" s="391">
        <v>0.18097481961419526</v>
      </c>
      <c r="S25" s="4260" t="s">
        <v>2105</v>
      </c>
    </row>
    <row r="26" spans="1:19" ht="15.5">
      <c r="B26" s="877"/>
      <c r="C26" s="65">
        <v>3</v>
      </c>
      <c r="D26" s="103" t="s">
        <v>2109</v>
      </c>
      <c r="E26" s="103"/>
      <c r="F26" s="2783">
        <v>1.115437</v>
      </c>
      <c r="G26" s="2782">
        <v>1.17</v>
      </c>
      <c r="H26" s="2787">
        <v>1.3175126747058823</v>
      </c>
      <c r="I26" s="2787">
        <v>1.3854570871191467</v>
      </c>
      <c r="J26" s="2787">
        <v>1.4534014995324114</v>
      </c>
      <c r="K26" s="2787">
        <v>1.521345911945676</v>
      </c>
      <c r="L26" s="2787">
        <v>1.5892903243589407</v>
      </c>
      <c r="M26" s="2787">
        <v>1.6572347367722051</v>
      </c>
      <c r="N26" s="2787">
        <v>1.7251791491854698</v>
      </c>
      <c r="O26" s="876"/>
      <c r="P26" s="391">
        <f>(N26-F26)/F26</f>
        <v>0.5466397019154553</v>
      </c>
      <c r="R26" s="391">
        <v>0.30942129233830235</v>
      </c>
      <c r="S26" s="4260" t="s">
        <v>2105</v>
      </c>
    </row>
    <row r="27" spans="1:19" ht="15.5">
      <c r="B27" s="877"/>
      <c r="C27" s="887">
        <v>4</v>
      </c>
      <c r="D27" s="888" t="s">
        <v>2109</v>
      </c>
      <c r="E27" s="888"/>
      <c r="F27" s="2784">
        <v>1.115437</v>
      </c>
      <c r="G27" s="2785">
        <v>1.17</v>
      </c>
      <c r="H27" s="2788">
        <v>1.3175126747058823</v>
      </c>
      <c r="I27" s="2788">
        <v>1.2853976237715437</v>
      </c>
      <c r="J27" s="2788">
        <v>1.2532825728372048</v>
      </c>
      <c r="K27" s="2788">
        <v>1.2211675219028659</v>
      </c>
      <c r="L27" s="2788">
        <v>1.1890524709685271</v>
      </c>
      <c r="M27" s="2788">
        <v>1.1569374200341884</v>
      </c>
      <c r="N27" s="2788">
        <v>1.1248223690998496</v>
      </c>
      <c r="O27" s="876"/>
      <c r="P27" s="391">
        <f>(N27-F27)/F27</f>
        <v>8.4140736768186369E-3</v>
      </c>
      <c r="R27" s="391">
        <v>-0.1462530944144794</v>
      </c>
      <c r="S27" s="4260" t="s">
        <v>2105</v>
      </c>
    </row>
    <row r="28" spans="1:19" ht="15.5">
      <c r="B28" s="55"/>
      <c r="C28" s="1015" t="s">
        <v>37</v>
      </c>
      <c r="D28" s="892"/>
      <c r="E28" s="892"/>
      <c r="F28" s="1692">
        <f>(INDEX(F$24:F$27,ROUNDDOWN($E$7,0))*(1-MOD($E$7,1)))+(INDEX(F$24:F$27,ROUNDUP($E$7,0))*MOD($E$7,1))</f>
        <v>1.115437</v>
      </c>
      <c r="G28" s="2786">
        <f t="shared" ref="G28:N28" si="1">(INDEX(G$24:G$27,ROUNDDOWN($E$7,0))*(1-MOD($E$7,1)))+(INDEX(G$24:G$27,ROUNDUP($E$7,0))*MOD($E$7,1))</f>
        <v>1.17</v>
      </c>
      <c r="H28" s="1692">
        <f t="shared" si="1"/>
        <v>1.3175126747058823</v>
      </c>
      <c r="I28" s="1692">
        <f t="shared" si="1"/>
        <v>1.46</v>
      </c>
      <c r="J28" s="1692">
        <f t="shared" si="1"/>
        <v>1.61</v>
      </c>
      <c r="K28" s="1692">
        <f t="shared" si="1"/>
        <v>1.69</v>
      </c>
      <c r="L28" s="1692">
        <f t="shared" si="1"/>
        <v>1.77</v>
      </c>
      <c r="M28" s="1692">
        <f t="shared" si="1"/>
        <v>1.86</v>
      </c>
      <c r="N28" s="1692">
        <f t="shared" si="1"/>
        <v>1.96</v>
      </c>
      <c r="O28" s="876"/>
      <c r="R28" s="391"/>
    </row>
    <row r="29" spans="1:19">
      <c r="B29" s="895"/>
      <c r="C29" s="67"/>
      <c r="D29" s="195"/>
      <c r="E29" s="67"/>
      <c r="F29" s="67"/>
      <c r="G29" s="67"/>
      <c r="H29" s="67"/>
      <c r="I29" s="67"/>
      <c r="J29" s="67"/>
      <c r="K29" s="67"/>
      <c r="L29" s="67"/>
      <c r="M29" s="67"/>
      <c r="N29" s="67"/>
      <c r="O29" s="876"/>
      <c r="R29" s="391"/>
      <c r="S29" s="2776" t="s">
        <v>5</v>
      </c>
    </row>
    <row r="30" spans="1:19">
      <c r="B30" s="895"/>
      <c r="C30" s="49" t="s">
        <v>2909</v>
      </c>
      <c r="D30" s="67"/>
      <c r="E30" s="51" t="s">
        <v>5</v>
      </c>
      <c r="F30" s="51"/>
      <c r="G30" s="67"/>
      <c r="H30" s="67"/>
      <c r="I30" s="67"/>
      <c r="J30" s="67"/>
      <c r="K30" s="67"/>
      <c r="L30" s="67"/>
      <c r="M30" s="67"/>
      <c r="N30" s="51" t="s">
        <v>2104</v>
      </c>
      <c r="O30" s="876"/>
      <c r="R30" s="391" t="s">
        <v>5</v>
      </c>
    </row>
    <row r="31" spans="1:19">
      <c r="B31" s="895"/>
      <c r="C31" s="67"/>
      <c r="D31" s="67"/>
      <c r="E31" s="67"/>
      <c r="F31" s="67"/>
      <c r="G31" s="67"/>
      <c r="H31" s="67"/>
      <c r="I31" s="67"/>
      <c r="J31" s="67"/>
      <c r="K31" s="67"/>
      <c r="L31" s="67"/>
      <c r="M31" s="67"/>
      <c r="N31" s="67"/>
      <c r="O31" s="876"/>
      <c r="R31" s="391"/>
    </row>
    <row r="32" spans="1:19" ht="15.5">
      <c r="A32" s="3704" t="s">
        <v>3192</v>
      </c>
      <c r="B32" s="877"/>
      <c r="C32" s="878" t="s">
        <v>8</v>
      </c>
      <c r="D32" s="878" t="s">
        <v>71</v>
      </c>
      <c r="E32" s="878"/>
      <c r="F32" s="899">
        <v>2013</v>
      </c>
      <c r="G32" s="87">
        <v>2015</v>
      </c>
      <c r="H32" s="87">
        <v>2020</v>
      </c>
      <c r="I32" s="87">
        <v>2025</v>
      </c>
      <c r="J32" s="87">
        <v>2030</v>
      </c>
      <c r="K32" s="87">
        <v>2035</v>
      </c>
      <c r="L32" s="87">
        <v>2040</v>
      </c>
      <c r="M32" s="87">
        <v>2045</v>
      </c>
      <c r="N32" s="87">
        <v>2050</v>
      </c>
      <c r="O32" s="876"/>
      <c r="R32" s="391"/>
    </row>
    <row r="33" spans="1:27" ht="15.5">
      <c r="A33" s="3704"/>
      <c r="B33" s="877"/>
      <c r="C33" s="65">
        <v>1</v>
      </c>
      <c r="D33" s="103" t="s">
        <v>2110</v>
      </c>
      <c r="E33" s="881"/>
      <c r="F33" s="2781">
        <v>0.2</v>
      </c>
      <c r="G33" s="2782">
        <v>0.20706125</v>
      </c>
      <c r="H33" s="2782">
        <v>0.22582442908224626</v>
      </c>
      <c r="I33" s="2782">
        <v>0.24628786298895847</v>
      </c>
      <c r="J33" s="2782">
        <v>0.26860562297082646</v>
      </c>
      <c r="K33" s="2782">
        <v>0.29294574168594067</v>
      </c>
      <c r="L33" s="2782">
        <v>0.31949147833456404</v>
      </c>
      <c r="M33" s="2782">
        <v>0.3484426984360704</v>
      </c>
      <c r="N33" s="2782">
        <v>0.38001737863652857</v>
      </c>
      <c r="O33" s="876"/>
      <c r="P33" s="391">
        <f>(N33-F33)/F33</f>
        <v>0.90008689318264279</v>
      </c>
      <c r="R33" s="391">
        <v>0.37005163511187622</v>
      </c>
      <c r="S33" s="391" t="s">
        <v>2105</v>
      </c>
    </row>
    <row r="34" spans="1:27" ht="15.5">
      <c r="A34" s="3704"/>
      <c r="B34" s="877"/>
      <c r="C34" s="65">
        <v>2</v>
      </c>
      <c r="D34" s="103" t="s">
        <v>2110</v>
      </c>
      <c r="E34" s="103"/>
      <c r="F34" s="2783">
        <v>0.2</v>
      </c>
      <c r="G34" s="2782">
        <v>0.20706125</v>
      </c>
      <c r="H34" s="2782">
        <v>0.22582442908224626</v>
      </c>
      <c r="I34" s="2782">
        <v>0.24628786298895847</v>
      </c>
      <c r="J34" s="2782">
        <v>0.26860562297082646</v>
      </c>
      <c r="K34" s="2782">
        <v>0.28000000000000003</v>
      </c>
      <c r="L34" s="2782">
        <v>0.28999999999999998</v>
      </c>
      <c r="M34" s="2782">
        <v>0.3</v>
      </c>
      <c r="N34" s="2782">
        <v>0.31</v>
      </c>
      <c r="O34" s="876"/>
      <c r="P34" s="391">
        <f>(N34-F34)/F34</f>
        <v>0.54999999999999993</v>
      </c>
      <c r="R34" s="391">
        <v>0.15849673202614376</v>
      </c>
      <c r="S34" s="391" t="s">
        <v>2105</v>
      </c>
    </row>
    <row r="35" spans="1:27" ht="15.5">
      <c r="B35" s="877"/>
      <c r="C35" s="65">
        <v>3</v>
      </c>
      <c r="D35" s="103" t="s">
        <v>2110</v>
      </c>
      <c r="E35" s="103"/>
      <c r="F35" s="2783">
        <v>0.2</v>
      </c>
      <c r="G35" s="2782">
        <v>0.20706125</v>
      </c>
      <c r="H35" s="2782">
        <v>0.21963762029019704</v>
      </c>
      <c r="I35" s="2782">
        <v>0.22212244058039404</v>
      </c>
      <c r="J35" s="2782">
        <v>0.22460726087059107</v>
      </c>
      <c r="K35" s="2782">
        <v>0.22709208116078808</v>
      </c>
      <c r="L35" s="2782">
        <v>0.22957690145098508</v>
      </c>
      <c r="M35" s="2782">
        <v>0.23206172174118209</v>
      </c>
      <c r="N35" s="2782">
        <v>0.23454654203137909</v>
      </c>
      <c r="O35" s="876"/>
      <c r="P35" s="391">
        <f>(N35-F35)/F35</f>
        <v>0.1727327101568954</v>
      </c>
      <c r="R35" s="391">
        <v>8.0099091659785474E-2</v>
      </c>
      <c r="S35" s="391" t="s">
        <v>2105</v>
      </c>
    </row>
    <row r="36" spans="1:27" ht="15.5">
      <c r="B36" s="877"/>
      <c r="C36" s="887">
        <v>4</v>
      </c>
      <c r="D36" s="888" t="s">
        <v>2110</v>
      </c>
      <c r="E36" s="888"/>
      <c r="F36" s="2784">
        <v>0.2</v>
      </c>
      <c r="G36" s="2782">
        <v>0.20706125</v>
      </c>
      <c r="H36" s="2785">
        <v>0.22136935922330098</v>
      </c>
      <c r="I36" s="2785">
        <v>0.22558591844660195</v>
      </c>
      <c r="J36" s="2785">
        <v>0.22980247766990292</v>
      </c>
      <c r="K36" s="2785">
        <v>0.23401903689320389</v>
      </c>
      <c r="L36" s="2785">
        <v>0.23823559611650486</v>
      </c>
      <c r="M36" s="2785">
        <v>0.24245215533980582</v>
      </c>
      <c r="N36" s="2785">
        <v>0.24666871456310679</v>
      </c>
      <c r="O36" s="876"/>
      <c r="P36" s="391">
        <f>(N36-F36)/F36</f>
        <v>0.23334357281553392</v>
      </c>
      <c r="R36" s="391">
        <v>0.13592233009708732</v>
      </c>
      <c r="S36" s="391" t="s">
        <v>2105</v>
      </c>
    </row>
    <row r="37" spans="1:27" ht="15.5">
      <c r="B37" s="55"/>
      <c r="C37" s="1015" t="s">
        <v>37</v>
      </c>
      <c r="D37" s="892"/>
      <c r="E37" s="892"/>
      <c r="F37" s="79">
        <f>(INDEX(F$33:F$36,ROUNDDOWN($E$7,0))*(1-MOD($E$7,1)))+(INDEX(F$33:F$36,ROUNDUP($E$7,0))*MOD($E$7,1))</f>
        <v>0.2</v>
      </c>
      <c r="G37" s="2789">
        <f t="shared" ref="G37:N37" si="2">(INDEX(G$33:G$36,ROUNDDOWN($E$7,0))*(1-MOD($E$7,1)))+(INDEX(G$33:G$36,ROUNDUP($E$7,0))*MOD($E$7,1))</f>
        <v>0.20706125</v>
      </c>
      <c r="H37" s="79">
        <f t="shared" si="2"/>
        <v>0.22582442908224626</v>
      </c>
      <c r="I37" s="79">
        <f t="shared" si="2"/>
        <v>0.24628786298895847</v>
      </c>
      <c r="J37" s="79">
        <f t="shared" si="2"/>
        <v>0.26860562297082646</v>
      </c>
      <c r="K37" s="79">
        <f t="shared" si="2"/>
        <v>0.29294574168594067</v>
      </c>
      <c r="L37" s="79">
        <f t="shared" si="2"/>
        <v>0.31949147833456404</v>
      </c>
      <c r="M37" s="79">
        <f t="shared" si="2"/>
        <v>0.3484426984360704</v>
      </c>
      <c r="N37" s="79">
        <f t="shared" si="2"/>
        <v>0.38001737863652857</v>
      </c>
      <c r="O37" s="876"/>
    </row>
    <row r="38" spans="1:27">
      <c r="B38" s="895"/>
      <c r="C38" s="67"/>
      <c r="D38" s="195"/>
      <c r="E38" s="67"/>
      <c r="F38" s="67"/>
      <c r="G38" s="67"/>
      <c r="H38" s="67"/>
      <c r="I38" s="67"/>
      <c r="J38" s="67"/>
      <c r="K38" s="67"/>
      <c r="L38" s="67"/>
      <c r="M38" s="67"/>
      <c r="N38" s="67"/>
      <c r="O38" s="876"/>
    </row>
    <row r="39" spans="1:27" s="4259" customFormat="1">
      <c r="B39" s="895"/>
      <c r="C39" s="2216" t="s">
        <v>1454</v>
      </c>
      <c r="D39" s="3830" t="s">
        <v>3690</v>
      </c>
      <c r="E39" s="67"/>
      <c r="F39" s="67"/>
      <c r="G39" s="67"/>
      <c r="H39" s="67"/>
      <c r="I39" s="67"/>
      <c r="J39" s="67"/>
      <c r="K39" s="67"/>
      <c r="L39" s="67"/>
      <c r="M39" s="67"/>
      <c r="N39" s="67"/>
      <c r="O39" s="876"/>
    </row>
    <row r="40" spans="1:27" s="4259" customFormat="1">
      <c r="B40" s="895"/>
      <c r="C40" s="67"/>
      <c r="D40" s="195"/>
      <c r="E40" s="67"/>
      <c r="F40" s="67"/>
      <c r="G40" s="67"/>
      <c r="H40" s="67"/>
      <c r="I40" s="67"/>
      <c r="J40" s="67"/>
      <c r="K40" s="67"/>
      <c r="L40" s="67"/>
      <c r="M40" s="67"/>
      <c r="N40" s="67"/>
      <c r="O40" s="876"/>
    </row>
    <row r="41" spans="1:27">
      <c r="B41" s="895"/>
      <c r="C41" s="49" t="s">
        <v>2910</v>
      </c>
      <c r="D41" s="67"/>
      <c r="E41" s="51"/>
      <c r="F41" s="51"/>
      <c r="G41" s="67"/>
      <c r="H41" s="67"/>
      <c r="I41" s="67"/>
      <c r="J41" s="67"/>
      <c r="K41" s="67"/>
      <c r="L41" s="67"/>
      <c r="M41" s="67"/>
      <c r="N41" s="51" t="s">
        <v>2104</v>
      </c>
      <c r="O41" s="876"/>
    </row>
    <row r="42" spans="1:27">
      <c r="B42" s="895"/>
      <c r="C42" s="67"/>
      <c r="D42" s="67"/>
      <c r="E42" s="67"/>
      <c r="F42" s="67"/>
      <c r="G42" s="67"/>
      <c r="H42" s="67"/>
      <c r="I42" s="67"/>
      <c r="J42" s="67"/>
      <c r="K42" s="67"/>
      <c r="L42" s="67"/>
      <c r="M42" s="67"/>
      <c r="N42" s="67"/>
      <c r="O42" s="876"/>
      <c r="S42" s="2857" t="s">
        <v>5</v>
      </c>
    </row>
    <row r="43" spans="1:27" ht="18.5">
      <c r="B43" s="2790"/>
      <c r="C43" s="878" t="s">
        <v>8</v>
      </c>
      <c r="D43" s="878" t="s">
        <v>71</v>
      </c>
      <c r="E43" s="878"/>
      <c r="F43" s="899">
        <v>2013</v>
      </c>
      <c r="G43" s="87">
        <v>2015</v>
      </c>
      <c r="H43" s="87">
        <v>2020</v>
      </c>
      <c r="I43" s="87">
        <v>2025</v>
      </c>
      <c r="J43" s="87">
        <v>2030</v>
      </c>
      <c r="K43" s="87">
        <v>2035</v>
      </c>
      <c r="L43" s="87">
        <v>2040</v>
      </c>
      <c r="M43" s="87">
        <v>2045</v>
      </c>
      <c r="N43" s="87">
        <v>2050</v>
      </c>
      <c r="O43" s="876"/>
    </row>
    <row r="44" spans="1:27" ht="18.5">
      <c r="B44" s="2790"/>
      <c r="C44" s="65">
        <v>1</v>
      </c>
      <c r="D44" s="103" t="s">
        <v>2111</v>
      </c>
      <c r="E44" s="881"/>
      <c r="F44" s="2781">
        <v>0.06</v>
      </c>
      <c r="G44" s="2782">
        <v>6.1425E-2</v>
      </c>
      <c r="H44" s="2782">
        <v>6.2850000000000003E-2</v>
      </c>
      <c r="I44" s="2782">
        <v>6.4274999999999999E-2</v>
      </c>
      <c r="J44" s="2782">
        <v>6.5699999999999995E-2</v>
      </c>
      <c r="K44" s="2782">
        <v>6.712499999999999E-2</v>
      </c>
      <c r="L44" s="2782">
        <v>6.855E-2</v>
      </c>
      <c r="M44" s="2782">
        <v>6.9974999999999996E-2</v>
      </c>
      <c r="N44" s="2782">
        <v>7.1399999999999991E-2</v>
      </c>
      <c r="O44" s="876"/>
      <c r="R44" s="391">
        <v>0.19341814041355984</v>
      </c>
      <c r="S44" s="391" t="s">
        <v>2108</v>
      </c>
    </row>
    <row r="45" spans="1:27" ht="18.5">
      <c r="B45" s="2790"/>
      <c r="C45" s="65">
        <v>2</v>
      </c>
      <c r="D45" s="103" t="s">
        <v>2111</v>
      </c>
      <c r="E45" s="103"/>
      <c r="F45" s="2783">
        <v>0.06</v>
      </c>
      <c r="G45" s="2782">
        <v>6.1425E-2</v>
      </c>
      <c r="H45" s="2782">
        <v>6.2850000000000003E-2</v>
      </c>
      <c r="I45" s="2782">
        <v>6.4274999999999999E-2</v>
      </c>
      <c r="J45" s="2782">
        <v>6.5699999999999995E-2</v>
      </c>
      <c r="K45" s="2782">
        <v>6.712499999999999E-2</v>
      </c>
      <c r="L45" s="2782">
        <v>6.855E-2</v>
      </c>
      <c r="M45" s="2782">
        <v>6.9974999999999996E-2</v>
      </c>
      <c r="N45" s="2782">
        <v>7.1399999999999991E-2</v>
      </c>
      <c r="O45" s="876"/>
      <c r="R45" s="391">
        <v>0.19341814041355984</v>
      </c>
      <c r="S45" s="391" t="s">
        <v>2108</v>
      </c>
      <c r="X45" s="39"/>
      <c r="Y45" s="39"/>
      <c r="Z45" s="39"/>
      <c r="AA45" s="39"/>
    </row>
    <row r="46" spans="1:27" ht="18.5">
      <c r="B46" s="2790"/>
      <c r="C46" s="65">
        <v>3</v>
      </c>
      <c r="D46" s="103" t="s">
        <v>2111</v>
      </c>
      <c r="E46" s="103"/>
      <c r="F46" s="2783">
        <v>0.06</v>
      </c>
      <c r="G46" s="2782">
        <v>6.1425E-2</v>
      </c>
      <c r="H46" s="2782">
        <v>6.2850000000000003E-2</v>
      </c>
      <c r="I46" s="2782">
        <v>6.4274999999999999E-2</v>
      </c>
      <c r="J46" s="2782">
        <v>6.5699999999999995E-2</v>
      </c>
      <c r="K46" s="2782">
        <v>6.712499999999999E-2</v>
      </c>
      <c r="L46" s="2782">
        <v>6.855E-2</v>
      </c>
      <c r="M46" s="2782">
        <v>6.9974999999999996E-2</v>
      </c>
      <c r="N46" s="2782">
        <v>7.1399999999999991E-2</v>
      </c>
      <c r="O46" s="876"/>
      <c r="R46" s="391">
        <v>0.19341814041355984</v>
      </c>
      <c r="S46" s="391" t="s">
        <v>2108</v>
      </c>
      <c r="X46" s="39"/>
      <c r="Y46" s="39"/>
      <c r="Z46" s="39"/>
      <c r="AA46" s="39"/>
    </row>
    <row r="47" spans="1:27" ht="18.5">
      <c r="B47" s="2790"/>
      <c r="C47" s="887">
        <v>4</v>
      </c>
      <c r="D47" s="888" t="s">
        <v>2111</v>
      </c>
      <c r="E47" s="888"/>
      <c r="F47" s="2784">
        <v>0.06</v>
      </c>
      <c r="G47" s="2785">
        <v>6.1425E-2</v>
      </c>
      <c r="H47" s="2785">
        <v>6.2850000000000003E-2</v>
      </c>
      <c r="I47" s="2785">
        <v>6.4274999999999999E-2</v>
      </c>
      <c r="J47" s="2785">
        <v>6.5699999999999995E-2</v>
      </c>
      <c r="K47" s="2785">
        <v>6.712499999999999E-2</v>
      </c>
      <c r="L47" s="2785">
        <v>6.855E-2</v>
      </c>
      <c r="M47" s="2785">
        <v>6.9974999999999996E-2</v>
      </c>
      <c r="N47" s="2785">
        <v>7.1399999999999991E-2</v>
      </c>
      <c r="O47" s="876"/>
      <c r="R47" s="391">
        <v>0.19341814041355984</v>
      </c>
      <c r="S47" s="391" t="s">
        <v>2108</v>
      </c>
      <c r="X47" s="39"/>
      <c r="Y47" s="39"/>
      <c r="Z47" s="39"/>
      <c r="AA47" s="39"/>
    </row>
    <row r="48" spans="1:27" ht="15.5">
      <c r="B48" s="55"/>
      <c r="C48" s="1015" t="s">
        <v>37</v>
      </c>
      <c r="D48" s="892"/>
      <c r="E48" s="892"/>
      <c r="F48" s="79">
        <f>(INDEX(F$44:F$47,ROUNDDOWN($E$7,0))*(1-MOD($E$7,1)))+(INDEX(F$44:F$47,ROUNDUP($E$7,0))*MOD($E$7,1))</f>
        <v>0.06</v>
      </c>
      <c r="G48" s="79">
        <f t="shared" ref="G48:N48" si="3">(INDEX(G$44:G$47,ROUNDDOWN($E$7,0))*(1-MOD($E$7,1)))+(INDEX(G$44:G$47,ROUNDUP($E$7,0))*MOD($E$7,1))</f>
        <v>6.1425E-2</v>
      </c>
      <c r="H48" s="79">
        <f t="shared" si="3"/>
        <v>6.2850000000000003E-2</v>
      </c>
      <c r="I48" s="79">
        <f t="shared" si="3"/>
        <v>6.4274999999999999E-2</v>
      </c>
      <c r="J48" s="79">
        <f t="shared" si="3"/>
        <v>6.5699999999999995E-2</v>
      </c>
      <c r="K48" s="79">
        <f t="shared" si="3"/>
        <v>6.712499999999999E-2</v>
      </c>
      <c r="L48" s="79">
        <f t="shared" si="3"/>
        <v>6.855E-2</v>
      </c>
      <c r="M48" s="79">
        <f t="shared" si="3"/>
        <v>6.9974999999999996E-2</v>
      </c>
      <c r="N48" s="79">
        <f t="shared" si="3"/>
        <v>7.1399999999999991E-2</v>
      </c>
      <c r="O48" s="876"/>
      <c r="X48" s="39"/>
      <c r="Y48" s="39"/>
      <c r="Z48" s="39"/>
      <c r="AA48" s="39"/>
    </row>
    <row r="49" spans="2:27">
      <c r="B49" s="895"/>
      <c r="C49" s="67"/>
      <c r="D49" s="195"/>
      <c r="E49" s="67"/>
      <c r="F49" s="67"/>
      <c r="G49" s="67"/>
      <c r="H49" s="67"/>
      <c r="I49" s="67"/>
      <c r="J49" s="67"/>
      <c r="K49" s="67"/>
      <c r="L49" s="67"/>
      <c r="M49" s="67"/>
      <c r="N49" s="67"/>
      <c r="O49" s="876"/>
      <c r="X49" s="39"/>
      <c r="Y49" s="39"/>
      <c r="Z49" s="39"/>
      <c r="AA49" s="39"/>
    </row>
    <row r="50" spans="2:27">
      <c r="B50" s="895"/>
      <c r="C50" s="49" t="s">
        <v>2911</v>
      </c>
      <c r="D50" s="67"/>
      <c r="E50" s="51"/>
      <c r="F50" s="51"/>
      <c r="G50" s="67"/>
      <c r="H50" s="67"/>
      <c r="I50" s="67"/>
      <c r="J50" s="67"/>
      <c r="K50" s="67"/>
      <c r="L50" s="67"/>
      <c r="M50" s="67"/>
      <c r="N50" s="51" t="s">
        <v>2112</v>
      </c>
      <c r="O50" s="876"/>
      <c r="X50" s="39"/>
      <c r="Y50" s="39"/>
      <c r="Z50" s="39"/>
      <c r="AA50" s="39"/>
    </row>
    <row r="51" spans="2:27">
      <c r="B51" s="895"/>
      <c r="C51" s="67"/>
      <c r="D51" s="67"/>
      <c r="E51" s="67"/>
      <c r="F51" s="67"/>
      <c r="G51" s="67"/>
      <c r="H51" s="67"/>
      <c r="I51" s="67"/>
      <c r="J51" s="67"/>
      <c r="K51" s="67"/>
      <c r="L51" s="67"/>
      <c r="M51" s="67"/>
      <c r="N51" s="67"/>
      <c r="O51" s="876"/>
      <c r="X51" s="39"/>
      <c r="Y51" s="39"/>
      <c r="Z51" s="39"/>
      <c r="AA51" s="39"/>
    </row>
    <row r="52" spans="2:27" ht="15.5">
      <c r="B52" s="877"/>
      <c r="C52" s="878" t="s">
        <v>8</v>
      </c>
      <c r="D52" s="878" t="s">
        <v>71</v>
      </c>
      <c r="E52" s="878"/>
      <c r="F52" s="899">
        <v>2013</v>
      </c>
      <c r="G52" s="87">
        <v>2015</v>
      </c>
      <c r="H52" s="87">
        <v>2020</v>
      </c>
      <c r="I52" s="87">
        <v>2025</v>
      </c>
      <c r="J52" s="87">
        <v>2030</v>
      </c>
      <c r="K52" s="87">
        <v>2035</v>
      </c>
      <c r="L52" s="87">
        <v>2040</v>
      </c>
      <c r="M52" s="87">
        <v>2045</v>
      </c>
      <c r="N52" s="87">
        <v>2050</v>
      </c>
      <c r="O52" s="876"/>
      <c r="X52" s="39"/>
      <c r="Y52" s="39"/>
      <c r="Z52" s="39"/>
      <c r="AA52" s="39"/>
    </row>
    <row r="53" spans="2:27" ht="15.5">
      <c r="B53" s="877"/>
      <c r="C53" s="65">
        <v>1</v>
      </c>
      <c r="D53" s="103" t="s">
        <v>1661</v>
      </c>
      <c r="E53" s="881"/>
      <c r="F53" s="2781">
        <v>0.11999999999999997</v>
      </c>
      <c r="G53" s="2782">
        <v>0.11288288377961082</v>
      </c>
      <c r="H53" s="2782">
        <v>0.10576576755922167</v>
      </c>
      <c r="I53" s="2782">
        <v>9.8648651338832521E-2</v>
      </c>
      <c r="J53" s="2782">
        <v>9.1531535118443363E-2</v>
      </c>
      <c r="K53" s="2782">
        <v>8.4414418898054205E-2</v>
      </c>
      <c r="L53" s="2782">
        <v>7.7297302677665047E-2</v>
      </c>
      <c r="M53" s="2782">
        <v>7.0180186457275903E-2</v>
      </c>
      <c r="N53" s="2782">
        <v>6.3063070236886745E-2</v>
      </c>
      <c r="O53" s="876"/>
      <c r="R53" s="391">
        <v>-0.47447441469261037</v>
      </c>
      <c r="S53" s="391" t="s">
        <v>2108</v>
      </c>
      <c r="X53" s="39"/>
      <c r="Y53" s="39"/>
      <c r="Z53" s="39"/>
      <c r="AA53" s="39"/>
    </row>
    <row r="54" spans="2:27" ht="15.5">
      <c r="B54" s="877"/>
      <c r="C54" s="65">
        <v>2</v>
      </c>
      <c r="D54" s="103" t="s">
        <v>1661</v>
      </c>
      <c r="E54" s="103"/>
      <c r="F54" s="2783">
        <v>0.11999999999999997</v>
      </c>
      <c r="G54" s="2782">
        <v>0.11288288377961082</v>
      </c>
      <c r="H54" s="2782">
        <v>0.10576576755922167</v>
      </c>
      <c r="I54" s="2782">
        <v>9.8648651338832521E-2</v>
      </c>
      <c r="J54" s="2782">
        <v>9.1531535118443363E-2</v>
      </c>
      <c r="K54" s="2782">
        <v>8.4414418898054205E-2</v>
      </c>
      <c r="L54" s="2782">
        <v>7.7297302677665047E-2</v>
      </c>
      <c r="M54" s="2782">
        <v>7.0180186457275903E-2</v>
      </c>
      <c r="N54" s="2782">
        <v>6.3063070236886745E-2</v>
      </c>
      <c r="O54" s="876"/>
      <c r="R54" s="391">
        <v>-0.69025661811681704</v>
      </c>
      <c r="S54" s="391" t="s">
        <v>2108</v>
      </c>
      <c r="X54" s="39"/>
      <c r="Y54" s="39"/>
      <c r="Z54" s="39"/>
      <c r="AA54" s="39"/>
    </row>
    <row r="55" spans="2:27" ht="15.5">
      <c r="B55" s="877"/>
      <c r="C55" s="65">
        <v>3</v>
      </c>
      <c r="D55" s="103" t="s">
        <v>1661</v>
      </c>
      <c r="E55" s="103"/>
      <c r="F55" s="2783">
        <v>0.11999999999999997</v>
      </c>
      <c r="G55" s="2782">
        <v>0.11288288377961082</v>
      </c>
      <c r="H55" s="2782">
        <v>0.10576576755922167</v>
      </c>
      <c r="I55" s="2782">
        <v>9.8648651338832521E-2</v>
      </c>
      <c r="J55" s="2782">
        <v>9.1531535118443363E-2</v>
      </c>
      <c r="K55" s="2782">
        <v>8.4414418898054205E-2</v>
      </c>
      <c r="L55" s="2782">
        <v>7.7297302677665047E-2</v>
      </c>
      <c r="M55" s="2782">
        <v>7.0180186457275903E-2</v>
      </c>
      <c r="N55" s="2782">
        <v>6.3063070236886745E-2</v>
      </c>
      <c r="O55" s="876"/>
      <c r="R55" s="391">
        <v>-0.81199742060068658</v>
      </c>
      <c r="S55" s="391" t="s">
        <v>2108</v>
      </c>
      <c r="X55" s="39"/>
      <c r="Y55" s="39"/>
      <c r="Z55" s="39"/>
      <c r="AA55" s="39"/>
    </row>
    <row r="56" spans="2:27" ht="15.5">
      <c r="B56" s="877"/>
      <c r="C56" s="887">
        <v>4</v>
      </c>
      <c r="D56" s="888" t="s">
        <v>1661</v>
      </c>
      <c r="E56" s="888"/>
      <c r="F56" s="2784">
        <v>0.11999999999999997</v>
      </c>
      <c r="G56" s="2785">
        <v>0.11288288377961082</v>
      </c>
      <c r="H56" s="2785">
        <v>0.10576576755922167</v>
      </c>
      <c r="I56" s="2785">
        <v>9.8648651338832521E-2</v>
      </c>
      <c r="J56" s="2785">
        <v>9.1531535118443363E-2</v>
      </c>
      <c r="K56" s="2785">
        <v>8.4414418898054205E-2</v>
      </c>
      <c r="L56" s="2785">
        <v>7.7297302677665047E-2</v>
      </c>
      <c r="M56" s="2785">
        <v>7.0180186457275903E-2</v>
      </c>
      <c r="N56" s="2785">
        <v>6.3063070236886745E-2</v>
      </c>
      <c r="O56" s="876"/>
      <c r="R56" s="391">
        <v>-0.82812227610588307</v>
      </c>
      <c r="S56" s="391" t="s">
        <v>2108</v>
      </c>
      <c r="X56" s="39"/>
      <c r="Y56" s="39"/>
      <c r="Z56" s="39"/>
      <c r="AA56" s="39"/>
    </row>
    <row r="57" spans="2:27" ht="15.5">
      <c r="B57" s="55"/>
      <c r="C57" s="1015" t="s">
        <v>37</v>
      </c>
      <c r="D57" s="892"/>
      <c r="E57" s="892"/>
      <c r="F57" s="79">
        <f>(INDEX(F$53:F$56,ROUNDDOWN($E$7,0))*(1-MOD($E$7,1)))+(INDEX(F$53:F$56,ROUNDUP($E$7,0))*MOD($E$7,1))</f>
        <v>0.11999999999999997</v>
      </c>
      <c r="G57" s="2789">
        <f t="shared" ref="G57:N57" si="4">(INDEX(G$53:G$56,ROUNDDOWN($E$7,0))*(1-MOD($E$7,1)))+(INDEX(G$53:G$56,ROUNDUP($E$7,0))*MOD($E$7,1))</f>
        <v>0.11288288377961082</v>
      </c>
      <c r="H57" s="79">
        <f t="shared" si="4"/>
        <v>0.10576576755922167</v>
      </c>
      <c r="I57" s="79">
        <f t="shared" si="4"/>
        <v>9.8648651338832521E-2</v>
      </c>
      <c r="J57" s="79">
        <f t="shared" si="4"/>
        <v>9.1531535118443363E-2</v>
      </c>
      <c r="K57" s="79">
        <f t="shared" si="4"/>
        <v>8.4414418898054205E-2</v>
      </c>
      <c r="L57" s="79">
        <f t="shared" si="4"/>
        <v>7.7297302677665047E-2</v>
      </c>
      <c r="M57" s="79">
        <f t="shared" si="4"/>
        <v>7.0180186457275903E-2</v>
      </c>
      <c r="N57" s="79">
        <f t="shared" si="4"/>
        <v>6.3063070236886745E-2</v>
      </c>
      <c r="O57" s="876"/>
      <c r="X57" s="39"/>
      <c r="Y57" s="39"/>
      <c r="Z57" s="39"/>
      <c r="AA57" s="39"/>
    </row>
    <row r="58" spans="2:27">
      <c r="B58" s="895"/>
      <c r="C58" s="67"/>
      <c r="D58" s="195"/>
      <c r="E58" s="67"/>
      <c r="F58" s="67" t="s">
        <v>5</v>
      </c>
      <c r="G58" s="67"/>
      <c r="H58" s="67"/>
      <c r="I58" s="67"/>
      <c r="J58" s="67"/>
      <c r="K58" s="67"/>
      <c r="L58" s="67"/>
      <c r="M58" s="67"/>
      <c r="N58" s="67"/>
      <c r="O58" s="876"/>
      <c r="Q58" s="2776" t="s">
        <v>5</v>
      </c>
      <c r="S58" s="2857" t="s">
        <v>5</v>
      </c>
      <c r="X58" s="39"/>
      <c r="Y58" s="39"/>
      <c r="Z58" s="39"/>
      <c r="AA58" s="39"/>
    </row>
    <row r="59" spans="2:27">
      <c r="B59" s="895"/>
      <c r="C59" s="67" t="s">
        <v>5</v>
      </c>
      <c r="D59" s="195"/>
      <c r="E59" s="67"/>
      <c r="F59" s="67"/>
      <c r="G59" s="67"/>
      <c r="H59" s="67"/>
      <c r="I59" s="67"/>
      <c r="J59" s="67"/>
      <c r="K59" s="67"/>
      <c r="L59" s="67"/>
      <c r="M59" s="67"/>
      <c r="N59" s="67"/>
      <c r="O59" s="876"/>
      <c r="X59" s="39"/>
      <c r="Y59" s="39"/>
      <c r="Z59" s="39"/>
      <c r="AA59" s="39"/>
    </row>
    <row r="60" spans="2:27">
      <c r="B60" s="2243"/>
      <c r="C60" s="873"/>
      <c r="D60" s="2793"/>
      <c r="E60" s="873"/>
      <c r="F60" s="873"/>
      <c r="G60" s="873"/>
      <c r="H60" s="873"/>
      <c r="I60" s="873"/>
      <c r="J60" s="873"/>
      <c r="K60" s="873"/>
      <c r="L60" s="873"/>
      <c r="M60" s="873"/>
      <c r="N60" s="873"/>
      <c r="O60" s="874"/>
      <c r="X60" s="1068"/>
      <c r="Y60" s="1068"/>
      <c r="Z60" s="39"/>
      <c r="AA60" s="39"/>
    </row>
    <row r="61" spans="2:27">
      <c r="B61" s="895"/>
      <c r="C61" s="49" t="s">
        <v>2113</v>
      </c>
      <c r="D61" s="195"/>
      <c r="E61" s="67"/>
      <c r="F61" s="67" t="s">
        <v>5</v>
      </c>
      <c r="G61" s="67"/>
      <c r="H61" s="67"/>
      <c r="I61" s="67"/>
      <c r="J61" s="67"/>
      <c r="K61" s="67"/>
      <c r="L61" s="67"/>
      <c r="M61" s="67"/>
      <c r="N61" s="67"/>
      <c r="O61" s="876"/>
      <c r="X61" s="1068"/>
      <c r="Y61" s="1068"/>
      <c r="Z61" s="39"/>
      <c r="AA61" s="39"/>
    </row>
    <row r="62" spans="2:27">
      <c r="B62" s="895"/>
      <c r="C62" s="67"/>
      <c r="D62" s="195"/>
      <c r="E62" s="67"/>
      <c r="F62" s="67"/>
      <c r="G62" s="67"/>
      <c r="H62" s="67"/>
      <c r="I62" s="67"/>
      <c r="J62" s="67"/>
      <c r="K62" s="67"/>
      <c r="L62" s="67"/>
      <c r="M62" s="67"/>
      <c r="N62" s="67"/>
      <c r="O62" s="876"/>
      <c r="X62" s="1068"/>
      <c r="Y62" s="1068"/>
      <c r="Z62" s="39"/>
      <c r="AA62" s="39"/>
    </row>
    <row r="63" spans="2:27">
      <c r="B63" s="895"/>
      <c r="C63" s="49" t="s">
        <v>1123</v>
      </c>
      <c r="D63" s="195" t="s">
        <v>5</v>
      </c>
      <c r="E63" s="67"/>
      <c r="F63" s="67"/>
      <c r="G63" s="67"/>
      <c r="H63" s="67"/>
      <c r="I63" s="67"/>
      <c r="J63" s="67"/>
      <c r="K63" s="67"/>
      <c r="L63" s="67"/>
      <c r="M63" s="67"/>
      <c r="N63" s="51" t="s">
        <v>2114</v>
      </c>
      <c r="O63" s="876"/>
      <c r="X63" s="1068"/>
      <c r="Y63" s="1068"/>
      <c r="Z63" s="39"/>
      <c r="AA63" s="39"/>
    </row>
    <row r="64" spans="2:27">
      <c r="B64" s="895"/>
      <c r="C64" s="67"/>
      <c r="D64" s="67"/>
      <c r="E64" s="67"/>
      <c r="F64" s="67"/>
      <c r="G64" s="67"/>
      <c r="H64" s="67"/>
      <c r="I64" s="67"/>
      <c r="J64" s="67"/>
      <c r="K64" s="67"/>
      <c r="L64" s="67"/>
      <c r="M64" s="67"/>
      <c r="N64" s="67"/>
      <c r="O64" s="876"/>
      <c r="X64" s="1068"/>
      <c r="Y64" s="1068"/>
      <c r="Z64" s="39"/>
      <c r="AA64" s="39"/>
    </row>
    <row r="65" spans="2:27" ht="15.5">
      <c r="B65" s="877"/>
      <c r="C65" s="878" t="s">
        <v>2115</v>
      </c>
      <c r="D65" s="878" t="s">
        <v>71</v>
      </c>
      <c r="E65" s="878"/>
      <c r="F65" s="899">
        <v>2013</v>
      </c>
      <c r="G65" s="87">
        <v>2015</v>
      </c>
      <c r="H65" s="87">
        <v>2020</v>
      </c>
      <c r="I65" s="87">
        <v>2025</v>
      </c>
      <c r="J65" s="87">
        <v>2030</v>
      </c>
      <c r="K65" s="87">
        <v>2035</v>
      </c>
      <c r="L65" s="87">
        <v>2040</v>
      </c>
      <c r="M65" s="87">
        <v>2045</v>
      </c>
      <c r="N65" s="87">
        <v>2050</v>
      </c>
      <c r="O65" s="876"/>
      <c r="X65" s="39"/>
      <c r="Y65" s="39"/>
      <c r="Z65" s="39"/>
      <c r="AA65" s="39"/>
    </row>
    <row r="66" spans="2:27" ht="15.5">
      <c r="B66" s="877"/>
      <c r="C66" s="65" t="s">
        <v>1887</v>
      </c>
      <c r="D66" s="103" t="s">
        <v>2860</v>
      </c>
      <c r="E66" s="881"/>
      <c r="F66" s="2794">
        <f>0.4/SUM(F15+F24)</f>
        <v>0.16139855072171383</v>
      </c>
      <c r="G66" s="2795">
        <f>0.4/SUM(G15+G24)</f>
        <v>0.15564202334630353</v>
      </c>
      <c r="H66" s="2795">
        <f t="shared" ref="H66:N66" si="5">0.4/SUM(H15+H24)</f>
        <v>0.14196919275323427</v>
      </c>
      <c r="I66" s="2795">
        <f t="shared" si="5"/>
        <v>0.13114754098360656</v>
      </c>
      <c r="J66" s="2795">
        <f t="shared" si="5"/>
        <v>0.12121212121212123</v>
      </c>
      <c r="K66" s="2795">
        <f t="shared" si="5"/>
        <v>0.11560693641618498</v>
      </c>
      <c r="L66" s="2795">
        <f t="shared" si="5"/>
        <v>0.11049723756906078</v>
      </c>
      <c r="M66" s="2795">
        <f t="shared" si="5"/>
        <v>0.10554089709762533</v>
      </c>
      <c r="N66" s="2795">
        <f t="shared" si="5"/>
        <v>0.10050251256281408</v>
      </c>
      <c r="O66" s="876"/>
    </row>
    <row r="67" spans="2:27" s="3608" customFormat="1" ht="15.5">
      <c r="B67" s="877"/>
      <c r="C67" s="65" t="s">
        <v>669</v>
      </c>
      <c r="D67" s="103" t="s">
        <v>2861</v>
      </c>
      <c r="E67" s="103"/>
      <c r="F67" s="2796">
        <f>0.5/SUM(F15+F24)</f>
        <v>0.20174818840214226</v>
      </c>
      <c r="G67" s="2795">
        <v>0.22</v>
      </c>
      <c r="H67" s="2795">
        <v>0.21</v>
      </c>
      <c r="I67" s="2795">
        <v>0.21</v>
      </c>
      <c r="J67" s="2795">
        <v>0.21</v>
      </c>
      <c r="K67" s="2795">
        <v>0.21</v>
      </c>
      <c r="L67" s="2795">
        <v>0.21</v>
      </c>
      <c r="M67" s="2795">
        <v>0.24</v>
      </c>
      <c r="N67" s="2795">
        <v>0.24</v>
      </c>
      <c r="O67" s="876"/>
    </row>
    <row r="68" spans="2:27" ht="15.5">
      <c r="B68" s="877"/>
      <c r="C68" s="65" t="s">
        <v>676</v>
      </c>
      <c r="D68" s="103" t="s">
        <v>2116</v>
      </c>
      <c r="E68" s="103"/>
      <c r="F68" s="2796">
        <v>0.41</v>
      </c>
      <c r="G68" s="2795">
        <v>0.38151999999999997</v>
      </c>
      <c r="H68" s="2795">
        <v>0.37434000000000001</v>
      </c>
      <c r="I68" s="2795">
        <v>0.35421999999999998</v>
      </c>
      <c r="J68" s="2795">
        <v>0.33410000000000001</v>
      </c>
      <c r="K68" s="2795">
        <v>0.30979250000000003</v>
      </c>
      <c r="L68" s="2795">
        <v>0.28548499999999999</v>
      </c>
      <c r="M68" s="2795">
        <v>0.26117750000000001</v>
      </c>
      <c r="N68" s="2795">
        <v>0.23687</v>
      </c>
      <c r="O68" s="876"/>
    </row>
    <row r="69" spans="2:27" s="3608" customFormat="1" ht="15.5">
      <c r="B69" s="877"/>
      <c r="C69" s="65" t="s">
        <v>238</v>
      </c>
      <c r="D69" s="103" t="s">
        <v>2858</v>
      </c>
      <c r="E69" s="103"/>
      <c r="F69" s="2796">
        <v>7.0000000000000007E-2</v>
      </c>
      <c r="G69" s="2795">
        <v>7.0000000000000007E-2</v>
      </c>
      <c r="H69" s="2795">
        <f>0.7/SUM(H15+H24)</f>
        <v>0.24844608731815995</v>
      </c>
      <c r="I69" s="2795">
        <f t="shared" ref="I69:N69" si="6">0.7/SUM(I15+I24)</f>
        <v>0.22950819672131148</v>
      </c>
      <c r="J69" s="2795">
        <f t="shared" si="6"/>
        <v>0.21212121212121213</v>
      </c>
      <c r="K69" s="2795">
        <f t="shared" si="6"/>
        <v>0.20231213872832368</v>
      </c>
      <c r="L69" s="2795">
        <f t="shared" si="6"/>
        <v>0.19337016574585633</v>
      </c>
      <c r="M69" s="2795">
        <f t="shared" si="6"/>
        <v>0.18469656992084432</v>
      </c>
      <c r="N69" s="2795">
        <f t="shared" si="6"/>
        <v>0.17587939698492461</v>
      </c>
      <c r="O69" s="876"/>
    </row>
    <row r="70" spans="2:27" ht="15.5">
      <c r="B70" s="877"/>
      <c r="C70" s="887" t="s">
        <v>1895</v>
      </c>
      <c r="D70" s="888" t="s">
        <v>2859</v>
      </c>
      <c r="E70" s="888"/>
      <c r="F70" s="2797">
        <v>0.16</v>
      </c>
      <c r="G70" s="2798">
        <v>0.18</v>
      </c>
      <c r="H70" s="2798">
        <v>0.03</v>
      </c>
      <c r="I70" s="2798">
        <v>0.08</v>
      </c>
      <c r="J70" s="2798">
        <v>0.12</v>
      </c>
      <c r="K70" s="2798">
        <v>0.16</v>
      </c>
      <c r="L70" s="2798">
        <v>0.2</v>
      </c>
      <c r="M70" s="2798">
        <v>0.21</v>
      </c>
      <c r="N70" s="2798">
        <v>0.25</v>
      </c>
      <c r="O70" s="876"/>
    </row>
    <row r="71" spans="2:27">
      <c r="B71" s="895"/>
      <c r="C71" s="67"/>
      <c r="D71" s="195" t="s">
        <v>58</v>
      </c>
      <c r="E71" s="67"/>
      <c r="F71" s="1086">
        <f t="shared" ref="F71:N71" si="7">SUM(F66:F70)</f>
        <v>1.003146739123856</v>
      </c>
      <c r="G71" s="1086">
        <f t="shared" si="7"/>
        <v>1.0071620233463034</v>
      </c>
      <c r="H71" s="1086">
        <f t="shared" si="7"/>
        <v>1.0047552800713941</v>
      </c>
      <c r="I71" s="1086">
        <f t="shared" si="7"/>
        <v>1.004875737704918</v>
      </c>
      <c r="J71" s="1086">
        <f t="shared" si="7"/>
        <v>0.99743333333333339</v>
      </c>
      <c r="K71" s="1086">
        <f t="shared" si="7"/>
        <v>0.9977115751445087</v>
      </c>
      <c r="L71" s="1086">
        <f t="shared" si="7"/>
        <v>0.99935240331491704</v>
      </c>
      <c r="M71" s="1086">
        <f t="shared" si="7"/>
        <v>1.0014149670184695</v>
      </c>
      <c r="N71" s="1086">
        <f t="shared" si="7"/>
        <v>1.0032519095477386</v>
      </c>
      <c r="O71" s="876"/>
    </row>
    <row r="72" spans="2:27">
      <c r="B72" s="895"/>
      <c r="C72" s="969"/>
      <c r="D72" s="2998" t="s">
        <v>455</v>
      </c>
      <c r="E72" s="969"/>
      <c r="F72" s="3695">
        <f>F66+F68+F69</f>
        <v>0.64139855072171392</v>
      </c>
      <c r="G72" s="3695">
        <f t="shared" ref="G72:N72" si="8">G66+G68+G69</f>
        <v>0.60716202334630354</v>
      </c>
      <c r="H72" s="3695">
        <f t="shared" si="8"/>
        <v>0.76475528007139426</v>
      </c>
      <c r="I72" s="3695">
        <f t="shared" si="8"/>
        <v>0.71487573770491808</v>
      </c>
      <c r="J72" s="3695">
        <f t="shared" si="8"/>
        <v>0.66743333333333332</v>
      </c>
      <c r="K72" s="3695">
        <f t="shared" si="8"/>
        <v>0.6277115751445087</v>
      </c>
      <c r="L72" s="3695">
        <f t="shared" si="8"/>
        <v>0.58935240331491712</v>
      </c>
      <c r="M72" s="3695">
        <f t="shared" si="8"/>
        <v>0.55141496701846959</v>
      </c>
      <c r="N72" s="3695">
        <f t="shared" si="8"/>
        <v>0.51325190954773869</v>
      </c>
      <c r="O72" s="876"/>
    </row>
    <row r="73" spans="2:27">
      <c r="B73" s="895"/>
      <c r="C73" s="49" t="s">
        <v>1132</v>
      </c>
      <c r="D73" s="195"/>
      <c r="E73" s="67"/>
      <c r="F73" s="67"/>
      <c r="G73" s="67"/>
      <c r="H73" s="67"/>
      <c r="I73" s="67"/>
      <c r="J73" s="67"/>
      <c r="K73" s="67"/>
      <c r="L73" s="67"/>
      <c r="M73" s="67"/>
      <c r="N73" s="51" t="s">
        <v>2114</v>
      </c>
      <c r="O73" s="876"/>
    </row>
    <row r="74" spans="2:27">
      <c r="B74" s="895"/>
      <c r="C74" s="67"/>
      <c r="D74" s="67"/>
      <c r="E74" s="67"/>
      <c r="F74" s="67"/>
      <c r="G74" s="67"/>
      <c r="H74" s="67"/>
      <c r="I74" s="67"/>
      <c r="J74" s="67"/>
      <c r="K74" s="67"/>
      <c r="L74" s="67"/>
      <c r="M74" s="67"/>
      <c r="N74" s="67"/>
      <c r="O74" s="876"/>
    </row>
    <row r="75" spans="2:27" ht="15.5">
      <c r="B75" s="877"/>
      <c r="C75" s="878" t="s">
        <v>2115</v>
      </c>
      <c r="D75" s="878" t="s">
        <v>71</v>
      </c>
      <c r="E75" s="878"/>
      <c r="F75" s="899">
        <v>2013</v>
      </c>
      <c r="G75" s="87">
        <v>2015</v>
      </c>
      <c r="H75" s="87">
        <v>2020</v>
      </c>
      <c r="I75" s="87">
        <v>2025</v>
      </c>
      <c r="J75" s="87">
        <v>2030</v>
      </c>
      <c r="K75" s="87">
        <v>2035</v>
      </c>
      <c r="L75" s="87">
        <v>2040</v>
      </c>
      <c r="M75" s="87">
        <v>2045</v>
      </c>
      <c r="N75" s="87">
        <v>2050</v>
      </c>
      <c r="O75" s="876"/>
    </row>
    <row r="76" spans="2:27" ht="15.5">
      <c r="B76" s="877"/>
      <c r="C76" s="65" t="s">
        <v>1887</v>
      </c>
      <c r="D76" s="103" t="s">
        <v>2860</v>
      </c>
      <c r="E76" s="881"/>
      <c r="F76" s="2794">
        <v>0.16</v>
      </c>
      <c r="G76" s="2795">
        <v>0.15999999999999998</v>
      </c>
      <c r="H76" s="2795">
        <v>0.18</v>
      </c>
      <c r="I76" s="2795">
        <v>0.19999999999999998</v>
      </c>
      <c r="J76" s="2795">
        <v>0.21999999999999997</v>
      </c>
      <c r="K76" s="2795">
        <v>0.24</v>
      </c>
      <c r="L76" s="2795">
        <v>0.26</v>
      </c>
      <c r="M76" s="2795">
        <v>0.28000000000000003</v>
      </c>
      <c r="N76" s="2795">
        <v>0.3</v>
      </c>
      <c r="O76" s="876"/>
    </row>
    <row r="77" spans="2:27" s="3608" customFormat="1" ht="15.5">
      <c r="B77" s="877"/>
      <c r="C77" s="65" t="s">
        <v>669</v>
      </c>
      <c r="D77" s="103" t="s">
        <v>2861</v>
      </c>
      <c r="E77" s="103"/>
      <c r="F77" s="2796">
        <v>0.2</v>
      </c>
      <c r="G77" s="2795">
        <v>0.21999999999999997</v>
      </c>
      <c r="H77" s="2795">
        <v>0.24285714285714283</v>
      </c>
      <c r="I77" s="2795">
        <v>0.26571428571428568</v>
      </c>
      <c r="J77" s="2795">
        <v>0.28857142857142859</v>
      </c>
      <c r="K77" s="2795">
        <v>0.31142857142857139</v>
      </c>
      <c r="L77" s="2795">
        <v>0.3342857142857143</v>
      </c>
      <c r="M77" s="2795">
        <v>0.35714285714285715</v>
      </c>
      <c r="N77" s="2795">
        <v>0.38</v>
      </c>
      <c r="O77" s="876"/>
    </row>
    <row r="78" spans="2:27" ht="15.5">
      <c r="B78" s="877"/>
      <c r="C78" s="65" t="s">
        <v>676</v>
      </c>
      <c r="D78" s="103" t="s">
        <v>2116</v>
      </c>
      <c r="E78" s="103"/>
      <c r="F78" s="2796">
        <v>0.41</v>
      </c>
      <c r="G78" s="2795">
        <v>0.35</v>
      </c>
      <c r="H78" s="2795">
        <v>0.28149999999999997</v>
      </c>
      <c r="I78" s="2795">
        <v>0.24540000000000001</v>
      </c>
      <c r="J78" s="2795">
        <v>0.20930000000000001</v>
      </c>
      <c r="K78" s="2795">
        <v>0.18485000000000001</v>
      </c>
      <c r="L78" s="2795">
        <v>0.16040000000000001</v>
      </c>
      <c r="M78" s="2795">
        <v>0.13595000000000002</v>
      </c>
      <c r="N78" s="2795">
        <v>0.1115</v>
      </c>
      <c r="O78" s="876"/>
    </row>
    <row r="79" spans="2:27" s="3608" customFormat="1" ht="15.5">
      <c r="B79" s="877"/>
      <c r="C79" s="65" t="s">
        <v>238</v>
      </c>
      <c r="D79" s="103" t="s">
        <v>2858</v>
      </c>
      <c r="E79" s="103"/>
      <c r="F79" s="2796">
        <v>7.0000000000000007E-2</v>
      </c>
      <c r="G79" s="2795">
        <v>7.0000000000000007E-2</v>
      </c>
      <c r="H79" s="2795">
        <v>0.24844608731815995</v>
      </c>
      <c r="I79" s="2795">
        <v>0.22950819672131148</v>
      </c>
      <c r="J79" s="2795">
        <v>0.21212121212121213</v>
      </c>
      <c r="K79" s="2795">
        <v>0.20231213872832368</v>
      </c>
      <c r="L79" s="2795">
        <v>0.19337016574585633</v>
      </c>
      <c r="M79" s="2795">
        <v>0.18469656992084432</v>
      </c>
      <c r="N79" s="2795">
        <v>0.17587939698492461</v>
      </c>
      <c r="O79" s="876"/>
    </row>
    <row r="80" spans="2:27" ht="15.5">
      <c r="B80" s="877"/>
      <c r="C80" s="887" t="s">
        <v>1895</v>
      </c>
      <c r="D80" s="888" t="s">
        <v>2859</v>
      </c>
      <c r="E80" s="888"/>
      <c r="F80" s="2797">
        <v>0.16</v>
      </c>
      <c r="G80" s="2798">
        <v>0.2</v>
      </c>
      <c r="H80" s="2798">
        <v>0.05</v>
      </c>
      <c r="I80" s="2798">
        <v>0.06</v>
      </c>
      <c r="J80" s="2798">
        <v>7.0000000000000007E-2</v>
      </c>
      <c r="K80" s="2798">
        <v>0.06</v>
      </c>
      <c r="L80" s="2798">
        <v>0.05</v>
      </c>
      <c r="M80" s="2798">
        <v>0.04</v>
      </c>
      <c r="N80" s="2798">
        <v>0.03</v>
      </c>
      <c r="O80" s="876"/>
    </row>
    <row r="81" spans="2:15">
      <c r="B81" s="895"/>
      <c r="C81" s="67"/>
      <c r="D81" s="195" t="s">
        <v>58</v>
      </c>
      <c r="E81" s="67"/>
      <c r="F81" s="1086">
        <f>SUM(F76:F80)</f>
        <v>1</v>
      </c>
      <c r="G81" s="1086">
        <f t="shared" ref="G81:N81" si="9">SUM(G76:G80)</f>
        <v>1</v>
      </c>
      <c r="H81" s="1086">
        <f t="shared" si="9"/>
        <v>1.0028032301753027</v>
      </c>
      <c r="I81" s="1086">
        <f t="shared" si="9"/>
        <v>1.0006224824355971</v>
      </c>
      <c r="J81" s="1086">
        <f t="shared" si="9"/>
        <v>0.99999264069264071</v>
      </c>
      <c r="K81" s="1086">
        <f t="shared" si="9"/>
        <v>0.99859071015689493</v>
      </c>
      <c r="L81" s="1086">
        <f t="shared" si="9"/>
        <v>0.99805588003157064</v>
      </c>
      <c r="M81" s="1086">
        <f t="shared" si="9"/>
        <v>0.99778942706370155</v>
      </c>
      <c r="N81" s="1086">
        <f t="shared" si="9"/>
        <v>0.99737939698492462</v>
      </c>
      <c r="O81" s="876"/>
    </row>
    <row r="82" spans="2:15">
      <c r="B82" s="895"/>
      <c r="C82" s="969"/>
      <c r="D82" s="2998" t="s">
        <v>455</v>
      </c>
      <c r="E82" s="969"/>
      <c r="F82" s="3695">
        <f>F76+F78+F79</f>
        <v>0.6399999999999999</v>
      </c>
      <c r="G82" s="3695">
        <f t="shared" ref="G82:N82" si="10">G76+G78+G79</f>
        <v>0.58000000000000007</v>
      </c>
      <c r="H82" s="3695">
        <f t="shared" si="10"/>
        <v>0.70994608731815989</v>
      </c>
      <c r="I82" s="3695">
        <f t="shared" si="10"/>
        <v>0.67490819672131153</v>
      </c>
      <c r="J82" s="3695">
        <f t="shared" si="10"/>
        <v>0.64142121212121217</v>
      </c>
      <c r="K82" s="3695">
        <f t="shared" si="10"/>
        <v>0.62716213872832371</v>
      </c>
      <c r="L82" s="3695">
        <f t="shared" si="10"/>
        <v>0.6137701657458563</v>
      </c>
      <c r="M82" s="3695">
        <f t="shared" si="10"/>
        <v>0.60064656992084431</v>
      </c>
      <c r="N82" s="3695">
        <f t="shared" si="10"/>
        <v>0.58737939698492458</v>
      </c>
      <c r="O82" s="876"/>
    </row>
    <row r="83" spans="2:15">
      <c r="B83" s="895"/>
      <c r="C83" s="49" t="s">
        <v>1133</v>
      </c>
      <c r="D83" s="195" t="s">
        <v>5</v>
      </c>
      <c r="E83" s="67"/>
      <c r="F83" s="67"/>
      <c r="G83" s="67"/>
      <c r="H83" s="67"/>
      <c r="I83" s="67"/>
      <c r="J83" s="67"/>
      <c r="K83" s="67"/>
      <c r="L83" s="67"/>
      <c r="M83" s="67"/>
      <c r="N83" s="51" t="s">
        <v>2114</v>
      </c>
      <c r="O83" s="876"/>
    </row>
    <row r="84" spans="2:15">
      <c r="B84" s="895"/>
      <c r="C84" s="67"/>
      <c r="D84" s="67"/>
      <c r="E84" s="67"/>
      <c r="F84" s="67"/>
      <c r="G84" s="67" t="s">
        <v>5</v>
      </c>
      <c r="H84" s="67"/>
      <c r="I84" s="67"/>
      <c r="J84" s="67"/>
      <c r="K84" s="67"/>
      <c r="L84" s="67"/>
      <c r="M84" s="67"/>
      <c r="N84" s="67"/>
      <c r="O84" s="876"/>
    </row>
    <row r="85" spans="2:15" ht="15.5">
      <c r="B85" s="877"/>
      <c r="C85" s="878" t="s">
        <v>2115</v>
      </c>
      <c r="D85" s="878" t="s">
        <v>71</v>
      </c>
      <c r="E85" s="878"/>
      <c r="F85" s="899">
        <v>2013</v>
      </c>
      <c r="G85" s="87">
        <v>2015</v>
      </c>
      <c r="H85" s="87">
        <v>2020</v>
      </c>
      <c r="I85" s="87">
        <v>2025</v>
      </c>
      <c r="J85" s="87">
        <v>2030</v>
      </c>
      <c r="K85" s="87">
        <v>2035</v>
      </c>
      <c r="L85" s="87">
        <v>2040</v>
      </c>
      <c r="M85" s="87">
        <v>2045</v>
      </c>
      <c r="N85" s="87">
        <v>2050</v>
      </c>
      <c r="O85" s="876"/>
    </row>
    <row r="86" spans="2:15" ht="15.5">
      <c r="B86" s="877"/>
      <c r="C86" s="65" t="s">
        <v>1887</v>
      </c>
      <c r="D86" s="103" t="s">
        <v>2860</v>
      </c>
      <c r="E86" s="881"/>
      <c r="F86" s="2794">
        <v>0.16</v>
      </c>
      <c r="G86" s="2795">
        <v>0.17</v>
      </c>
      <c r="H86" s="2795">
        <v>0.20428571428571429</v>
      </c>
      <c r="I86" s="2795">
        <v>0.23857142857142857</v>
      </c>
      <c r="J86" s="2795">
        <v>0.27285714285714285</v>
      </c>
      <c r="K86" s="2795">
        <v>0.30714285714285716</v>
      </c>
      <c r="L86" s="2795">
        <v>0.34142857142857141</v>
      </c>
      <c r="M86" s="2795">
        <v>0.37571428571428567</v>
      </c>
      <c r="N86" s="2795">
        <v>0.41</v>
      </c>
      <c r="O86" s="876"/>
    </row>
    <row r="87" spans="2:15" s="3608" customFormat="1" ht="15.5">
      <c r="B87" s="877"/>
      <c r="C87" s="65" t="s">
        <v>669</v>
      </c>
      <c r="D87" s="103" t="s">
        <v>2861</v>
      </c>
      <c r="E87" s="103"/>
      <c r="F87" s="2796">
        <v>0.2</v>
      </c>
      <c r="G87" s="2795">
        <v>0.22</v>
      </c>
      <c r="H87" s="2795">
        <v>0.24571428571428572</v>
      </c>
      <c r="I87" s="2795">
        <f>27.1428571428571%-5%</f>
        <v>0.22142857142857103</v>
      </c>
      <c r="J87" s="2795">
        <f>29.7142857142857%-8%</f>
        <v>0.21714285714285697</v>
      </c>
      <c r="K87" s="2795">
        <f>32.2857142857143%-10%</f>
        <v>0.222857142857143</v>
      </c>
      <c r="L87" s="2795">
        <f>34.8571428571429%-15%</f>
        <v>0.19857142857142898</v>
      </c>
      <c r="M87" s="2795">
        <f>37.4285714285714%-25%</f>
        <v>0.124285714285714</v>
      </c>
      <c r="N87" s="2795">
        <v>0.1</v>
      </c>
      <c r="O87" s="876"/>
    </row>
    <row r="88" spans="2:15" ht="15.5">
      <c r="B88" s="877"/>
      <c r="C88" s="65" t="s">
        <v>676</v>
      </c>
      <c r="D88" s="103" t="s">
        <v>2116</v>
      </c>
      <c r="E88" s="103"/>
      <c r="F88" s="2796">
        <v>0.41</v>
      </c>
      <c r="G88" s="2795">
        <v>0.35</v>
      </c>
      <c r="H88" s="2795">
        <v>0.19650000000000001</v>
      </c>
      <c r="I88" s="2795">
        <v>0.13184999999999999</v>
      </c>
      <c r="J88" s="2795">
        <v>6.7199999999999996E-2</v>
      </c>
      <c r="K88" s="2795">
        <v>5.5149999999999998E-2</v>
      </c>
      <c r="L88" s="2795">
        <v>4.3099999999999999E-2</v>
      </c>
      <c r="M88" s="2795">
        <v>3.1050000000000001E-2</v>
      </c>
      <c r="N88" s="2795">
        <v>1.9E-2</v>
      </c>
      <c r="O88" s="876"/>
    </row>
    <row r="89" spans="2:15" s="3608" customFormat="1" ht="15.5">
      <c r="B89" s="877"/>
      <c r="C89" s="65" t="s">
        <v>238</v>
      </c>
      <c r="D89" s="103" t="s">
        <v>2858</v>
      </c>
      <c r="E89" s="103"/>
      <c r="F89" s="2796">
        <v>7.0000000000000007E-2</v>
      </c>
      <c r="G89" s="2795">
        <v>7.0000000000000007E-2</v>
      </c>
      <c r="H89" s="2795">
        <v>0.24844608731815995</v>
      </c>
      <c r="I89" s="2795">
        <f>5%+22.9508196721311%</f>
        <v>0.279508196721311</v>
      </c>
      <c r="J89" s="2795">
        <f>8%+21.2121212121212%</f>
        <v>0.292121212121212</v>
      </c>
      <c r="K89" s="2795">
        <f>10%+20.2312138728324%</f>
        <v>0.30231213872832396</v>
      </c>
      <c r="L89" s="2795">
        <f>15%+19.3370165745856%</f>
        <v>0.34337016574585599</v>
      </c>
      <c r="M89" s="2795">
        <f>25%+18.4696569920844%</f>
        <v>0.43469656992084399</v>
      </c>
      <c r="N89" s="2795">
        <v>0.47</v>
      </c>
      <c r="O89" s="876"/>
    </row>
    <row r="90" spans="2:15" ht="15.5">
      <c r="B90" s="877"/>
      <c r="C90" s="887" t="s">
        <v>1895</v>
      </c>
      <c r="D90" s="888" t="s">
        <v>2859</v>
      </c>
      <c r="E90" s="888"/>
      <c r="F90" s="2797">
        <v>0.16</v>
      </c>
      <c r="G90" s="2798">
        <v>0.19</v>
      </c>
      <c r="H90" s="2798">
        <v>0.11</v>
      </c>
      <c r="I90" s="2798">
        <v>0.13</v>
      </c>
      <c r="J90" s="2798">
        <v>0.15</v>
      </c>
      <c r="K90" s="2798">
        <v>0.11</v>
      </c>
      <c r="L90" s="2798">
        <v>7.0000000000000007E-2</v>
      </c>
      <c r="M90" s="2798">
        <v>0.03</v>
      </c>
      <c r="N90" s="2798">
        <v>0</v>
      </c>
      <c r="O90" s="876"/>
    </row>
    <row r="91" spans="2:15">
      <c r="B91" s="895"/>
      <c r="C91" s="67"/>
      <c r="D91" s="195" t="s">
        <v>58</v>
      </c>
      <c r="E91" s="67"/>
      <c r="F91" s="1086">
        <f t="shared" ref="F91:N91" si="11">SUM(F86:F90)</f>
        <v>1</v>
      </c>
      <c r="G91" s="1086">
        <f t="shared" si="11"/>
        <v>1</v>
      </c>
      <c r="H91" s="1086">
        <f t="shared" si="11"/>
        <v>1.0049460873181602</v>
      </c>
      <c r="I91" s="1086">
        <f t="shared" si="11"/>
        <v>1.0013581967213105</v>
      </c>
      <c r="J91" s="1086">
        <f t="shared" si="11"/>
        <v>0.99932121212121183</v>
      </c>
      <c r="K91" s="1086">
        <f t="shared" si="11"/>
        <v>0.99746213872832412</v>
      </c>
      <c r="L91" s="1086">
        <f t="shared" si="11"/>
        <v>0.99647016574585634</v>
      </c>
      <c r="M91" s="1086">
        <f t="shared" si="11"/>
        <v>0.99574656992084365</v>
      </c>
      <c r="N91" s="1086">
        <f t="shared" si="11"/>
        <v>0.999</v>
      </c>
      <c r="O91" s="876"/>
    </row>
    <row r="92" spans="2:15">
      <c r="B92" s="895"/>
      <c r="C92" s="969"/>
      <c r="D92" s="2998" t="s">
        <v>455</v>
      </c>
      <c r="E92" s="969"/>
      <c r="F92" s="3695">
        <f>F86+F88+F89</f>
        <v>0.6399999999999999</v>
      </c>
      <c r="G92" s="3695">
        <f t="shared" ref="G92:N92" si="12">G86+G88+G89</f>
        <v>0.59000000000000008</v>
      </c>
      <c r="H92" s="3695">
        <f t="shared" si="12"/>
        <v>0.64923180160387428</v>
      </c>
      <c r="I92" s="3695">
        <f t="shared" si="12"/>
        <v>0.64992962529273957</v>
      </c>
      <c r="J92" s="3695">
        <f t="shared" si="12"/>
        <v>0.63217835497835484</v>
      </c>
      <c r="K92" s="3695">
        <f t="shared" si="12"/>
        <v>0.66460499587118105</v>
      </c>
      <c r="L92" s="3695">
        <f t="shared" si="12"/>
        <v>0.72789873717442743</v>
      </c>
      <c r="M92" s="3695">
        <f t="shared" si="12"/>
        <v>0.84146085563512973</v>
      </c>
      <c r="N92" s="3695">
        <f t="shared" si="12"/>
        <v>0.89900000000000002</v>
      </c>
      <c r="O92" s="876"/>
    </row>
    <row r="93" spans="2:15">
      <c r="B93" s="895"/>
      <c r="C93" s="49" t="s">
        <v>1134</v>
      </c>
      <c r="D93" s="195"/>
      <c r="E93" s="67"/>
      <c r="F93" s="67" t="s">
        <v>5</v>
      </c>
      <c r="G93" s="67" t="s">
        <v>5</v>
      </c>
      <c r="H93" s="67"/>
      <c r="I93" s="67"/>
      <c r="J93" s="67"/>
      <c r="K93" s="67"/>
      <c r="L93" s="67"/>
      <c r="M93" s="67"/>
      <c r="N93" s="51" t="s">
        <v>2114</v>
      </c>
      <c r="O93" s="876"/>
    </row>
    <row r="94" spans="2:15">
      <c r="B94" s="895"/>
      <c r="C94" s="67"/>
      <c r="D94" s="67"/>
      <c r="E94" s="67"/>
      <c r="F94" s="67"/>
      <c r="G94" s="67"/>
      <c r="H94" s="67"/>
      <c r="I94" s="67"/>
      <c r="J94" s="67"/>
      <c r="K94" s="67"/>
      <c r="L94" s="67"/>
      <c r="M94" s="67"/>
      <c r="N94" s="67"/>
      <c r="O94" s="876"/>
    </row>
    <row r="95" spans="2:15" ht="15.5">
      <c r="B95" s="877"/>
      <c r="C95" s="878" t="s">
        <v>2115</v>
      </c>
      <c r="D95" s="878" t="s">
        <v>71</v>
      </c>
      <c r="E95" s="878"/>
      <c r="F95" s="899">
        <v>2013</v>
      </c>
      <c r="G95" s="87">
        <v>2015</v>
      </c>
      <c r="H95" s="87">
        <v>2020</v>
      </c>
      <c r="I95" s="87">
        <v>2025</v>
      </c>
      <c r="J95" s="87">
        <v>2030</v>
      </c>
      <c r="K95" s="87">
        <v>2035</v>
      </c>
      <c r="L95" s="87">
        <v>2040</v>
      </c>
      <c r="M95" s="87">
        <v>2045</v>
      </c>
      <c r="N95" s="87">
        <v>2050</v>
      </c>
      <c r="O95" s="876"/>
    </row>
    <row r="96" spans="2:15" ht="15.5">
      <c r="B96" s="877"/>
      <c r="C96" s="65" t="s">
        <v>1887</v>
      </c>
      <c r="D96" s="103" t="s">
        <v>2860</v>
      </c>
      <c r="E96" s="881"/>
      <c r="F96" s="2794">
        <v>0.16</v>
      </c>
      <c r="G96" s="2795">
        <v>0.17</v>
      </c>
      <c r="H96" s="2795">
        <v>0.22428571428571431</v>
      </c>
      <c r="I96" s="2795">
        <v>0.27857142857142858</v>
      </c>
      <c r="J96" s="2795">
        <v>0.33285714285714291</v>
      </c>
      <c r="K96" s="2795">
        <v>0.38714285714285718</v>
      </c>
      <c r="L96" s="2795">
        <f>44.1428571428572%+2%</f>
        <v>0.46142857142857202</v>
      </c>
      <c r="M96" s="2795">
        <f>49.5714285714286%+5%</f>
        <v>0.54571428571428604</v>
      </c>
      <c r="N96" s="2795">
        <f>55%+10%</f>
        <v>0.65</v>
      </c>
      <c r="O96" s="876"/>
    </row>
    <row r="97" spans="2:15" s="3608" customFormat="1" ht="15.5">
      <c r="B97" s="877"/>
      <c r="C97" s="65" t="s">
        <v>669</v>
      </c>
      <c r="D97" s="103" t="s">
        <v>2861</v>
      </c>
      <c r="E97" s="103"/>
      <c r="F97" s="2796">
        <v>0.2</v>
      </c>
      <c r="G97" s="2795">
        <v>0.22</v>
      </c>
      <c r="H97" s="2795">
        <v>0.22285714285714284</v>
      </c>
      <c r="I97" s="2795">
        <v>0.2257142857142857</v>
      </c>
      <c r="J97" s="2795">
        <f>22.8571428571429%-1%</f>
        <v>0.218571428571429</v>
      </c>
      <c r="K97" s="2795">
        <f>23.1428571428571%-2%</f>
        <v>0.21142857142857099</v>
      </c>
      <c r="L97" s="2795">
        <f>23.4285714285714%-5%</f>
        <v>0.184285714285714</v>
      </c>
      <c r="M97" s="2795">
        <f>23.7142857142857%-9%</f>
        <v>0.14714285714285702</v>
      </c>
      <c r="N97" s="2795">
        <f>24%-14%</f>
        <v>9.9999999999999978E-2</v>
      </c>
      <c r="O97" s="876"/>
    </row>
    <row r="98" spans="2:15" ht="15.5">
      <c r="B98" s="877"/>
      <c r="C98" s="65" t="s">
        <v>676</v>
      </c>
      <c r="D98" s="103" t="s">
        <v>2116</v>
      </c>
      <c r="E98" s="103"/>
      <c r="F98" s="2796">
        <v>0.41</v>
      </c>
      <c r="G98" s="2795">
        <v>0.35</v>
      </c>
      <c r="H98" s="2795">
        <v>0.19969999999999999</v>
      </c>
      <c r="I98" s="2795">
        <v>0.14939999999999998</v>
      </c>
      <c r="J98" s="2795">
        <v>9.9099999999999994E-2</v>
      </c>
      <c r="K98" s="2795">
        <v>8.1674999999999998E-2</v>
      </c>
      <c r="L98" s="2795">
        <v>6.4250000000000002E-2</v>
      </c>
      <c r="M98" s="2795">
        <v>4.6824999999999999E-2</v>
      </c>
      <c r="N98" s="2795">
        <v>2.9399999999999999E-2</v>
      </c>
      <c r="O98" s="876"/>
    </row>
    <row r="99" spans="2:15" s="3608" customFormat="1" ht="15.5">
      <c r="B99" s="877"/>
      <c r="C99" s="65" t="s">
        <v>238</v>
      </c>
      <c r="D99" s="103" t="s">
        <v>2858</v>
      </c>
      <c r="E99" s="103"/>
      <c r="F99" s="2796">
        <v>7.0000000000000007E-2</v>
      </c>
      <c r="G99" s="2795">
        <v>7.0000000000000007E-2</v>
      </c>
      <c r="H99" s="2795">
        <v>0.24844608731815995</v>
      </c>
      <c r="I99" s="2795">
        <v>0.22950819672131148</v>
      </c>
      <c r="J99" s="2795">
        <f>1%+21.2121212121212%</f>
        <v>0.22212121212121202</v>
      </c>
      <c r="K99" s="2795">
        <f>20.2312138728324%+2%</f>
        <v>0.22231213872832398</v>
      </c>
      <c r="L99" s="2795">
        <f>3%+19.3370165745856%</f>
        <v>0.223370165745856</v>
      </c>
      <c r="M99" s="2795">
        <f>4%+18.4696569920844%</f>
        <v>0.224696569920844</v>
      </c>
      <c r="N99" s="2795">
        <f>18%+4%</f>
        <v>0.22</v>
      </c>
      <c r="O99" s="876"/>
    </row>
    <row r="100" spans="2:15" ht="15.5">
      <c r="B100" s="877"/>
      <c r="C100" s="887" t="s">
        <v>1895</v>
      </c>
      <c r="D100" s="888" t="s">
        <v>2859</v>
      </c>
      <c r="E100" s="888"/>
      <c r="F100" s="2797">
        <v>0.16</v>
      </c>
      <c r="G100" s="2798">
        <v>0.19</v>
      </c>
      <c r="H100" s="2798">
        <v>0.1</v>
      </c>
      <c r="I100" s="2798">
        <v>0.12</v>
      </c>
      <c r="J100" s="2798">
        <v>0.13</v>
      </c>
      <c r="K100" s="2798">
        <v>0.1</v>
      </c>
      <c r="L100" s="2798">
        <v>7.0000000000000007E-2</v>
      </c>
      <c r="M100" s="2798">
        <v>0.04</v>
      </c>
      <c r="N100" s="2798">
        <v>0</v>
      </c>
      <c r="O100" s="876"/>
    </row>
    <row r="101" spans="2:15">
      <c r="B101" s="895"/>
      <c r="C101" s="67"/>
      <c r="D101" s="195" t="s">
        <v>58</v>
      </c>
      <c r="E101" s="67"/>
      <c r="F101" s="1086">
        <f t="shared" ref="F101:N101" si="13">SUM(F96:F100)</f>
        <v>1</v>
      </c>
      <c r="G101" s="1086">
        <f t="shared" si="13"/>
        <v>1</v>
      </c>
      <c r="H101" s="1086">
        <f t="shared" si="13"/>
        <v>0.99528894446101712</v>
      </c>
      <c r="I101" s="1086">
        <f t="shared" si="13"/>
        <v>1.0031939110070258</v>
      </c>
      <c r="J101" s="1086">
        <f t="shared" si="13"/>
        <v>1.0026497835497841</v>
      </c>
      <c r="K101" s="1086">
        <f t="shared" si="13"/>
        <v>1.0025585672997523</v>
      </c>
      <c r="L101" s="1086">
        <f t="shared" si="13"/>
        <v>1.0033344514601421</v>
      </c>
      <c r="M101" s="1086">
        <f t="shared" si="13"/>
        <v>1.0043787127779871</v>
      </c>
      <c r="N101" s="1086">
        <f t="shared" si="13"/>
        <v>0.99939999999999996</v>
      </c>
      <c r="O101" s="876"/>
    </row>
    <row r="102" spans="2:15">
      <c r="B102" s="895"/>
      <c r="C102" s="969"/>
      <c r="D102" s="2998" t="s">
        <v>455</v>
      </c>
      <c r="E102" s="969"/>
      <c r="F102" s="3695">
        <f>F96+F98+F99</f>
        <v>0.6399999999999999</v>
      </c>
      <c r="G102" s="3695">
        <f t="shared" ref="G102:N102" si="14">G96+G98+G99</f>
        <v>0.59000000000000008</v>
      </c>
      <c r="H102" s="3695">
        <f t="shared" si="14"/>
        <v>0.67243180160387428</v>
      </c>
      <c r="I102" s="3695">
        <f t="shared" si="14"/>
        <v>0.65747962529274007</v>
      </c>
      <c r="J102" s="3695">
        <f t="shared" si="14"/>
        <v>0.65407835497835498</v>
      </c>
      <c r="K102" s="3695">
        <f t="shared" si="14"/>
        <v>0.69112999587118118</v>
      </c>
      <c r="L102" s="3695">
        <f t="shared" si="14"/>
        <v>0.74904873717442799</v>
      </c>
      <c r="M102" s="3695">
        <f t="shared" si="14"/>
        <v>0.81723585563513002</v>
      </c>
      <c r="N102" s="3695">
        <f t="shared" si="14"/>
        <v>0.89939999999999998</v>
      </c>
      <c r="O102" s="876"/>
    </row>
    <row r="103" spans="2:15">
      <c r="B103" s="2243"/>
      <c r="C103" s="873"/>
      <c r="D103" s="2793"/>
      <c r="E103" s="873"/>
      <c r="F103" s="873"/>
      <c r="G103" s="873" t="s">
        <v>5</v>
      </c>
      <c r="H103" s="873"/>
      <c r="I103" s="873"/>
      <c r="J103" s="873"/>
      <c r="K103" s="873"/>
      <c r="L103" s="873"/>
      <c r="M103" s="873"/>
      <c r="N103" s="873"/>
      <c r="O103" s="874"/>
    </row>
    <row r="104" spans="2:15">
      <c r="B104" s="895"/>
      <c r="C104" s="49" t="s">
        <v>2117</v>
      </c>
      <c r="D104" s="195"/>
      <c r="E104" s="67"/>
      <c r="F104" s="67"/>
      <c r="G104" s="67"/>
      <c r="H104" s="67"/>
      <c r="I104" s="67"/>
      <c r="J104" s="67"/>
      <c r="K104" s="67"/>
      <c r="L104" s="67"/>
      <c r="M104" s="67"/>
      <c r="N104" s="51" t="s">
        <v>2118</v>
      </c>
      <c r="O104" s="876"/>
    </row>
    <row r="105" spans="2:15">
      <c r="B105" s="895"/>
      <c r="C105" s="67"/>
      <c r="D105" s="67"/>
      <c r="E105" s="67"/>
      <c r="F105" s="67"/>
      <c r="G105" s="67"/>
      <c r="H105" s="67"/>
      <c r="I105" s="67"/>
      <c r="J105" s="67"/>
      <c r="K105" s="67"/>
      <c r="L105" s="67"/>
      <c r="M105" s="67"/>
      <c r="N105" s="67"/>
      <c r="O105" s="876"/>
    </row>
    <row r="106" spans="2:15" ht="15.5">
      <c r="B106" s="877"/>
      <c r="C106" s="878" t="s">
        <v>8</v>
      </c>
      <c r="D106" s="878" t="s">
        <v>71</v>
      </c>
      <c r="E106" s="878"/>
      <c r="F106" s="899">
        <v>2013</v>
      </c>
      <c r="G106" s="87">
        <v>2015</v>
      </c>
      <c r="H106" s="87">
        <v>2020</v>
      </c>
      <c r="I106" s="87">
        <v>2025</v>
      </c>
      <c r="J106" s="87">
        <v>2030</v>
      </c>
      <c r="K106" s="87">
        <v>2035</v>
      </c>
      <c r="L106" s="87">
        <v>2040</v>
      </c>
      <c r="M106" s="87">
        <v>2045</v>
      </c>
      <c r="N106" s="87">
        <v>2050</v>
      </c>
      <c r="O106" s="876"/>
    </row>
    <row r="107" spans="2:15" ht="15.5">
      <c r="B107" s="877"/>
      <c r="C107" s="65">
        <v>1</v>
      </c>
      <c r="D107" s="103" t="s">
        <v>2119</v>
      </c>
      <c r="E107" s="881"/>
      <c r="F107" s="2794"/>
      <c r="G107" s="2795">
        <v>0</v>
      </c>
      <c r="H107" s="2795">
        <v>0</v>
      </c>
      <c r="I107" s="2795">
        <v>5.3011799999999998E-2</v>
      </c>
      <c r="J107" s="2795">
        <v>0.1060236</v>
      </c>
      <c r="K107" s="2795">
        <v>0.13534570000000001</v>
      </c>
      <c r="L107" s="2795">
        <v>0.1646678</v>
      </c>
      <c r="M107" s="2795">
        <v>0.19398989999999999</v>
      </c>
      <c r="N107" s="2795">
        <v>0.22331200000000001</v>
      </c>
      <c r="O107" s="876"/>
    </row>
    <row r="108" spans="2:15" ht="15.5">
      <c r="B108" s="877"/>
      <c r="C108" s="65">
        <v>2</v>
      </c>
      <c r="D108" s="103" t="s">
        <v>2119</v>
      </c>
      <c r="E108" s="103"/>
      <c r="F108" s="2796">
        <v>0</v>
      </c>
      <c r="G108" s="2795">
        <v>0.03</v>
      </c>
      <c r="H108" s="2795">
        <v>0.1168</v>
      </c>
      <c r="I108" s="2795">
        <v>0.16950000000000001</v>
      </c>
      <c r="J108" s="2795">
        <v>0.22220000000000001</v>
      </c>
      <c r="K108" s="2795">
        <v>0.25334999999999996</v>
      </c>
      <c r="L108" s="2795">
        <v>0.28449999999999998</v>
      </c>
      <c r="M108" s="2795">
        <v>0.31564999999999999</v>
      </c>
      <c r="N108" s="2795">
        <v>0.3468</v>
      </c>
      <c r="O108" s="876"/>
    </row>
    <row r="109" spans="2:15" ht="15.5">
      <c r="B109" s="877"/>
      <c r="C109" s="65">
        <v>3</v>
      </c>
      <c r="D109" s="103" t="s">
        <v>2119</v>
      </c>
      <c r="E109" s="103"/>
      <c r="F109" s="2796">
        <v>0</v>
      </c>
      <c r="G109" s="2795">
        <v>0.05</v>
      </c>
      <c r="H109" s="2795">
        <v>0.22669999999999996</v>
      </c>
      <c r="I109" s="2795">
        <v>0.27224999999999999</v>
      </c>
      <c r="J109" s="2795">
        <v>0.31779999999999997</v>
      </c>
      <c r="K109" s="2795">
        <v>0.36335000000000001</v>
      </c>
      <c r="L109" s="2795">
        <v>0.40890000000000004</v>
      </c>
      <c r="M109" s="2795">
        <v>0.45445000000000002</v>
      </c>
      <c r="N109" s="2795">
        <v>0.5</v>
      </c>
      <c r="O109" s="876"/>
    </row>
    <row r="110" spans="2:15" ht="15.5">
      <c r="B110" s="877"/>
      <c r="C110" s="887">
        <v>4</v>
      </c>
      <c r="D110" s="888" t="s">
        <v>2119</v>
      </c>
      <c r="E110" s="888"/>
      <c r="F110" s="2797">
        <v>0</v>
      </c>
      <c r="G110" s="2798">
        <v>7.0000000000000007E-2</v>
      </c>
      <c r="H110" s="2798">
        <v>0.18690000000000001</v>
      </c>
      <c r="I110" s="2798">
        <v>0.23594999999999999</v>
      </c>
      <c r="J110" s="2798">
        <v>0.28499999999999998</v>
      </c>
      <c r="K110" s="2798">
        <v>0.29115000000000002</v>
      </c>
      <c r="L110" s="2798">
        <v>0.29730000000000001</v>
      </c>
      <c r="M110" s="2798">
        <v>0.30345</v>
      </c>
      <c r="N110" s="2798">
        <v>0.30959999999999999</v>
      </c>
      <c r="O110" s="876"/>
    </row>
    <row r="111" spans="2:15" ht="15.5">
      <c r="B111" s="55"/>
      <c r="C111" s="1015" t="s">
        <v>37</v>
      </c>
      <c r="D111" s="892"/>
      <c r="E111" s="892"/>
      <c r="F111" s="97">
        <f t="shared" ref="F111:N111" si="15">(INDEX(F$107:F$110,ROUNDDOWN($E$7,0))*(1-MOD($E$7,1)))+(INDEX(F$107:F$110,ROUNDUP($E$7,0))*MOD($E$7,1))</f>
        <v>0</v>
      </c>
      <c r="G111" s="1024">
        <f t="shared" si="15"/>
        <v>0</v>
      </c>
      <c r="H111" s="97">
        <f t="shared" si="15"/>
        <v>0</v>
      </c>
      <c r="I111" s="97">
        <f t="shared" si="15"/>
        <v>5.3011799999999998E-2</v>
      </c>
      <c r="J111" s="97">
        <f t="shared" si="15"/>
        <v>0.1060236</v>
      </c>
      <c r="K111" s="97">
        <f t="shared" si="15"/>
        <v>0.13534570000000001</v>
      </c>
      <c r="L111" s="97">
        <f t="shared" si="15"/>
        <v>0.1646678</v>
      </c>
      <c r="M111" s="97">
        <f t="shared" si="15"/>
        <v>0.19398989999999999</v>
      </c>
      <c r="N111" s="97">
        <f t="shared" si="15"/>
        <v>0.22331200000000001</v>
      </c>
      <c r="O111" s="876"/>
    </row>
    <row r="112" spans="2:15">
      <c r="B112" s="895"/>
      <c r="C112" s="65"/>
      <c r="D112" s="103"/>
      <c r="E112" s="103"/>
      <c r="F112" s="2795"/>
      <c r="G112" s="2795"/>
      <c r="H112" s="2795"/>
      <c r="I112" s="2795"/>
      <c r="J112" s="2795"/>
      <c r="K112" s="2795"/>
      <c r="L112" s="2795"/>
      <c r="M112" s="2795"/>
      <c r="N112" s="2795"/>
      <c r="O112" s="876"/>
    </row>
    <row r="113" spans="2:15">
      <c r="B113" s="895"/>
      <c r="C113" s="49" t="s">
        <v>2120</v>
      </c>
      <c r="D113" s="195"/>
      <c r="E113" s="67"/>
      <c r="F113" s="67" t="s">
        <v>5</v>
      </c>
      <c r="G113" s="67"/>
      <c r="H113" s="67"/>
      <c r="I113" s="67"/>
      <c r="J113" s="67"/>
      <c r="K113" s="67"/>
      <c r="L113" s="67"/>
      <c r="M113" s="67"/>
      <c r="N113" s="51" t="s">
        <v>2121</v>
      </c>
      <c r="O113" s="876"/>
    </row>
    <row r="114" spans="2:15">
      <c r="B114" s="895"/>
      <c r="C114" s="67"/>
      <c r="D114" s="67"/>
      <c r="E114" s="67"/>
      <c r="F114" s="67"/>
      <c r="G114" s="67"/>
      <c r="H114" s="67"/>
      <c r="I114" s="67"/>
      <c r="J114" s="67"/>
      <c r="K114" s="67"/>
      <c r="L114" s="67"/>
      <c r="M114" s="67"/>
      <c r="N114" s="67"/>
      <c r="O114" s="876"/>
    </row>
    <row r="115" spans="2:15" ht="15.5">
      <c r="B115" s="877"/>
      <c r="C115" s="878" t="s">
        <v>8</v>
      </c>
      <c r="D115" s="878" t="s">
        <v>71</v>
      </c>
      <c r="E115" s="878"/>
      <c r="F115" s="899">
        <v>2013</v>
      </c>
      <c r="G115" s="87">
        <v>2015</v>
      </c>
      <c r="H115" s="87">
        <v>2020</v>
      </c>
      <c r="I115" s="87">
        <v>2025</v>
      </c>
      <c r="J115" s="87">
        <v>2030</v>
      </c>
      <c r="K115" s="87">
        <v>2035</v>
      </c>
      <c r="L115" s="87">
        <v>2040</v>
      </c>
      <c r="M115" s="87">
        <v>2045</v>
      </c>
      <c r="N115" s="87">
        <v>2050</v>
      </c>
      <c r="O115" s="876"/>
    </row>
    <row r="116" spans="2:15" ht="15.5">
      <c r="B116" s="877"/>
      <c r="C116" s="65">
        <v>1</v>
      </c>
      <c r="D116" s="103" t="s">
        <v>2122</v>
      </c>
      <c r="E116" s="881"/>
      <c r="F116" s="2794"/>
      <c r="G116" s="2795">
        <v>0.03</v>
      </c>
      <c r="H116" s="2795">
        <v>0.08</v>
      </c>
      <c r="I116" s="2795">
        <v>8.4999999999999992E-2</v>
      </c>
      <c r="J116" s="2795">
        <v>0.09</v>
      </c>
      <c r="K116" s="2795">
        <v>0.11750000000000001</v>
      </c>
      <c r="L116" s="2795">
        <v>0.14500000000000002</v>
      </c>
      <c r="M116" s="2795">
        <v>0.17250000000000001</v>
      </c>
      <c r="N116" s="2795">
        <v>0.2</v>
      </c>
      <c r="O116" s="876"/>
    </row>
    <row r="117" spans="2:15" ht="15.5">
      <c r="B117" s="877"/>
      <c r="C117" s="65">
        <v>2</v>
      </c>
      <c r="D117" s="103" t="s">
        <v>2122</v>
      </c>
      <c r="E117" s="103"/>
      <c r="F117" s="2796">
        <v>0</v>
      </c>
      <c r="G117" s="2795">
        <v>0.03</v>
      </c>
      <c r="H117" s="2795">
        <v>0.1</v>
      </c>
      <c r="I117" s="2795">
        <v>0.16500000000000001</v>
      </c>
      <c r="J117" s="2795">
        <v>0.23</v>
      </c>
      <c r="K117" s="2795">
        <v>0.23749999999999999</v>
      </c>
      <c r="L117" s="2795">
        <v>0.245</v>
      </c>
      <c r="M117" s="2795">
        <v>0.2525</v>
      </c>
      <c r="N117" s="2795">
        <v>0.26</v>
      </c>
      <c r="O117" s="876"/>
    </row>
    <row r="118" spans="2:15" ht="15.5">
      <c r="B118" s="877"/>
      <c r="C118" s="65">
        <v>3</v>
      </c>
      <c r="D118" s="103" t="s">
        <v>2122</v>
      </c>
      <c r="E118" s="103"/>
      <c r="F118" s="2796">
        <v>0</v>
      </c>
      <c r="G118" s="2795">
        <v>0.04</v>
      </c>
      <c r="H118" s="2795">
        <v>0.13999999999999999</v>
      </c>
      <c r="I118" s="2795">
        <v>0.18333333333333335</v>
      </c>
      <c r="J118" s="2795">
        <v>0.22666666666666668</v>
      </c>
      <c r="K118" s="2795">
        <v>0.27</v>
      </c>
      <c r="L118" s="2795">
        <v>0.31333333333333335</v>
      </c>
      <c r="M118" s="2795">
        <v>0.35666666666666669</v>
      </c>
      <c r="N118" s="2795">
        <v>0.4</v>
      </c>
      <c r="O118" s="876"/>
    </row>
    <row r="119" spans="2:15" ht="15.5">
      <c r="B119" s="877"/>
      <c r="C119" s="887">
        <v>4</v>
      </c>
      <c r="D119" s="888" t="s">
        <v>2122</v>
      </c>
      <c r="E119" s="888"/>
      <c r="F119" s="2797">
        <v>0</v>
      </c>
      <c r="G119" s="2798">
        <v>0.05</v>
      </c>
      <c r="H119" s="2798">
        <v>0.11</v>
      </c>
      <c r="I119" s="2798">
        <v>0.11499999999999999</v>
      </c>
      <c r="J119" s="2798">
        <v>0.12</v>
      </c>
      <c r="K119" s="2798">
        <v>0.12</v>
      </c>
      <c r="L119" s="2798">
        <v>0.12</v>
      </c>
      <c r="M119" s="2798">
        <v>0.12</v>
      </c>
      <c r="N119" s="2798">
        <v>0.12</v>
      </c>
      <c r="O119" s="876"/>
    </row>
    <row r="120" spans="2:15" ht="15.5">
      <c r="B120" s="55"/>
      <c r="C120" s="1015" t="s">
        <v>37</v>
      </c>
      <c r="D120" s="892"/>
      <c r="E120" s="892"/>
      <c r="F120" s="97">
        <f t="shared" ref="F120:N120" si="16">(INDEX(F$116:F$119,ROUNDDOWN($E$7,0))*(1-MOD($E$7,1)))+(INDEX(F$116:F$119,ROUNDUP($E$7,0))*MOD($E$7,1))</f>
        <v>0</v>
      </c>
      <c r="G120" s="1024">
        <f t="shared" si="16"/>
        <v>0.03</v>
      </c>
      <c r="H120" s="97">
        <f t="shared" si="16"/>
        <v>0.08</v>
      </c>
      <c r="I120" s="97">
        <f t="shared" si="16"/>
        <v>8.4999999999999992E-2</v>
      </c>
      <c r="J120" s="97">
        <f t="shared" si="16"/>
        <v>0.09</v>
      </c>
      <c r="K120" s="97">
        <f t="shared" si="16"/>
        <v>0.11750000000000001</v>
      </c>
      <c r="L120" s="97">
        <f t="shared" si="16"/>
        <v>0.14500000000000002</v>
      </c>
      <c r="M120" s="97">
        <f t="shared" si="16"/>
        <v>0.17250000000000001</v>
      </c>
      <c r="N120" s="97">
        <f t="shared" si="16"/>
        <v>0.2</v>
      </c>
      <c r="O120" s="876"/>
    </row>
    <row r="121" spans="2:15" ht="15.5">
      <c r="B121" s="877"/>
      <c r="C121" s="67"/>
      <c r="D121" s="195"/>
      <c r="E121" s="67"/>
      <c r="F121" s="1086"/>
      <c r="G121" s="1086"/>
      <c r="H121" s="1086"/>
      <c r="I121" s="1086"/>
      <c r="J121" s="1086"/>
      <c r="K121" s="1086"/>
      <c r="L121" s="1086"/>
      <c r="M121" s="1086"/>
      <c r="N121" s="1086"/>
      <c r="O121" s="876"/>
    </row>
    <row r="122" spans="2:15" ht="15.5">
      <c r="B122" s="877"/>
      <c r="C122" s="49" t="s">
        <v>2912</v>
      </c>
      <c r="D122" s="195"/>
      <c r="E122" s="67"/>
      <c r="F122" s="67"/>
      <c r="G122" s="67"/>
      <c r="H122" s="67"/>
      <c r="I122" s="67"/>
      <c r="J122" s="67"/>
      <c r="K122" s="67"/>
      <c r="L122" s="67"/>
      <c r="M122" s="67"/>
      <c r="N122" s="51" t="s">
        <v>2123</v>
      </c>
      <c r="O122" s="876"/>
    </row>
    <row r="123" spans="2:15" ht="15.5">
      <c r="B123" s="877"/>
      <c r="C123" s="67"/>
      <c r="D123" s="67"/>
      <c r="E123" s="67"/>
      <c r="F123" s="67"/>
      <c r="G123" s="67"/>
      <c r="H123" s="67"/>
      <c r="I123" s="67"/>
      <c r="J123" s="67"/>
      <c r="K123" s="67"/>
      <c r="L123" s="67"/>
      <c r="M123" s="67"/>
      <c r="N123" s="67"/>
      <c r="O123" s="876"/>
    </row>
    <row r="124" spans="2:15" ht="15.5">
      <c r="B124" s="877"/>
      <c r="C124" s="878" t="s">
        <v>8</v>
      </c>
      <c r="D124" s="878" t="s">
        <v>71</v>
      </c>
      <c r="E124" s="878"/>
      <c r="F124" s="899">
        <v>2013</v>
      </c>
      <c r="G124" s="87">
        <v>2015</v>
      </c>
      <c r="H124" s="87">
        <v>2020</v>
      </c>
      <c r="I124" s="87">
        <v>2025</v>
      </c>
      <c r="J124" s="87">
        <v>2030</v>
      </c>
      <c r="K124" s="87">
        <v>2035</v>
      </c>
      <c r="L124" s="87">
        <v>2040</v>
      </c>
      <c r="M124" s="87">
        <v>2045</v>
      </c>
      <c r="N124" s="87">
        <v>2050</v>
      </c>
      <c r="O124" s="876"/>
    </row>
    <row r="125" spans="2:15" ht="15.5">
      <c r="B125" s="877"/>
      <c r="C125" s="65">
        <v>1</v>
      </c>
      <c r="D125" s="103" t="s">
        <v>2124</v>
      </c>
      <c r="E125" s="881"/>
      <c r="F125" s="2794">
        <v>5.0000000000000001E-3</v>
      </c>
      <c r="G125" s="2795">
        <v>0.05</v>
      </c>
      <c r="H125" s="2795">
        <v>0.19124999999999998</v>
      </c>
      <c r="I125" s="2795">
        <v>0.28437499999999999</v>
      </c>
      <c r="J125" s="2795">
        <v>0.3775</v>
      </c>
      <c r="K125" s="2795">
        <v>0.47062500000000007</v>
      </c>
      <c r="L125" s="2795">
        <v>0.56375000000000008</v>
      </c>
      <c r="M125" s="2795">
        <v>0.6568750000000001</v>
      </c>
      <c r="N125" s="2795">
        <v>0.75000000000000011</v>
      </c>
      <c r="O125" s="876"/>
    </row>
    <row r="126" spans="2:15" ht="15.5">
      <c r="B126" s="877"/>
      <c r="C126" s="65">
        <v>2</v>
      </c>
      <c r="D126" s="103" t="s">
        <v>2124</v>
      </c>
      <c r="E126" s="103"/>
      <c r="F126" s="2796">
        <v>5.0000000000000001E-3</v>
      </c>
      <c r="G126" s="2795">
        <v>0.05</v>
      </c>
      <c r="H126" s="2795">
        <v>0.19124999999999998</v>
      </c>
      <c r="I126" s="2795">
        <v>0.28437499999999999</v>
      </c>
      <c r="J126" s="2795">
        <v>0.3775</v>
      </c>
      <c r="K126" s="2795">
        <v>0.47062500000000007</v>
      </c>
      <c r="L126" s="2795">
        <v>0.56375000000000008</v>
      </c>
      <c r="M126" s="2795">
        <v>0.6568750000000001</v>
      </c>
      <c r="N126" s="2795">
        <v>0.75000000000000011</v>
      </c>
      <c r="O126" s="876"/>
    </row>
    <row r="127" spans="2:15" ht="15.5">
      <c r="B127" s="877"/>
      <c r="C127" s="65">
        <v>3</v>
      </c>
      <c r="D127" s="103" t="s">
        <v>2124</v>
      </c>
      <c r="E127" s="103"/>
      <c r="F127" s="2796">
        <v>5.0000000000000001E-3</v>
      </c>
      <c r="G127" s="2795">
        <v>0.05</v>
      </c>
      <c r="H127" s="2795">
        <v>0.20375000000000004</v>
      </c>
      <c r="I127" s="2795">
        <v>0.30312500000000003</v>
      </c>
      <c r="J127" s="2795">
        <v>0.40250000000000002</v>
      </c>
      <c r="K127" s="2795">
        <v>0.50187499999999985</v>
      </c>
      <c r="L127" s="2795">
        <v>0.60124999999999984</v>
      </c>
      <c r="M127" s="2795">
        <v>0.70062499999999983</v>
      </c>
      <c r="N127" s="2795">
        <v>0.79999999999999982</v>
      </c>
      <c r="O127" s="876"/>
    </row>
    <row r="128" spans="2:15" ht="15.5">
      <c r="B128" s="877"/>
      <c r="C128" s="887">
        <v>4</v>
      </c>
      <c r="D128" s="888" t="s">
        <v>2124</v>
      </c>
      <c r="E128" s="888"/>
      <c r="F128" s="2797">
        <v>5.0000000000000001E-3</v>
      </c>
      <c r="G128" s="2798">
        <v>0.05</v>
      </c>
      <c r="H128" s="2798">
        <v>0.21625</v>
      </c>
      <c r="I128" s="2798">
        <v>0.32187499999999997</v>
      </c>
      <c r="J128" s="2798">
        <v>0.42749999999999999</v>
      </c>
      <c r="K128" s="2798">
        <v>0.53312499999999996</v>
      </c>
      <c r="L128" s="2798">
        <v>0.63874999999999993</v>
      </c>
      <c r="M128" s="2798">
        <v>0.7443749999999999</v>
      </c>
      <c r="N128" s="2798">
        <v>0.84999999999999987</v>
      </c>
      <c r="O128" s="876"/>
    </row>
    <row r="129" spans="2:15" ht="15.5">
      <c r="B129" s="55"/>
      <c r="C129" s="1015" t="s">
        <v>37</v>
      </c>
      <c r="D129" s="892"/>
      <c r="E129" s="892"/>
      <c r="F129" s="97">
        <f t="shared" ref="F129:N129" si="17">(INDEX(F$125:F$128,ROUNDDOWN($E$7,0))*(1-MOD($E$7,1)))+(INDEX(F$125:F$128,ROUNDUP($E$7,0))*MOD($E$7,1))</f>
        <v>5.0000000000000001E-3</v>
      </c>
      <c r="G129" s="1024">
        <f t="shared" si="17"/>
        <v>0.05</v>
      </c>
      <c r="H129" s="97">
        <f t="shared" si="17"/>
        <v>0.19124999999999998</v>
      </c>
      <c r="I129" s="97">
        <f t="shared" si="17"/>
        <v>0.28437499999999999</v>
      </c>
      <c r="J129" s="97">
        <f t="shared" si="17"/>
        <v>0.3775</v>
      </c>
      <c r="K129" s="97">
        <f t="shared" si="17"/>
        <v>0.47062500000000007</v>
      </c>
      <c r="L129" s="97">
        <f t="shared" si="17"/>
        <v>0.56375000000000008</v>
      </c>
      <c r="M129" s="97">
        <f t="shared" si="17"/>
        <v>0.6568750000000001</v>
      </c>
      <c r="N129" s="97">
        <f t="shared" si="17"/>
        <v>0.75000000000000011</v>
      </c>
      <c r="O129" s="876"/>
    </row>
    <row r="130" spans="2:15" ht="15.5">
      <c r="B130" s="877"/>
      <c r="C130" s="67"/>
      <c r="D130" s="195"/>
      <c r="E130" s="67"/>
      <c r="F130" s="1086"/>
      <c r="G130" s="1086"/>
      <c r="H130" s="1086"/>
      <c r="I130" s="1086"/>
      <c r="J130" s="1086"/>
      <c r="K130" s="1086"/>
      <c r="L130" s="1086"/>
      <c r="M130" s="1086"/>
      <c r="N130" s="1086"/>
      <c r="O130" s="876"/>
    </row>
    <row r="131" spans="2:15">
      <c r="B131" s="895"/>
      <c r="C131" s="49" t="s">
        <v>2913</v>
      </c>
      <c r="D131" s="195"/>
      <c r="E131" s="67"/>
      <c r="F131" s="67"/>
      <c r="G131" s="67"/>
      <c r="H131" s="67"/>
      <c r="I131" s="67"/>
      <c r="J131" s="67"/>
      <c r="K131" s="67"/>
      <c r="L131" s="67"/>
      <c r="M131" s="67"/>
      <c r="N131" s="51" t="s">
        <v>2125</v>
      </c>
      <c r="O131" s="876"/>
    </row>
    <row r="132" spans="2:15">
      <c r="B132" s="895"/>
      <c r="C132" s="67"/>
      <c r="D132" s="67"/>
      <c r="E132" s="67"/>
      <c r="F132" s="67"/>
      <c r="G132" s="67"/>
      <c r="H132" s="67"/>
      <c r="I132" s="67"/>
      <c r="J132" s="67"/>
      <c r="K132" s="67"/>
      <c r="L132" s="67"/>
      <c r="M132" s="67"/>
      <c r="N132" s="67"/>
      <c r="O132" s="876"/>
    </row>
    <row r="133" spans="2:15" ht="15.5">
      <c r="B133" s="877"/>
      <c r="C133" s="878" t="s">
        <v>8</v>
      </c>
      <c r="D133" s="878" t="s">
        <v>71</v>
      </c>
      <c r="E133" s="878"/>
      <c r="F133" s="899">
        <v>2013</v>
      </c>
      <c r="G133" s="87">
        <v>2015</v>
      </c>
      <c r="H133" s="87">
        <v>2020</v>
      </c>
      <c r="I133" s="87">
        <v>2025</v>
      </c>
      <c r="J133" s="87">
        <v>2030</v>
      </c>
      <c r="K133" s="87">
        <v>2035</v>
      </c>
      <c r="L133" s="87">
        <v>2040</v>
      </c>
      <c r="M133" s="87">
        <v>2045</v>
      </c>
      <c r="N133" s="87">
        <v>2050</v>
      </c>
      <c r="O133" s="876"/>
    </row>
    <row r="134" spans="2:15" ht="15.5">
      <c r="B134" s="877"/>
      <c r="C134" s="65">
        <v>1</v>
      </c>
      <c r="D134" s="103" t="s">
        <v>2126</v>
      </c>
      <c r="E134" s="881"/>
      <c r="F134" s="2794">
        <v>0.6</v>
      </c>
      <c r="G134" s="2795">
        <v>0.66</v>
      </c>
      <c r="H134" s="2795">
        <v>0.73</v>
      </c>
      <c r="I134" s="2795">
        <v>0.73333333333333339</v>
      </c>
      <c r="J134" s="2795">
        <v>0.71666666666666679</v>
      </c>
      <c r="K134" s="2795">
        <v>0.70000000000000018</v>
      </c>
      <c r="L134" s="2795">
        <v>0.68333333333333357</v>
      </c>
      <c r="M134" s="2795">
        <v>0.66666666666666696</v>
      </c>
      <c r="N134" s="2795">
        <v>0.65</v>
      </c>
      <c r="O134" s="876"/>
    </row>
    <row r="135" spans="2:15" ht="15.5">
      <c r="B135" s="877"/>
      <c r="C135" s="65">
        <v>2</v>
      </c>
      <c r="D135" s="103" t="s">
        <v>2126</v>
      </c>
      <c r="E135" s="103"/>
      <c r="F135" s="2796">
        <v>0.6</v>
      </c>
      <c r="G135" s="2795">
        <v>0.66</v>
      </c>
      <c r="H135" s="2795">
        <v>0.75</v>
      </c>
      <c r="I135" s="2795">
        <v>0.75</v>
      </c>
      <c r="J135" s="2795">
        <v>0.75</v>
      </c>
      <c r="K135" s="2795">
        <v>0.75</v>
      </c>
      <c r="L135" s="2795">
        <v>0.75</v>
      </c>
      <c r="M135" s="2795">
        <v>0.75</v>
      </c>
      <c r="N135" s="2795">
        <v>0.75</v>
      </c>
      <c r="O135" s="876"/>
    </row>
    <row r="136" spans="2:15" ht="15.5">
      <c r="B136" s="877"/>
      <c r="C136" s="65">
        <v>3</v>
      </c>
      <c r="D136" s="103" t="s">
        <v>2126</v>
      </c>
      <c r="E136" s="103"/>
      <c r="F136" s="2796">
        <v>0.6</v>
      </c>
      <c r="G136" s="2795">
        <v>0.66</v>
      </c>
      <c r="H136" s="2795">
        <v>0.75</v>
      </c>
      <c r="I136" s="2795">
        <v>0.7583333333333333</v>
      </c>
      <c r="J136" s="2795">
        <v>0.76666666666666672</v>
      </c>
      <c r="K136" s="2795">
        <v>0.77500000000000002</v>
      </c>
      <c r="L136" s="2795">
        <v>0.78333333333333333</v>
      </c>
      <c r="M136" s="2795">
        <v>0.79166666666666674</v>
      </c>
      <c r="N136" s="2795">
        <v>0.8</v>
      </c>
      <c r="O136" s="876"/>
    </row>
    <row r="137" spans="2:15" ht="15.5">
      <c r="B137" s="877"/>
      <c r="C137" s="887">
        <v>4</v>
      </c>
      <c r="D137" s="888" t="s">
        <v>2126</v>
      </c>
      <c r="E137" s="888"/>
      <c r="F137" s="2797">
        <v>0.6</v>
      </c>
      <c r="G137" s="2798">
        <v>0.66</v>
      </c>
      <c r="H137" s="2798">
        <v>0.75</v>
      </c>
      <c r="I137" s="2798">
        <v>0.76666666666666661</v>
      </c>
      <c r="J137" s="2798">
        <v>0.78333333333333333</v>
      </c>
      <c r="K137" s="2798">
        <v>0.8</v>
      </c>
      <c r="L137" s="2798">
        <v>0.81666666666666665</v>
      </c>
      <c r="M137" s="2798">
        <v>0.83333333333333326</v>
      </c>
      <c r="N137" s="2798">
        <v>0.85</v>
      </c>
      <c r="O137" s="876"/>
    </row>
    <row r="138" spans="2:15" ht="15.5">
      <c r="B138" s="55"/>
      <c r="C138" s="1015" t="s">
        <v>37</v>
      </c>
      <c r="D138" s="892"/>
      <c r="E138" s="892"/>
      <c r="F138" s="97">
        <f t="shared" ref="F138:N138" si="18">(INDEX(F$134:F$137,ROUNDDOWN($E$7,0))*(1-MOD($E$7,1)))+(INDEX(F$134:F$137,ROUNDUP($E$7,0))*MOD($E$7,1))</f>
        <v>0.6</v>
      </c>
      <c r="G138" s="1024">
        <f t="shared" si="18"/>
        <v>0.66</v>
      </c>
      <c r="H138" s="97">
        <f t="shared" si="18"/>
        <v>0.73</v>
      </c>
      <c r="I138" s="97">
        <f t="shared" si="18"/>
        <v>0.73333333333333339</v>
      </c>
      <c r="J138" s="97">
        <f t="shared" si="18"/>
        <v>0.71666666666666679</v>
      </c>
      <c r="K138" s="97">
        <f t="shared" si="18"/>
        <v>0.70000000000000018</v>
      </c>
      <c r="L138" s="97">
        <f t="shared" si="18"/>
        <v>0.68333333333333357</v>
      </c>
      <c r="M138" s="97">
        <f t="shared" si="18"/>
        <v>0.66666666666666696</v>
      </c>
      <c r="N138" s="97">
        <f t="shared" si="18"/>
        <v>0.65</v>
      </c>
      <c r="O138" s="876"/>
    </row>
    <row r="139" spans="2:15">
      <c r="B139" s="895"/>
      <c r="C139" s="65"/>
      <c r="D139" s="103"/>
      <c r="E139" s="103"/>
      <c r="F139" s="59"/>
      <c r="G139" s="60"/>
      <c r="H139" s="60"/>
      <c r="I139" s="60"/>
      <c r="J139" s="60"/>
      <c r="K139" s="60"/>
      <c r="L139" s="60"/>
      <c r="M139" s="60"/>
      <c r="N139" s="60"/>
      <c r="O139" s="876"/>
    </row>
    <row r="140" spans="2:15">
      <c r="B140" s="895"/>
      <c r="C140" s="49" t="s">
        <v>2914</v>
      </c>
      <c r="D140" s="195"/>
      <c r="E140" s="67"/>
      <c r="F140" s="67"/>
      <c r="G140" s="67"/>
      <c r="H140" s="67"/>
      <c r="I140" s="67"/>
      <c r="J140" s="67"/>
      <c r="K140" s="67"/>
      <c r="L140" s="67"/>
      <c r="M140" s="67"/>
      <c r="N140" s="51" t="s">
        <v>2125</v>
      </c>
      <c r="O140" s="876"/>
    </row>
    <row r="141" spans="2:15">
      <c r="B141" s="895"/>
      <c r="C141" s="67"/>
      <c r="D141" s="67"/>
      <c r="E141" s="67"/>
      <c r="F141" s="67"/>
      <c r="G141" s="67"/>
      <c r="H141" s="67"/>
      <c r="I141" s="67"/>
      <c r="J141" s="67"/>
      <c r="K141" s="67"/>
      <c r="L141" s="67"/>
      <c r="M141" s="67"/>
      <c r="N141" s="67"/>
      <c r="O141" s="876"/>
    </row>
    <row r="142" spans="2:15" ht="15.5">
      <c r="B142" s="877"/>
      <c r="C142" s="878" t="s">
        <v>8</v>
      </c>
      <c r="D142" s="878" t="s">
        <v>71</v>
      </c>
      <c r="E142" s="878"/>
      <c r="F142" s="899">
        <v>2013</v>
      </c>
      <c r="G142" s="87">
        <v>2015</v>
      </c>
      <c r="H142" s="87">
        <v>2020</v>
      </c>
      <c r="I142" s="87">
        <v>2025</v>
      </c>
      <c r="J142" s="87">
        <v>2030</v>
      </c>
      <c r="K142" s="87">
        <v>2035</v>
      </c>
      <c r="L142" s="87">
        <v>2040</v>
      </c>
      <c r="M142" s="87">
        <v>2045</v>
      </c>
      <c r="N142" s="87">
        <v>2050</v>
      </c>
      <c r="O142" s="876"/>
    </row>
    <row r="143" spans="2:15" ht="15.5">
      <c r="B143" s="877"/>
      <c r="C143" s="65">
        <v>1</v>
      </c>
      <c r="D143" s="103" t="s">
        <v>2127</v>
      </c>
      <c r="E143" s="881"/>
      <c r="F143" s="2794">
        <v>0.45</v>
      </c>
      <c r="G143" s="2795">
        <v>0.45</v>
      </c>
      <c r="H143" s="2795">
        <v>0.45</v>
      </c>
      <c r="I143" s="2795">
        <v>0.45</v>
      </c>
      <c r="J143" s="2795">
        <v>0.45</v>
      </c>
      <c r="K143" s="2795">
        <v>0.45</v>
      </c>
      <c r="L143" s="2795">
        <v>0.45</v>
      </c>
      <c r="M143" s="2795">
        <v>0.45</v>
      </c>
      <c r="N143" s="2795">
        <v>0.45</v>
      </c>
      <c r="O143" s="876"/>
    </row>
    <row r="144" spans="2:15" ht="15.5">
      <c r="B144" s="877"/>
      <c r="C144" s="65">
        <v>2</v>
      </c>
      <c r="D144" s="103" t="s">
        <v>2127</v>
      </c>
      <c r="E144" s="103"/>
      <c r="F144" s="2796">
        <v>0.45</v>
      </c>
      <c r="G144" s="2795">
        <v>0.45</v>
      </c>
      <c r="H144" s="2795">
        <v>0.45</v>
      </c>
      <c r="I144" s="2795">
        <v>0.45</v>
      </c>
      <c r="J144" s="2795">
        <v>0.46</v>
      </c>
      <c r="K144" s="2795">
        <v>0.47</v>
      </c>
      <c r="L144" s="2795">
        <v>0.48</v>
      </c>
      <c r="M144" s="2795">
        <v>0.49</v>
      </c>
      <c r="N144" s="2795">
        <v>0.5</v>
      </c>
      <c r="O144" s="876"/>
    </row>
    <row r="145" spans="1:16" ht="15.5">
      <c r="B145" s="877"/>
      <c r="C145" s="65">
        <v>3</v>
      </c>
      <c r="D145" s="103" t="s">
        <v>2127</v>
      </c>
      <c r="E145" s="103"/>
      <c r="F145" s="2796">
        <v>0.45</v>
      </c>
      <c r="G145" s="2795">
        <v>0.35</v>
      </c>
      <c r="H145" s="2795">
        <v>0.4</v>
      </c>
      <c r="I145" s="2795">
        <v>0.48372093023255813</v>
      </c>
      <c r="J145" s="2795">
        <v>0.50697674418604655</v>
      </c>
      <c r="K145" s="2795">
        <v>0.53023255813953485</v>
      </c>
      <c r="L145" s="2795">
        <v>0.55348837209302326</v>
      </c>
      <c r="M145" s="2795">
        <v>0.57674418604651168</v>
      </c>
      <c r="N145" s="2795">
        <v>0.6</v>
      </c>
      <c r="O145" s="876"/>
    </row>
    <row r="146" spans="1:16" ht="15.5">
      <c r="B146" s="877"/>
      <c r="C146" s="887">
        <v>4</v>
      </c>
      <c r="D146" s="888" t="s">
        <v>2127</v>
      </c>
      <c r="E146" s="888"/>
      <c r="F146" s="2797">
        <v>0.45</v>
      </c>
      <c r="G146" s="2798">
        <v>0.35</v>
      </c>
      <c r="H146" s="2798">
        <v>0.4</v>
      </c>
      <c r="I146" s="2798">
        <v>0.56744186046511635</v>
      </c>
      <c r="J146" s="2798">
        <v>0.61395348837209307</v>
      </c>
      <c r="K146" s="2798">
        <v>0.66046511627906979</v>
      </c>
      <c r="L146" s="2798">
        <v>0.7069767441860465</v>
      </c>
      <c r="M146" s="2798">
        <v>0.75348837209302322</v>
      </c>
      <c r="N146" s="2798">
        <v>0.8</v>
      </c>
      <c r="O146" s="876"/>
    </row>
    <row r="147" spans="1:16" ht="15.5">
      <c r="B147" s="55"/>
      <c r="C147" s="1015" t="s">
        <v>37</v>
      </c>
      <c r="D147" s="892"/>
      <c r="E147" s="892"/>
      <c r="F147" s="97">
        <f t="shared" ref="F147:N147" si="19">(INDEX(F$143:F$146,ROUNDDOWN($E$7,0))*(1-MOD($E$7,1)))+(INDEX(F$143:F$146,ROUNDUP($E$7,0))*MOD($E$7,1))</f>
        <v>0.45</v>
      </c>
      <c r="G147" s="1024">
        <f t="shared" si="19"/>
        <v>0.45</v>
      </c>
      <c r="H147" s="97">
        <f t="shared" si="19"/>
        <v>0.45</v>
      </c>
      <c r="I147" s="97">
        <f t="shared" si="19"/>
        <v>0.45</v>
      </c>
      <c r="J147" s="97">
        <f t="shared" si="19"/>
        <v>0.45</v>
      </c>
      <c r="K147" s="97">
        <f t="shared" si="19"/>
        <v>0.45</v>
      </c>
      <c r="L147" s="97">
        <f t="shared" si="19"/>
        <v>0.45</v>
      </c>
      <c r="M147" s="97">
        <f t="shared" si="19"/>
        <v>0.45</v>
      </c>
      <c r="N147" s="97">
        <f t="shared" si="19"/>
        <v>0.45</v>
      </c>
      <c r="O147" s="876"/>
    </row>
    <row r="148" spans="1:16" ht="15.5">
      <c r="B148" s="877"/>
      <c r="C148" s="65"/>
      <c r="D148" s="103"/>
      <c r="E148" s="103"/>
      <c r="F148" s="2795"/>
      <c r="G148" s="2795"/>
      <c r="H148" s="2795"/>
      <c r="I148" s="2795"/>
      <c r="J148" s="2795"/>
      <c r="K148" s="2795"/>
      <c r="L148" s="2795"/>
      <c r="M148" s="2795"/>
      <c r="N148" s="2795"/>
      <c r="O148" s="876"/>
    </row>
    <row r="149" spans="1:16" ht="15.5">
      <c r="B149" s="877"/>
      <c r="C149" s="3844" t="s">
        <v>63</v>
      </c>
      <c r="D149" s="2249" t="s">
        <v>64</v>
      </c>
      <c r="E149" s="2248" t="s">
        <v>3017</v>
      </c>
      <c r="F149" s="2795"/>
      <c r="G149" s="2795"/>
      <c r="H149" s="2795"/>
      <c r="I149" s="2795"/>
      <c r="J149" s="2795"/>
      <c r="K149" s="2795"/>
      <c r="L149" s="2795"/>
      <c r="M149" s="2795"/>
      <c r="N149" s="2795"/>
      <c r="O149" s="876"/>
    </row>
    <row r="150" spans="1:16" ht="15.5">
      <c r="B150" s="877"/>
      <c r="C150" s="104"/>
      <c r="D150" s="2249" t="s">
        <v>66</v>
      </c>
      <c r="E150" s="2248" t="s">
        <v>3018</v>
      </c>
      <c r="F150" s="2795"/>
      <c r="G150" s="2795"/>
      <c r="H150" s="2795"/>
      <c r="I150" s="2795"/>
      <c r="J150" s="2795"/>
      <c r="K150" s="2795"/>
      <c r="L150" s="2795"/>
      <c r="M150" s="2795"/>
      <c r="N150" s="2795"/>
      <c r="O150" s="876"/>
    </row>
    <row r="151" spans="1:16">
      <c r="B151" s="2799"/>
      <c r="C151" s="1065"/>
      <c r="D151" s="3845" t="s">
        <v>105</v>
      </c>
      <c r="E151" s="3840" t="s">
        <v>3793</v>
      </c>
      <c r="F151" s="1065"/>
      <c r="G151" s="1065"/>
      <c r="H151" s="1065"/>
      <c r="I151" s="1065"/>
      <c r="J151" s="1065"/>
      <c r="K151" s="1065"/>
      <c r="L151" s="1065"/>
      <c r="M151" s="1065"/>
      <c r="N151" s="1065"/>
      <c r="O151" s="1100"/>
    </row>
    <row r="152" spans="1:16">
      <c r="B152" s="868"/>
    </row>
    <row r="153" spans="1:16" s="6" customFormat="1" ht="23.5">
      <c r="A153" s="40"/>
      <c r="B153" s="869" t="s">
        <v>69</v>
      </c>
      <c r="C153" s="870"/>
      <c r="D153" s="870"/>
      <c r="E153" s="870"/>
      <c r="F153" s="870"/>
      <c r="G153" s="870"/>
      <c r="H153" s="870"/>
      <c r="I153" s="870"/>
      <c r="J153" s="870"/>
      <c r="K153" s="870"/>
      <c r="L153" s="870"/>
      <c r="M153" s="870"/>
      <c r="N153" s="870"/>
      <c r="O153" s="870"/>
      <c r="P153" s="2776"/>
    </row>
    <row r="154" spans="1:16">
      <c r="B154" s="875"/>
      <c r="C154" s="67"/>
      <c r="D154" s="67"/>
      <c r="E154" s="67"/>
      <c r="F154" s="67"/>
      <c r="G154" s="67"/>
      <c r="H154" s="67"/>
      <c r="I154" s="67"/>
      <c r="J154" s="67"/>
      <c r="K154" s="67"/>
      <c r="L154" s="67"/>
      <c r="M154" s="67"/>
      <c r="N154" s="67"/>
      <c r="O154" s="67"/>
    </row>
    <row r="155" spans="1:16">
      <c r="B155" s="905"/>
      <c r="C155" s="49" t="s">
        <v>2128</v>
      </c>
      <c r="D155" s="67"/>
      <c r="E155" s="67"/>
      <c r="F155" s="1217"/>
      <c r="G155" s="51"/>
      <c r="H155" s="1217"/>
      <c r="I155" s="1217" t="s">
        <v>2129</v>
      </c>
      <c r="J155" s="67"/>
      <c r="K155" s="67"/>
      <c r="L155" s="1217"/>
      <c r="M155" s="67"/>
      <c r="N155" s="67"/>
      <c r="O155" s="67"/>
    </row>
    <row r="156" spans="1:16">
      <c r="B156" s="875"/>
      <c r="C156" s="67"/>
      <c r="D156" s="67"/>
      <c r="E156" s="67"/>
      <c r="F156" s="67"/>
      <c r="G156" s="67"/>
      <c r="H156" s="67"/>
      <c r="I156" s="67"/>
      <c r="J156" s="67"/>
      <c r="K156" s="67"/>
      <c r="L156" s="67"/>
      <c r="M156" s="67"/>
      <c r="N156" s="67"/>
      <c r="O156" s="67"/>
    </row>
    <row r="157" spans="1:16" ht="15.5">
      <c r="B157" s="877"/>
      <c r="C157" s="878" t="s">
        <v>773</v>
      </c>
      <c r="D157" s="878" t="s">
        <v>71</v>
      </c>
      <c r="E157" s="878" t="s">
        <v>30</v>
      </c>
      <c r="F157" s="899" t="s">
        <v>1659</v>
      </c>
      <c r="G157" s="2800" t="s">
        <v>2130</v>
      </c>
      <c r="H157" s="2659" t="s">
        <v>2109</v>
      </c>
      <c r="I157" s="2659" t="s">
        <v>2110</v>
      </c>
      <c r="J157" s="1188"/>
      <c r="K157" s="1188"/>
      <c r="L157" s="1188"/>
      <c r="M157" s="1188"/>
      <c r="N157" s="1188"/>
      <c r="O157" s="1188"/>
    </row>
    <row r="158" spans="1:16" s="6" customFormat="1" ht="15.5">
      <c r="B158" s="2801"/>
      <c r="C158" s="2671" t="s">
        <v>2131</v>
      </c>
      <c r="D158" s="2671" t="s">
        <v>2132</v>
      </c>
      <c r="E158" s="2671"/>
      <c r="F158" s="2791"/>
      <c r="G158" s="2802">
        <v>0.37</v>
      </c>
      <c r="H158" s="2802">
        <v>0.18</v>
      </c>
      <c r="I158" s="2795">
        <v>1</v>
      </c>
      <c r="J158" s="2548"/>
      <c r="K158" s="2548"/>
      <c r="L158" s="2548"/>
      <c r="M158" s="2548"/>
      <c r="N158" s="2548"/>
      <c r="O158" s="2548"/>
      <c r="P158" s="2776"/>
    </row>
    <row r="159" spans="1:16" s="6" customFormat="1" ht="15.5">
      <c r="B159" s="2801"/>
      <c r="C159" s="915" t="s">
        <v>2133</v>
      </c>
      <c r="D159" s="915" t="s">
        <v>2134</v>
      </c>
      <c r="E159" s="915"/>
      <c r="F159" s="2792"/>
      <c r="G159" s="2795">
        <v>0.26</v>
      </c>
      <c r="H159" s="2795">
        <v>0.15</v>
      </c>
      <c r="I159" s="2795">
        <v>0</v>
      </c>
      <c r="J159" s="2548"/>
      <c r="K159" s="2548"/>
      <c r="L159" s="2548"/>
      <c r="M159" s="2548"/>
      <c r="N159" s="2548"/>
      <c r="O159" s="2548"/>
      <c r="P159" s="2776"/>
    </row>
    <row r="160" spans="1:16" s="6" customFormat="1" ht="15.5">
      <c r="B160" s="2801"/>
      <c r="C160" s="103" t="s">
        <v>2135</v>
      </c>
      <c r="D160" s="103" t="s">
        <v>2136</v>
      </c>
      <c r="E160" s="103"/>
      <c r="F160" s="2803"/>
      <c r="G160" s="88">
        <v>0.19</v>
      </c>
      <c r="H160" s="88">
        <v>0.04</v>
      </c>
      <c r="I160" s="88">
        <v>0</v>
      </c>
      <c r="J160" s="103"/>
      <c r="K160" s="103"/>
      <c r="L160" s="103"/>
      <c r="M160" s="103"/>
      <c r="N160" s="103"/>
      <c r="O160" s="103"/>
      <c r="P160" s="2776"/>
    </row>
    <row r="161" spans="2:20" s="6" customFormat="1" ht="15.5">
      <c r="B161" s="2801"/>
      <c r="C161" s="194" t="s">
        <v>2137</v>
      </c>
      <c r="D161" s="194" t="s">
        <v>2138</v>
      </c>
      <c r="E161" s="194"/>
      <c r="F161" s="2804"/>
      <c r="G161" s="142">
        <v>0.18</v>
      </c>
      <c r="H161" s="142">
        <v>0.63</v>
      </c>
      <c r="I161" s="142">
        <v>0</v>
      </c>
      <c r="J161" s="103"/>
      <c r="K161" s="103"/>
      <c r="L161" s="103"/>
      <c r="M161" s="103"/>
      <c r="N161" s="103"/>
      <c r="O161" s="103"/>
      <c r="P161" s="2776"/>
    </row>
    <row r="162" spans="2:20" s="6" customFormat="1">
      <c r="B162" s="2805"/>
      <c r="C162" s="103"/>
      <c r="D162" s="103"/>
      <c r="E162" s="103"/>
      <c r="F162" s="103"/>
      <c r="G162" s="1256">
        <v>1</v>
      </c>
      <c r="H162" s="88">
        <v>1</v>
      </c>
      <c r="I162" s="88">
        <v>1</v>
      </c>
      <c r="J162" s="103"/>
      <c r="K162" s="103"/>
      <c r="L162" s="103"/>
      <c r="M162" s="103"/>
      <c r="N162" s="103"/>
      <c r="O162" s="103"/>
      <c r="P162" s="2776"/>
    </row>
    <row r="163" spans="2:20">
      <c r="B163" s="875"/>
      <c r="C163" s="49" t="s">
        <v>2139</v>
      </c>
      <c r="D163" s="67"/>
      <c r="E163" s="67"/>
      <c r="F163" s="51" t="str">
        <f>Preferences.EnergyUnits &amp; " / M odt"</f>
        <v>TWh / M odt</v>
      </c>
      <c r="G163" s="51"/>
      <c r="H163" s="67"/>
      <c r="I163" s="67"/>
      <c r="J163" s="47"/>
      <c r="K163" s="47"/>
      <c r="L163" s="47"/>
      <c r="M163" s="47"/>
      <c r="N163" s="47"/>
      <c r="O163" s="67"/>
    </row>
    <row r="164" spans="2:20">
      <c r="B164" s="875"/>
      <c r="C164" s="67"/>
      <c r="D164" s="67"/>
      <c r="E164" s="67"/>
      <c r="F164" s="67"/>
      <c r="G164" s="67"/>
      <c r="H164" s="67"/>
      <c r="I164" s="67"/>
      <c r="J164" s="47"/>
      <c r="K164" s="47"/>
      <c r="L164" s="47"/>
      <c r="M164" s="47"/>
      <c r="N164" s="47"/>
      <c r="O164" s="67"/>
    </row>
    <row r="165" spans="2:20" ht="15.5">
      <c r="B165" s="877"/>
      <c r="C165" s="878" t="s">
        <v>773</v>
      </c>
      <c r="D165" s="878" t="s">
        <v>71</v>
      </c>
      <c r="E165" s="878" t="s">
        <v>30</v>
      </c>
      <c r="F165" s="900" t="s">
        <v>2140</v>
      </c>
      <c r="G165" s="2663"/>
      <c r="H165" s="2663"/>
      <c r="I165" s="1188"/>
      <c r="J165" s="47"/>
      <c r="K165" s="47"/>
      <c r="L165" s="47"/>
      <c r="M165" s="47"/>
      <c r="N165" s="47"/>
      <c r="O165" s="1188"/>
    </row>
    <row r="166" spans="2:20" ht="15.5">
      <c r="B166" s="877"/>
      <c r="C166" s="2671" t="s">
        <v>2131</v>
      </c>
      <c r="D166" s="2671" t="s">
        <v>2132</v>
      </c>
      <c r="E166" s="2671"/>
      <c r="F166" s="2860">
        <f>16*Unit.PJ</f>
        <v>4.4444444444444446</v>
      </c>
      <c r="G166" s="2795"/>
      <c r="H166" s="2795"/>
      <c r="I166" s="2795"/>
      <c r="J166" s="47"/>
      <c r="K166" s="47"/>
      <c r="L166" s="47"/>
      <c r="M166" s="47"/>
      <c r="N166" s="47"/>
      <c r="O166" s="2548"/>
    </row>
    <row r="167" spans="2:20" ht="15.5">
      <c r="B167" s="877"/>
      <c r="C167" s="915" t="s">
        <v>2133</v>
      </c>
      <c r="D167" s="915" t="s">
        <v>2134</v>
      </c>
      <c r="E167" s="915"/>
      <c r="F167" s="2395">
        <f>5*Unit.PJ</f>
        <v>1.3888888888888888</v>
      </c>
      <c r="G167" s="2795"/>
      <c r="H167" s="2795"/>
      <c r="I167" s="2795"/>
      <c r="J167" s="47"/>
      <c r="K167" s="47"/>
      <c r="L167" s="47"/>
      <c r="M167" s="47"/>
      <c r="N167" s="47"/>
      <c r="O167" s="2548"/>
    </row>
    <row r="168" spans="2:20" ht="15.5">
      <c r="B168" s="877"/>
      <c r="C168" s="103" t="s">
        <v>2135</v>
      </c>
      <c r="D168" s="103" t="s">
        <v>2136</v>
      </c>
      <c r="E168" s="103"/>
      <c r="F168" s="2639">
        <f>30*Unit.PJ</f>
        <v>8.3333333333333339</v>
      </c>
      <c r="G168" s="88"/>
      <c r="H168" s="88"/>
      <c r="I168" s="88"/>
      <c r="J168" s="47"/>
      <c r="K168" s="47"/>
      <c r="L168" s="47"/>
      <c r="M168" s="47"/>
      <c r="N168" s="47"/>
      <c r="O168" s="103"/>
    </row>
    <row r="169" spans="2:20" ht="15.5">
      <c r="B169" s="877"/>
      <c r="C169" s="103" t="s">
        <v>2137</v>
      </c>
      <c r="D169" s="103" t="s">
        <v>2138</v>
      </c>
      <c r="E169" s="103"/>
      <c r="F169" s="2639">
        <v>0</v>
      </c>
      <c r="G169" s="88"/>
      <c r="H169" s="88"/>
      <c r="I169" s="88"/>
      <c r="J169" s="47"/>
      <c r="K169" s="47"/>
      <c r="L169" s="47"/>
      <c r="M169" s="47"/>
      <c r="N169" s="47"/>
      <c r="O169" s="103"/>
    </row>
    <row r="170" spans="2:20" ht="16" thickBot="1">
      <c r="B170" s="877"/>
      <c r="C170" s="103" t="s">
        <v>2141</v>
      </c>
      <c r="D170" s="103" t="s">
        <v>2142</v>
      </c>
      <c r="E170" s="103"/>
      <c r="F170" s="2639">
        <f>14*Unit.PJ</f>
        <v>3.8888888888888893</v>
      </c>
      <c r="G170" s="88"/>
      <c r="H170" s="88"/>
      <c r="I170" s="88"/>
      <c r="J170" s="47"/>
      <c r="K170" s="47"/>
      <c r="L170" s="47"/>
      <c r="M170" s="47"/>
      <c r="N170" s="47"/>
      <c r="O170" s="103"/>
    </row>
    <row r="171" spans="2:20" ht="15.5">
      <c r="B171" s="877"/>
      <c r="C171" s="194" t="s">
        <v>2143</v>
      </c>
      <c r="D171" s="194" t="s">
        <v>402</v>
      </c>
      <c r="E171" s="194"/>
      <c r="F171" s="2645">
        <v>0</v>
      </c>
      <c r="G171" s="88"/>
      <c r="H171" s="88"/>
      <c r="I171" s="88"/>
      <c r="J171" s="47"/>
      <c r="K171" s="47"/>
      <c r="L171" s="47"/>
      <c r="M171" s="47"/>
      <c r="N171" s="47"/>
      <c r="O171" s="103"/>
      <c r="Q171" s="2806" t="s">
        <v>2144</v>
      </c>
      <c r="R171" s="2807"/>
      <c r="S171" s="2807"/>
      <c r="T171" s="2808"/>
    </row>
    <row r="172" spans="2:20" ht="15" thickBot="1">
      <c r="B172" s="875"/>
      <c r="C172" s="67"/>
      <c r="D172" s="67"/>
      <c r="E172" s="67"/>
      <c r="F172" s="67"/>
      <c r="G172" s="67"/>
      <c r="H172" s="67"/>
      <c r="I172" s="3694"/>
      <c r="J172" s="47"/>
      <c r="K172" s="47"/>
      <c r="L172" s="47"/>
      <c r="M172" s="47"/>
      <c r="N172" s="47"/>
      <c r="O172" s="67"/>
      <c r="Q172" s="2809"/>
      <c r="R172" s="2810"/>
      <c r="S172" s="2810"/>
      <c r="T172" s="2811"/>
    </row>
    <row r="173" spans="2:20">
      <c r="B173" s="875"/>
      <c r="C173" s="49" t="s">
        <v>2145</v>
      </c>
      <c r="D173" s="67"/>
      <c r="E173" s="51"/>
      <c r="F173" s="51" t="s">
        <v>2146</v>
      </c>
      <c r="G173" s="67"/>
      <c r="H173" s="67"/>
      <c r="I173" s="67"/>
      <c r="J173" s="47"/>
      <c r="K173" s="47"/>
      <c r="L173" s="47"/>
      <c r="M173" s="47"/>
      <c r="N173" s="47"/>
      <c r="O173" s="67"/>
    </row>
    <row r="174" spans="2:20">
      <c r="B174" s="875"/>
      <c r="C174" s="67"/>
      <c r="D174" s="67"/>
      <c r="E174" s="67"/>
      <c r="F174" s="67"/>
      <c r="G174" s="67"/>
      <c r="H174" s="67"/>
      <c r="I174" s="67"/>
      <c r="J174" s="47"/>
      <c r="K174" s="47"/>
      <c r="L174" s="47"/>
      <c r="M174" s="47"/>
      <c r="N174" s="47"/>
      <c r="O174" s="67"/>
    </row>
    <row r="175" spans="2:20" ht="15.5">
      <c r="B175" s="877"/>
      <c r="C175" s="878" t="s">
        <v>15</v>
      </c>
      <c r="D175" s="878" t="s">
        <v>71</v>
      </c>
      <c r="E175" s="878" t="s">
        <v>30</v>
      </c>
      <c r="F175" s="900" t="s">
        <v>2147</v>
      </c>
      <c r="G175" s="67"/>
      <c r="H175" s="67"/>
      <c r="I175" s="67"/>
      <c r="J175" s="47"/>
      <c r="K175" s="47"/>
      <c r="L175" s="47"/>
      <c r="M175" s="47"/>
      <c r="N175" s="47"/>
      <c r="O175" s="67"/>
    </row>
    <row r="176" spans="2:20" ht="15.5">
      <c r="B176" s="877"/>
      <c r="C176" s="65" t="s">
        <v>252</v>
      </c>
      <c r="D176" s="103" t="s">
        <v>2148</v>
      </c>
      <c r="E176" s="103"/>
      <c r="F176" s="3572">
        <v>2.42475</v>
      </c>
      <c r="G176" s="67"/>
      <c r="H176" s="67"/>
      <c r="I176" s="67"/>
      <c r="J176" s="47"/>
      <c r="K176" s="47"/>
      <c r="L176" s="47"/>
      <c r="M176" s="47"/>
      <c r="N176" s="47"/>
      <c r="O176" s="67"/>
    </row>
    <row r="177" spans="2:15" ht="15.5">
      <c r="B177" s="877"/>
      <c r="C177" s="917" t="s">
        <v>253</v>
      </c>
      <c r="D177" s="194" t="s">
        <v>2149</v>
      </c>
      <c r="E177" s="194"/>
      <c r="F177" s="3573">
        <v>0.89235714285714285</v>
      </c>
      <c r="G177" s="67"/>
      <c r="H177" s="67"/>
      <c r="I177" s="67"/>
      <c r="J177" s="47"/>
      <c r="K177" s="47"/>
      <c r="L177" s="47"/>
      <c r="M177" s="47"/>
      <c r="N177" s="47"/>
      <c r="O177" s="67"/>
    </row>
    <row r="178" spans="2:15">
      <c r="B178" s="875"/>
      <c r="C178" s="67"/>
      <c r="D178" s="67"/>
      <c r="E178" s="67"/>
      <c r="F178" s="67"/>
      <c r="G178" s="67"/>
      <c r="H178" s="67"/>
      <c r="I178" s="67"/>
      <c r="J178" s="47"/>
      <c r="K178" s="47"/>
      <c r="L178" s="47"/>
      <c r="M178" s="47"/>
      <c r="N178" s="67"/>
      <c r="O178" s="67"/>
    </row>
    <row r="179" spans="2:15">
      <c r="B179" s="875"/>
      <c r="C179" s="49" t="s">
        <v>2150</v>
      </c>
      <c r="D179" s="67"/>
      <c r="E179" s="51"/>
      <c r="F179" s="51" t="str">
        <f>Preferences.EnergyUnits &amp; " / M tonnes"</f>
        <v>TWh / M tonnes</v>
      </c>
      <c r="G179" s="67"/>
      <c r="H179" s="67"/>
      <c r="I179" s="67"/>
      <c r="J179" s="47"/>
      <c r="K179" s="47"/>
      <c r="L179" s="47"/>
      <c r="M179" s="47"/>
      <c r="N179" s="67"/>
      <c r="O179" s="67"/>
    </row>
    <row r="180" spans="2:15">
      <c r="B180" s="875"/>
      <c r="C180" s="67"/>
      <c r="D180" s="67"/>
      <c r="E180" s="67"/>
      <c r="F180" s="67"/>
      <c r="G180" s="67"/>
      <c r="H180" s="67"/>
      <c r="I180" s="67"/>
      <c r="J180" s="67"/>
      <c r="K180" s="67"/>
      <c r="L180" s="67"/>
      <c r="M180" s="67"/>
      <c r="N180" s="67"/>
      <c r="O180" s="67"/>
    </row>
    <row r="181" spans="2:15" ht="15.5">
      <c r="B181" s="877"/>
      <c r="C181" s="878" t="s">
        <v>15</v>
      </c>
      <c r="D181" s="878" t="s">
        <v>71</v>
      </c>
      <c r="E181" s="878" t="s">
        <v>30</v>
      </c>
      <c r="F181" s="900" t="s">
        <v>2151</v>
      </c>
      <c r="G181" s="67"/>
      <c r="H181" s="67"/>
      <c r="I181" s="67"/>
      <c r="J181" s="67"/>
      <c r="K181" s="67"/>
      <c r="L181" s="67"/>
      <c r="M181" s="67"/>
      <c r="N181" s="67"/>
      <c r="O181" s="67"/>
    </row>
    <row r="182" spans="2:15" ht="15.5">
      <c r="B182" s="877"/>
      <c r="C182" s="907" t="s">
        <v>252</v>
      </c>
      <c r="D182" s="908" t="s">
        <v>2152</v>
      </c>
      <c r="E182" s="908"/>
      <c r="F182" s="2861">
        <f>(Constants.GCV.NaturalGasProduced/0.717)*1000000000</f>
        <v>13.4759026809236</v>
      </c>
      <c r="G182" s="67"/>
      <c r="H182" s="67"/>
      <c r="I182" s="67"/>
      <c r="J182" s="67"/>
      <c r="K182" s="67"/>
      <c r="L182" s="67"/>
      <c r="M182" s="67"/>
      <c r="N182" s="67"/>
      <c r="O182" s="67"/>
    </row>
    <row r="183" spans="2:15" ht="15.5">
      <c r="B183" s="877"/>
      <c r="C183" s="65"/>
      <c r="D183" s="103"/>
      <c r="E183" s="103"/>
      <c r="F183" s="944"/>
      <c r="G183" s="67"/>
      <c r="H183" s="67"/>
      <c r="I183" s="67"/>
      <c r="J183" s="67"/>
      <c r="K183" s="67"/>
      <c r="L183" s="67"/>
      <c r="M183" s="67"/>
      <c r="N183" s="67"/>
      <c r="O183" s="67"/>
    </row>
    <row r="184" spans="2:15" ht="15.5">
      <c r="B184" s="55"/>
      <c r="C184" s="49" t="s">
        <v>2856</v>
      </c>
      <c r="D184" s="67"/>
      <c r="E184" s="67"/>
      <c r="F184" s="67"/>
      <c r="G184" s="51"/>
      <c r="H184" s="67"/>
      <c r="I184" s="67"/>
      <c r="J184" s="67"/>
      <c r="K184" s="67"/>
      <c r="L184" s="67"/>
      <c r="M184" s="67"/>
      <c r="N184" s="67"/>
      <c r="O184" s="67"/>
    </row>
    <row r="185" spans="2:15" ht="15.5">
      <c r="B185" s="55"/>
      <c r="C185" s="67"/>
      <c r="D185" s="67"/>
      <c r="E185" s="67"/>
      <c r="F185" s="67"/>
      <c r="G185" s="67"/>
      <c r="H185" s="67"/>
      <c r="I185" s="67"/>
      <c r="J185" s="67"/>
      <c r="K185" s="67"/>
      <c r="L185" s="67"/>
      <c r="M185" s="67"/>
      <c r="N185" s="67"/>
      <c r="O185" s="67"/>
    </row>
    <row r="186" spans="2:15" ht="15.5">
      <c r="B186" s="55"/>
      <c r="C186" s="878"/>
      <c r="D186" s="878"/>
      <c r="E186" s="878"/>
      <c r="F186" s="87"/>
      <c r="G186" s="1152" t="s">
        <v>876</v>
      </c>
      <c r="H186" s="1152"/>
      <c r="I186" s="67"/>
      <c r="J186" s="911"/>
      <c r="K186" s="911"/>
      <c r="L186" s="911"/>
      <c r="M186" s="911"/>
      <c r="N186" s="911"/>
      <c r="O186" s="911"/>
    </row>
    <row r="187" spans="2:15" ht="15.5">
      <c r="B187" s="55"/>
      <c r="C187" s="902"/>
      <c r="D187" s="901" t="s">
        <v>2153</v>
      </c>
      <c r="E187" s="902"/>
      <c r="F187" s="2812">
        <v>0.25</v>
      </c>
      <c r="G187" s="2813" t="s">
        <v>2154</v>
      </c>
      <c r="H187" s="2814"/>
      <c r="I187" s="67"/>
      <c r="J187" s="911"/>
      <c r="K187" s="911"/>
      <c r="L187" s="911"/>
      <c r="M187" s="911"/>
      <c r="N187" s="911"/>
      <c r="O187" s="911"/>
    </row>
    <row r="188" spans="2:15">
      <c r="B188" s="875"/>
      <c r="C188" s="67"/>
      <c r="D188" s="67"/>
      <c r="E188" s="67"/>
      <c r="F188" s="67"/>
      <c r="G188" s="67"/>
      <c r="H188" s="67"/>
      <c r="I188" s="67"/>
      <c r="J188" s="67"/>
      <c r="K188" s="67"/>
      <c r="L188" s="67"/>
      <c r="M188" s="67"/>
      <c r="N188" s="67"/>
      <c r="O188" s="67"/>
    </row>
    <row r="189" spans="2:15">
      <c r="B189" s="895"/>
      <c r="C189" s="3826" t="s">
        <v>63</v>
      </c>
      <c r="D189" s="195"/>
      <c r="E189" s="67"/>
      <c r="F189" s="67"/>
      <c r="G189" s="67"/>
      <c r="H189" s="67"/>
      <c r="I189" s="67"/>
      <c r="J189" s="67"/>
      <c r="K189" s="67"/>
      <c r="L189" s="67"/>
      <c r="M189" s="67"/>
      <c r="N189" s="67"/>
      <c r="O189" s="67"/>
    </row>
    <row r="190" spans="2:15">
      <c r="B190" s="895"/>
      <c r="C190" s="3827" t="s">
        <v>2863</v>
      </c>
      <c r="D190" s="3830" t="s">
        <v>3019</v>
      </c>
      <c r="E190" s="67"/>
      <c r="F190" s="67"/>
      <c r="G190" s="67"/>
      <c r="H190" s="67"/>
      <c r="I190" s="67"/>
      <c r="J190" s="67"/>
      <c r="K190" s="67"/>
      <c r="L190" s="67"/>
      <c r="M190" s="67"/>
      <c r="N190" s="67"/>
      <c r="O190" s="67"/>
    </row>
    <row r="191" spans="2:15">
      <c r="B191" s="895"/>
      <c r="C191" s="3827" t="s">
        <v>105</v>
      </c>
      <c r="D191" s="3830" t="s">
        <v>2857</v>
      </c>
      <c r="E191" s="67"/>
      <c r="F191" s="67"/>
      <c r="G191" s="67"/>
      <c r="H191" s="67"/>
      <c r="I191" s="67"/>
      <c r="J191" s="67"/>
      <c r="K191" s="67"/>
      <c r="L191" s="67"/>
      <c r="M191" s="67"/>
      <c r="N191" s="67"/>
      <c r="O191" s="67"/>
    </row>
    <row r="192" spans="2:15">
      <c r="B192" s="895"/>
      <c r="C192" s="51"/>
      <c r="D192" s="195"/>
      <c r="E192" s="67"/>
      <c r="F192" s="67"/>
      <c r="G192" s="67"/>
      <c r="H192" s="67"/>
      <c r="I192" s="67"/>
      <c r="J192" s="67"/>
      <c r="K192" s="67"/>
      <c r="L192" s="67"/>
      <c r="M192" s="67"/>
      <c r="N192" s="67"/>
      <c r="O192" s="67"/>
    </row>
    <row r="193" spans="2:15">
      <c r="B193" s="919"/>
      <c r="C193" s="104"/>
      <c r="D193" s="195"/>
      <c r="E193" s="922"/>
      <c r="F193" s="922"/>
      <c r="G193" s="922"/>
      <c r="H193" s="922"/>
      <c r="I193" s="922"/>
      <c r="J193" s="922"/>
      <c r="K193" s="922"/>
      <c r="L193" s="922"/>
      <c r="M193" s="922"/>
      <c r="N193" s="922"/>
      <c r="O193" s="922"/>
    </row>
    <row r="194" spans="2:15">
      <c r="B194" s="2815"/>
      <c r="C194" s="51"/>
      <c r="D194" s="195"/>
      <c r="E194" s="67"/>
      <c r="F194" s="67"/>
      <c r="G194" s="67"/>
      <c r="H194" s="67"/>
      <c r="I194" s="67"/>
      <c r="J194" s="67"/>
      <c r="K194" s="67"/>
      <c r="L194" s="67"/>
      <c r="M194" s="67"/>
      <c r="N194" s="67"/>
      <c r="O194" s="67"/>
    </row>
    <row r="195" spans="2:15">
      <c r="B195" s="2816"/>
      <c r="C195" s="1464" t="s">
        <v>2155</v>
      </c>
      <c r="D195" s="67"/>
      <c r="E195" s="67"/>
      <c r="F195" s="67"/>
      <c r="G195" s="67"/>
      <c r="H195" s="67"/>
      <c r="I195" s="67"/>
      <c r="J195" s="67"/>
      <c r="K195" s="67"/>
      <c r="L195" s="67"/>
      <c r="M195" s="67"/>
      <c r="N195" s="67"/>
      <c r="O195" s="67"/>
    </row>
    <row r="196" spans="2:15">
      <c r="B196" s="2815"/>
      <c r="C196" s="49"/>
      <c r="D196" s="195"/>
      <c r="E196" s="67"/>
      <c r="F196" s="67"/>
      <c r="G196" s="67"/>
      <c r="H196" s="67"/>
      <c r="I196" s="67"/>
      <c r="J196" s="67"/>
      <c r="K196" s="67"/>
      <c r="L196" s="67"/>
      <c r="M196" s="67"/>
      <c r="N196" s="67"/>
      <c r="O196" s="67"/>
    </row>
    <row r="197" spans="2:15">
      <c r="B197" s="895"/>
      <c r="C197" s="2578" t="s">
        <v>71</v>
      </c>
      <c r="D197" s="2578"/>
      <c r="E197" s="2817" t="s">
        <v>2156</v>
      </c>
      <c r="F197" s="2818" t="s">
        <v>2157</v>
      </c>
      <c r="G197" s="67"/>
      <c r="H197" s="67"/>
      <c r="I197" s="67"/>
      <c r="J197" s="67"/>
      <c r="K197" s="67"/>
      <c r="L197" s="67"/>
      <c r="M197" s="67"/>
      <c r="N197" s="67"/>
      <c r="O197" s="67"/>
    </row>
    <row r="198" spans="2:15">
      <c r="B198" s="895"/>
      <c r="C198" s="948" t="s">
        <v>2158</v>
      </c>
      <c r="D198" s="948"/>
      <c r="E198" s="3574">
        <v>0.06</v>
      </c>
      <c r="F198" s="343">
        <v>15</v>
      </c>
      <c r="G198" s="67"/>
      <c r="H198" s="67"/>
      <c r="I198" s="67"/>
      <c r="J198" s="67"/>
      <c r="K198" s="67"/>
      <c r="L198" s="67"/>
      <c r="M198" s="67"/>
      <c r="N198" s="67"/>
      <c r="O198" s="67"/>
    </row>
    <row r="199" spans="2:15">
      <c r="B199" s="895"/>
      <c r="C199" s="67"/>
      <c r="D199" s="67"/>
      <c r="E199" s="67"/>
      <c r="F199" s="67"/>
      <c r="G199" s="67"/>
      <c r="H199" s="67"/>
      <c r="I199" s="67"/>
      <c r="J199" s="67"/>
      <c r="K199" s="67"/>
      <c r="L199" s="67"/>
      <c r="M199" s="67"/>
      <c r="N199" s="67"/>
      <c r="O199" s="67"/>
    </row>
    <row r="200" spans="2:15">
      <c r="B200" s="895"/>
      <c r="C200" s="49" t="s">
        <v>2159</v>
      </c>
      <c r="D200" s="195"/>
      <c r="E200" s="2777" t="s">
        <v>2160</v>
      </c>
      <c r="F200" s="2777"/>
      <c r="G200" s="67"/>
      <c r="H200" s="67"/>
      <c r="I200" s="67"/>
      <c r="J200" s="67"/>
      <c r="K200" s="67"/>
      <c r="L200" s="67"/>
      <c r="M200" s="67"/>
      <c r="N200" s="67"/>
      <c r="O200" s="67"/>
    </row>
    <row r="201" spans="2:15">
      <c r="B201" s="895"/>
      <c r="C201" s="49"/>
      <c r="D201" s="195"/>
      <c r="E201" s="67"/>
      <c r="F201" s="67"/>
      <c r="G201" s="67"/>
      <c r="H201" s="67"/>
      <c r="I201" s="67"/>
      <c r="J201" s="67"/>
      <c r="K201" s="67"/>
      <c r="L201" s="67"/>
      <c r="M201" s="67"/>
      <c r="N201" s="67"/>
      <c r="O201" s="67"/>
    </row>
    <row r="202" spans="2:15">
      <c r="B202" s="895"/>
      <c r="C202" s="1527" t="s">
        <v>71</v>
      </c>
      <c r="D202" s="1527"/>
      <c r="E202" s="2819" t="s">
        <v>2161</v>
      </c>
      <c r="F202" s="2820" t="s">
        <v>2157</v>
      </c>
      <c r="G202" s="67"/>
      <c r="H202" s="67"/>
      <c r="I202" s="67"/>
      <c r="J202" s="67"/>
      <c r="K202" s="67"/>
      <c r="L202" s="67"/>
      <c r="M202" s="67"/>
      <c r="N202" s="67"/>
      <c r="O202" s="67"/>
    </row>
    <row r="203" spans="2:15">
      <c r="B203" s="895"/>
      <c r="C203" s="1070" t="s">
        <v>2162</v>
      </c>
      <c r="D203" s="1527"/>
      <c r="E203" s="2862">
        <f>F401/(F442*F402)</f>
        <v>1.111111111111111E-2</v>
      </c>
      <c r="F203" s="2821">
        <v>15</v>
      </c>
      <c r="G203" s="67"/>
      <c r="H203" s="67"/>
      <c r="I203" s="67"/>
      <c r="J203" s="67"/>
      <c r="K203" s="67"/>
      <c r="L203" s="67"/>
      <c r="M203" s="67"/>
      <c r="N203" s="67"/>
      <c r="O203" s="67"/>
    </row>
    <row r="204" spans="2:15">
      <c r="B204" s="895"/>
      <c r="C204" s="948" t="s">
        <v>2163</v>
      </c>
      <c r="D204" s="948"/>
      <c r="E204" s="2413">
        <f>F404/(F442*F403)</f>
        <v>3.9999999999999992E-3</v>
      </c>
      <c r="F204" s="1728">
        <v>15</v>
      </c>
      <c r="G204" s="67"/>
      <c r="H204" s="67"/>
      <c r="I204" s="67"/>
      <c r="J204" s="67"/>
      <c r="K204" s="67"/>
      <c r="L204" s="67"/>
      <c r="M204" s="67"/>
      <c r="N204" s="67"/>
      <c r="O204" s="67"/>
    </row>
    <row r="205" spans="2:15">
      <c r="B205" s="895"/>
      <c r="C205" s="67"/>
      <c r="D205" s="67"/>
      <c r="E205" s="67"/>
      <c r="F205" s="67"/>
      <c r="G205" s="67"/>
      <c r="H205" s="67"/>
      <c r="I205" s="67"/>
      <c r="J205" s="67"/>
      <c r="K205" s="67"/>
      <c r="L205" s="67"/>
      <c r="M205" s="67"/>
      <c r="N205" s="67"/>
      <c r="O205" s="67"/>
    </row>
    <row r="206" spans="2:15">
      <c r="B206" s="47"/>
      <c r="C206" s="49" t="s">
        <v>2164</v>
      </c>
      <c r="D206" s="195"/>
      <c r="E206" s="2777" t="s">
        <v>2160</v>
      </c>
      <c r="F206" s="2777"/>
      <c r="G206" s="67"/>
      <c r="H206" s="67"/>
      <c r="I206" s="67"/>
      <c r="J206" s="67"/>
      <c r="K206" s="67"/>
      <c r="L206" s="67"/>
      <c r="M206" s="67"/>
      <c r="N206" s="67"/>
      <c r="O206" s="67"/>
    </row>
    <row r="207" spans="2:15">
      <c r="B207" s="47"/>
      <c r="C207" s="49"/>
      <c r="D207" s="195"/>
      <c r="E207" s="67"/>
      <c r="F207" s="67"/>
      <c r="G207" s="47"/>
      <c r="H207" s="47"/>
      <c r="I207" s="47"/>
      <c r="J207" s="47"/>
      <c r="K207" s="47"/>
      <c r="L207" s="47"/>
      <c r="M207" s="47"/>
      <c r="N207" s="47"/>
      <c r="O207" s="47"/>
    </row>
    <row r="208" spans="2:15">
      <c r="B208" s="1526"/>
      <c r="C208" s="878" t="s">
        <v>71</v>
      </c>
      <c r="D208" s="878"/>
      <c r="E208" s="2800" t="s">
        <v>2156</v>
      </c>
      <c r="F208" s="2659" t="s">
        <v>2157</v>
      </c>
      <c r="G208" s="47"/>
      <c r="H208" s="47"/>
      <c r="I208" s="47"/>
      <c r="J208" s="47"/>
      <c r="K208" s="47"/>
      <c r="L208" s="47"/>
      <c r="M208" s="47"/>
      <c r="N208" s="47"/>
      <c r="O208" s="47"/>
    </row>
    <row r="209" spans="2:16" s="918" customFormat="1">
      <c r="B209" s="47"/>
      <c r="C209" s="948" t="s">
        <v>2165</v>
      </c>
      <c r="D209" s="948"/>
      <c r="E209" s="2863">
        <f>1000/1000000</f>
        <v>1E-3</v>
      </c>
      <c r="F209" s="343">
        <v>15</v>
      </c>
      <c r="G209" s="1526"/>
      <c r="H209" s="1526"/>
      <c r="I209" s="1526"/>
      <c r="J209" s="1526"/>
      <c r="K209" s="1526"/>
      <c r="L209" s="1526"/>
      <c r="M209" s="1526"/>
      <c r="N209" s="1526"/>
      <c r="O209" s="1526"/>
      <c r="P209" s="2776"/>
    </row>
    <row r="210" spans="2:16">
      <c r="B210" s="47"/>
      <c r="C210" s="47"/>
      <c r="D210" s="47"/>
      <c r="E210" s="47"/>
      <c r="F210" s="47"/>
      <c r="G210" s="47"/>
      <c r="H210" s="47"/>
      <c r="I210" s="47"/>
      <c r="J210" s="47"/>
      <c r="K210" s="47"/>
      <c r="L210" s="47"/>
      <c r="M210" s="47"/>
      <c r="N210" s="47"/>
      <c r="O210" s="47"/>
    </row>
    <row r="211" spans="2:16" ht="15.5">
      <c r="B211" s="55"/>
      <c r="C211" s="84" t="s">
        <v>779</v>
      </c>
      <c r="D211" s="103"/>
      <c r="E211" s="103"/>
      <c r="F211" s="167"/>
      <c r="G211" s="934"/>
      <c r="H211" s="67"/>
      <c r="I211" s="59"/>
      <c r="J211" s="59"/>
      <c r="K211" s="59"/>
      <c r="L211" s="59"/>
      <c r="M211" s="59"/>
      <c r="N211" s="1061" t="s">
        <v>831</v>
      </c>
      <c r="O211" s="876"/>
    </row>
    <row r="212" spans="2:16" ht="15.5">
      <c r="B212" s="55"/>
      <c r="C212" s="84"/>
      <c r="D212" s="103"/>
      <c r="E212" s="103"/>
      <c r="F212" s="167"/>
      <c r="G212" s="934"/>
      <c r="H212" s="67"/>
      <c r="I212" s="59"/>
      <c r="J212" s="59"/>
      <c r="K212" s="59"/>
      <c r="L212" s="59"/>
      <c r="M212" s="59"/>
      <c r="N212" s="59"/>
      <c r="O212" s="67"/>
    </row>
    <row r="213" spans="2:16" ht="15.5">
      <c r="B213" s="55"/>
      <c r="C213" s="878" t="s">
        <v>43</v>
      </c>
      <c r="D213" s="878" t="s">
        <v>130</v>
      </c>
      <c r="E213" s="878" t="s">
        <v>28</v>
      </c>
      <c r="F213" s="899">
        <v>2013</v>
      </c>
      <c r="G213" s="87" t="s">
        <v>132</v>
      </c>
      <c r="H213" s="87" t="s">
        <v>133</v>
      </c>
      <c r="I213" s="87" t="s">
        <v>134</v>
      </c>
      <c r="J213" s="87" t="s">
        <v>135</v>
      </c>
      <c r="K213" s="87" t="s">
        <v>136</v>
      </c>
      <c r="L213" s="87" t="s">
        <v>137</v>
      </c>
      <c r="M213" s="87" t="s">
        <v>138</v>
      </c>
      <c r="N213" s="87" t="s">
        <v>139</v>
      </c>
      <c r="O213" s="59"/>
    </row>
    <row r="214" spans="2:16" ht="15.5">
      <c r="B214" s="55"/>
      <c r="C214" s="917" t="s">
        <v>499</v>
      </c>
      <c r="D214" s="194" t="s">
        <v>2166</v>
      </c>
      <c r="E214" s="1151" t="s">
        <v>375</v>
      </c>
      <c r="F214" s="2461">
        <f>G214</f>
        <v>3.5598005365434199E-2</v>
      </c>
      <c r="G214" s="2863">
        <f t="shared" ref="G214:N214" si="20">0.0355980053654342*(1/Unit.TWh)</f>
        <v>3.5598005365434199E-2</v>
      </c>
      <c r="H214" s="2864">
        <f t="shared" si="20"/>
        <v>3.5598005365434199E-2</v>
      </c>
      <c r="I214" s="2864">
        <f t="shared" si="20"/>
        <v>3.5598005365434199E-2</v>
      </c>
      <c r="J214" s="2864">
        <f t="shared" si="20"/>
        <v>3.5598005365434199E-2</v>
      </c>
      <c r="K214" s="2864">
        <f t="shared" si="20"/>
        <v>3.5598005365434199E-2</v>
      </c>
      <c r="L214" s="2864">
        <f t="shared" si="20"/>
        <v>3.5598005365434199E-2</v>
      </c>
      <c r="M214" s="2864">
        <f t="shared" si="20"/>
        <v>3.5598005365434199E-2</v>
      </c>
      <c r="N214" s="2864">
        <f t="shared" si="20"/>
        <v>3.5598005365434199E-2</v>
      </c>
      <c r="O214" s="59"/>
    </row>
    <row r="215" spans="2:16" ht="15.5">
      <c r="B215" s="55"/>
      <c r="C215" s="65"/>
      <c r="D215" s="103"/>
      <c r="E215" s="103"/>
      <c r="F215" s="160"/>
      <c r="G215" s="51"/>
      <c r="H215" s="51"/>
      <c r="I215" s="60"/>
      <c r="J215" s="60"/>
      <c r="K215" s="60"/>
      <c r="L215" s="60"/>
      <c r="M215" s="60"/>
      <c r="N215" s="60"/>
      <c r="O215" s="876"/>
    </row>
    <row r="216" spans="2:16" ht="15.5">
      <c r="B216" s="55"/>
      <c r="C216" s="84" t="s">
        <v>781</v>
      </c>
      <c r="D216" s="103"/>
      <c r="E216" s="103"/>
      <c r="F216" s="160"/>
      <c r="G216" s="51"/>
      <c r="H216" s="51"/>
      <c r="I216" s="60"/>
      <c r="J216" s="60"/>
      <c r="K216" s="60"/>
      <c r="L216" s="60"/>
      <c r="M216" s="60"/>
      <c r="N216" s="1061" t="s">
        <v>831</v>
      </c>
      <c r="O216" s="876"/>
    </row>
    <row r="217" spans="2:16" ht="15.5">
      <c r="B217" s="55"/>
      <c r="C217" s="84"/>
      <c r="D217" s="103"/>
      <c r="E217" s="103"/>
      <c r="F217" s="160"/>
      <c r="G217" s="51"/>
      <c r="H217" s="51"/>
      <c r="I217" s="60"/>
      <c r="J217" s="60"/>
      <c r="K217" s="60"/>
      <c r="L217" s="60"/>
      <c r="M217" s="60"/>
      <c r="N217" s="60"/>
      <c r="O217" s="67"/>
    </row>
    <row r="218" spans="2:16" ht="15.5">
      <c r="B218" s="55"/>
      <c r="C218" s="878" t="s">
        <v>43</v>
      </c>
      <c r="D218" s="878" t="s">
        <v>130</v>
      </c>
      <c r="E218" s="878" t="s">
        <v>28</v>
      </c>
      <c r="F218" s="899">
        <v>2013</v>
      </c>
      <c r="G218" s="87" t="s">
        <v>132</v>
      </c>
      <c r="H218" s="87" t="s">
        <v>133</v>
      </c>
      <c r="I218" s="87" t="s">
        <v>134</v>
      </c>
      <c r="J218" s="87" t="s">
        <v>135</v>
      </c>
      <c r="K218" s="87" t="s">
        <v>136</v>
      </c>
      <c r="L218" s="87" t="s">
        <v>137</v>
      </c>
      <c r="M218" s="87" t="s">
        <v>138</v>
      </c>
      <c r="N218" s="87" t="s">
        <v>139</v>
      </c>
      <c r="O218" s="59"/>
    </row>
    <row r="219" spans="2:16" ht="15.5">
      <c r="B219" s="55"/>
      <c r="C219" s="917" t="s">
        <v>499</v>
      </c>
      <c r="D219" s="194" t="s">
        <v>2166</v>
      </c>
      <c r="E219" s="1151" t="s">
        <v>375</v>
      </c>
      <c r="F219" s="2461">
        <f>G219</f>
        <v>0.86326732588134103</v>
      </c>
      <c r="G219" s="2863">
        <f t="shared" ref="G219:N219" si="21">0.863267325881341*(1/Unit.TWh)</f>
        <v>0.86326732588134103</v>
      </c>
      <c r="H219" s="2864">
        <f t="shared" si="21"/>
        <v>0.86326732588134103</v>
      </c>
      <c r="I219" s="2864">
        <f t="shared" si="21"/>
        <v>0.86326732588134103</v>
      </c>
      <c r="J219" s="2864">
        <f t="shared" si="21"/>
        <v>0.86326732588134103</v>
      </c>
      <c r="K219" s="2864">
        <f t="shared" si="21"/>
        <v>0.86326732588134103</v>
      </c>
      <c r="L219" s="2864">
        <f t="shared" si="21"/>
        <v>0.86326732588134103</v>
      </c>
      <c r="M219" s="2864">
        <f t="shared" si="21"/>
        <v>0.86326732588134103</v>
      </c>
      <c r="N219" s="2864">
        <f t="shared" si="21"/>
        <v>0.86326732588134103</v>
      </c>
      <c r="O219" s="59"/>
    </row>
    <row r="220" spans="2:16" ht="15.5">
      <c r="B220" s="55"/>
      <c r="C220" s="65"/>
      <c r="D220" s="103"/>
      <c r="E220" s="103"/>
      <c r="F220" s="160"/>
      <c r="G220" s="51"/>
      <c r="H220" s="51"/>
      <c r="I220" s="60"/>
      <c r="J220" s="60"/>
      <c r="K220" s="60"/>
      <c r="L220" s="60"/>
      <c r="M220" s="60"/>
      <c r="N220" s="60"/>
      <c r="O220" s="876"/>
    </row>
    <row r="221" spans="2:16" ht="15.5">
      <c r="B221" s="55"/>
      <c r="C221" s="84" t="s">
        <v>782</v>
      </c>
      <c r="D221" s="103"/>
      <c r="E221" s="103"/>
      <c r="F221" s="160"/>
      <c r="G221" s="51"/>
      <c r="H221" s="51"/>
      <c r="I221" s="60"/>
      <c r="J221" s="60"/>
      <c r="K221" s="60"/>
      <c r="L221" s="60"/>
      <c r="M221" s="60"/>
      <c r="N221" s="1061" t="s">
        <v>831</v>
      </c>
      <c r="O221" s="876"/>
    </row>
    <row r="222" spans="2:16" ht="15.5">
      <c r="B222" s="55"/>
      <c r="C222" s="84"/>
      <c r="D222" s="103"/>
      <c r="E222" s="103"/>
      <c r="F222" s="160"/>
      <c r="G222" s="51"/>
      <c r="H222" s="51"/>
      <c r="I222" s="60"/>
      <c r="J222" s="60"/>
      <c r="K222" s="60"/>
      <c r="L222" s="60"/>
      <c r="M222" s="60"/>
      <c r="N222" s="60"/>
      <c r="O222" s="67"/>
    </row>
    <row r="223" spans="2:16" ht="15.5">
      <c r="B223" s="55"/>
      <c r="C223" s="878" t="s">
        <v>43</v>
      </c>
      <c r="D223" s="878" t="s">
        <v>130</v>
      </c>
      <c r="E223" s="878" t="s">
        <v>28</v>
      </c>
      <c r="F223" s="899">
        <v>2013</v>
      </c>
      <c r="G223" s="87" t="s">
        <v>132</v>
      </c>
      <c r="H223" s="87" t="s">
        <v>133</v>
      </c>
      <c r="I223" s="87" t="s">
        <v>134</v>
      </c>
      <c r="J223" s="87" t="s">
        <v>135</v>
      </c>
      <c r="K223" s="87" t="s">
        <v>136</v>
      </c>
      <c r="L223" s="87" t="s">
        <v>137</v>
      </c>
      <c r="M223" s="87" t="s">
        <v>138</v>
      </c>
      <c r="N223" s="87" t="s">
        <v>139</v>
      </c>
      <c r="O223" s="59"/>
    </row>
    <row r="224" spans="2:16" ht="15.5">
      <c r="B224" s="55"/>
      <c r="C224" s="917" t="s">
        <v>499</v>
      </c>
      <c r="D224" s="194" t="s">
        <v>2166</v>
      </c>
      <c r="E224" s="1151" t="s">
        <v>375</v>
      </c>
      <c r="F224" s="2461">
        <f>G224</f>
        <v>0</v>
      </c>
      <c r="G224" s="2863">
        <f t="shared" ref="G224:N224" si="22">(0*(1/Unit.GWh))*(1/Unit.TWh)</f>
        <v>0</v>
      </c>
      <c r="H224" s="2864">
        <f t="shared" si="22"/>
        <v>0</v>
      </c>
      <c r="I224" s="2864">
        <f t="shared" si="22"/>
        <v>0</v>
      </c>
      <c r="J224" s="2864">
        <f t="shared" si="22"/>
        <v>0</v>
      </c>
      <c r="K224" s="2864">
        <f t="shared" si="22"/>
        <v>0</v>
      </c>
      <c r="L224" s="2864">
        <f t="shared" si="22"/>
        <v>0</v>
      </c>
      <c r="M224" s="2864">
        <f t="shared" si="22"/>
        <v>0</v>
      </c>
      <c r="N224" s="2864">
        <f t="shared" si="22"/>
        <v>0</v>
      </c>
      <c r="O224" s="59"/>
    </row>
    <row r="225" spans="2:36" ht="15.5">
      <c r="B225" s="55"/>
      <c r="C225" s="2152"/>
      <c r="D225" s="2153"/>
      <c r="E225" s="2153"/>
      <c r="F225" s="2155"/>
      <c r="G225" s="2155"/>
      <c r="H225" s="2155"/>
      <c r="I225" s="2155"/>
      <c r="J225" s="2155"/>
      <c r="K225" s="2155"/>
      <c r="L225" s="2155"/>
      <c r="M225" s="2155"/>
      <c r="N225" s="2155"/>
      <c r="O225" s="876"/>
    </row>
    <row r="226" spans="2:36" ht="15.5">
      <c r="B226" s="55"/>
      <c r="C226" s="84" t="s">
        <v>783</v>
      </c>
      <c r="D226" s="103"/>
      <c r="E226" s="103"/>
      <c r="F226" s="160"/>
      <c r="G226" s="51"/>
      <c r="H226" s="51"/>
      <c r="I226" s="60"/>
      <c r="J226" s="60"/>
      <c r="K226" s="60"/>
      <c r="L226" s="60"/>
      <c r="M226" s="60"/>
      <c r="N226" s="1061" t="s">
        <v>831</v>
      </c>
      <c r="O226" s="876"/>
    </row>
    <row r="227" spans="2:36" ht="15.5">
      <c r="B227" s="55"/>
      <c r="C227" s="84"/>
      <c r="D227" s="103"/>
      <c r="E227" s="103"/>
      <c r="F227" s="160"/>
      <c r="G227" s="51"/>
      <c r="H227" s="51"/>
      <c r="I227" s="60"/>
      <c r="J227" s="60"/>
      <c r="K227" s="60"/>
      <c r="L227" s="60"/>
      <c r="M227" s="60"/>
      <c r="N227" s="60"/>
      <c r="O227" s="67"/>
    </row>
    <row r="228" spans="2:36" ht="15.5">
      <c r="B228" s="55"/>
      <c r="C228" s="878" t="s">
        <v>43</v>
      </c>
      <c r="D228" s="878" t="s">
        <v>130</v>
      </c>
      <c r="E228" s="878" t="s">
        <v>28</v>
      </c>
      <c r="F228" s="899">
        <v>2013</v>
      </c>
      <c r="G228" s="87" t="s">
        <v>132</v>
      </c>
      <c r="H228" s="87" t="s">
        <v>133</v>
      </c>
      <c r="I228" s="87" t="s">
        <v>134</v>
      </c>
      <c r="J228" s="87" t="s">
        <v>135</v>
      </c>
      <c r="K228" s="87" t="s">
        <v>136</v>
      </c>
      <c r="L228" s="87" t="s">
        <v>137</v>
      </c>
      <c r="M228" s="87" t="s">
        <v>138</v>
      </c>
      <c r="N228" s="87" t="s">
        <v>139</v>
      </c>
      <c r="O228" s="59"/>
    </row>
    <row r="229" spans="2:36" ht="15.5">
      <c r="B229" s="55"/>
      <c r="C229" s="917" t="s">
        <v>499</v>
      </c>
      <c r="D229" s="194" t="s">
        <v>2166</v>
      </c>
      <c r="E229" s="1151" t="s">
        <v>375</v>
      </c>
      <c r="F229" s="2461">
        <f>G229</f>
        <v>1.3022608695652201E-2</v>
      </c>
      <c r="G229" s="2863">
        <f t="shared" ref="G229:N229" si="23">0.0130226086956522*(1/Unit.TWh)</f>
        <v>1.3022608695652201E-2</v>
      </c>
      <c r="H229" s="2864">
        <f t="shared" si="23"/>
        <v>1.3022608695652201E-2</v>
      </c>
      <c r="I229" s="2864">
        <f t="shared" si="23"/>
        <v>1.3022608695652201E-2</v>
      </c>
      <c r="J229" s="2864">
        <f t="shared" si="23"/>
        <v>1.3022608695652201E-2</v>
      </c>
      <c r="K229" s="2864">
        <f t="shared" si="23"/>
        <v>1.3022608695652201E-2</v>
      </c>
      <c r="L229" s="2864">
        <f t="shared" si="23"/>
        <v>1.3022608695652201E-2</v>
      </c>
      <c r="M229" s="2864">
        <f t="shared" si="23"/>
        <v>1.3022608695652201E-2</v>
      </c>
      <c r="N229" s="2864">
        <f t="shared" si="23"/>
        <v>1.3022608695652201E-2</v>
      </c>
      <c r="O229" s="59"/>
    </row>
    <row r="230" spans="2:36" ht="15.5">
      <c r="B230" s="55"/>
      <c r="C230" s="65"/>
      <c r="D230" s="103"/>
      <c r="E230" s="296"/>
      <c r="F230" s="1062"/>
      <c r="G230" s="2823"/>
      <c r="H230" s="2823"/>
      <c r="I230" s="2823"/>
      <c r="J230" s="2823"/>
      <c r="K230" s="2823"/>
      <c r="L230" s="2823"/>
      <c r="M230" s="2823"/>
      <c r="N230" s="2823"/>
      <c r="O230" s="59"/>
    </row>
    <row r="231" spans="2:36" ht="15.5">
      <c r="B231" s="55"/>
      <c r="C231" s="84" t="s">
        <v>2167</v>
      </c>
      <c r="D231" s="103"/>
      <c r="E231" s="103"/>
      <c r="F231" s="160"/>
      <c r="G231" s="51"/>
      <c r="H231" s="51"/>
      <c r="I231" s="60"/>
      <c r="J231" s="60"/>
      <c r="K231" s="60"/>
      <c r="L231" s="60"/>
      <c r="M231" s="60"/>
      <c r="N231" s="1061" t="s">
        <v>831</v>
      </c>
      <c r="O231" s="59"/>
    </row>
    <row r="232" spans="2:36" ht="15.5">
      <c r="B232" s="55"/>
      <c r="C232" s="84"/>
      <c r="D232" s="103"/>
      <c r="E232" s="103"/>
      <c r="F232" s="160"/>
      <c r="G232" s="51"/>
      <c r="H232" s="51"/>
      <c r="I232" s="60"/>
      <c r="J232" s="60"/>
      <c r="K232" s="60"/>
      <c r="L232" s="60"/>
      <c r="M232" s="60"/>
      <c r="N232" s="60"/>
      <c r="O232" s="59"/>
    </row>
    <row r="233" spans="2:36" ht="15.5">
      <c r="B233" s="55"/>
      <c r="C233" s="878" t="s">
        <v>43</v>
      </c>
      <c r="D233" s="878" t="s">
        <v>130</v>
      </c>
      <c r="E233" s="878" t="s">
        <v>28</v>
      </c>
      <c r="F233" s="899">
        <v>2013</v>
      </c>
      <c r="G233" s="87" t="s">
        <v>132</v>
      </c>
      <c r="H233" s="87" t="s">
        <v>133</v>
      </c>
      <c r="I233" s="87"/>
      <c r="J233" s="87"/>
      <c r="K233" s="87"/>
      <c r="L233" s="87"/>
      <c r="M233" s="87"/>
      <c r="N233" s="87"/>
      <c r="O233" s="59"/>
    </row>
    <row r="234" spans="2:36" ht="15.5">
      <c r="B234" s="55"/>
      <c r="C234" s="917" t="s">
        <v>499</v>
      </c>
      <c r="D234" s="194" t="s">
        <v>2166</v>
      </c>
      <c r="E234" s="1151" t="s">
        <v>375</v>
      </c>
      <c r="F234" s="1155">
        <v>9.6300000000000008</v>
      </c>
      <c r="G234" s="2822">
        <v>9.0773043359999992</v>
      </c>
      <c r="H234" s="2822">
        <v>8.7208291459999998</v>
      </c>
      <c r="I234" s="2822"/>
      <c r="J234" s="2822"/>
      <c r="K234" s="2822"/>
      <c r="L234" s="2822"/>
      <c r="M234" s="2822"/>
      <c r="N234" s="2822"/>
      <c r="O234" s="59"/>
    </row>
    <row r="235" spans="2:36" ht="15.5">
      <c r="B235" s="55"/>
      <c r="C235" s="65"/>
      <c r="D235" s="103"/>
      <c r="E235" s="296"/>
      <c r="F235" s="1062"/>
      <c r="G235" s="2823"/>
      <c r="H235" s="2823"/>
      <c r="I235" s="2823"/>
      <c r="J235" s="2823"/>
      <c r="K235" s="2823"/>
      <c r="L235" s="2823"/>
      <c r="M235" s="2823"/>
      <c r="N235" s="2823"/>
      <c r="O235" s="59"/>
      <c r="R235" s="1068"/>
      <c r="S235" s="1068"/>
      <c r="T235" s="1068"/>
      <c r="U235" s="1068"/>
      <c r="V235" s="1068"/>
      <c r="W235" s="1068"/>
      <c r="X235" s="1068"/>
      <c r="Y235" s="1068"/>
      <c r="Z235" s="1068"/>
      <c r="AA235" s="1068"/>
      <c r="AB235" s="1068"/>
      <c r="AC235" s="1068"/>
      <c r="AD235" s="1068"/>
      <c r="AE235" s="1068"/>
      <c r="AF235" s="1068"/>
      <c r="AG235" s="1068"/>
      <c r="AH235" s="1068"/>
      <c r="AI235" s="1068"/>
      <c r="AJ235" s="1068"/>
    </row>
    <row r="236" spans="2:36">
      <c r="B236" s="81"/>
      <c r="C236" s="1068"/>
      <c r="D236" s="1420" t="s">
        <v>5</v>
      </c>
      <c r="E236" s="1068"/>
      <c r="F236" s="1068"/>
      <c r="G236" s="1068"/>
      <c r="H236" s="1068"/>
      <c r="I236" s="1068"/>
      <c r="J236" s="1068"/>
      <c r="K236" s="1068"/>
      <c r="L236" s="1068"/>
      <c r="M236" s="1068"/>
      <c r="N236" s="1068"/>
      <c r="O236" s="1068"/>
      <c r="P236" s="1068"/>
      <c r="R236" s="1068"/>
      <c r="S236" s="1068"/>
      <c r="T236" s="1068"/>
      <c r="U236" s="1068"/>
      <c r="V236" s="1068"/>
      <c r="W236" s="1068"/>
      <c r="X236" s="1068"/>
      <c r="Y236" s="1068"/>
      <c r="Z236" s="1068"/>
      <c r="AA236" s="1068"/>
      <c r="AB236" s="1068"/>
      <c r="AC236" s="1068"/>
      <c r="AD236" s="1068"/>
      <c r="AE236" s="1068"/>
      <c r="AF236" s="1068"/>
      <c r="AG236" s="1068"/>
      <c r="AH236" s="1068"/>
      <c r="AI236" s="1068"/>
      <c r="AJ236" s="1068"/>
    </row>
    <row r="237" spans="2:36" ht="15">
      <c r="B237" s="2156" t="s">
        <v>2719</v>
      </c>
      <c r="C237" s="2157"/>
      <c r="D237" s="2157"/>
      <c r="E237" s="2157"/>
      <c r="F237" s="2157"/>
      <c r="G237" s="2157"/>
      <c r="H237" s="2157"/>
      <c r="I237" s="2157"/>
      <c r="J237" s="2157"/>
      <c r="K237" s="2157"/>
      <c r="L237" s="2157"/>
      <c r="M237" s="2157"/>
      <c r="N237" s="2157"/>
      <c r="O237" s="2157"/>
      <c r="P237" s="2735"/>
      <c r="R237" s="1068"/>
      <c r="S237" s="1068"/>
      <c r="T237" s="1068"/>
      <c r="U237" s="1068"/>
      <c r="V237" s="1068"/>
      <c r="W237" s="1068"/>
      <c r="X237" s="1068"/>
      <c r="Y237" s="1068"/>
      <c r="Z237" s="1068"/>
      <c r="AA237" s="1068"/>
      <c r="AB237" s="1068"/>
      <c r="AC237" s="1068"/>
      <c r="AD237" s="1068"/>
      <c r="AE237" s="1068"/>
      <c r="AF237" s="1068"/>
      <c r="AG237" s="1068"/>
      <c r="AH237" s="1068"/>
      <c r="AI237" s="1068"/>
      <c r="AJ237" s="1068"/>
    </row>
    <row r="238" spans="2:36" ht="6.75" customHeight="1">
      <c r="B238" s="922"/>
      <c r="C238" s="922"/>
      <c r="D238" s="922"/>
      <c r="E238" s="922"/>
      <c r="F238" s="922"/>
      <c r="G238" s="922"/>
      <c r="H238" s="922"/>
      <c r="I238" s="922"/>
      <c r="J238" s="922"/>
      <c r="K238" s="922"/>
      <c r="L238" s="67"/>
      <c r="M238" s="67"/>
      <c r="N238" s="67"/>
      <c r="O238" s="67"/>
      <c r="P238" s="47"/>
      <c r="R238" s="1068"/>
      <c r="S238" s="1068"/>
      <c r="T238" s="1068"/>
      <c r="U238" s="1068"/>
      <c r="V238" s="1068"/>
      <c r="W238" s="1068"/>
      <c r="X238" s="1068"/>
      <c r="Y238" s="1068"/>
      <c r="Z238" s="1068"/>
      <c r="AA238" s="1068"/>
      <c r="AB238" s="1068"/>
      <c r="AC238" s="1068"/>
      <c r="AD238" s="1068"/>
      <c r="AE238" s="1068"/>
      <c r="AF238" s="1068"/>
      <c r="AG238" s="1068"/>
      <c r="AH238" s="1068"/>
      <c r="AI238" s="1068"/>
      <c r="AJ238" s="1068"/>
    </row>
    <row r="239" spans="2:36" hidden="1">
      <c r="B239" s="2574"/>
      <c r="C239" s="49" t="s">
        <v>2168</v>
      </c>
      <c r="D239" s="195"/>
      <c r="E239" s="67"/>
      <c r="F239" s="2777"/>
      <c r="G239" s="2777"/>
      <c r="H239" s="2777"/>
      <c r="I239" s="2777"/>
      <c r="J239" s="49"/>
      <c r="K239" s="67"/>
      <c r="L239" s="67"/>
      <c r="M239" s="67"/>
      <c r="N239" s="67"/>
      <c r="O239" s="67"/>
      <c r="P239" s="47"/>
      <c r="R239" s="1068"/>
      <c r="S239" s="1068"/>
      <c r="T239" s="1068"/>
      <c r="U239" s="1068"/>
      <c r="V239" s="1068"/>
      <c r="W239" s="1068"/>
      <c r="X239" s="1068"/>
      <c r="Y239" s="1068"/>
      <c r="Z239" s="1068"/>
      <c r="AA239" s="1068"/>
      <c r="AB239" s="1068"/>
      <c r="AC239" s="1068"/>
      <c r="AD239" s="1068"/>
      <c r="AE239" s="1068"/>
      <c r="AF239" s="1068"/>
      <c r="AG239" s="1068"/>
      <c r="AH239" s="1068"/>
      <c r="AI239" s="1068"/>
      <c r="AJ239" s="1068"/>
    </row>
    <row r="240" spans="2:36" ht="6.75" hidden="1" customHeight="1">
      <c r="B240" s="67"/>
      <c r="C240" s="67"/>
      <c r="D240" s="195"/>
      <c r="E240" s="67"/>
      <c r="F240" s="67"/>
      <c r="G240" s="67"/>
      <c r="H240" s="67"/>
      <c r="I240" s="67"/>
      <c r="J240" s="67"/>
      <c r="K240" s="67"/>
      <c r="L240" s="67"/>
      <c r="M240" s="67"/>
      <c r="N240" s="67"/>
      <c r="O240" s="67"/>
      <c r="P240" s="47"/>
      <c r="R240" s="1068"/>
      <c r="S240" s="1068"/>
      <c r="T240" s="1068"/>
      <c r="U240" s="1068"/>
      <c r="V240" s="1068"/>
      <c r="W240" s="1068"/>
      <c r="X240" s="1068"/>
      <c r="Y240" s="1068"/>
      <c r="Z240" s="1068"/>
      <c r="AA240" s="1068"/>
      <c r="AB240" s="1068"/>
      <c r="AC240" s="1068"/>
      <c r="AD240" s="1068"/>
      <c r="AE240" s="1068"/>
      <c r="AF240" s="1068"/>
      <c r="AG240" s="1068"/>
      <c r="AH240" s="1068"/>
      <c r="AI240" s="1068"/>
      <c r="AJ240" s="1068"/>
    </row>
    <row r="241" spans="2:36" hidden="1">
      <c r="B241" s="895"/>
      <c r="C241" s="1527" t="s">
        <v>71</v>
      </c>
      <c r="D241" s="1527"/>
      <c r="E241" s="964" t="s">
        <v>1447</v>
      </c>
      <c r="F241" s="971" t="s">
        <v>159</v>
      </c>
      <c r="G241" s="965">
        <v>2013</v>
      </c>
      <c r="H241" s="965">
        <v>2015</v>
      </c>
      <c r="I241" s="965">
        <v>2020</v>
      </c>
      <c r="J241" s="965">
        <v>2025</v>
      </c>
      <c r="K241" s="965">
        <v>2030</v>
      </c>
      <c r="L241" s="965">
        <v>2035</v>
      </c>
      <c r="M241" s="965">
        <v>2040</v>
      </c>
      <c r="N241" s="965">
        <v>2045</v>
      </c>
      <c r="O241" s="965">
        <v>2050</v>
      </c>
      <c r="P241" s="47"/>
      <c r="R241" s="1068"/>
      <c r="S241" s="1068"/>
      <c r="T241" s="1068"/>
      <c r="U241" s="202"/>
      <c r="V241" s="1420"/>
      <c r="W241" s="2778"/>
      <c r="X241" s="2778"/>
      <c r="Y241" s="2778"/>
      <c r="Z241" s="2778"/>
      <c r="AA241" s="1068"/>
      <c r="AB241" s="202"/>
      <c r="AC241" s="1068"/>
      <c r="AD241" s="1068"/>
      <c r="AE241" s="1068"/>
      <c r="AF241" s="1068"/>
      <c r="AG241" s="1068"/>
      <c r="AH241" s="1068"/>
      <c r="AI241" s="1068"/>
      <c r="AJ241" s="1068"/>
    </row>
    <row r="242" spans="2:36" hidden="1">
      <c r="B242" s="895"/>
      <c r="C242" s="1070" t="s">
        <v>2169</v>
      </c>
      <c r="D242" s="1070"/>
      <c r="E242" s="260" t="s">
        <v>2749</v>
      </c>
      <c r="F242" s="2738"/>
      <c r="G242" s="2737"/>
      <c r="H242" s="1071"/>
      <c r="I242" s="1071"/>
      <c r="J242" s="1071"/>
      <c r="K242" s="1071"/>
      <c r="L242" s="1071"/>
      <c r="M242" s="1071"/>
      <c r="N242" s="1071"/>
      <c r="O242" s="2737"/>
      <c r="P242" s="47"/>
      <c r="R242" s="1068"/>
      <c r="S242" s="1068"/>
      <c r="T242" s="1068"/>
      <c r="U242" s="202"/>
      <c r="V242" s="1420"/>
      <c r="W242" s="1068"/>
      <c r="X242" s="1068"/>
      <c r="Y242" s="202"/>
      <c r="Z242" s="202"/>
      <c r="AA242" s="1068"/>
      <c r="AB242" s="1068"/>
      <c r="AC242" s="1068"/>
      <c r="AD242" s="1068"/>
      <c r="AE242" s="1068"/>
      <c r="AF242" s="1068"/>
      <c r="AG242" s="1068"/>
      <c r="AH242" s="1068"/>
      <c r="AI242" s="1068"/>
      <c r="AJ242" s="1068"/>
    </row>
    <row r="243" spans="2:36" ht="15.5" hidden="1">
      <c r="B243" s="877"/>
      <c r="C243" s="915" t="s">
        <v>2170</v>
      </c>
      <c r="D243" s="915"/>
      <c r="E243" s="46" t="s">
        <v>2749</v>
      </c>
      <c r="F243" s="2740"/>
      <c r="G243" s="2739"/>
      <c r="H243" s="945"/>
      <c r="I243" s="945"/>
      <c r="J243" s="945"/>
      <c r="K243" s="945"/>
      <c r="L243" s="945"/>
      <c r="M243" s="945"/>
      <c r="N243" s="945"/>
      <c r="O243" s="2739"/>
      <c r="P243" s="47"/>
      <c r="R243" s="1068"/>
      <c r="S243" s="1068"/>
      <c r="T243" s="1068"/>
      <c r="U243" s="2542"/>
      <c r="V243" s="2542"/>
      <c r="W243" s="2824"/>
      <c r="X243" s="2824"/>
      <c r="Y243" s="2824"/>
      <c r="Z243" s="2824"/>
      <c r="AA243" s="1068"/>
      <c r="AB243" s="1068"/>
      <c r="AC243" s="1068"/>
      <c r="AD243" s="1068"/>
      <c r="AE243" s="1068"/>
      <c r="AF243" s="1068"/>
      <c r="AG243" s="1068"/>
      <c r="AH243" s="1068"/>
      <c r="AI243" s="1068"/>
      <c r="AJ243" s="1068"/>
    </row>
    <row r="244" spans="2:36" ht="15.5" hidden="1">
      <c r="B244" s="877"/>
      <c r="C244" s="915" t="s">
        <v>2171</v>
      </c>
      <c r="D244" s="915"/>
      <c r="E244" s="46" t="s">
        <v>2749</v>
      </c>
      <c r="F244" s="2740"/>
      <c r="G244" s="2739"/>
      <c r="H244" s="945"/>
      <c r="I244" s="945"/>
      <c r="J244" s="945"/>
      <c r="K244" s="945"/>
      <c r="L244" s="945"/>
      <c r="M244" s="945"/>
      <c r="N244" s="945"/>
      <c r="O244" s="2739"/>
      <c r="P244" s="47"/>
      <c r="R244" s="1068"/>
      <c r="S244" s="1068"/>
      <c r="T244" s="1068"/>
      <c r="U244" s="512"/>
      <c r="V244" s="512"/>
      <c r="W244" s="2577"/>
      <c r="X244" s="2577"/>
      <c r="Y244" s="2577"/>
      <c r="Z244" s="2577"/>
      <c r="AA244" s="202"/>
      <c r="AB244" s="202"/>
      <c r="AC244" s="202"/>
      <c r="AD244" s="1068"/>
      <c r="AE244" s="1068"/>
      <c r="AF244" s="1068"/>
      <c r="AG244" s="1068"/>
      <c r="AH244" s="1068"/>
      <c r="AI244" s="1068"/>
      <c r="AJ244" s="1068"/>
    </row>
    <row r="245" spans="2:36" ht="15.5" hidden="1">
      <c r="B245" s="877"/>
      <c r="C245" s="948" t="s">
        <v>2172</v>
      </c>
      <c r="D245" s="948"/>
      <c r="E245" s="176" t="s">
        <v>2749</v>
      </c>
      <c r="F245" s="2742"/>
      <c r="G245" s="2741"/>
      <c r="H245" s="950"/>
      <c r="I245" s="950"/>
      <c r="J245" s="950"/>
      <c r="K245" s="950"/>
      <c r="L245" s="950"/>
      <c r="M245" s="950"/>
      <c r="N245" s="950"/>
      <c r="O245" s="2741"/>
      <c r="P245" s="47"/>
      <c r="R245" s="1068"/>
      <c r="S245" s="1068"/>
      <c r="T245" s="1068"/>
      <c r="U245" s="512"/>
      <c r="V245" s="512"/>
      <c r="W245" s="2577"/>
      <c r="X245" s="2577"/>
      <c r="Y245" s="2577"/>
      <c r="Z245" s="2577"/>
      <c r="AA245" s="202"/>
      <c r="AB245" s="202"/>
      <c r="AC245" s="202"/>
      <c r="AD245" s="1068"/>
      <c r="AE245" s="1068"/>
      <c r="AF245" s="1068"/>
      <c r="AG245" s="1068"/>
      <c r="AH245" s="1068"/>
      <c r="AI245" s="1068"/>
      <c r="AJ245" s="1068"/>
    </row>
    <row r="246" spans="2:36" ht="15.5" hidden="1">
      <c r="B246" s="877"/>
      <c r="C246" s="1070" t="s">
        <v>2158</v>
      </c>
      <c r="D246" s="1070"/>
      <c r="E246" s="260" t="s">
        <v>2750</v>
      </c>
      <c r="F246" s="2740"/>
      <c r="G246" s="944"/>
      <c r="H246" s="945"/>
      <c r="I246" s="945"/>
      <c r="J246" s="945"/>
      <c r="K246" s="945"/>
      <c r="L246" s="945"/>
      <c r="M246" s="945"/>
      <c r="N246" s="945"/>
      <c r="O246" s="944"/>
      <c r="P246" s="47"/>
      <c r="R246" s="1068"/>
      <c r="S246" s="1068"/>
      <c r="T246" s="1068"/>
      <c r="U246" s="512"/>
      <c r="V246" s="512"/>
      <c r="W246" s="2577"/>
      <c r="X246" s="2577"/>
      <c r="Y246" s="2577"/>
      <c r="Z246" s="2577"/>
      <c r="AA246" s="202"/>
      <c r="AB246" s="202"/>
      <c r="AC246" s="202"/>
      <c r="AD246" s="1068"/>
      <c r="AE246" s="1068"/>
      <c r="AF246" s="1068"/>
      <c r="AG246" s="1068"/>
      <c r="AH246" s="1068"/>
      <c r="AI246" s="1068"/>
      <c r="AJ246" s="1068"/>
    </row>
    <row r="247" spans="2:36" ht="16.5" hidden="1" customHeight="1">
      <c r="B247" s="877"/>
      <c r="C247" s="915" t="s">
        <v>2162</v>
      </c>
      <c r="D247" s="103"/>
      <c r="E247" s="46" t="s">
        <v>2750</v>
      </c>
      <c r="F247" s="2740"/>
      <c r="G247" s="944"/>
      <c r="H247" s="945"/>
      <c r="I247" s="945"/>
      <c r="J247" s="945"/>
      <c r="K247" s="945"/>
      <c r="L247" s="945"/>
      <c r="M247" s="945"/>
      <c r="N247" s="945"/>
      <c r="O247" s="944"/>
      <c r="P247" s="47"/>
      <c r="R247" s="1068"/>
      <c r="S247" s="1068"/>
      <c r="T247" s="1068"/>
      <c r="U247" s="512"/>
      <c r="V247" s="512"/>
      <c r="W247" s="2577"/>
      <c r="X247" s="2577"/>
      <c r="Y247" s="2577"/>
      <c r="Z247" s="2577"/>
      <c r="AA247" s="202"/>
      <c r="AB247" s="202"/>
      <c r="AC247" s="202"/>
      <c r="AD247" s="1068"/>
      <c r="AE247" s="1068"/>
      <c r="AF247" s="1068"/>
      <c r="AG247" s="1068"/>
      <c r="AH247" s="1068"/>
      <c r="AI247" s="1068"/>
      <c r="AJ247" s="1068"/>
    </row>
    <row r="248" spans="2:36" ht="15.75" hidden="1" customHeight="1">
      <c r="B248" s="877"/>
      <c r="C248" s="948" t="s">
        <v>2163</v>
      </c>
      <c r="D248" s="194"/>
      <c r="E248" s="176" t="s">
        <v>2750</v>
      </c>
      <c r="F248" s="2740"/>
      <c r="G248" s="944"/>
      <c r="H248" s="950"/>
      <c r="I248" s="950"/>
      <c r="J248" s="950"/>
      <c r="K248" s="950"/>
      <c r="L248" s="950"/>
      <c r="M248" s="950"/>
      <c r="N248" s="950"/>
      <c r="O248" s="949"/>
      <c r="P248" s="47"/>
      <c r="R248" s="1068"/>
      <c r="S248" s="1068"/>
      <c r="T248" s="1068"/>
      <c r="U248" s="202"/>
      <c r="V248" s="1420"/>
      <c r="W248" s="1068"/>
      <c r="X248" s="2778"/>
      <c r="Y248" s="2778"/>
      <c r="Z248" s="2778"/>
      <c r="AA248" s="2778"/>
      <c r="AB248" s="2778"/>
      <c r="AC248" s="202"/>
      <c r="AD248" s="1068"/>
      <c r="AE248" s="1068"/>
      <c r="AF248" s="1068"/>
      <c r="AG248" s="1068"/>
      <c r="AH248" s="1068"/>
      <c r="AI248" s="1068"/>
      <c r="AJ248" s="1068"/>
    </row>
    <row r="249" spans="2:36" ht="15.5" hidden="1">
      <c r="B249" s="877"/>
      <c r="C249" s="953" t="s">
        <v>2165</v>
      </c>
      <c r="D249" s="1191"/>
      <c r="E249" s="245" t="s">
        <v>2751</v>
      </c>
      <c r="F249" s="2825"/>
      <c r="G249" s="2826"/>
      <c r="H249" s="2827"/>
      <c r="I249" s="2827"/>
      <c r="J249" s="2827"/>
      <c r="K249" s="2827"/>
      <c r="L249" s="2827"/>
      <c r="M249" s="2827"/>
      <c r="N249" s="2827"/>
      <c r="O249" s="2826"/>
      <c r="P249" s="47"/>
      <c r="R249" s="1068"/>
      <c r="S249" s="1068"/>
      <c r="T249" s="1068"/>
      <c r="U249" s="202"/>
      <c r="V249" s="1420"/>
      <c r="W249" s="2778"/>
      <c r="X249" s="2778"/>
      <c r="Y249" s="2778"/>
      <c r="Z249" s="2778"/>
      <c r="AA249" s="2778"/>
      <c r="AB249" s="2778"/>
      <c r="AC249" s="202"/>
      <c r="AD249" s="1068"/>
      <c r="AE249" s="1068"/>
      <c r="AF249" s="1068"/>
      <c r="AG249" s="1068"/>
      <c r="AH249" s="1068"/>
      <c r="AI249" s="1068"/>
      <c r="AJ249" s="1068"/>
    </row>
    <row r="250" spans="2:36" ht="15.5" hidden="1">
      <c r="B250" s="2828"/>
      <c r="C250" s="104"/>
      <c r="D250" s="103"/>
      <c r="E250" s="47"/>
      <c r="F250" s="103"/>
      <c r="G250" s="944"/>
      <c r="H250" s="2565"/>
      <c r="I250" s="945"/>
      <c r="J250" s="945"/>
      <c r="K250" s="945"/>
      <c r="L250" s="945"/>
      <c r="M250" s="945"/>
      <c r="N250" s="945"/>
      <c r="O250" s="945"/>
      <c r="P250" s="47"/>
      <c r="R250" s="1068"/>
      <c r="S250" s="1068"/>
      <c r="T250" s="1068"/>
      <c r="U250" s="202"/>
      <c r="V250" s="1420"/>
      <c r="W250" s="1068"/>
      <c r="X250" s="1068"/>
      <c r="Y250" s="1068"/>
      <c r="Z250" s="1068"/>
      <c r="AA250" s="1068"/>
      <c r="AB250" s="1068"/>
      <c r="AC250" s="1068"/>
      <c r="AD250" s="1068"/>
      <c r="AE250" s="1068"/>
      <c r="AF250" s="1068"/>
      <c r="AG250" s="1068"/>
      <c r="AH250" s="1068"/>
      <c r="AI250" s="1068"/>
      <c r="AJ250" s="1068"/>
    </row>
    <row r="251" spans="2:36" ht="15.5" hidden="1">
      <c r="B251" s="2828"/>
      <c r="C251" s="49" t="s">
        <v>2173</v>
      </c>
      <c r="D251" s="195"/>
      <c r="E251" s="47"/>
      <c r="F251" s="67"/>
      <c r="G251" s="2777"/>
      <c r="H251" s="2777"/>
      <c r="I251" s="2777"/>
      <c r="J251" s="2777"/>
      <c r="K251" s="49"/>
      <c r="L251" s="67"/>
      <c r="M251" s="67"/>
      <c r="N251" s="67"/>
      <c r="O251" s="67"/>
      <c r="P251" s="47"/>
      <c r="R251" s="1068"/>
      <c r="S251" s="1068"/>
      <c r="T251" s="1068"/>
      <c r="U251" s="2542"/>
      <c r="V251" s="2542"/>
      <c r="W251" s="2824"/>
      <c r="X251" s="2824"/>
      <c r="Y251" s="2824"/>
      <c r="Z251" s="2824"/>
      <c r="AA251" s="2824"/>
      <c r="AB251" s="2824"/>
      <c r="AC251" s="2824"/>
      <c r="AD251" s="2824"/>
      <c r="AE251" s="1068"/>
      <c r="AF251" s="1068"/>
      <c r="AG251" s="1068"/>
      <c r="AH251" s="1068"/>
      <c r="AI251" s="1068"/>
      <c r="AJ251" s="1068"/>
    </row>
    <row r="252" spans="2:36" ht="6" hidden="1" customHeight="1">
      <c r="B252" s="2828"/>
      <c r="C252" s="67"/>
      <c r="D252" s="195"/>
      <c r="E252" s="47"/>
      <c r="F252" s="67"/>
      <c r="G252" s="67"/>
      <c r="H252" s="67"/>
      <c r="I252" s="67"/>
      <c r="J252" s="67"/>
      <c r="K252" s="67"/>
      <c r="L252" s="67"/>
      <c r="M252" s="67"/>
      <c r="N252" s="67"/>
      <c r="O252" s="67"/>
      <c r="P252" s="47"/>
      <c r="R252" s="1068"/>
      <c r="S252" s="1068"/>
      <c r="T252" s="1068"/>
      <c r="U252" s="512"/>
      <c r="V252" s="512"/>
      <c r="W252" s="2829"/>
      <c r="X252" s="2577"/>
      <c r="Y252" s="2577"/>
      <c r="Z252" s="2577"/>
      <c r="AA252" s="2577"/>
      <c r="AB252" s="2577"/>
      <c r="AC252" s="2778"/>
      <c r="AD252" s="2778"/>
      <c r="AE252" s="1068"/>
      <c r="AF252" s="1068"/>
      <c r="AG252" s="1068"/>
      <c r="AH252" s="1068"/>
      <c r="AI252" s="1068"/>
      <c r="AJ252" s="1068"/>
    </row>
    <row r="253" spans="2:36" ht="12" hidden="1" customHeight="1">
      <c r="B253" s="2828"/>
      <c r="C253" s="1527" t="s">
        <v>71</v>
      </c>
      <c r="D253" s="1527"/>
      <c r="E253" s="964" t="s">
        <v>1447</v>
      </c>
      <c r="F253" s="971" t="s">
        <v>159</v>
      </c>
      <c r="G253" s="965">
        <v>2013</v>
      </c>
      <c r="H253" s="965">
        <v>2015</v>
      </c>
      <c r="I253" s="965">
        <v>2020</v>
      </c>
      <c r="J253" s="965">
        <v>2025</v>
      </c>
      <c r="K253" s="965">
        <v>2030</v>
      </c>
      <c r="L253" s="965">
        <v>2035</v>
      </c>
      <c r="M253" s="965">
        <v>2040</v>
      </c>
      <c r="N253" s="965">
        <v>2045</v>
      </c>
      <c r="O253" s="965">
        <v>2050</v>
      </c>
      <c r="P253" s="47"/>
      <c r="R253" s="1068"/>
      <c r="S253" s="1068"/>
      <c r="T253" s="1068"/>
      <c r="U253" s="1068"/>
      <c r="V253" s="1068"/>
      <c r="W253" s="1068"/>
      <c r="X253" s="1068"/>
      <c r="Y253" s="1068"/>
      <c r="Z253" s="1068"/>
      <c r="AA253" s="1068"/>
      <c r="AB253" s="1068"/>
      <c r="AC253" s="1068"/>
      <c r="AD253" s="1068"/>
      <c r="AE253" s="1068"/>
      <c r="AF253" s="1068"/>
      <c r="AG253" s="1068"/>
      <c r="AH253" s="1068"/>
      <c r="AI253" s="1068"/>
      <c r="AJ253" s="1068"/>
    </row>
    <row r="254" spans="2:36" ht="15.5" hidden="1">
      <c r="B254" s="877"/>
      <c r="C254" s="1070" t="s">
        <v>2169</v>
      </c>
      <c r="D254" s="1070"/>
      <c r="E254" s="260" t="s">
        <v>2749</v>
      </c>
      <c r="F254" s="2738"/>
      <c r="G254" s="2737"/>
      <c r="H254" s="1071"/>
      <c r="I254" s="1071"/>
      <c r="J254" s="1071"/>
      <c r="K254" s="1071"/>
      <c r="L254" s="1071"/>
      <c r="M254" s="1071"/>
      <c r="N254" s="1071"/>
      <c r="O254" s="2737"/>
      <c r="P254" s="47" t="s">
        <v>5</v>
      </c>
      <c r="R254" s="2830"/>
      <c r="S254" s="2831"/>
      <c r="T254" s="1068"/>
      <c r="U254" s="202"/>
      <c r="V254" s="1420"/>
      <c r="W254" s="2778"/>
      <c r="X254" s="2778"/>
      <c r="Y254" s="2778"/>
      <c r="Z254" s="2778"/>
      <c r="AA254" s="2778"/>
      <c r="AB254" s="2778"/>
      <c r="AC254" s="202"/>
      <c r="AD254" s="1068"/>
      <c r="AE254" s="1068"/>
      <c r="AF254" s="1068"/>
      <c r="AG254" s="1068"/>
      <c r="AH254" s="1068"/>
      <c r="AI254" s="1068"/>
      <c r="AJ254" s="1068"/>
    </row>
    <row r="255" spans="2:36" ht="15.5" hidden="1">
      <c r="B255" s="877"/>
      <c r="C255" s="915" t="s">
        <v>2170</v>
      </c>
      <c r="D255" s="915"/>
      <c r="E255" s="46" t="s">
        <v>2749</v>
      </c>
      <c r="F255" s="2740"/>
      <c r="G255" s="2739"/>
      <c r="H255" s="945"/>
      <c r="I255" s="945"/>
      <c r="J255" s="945"/>
      <c r="K255" s="945"/>
      <c r="L255" s="945"/>
      <c r="M255" s="945"/>
      <c r="N255" s="945"/>
      <c r="O255" s="2739"/>
      <c r="P255" s="47"/>
      <c r="R255" s="2830"/>
      <c r="S255" s="2831"/>
      <c r="T255" s="1068"/>
      <c r="U255" s="202"/>
      <c r="V255" s="1420"/>
      <c r="W255" s="1068"/>
      <c r="X255" s="1068"/>
      <c r="Y255" s="1068"/>
      <c r="Z255" s="1068"/>
      <c r="AA255" s="1068"/>
      <c r="AB255" s="1068"/>
      <c r="AC255" s="1068"/>
      <c r="AD255" s="1068"/>
      <c r="AE255" s="1068"/>
      <c r="AF255" s="1068"/>
      <c r="AG255" s="1068"/>
      <c r="AH255" s="1068"/>
      <c r="AI255" s="1068"/>
      <c r="AJ255" s="1068"/>
    </row>
    <row r="256" spans="2:36" ht="15.5" hidden="1">
      <c r="B256" s="877"/>
      <c r="C256" s="915" t="s">
        <v>2171</v>
      </c>
      <c r="D256" s="915"/>
      <c r="E256" s="46" t="s">
        <v>2749</v>
      </c>
      <c r="F256" s="2740"/>
      <c r="G256" s="2739"/>
      <c r="H256" s="945"/>
      <c r="I256" s="945"/>
      <c r="J256" s="945"/>
      <c r="K256" s="945"/>
      <c r="L256" s="945"/>
      <c r="M256" s="945"/>
      <c r="N256" s="945"/>
      <c r="O256" s="2739"/>
      <c r="P256" s="47"/>
      <c r="R256" s="2830"/>
      <c r="S256" s="2831"/>
      <c r="T256" s="1068"/>
      <c r="U256" s="2542"/>
      <c r="V256" s="2542"/>
      <c r="W256" s="2824"/>
      <c r="X256" s="2824"/>
      <c r="Y256" s="2824"/>
      <c r="Z256" s="2824"/>
      <c r="AA256" s="2824"/>
      <c r="AB256" s="2824"/>
      <c r="AC256" s="2824"/>
      <c r="AD256" s="2824"/>
      <c r="AE256" s="1068"/>
      <c r="AF256" s="1068"/>
      <c r="AG256" s="1068"/>
      <c r="AH256" s="1068"/>
      <c r="AI256" s="1068"/>
      <c r="AJ256" s="1068"/>
    </row>
    <row r="257" spans="2:36" ht="15.5" hidden="1">
      <c r="B257" s="877"/>
      <c r="C257" s="948" t="s">
        <v>2172</v>
      </c>
      <c r="D257" s="948"/>
      <c r="E257" s="176" t="s">
        <v>2749</v>
      </c>
      <c r="F257" s="2742"/>
      <c r="G257" s="2741"/>
      <c r="H257" s="950"/>
      <c r="I257" s="950"/>
      <c r="J257" s="950"/>
      <c r="K257" s="950"/>
      <c r="L257" s="950"/>
      <c r="M257" s="950"/>
      <c r="N257" s="950"/>
      <c r="O257" s="2741"/>
      <c r="P257" s="47"/>
      <c r="R257" s="2830"/>
      <c r="S257" s="2831"/>
      <c r="T257" s="1068"/>
      <c r="U257" s="512"/>
      <c r="V257" s="2542"/>
      <c r="W257" s="1068"/>
      <c r="X257" s="2832"/>
      <c r="Y257" s="2528"/>
      <c r="Z257" s="2528"/>
      <c r="AA257" s="2824"/>
      <c r="AB257" s="2824"/>
      <c r="AC257" s="2824"/>
      <c r="AD257" s="2824"/>
      <c r="AE257" s="1068"/>
      <c r="AF257" s="1068"/>
      <c r="AG257" s="1068"/>
      <c r="AH257" s="1068"/>
      <c r="AI257" s="1068"/>
      <c r="AJ257" s="1068"/>
    </row>
    <row r="258" spans="2:36" ht="15.5" hidden="1">
      <c r="B258" s="877"/>
      <c r="C258" s="915" t="s">
        <v>2158</v>
      </c>
      <c r="D258" s="915"/>
      <c r="E258" s="46" t="s">
        <v>2750</v>
      </c>
      <c r="F258" s="2740"/>
      <c r="G258" s="944"/>
      <c r="H258" s="945"/>
      <c r="I258" s="945"/>
      <c r="J258" s="945"/>
      <c r="K258" s="945"/>
      <c r="L258" s="945"/>
      <c r="M258" s="945"/>
      <c r="N258" s="945"/>
      <c r="O258" s="944"/>
      <c r="P258" s="47"/>
      <c r="R258" s="2830"/>
      <c r="S258" s="2831"/>
      <c r="T258" s="1068"/>
      <c r="U258" s="512"/>
      <c r="V258" s="512"/>
      <c r="W258" s="1068"/>
      <c r="X258" s="2833"/>
      <c r="Y258" s="2543"/>
      <c r="Z258" s="2543"/>
      <c r="AA258" s="2778"/>
      <c r="AB258" s="2778"/>
      <c r="AC258" s="2778"/>
      <c r="AD258" s="2778"/>
      <c r="AE258" s="1068"/>
      <c r="AF258" s="1068"/>
      <c r="AG258" s="1068"/>
      <c r="AH258" s="1068"/>
      <c r="AI258" s="1068"/>
      <c r="AJ258" s="1068"/>
    </row>
    <row r="259" spans="2:36" ht="16.5" hidden="1" customHeight="1">
      <c r="B259" s="105"/>
      <c r="C259" s="915" t="s">
        <v>2162</v>
      </c>
      <c r="D259" s="103"/>
      <c r="E259" s="46" t="s">
        <v>2750</v>
      </c>
      <c r="F259" s="2740"/>
      <c r="G259" s="944"/>
      <c r="H259" s="945"/>
      <c r="I259" s="945"/>
      <c r="J259" s="945"/>
      <c r="K259" s="945"/>
      <c r="L259" s="945"/>
      <c r="M259" s="945"/>
      <c r="N259" s="945"/>
      <c r="O259" s="944"/>
      <c r="P259" s="47"/>
      <c r="R259" s="2830"/>
      <c r="S259" s="2831"/>
      <c r="T259" s="1068"/>
      <c r="U259" s="1068"/>
      <c r="V259" s="1068"/>
      <c r="W259" s="1068"/>
      <c r="X259" s="1068"/>
      <c r="Y259" s="1068"/>
      <c r="Z259" s="1068"/>
      <c r="AA259" s="1068"/>
      <c r="AB259" s="1068"/>
      <c r="AC259" s="1068"/>
      <c r="AD259" s="1068"/>
      <c r="AE259" s="1068"/>
      <c r="AF259" s="1068"/>
      <c r="AG259" s="1068"/>
      <c r="AH259" s="1068"/>
      <c r="AI259" s="1068"/>
      <c r="AJ259" s="1068"/>
    </row>
    <row r="260" spans="2:36" ht="15.75" hidden="1" customHeight="1">
      <c r="B260" s="105"/>
      <c r="C260" s="915" t="s">
        <v>2163</v>
      </c>
      <c r="D260" s="103"/>
      <c r="E260" s="46" t="s">
        <v>2750</v>
      </c>
      <c r="F260" s="2740"/>
      <c r="G260" s="944"/>
      <c r="H260" s="950"/>
      <c r="I260" s="950"/>
      <c r="J260" s="950"/>
      <c r="K260" s="950"/>
      <c r="L260" s="950"/>
      <c r="M260" s="950"/>
      <c r="N260" s="950"/>
      <c r="O260" s="949"/>
      <c r="P260" s="47"/>
      <c r="R260" s="2830"/>
      <c r="S260" s="2831"/>
      <c r="T260" s="1068"/>
      <c r="U260" s="202"/>
      <c r="V260" s="1420"/>
      <c r="W260" s="2778"/>
      <c r="X260" s="2778"/>
      <c r="Y260" s="2778"/>
      <c r="Z260" s="2778"/>
      <c r="AA260" s="2778"/>
      <c r="AB260" s="2778"/>
      <c r="AC260" s="202"/>
      <c r="AD260" s="1068"/>
      <c r="AE260" s="1068"/>
      <c r="AF260" s="1068"/>
      <c r="AG260" s="1068"/>
      <c r="AH260" s="1068"/>
      <c r="AI260" s="1068"/>
      <c r="AJ260" s="1068"/>
    </row>
    <row r="261" spans="2:36" ht="15.75" hidden="1" customHeight="1">
      <c r="B261" s="105"/>
      <c r="C261" s="953" t="s">
        <v>2165</v>
      </c>
      <c r="D261" s="1191"/>
      <c r="E261" s="245" t="s">
        <v>2751</v>
      </c>
      <c r="F261" s="2825"/>
      <c r="G261" s="2826"/>
      <c r="H261" s="2827"/>
      <c r="I261" s="2827"/>
      <c r="J261" s="2827"/>
      <c r="K261" s="2827"/>
      <c r="L261" s="2827"/>
      <c r="M261" s="2827"/>
      <c r="N261" s="2827"/>
      <c r="O261" s="2826"/>
      <c r="P261" s="47"/>
      <c r="R261" s="1068"/>
      <c r="S261" s="2831"/>
      <c r="T261" s="1068"/>
      <c r="U261" s="202"/>
      <c r="V261" s="1420"/>
      <c r="W261" s="1068"/>
      <c r="X261" s="1068"/>
      <c r="Y261" s="1068"/>
      <c r="Z261" s="1068"/>
      <c r="AA261" s="1068"/>
      <c r="AB261" s="1068"/>
      <c r="AC261" s="1068"/>
      <c r="AD261" s="1068"/>
      <c r="AE261" s="1068"/>
      <c r="AF261" s="1068"/>
      <c r="AG261" s="1068"/>
      <c r="AH261" s="1068"/>
      <c r="AI261" s="1068"/>
      <c r="AJ261" s="1068"/>
    </row>
    <row r="262" spans="2:36" hidden="1">
      <c r="B262" s="105"/>
      <c r="C262" s="67"/>
      <c r="D262" s="195"/>
      <c r="E262" s="47"/>
      <c r="F262" s="67"/>
      <c r="G262" s="67"/>
      <c r="H262" s="67"/>
      <c r="I262" s="67"/>
      <c r="J262" s="67"/>
      <c r="K262" s="67"/>
      <c r="L262" s="67"/>
      <c r="M262" s="67"/>
      <c r="N262" s="67"/>
      <c r="O262" s="67"/>
      <c r="P262" s="47"/>
      <c r="R262" s="1068"/>
      <c r="S262" s="1068"/>
      <c r="T262" s="1068"/>
      <c r="U262" s="2542"/>
      <c r="V262" s="2542"/>
      <c r="W262" s="2824"/>
      <c r="X262" s="2824"/>
      <c r="Y262" s="2824"/>
      <c r="Z262" s="2824"/>
      <c r="AA262" s="2824"/>
      <c r="AB262" s="2824"/>
      <c r="AC262" s="2824"/>
      <c r="AD262" s="2824"/>
      <c r="AE262" s="1068"/>
      <c r="AF262" s="1068"/>
      <c r="AG262" s="1068"/>
      <c r="AH262" s="1068"/>
      <c r="AI262" s="1068"/>
      <c r="AJ262" s="1068"/>
    </row>
    <row r="263" spans="2:36" hidden="1">
      <c r="B263" s="105"/>
      <c r="C263" s="49" t="s">
        <v>2174</v>
      </c>
      <c r="D263" s="195"/>
      <c r="E263" s="47"/>
      <c r="F263" s="67"/>
      <c r="G263" s="2777"/>
      <c r="H263" s="2777"/>
      <c r="I263" s="2777"/>
      <c r="J263" s="2777"/>
      <c r="K263" s="49"/>
      <c r="L263" s="67"/>
      <c r="M263" s="67"/>
      <c r="N263" s="67"/>
      <c r="O263" s="67"/>
      <c r="P263" s="67"/>
      <c r="R263" s="1068"/>
      <c r="S263" s="1068"/>
      <c r="T263" s="1068"/>
      <c r="U263" s="512"/>
      <c r="V263" s="512"/>
      <c r="W263" s="2834"/>
      <c r="X263" s="2577"/>
      <c r="Y263" s="2577"/>
      <c r="Z263" s="2577"/>
      <c r="AA263" s="2778"/>
      <c r="AB263" s="2778"/>
      <c r="AC263" s="2778"/>
      <c r="AD263" s="2778"/>
      <c r="AE263" s="1068"/>
      <c r="AF263" s="1068"/>
      <c r="AG263" s="1068"/>
      <c r="AH263" s="1068"/>
      <c r="AI263" s="1068"/>
      <c r="AJ263" s="1068"/>
    </row>
    <row r="264" spans="2:36" ht="6" hidden="1" customHeight="1">
      <c r="B264" s="105"/>
      <c r="C264" s="67"/>
      <c r="D264" s="195"/>
      <c r="E264" s="47"/>
      <c r="F264" s="67"/>
      <c r="G264" s="67"/>
      <c r="H264" s="67"/>
      <c r="I264" s="67"/>
      <c r="J264" s="67"/>
      <c r="K264" s="67"/>
      <c r="L264" s="67"/>
      <c r="M264" s="67"/>
      <c r="N264" s="67"/>
      <c r="O264" s="67"/>
      <c r="P264" s="67"/>
      <c r="R264" s="1068"/>
      <c r="S264" s="1068"/>
      <c r="T264" s="1068"/>
      <c r="U264" s="1068"/>
      <c r="V264" s="1068"/>
      <c r="W264" s="1068"/>
      <c r="X264" s="1068"/>
      <c r="Y264" s="1068"/>
      <c r="Z264" s="1068"/>
      <c r="AA264" s="1068"/>
      <c r="AB264" s="1068"/>
      <c r="AC264" s="1068"/>
      <c r="AD264" s="1068"/>
      <c r="AE264" s="1068"/>
      <c r="AF264" s="1068"/>
      <c r="AG264" s="1068"/>
      <c r="AH264" s="1068"/>
      <c r="AI264" s="1068"/>
      <c r="AJ264" s="1068"/>
    </row>
    <row r="265" spans="2:36" hidden="1">
      <c r="B265" s="895"/>
      <c r="C265" s="1527" t="s">
        <v>71</v>
      </c>
      <c r="D265" s="1527"/>
      <c r="E265" s="964" t="s">
        <v>1447</v>
      </c>
      <c r="F265" s="971" t="s">
        <v>159</v>
      </c>
      <c r="G265" s="965">
        <v>2013</v>
      </c>
      <c r="H265" s="965">
        <v>2015</v>
      </c>
      <c r="I265" s="965">
        <v>2020</v>
      </c>
      <c r="J265" s="965">
        <v>2025</v>
      </c>
      <c r="K265" s="965">
        <v>2030</v>
      </c>
      <c r="L265" s="965">
        <v>2035</v>
      </c>
      <c r="M265" s="965">
        <v>2040</v>
      </c>
      <c r="N265" s="965">
        <v>2045</v>
      </c>
      <c r="O265" s="965">
        <v>2050</v>
      </c>
      <c r="P265" s="67"/>
      <c r="R265" s="1068"/>
      <c r="S265" s="1068"/>
      <c r="T265" s="1068"/>
      <c r="U265" s="1068"/>
      <c r="V265" s="1068"/>
      <c r="W265" s="1068"/>
      <c r="X265" s="1068"/>
      <c r="Y265" s="1068"/>
      <c r="Z265" s="1068"/>
      <c r="AA265" s="1068"/>
      <c r="AB265" s="1068"/>
      <c r="AC265" s="1068"/>
      <c r="AD265" s="1068"/>
      <c r="AE265" s="1068"/>
      <c r="AF265" s="1068"/>
      <c r="AG265" s="1068"/>
      <c r="AH265" s="1068"/>
      <c r="AI265" s="1068"/>
      <c r="AJ265" s="1068"/>
    </row>
    <row r="266" spans="2:36" hidden="1">
      <c r="B266" s="895"/>
      <c r="C266" s="1070" t="s">
        <v>2169</v>
      </c>
      <c r="D266" s="1070"/>
      <c r="E266" s="260" t="s">
        <v>2749</v>
      </c>
      <c r="F266" s="2738"/>
      <c r="G266" s="2737"/>
      <c r="H266" s="1071"/>
      <c r="I266" s="1071"/>
      <c r="J266" s="1071"/>
      <c r="K266" s="1071"/>
      <c r="L266" s="1071"/>
      <c r="M266" s="1071"/>
      <c r="N266" s="1071"/>
      <c r="O266" s="2737"/>
      <c r="P266" s="67"/>
      <c r="R266" s="1068"/>
      <c r="S266" s="1068"/>
      <c r="T266" s="1068"/>
      <c r="U266" s="1068"/>
      <c r="V266" s="1068"/>
      <c r="W266" s="1068"/>
      <c r="X266" s="1068"/>
      <c r="Y266" s="1068"/>
      <c r="Z266" s="1068"/>
      <c r="AA266" s="1068"/>
      <c r="AB266" s="1068"/>
      <c r="AC266" s="1068"/>
      <c r="AD266" s="1068"/>
      <c r="AE266" s="1068"/>
      <c r="AF266" s="1068"/>
      <c r="AG266" s="1068"/>
      <c r="AH266" s="1068"/>
      <c r="AI266" s="1068"/>
      <c r="AJ266" s="1068"/>
    </row>
    <row r="267" spans="2:36" ht="15.5" hidden="1">
      <c r="B267" s="877"/>
      <c r="C267" s="915" t="s">
        <v>2170</v>
      </c>
      <c r="D267" s="915"/>
      <c r="E267" s="46" t="s">
        <v>2749</v>
      </c>
      <c r="F267" s="2740"/>
      <c r="G267" s="2739"/>
      <c r="H267" s="945"/>
      <c r="I267" s="945"/>
      <c r="J267" s="945"/>
      <c r="K267" s="945"/>
      <c r="L267" s="945"/>
      <c r="M267" s="945"/>
      <c r="N267" s="945"/>
      <c r="O267" s="2739"/>
      <c r="P267" s="67"/>
      <c r="R267" s="1068"/>
      <c r="S267" s="1164"/>
      <c r="T267" s="1164"/>
      <c r="U267" s="1068"/>
      <c r="V267" s="1068"/>
      <c r="W267" s="1068"/>
      <c r="X267" s="1068"/>
      <c r="Y267" s="1068"/>
      <c r="Z267" s="1068"/>
      <c r="AA267" s="1068"/>
      <c r="AB267" s="1068"/>
      <c r="AC267" s="1068"/>
      <c r="AD267" s="1068"/>
      <c r="AE267" s="1068"/>
      <c r="AF267" s="1068"/>
      <c r="AG267" s="1068"/>
      <c r="AH267" s="1068"/>
      <c r="AI267" s="1068"/>
      <c r="AJ267" s="1068"/>
    </row>
    <row r="268" spans="2:36" ht="15.5" hidden="1">
      <c r="B268" s="877"/>
      <c r="C268" s="915" t="s">
        <v>2171</v>
      </c>
      <c r="D268" s="915"/>
      <c r="E268" s="46" t="s">
        <v>2749</v>
      </c>
      <c r="F268" s="2740"/>
      <c r="G268" s="2739"/>
      <c r="H268" s="945"/>
      <c r="I268" s="945"/>
      <c r="J268" s="945"/>
      <c r="K268" s="945"/>
      <c r="L268" s="945"/>
      <c r="M268" s="945"/>
      <c r="N268" s="945"/>
      <c r="O268" s="2739"/>
      <c r="P268" s="67"/>
      <c r="R268" s="1068"/>
      <c r="S268" s="1164"/>
      <c r="T268" s="1164"/>
      <c r="U268" s="1068"/>
      <c r="V268" s="1068"/>
      <c r="W268" s="1068"/>
      <c r="X268" s="1068"/>
      <c r="Y268" s="1068"/>
      <c r="Z268" s="1068"/>
      <c r="AA268" s="1068"/>
      <c r="AB268" s="1068"/>
      <c r="AC268" s="1068"/>
      <c r="AD268" s="1068"/>
      <c r="AE268" s="1068"/>
      <c r="AF268" s="1068"/>
      <c r="AG268" s="1068"/>
      <c r="AH268" s="1068"/>
      <c r="AI268" s="1068"/>
      <c r="AJ268" s="1068"/>
    </row>
    <row r="269" spans="2:36" ht="15.5" hidden="1">
      <c r="B269" s="877"/>
      <c r="C269" s="948" t="s">
        <v>2172</v>
      </c>
      <c r="D269" s="948"/>
      <c r="E269" s="176" t="s">
        <v>2749</v>
      </c>
      <c r="F269" s="2742"/>
      <c r="G269" s="2741"/>
      <c r="H269" s="950"/>
      <c r="I269" s="950"/>
      <c r="J269" s="950"/>
      <c r="K269" s="950"/>
      <c r="L269" s="950"/>
      <c r="M269" s="950"/>
      <c r="N269" s="950"/>
      <c r="O269" s="2741"/>
      <c r="P269" s="67"/>
      <c r="R269" s="1068"/>
      <c r="S269" s="1164"/>
      <c r="T269" s="1164"/>
      <c r="U269" s="1068"/>
      <c r="V269" s="1068"/>
      <c r="W269" s="1068"/>
      <c r="X269" s="1068"/>
      <c r="Y269" s="1068"/>
      <c r="Z269" s="1068"/>
      <c r="AA269" s="1068"/>
      <c r="AB269" s="1068"/>
      <c r="AC269" s="1068"/>
      <c r="AD269" s="1068"/>
      <c r="AE269" s="1068"/>
      <c r="AF269" s="1068"/>
      <c r="AG269" s="1068"/>
      <c r="AH269" s="1068"/>
      <c r="AI269" s="1068"/>
      <c r="AJ269" s="1068"/>
    </row>
    <row r="270" spans="2:36" ht="15.5" hidden="1">
      <c r="B270" s="877"/>
      <c r="C270" s="1070" t="s">
        <v>2158</v>
      </c>
      <c r="D270" s="1070"/>
      <c r="E270" s="260" t="s">
        <v>2750</v>
      </c>
      <c r="F270" s="2740"/>
      <c r="G270" s="944"/>
      <c r="H270" s="945"/>
      <c r="I270" s="945"/>
      <c r="J270" s="945"/>
      <c r="K270" s="945"/>
      <c r="L270" s="945"/>
      <c r="M270" s="945"/>
      <c r="N270" s="945"/>
      <c r="O270" s="944"/>
      <c r="P270" s="67"/>
      <c r="R270" s="1068"/>
      <c r="S270" s="1068"/>
      <c r="T270" s="1068"/>
      <c r="U270" s="1068"/>
      <c r="V270" s="1068"/>
      <c r="W270" s="1068"/>
      <c r="X270" s="1068"/>
      <c r="Y270" s="1068"/>
      <c r="Z270" s="1068"/>
      <c r="AA270" s="1068"/>
      <c r="AB270" s="1068"/>
      <c r="AC270" s="1068"/>
      <c r="AD270" s="1068"/>
      <c r="AE270" s="1068"/>
      <c r="AF270" s="1068"/>
      <c r="AG270" s="1068"/>
      <c r="AH270" s="1068"/>
      <c r="AI270" s="1068"/>
      <c r="AJ270" s="1068"/>
    </row>
    <row r="271" spans="2:36" ht="15.5" hidden="1">
      <c r="B271" s="877"/>
      <c r="C271" s="915" t="s">
        <v>2162</v>
      </c>
      <c r="D271" s="103"/>
      <c r="E271" s="46" t="s">
        <v>2750</v>
      </c>
      <c r="F271" s="2740"/>
      <c r="G271" s="944"/>
      <c r="H271" s="945"/>
      <c r="I271" s="945"/>
      <c r="J271" s="945"/>
      <c r="K271" s="945"/>
      <c r="L271" s="945"/>
      <c r="M271" s="945"/>
      <c r="N271" s="945"/>
      <c r="O271" s="944"/>
      <c r="P271" s="67"/>
      <c r="R271" s="1068"/>
      <c r="S271" s="1068"/>
      <c r="T271" s="1068"/>
      <c r="U271" s="1068"/>
      <c r="V271" s="1068"/>
      <c r="W271" s="1068"/>
      <c r="X271" s="1068"/>
      <c r="Y271" s="1068"/>
      <c r="Z271" s="1068"/>
      <c r="AA271" s="1068"/>
      <c r="AB271" s="1068"/>
      <c r="AC271" s="1068"/>
      <c r="AD271" s="1068"/>
      <c r="AE271" s="1068"/>
      <c r="AF271" s="1068"/>
      <c r="AG271" s="1068"/>
      <c r="AH271" s="1068"/>
      <c r="AI271" s="1068"/>
      <c r="AJ271" s="1068"/>
    </row>
    <row r="272" spans="2:36" ht="15.75" hidden="1" customHeight="1">
      <c r="B272" s="877"/>
      <c r="C272" s="948" t="s">
        <v>2163</v>
      </c>
      <c r="D272" s="194"/>
      <c r="E272" s="176" t="s">
        <v>2750</v>
      </c>
      <c r="F272" s="2740"/>
      <c r="G272" s="944"/>
      <c r="H272" s="950"/>
      <c r="I272" s="950"/>
      <c r="J272" s="950"/>
      <c r="K272" s="950"/>
      <c r="L272" s="950"/>
      <c r="M272" s="950"/>
      <c r="N272" s="950"/>
      <c r="O272" s="949"/>
      <c r="P272" s="67"/>
      <c r="R272" s="1068"/>
      <c r="S272" s="1068"/>
      <c r="T272" s="1068"/>
      <c r="U272" s="1068"/>
      <c r="V272" s="1068"/>
      <c r="W272" s="1068"/>
      <c r="X272" s="1068"/>
      <c r="Y272" s="1068"/>
      <c r="Z272" s="1068"/>
      <c r="AA272" s="1068"/>
      <c r="AB272" s="1068"/>
      <c r="AC272" s="1068"/>
      <c r="AD272" s="1068"/>
      <c r="AE272" s="1068"/>
      <c r="AF272" s="1068"/>
      <c r="AG272" s="1068"/>
      <c r="AH272" s="1068"/>
      <c r="AI272" s="1068"/>
      <c r="AJ272" s="1068"/>
    </row>
    <row r="273" spans="2:36" ht="15.5" hidden="1">
      <c r="B273" s="877"/>
      <c r="C273" s="953" t="s">
        <v>2165</v>
      </c>
      <c r="D273" s="1191"/>
      <c r="E273" s="245" t="s">
        <v>2751</v>
      </c>
      <c r="F273" s="2825"/>
      <c r="G273" s="2826"/>
      <c r="H273" s="2827"/>
      <c r="I273" s="2827"/>
      <c r="J273" s="2827"/>
      <c r="K273" s="2827"/>
      <c r="L273" s="2827"/>
      <c r="M273" s="2827"/>
      <c r="N273" s="2827"/>
      <c r="O273" s="2826"/>
      <c r="P273" s="67"/>
      <c r="R273" s="1068"/>
      <c r="S273" s="1068"/>
      <c r="T273" s="1068"/>
      <c r="U273" s="1068"/>
      <c r="V273" s="1068"/>
      <c r="W273" s="1068"/>
      <c r="X273" s="1068"/>
      <c r="Y273" s="1068"/>
      <c r="Z273" s="1068"/>
      <c r="AA273" s="1068"/>
      <c r="AB273" s="1068"/>
      <c r="AC273" s="1068"/>
      <c r="AD273" s="1068"/>
      <c r="AE273" s="1068"/>
      <c r="AF273" s="1068"/>
      <c r="AG273" s="1068"/>
      <c r="AH273" s="1068"/>
      <c r="AI273" s="1068"/>
      <c r="AJ273" s="1068"/>
    </row>
    <row r="274" spans="2:36" ht="15.5" hidden="1">
      <c r="B274" s="877"/>
      <c r="C274" s="104"/>
      <c r="D274" s="103"/>
      <c r="E274" s="67"/>
      <c r="F274" s="103"/>
      <c r="G274" s="944"/>
      <c r="H274" s="2565"/>
      <c r="I274" s="945"/>
      <c r="J274" s="945"/>
      <c r="K274" s="945"/>
      <c r="L274" s="945"/>
      <c r="M274" s="945"/>
      <c r="N274" s="945"/>
      <c r="O274" s="945"/>
      <c r="P274" s="67"/>
      <c r="R274" s="1068"/>
      <c r="S274" s="1068"/>
      <c r="T274" s="1068"/>
      <c r="U274" s="1068"/>
      <c r="V274" s="1068"/>
      <c r="W274" s="1068"/>
      <c r="X274" s="1068"/>
      <c r="Y274" s="1068"/>
      <c r="Z274" s="1068"/>
      <c r="AA274" s="1068"/>
      <c r="AB274" s="1068"/>
      <c r="AC274" s="1068"/>
      <c r="AD274" s="1068"/>
      <c r="AE274" s="1068"/>
      <c r="AF274" s="1068"/>
      <c r="AG274" s="1068"/>
      <c r="AH274" s="1068"/>
      <c r="AI274" s="1068"/>
      <c r="AJ274" s="1068"/>
    </row>
    <row r="275" spans="2:36" ht="15.5" hidden="1">
      <c r="B275" s="877"/>
      <c r="C275" s="49" t="s">
        <v>2175</v>
      </c>
      <c r="D275" s="195"/>
      <c r="E275" s="67"/>
      <c r="F275" s="67"/>
      <c r="G275" s="2777"/>
      <c r="H275" s="2777"/>
      <c r="I275" s="2777"/>
      <c r="J275" s="2777"/>
      <c r="K275" s="49"/>
      <c r="L275" s="67"/>
      <c r="M275" s="67"/>
      <c r="N275" s="67"/>
      <c r="O275" s="67"/>
      <c r="P275" s="67"/>
      <c r="R275" s="1677"/>
      <c r="S275" s="1068"/>
      <c r="T275" s="1068"/>
      <c r="U275" s="1068"/>
      <c r="V275" s="1068"/>
      <c r="W275" s="1068"/>
      <c r="X275" s="1068"/>
      <c r="Y275" s="1068"/>
      <c r="Z275" s="1068"/>
      <c r="AA275" s="1068"/>
      <c r="AB275" s="1068"/>
      <c r="AC275" s="1068"/>
      <c r="AD275" s="1068"/>
      <c r="AE275" s="1068"/>
      <c r="AF275" s="1068"/>
      <c r="AG275" s="1068"/>
      <c r="AH275" s="1068"/>
      <c r="AI275" s="1068"/>
      <c r="AJ275" s="1068"/>
    </row>
    <row r="276" spans="2:36" ht="3.75" hidden="1" customHeight="1">
      <c r="B276" s="877"/>
      <c r="C276" s="67"/>
      <c r="D276" s="195"/>
      <c r="E276" s="47"/>
      <c r="F276" s="67"/>
      <c r="G276" s="67"/>
      <c r="H276" s="67"/>
      <c r="I276" s="67"/>
      <c r="J276" s="67"/>
      <c r="K276" s="67"/>
      <c r="L276" s="67"/>
      <c r="M276" s="67"/>
      <c r="N276" s="67"/>
      <c r="O276" s="67"/>
      <c r="P276" s="67"/>
      <c r="R276" s="1677"/>
      <c r="S276" s="1068"/>
      <c r="T276" s="1068"/>
      <c r="U276" s="1068"/>
      <c r="V276" s="1068"/>
      <c r="W276" s="1068"/>
      <c r="X276" s="1068"/>
      <c r="Y276" s="1068"/>
      <c r="Z276" s="1068"/>
      <c r="AA276" s="1068"/>
      <c r="AB276" s="1068"/>
      <c r="AC276" s="1068"/>
      <c r="AD276" s="1068"/>
      <c r="AE276" s="1068"/>
      <c r="AF276" s="1068"/>
      <c r="AG276" s="1068"/>
      <c r="AH276" s="1068"/>
      <c r="AI276" s="1068"/>
      <c r="AJ276" s="1068"/>
    </row>
    <row r="277" spans="2:36" ht="15.5" hidden="1">
      <c r="B277" s="877"/>
      <c r="C277" s="1527" t="s">
        <v>71</v>
      </c>
      <c r="D277" s="1527"/>
      <c r="E277" s="964" t="s">
        <v>1447</v>
      </c>
      <c r="F277" s="971" t="s">
        <v>159</v>
      </c>
      <c r="G277" s="965">
        <v>2013</v>
      </c>
      <c r="H277" s="965">
        <v>2015</v>
      </c>
      <c r="I277" s="965">
        <v>2020</v>
      </c>
      <c r="J277" s="965">
        <v>2025</v>
      </c>
      <c r="K277" s="965">
        <v>2030</v>
      </c>
      <c r="L277" s="965">
        <v>2035</v>
      </c>
      <c r="M277" s="965">
        <v>2040</v>
      </c>
      <c r="N277" s="965">
        <v>2045</v>
      </c>
      <c r="O277" s="965">
        <v>2050</v>
      </c>
      <c r="P277" s="67"/>
      <c r="R277" s="1068"/>
      <c r="S277" s="1068"/>
      <c r="T277" s="1068"/>
      <c r="U277" s="1068"/>
      <c r="V277" s="1068"/>
      <c r="W277" s="1068"/>
      <c r="X277" s="1068"/>
      <c r="Y277" s="1068"/>
      <c r="Z277" s="1068"/>
      <c r="AA277" s="1068"/>
      <c r="AB277" s="1068"/>
      <c r="AC277" s="1068"/>
      <c r="AD277" s="1068"/>
      <c r="AE277" s="1068"/>
      <c r="AF277" s="1068"/>
      <c r="AG277" s="1068"/>
      <c r="AH277" s="1068"/>
      <c r="AI277" s="1068"/>
      <c r="AJ277" s="1068"/>
    </row>
    <row r="278" spans="2:36" ht="15.5" hidden="1">
      <c r="B278" s="877"/>
      <c r="C278" s="1070" t="s">
        <v>2169</v>
      </c>
      <c r="D278" s="1070"/>
      <c r="E278" s="260" t="s">
        <v>2749</v>
      </c>
      <c r="F278" s="2738"/>
      <c r="G278" s="2737"/>
      <c r="H278" s="1071"/>
      <c r="I278" s="1071"/>
      <c r="J278" s="1071"/>
      <c r="K278" s="1071"/>
      <c r="L278" s="1071"/>
      <c r="M278" s="1071"/>
      <c r="N278" s="1071"/>
      <c r="O278" s="2737"/>
      <c r="P278" s="67"/>
      <c r="R278" s="1068"/>
      <c r="S278" s="1068"/>
      <c r="T278" s="1068"/>
      <c r="U278" s="1068"/>
      <c r="V278" s="1068"/>
      <c r="W278" s="1068"/>
      <c r="X278" s="1068"/>
      <c r="Y278" s="1068"/>
      <c r="Z278" s="1068"/>
      <c r="AA278" s="1068"/>
      <c r="AB278" s="1068"/>
      <c r="AC278" s="1068"/>
      <c r="AD278" s="1068"/>
      <c r="AE278" s="1068"/>
      <c r="AF278" s="1068"/>
      <c r="AG278" s="1068"/>
      <c r="AH278" s="1068"/>
      <c r="AI278" s="1068"/>
      <c r="AJ278" s="1068"/>
    </row>
    <row r="279" spans="2:36" ht="15.75" hidden="1" customHeight="1">
      <c r="B279" s="877"/>
      <c r="C279" s="915" t="s">
        <v>2170</v>
      </c>
      <c r="D279" s="915"/>
      <c r="E279" s="46" t="s">
        <v>2749</v>
      </c>
      <c r="F279" s="2740"/>
      <c r="G279" s="2739"/>
      <c r="H279" s="945"/>
      <c r="I279" s="945"/>
      <c r="J279" s="945"/>
      <c r="K279" s="945"/>
      <c r="L279" s="945"/>
      <c r="M279" s="945"/>
      <c r="N279" s="945"/>
      <c r="O279" s="2739"/>
      <c r="P279" s="67"/>
      <c r="R279" s="1677"/>
      <c r="S279" s="1068"/>
      <c r="T279" s="1068"/>
      <c r="U279" s="1068"/>
      <c r="V279" s="1068"/>
      <c r="W279" s="1068"/>
      <c r="X279" s="1068"/>
      <c r="Y279" s="1068"/>
      <c r="Z279" s="1068"/>
      <c r="AA279" s="1068"/>
      <c r="AB279" s="1068"/>
      <c r="AC279" s="1068"/>
      <c r="AD279" s="1068"/>
      <c r="AE279" s="1068"/>
      <c r="AF279" s="1068"/>
      <c r="AG279" s="1068"/>
      <c r="AH279" s="1068"/>
      <c r="AI279" s="1068"/>
      <c r="AJ279" s="1068"/>
    </row>
    <row r="280" spans="2:36" ht="16.5" hidden="1" customHeight="1">
      <c r="B280" s="877"/>
      <c r="C280" s="915" t="s">
        <v>2171</v>
      </c>
      <c r="D280" s="915"/>
      <c r="E280" s="46" t="s">
        <v>2749</v>
      </c>
      <c r="F280" s="2740"/>
      <c r="G280" s="2739"/>
      <c r="H280" s="945"/>
      <c r="I280" s="945"/>
      <c r="J280" s="945"/>
      <c r="K280" s="945"/>
      <c r="L280" s="945"/>
      <c r="M280" s="945"/>
      <c r="N280" s="945"/>
      <c r="O280" s="2739"/>
      <c r="P280" s="47"/>
      <c r="R280" s="1677"/>
      <c r="S280" s="1068"/>
      <c r="T280" s="1068"/>
      <c r="U280" s="1068"/>
      <c r="V280" s="1068"/>
      <c r="W280" s="1068"/>
      <c r="X280" s="1068"/>
      <c r="Y280" s="1068"/>
      <c r="Z280" s="1068"/>
      <c r="AA280" s="1068"/>
      <c r="AB280" s="1068"/>
      <c r="AC280" s="1068"/>
      <c r="AD280" s="1068"/>
      <c r="AE280" s="1068"/>
      <c r="AF280" s="1068"/>
      <c r="AG280" s="1068"/>
      <c r="AH280" s="1068"/>
      <c r="AI280" s="1068"/>
      <c r="AJ280" s="1068"/>
    </row>
    <row r="281" spans="2:36" ht="15.75" hidden="1" customHeight="1">
      <c r="B281" s="877"/>
      <c r="C281" s="948" t="s">
        <v>2172</v>
      </c>
      <c r="D281" s="948"/>
      <c r="E281" s="176" t="s">
        <v>2749</v>
      </c>
      <c r="F281" s="2742"/>
      <c r="G281" s="2741"/>
      <c r="H281" s="950"/>
      <c r="I281" s="950"/>
      <c r="J281" s="950"/>
      <c r="K281" s="950"/>
      <c r="L281" s="950"/>
      <c r="M281" s="950"/>
      <c r="N281" s="950"/>
      <c r="O281" s="2741"/>
      <c r="P281" s="47"/>
      <c r="R281" s="1068"/>
      <c r="S281" s="1068"/>
      <c r="T281" s="1068"/>
      <c r="U281" s="1068"/>
      <c r="V281" s="1068"/>
      <c r="W281" s="1068"/>
      <c r="X281" s="1068"/>
      <c r="Y281" s="1068"/>
      <c r="Z281" s="1068"/>
      <c r="AA281" s="1068"/>
      <c r="AB281" s="1068"/>
      <c r="AC281" s="1068"/>
      <c r="AD281" s="1068"/>
      <c r="AE281" s="1068"/>
    </row>
    <row r="282" spans="2:36" ht="15.75" hidden="1" customHeight="1">
      <c r="B282" s="877"/>
      <c r="C282" s="915" t="s">
        <v>2158</v>
      </c>
      <c r="D282" s="915"/>
      <c r="E282" s="46" t="s">
        <v>2750</v>
      </c>
      <c r="F282" s="2740"/>
      <c r="G282" s="944"/>
      <c r="H282" s="945"/>
      <c r="I282" s="945"/>
      <c r="J282" s="945"/>
      <c r="K282" s="945"/>
      <c r="L282" s="945"/>
      <c r="M282" s="945"/>
      <c r="N282" s="945"/>
      <c r="O282" s="944"/>
      <c r="P282" s="47"/>
      <c r="R282" s="1068"/>
      <c r="S282" s="1068"/>
      <c r="T282" s="1068"/>
      <c r="U282" s="1068"/>
      <c r="V282" s="1068"/>
      <c r="W282" s="1068"/>
      <c r="X282" s="1068"/>
      <c r="Y282" s="1068"/>
      <c r="Z282" s="1068"/>
      <c r="AA282" s="1068"/>
      <c r="AB282" s="1068"/>
      <c r="AC282" s="1068"/>
      <c r="AD282" s="1068"/>
      <c r="AE282" s="1068"/>
    </row>
    <row r="283" spans="2:36" hidden="1">
      <c r="B283" s="105"/>
      <c r="C283" s="915" t="s">
        <v>2162</v>
      </c>
      <c r="D283" s="103"/>
      <c r="E283" s="46" t="s">
        <v>2750</v>
      </c>
      <c r="F283" s="2740"/>
      <c r="G283" s="944"/>
      <c r="H283" s="945"/>
      <c r="I283" s="945"/>
      <c r="J283" s="945"/>
      <c r="K283" s="945"/>
      <c r="L283" s="945"/>
      <c r="M283" s="945"/>
      <c r="N283" s="945"/>
      <c r="O283" s="944"/>
      <c r="P283" s="47"/>
      <c r="R283" s="1677"/>
      <c r="S283" s="1068"/>
      <c r="T283" s="1068"/>
      <c r="U283" s="1068"/>
      <c r="V283" s="1068"/>
      <c r="W283" s="1068"/>
      <c r="X283" s="1068"/>
      <c r="Y283" s="1068"/>
      <c r="Z283" s="1068"/>
      <c r="AA283" s="1068"/>
      <c r="AB283" s="1068"/>
      <c r="AC283" s="1068"/>
      <c r="AD283" s="1068"/>
      <c r="AE283" s="1068"/>
    </row>
    <row r="284" spans="2:36" hidden="1">
      <c r="B284" s="105"/>
      <c r="C284" s="915" t="s">
        <v>2163</v>
      </c>
      <c r="D284" s="103"/>
      <c r="E284" s="46" t="s">
        <v>2750</v>
      </c>
      <c r="F284" s="2740"/>
      <c r="G284" s="944"/>
      <c r="H284" s="950"/>
      <c r="I284" s="950"/>
      <c r="J284" s="950"/>
      <c r="K284" s="950"/>
      <c r="L284" s="950"/>
      <c r="M284" s="950"/>
      <c r="N284" s="950"/>
      <c r="O284" s="949"/>
      <c r="P284" s="47"/>
      <c r="R284" s="1677"/>
      <c r="S284" s="1068"/>
      <c r="T284" s="1068"/>
      <c r="U284" s="1068"/>
      <c r="V284" s="1068"/>
      <c r="W284" s="1068"/>
      <c r="X284" s="1068"/>
      <c r="Y284" s="1068"/>
      <c r="Z284" s="1068"/>
      <c r="AA284" s="1068"/>
      <c r="AB284" s="1068"/>
      <c r="AC284" s="1068"/>
      <c r="AD284" s="1068"/>
      <c r="AE284" s="1068"/>
    </row>
    <row r="285" spans="2:36" hidden="1">
      <c r="B285" s="105"/>
      <c r="C285" s="953" t="s">
        <v>2165</v>
      </c>
      <c r="D285" s="1191"/>
      <c r="E285" s="245" t="s">
        <v>2751</v>
      </c>
      <c r="F285" s="2825"/>
      <c r="G285" s="2826"/>
      <c r="H285" s="2827"/>
      <c r="I285" s="2827"/>
      <c r="J285" s="2827"/>
      <c r="K285" s="2827"/>
      <c r="L285" s="2827"/>
      <c r="M285" s="2827"/>
      <c r="N285" s="2827"/>
      <c r="O285" s="2826"/>
      <c r="P285" s="47"/>
      <c r="R285" s="1068"/>
      <c r="S285" s="1068"/>
      <c r="T285" s="1068"/>
      <c r="U285" s="1068"/>
      <c r="V285" s="1068"/>
      <c r="W285" s="1068"/>
      <c r="X285" s="1068"/>
      <c r="Y285" s="1068"/>
      <c r="Z285" s="1068"/>
      <c r="AA285" s="1068"/>
      <c r="AB285" s="1068"/>
      <c r="AC285" s="1068"/>
      <c r="AD285" s="1068"/>
      <c r="AE285" s="1068"/>
    </row>
    <row r="286" spans="2:36" hidden="1">
      <c r="B286" s="105"/>
      <c r="C286" s="104"/>
      <c r="D286" s="103"/>
      <c r="E286" s="47"/>
      <c r="F286" s="103"/>
      <c r="G286" s="944"/>
      <c r="H286" s="2678"/>
      <c r="I286" s="945"/>
      <c r="J286" s="945"/>
      <c r="K286" s="945"/>
      <c r="L286" s="945"/>
      <c r="M286" s="945"/>
      <c r="N286" s="945"/>
      <c r="O286" s="945"/>
      <c r="P286" s="47"/>
      <c r="R286" s="1068"/>
      <c r="S286" s="202"/>
      <c r="T286" s="1420"/>
      <c r="U286" s="4335"/>
      <c r="V286" s="4335"/>
      <c r="W286" s="4335"/>
      <c r="X286" s="4335"/>
      <c r="Y286" s="1068"/>
      <c r="Z286" s="202"/>
      <c r="AA286" s="1068"/>
      <c r="AB286" s="1068"/>
      <c r="AC286" s="1068"/>
      <c r="AD286" s="1068"/>
      <c r="AE286" s="1068"/>
    </row>
    <row r="287" spans="2:36" hidden="1">
      <c r="B287" s="105"/>
      <c r="C287" s="49" t="s">
        <v>2176</v>
      </c>
      <c r="D287" s="195"/>
      <c r="E287" s="47"/>
      <c r="F287" s="67"/>
      <c r="G287" s="2777"/>
      <c r="H287" s="2777"/>
      <c r="I287" s="2777"/>
      <c r="J287" s="2777"/>
      <c r="K287" s="49"/>
      <c r="L287" s="67"/>
      <c r="M287" s="67"/>
      <c r="N287" s="67"/>
      <c r="O287" s="67"/>
      <c r="P287" s="47"/>
      <c r="R287" s="1068"/>
      <c r="S287" s="202"/>
      <c r="T287" s="1420"/>
      <c r="U287" s="1068"/>
      <c r="V287" s="1068"/>
      <c r="W287" s="202"/>
      <c r="X287" s="202"/>
      <c r="Y287" s="1068"/>
      <c r="Z287" s="1068"/>
      <c r="AA287" s="1068"/>
      <c r="AB287" s="1068"/>
      <c r="AC287" s="1068"/>
      <c r="AD287" s="1068"/>
      <c r="AE287" s="1068"/>
    </row>
    <row r="288" spans="2:36" hidden="1">
      <c r="B288" s="105"/>
      <c r="C288" s="67"/>
      <c r="D288" s="195"/>
      <c r="E288" s="47"/>
      <c r="F288" s="67"/>
      <c r="G288" s="67"/>
      <c r="H288" s="67"/>
      <c r="I288" s="67"/>
      <c r="J288" s="67"/>
      <c r="K288" s="67"/>
      <c r="L288" s="67"/>
      <c r="M288" s="67"/>
      <c r="N288" s="67"/>
      <c r="O288" s="67"/>
      <c r="P288" s="47"/>
      <c r="R288" s="1068"/>
      <c r="S288" s="2542"/>
      <c r="T288" s="2542"/>
      <c r="U288" s="2824"/>
      <c r="V288" s="2824"/>
      <c r="W288" s="2824"/>
      <c r="X288" s="2824"/>
      <c r="Y288" s="1068"/>
      <c r="Z288" s="1068"/>
      <c r="AA288" s="1068"/>
      <c r="AB288" s="1068"/>
      <c r="AC288" s="1068"/>
      <c r="AD288" s="1068"/>
      <c r="AE288" s="1068"/>
    </row>
    <row r="289" spans="2:31" hidden="1">
      <c r="B289" s="895"/>
      <c r="C289" s="1527" t="s">
        <v>71</v>
      </c>
      <c r="D289" s="1527"/>
      <c r="E289" s="964" t="s">
        <v>1447</v>
      </c>
      <c r="F289" s="971" t="s">
        <v>159</v>
      </c>
      <c r="G289" s="965">
        <v>2013</v>
      </c>
      <c r="H289" s="965">
        <v>2015</v>
      </c>
      <c r="I289" s="965">
        <v>2020</v>
      </c>
      <c r="J289" s="965">
        <v>2025</v>
      </c>
      <c r="K289" s="965">
        <v>2030</v>
      </c>
      <c r="L289" s="965">
        <v>2035</v>
      </c>
      <c r="M289" s="965">
        <v>2040</v>
      </c>
      <c r="N289" s="965">
        <v>2045</v>
      </c>
      <c r="O289" s="965">
        <v>2050</v>
      </c>
      <c r="P289" s="47"/>
      <c r="R289" s="1068"/>
      <c r="S289" s="512"/>
      <c r="T289" s="512"/>
      <c r="U289" s="2577"/>
      <c r="V289" s="2577"/>
      <c r="W289" s="2577"/>
      <c r="X289" s="2577"/>
      <c r="Y289" s="202"/>
      <c r="Z289" s="202"/>
      <c r="AA289" s="202"/>
      <c r="AB289" s="1068"/>
      <c r="AC289" s="1068"/>
      <c r="AD289" s="1068"/>
      <c r="AE289" s="1068"/>
    </row>
    <row r="290" spans="2:31" hidden="1">
      <c r="B290" s="895"/>
      <c r="C290" s="1070" t="s">
        <v>2169</v>
      </c>
      <c r="D290" s="1070"/>
      <c r="E290" s="260" t="s">
        <v>2749</v>
      </c>
      <c r="F290" s="2738"/>
      <c r="G290" s="2737"/>
      <c r="H290" s="1071"/>
      <c r="I290" s="1071"/>
      <c r="J290" s="1071"/>
      <c r="K290" s="1071"/>
      <c r="L290" s="1071"/>
      <c r="M290" s="1071"/>
      <c r="N290" s="1071"/>
      <c r="O290" s="2737"/>
      <c r="P290" s="47"/>
      <c r="R290" s="4336"/>
      <c r="S290" s="2835"/>
      <c r="T290" s="512"/>
      <c r="U290" s="2577"/>
      <c r="V290" s="2577"/>
      <c r="W290" s="2577"/>
      <c r="X290" s="2577"/>
      <c r="Y290" s="202"/>
      <c r="Z290" s="202"/>
      <c r="AA290" s="202"/>
      <c r="AB290" s="1068"/>
      <c r="AC290" s="1068"/>
      <c r="AD290" s="1068"/>
      <c r="AE290" s="1068"/>
    </row>
    <row r="291" spans="2:31" ht="15.5" hidden="1">
      <c r="B291" s="877"/>
      <c r="C291" s="915" t="s">
        <v>2170</v>
      </c>
      <c r="D291" s="915"/>
      <c r="E291" s="46" t="s">
        <v>2749</v>
      </c>
      <c r="F291" s="2740"/>
      <c r="G291" s="2739"/>
      <c r="H291" s="945"/>
      <c r="I291" s="945"/>
      <c r="J291" s="945"/>
      <c r="K291" s="945"/>
      <c r="L291" s="945"/>
      <c r="M291" s="945"/>
      <c r="N291" s="945"/>
      <c r="O291" s="2739"/>
      <c r="P291" s="47"/>
      <c r="R291" s="4336"/>
      <c r="S291" s="2835"/>
      <c r="T291" s="512"/>
      <c r="U291" s="2577"/>
      <c r="V291" s="2577"/>
      <c r="W291" s="2577"/>
      <c r="X291" s="2577"/>
      <c r="Y291" s="202"/>
      <c r="Z291" s="202"/>
      <c r="AA291" s="202"/>
      <c r="AB291" s="1068"/>
      <c r="AC291" s="1068"/>
      <c r="AD291" s="1068"/>
      <c r="AE291" s="1068"/>
    </row>
    <row r="292" spans="2:31" ht="15.5" hidden="1">
      <c r="B292" s="877"/>
      <c r="C292" s="915" t="s">
        <v>2171</v>
      </c>
      <c r="D292" s="915"/>
      <c r="E292" s="46" t="s">
        <v>2749</v>
      </c>
      <c r="F292" s="2740"/>
      <c r="G292" s="2739"/>
      <c r="H292" s="945"/>
      <c r="I292" s="945"/>
      <c r="J292" s="945"/>
      <c r="K292" s="945"/>
      <c r="L292" s="945"/>
      <c r="M292" s="945"/>
      <c r="N292" s="945"/>
      <c r="O292" s="2739"/>
      <c r="P292" s="47"/>
      <c r="R292" s="4336"/>
      <c r="S292" s="2835"/>
      <c r="T292" s="512"/>
      <c r="U292" s="2577"/>
      <c r="V292" s="2577"/>
      <c r="W292" s="2577"/>
      <c r="X292" s="2577"/>
      <c r="Y292" s="202"/>
      <c r="Z292" s="202"/>
      <c r="AA292" s="202"/>
      <c r="AB292" s="1068"/>
      <c r="AC292" s="1068"/>
      <c r="AD292" s="1068"/>
      <c r="AE292" s="1068"/>
    </row>
    <row r="293" spans="2:31" ht="15.5" hidden="1">
      <c r="B293" s="877"/>
      <c r="C293" s="948" t="s">
        <v>2172</v>
      </c>
      <c r="D293" s="948"/>
      <c r="E293" s="176" t="s">
        <v>2749</v>
      </c>
      <c r="F293" s="2742"/>
      <c r="G293" s="2741"/>
      <c r="H293" s="950"/>
      <c r="I293" s="950"/>
      <c r="J293" s="950"/>
      <c r="K293" s="950"/>
      <c r="L293" s="950"/>
      <c r="M293" s="950"/>
      <c r="N293" s="950"/>
      <c r="O293" s="2741"/>
      <c r="P293" s="47"/>
      <c r="R293" s="4336"/>
      <c r="S293" s="2835"/>
      <c r="T293" s="1420"/>
      <c r="U293" s="1068"/>
      <c r="V293" s="2778"/>
      <c r="W293" s="2778"/>
      <c r="X293" s="2778"/>
      <c r="Y293" s="2778"/>
      <c r="Z293" s="2778"/>
      <c r="AA293" s="202"/>
      <c r="AB293" s="1068"/>
      <c r="AC293" s="1068"/>
      <c r="AD293" s="1068"/>
      <c r="AE293" s="1068"/>
    </row>
    <row r="294" spans="2:31" ht="15.5" hidden="1">
      <c r="B294" s="877"/>
      <c r="C294" s="915" t="s">
        <v>2158</v>
      </c>
      <c r="D294" s="915"/>
      <c r="E294" s="46" t="s">
        <v>2750</v>
      </c>
      <c r="F294" s="2740"/>
      <c r="G294" s="944"/>
      <c r="H294" s="945"/>
      <c r="I294" s="945"/>
      <c r="J294" s="945"/>
      <c r="K294" s="945"/>
      <c r="L294" s="945"/>
      <c r="M294" s="945"/>
      <c r="N294" s="945"/>
      <c r="O294" s="944"/>
      <c r="P294" s="47"/>
      <c r="R294" s="4336"/>
      <c r="S294" s="2835"/>
      <c r="T294" s="1420"/>
      <c r="U294" s="2778"/>
      <c r="V294" s="2778"/>
      <c r="W294" s="2778"/>
      <c r="X294" s="2778"/>
      <c r="Y294" s="2778"/>
      <c r="Z294" s="2778"/>
      <c r="AA294" s="202"/>
      <c r="AB294" s="1068"/>
      <c r="AC294" s="1068"/>
      <c r="AD294" s="1068"/>
      <c r="AE294" s="1068"/>
    </row>
    <row r="295" spans="2:31" ht="15.5" hidden="1">
      <c r="B295" s="877"/>
      <c r="C295" s="915" t="s">
        <v>2162</v>
      </c>
      <c r="D295" s="103"/>
      <c r="E295" s="46" t="s">
        <v>2750</v>
      </c>
      <c r="F295" s="2740"/>
      <c r="G295" s="944"/>
      <c r="H295" s="945"/>
      <c r="I295" s="945"/>
      <c r="J295" s="945"/>
      <c r="K295" s="945"/>
      <c r="L295" s="945"/>
      <c r="M295" s="945"/>
      <c r="N295" s="945"/>
      <c r="O295" s="944"/>
      <c r="P295" s="47"/>
      <c r="R295" s="4336"/>
      <c r="S295" s="2835"/>
      <c r="T295" s="1420"/>
      <c r="U295" s="1068"/>
      <c r="V295" s="1068"/>
      <c r="W295" s="1068"/>
      <c r="X295" s="1068"/>
      <c r="Y295" s="1068"/>
      <c r="Z295" s="1068"/>
      <c r="AA295" s="1068"/>
      <c r="AB295" s="1068"/>
      <c r="AC295" s="1068"/>
      <c r="AD295" s="1068"/>
      <c r="AE295" s="1068"/>
    </row>
    <row r="296" spans="2:31" ht="15.5" hidden="1">
      <c r="B296" s="877"/>
      <c r="C296" s="915" t="s">
        <v>2163</v>
      </c>
      <c r="D296" s="103"/>
      <c r="E296" s="46" t="s">
        <v>2750</v>
      </c>
      <c r="F296" s="2740"/>
      <c r="G296" s="944"/>
      <c r="H296" s="950"/>
      <c r="I296" s="950"/>
      <c r="J296" s="950"/>
      <c r="K296" s="950"/>
      <c r="L296" s="950"/>
      <c r="M296" s="950"/>
      <c r="N296" s="950"/>
      <c r="O296" s="949"/>
      <c r="P296" s="47"/>
      <c r="R296" s="4336"/>
      <c r="S296" s="2835"/>
      <c r="T296" s="2542"/>
      <c r="U296" s="2824"/>
      <c r="V296" s="2824"/>
      <c r="W296" s="2824"/>
      <c r="X296" s="2824"/>
      <c r="Y296" s="2824"/>
      <c r="Z296" s="2824"/>
      <c r="AA296" s="2824"/>
      <c r="AB296" s="2824"/>
      <c r="AC296" s="1068"/>
      <c r="AD296" s="1068"/>
      <c r="AE296" s="1068"/>
    </row>
    <row r="297" spans="2:31" ht="15.5" hidden="1">
      <c r="B297" s="877"/>
      <c r="C297" s="953" t="s">
        <v>2165</v>
      </c>
      <c r="D297" s="1191"/>
      <c r="E297" s="245" t="s">
        <v>2751</v>
      </c>
      <c r="F297" s="2825"/>
      <c r="G297" s="2826"/>
      <c r="H297" s="2827"/>
      <c r="I297" s="2827"/>
      <c r="J297" s="2827"/>
      <c r="K297" s="2827"/>
      <c r="L297" s="2827"/>
      <c r="M297" s="2827"/>
      <c r="N297" s="2827"/>
      <c r="O297" s="2826"/>
      <c r="P297" s="47"/>
      <c r="R297" s="4336"/>
      <c r="S297" s="2835"/>
      <c r="T297" s="512"/>
      <c r="U297" s="2829"/>
      <c r="V297" s="2577"/>
      <c r="W297" s="2577"/>
      <c r="X297" s="2577"/>
      <c r="Y297" s="2577"/>
      <c r="Z297" s="2577"/>
      <c r="AA297" s="2778"/>
      <c r="AB297" s="2778"/>
      <c r="AC297" s="1068"/>
      <c r="AD297" s="1068"/>
      <c r="AE297" s="1068"/>
    </row>
    <row r="298" spans="2:31" ht="15.5" hidden="1">
      <c r="B298" s="877"/>
      <c r="C298" s="67"/>
      <c r="D298" s="67"/>
      <c r="E298" s="47"/>
      <c r="F298" s="67"/>
      <c r="G298" s="67"/>
      <c r="H298" s="67"/>
      <c r="I298" s="67"/>
      <c r="J298" s="67"/>
      <c r="K298" s="67"/>
      <c r="L298" s="67"/>
      <c r="M298" s="67"/>
      <c r="N298" s="67"/>
      <c r="O298" s="67"/>
      <c r="P298" s="47"/>
      <c r="R298" s="1068"/>
      <c r="S298" s="1068"/>
      <c r="T298" s="1068"/>
      <c r="U298" s="1068"/>
      <c r="V298" s="1068"/>
      <c r="W298" s="1068"/>
      <c r="X298" s="1068"/>
      <c r="Y298" s="1068"/>
      <c r="Z298" s="1068"/>
      <c r="AA298" s="1068"/>
      <c r="AB298" s="1068"/>
      <c r="AC298" s="1068"/>
      <c r="AD298" s="1068"/>
      <c r="AE298" s="1068"/>
    </row>
    <row r="299" spans="2:31" ht="15.5" hidden="1">
      <c r="B299" s="877"/>
      <c r="C299" s="49" t="s">
        <v>2177</v>
      </c>
      <c r="D299" s="195"/>
      <c r="E299" s="47"/>
      <c r="F299" s="67"/>
      <c r="G299" s="2777"/>
      <c r="H299" s="2777"/>
      <c r="I299" s="2777"/>
      <c r="J299" s="2777"/>
      <c r="K299" s="49"/>
      <c r="L299" s="67"/>
      <c r="M299" s="67"/>
      <c r="N299" s="67"/>
      <c r="O299" s="67"/>
      <c r="P299" s="47"/>
      <c r="R299" s="1068"/>
      <c r="S299" s="202"/>
      <c r="T299" s="1420"/>
      <c r="U299" s="2778"/>
      <c r="V299" s="2778"/>
      <c r="W299" s="2778"/>
      <c r="X299" s="2778"/>
      <c r="Y299" s="2778"/>
      <c r="Z299" s="2778"/>
      <c r="AA299" s="202"/>
      <c r="AB299" s="1068"/>
      <c r="AC299" s="1068"/>
      <c r="AD299" s="1068"/>
      <c r="AE299" s="1068"/>
    </row>
    <row r="300" spans="2:31" ht="15.5" hidden="1">
      <c r="B300" s="877"/>
      <c r="C300" s="67"/>
      <c r="D300" s="195"/>
      <c r="E300" s="47"/>
      <c r="F300" s="67"/>
      <c r="G300" s="67"/>
      <c r="H300" s="67"/>
      <c r="I300" s="67"/>
      <c r="J300" s="67"/>
      <c r="K300" s="67"/>
      <c r="L300" s="67"/>
      <c r="M300" s="67"/>
      <c r="N300" s="67"/>
      <c r="O300" s="67"/>
      <c r="P300" s="47"/>
      <c r="R300" s="1068"/>
      <c r="S300" s="202"/>
      <c r="T300" s="1420"/>
      <c r="U300" s="1068"/>
      <c r="V300" s="1068"/>
      <c r="W300" s="1068"/>
      <c r="X300" s="1068"/>
      <c r="Y300" s="1068"/>
      <c r="Z300" s="1068"/>
      <c r="AA300" s="1068"/>
      <c r="AB300" s="1068"/>
      <c r="AC300" s="1068"/>
      <c r="AD300" s="1068"/>
      <c r="AE300" s="1068"/>
    </row>
    <row r="301" spans="2:31" ht="15.5" hidden="1">
      <c r="B301" s="877"/>
      <c r="C301" s="1527" t="s">
        <v>71</v>
      </c>
      <c r="D301" s="1527"/>
      <c r="E301" s="964" t="s">
        <v>1447</v>
      </c>
      <c r="F301" s="971" t="s">
        <v>159</v>
      </c>
      <c r="G301" s="965">
        <v>2013</v>
      </c>
      <c r="H301" s="965">
        <v>2015</v>
      </c>
      <c r="I301" s="965">
        <v>2020</v>
      </c>
      <c r="J301" s="965">
        <v>2025</v>
      </c>
      <c r="K301" s="965">
        <v>2030</v>
      </c>
      <c r="L301" s="965">
        <v>2035</v>
      </c>
      <c r="M301" s="965">
        <v>2040</v>
      </c>
      <c r="N301" s="965">
        <v>2045</v>
      </c>
      <c r="O301" s="965">
        <v>2050</v>
      </c>
      <c r="P301" s="47"/>
      <c r="R301" s="1068"/>
      <c r="S301" s="2542"/>
      <c r="T301" s="2542"/>
      <c r="U301" s="2824"/>
      <c r="V301" s="2824"/>
      <c r="W301" s="2824"/>
      <c r="X301" s="2824"/>
      <c r="Y301" s="2824"/>
      <c r="Z301" s="2824"/>
      <c r="AA301" s="2824"/>
      <c r="AB301" s="2824"/>
      <c r="AC301" s="1068"/>
      <c r="AD301" s="1068"/>
      <c r="AE301" s="1068"/>
    </row>
    <row r="302" spans="2:31" ht="15.5" hidden="1">
      <c r="B302" s="877"/>
      <c r="C302" s="1070" t="s">
        <v>2169</v>
      </c>
      <c r="D302" s="1070"/>
      <c r="E302" s="260" t="s">
        <v>2749</v>
      </c>
      <c r="F302" s="2738"/>
      <c r="G302" s="2737"/>
      <c r="H302" s="1071"/>
      <c r="I302" s="1071"/>
      <c r="J302" s="1071"/>
      <c r="K302" s="1071"/>
      <c r="L302" s="1071"/>
      <c r="M302" s="1071"/>
      <c r="N302" s="1071"/>
      <c r="O302" s="2737"/>
      <c r="P302" s="47"/>
      <c r="R302" s="1068"/>
      <c r="S302" s="512"/>
      <c r="T302" s="2542"/>
      <c r="U302" s="1068"/>
      <c r="V302" s="2832"/>
      <c r="W302" s="2528"/>
      <c r="X302" s="2528"/>
      <c r="Y302" s="2824"/>
      <c r="Z302" s="2824"/>
      <c r="AA302" s="2824"/>
      <c r="AB302" s="2824"/>
      <c r="AC302" s="1068"/>
      <c r="AD302" s="1068"/>
      <c r="AE302" s="1068"/>
    </row>
    <row r="303" spans="2:31" ht="15.5" hidden="1">
      <c r="B303" s="877"/>
      <c r="C303" s="915" t="s">
        <v>2170</v>
      </c>
      <c r="D303" s="915"/>
      <c r="E303" s="46" t="s">
        <v>2749</v>
      </c>
      <c r="F303" s="2740"/>
      <c r="G303" s="2739"/>
      <c r="H303" s="945"/>
      <c r="I303" s="945"/>
      <c r="J303" s="945"/>
      <c r="K303" s="945"/>
      <c r="L303" s="945"/>
      <c r="M303" s="945"/>
      <c r="N303" s="945"/>
      <c r="O303" s="2739"/>
      <c r="P303" s="47"/>
      <c r="R303" s="1068"/>
      <c r="S303" s="512"/>
      <c r="T303" s="512"/>
      <c r="U303" s="1068"/>
      <c r="V303" s="2833"/>
      <c r="W303" s="2543"/>
      <c r="X303" s="2543"/>
      <c r="Y303" s="2778"/>
      <c r="Z303" s="2778"/>
      <c r="AA303" s="2778"/>
      <c r="AB303" s="2778"/>
      <c r="AC303" s="1068"/>
      <c r="AD303" s="1068"/>
      <c r="AE303" s="1068"/>
    </row>
    <row r="304" spans="2:31" ht="15.5" hidden="1">
      <c r="B304" s="877"/>
      <c r="C304" s="915" t="s">
        <v>2171</v>
      </c>
      <c r="D304" s="915"/>
      <c r="E304" s="46" t="s">
        <v>2749</v>
      </c>
      <c r="F304" s="2740"/>
      <c r="G304" s="2739"/>
      <c r="H304" s="945"/>
      <c r="I304" s="945"/>
      <c r="J304" s="945"/>
      <c r="K304" s="945"/>
      <c r="L304" s="945"/>
      <c r="M304" s="945"/>
      <c r="N304" s="945"/>
      <c r="O304" s="2739"/>
      <c r="P304" s="47"/>
      <c r="R304" s="1068"/>
      <c r="S304" s="1068"/>
      <c r="T304" s="1068"/>
      <c r="U304" s="1068"/>
      <c r="V304" s="1068"/>
      <c r="W304" s="1068"/>
      <c r="X304" s="1068"/>
      <c r="Y304" s="1068"/>
      <c r="Z304" s="1068"/>
      <c r="AA304" s="1068"/>
      <c r="AB304" s="1068"/>
      <c r="AC304" s="1068"/>
      <c r="AD304" s="1068"/>
      <c r="AE304" s="1068"/>
    </row>
    <row r="305" spans="2:31" ht="15.5" hidden="1">
      <c r="B305" s="877"/>
      <c r="C305" s="948" t="s">
        <v>2172</v>
      </c>
      <c r="D305" s="948"/>
      <c r="E305" s="176" t="s">
        <v>2749</v>
      </c>
      <c r="F305" s="2742"/>
      <c r="G305" s="2741"/>
      <c r="H305" s="950"/>
      <c r="I305" s="950"/>
      <c r="J305" s="950"/>
      <c r="K305" s="950"/>
      <c r="L305" s="950"/>
      <c r="M305" s="950"/>
      <c r="N305" s="950"/>
      <c r="O305" s="2741"/>
      <c r="P305" s="47"/>
      <c r="R305" s="1068"/>
      <c r="S305" s="202"/>
      <c r="T305" s="1420"/>
      <c r="U305" s="2778"/>
      <c r="V305" s="2778"/>
      <c r="W305" s="2778"/>
      <c r="X305" s="2778"/>
      <c r="Y305" s="2778"/>
      <c r="Z305" s="2778"/>
      <c r="AA305" s="202"/>
      <c r="AB305" s="1068"/>
      <c r="AC305" s="1068"/>
      <c r="AD305" s="1068"/>
      <c r="AE305" s="1068"/>
    </row>
    <row r="306" spans="2:31" ht="15.5" hidden="1">
      <c r="B306" s="877"/>
      <c r="C306" s="915" t="s">
        <v>2158</v>
      </c>
      <c r="D306" s="915"/>
      <c r="E306" s="46" t="s">
        <v>2750</v>
      </c>
      <c r="F306" s="2740"/>
      <c r="G306" s="944"/>
      <c r="H306" s="945"/>
      <c r="I306" s="945"/>
      <c r="J306" s="945"/>
      <c r="K306" s="945"/>
      <c r="L306" s="945"/>
      <c r="M306" s="945"/>
      <c r="N306" s="945"/>
      <c r="O306" s="944"/>
      <c r="P306" s="47"/>
      <c r="R306" s="1068"/>
      <c r="S306" s="202"/>
      <c r="T306" s="1420"/>
      <c r="U306" s="1068"/>
      <c r="V306" s="1068"/>
      <c r="W306" s="1068"/>
      <c r="X306" s="1068"/>
      <c r="Y306" s="1068"/>
      <c r="Z306" s="1068"/>
      <c r="AA306" s="1068"/>
      <c r="AB306" s="1068"/>
      <c r="AC306" s="1068"/>
      <c r="AD306" s="1068"/>
      <c r="AE306" s="1068"/>
    </row>
    <row r="307" spans="2:31" hidden="1">
      <c r="B307" s="105"/>
      <c r="C307" s="915" t="s">
        <v>2162</v>
      </c>
      <c r="D307" s="103"/>
      <c r="E307" s="46" t="s">
        <v>2750</v>
      </c>
      <c r="F307" s="2740"/>
      <c r="G307" s="944"/>
      <c r="H307" s="945"/>
      <c r="I307" s="945"/>
      <c r="J307" s="945"/>
      <c r="K307" s="945"/>
      <c r="L307" s="945"/>
      <c r="M307" s="945"/>
      <c r="N307" s="945"/>
      <c r="O307" s="944"/>
      <c r="P307" s="47"/>
      <c r="R307" s="1068"/>
      <c r="S307" s="2542"/>
      <c r="T307" s="2542"/>
      <c r="U307" s="2824"/>
      <c r="V307" s="2824"/>
      <c r="W307" s="2824"/>
      <c r="X307" s="2824"/>
      <c r="Y307" s="2824"/>
      <c r="Z307" s="2824"/>
      <c r="AA307" s="2824"/>
      <c r="AB307" s="2824"/>
      <c r="AC307" s="1068"/>
      <c r="AD307" s="1068"/>
      <c r="AE307" s="1068"/>
    </row>
    <row r="308" spans="2:31" hidden="1">
      <c r="B308" s="105"/>
      <c r="C308" s="915" t="s">
        <v>2163</v>
      </c>
      <c r="D308" s="103"/>
      <c r="E308" s="46" t="s">
        <v>2750</v>
      </c>
      <c r="F308" s="2740"/>
      <c r="G308" s="944"/>
      <c r="H308" s="950"/>
      <c r="I308" s="950"/>
      <c r="J308" s="950"/>
      <c r="K308" s="950"/>
      <c r="L308" s="950"/>
      <c r="M308" s="950"/>
      <c r="N308" s="950"/>
      <c r="O308" s="949"/>
      <c r="P308" s="47"/>
      <c r="R308" s="1068"/>
      <c r="S308" s="512"/>
      <c r="T308" s="512"/>
      <c r="U308" s="2834"/>
      <c r="V308" s="2577"/>
      <c r="W308" s="2577"/>
      <c r="X308" s="2577"/>
      <c r="Y308" s="2778"/>
      <c r="Z308" s="2778"/>
      <c r="AA308" s="2778"/>
      <c r="AB308" s="2778"/>
      <c r="AC308" s="1068"/>
      <c r="AD308" s="1068"/>
      <c r="AE308" s="1068"/>
    </row>
    <row r="309" spans="2:31" hidden="1">
      <c r="B309" s="105"/>
      <c r="C309" s="953" t="s">
        <v>2165</v>
      </c>
      <c r="D309" s="1191"/>
      <c r="E309" s="245" t="s">
        <v>2751</v>
      </c>
      <c r="F309" s="2825"/>
      <c r="G309" s="2826"/>
      <c r="H309" s="2827"/>
      <c r="I309" s="2827"/>
      <c r="J309" s="2827"/>
      <c r="K309" s="2827"/>
      <c r="L309" s="2827"/>
      <c r="M309" s="2827"/>
      <c r="N309" s="2827"/>
      <c r="O309" s="2826"/>
      <c r="P309" s="47"/>
      <c r="R309" s="1068"/>
      <c r="S309" s="1068"/>
      <c r="T309" s="1068"/>
      <c r="U309" s="1068"/>
      <c r="V309" s="1068"/>
      <c r="W309" s="1068"/>
      <c r="X309" s="1068"/>
      <c r="Y309" s="1068"/>
      <c r="Z309" s="1068"/>
      <c r="AA309" s="1068"/>
      <c r="AB309" s="1068"/>
      <c r="AC309" s="1068"/>
      <c r="AD309" s="1068"/>
      <c r="AE309" s="1068"/>
    </row>
    <row r="310" spans="2:31" hidden="1">
      <c r="B310" s="67"/>
      <c r="C310" s="104"/>
      <c r="D310" s="103"/>
      <c r="E310" s="103"/>
      <c r="F310" s="944"/>
      <c r="G310" s="2565"/>
      <c r="H310" s="945"/>
      <c r="I310" s="945"/>
      <c r="J310" s="945"/>
      <c r="K310" s="945"/>
      <c r="L310" s="945"/>
      <c r="M310" s="945"/>
      <c r="N310" s="945"/>
      <c r="O310" s="2565"/>
      <c r="P310" s="47"/>
      <c r="R310" s="1068"/>
      <c r="S310" s="1068"/>
      <c r="T310" s="1068"/>
      <c r="U310" s="1068"/>
      <c r="V310" s="1068"/>
      <c r="W310" s="1068"/>
      <c r="X310" s="1068"/>
      <c r="Y310" s="1068"/>
      <c r="Z310" s="1068"/>
      <c r="AA310" s="1068"/>
      <c r="AB310" s="1068"/>
      <c r="AC310" s="1068"/>
      <c r="AD310" s="1068"/>
      <c r="AE310" s="1068"/>
    </row>
    <row r="311" spans="2:31">
      <c r="B311" s="1068"/>
      <c r="C311" s="2744"/>
      <c r="D311" s="647"/>
      <c r="E311" s="647"/>
      <c r="F311" s="2528"/>
      <c r="G311" s="2584"/>
      <c r="H311" s="2584"/>
      <c r="I311" s="2529"/>
      <c r="J311" s="2529"/>
      <c r="K311" s="2529"/>
      <c r="L311" s="2529"/>
      <c r="M311" s="2529"/>
      <c r="N311" s="2529"/>
      <c r="O311" s="2529"/>
      <c r="P311" s="2584"/>
      <c r="R311" s="1068"/>
      <c r="S311" s="1068"/>
      <c r="T311" s="1068"/>
      <c r="U311" s="1068"/>
      <c r="V311" s="1068"/>
      <c r="W311" s="1068"/>
      <c r="X311" s="1068"/>
      <c r="Y311" s="1068"/>
      <c r="Z311" s="1068"/>
      <c r="AA311" s="1068"/>
      <c r="AB311" s="1068"/>
      <c r="AC311" s="1068"/>
      <c r="AD311" s="1068"/>
      <c r="AE311" s="1068"/>
    </row>
    <row r="312" spans="2:31" ht="15">
      <c r="B312" s="869" t="s">
        <v>177</v>
      </c>
      <c r="C312" s="870"/>
      <c r="D312" s="870"/>
      <c r="E312" s="870"/>
      <c r="F312" s="870"/>
      <c r="G312" s="870"/>
      <c r="H312" s="870"/>
      <c r="I312" s="870"/>
      <c r="J312" s="870"/>
      <c r="K312" s="870"/>
      <c r="L312" s="870"/>
      <c r="M312" s="870"/>
      <c r="N312" s="870"/>
      <c r="O312" s="871"/>
      <c r="R312" s="1068"/>
      <c r="S312" s="1068"/>
      <c r="T312" s="1068"/>
      <c r="U312" s="2584"/>
      <c r="V312" s="2584"/>
      <c r="W312" s="1068"/>
      <c r="X312" s="1068"/>
      <c r="Y312" s="1068"/>
      <c r="Z312" s="1068"/>
      <c r="AA312" s="1068"/>
      <c r="AB312" s="1068"/>
      <c r="AC312" s="1068"/>
      <c r="AD312" s="1068"/>
      <c r="AE312" s="1068"/>
    </row>
    <row r="313" spans="2:31">
      <c r="B313" s="872"/>
      <c r="C313" s="873"/>
      <c r="D313" s="873"/>
      <c r="E313" s="873"/>
      <c r="F313" s="873"/>
      <c r="G313" s="873"/>
      <c r="H313" s="873"/>
      <c r="I313" s="873"/>
      <c r="J313" s="873"/>
      <c r="K313" s="873"/>
      <c r="L313" s="873"/>
      <c r="M313" s="873"/>
      <c r="N313" s="873"/>
      <c r="O313" s="874"/>
      <c r="R313" s="1068"/>
      <c r="S313" s="1068"/>
      <c r="T313" s="1068"/>
      <c r="U313" s="2584"/>
      <c r="V313" s="2584"/>
      <c r="W313" s="1068"/>
      <c r="X313" s="1068"/>
      <c r="Y313" s="1068"/>
      <c r="Z313" s="1068"/>
      <c r="AA313" s="1068"/>
      <c r="AB313" s="1068"/>
      <c r="AC313" s="1068"/>
      <c r="AD313" s="1068"/>
      <c r="AE313" s="1068"/>
    </row>
    <row r="314" spans="2:31">
      <c r="B314" s="875"/>
      <c r="C314" s="49" t="s">
        <v>2178</v>
      </c>
      <c r="D314" s="67"/>
      <c r="E314" s="51"/>
      <c r="F314" s="67"/>
      <c r="G314" s="67"/>
      <c r="H314" s="67"/>
      <c r="I314" s="67"/>
      <c r="J314" s="67"/>
      <c r="K314" s="67"/>
      <c r="L314" s="67"/>
      <c r="M314" s="67"/>
      <c r="N314" s="51" t="s">
        <v>2179</v>
      </c>
      <c r="O314" s="876"/>
      <c r="R314" s="1068"/>
      <c r="S314" s="1068"/>
      <c r="T314" s="1068"/>
      <c r="U314" s="2584"/>
      <c r="V314" s="2584"/>
      <c r="W314" s="1068"/>
      <c r="X314" s="1068"/>
      <c r="Y314" s="1068"/>
      <c r="Z314" s="1068"/>
      <c r="AA314" s="1068"/>
      <c r="AB314" s="1068"/>
      <c r="AC314" s="1068"/>
      <c r="AD314" s="1068"/>
      <c r="AE314" s="1068"/>
    </row>
    <row r="315" spans="2:31">
      <c r="B315" s="875"/>
      <c r="C315" s="67"/>
      <c r="D315" s="67"/>
      <c r="E315" s="67"/>
      <c r="F315" s="67"/>
      <c r="G315" s="67"/>
      <c r="H315" s="67"/>
      <c r="I315" s="67"/>
      <c r="J315" s="67"/>
      <c r="K315" s="67"/>
      <c r="L315" s="67"/>
      <c r="M315" s="67"/>
      <c r="N315" s="67"/>
      <c r="O315" s="876"/>
      <c r="R315" s="1068"/>
      <c r="S315" s="1068"/>
      <c r="T315" s="1068"/>
      <c r="U315" s="2584"/>
      <c r="V315" s="2584"/>
      <c r="W315" s="1068"/>
      <c r="X315" s="1068"/>
      <c r="Y315" s="1068"/>
      <c r="Z315" s="1068"/>
      <c r="AA315" s="1068"/>
      <c r="AB315" s="1068"/>
      <c r="AC315" s="1068"/>
      <c r="AD315" s="1068"/>
      <c r="AE315" s="1068"/>
    </row>
    <row r="316" spans="2:31" ht="15.5">
      <c r="B316" s="877"/>
      <c r="C316" s="878" t="s">
        <v>2053</v>
      </c>
      <c r="D316" s="878" t="s">
        <v>71</v>
      </c>
      <c r="E316" s="878" t="s">
        <v>30</v>
      </c>
      <c r="F316" s="899">
        <v>2013</v>
      </c>
      <c r="G316" s="87">
        <v>2015</v>
      </c>
      <c r="H316" s="87">
        <v>2020</v>
      </c>
      <c r="I316" s="87">
        <v>2025</v>
      </c>
      <c r="J316" s="87">
        <v>2030</v>
      </c>
      <c r="K316" s="87">
        <v>2035</v>
      </c>
      <c r="L316" s="87">
        <v>2040</v>
      </c>
      <c r="M316" s="87">
        <v>2045</v>
      </c>
      <c r="N316" s="87">
        <v>2050</v>
      </c>
      <c r="O316" s="876"/>
    </row>
    <row r="317" spans="2:31" ht="15.5">
      <c r="B317" s="880"/>
      <c r="C317" s="2671" t="s">
        <v>2130</v>
      </c>
      <c r="D317" s="2671" t="s">
        <v>2180</v>
      </c>
      <c r="E317" s="2671"/>
      <c r="F317" s="2791">
        <f t="shared" ref="F317:N317" si="24">F19</f>
        <v>1.3629</v>
      </c>
      <c r="G317" s="2458">
        <f t="shared" si="24"/>
        <v>1.4</v>
      </c>
      <c r="H317" s="2458">
        <f t="shared" si="24"/>
        <v>1.5</v>
      </c>
      <c r="I317" s="2458">
        <f t="shared" si="24"/>
        <v>1.59</v>
      </c>
      <c r="J317" s="2458">
        <f t="shared" si="24"/>
        <v>1.69</v>
      </c>
      <c r="K317" s="2458">
        <f t="shared" si="24"/>
        <v>1.77</v>
      </c>
      <c r="L317" s="2458">
        <f t="shared" si="24"/>
        <v>1.85</v>
      </c>
      <c r="M317" s="2458">
        <f t="shared" si="24"/>
        <v>1.93</v>
      </c>
      <c r="N317" s="2458">
        <f t="shared" si="24"/>
        <v>2.02</v>
      </c>
      <c r="O317" s="884"/>
    </row>
    <row r="318" spans="2:31" ht="15.5">
      <c r="B318" s="880"/>
      <c r="C318" s="915" t="s">
        <v>2109</v>
      </c>
      <c r="D318" s="915" t="s">
        <v>2181</v>
      </c>
      <c r="E318" s="915"/>
      <c r="F318" s="2792">
        <f t="shared" ref="F318:N318" si="25">F28</f>
        <v>1.115437</v>
      </c>
      <c r="G318" s="944">
        <f t="shared" si="25"/>
        <v>1.17</v>
      </c>
      <c r="H318" s="944">
        <f t="shared" si="25"/>
        <v>1.3175126747058823</v>
      </c>
      <c r="I318" s="944">
        <f t="shared" si="25"/>
        <v>1.46</v>
      </c>
      <c r="J318" s="944">
        <f t="shared" si="25"/>
        <v>1.61</v>
      </c>
      <c r="K318" s="944">
        <f t="shared" si="25"/>
        <v>1.69</v>
      </c>
      <c r="L318" s="944">
        <f t="shared" si="25"/>
        <v>1.77</v>
      </c>
      <c r="M318" s="944">
        <f t="shared" si="25"/>
        <v>1.86</v>
      </c>
      <c r="N318" s="944">
        <f t="shared" si="25"/>
        <v>1.96</v>
      </c>
      <c r="O318" s="884"/>
      <c r="U318" s="365"/>
      <c r="V318" s="365"/>
    </row>
    <row r="319" spans="2:31" ht="15.5">
      <c r="B319" s="880"/>
      <c r="C319" s="915" t="s">
        <v>2110</v>
      </c>
      <c r="D319" s="915" t="s">
        <v>2182</v>
      </c>
      <c r="E319" s="915" t="s">
        <v>2183</v>
      </c>
      <c r="F319" s="2792">
        <f t="shared" ref="F319:N319" si="26">F37</f>
        <v>0.2</v>
      </c>
      <c r="G319" s="944">
        <f t="shared" si="26"/>
        <v>0.20706125</v>
      </c>
      <c r="H319" s="944">
        <f t="shared" si="26"/>
        <v>0.22582442908224626</v>
      </c>
      <c r="I319" s="944">
        <f t="shared" si="26"/>
        <v>0.24628786298895847</v>
      </c>
      <c r="J319" s="944">
        <f t="shared" si="26"/>
        <v>0.26860562297082646</v>
      </c>
      <c r="K319" s="944">
        <f t="shared" si="26"/>
        <v>0.29294574168594067</v>
      </c>
      <c r="L319" s="944">
        <f t="shared" si="26"/>
        <v>0.31949147833456404</v>
      </c>
      <c r="M319" s="944">
        <f t="shared" si="26"/>
        <v>0.3484426984360704</v>
      </c>
      <c r="N319" s="944">
        <f t="shared" si="26"/>
        <v>0.38001737863652857</v>
      </c>
      <c r="O319" s="884"/>
      <c r="U319" s="365"/>
      <c r="V319" s="365"/>
    </row>
    <row r="320" spans="2:31" ht="15.5">
      <c r="B320" s="880"/>
      <c r="C320" s="915" t="s">
        <v>2184</v>
      </c>
      <c r="D320" s="915" t="s">
        <v>2111</v>
      </c>
      <c r="E320" s="915"/>
      <c r="F320" s="2783">
        <f t="shared" ref="F320:N320" si="27">F48</f>
        <v>0.06</v>
      </c>
      <c r="G320" s="944">
        <f t="shared" si="27"/>
        <v>6.1425E-2</v>
      </c>
      <c r="H320" s="944">
        <f t="shared" si="27"/>
        <v>6.2850000000000003E-2</v>
      </c>
      <c r="I320" s="944">
        <f t="shared" si="27"/>
        <v>6.4274999999999999E-2</v>
      </c>
      <c r="J320" s="944">
        <f t="shared" si="27"/>
        <v>6.5699999999999995E-2</v>
      </c>
      <c r="K320" s="944">
        <f t="shared" si="27"/>
        <v>6.712499999999999E-2</v>
      </c>
      <c r="L320" s="944">
        <f t="shared" si="27"/>
        <v>6.855E-2</v>
      </c>
      <c r="M320" s="944">
        <f t="shared" si="27"/>
        <v>6.9974999999999996E-2</v>
      </c>
      <c r="N320" s="944">
        <f t="shared" si="27"/>
        <v>7.1399999999999991E-2</v>
      </c>
      <c r="O320" s="884"/>
      <c r="U320" s="365"/>
      <c r="V320" s="365"/>
    </row>
    <row r="321" spans="2:22" ht="15.5">
      <c r="B321" s="880"/>
      <c r="C321" s="948" t="s">
        <v>15</v>
      </c>
      <c r="D321" s="948" t="s">
        <v>1661</v>
      </c>
      <c r="E321" s="948" t="s">
        <v>2161</v>
      </c>
      <c r="F321" s="4311">
        <f t="shared" ref="F321:N321" si="28">F57</f>
        <v>0.11999999999999997</v>
      </c>
      <c r="G321" s="949">
        <f t="shared" si="28"/>
        <v>0.11288288377961082</v>
      </c>
      <c r="H321" s="949">
        <f t="shared" si="28"/>
        <v>0.10576576755922167</v>
      </c>
      <c r="I321" s="949">
        <f t="shared" si="28"/>
        <v>9.8648651338832521E-2</v>
      </c>
      <c r="J321" s="949">
        <f t="shared" si="28"/>
        <v>9.1531535118443363E-2</v>
      </c>
      <c r="K321" s="949">
        <f t="shared" si="28"/>
        <v>8.4414418898054205E-2</v>
      </c>
      <c r="L321" s="949">
        <f t="shared" si="28"/>
        <v>7.7297302677665047E-2</v>
      </c>
      <c r="M321" s="949">
        <f t="shared" si="28"/>
        <v>7.0180186457275903E-2</v>
      </c>
      <c r="N321" s="949">
        <f t="shared" si="28"/>
        <v>6.3063070236886745E-2</v>
      </c>
      <c r="O321" s="884"/>
      <c r="U321" s="365"/>
      <c r="V321" s="365"/>
    </row>
    <row r="322" spans="2:22" ht="15.5">
      <c r="B322" s="880"/>
      <c r="C322" s="65"/>
      <c r="D322" s="103"/>
      <c r="E322" s="103"/>
      <c r="F322" s="59"/>
      <c r="G322" s="59"/>
      <c r="H322" s="59"/>
      <c r="I322" s="59"/>
      <c r="J322" s="59"/>
      <c r="K322" s="59"/>
      <c r="L322" s="59"/>
      <c r="M322" s="59"/>
      <c r="N322" s="59"/>
      <c r="O322" s="884"/>
    </row>
    <row r="323" spans="2:22" ht="15.5">
      <c r="B323" s="880"/>
      <c r="C323" s="49" t="s">
        <v>2185</v>
      </c>
      <c r="D323" s="67"/>
      <c r="E323" s="51"/>
      <c r="F323" s="67"/>
      <c r="G323" s="67"/>
      <c r="H323" s="67"/>
      <c r="I323" s="67"/>
      <c r="J323" s="67"/>
      <c r="K323" s="67"/>
      <c r="L323" s="67"/>
      <c r="M323" s="67"/>
      <c r="N323" s="51" t="s">
        <v>2186</v>
      </c>
      <c r="O323" s="884"/>
    </row>
    <row r="324" spans="2:22" ht="15.5">
      <c r="B324" s="880"/>
      <c r="C324" s="67"/>
      <c r="D324" s="67"/>
      <c r="E324" s="67"/>
      <c r="F324" s="67"/>
      <c r="G324" s="67"/>
      <c r="H324" s="67"/>
      <c r="I324" s="67"/>
      <c r="J324" s="67"/>
      <c r="K324" s="67"/>
      <c r="L324" s="67"/>
      <c r="M324" s="67"/>
      <c r="N324" s="67"/>
      <c r="O324" s="884"/>
    </row>
    <row r="325" spans="2:22" ht="15.5">
      <c r="B325" s="880"/>
      <c r="C325" s="878" t="s">
        <v>2053</v>
      </c>
      <c r="D325" s="878" t="s">
        <v>71</v>
      </c>
      <c r="E325" s="878" t="s">
        <v>30</v>
      </c>
      <c r="F325" s="899">
        <v>2013</v>
      </c>
      <c r="G325" s="87">
        <v>2015</v>
      </c>
      <c r="H325" s="87">
        <v>2020</v>
      </c>
      <c r="I325" s="87">
        <v>2025</v>
      </c>
      <c r="J325" s="87">
        <v>2030</v>
      </c>
      <c r="K325" s="87">
        <v>2035</v>
      </c>
      <c r="L325" s="87">
        <v>2040</v>
      </c>
      <c r="M325" s="87">
        <v>2045</v>
      </c>
      <c r="N325" s="87">
        <v>2050</v>
      </c>
      <c r="O325" s="884"/>
    </row>
    <row r="326" spans="2:22" ht="15.5">
      <c r="B326" s="880"/>
      <c r="C326" s="2671" t="s">
        <v>2130</v>
      </c>
      <c r="D326" s="2671" t="s">
        <v>2180</v>
      </c>
      <c r="E326" s="2671"/>
      <c r="F326" s="2794">
        <f t="array" ref="F326:N326">CHOOSE($E$7, $F$69:$O$69, $F$79:$O$79, $F$89:$O$89,F100:O100)</f>
        <v>7.0000000000000007E-2</v>
      </c>
      <c r="G326" s="2802">
        <v>7.0000000000000007E-2</v>
      </c>
      <c r="H326" s="2802">
        <v>0.24844608731815995</v>
      </c>
      <c r="I326" s="2802">
        <v>0.22950819672131148</v>
      </c>
      <c r="J326" s="2802">
        <v>0.21212121212121213</v>
      </c>
      <c r="K326" s="2802">
        <v>0.20231213872832368</v>
      </c>
      <c r="L326" s="2802">
        <v>0.19337016574585633</v>
      </c>
      <c r="M326" s="2802">
        <v>0.18469656992084432</v>
      </c>
      <c r="N326" s="2802">
        <v>0.17587939698492461</v>
      </c>
      <c r="O326" s="884"/>
    </row>
    <row r="327" spans="2:22" ht="15.5">
      <c r="B327" s="880"/>
      <c r="C327" s="915" t="s">
        <v>2109</v>
      </c>
      <c r="D327" s="915" t="s">
        <v>2181</v>
      </c>
      <c r="E327" s="915"/>
      <c r="F327" s="2796">
        <f t="array" ref="F327:N327">CHOOSE($E$7, $F$69:$O$69, $F$79:$O$79, $F$89:$O$89,$F$99:$O$99)</f>
        <v>7.0000000000000007E-2</v>
      </c>
      <c r="G327" s="2795">
        <v>7.0000000000000007E-2</v>
      </c>
      <c r="H327" s="2795">
        <v>0.24844608731815995</v>
      </c>
      <c r="I327" s="2795">
        <v>0.22950819672131148</v>
      </c>
      <c r="J327" s="2795">
        <v>0.21212121212121213</v>
      </c>
      <c r="K327" s="2795">
        <v>0.20231213872832368</v>
      </c>
      <c r="L327" s="2795">
        <v>0.19337016574585633</v>
      </c>
      <c r="M327" s="2795">
        <v>0.18469656992084432</v>
      </c>
      <c r="N327" s="2795">
        <v>0.17587939698492461</v>
      </c>
      <c r="O327" s="884"/>
    </row>
    <row r="328" spans="2:22" ht="15.5">
      <c r="B328" s="880"/>
      <c r="C328" s="915" t="s">
        <v>2110</v>
      </c>
      <c r="D328" s="915" t="s">
        <v>2187</v>
      </c>
      <c r="E328" s="915"/>
      <c r="F328" s="2796">
        <f t="shared" ref="F328:N328" si="29">F120</f>
        <v>0</v>
      </c>
      <c r="G328" s="2795">
        <f t="shared" si="29"/>
        <v>0.03</v>
      </c>
      <c r="H328" s="2795">
        <f t="shared" si="29"/>
        <v>0.08</v>
      </c>
      <c r="I328" s="2795">
        <f t="shared" si="29"/>
        <v>8.4999999999999992E-2</v>
      </c>
      <c r="J328" s="2795">
        <f t="shared" si="29"/>
        <v>0.09</v>
      </c>
      <c r="K328" s="2795">
        <f t="shared" si="29"/>
        <v>0.11750000000000001</v>
      </c>
      <c r="L328" s="2795">
        <f t="shared" si="29"/>
        <v>0.14500000000000002</v>
      </c>
      <c r="M328" s="2795">
        <f t="shared" si="29"/>
        <v>0.17250000000000001</v>
      </c>
      <c r="N328" s="2795">
        <f t="shared" si="29"/>
        <v>0.2</v>
      </c>
      <c r="O328" s="884"/>
    </row>
    <row r="329" spans="2:22" ht="15.5">
      <c r="B329" s="880"/>
      <c r="C329" s="948" t="s">
        <v>2184</v>
      </c>
      <c r="D329" s="948" t="s">
        <v>2111</v>
      </c>
      <c r="E329" s="948"/>
      <c r="F329" s="2797">
        <f t="shared" ref="F329:N329" si="30">F129</f>
        <v>5.0000000000000001E-3</v>
      </c>
      <c r="G329" s="2798">
        <f t="shared" si="30"/>
        <v>0.05</v>
      </c>
      <c r="H329" s="2798">
        <f t="shared" si="30"/>
        <v>0.19124999999999998</v>
      </c>
      <c r="I329" s="2798">
        <f t="shared" si="30"/>
        <v>0.28437499999999999</v>
      </c>
      <c r="J329" s="2798">
        <f t="shared" si="30"/>
        <v>0.3775</v>
      </c>
      <c r="K329" s="2798">
        <f t="shared" si="30"/>
        <v>0.47062500000000007</v>
      </c>
      <c r="L329" s="2798">
        <f t="shared" si="30"/>
        <v>0.56375000000000008</v>
      </c>
      <c r="M329" s="2798">
        <f t="shared" si="30"/>
        <v>0.6568750000000001</v>
      </c>
      <c r="N329" s="2798">
        <f t="shared" si="30"/>
        <v>0.75000000000000011</v>
      </c>
      <c r="O329" s="884"/>
    </row>
    <row r="330" spans="2:22" ht="15.5">
      <c r="B330" s="880"/>
      <c r="C330" s="65"/>
      <c r="D330" s="103"/>
      <c r="E330" s="103"/>
      <c r="F330" s="59"/>
      <c r="G330" s="59"/>
      <c r="H330" s="59"/>
      <c r="I330" s="59"/>
      <c r="J330" s="59"/>
      <c r="K330" s="59"/>
      <c r="L330" s="59"/>
      <c r="M330" s="59"/>
      <c r="N330" s="59"/>
      <c r="O330" s="884"/>
    </row>
    <row r="331" spans="2:22" ht="15.5">
      <c r="B331" s="880"/>
      <c r="C331" s="49" t="s">
        <v>2188</v>
      </c>
      <c r="D331" s="67"/>
      <c r="E331" s="51"/>
      <c r="F331" s="67"/>
      <c r="G331" s="67"/>
      <c r="H331" s="67"/>
      <c r="I331" s="67"/>
      <c r="J331" s="67"/>
      <c r="K331" s="67"/>
      <c r="L331" s="67"/>
      <c r="M331" s="67"/>
      <c r="N331" s="51" t="s">
        <v>2186</v>
      </c>
      <c r="O331" s="884"/>
    </row>
    <row r="332" spans="2:22" ht="15.5">
      <c r="B332" s="880"/>
      <c r="C332" s="67"/>
      <c r="D332" s="67"/>
      <c r="E332" s="67"/>
      <c r="F332" s="67"/>
      <c r="G332" s="67"/>
      <c r="H332" s="67"/>
      <c r="I332" s="67"/>
      <c r="J332" s="67"/>
      <c r="K332" s="67"/>
      <c r="L332" s="67"/>
      <c r="M332" s="67"/>
      <c r="N332" s="67"/>
      <c r="O332" s="884"/>
    </row>
    <row r="333" spans="2:22" ht="15.5">
      <c r="B333" s="880"/>
      <c r="C333" s="878" t="s">
        <v>2053</v>
      </c>
      <c r="D333" s="878" t="s">
        <v>71</v>
      </c>
      <c r="E333" s="878" t="s">
        <v>30</v>
      </c>
      <c r="F333" s="899">
        <v>2013</v>
      </c>
      <c r="G333" s="87">
        <v>2015</v>
      </c>
      <c r="H333" s="87">
        <v>2020</v>
      </c>
      <c r="I333" s="87">
        <v>2025</v>
      </c>
      <c r="J333" s="87">
        <v>2030</v>
      </c>
      <c r="K333" s="87">
        <v>2035</v>
      </c>
      <c r="L333" s="87">
        <v>2040</v>
      </c>
      <c r="M333" s="87">
        <v>2045</v>
      </c>
      <c r="N333" s="87">
        <v>2050</v>
      </c>
      <c r="O333" s="884"/>
    </row>
    <row r="334" spans="2:22" ht="15.5">
      <c r="B334" s="880"/>
      <c r="C334" s="2671" t="s">
        <v>2130</v>
      </c>
      <c r="D334" s="2671" t="s">
        <v>2180</v>
      </c>
      <c r="E334" s="2671"/>
      <c r="F334" s="2794">
        <f t="array" ref="F334:N334">CHOOSE($E$7, $F$68:$O$68, $F$78:$O$78, $F$88:$O$88,$F$98:$O$98)</f>
        <v>0.41</v>
      </c>
      <c r="G334" s="2802">
        <v>0.38151999999999997</v>
      </c>
      <c r="H334" s="2802">
        <v>0.37434000000000001</v>
      </c>
      <c r="I334" s="2802">
        <v>0.35421999999999998</v>
      </c>
      <c r="J334" s="2802">
        <v>0.33410000000000001</v>
      </c>
      <c r="K334" s="2802">
        <v>0.30979250000000003</v>
      </c>
      <c r="L334" s="2802">
        <v>0.28548499999999999</v>
      </c>
      <c r="M334" s="2802">
        <v>0.26117750000000001</v>
      </c>
      <c r="N334" s="2802">
        <v>0.23687</v>
      </c>
      <c r="O334" s="884"/>
    </row>
    <row r="335" spans="2:22" ht="15.5">
      <c r="B335" s="880"/>
      <c r="C335" s="915" t="s">
        <v>2109</v>
      </c>
      <c r="D335" s="915" t="s">
        <v>2181</v>
      </c>
      <c r="E335" s="915"/>
      <c r="F335" s="2796">
        <f t="array" ref="F335:N335">CHOOSE($E$7, $F$68:$O$68, $F$78:$O$78, $F$88:$O$88,F98:O98)</f>
        <v>0.41</v>
      </c>
      <c r="G335" s="2795">
        <v>0.38151999999999997</v>
      </c>
      <c r="H335" s="2795">
        <v>0.37434000000000001</v>
      </c>
      <c r="I335" s="2795">
        <v>0.35421999999999998</v>
      </c>
      <c r="J335" s="2795">
        <v>0.33410000000000001</v>
      </c>
      <c r="K335" s="2795">
        <v>0.30979250000000003</v>
      </c>
      <c r="L335" s="2795">
        <v>0.28548499999999999</v>
      </c>
      <c r="M335" s="2795">
        <v>0.26117750000000001</v>
      </c>
      <c r="N335" s="2795">
        <v>0.23687</v>
      </c>
      <c r="O335" s="884"/>
    </row>
    <row r="336" spans="2:22" ht="15.5">
      <c r="B336" s="880"/>
      <c r="C336" s="948" t="s">
        <v>2110</v>
      </c>
      <c r="D336" s="948" t="s">
        <v>2187</v>
      </c>
      <c r="E336" s="948"/>
      <c r="F336" s="2836"/>
      <c r="G336" s="2837"/>
      <c r="H336" s="2837"/>
      <c r="I336" s="2837"/>
      <c r="J336" s="2837"/>
      <c r="K336" s="2837"/>
      <c r="L336" s="2837"/>
      <c r="M336" s="2837"/>
      <c r="N336" s="2837"/>
      <c r="O336" s="2838"/>
    </row>
    <row r="337" spans="2:27" ht="15.5">
      <c r="B337" s="880"/>
      <c r="C337" s="65"/>
      <c r="D337" s="103"/>
      <c r="E337" s="103"/>
      <c r="F337" s="59"/>
      <c r="G337" s="59"/>
      <c r="H337" s="59"/>
      <c r="I337" s="59"/>
      <c r="J337" s="59"/>
      <c r="K337" s="59"/>
      <c r="L337" s="59"/>
      <c r="M337" s="59"/>
      <c r="N337" s="59"/>
      <c r="O337" s="884"/>
    </row>
    <row r="338" spans="2:27" ht="15.5">
      <c r="B338" s="880"/>
      <c r="C338" s="49" t="s">
        <v>2189</v>
      </c>
      <c r="D338" s="67"/>
      <c r="E338" s="51"/>
      <c r="F338" s="67"/>
      <c r="G338" s="67"/>
      <c r="H338" s="67"/>
      <c r="I338" s="67"/>
      <c r="J338" s="67"/>
      <c r="K338" s="67"/>
      <c r="L338" s="67"/>
      <c r="M338" s="67"/>
      <c r="N338" s="51" t="s">
        <v>2186</v>
      </c>
      <c r="O338" s="884"/>
    </row>
    <row r="339" spans="2:27" ht="15.5">
      <c r="B339" s="880"/>
      <c r="C339" s="67"/>
      <c r="D339" s="67"/>
      <c r="E339" s="67"/>
      <c r="F339" s="67"/>
      <c r="G339" s="67"/>
      <c r="H339" s="67"/>
      <c r="I339" s="67"/>
      <c r="J339" s="67"/>
      <c r="K339" s="67"/>
      <c r="L339" s="67"/>
      <c r="M339" s="67"/>
      <c r="N339" s="67"/>
      <c r="O339" s="884"/>
    </row>
    <row r="340" spans="2:27" ht="15.5">
      <c r="B340" s="880"/>
      <c r="C340" s="878" t="s">
        <v>2053</v>
      </c>
      <c r="D340" s="878" t="s">
        <v>71</v>
      </c>
      <c r="E340" s="878" t="s">
        <v>30</v>
      </c>
      <c r="F340" s="899">
        <v>2013</v>
      </c>
      <c r="G340" s="87">
        <v>2015</v>
      </c>
      <c r="H340" s="87">
        <v>2020</v>
      </c>
      <c r="I340" s="87">
        <v>2025</v>
      </c>
      <c r="J340" s="87">
        <v>2030</v>
      </c>
      <c r="K340" s="87">
        <v>2035</v>
      </c>
      <c r="L340" s="87">
        <v>2040</v>
      </c>
      <c r="M340" s="87">
        <v>2045</v>
      </c>
      <c r="N340" s="87">
        <v>2050</v>
      </c>
      <c r="O340" s="884"/>
    </row>
    <row r="341" spans="2:27" ht="15.5">
      <c r="B341" s="880"/>
      <c r="C341" s="2671" t="s">
        <v>2130</v>
      </c>
      <c r="D341" s="2671" t="s">
        <v>2180</v>
      </c>
      <c r="E341" s="2671"/>
      <c r="F341" s="2794">
        <f t="array" ref="F341:N341">CHOOSE($E$7, $F$66:$O$66, $F$76:$O$76, $F$86:$O$86,$F$96:$O$96)</f>
        <v>0.16139855072171383</v>
      </c>
      <c r="G341" s="2802">
        <v>0.15564202334630353</v>
      </c>
      <c r="H341" s="2802">
        <v>0.14196919275323427</v>
      </c>
      <c r="I341" s="2802">
        <v>0.13114754098360656</v>
      </c>
      <c r="J341" s="2802">
        <v>0.12121212121212123</v>
      </c>
      <c r="K341" s="2802">
        <v>0.11560693641618498</v>
      </c>
      <c r="L341" s="2802">
        <v>0.11049723756906078</v>
      </c>
      <c r="M341" s="2802">
        <v>0.10554089709762533</v>
      </c>
      <c r="N341" s="2802">
        <v>0.10050251256281408</v>
      </c>
      <c r="O341" s="884"/>
    </row>
    <row r="342" spans="2:27" ht="15.5">
      <c r="B342" s="880"/>
      <c r="C342" s="948" t="s">
        <v>2109</v>
      </c>
      <c r="D342" s="948" t="s">
        <v>2181</v>
      </c>
      <c r="E342" s="948"/>
      <c r="F342" s="2797">
        <f t="array" ref="F342:N342">CHOOSE($E$7, $F$66:$O$66, $F$76:$O$76, $F$86:$O$86,$F$96:$O$96)</f>
        <v>0.16139855072171383</v>
      </c>
      <c r="G342" s="2798">
        <v>0.15564202334630353</v>
      </c>
      <c r="H342" s="2798">
        <v>0.14196919275323427</v>
      </c>
      <c r="I342" s="2798">
        <v>0.13114754098360656</v>
      </c>
      <c r="J342" s="2798">
        <v>0.12121212121212123</v>
      </c>
      <c r="K342" s="2798">
        <v>0.11560693641618498</v>
      </c>
      <c r="L342" s="2798">
        <v>0.11049723756906078</v>
      </c>
      <c r="M342" s="2798">
        <v>0.10554089709762533</v>
      </c>
      <c r="N342" s="2798">
        <v>0.10050251256281408</v>
      </c>
      <c r="O342" s="884"/>
    </row>
    <row r="343" spans="2:27" ht="15.5">
      <c r="B343" s="880"/>
      <c r="C343" s="915"/>
      <c r="D343" s="915"/>
      <c r="E343" s="915"/>
      <c r="F343" s="944"/>
      <c r="G343" s="944"/>
      <c r="H343" s="944"/>
      <c r="I343" s="944"/>
      <c r="J343" s="944"/>
      <c r="K343" s="944"/>
      <c r="L343" s="944"/>
      <c r="M343" s="944"/>
      <c r="N343" s="944"/>
      <c r="O343" s="884"/>
    </row>
    <row r="344" spans="2:27">
      <c r="B344" s="895"/>
      <c r="C344" s="67"/>
      <c r="D344" s="195"/>
      <c r="E344" s="67"/>
      <c r="F344" s="67"/>
      <c r="G344" s="67"/>
      <c r="H344" s="67"/>
      <c r="I344" s="67"/>
      <c r="J344" s="67"/>
      <c r="K344" s="67"/>
      <c r="L344" s="67"/>
      <c r="M344" s="67"/>
      <c r="N344" s="67"/>
      <c r="O344" s="876"/>
    </row>
    <row r="345" spans="2:27">
      <c r="B345" s="868"/>
      <c r="W345" s="365"/>
      <c r="X345" s="365"/>
      <c r="Y345" s="365"/>
      <c r="Z345" s="365"/>
      <c r="AA345" s="365"/>
    </row>
    <row r="346" spans="2:27" ht="15.5">
      <c r="B346" s="2752" t="s">
        <v>206</v>
      </c>
      <c r="W346" s="365"/>
      <c r="X346" s="365"/>
      <c r="Y346" s="365"/>
      <c r="Z346" s="365"/>
      <c r="AA346" s="365"/>
    </row>
    <row r="347" spans="2:27">
      <c r="B347" s="354">
        <v>1</v>
      </c>
      <c r="C347" s="2776" t="s">
        <v>2190</v>
      </c>
      <c r="W347" s="365"/>
      <c r="X347" s="365"/>
      <c r="Y347" s="365"/>
      <c r="Z347" s="365"/>
      <c r="AA347" s="365"/>
    </row>
    <row r="348" spans="2:27">
      <c r="B348" s="354">
        <v>2</v>
      </c>
      <c r="C348" s="2776" t="s">
        <v>2191</v>
      </c>
      <c r="W348" s="365"/>
      <c r="X348" s="365"/>
      <c r="Y348" s="365"/>
      <c r="Z348" s="365"/>
      <c r="AA348" s="365"/>
    </row>
    <row r="349" spans="2:27">
      <c r="B349" s="354">
        <v>3</v>
      </c>
      <c r="C349" s="2776" t="s">
        <v>2192</v>
      </c>
      <c r="U349" s="405"/>
      <c r="V349" s="405"/>
    </row>
    <row r="350" spans="2:27">
      <c r="B350" s="354">
        <v>4</v>
      </c>
      <c r="C350" s="2776" t="s">
        <v>2193</v>
      </c>
      <c r="U350" s="405"/>
      <c r="V350" s="405"/>
    </row>
    <row r="351" spans="2:27">
      <c r="B351" s="354">
        <v>5</v>
      </c>
      <c r="C351" s="2776" t="s">
        <v>2194</v>
      </c>
    </row>
    <row r="352" spans="2:27" ht="15.5">
      <c r="B352" s="2752"/>
    </row>
    <row r="353" spans="2:22">
      <c r="B353" s="354">
        <v>1</v>
      </c>
      <c r="C353" s="354" t="s">
        <v>2195</v>
      </c>
      <c r="F353" s="354">
        <v>2013</v>
      </c>
      <c r="G353" s="354">
        <v>2015</v>
      </c>
      <c r="H353" s="354">
        <v>2020</v>
      </c>
      <c r="I353" s="354">
        <v>2025</v>
      </c>
      <c r="J353" s="354">
        <v>2030</v>
      </c>
      <c r="K353" s="354">
        <v>2035</v>
      </c>
      <c r="L353" s="354">
        <v>2040</v>
      </c>
      <c r="M353" s="354">
        <v>2045</v>
      </c>
      <c r="N353" s="354">
        <v>2050</v>
      </c>
      <c r="U353" s="405"/>
      <c r="V353" s="405"/>
    </row>
    <row r="354" spans="2:22">
      <c r="B354" s="2839"/>
    </row>
    <row r="355" spans="2:22">
      <c r="B355" s="2839"/>
      <c r="C355" s="354" t="s">
        <v>2196</v>
      </c>
      <c r="E355" s="373" t="s">
        <v>1931</v>
      </c>
      <c r="F355" s="2840">
        <f>F$317*F$326</f>
        <v>9.5403000000000016E-2</v>
      </c>
      <c r="G355" s="2840">
        <f t="shared" ref="G355:N355" si="31">G$317*G$326</f>
        <v>9.8000000000000004E-2</v>
      </c>
      <c r="H355" s="2840">
        <f t="shared" si="31"/>
        <v>0.37266913097723992</v>
      </c>
      <c r="I355" s="2840">
        <f t="shared" si="31"/>
        <v>0.36491803278688528</v>
      </c>
      <c r="J355" s="2840">
        <f t="shared" si="31"/>
        <v>0.35848484848484846</v>
      </c>
      <c r="K355" s="2840">
        <f t="shared" si="31"/>
        <v>0.35809248554913292</v>
      </c>
      <c r="L355" s="2840">
        <f t="shared" si="31"/>
        <v>0.35773480662983426</v>
      </c>
      <c r="M355" s="2840">
        <f t="shared" si="31"/>
        <v>0.35646437994722951</v>
      </c>
      <c r="N355" s="2840">
        <f t="shared" si="31"/>
        <v>0.35527638190954769</v>
      </c>
    </row>
    <row r="356" spans="2:22">
      <c r="B356" s="2839"/>
      <c r="C356" s="405" t="s">
        <v>2197</v>
      </c>
      <c r="D356" s="2776" t="s">
        <v>2131</v>
      </c>
      <c r="F356" s="1179">
        <f t="array" ref="F356:F359">F355*$G$158:$G$161</f>
        <v>3.5299110000000009E-2</v>
      </c>
      <c r="G356" s="1179">
        <f t="array" ref="G356:G359">G355*$G$158:$G$161</f>
        <v>3.6260000000000001E-2</v>
      </c>
      <c r="H356" s="1179">
        <f t="array" ref="H356:H359">H355*$G$158:$G$161</f>
        <v>0.13788757846157876</v>
      </c>
      <c r="I356" s="1179">
        <f t="array" ref="I356:I359">I355*$G$158:$G$161</f>
        <v>0.13501967213114754</v>
      </c>
      <c r="J356" s="1179">
        <f t="array" ref="J356:J359">J355*$G$158:$G$161</f>
        <v>0.13263939393939392</v>
      </c>
      <c r="K356" s="1179">
        <f t="array" ref="K356:K359">K355*$G$158:$G$161</f>
        <v>0.13249421965317917</v>
      </c>
      <c r="L356" s="1179">
        <f t="array" ref="L356:L359">L355*$G$158:$G$161</f>
        <v>0.13236187845303868</v>
      </c>
      <c r="M356" s="1179">
        <f t="array" ref="M356:M359">M355*$G$158:$G$161</f>
        <v>0.13189182058047491</v>
      </c>
      <c r="N356" s="365">
        <f t="array" ref="N356:N359">N355*$G$158:$G$161</f>
        <v>0.13145226130653265</v>
      </c>
      <c r="R356" s="365"/>
      <c r="S356" s="365"/>
      <c r="T356" s="365"/>
    </row>
    <row r="357" spans="2:22">
      <c r="B357" s="2839"/>
      <c r="D357" s="2776" t="s">
        <v>2133</v>
      </c>
      <c r="F357" s="1179">
        <v>2.4804780000000005E-2</v>
      </c>
      <c r="G357" s="1179">
        <v>2.5480000000000003E-2</v>
      </c>
      <c r="H357" s="1179">
        <v>9.6893974054082385E-2</v>
      </c>
      <c r="I357" s="1179">
        <v>9.487868852459018E-2</v>
      </c>
      <c r="J357" s="1179">
        <v>9.3206060606060598E-2</v>
      </c>
      <c r="K357" s="1179">
        <v>9.310404624277456E-2</v>
      </c>
      <c r="L357" s="1179">
        <v>9.3011049723756914E-2</v>
      </c>
      <c r="M357" s="1179">
        <v>9.2680738786279679E-2</v>
      </c>
      <c r="N357" s="365">
        <v>9.2371859296482409E-2</v>
      </c>
      <c r="R357" s="365"/>
      <c r="S357" s="365"/>
      <c r="T357" s="365"/>
    </row>
    <row r="358" spans="2:22">
      <c r="B358" s="2839"/>
      <c r="D358" s="2776" t="s">
        <v>2135</v>
      </c>
      <c r="F358" s="1179">
        <v>1.8126570000000002E-2</v>
      </c>
      <c r="G358" s="1179">
        <v>1.8620000000000001E-2</v>
      </c>
      <c r="H358" s="1179">
        <v>7.0807134885675582E-2</v>
      </c>
      <c r="I358" s="1179">
        <v>6.9334426229508209E-2</v>
      </c>
      <c r="J358" s="1179">
        <v>6.8112121212121207E-2</v>
      </c>
      <c r="K358" s="1179">
        <v>6.8037572254335252E-2</v>
      </c>
      <c r="L358" s="1179">
        <v>6.7969613259668507E-2</v>
      </c>
      <c r="M358" s="1179">
        <v>6.7728232189973606E-2</v>
      </c>
      <c r="N358" s="365">
        <v>6.750251256281406E-2</v>
      </c>
      <c r="R358" s="365"/>
      <c r="S358" s="365"/>
      <c r="T358" s="365"/>
    </row>
    <row r="359" spans="2:22">
      <c r="B359" s="2839"/>
      <c r="D359" s="2776" t="s">
        <v>2137</v>
      </c>
      <c r="F359" s="1179">
        <v>1.7172540000000003E-2</v>
      </c>
      <c r="G359" s="1179">
        <v>1.7639999999999999E-2</v>
      </c>
      <c r="H359" s="1179">
        <v>6.7080443575903176E-2</v>
      </c>
      <c r="I359" s="1179">
        <v>6.568524590163935E-2</v>
      </c>
      <c r="J359" s="1179">
        <v>6.4527272727272725E-2</v>
      </c>
      <c r="K359" s="1179">
        <v>6.4456647398843922E-2</v>
      </c>
      <c r="L359" s="1179">
        <v>6.4392265193370157E-2</v>
      </c>
      <c r="M359" s="1179">
        <v>6.4163588390501305E-2</v>
      </c>
      <c r="N359" s="365">
        <v>6.3949748743718587E-2</v>
      </c>
      <c r="R359" s="365"/>
      <c r="S359" s="365"/>
      <c r="T359" s="365"/>
      <c r="U359" s="405"/>
      <c r="V359" s="405"/>
    </row>
    <row r="360" spans="2:22">
      <c r="B360" s="2839"/>
      <c r="F360" s="365"/>
      <c r="G360" s="365"/>
      <c r="H360" s="365"/>
      <c r="I360" s="365"/>
      <c r="J360" s="365"/>
      <c r="K360" s="365"/>
      <c r="L360" s="365"/>
      <c r="M360" s="365"/>
      <c r="N360" s="365"/>
    </row>
    <row r="361" spans="2:22">
      <c r="B361" s="2839"/>
      <c r="C361" s="354" t="s">
        <v>2198</v>
      </c>
      <c r="E361" s="373" t="s">
        <v>1931</v>
      </c>
      <c r="F361" s="2840">
        <f t="shared" ref="F361:N361" si="32">F$318*F$327</f>
        <v>7.8080590000000005E-2</v>
      </c>
      <c r="G361" s="2840">
        <f t="shared" si="32"/>
        <v>8.1900000000000001E-2</v>
      </c>
      <c r="H361" s="2840">
        <f t="shared" si="32"/>
        <v>0.3273308690227601</v>
      </c>
      <c r="I361" s="2840">
        <f t="shared" si="32"/>
        <v>0.33508196721311473</v>
      </c>
      <c r="J361" s="2840">
        <f t="shared" si="32"/>
        <v>0.34151515151515155</v>
      </c>
      <c r="K361" s="2840">
        <f t="shared" si="32"/>
        <v>0.34190751445086703</v>
      </c>
      <c r="L361" s="2840">
        <f t="shared" si="32"/>
        <v>0.3422651933701657</v>
      </c>
      <c r="M361" s="2840">
        <f t="shared" si="32"/>
        <v>0.34353562005277044</v>
      </c>
      <c r="N361" s="2840">
        <f t="shared" si="32"/>
        <v>0.34472361809045221</v>
      </c>
    </row>
    <row r="362" spans="2:22">
      <c r="B362" s="2839"/>
      <c r="C362" s="405" t="s">
        <v>2197</v>
      </c>
      <c r="D362" s="2776" t="s">
        <v>2131</v>
      </c>
      <c r="F362" s="1179">
        <f t="array" ref="F362:F365">F361*$H$158:$H$161</f>
        <v>1.4054506200000001E-2</v>
      </c>
      <c r="G362" s="1179">
        <f t="array" ref="G362:G365">G361*$H$158:$H$161</f>
        <v>1.4742E-2</v>
      </c>
      <c r="H362" s="1179">
        <f t="array" ref="H362:H365">H361*$H$158:$H$161</f>
        <v>5.8919556424096818E-2</v>
      </c>
      <c r="I362" s="1179">
        <f t="array" ref="I362:I365">I361*$H$158:$H$161</f>
        <v>6.0314754098360651E-2</v>
      </c>
      <c r="J362" s="1179">
        <f t="array" ref="J362:J365">J361*$H$158:$H$161</f>
        <v>6.1472727272727276E-2</v>
      </c>
      <c r="K362" s="1179">
        <f t="array" ref="K362:K365">K361*$H$158:$H$161</f>
        <v>6.1543352601156065E-2</v>
      </c>
      <c r="L362" s="1179">
        <f t="array" ref="L362:L365">L361*$H$158:$H$161</f>
        <v>6.1607734806629823E-2</v>
      </c>
      <c r="M362" s="1179">
        <f t="array" ref="M362:M365">M361*$H$158:$H$161</f>
        <v>6.1836411609498675E-2</v>
      </c>
      <c r="N362" s="365">
        <f t="array" ref="N362:N365">N361*$H$158:$H$161</f>
        <v>6.2050251256281393E-2</v>
      </c>
      <c r="R362" s="365"/>
      <c r="S362" s="365"/>
      <c r="T362" s="365"/>
    </row>
    <row r="363" spans="2:22">
      <c r="B363" s="2839"/>
      <c r="D363" s="2776" t="s">
        <v>2133</v>
      </c>
      <c r="F363" s="1179">
        <v>1.17120885E-2</v>
      </c>
      <c r="G363" s="1179">
        <v>1.2284999999999999E-2</v>
      </c>
      <c r="H363" s="1179">
        <v>4.9099630353414012E-2</v>
      </c>
      <c r="I363" s="1179">
        <v>5.0262295081967209E-2</v>
      </c>
      <c r="J363" s="1179">
        <v>5.1227272727272732E-2</v>
      </c>
      <c r="K363" s="1179">
        <v>5.1286127167630056E-2</v>
      </c>
      <c r="L363" s="1179">
        <v>5.1339779005524853E-2</v>
      </c>
      <c r="M363" s="1179">
        <v>5.1530343007915563E-2</v>
      </c>
      <c r="N363" s="365">
        <v>5.1708542713567833E-2</v>
      </c>
      <c r="R363" s="365"/>
      <c r="S363" s="365"/>
      <c r="T363" s="365"/>
    </row>
    <row r="364" spans="2:22">
      <c r="B364" s="2839"/>
      <c r="D364" s="2776" t="s">
        <v>2135</v>
      </c>
      <c r="F364" s="1179">
        <v>3.1232236000000003E-3</v>
      </c>
      <c r="G364" s="1179">
        <v>3.2760000000000003E-3</v>
      </c>
      <c r="H364" s="1179">
        <v>1.3093234760910405E-2</v>
      </c>
      <c r="I364" s="1179">
        <v>1.3403278688524589E-2</v>
      </c>
      <c r="J364" s="1179">
        <v>1.3660606060606062E-2</v>
      </c>
      <c r="K364" s="1179">
        <v>1.3676300578034681E-2</v>
      </c>
      <c r="L364" s="1179">
        <v>1.3690607734806627E-2</v>
      </c>
      <c r="M364" s="1179">
        <v>1.3741424802110817E-2</v>
      </c>
      <c r="N364" s="365">
        <v>1.3788944723618088E-2</v>
      </c>
      <c r="R364" s="365"/>
      <c r="S364" s="365"/>
      <c r="T364" s="365"/>
      <c r="U364" s="405"/>
      <c r="V364" s="405"/>
    </row>
    <row r="365" spans="2:22">
      <c r="B365" s="2839"/>
      <c r="D365" s="2776" t="s">
        <v>2137</v>
      </c>
      <c r="F365" s="1179">
        <v>4.9190771700000004E-2</v>
      </c>
      <c r="G365" s="1179">
        <v>5.1597000000000004E-2</v>
      </c>
      <c r="H365" s="1179">
        <v>0.20621844748433887</v>
      </c>
      <c r="I365" s="1179">
        <v>0.21110163934426229</v>
      </c>
      <c r="J365" s="1179">
        <v>0.21515454545454549</v>
      </c>
      <c r="K365" s="1179">
        <v>0.21540173410404623</v>
      </c>
      <c r="L365" s="1179">
        <v>0.2156270718232044</v>
      </c>
      <c r="M365" s="1179">
        <v>0.21642744063324537</v>
      </c>
      <c r="N365" s="365">
        <v>0.21717587939698491</v>
      </c>
      <c r="R365" s="365"/>
      <c r="S365" s="365"/>
      <c r="T365" s="365"/>
    </row>
    <row r="366" spans="2:22">
      <c r="B366" s="2839"/>
      <c r="F366" s="365"/>
      <c r="G366" s="365"/>
      <c r="H366" s="365"/>
      <c r="I366" s="365"/>
      <c r="J366" s="365"/>
      <c r="K366" s="365"/>
      <c r="L366" s="365"/>
      <c r="M366" s="365"/>
      <c r="N366" s="365"/>
    </row>
    <row r="367" spans="2:22">
      <c r="B367" s="2839"/>
      <c r="C367" s="354" t="s">
        <v>2122</v>
      </c>
      <c r="E367" s="373" t="s">
        <v>1931</v>
      </c>
      <c r="F367" s="2840">
        <f t="shared" ref="F367:N367" si="33">F$319*F$328</f>
        <v>0</v>
      </c>
      <c r="G367" s="2840">
        <f t="shared" si="33"/>
        <v>6.2118375000000002E-3</v>
      </c>
      <c r="H367" s="2840">
        <f t="shared" si="33"/>
        <v>1.8065954326579699E-2</v>
      </c>
      <c r="I367" s="2840">
        <f t="shared" si="33"/>
        <v>2.0934468354061469E-2</v>
      </c>
      <c r="J367" s="2840">
        <f t="shared" si="33"/>
        <v>2.4174506067374382E-2</v>
      </c>
      <c r="K367" s="2840">
        <f t="shared" si="33"/>
        <v>3.4421124648098031E-2</v>
      </c>
      <c r="L367" s="2840">
        <f t="shared" si="33"/>
        <v>4.6326264358511789E-2</v>
      </c>
      <c r="M367" s="2840">
        <f t="shared" si="33"/>
        <v>6.0106365480222149E-2</v>
      </c>
      <c r="N367" s="2840">
        <f t="shared" si="33"/>
        <v>7.6003475727305717E-2</v>
      </c>
      <c r="U367" s="405"/>
      <c r="V367" s="405"/>
    </row>
    <row r="368" spans="2:22">
      <c r="B368" s="2839"/>
      <c r="C368" s="405" t="s">
        <v>2197</v>
      </c>
      <c r="D368" s="2776" t="s">
        <v>2131</v>
      </c>
      <c r="F368" s="365">
        <f t="array" ref="F368:F371">F367*$I$158:$I$161</f>
        <v>0</v>
      </c>
      <c r="G368" s="365">
        <f t="array" ref="G368:G371">G367*$I$158:$I$161</f>
        <v>6.2118375000000002E-3</v>
      </c>
      <c r="H368" s="365">
        <f t="array" ref="H368:H371">H367*$I$158:$I$161</f>
        <v>1.8065954326579699E-2</v>
      </c>
      <c r="I368" s="365">
        <f t="array" ref="I368:I371">I367*$I$158:$I$161</f>
        <v>2.0934468354061469E-2</v>
      </c>
      <c r="J368" s="365">
        <f t="array" ref="J368:J371">J367*$I$158:$I$161</f>
        <v>2.4174506067374382E-2</v>
      </c>
      <c r="K368" s="365">
        <f t="array" ref="K368:K371">K367*$I$158:$I$161</f>
        <v>3.4421124648098031E-2</v>
      </c>
      <c r="L368" s="365">
        <f t="array" ref="L368:L371">L367*$I$158:$I$161</f>
        <v>4.6326264358511789E-2</v>
      </c>
      <c r="M368" s="365">
        <f t="array" ref="M368:M371">M367*$I$158:$I$161</f>
        <v>6.0106365480222149E-2</v>
      </c>
      <c r="N368" s="365">
        <f t="array" ref="N368:N371">N367*$I$158:$I$161</f>
        <v>7.6003475727305717E-2</v>
      </c>
      <c r="R368" s="365"/>
      <c r="S368" s="365"/>
      <c r="T368" s="365"/>
    </row>
    <row r="369" spans="1:27">
      <c r="B369" s="2839"/>
      <c r="D369" s="2776" t="s">
        <v>2133</v>
      </c>
      <c r="F369" s="365">
        <v>0</v>
      </c>
      <c r="G369" s="365">
        <v>0</v>
      </c>
      <c r="H369" s="365">
        <v>0</v>
      </c>
      <c r="I369" s="365">
        <v>0</v>
      </c>
      <c r="J369" s="365">
        <v>0</v>
      </c>
      <c r="K369" s="365">
        <v>0</v>
      </c>
      <c r="L369" s="365">
        <v>0</v>
      </c>
      <c r="M369" s="365">
        <v>0</v>
      </c>
      <c r="N369" s="365">
        <v>0</v>
      </c>
      <c r="R369" s="365"/>
      <c r="S369" s="365"/>
      <c r="T369" s="365"/>
    </row>
    <row r="370" spans="1:27">
      <c r="B370" s="2839"/>
      <c r="D370" s="2776" t="s">
        <v>2135</v>
      </c>
      <c r="F370" s="365">
        <v>0</v>
      </c>
      <c r="G370" s="365">
        <v>0</v>
      </c>
      <c r="H370" s="365">
        <v>0</v>
      </c>
      <c r="I370" s="365">
        <v>0</v>
      </c>
      <c r="J370" s="365">
        <v>0</v>
      </c>
      <c r="K370" s="365">
        <v>0</v>
      </c>
      <c r="L370" s="365">
        <v>0</v>
      </c>
      <c r="M370" s="365">
        <v>0</v>
      </c>
      <c r="N370" s="365">
        <v>0</v>
      </c>
      <c r="R370" s="365"/>
      <c r="S370" s="365"/>
      <c r="T370" s="365"/>
    </row>
    <row r="371" spans="1:27">
      <c r="B371" s="2839"/>
      <c r="D371" s="2776" t="s">
        <v>2137</v>
      </c>
      <c r="F371" s="365">
        <v>0</v>
      </c>
      <c r="G371" s="365">
        <v>0</v>
      </c>
      <c r="H371" s="365">
        <v>0</v>
      </c>
      <c r="I371" s="365">
        <v>0</v>
      </c>
      <c r="J371" s="365">
        <v>0</v>
      </c>
      <c r="K371" s="365">
        <v>0</v>
      </c>
      <c r="L371" s="365">
        <v>0</v>
      </c>
      <c r="M371" s="365">
        <v>0</v>
      </c>
      <c r="N371" s="365">
        <v>0</v>
      </c>
      <c r="R371" s="365"/>
      <c r="S371" s="365"/>
      <c r="T371" s="365"/>
    </row>
    <row r="372" spans="1:27" s="3692" customFormat="1">
      <c r="B372" s="2839"/>
      <c r="F372" s="365"/>
      <c r="G372" s="365"/>
      <c r="H372" s="365"/>
      <c r="I372" s="365"/>
      <c r="J372" s="365"/>
      <c r="K372" s="365"/>
      <c r="L372" s="365"/>
      <c r="M372" s="365"/>
      <c r="N372" s="365"/>
      <c r="R372" s="365"/>
      <c r="S372" s="365"/>
      <c r="T372" s="365"/>
    </row>
    <row r="373" spans="1:27" s="3692" customFormat="1">
      <c r="B373" s="2839"/>
      <c r="C373" s="3704" t="s">
        <v>2864</v>
      </c>
      <c r="F373" s="3706">
        <v>0.36</v>
      </c>
      <c r="G373" s="3706">
        <v>0.36</v>
      </c>
      <c r="H373" s="3706">
        <v>0.36</v>
      </c>
      <c r="I373" s="3706">
        <v>0.36</v>
      </c>
      <c r="J373" s="3706">
        <v>0.36</v>
      </c>
      <c r="K373" s="3706">
        <v>0.36</v>
      </c>
      <c r="L373" s="3706">
        <v>0.36</v>
      </c>
      <c r="M373" s="3706">
        <v>0.36</v>
      </c>
      <c r="N373" s="3706">
        <v>0.36</v>
      </c>
      <c r="R373" s="365"/>
      <c r="S373" s="365"/>
      <c r="T373" s="365"/>
    </row>
    <row r="374" spans="1:27">
      <c r="B374" s="2839"/>
    </row>
    <row r="375" spans="1:27" ht="23.5">
      <c r="A375" s="7"/>
      <c r="B375" s="2839"/>
      <c r="C375" s="354" t="s">
        <v>2199</v>
      </c>
      <c r="E375" s="354"/>
      <c r="F375" s="3692" t="s">
        <v>5</v>
      </c>
      <c r="W375" s="365"/>
      <c r="X375" s="365"/>
      <c r="Y375" s="365"/>
      <c r="Z375" s="365"/>
      <c r="AA375" s="365"/>
    </row>
    <row r="376" spans="1:27">
      <c r="B376" s="2839"/>
      <c r="C376" s="405" t="s">
        <v>2197</v>
      </c>
      <c r="D376" s="2" t="s">
        <v>2131</v>
      </c>
      <c r="E376" s="2" t="str">
        <f>Preferences.EnergyUnits</f>
        <v>TWh</v>
      </c>
      <c r="F376" s="983">
        <f>(F356+F362+F368)*INDEX($F$166:$F$171, MATCH($D376, $C$166:$C$171, 0))*F373</f>
        <v>7.8965785920000003E-2</v>
      </c>
      <c r="G376" s="983">
        <f t="shared" ref="G376:N376" si="34">(G356+G362+G368)*INDEX($F$166:$F$171, MATCH($D376, $C$166:$C$171, 0))*G373</f>
        <v>9.1542139999999994E-2</v>
      </c>
      <c r="H376" s="983">
        <f t="shared" si="34"/>
        <v>0.34379694273960842</v>
      </c>
      <c r="I376" s="983">
        <f t="shared" si="34"/>
        <v>0.34603023133371147</v>
      </c>
      <c r="J376" s="983">
        <f t="shared" si="34"/>
        <v>0.34925860364719286</v>
      </c>
      <c r="K376" s="983">
        <f t="shared" si="34"/>
        <v>0.36553391504389326</v>
      </c>
      <c r="L376" s="983">
        <f t="shared" si="34"/>
        <v>0.38447340418908849</v>
      </c>
      <c r="M376" s="983">
        <f t="shared" si="34"/>
        <v>0.40613535627231317</v>
      </c>
      <c r="N376" s="983">
        <f t="shared" si="34"/>
        <v>0.43120958126419157</v>
      </c>
      <c r="W376" s="365"/>
      <c r="X376" s="365"/>
      <c r="Y376" s="365"/>
      <c r="Z376" s="365"/>
      <c r="AA376" s="365"/>
    </row>
    <row r="377" spans="1:27">
      <c r="B377" s="2839"/>
      <c r="D377" s="2" t="s">
        <v>2133</v>
      </c>
      <c r="E377" s="2" t="str">
        <f>Preferences.EnergyUnits</f>
        <v>TWh</v>
      </c>
      <c r="F377" s="983">
        <f>(F357+F363+F369)*INDEX($F$166:$F$171, MATCH($D377, $C$166:$C$171, 0))*F373</f>
        <v>1.8258434250000004E-2</v>
      </c>
      <c r="G377" s="983">
        <f t="shared" ref="G377:N377" si="35">(G357+G363+G369)*INDEX($F$166:$F$171, MATCH($D377, $C$166:$C$171, 0))*G373</f>
        <v>1.88825E-2</v>
      </c>
      <c r="H377" s="983">
        <f t="shared" si="35"/>
        <v>7.2996802203748185E-2</v>
      </c>
      <c r="I377" s="983">
        <f t="shared" si="35"/>
        <v>7.2570491803278694E-2</v>
      </c>
      <c r="J377" s="983">
        <f t="shared" si="35"/>
        <v>7.2216666666666665E-2</v>
      </c>
      <c r="K377" s="983">
        <f t="shared" si="35"/>
        <v>7.2195086705202291E-2</v>
      </c>
      <c r="L377" s="983">
        <f t="shared" si="35"/>
        <v>7.217541436464088E-2</v>
      </c>
      <c r="M377" s="983">
        <f t="shared" si="35"/>
        <v>7.2105540897097614E-2</v>
      </c>
      <c r="N377" s="983">
        <f t="shared" si="35"/>
        <v>7.2040201005025103E-2</v>
      </c>
      <c r="W377" s="365"/>
      <c r="X377" s="365"/>
      <c r="Y377" s="365"/>
      <c r="Z377" s="365"/>
      <c r="AA377" s="365"/>
    </row>
    <row r="378" spans="1:27">
      <c r="B378" s="2839"/>
      <c r="D378" s="2" t="s">
        <v>2135</v>
      </c>
      <c r="E378" s="2" t="str">
        <f>Preferences.EnergyUnits</f>
        <v>TWh</v>
      </c>
      <c r="F378" s="3705">
        <f t="shared" ref="F378:M378" si="36">(F358+F364+F370)*INDEX($F$166:$F$171, MATCH($D378, $C$166:$C$171, 0))*F373</f>
        <v>6.3749380800000005E-2</v>
      </c>
      <c r="G378" s="3705">
        <f t="shared" si="36"/>
        <v>6.568800000000001E-2</v>
      </c>
      <c r="H378" s="3705">
        <f t="shared" si="36"/>
        <v>0.25170110893975794</v>
      </c>
      <c r="I378" s="3705">
        <f t="shared" si="36"/>
        <v>0.24821311475409841</v>
      </c>
      <c r="J378" s="3705">
        <f t="shared" si="36"/>
        <v>0.24531818181818182</v>
      </c>
      <c r="K378" s="3705">
        <f t="shared" si="36"/>
        <v>0.2451416184971098</v>
      </c>
      <c r="L378" s="3705">
        <f t="shared" si="36"/>
        <v>0.24498066298342538</v>
      </c>
      <c r="M378" s="3705">
        <f t="shared" si="36"/>
        <v>0.24440897097625325</v>
      </c>
      <c r="N378" s="3705">
        <f>(N358+N364+N370)*INDEX($F$166:$F$171, MATCH($D378, $C$166:$C$171, 0))*N373</f>
        <v>0.24387437185929645</v>
      </c>
      <c r="W378" s="365"/>
      <c r="X378" s="365"/>
      <c r="Y378" s="365"/>
      <c r="Z378" s="365"/>
      <c r="AA378" s="365"/>
    </row>
    <row r="379" spans="1:27">
      <c r="B379" s="2839"/>
      <c r="D379" s="375"/>
      <c r="E379" s="2857"/>
    </row>
    <row r="380" spans="1:27">
      <c r="B380" s="2839"/>
      <c r="C380" s="2615" t="s">
        <v>2200</v>
      </c>
      <c r="D380" s="2020"/>
      <c r="E380" s="2020"/>
      <c r="F380" s="2020"/>
      <c r="G380" s="2020"/>
      <c r="H380" s="2020"/>
      <c r="I380" s="2020"/>
      <c r="J380" s="2020"/>
      <c r="K380" s="2020"/>
      <c r="L380" s="2020"/>
      <c r="M380" s="2020"/>
      <c r="N380" s="2020"/>
      <c r="U380" s="354"/>
      <c r="V380" s="354"/>
    </row>
    <row r="381" spans="1:27">
      <c r="B381" s="2839"/>
      <c r="C381" s="2841" t="s">
        <v>423</v>
      </c>
      <c r="D381" s="297" t="s">
        <v>373</v>
      </c>
      <c r="E381" s="297" t="str">
        <f>Preferences.EnergyUnits</f>
        <v>TWh</v>
      </c>
      <c r="F381" s="2842">
        <f t="shared" ref="F381:N381" si="37">F376+F377</f>
        <v>9.7224220170000014E-2</v>
      </c>
      <c r="G381" s="2842">
        <f t="shared" si="37"/>
        <v>0.11042463999999999</v>
      </c>
      <c r="H381" s="2842">
        <f t="shared" si="37"/>
        <v>0.41679374494335664</v>
      </c>
      <c r="I381" s="2842">
        <f t="shared" si="37"/>
        <v>0.41860072313699015</v>
      </c>
      <c r="J381" s="2842">
        <f t="shared" si="37"/>
        <v>0.42147527031385951</v>
      </c>
      <c r="K381" s="2842">
        <f t="shared" si="37"/>
        <v>0.43772900174909557</v>
      </c>
      <c r="L381" s="2842">
        <f t="shared" si="37"/>
        <v>0.45664881855372935</v>
      </c>
      <c r="M381" s="2842">
        <f t="shared" si="37"/>
        <v>0.47824089716941076</v>
      </c>
      <c r="N381" s="2842">
        <f t="shared" si="37"/>
        <v>0.50324978226921668</v>
      </c>
      <c r="U381" s="354"/>
      <c r="V381" s="354"/>
      <c r="W381" s="365"/>
      <c r="X381" s="365"/>
      <c r="Y381" s="365"/>
      <c r="Z381" s="365"/>
      <c r="AA381" s="365"/>
    </row>
    <row r="382" spans="1:27">
      <c r="B382" s="2839"/>
      <c r="C382" s="2843" t="s">
        <v>97</v>
      </c>
      <c r="D382" s="426" t="s">
        <v>87</v>
      </c>
      <c r="E382" s="426" t="str">
        <f>Preferences.EnergyUnits</f>
        <v>TWh</v>
      </c>
      <c r="F382" s="3696">
        <f t="shared" ref="F382:N382" si="38">F378</f>
        <v>6.3749380800000005E-2</v>
      </c>
      <c r="G382" s="2844">
        <f t="shared" si="38"/>
        <v>6.568800000000001E-2</v>
      </c>
      <c r="H382" s="2844">
        <f t="shared" si="38"/>
        <v>0.25170110893975794</v>
      </c>
      <c r="I382" s="2844">
        <f t="shared" si="38"/>
        <v>0.24821311475409841</v>
      </c>
      <c r="J382" s="2844">
        <f t="shared" si="38"/>
        <v>0.24531818181818182</v>
      </c>
      <c r="K382" s="2844">
        <f t="shared" si="38"/>
        <v>0.2451416184971098</v>
      </c>
      <c r="L382" s="2844">
        <f t="shared" si="38"/>
        <v>0.24498066298342538</v>
      </c>
      <c r="M382" s="2844">
        <f t="shared" si="38"/>
        <v>0.24440897097625325</v>
      </c>
      <c r="N382" s="2844">
        <f t="shared" si="38"/>
        <v>0.24387437185929645</v>
      </c>
      <c r="U382" s="354"/>
      <c r="V382" s="354"/>
      <c r="W382" s="365"/>
      <c r="X382" s="365"/>
      <c r="Y382" s="365"/>
      <c r="Z382" s="365"/>
      <c r="AA382" s="365"/>
    </row>
    <row r="383" spans="1:27">
      <c r="B383" s="2839"/>
      <c r="C383" s="354"/>
      <c r="D383" s="354"/>
      <c r="E383" s="354"/>
      <c r="F383" s="2840"/>
      <c r="G383" s="2840"/>
      <c r="H383" s="2840"/>
      <c r="I383" s="2840"/>
      <c r="J383" s="2840"/>
      <c r="K383" s="2840"/>
      <c r="L383" s="2840"/>
      <c r="M383" s="2840"/>
      <c r="N383" s="2840"/>
      <c r="U383" s="354"/>
      <c r="V383" s="354"/>
      <c r="W383" s="365"/>
      <c r="X383" s="365"/>
      <c r="Y383" s="365"/>
      <c r="Z383" s="365"/>
      <c r="AA383" s="365"/>
    </row>
    <row r="384" spans="1:27" s="3692" customFormat="1">
      <c r="B384" s="2839"/>
      <c r="C384" s="354"/>
      <c r="D384" s="354"/>
      <c r="E384" s="354"/>
      <c r="F384" s="2840"/>
      <c r="G384" s="2840"/>
      <c r="H384" s="2840"/>
      <c r="I384" s="2840"/>
      <c r="J384" s="2840"/>
      <c r="K384" s="2840"/>
      <c r="L384" s="2840"/>
      <c r="M384" s="2840"/>
      <c r="N384" s="2840"/>
      <c r="U384" s="354"/>
      <c r="V384" s="354"/>
      <c r="W384" s="365"/>
      <c r="X384" s="365"/>
      <c r="Y384" s="365"/>
      <c r="Z384" s="365"/>
      <c r="AA384" s="365"/>
    </row>
    <row r="385" spans="2:27">
      <c r="B385" s="2839"/>
      <c r="E385" s="2857"/>
      <c r="U385" s="354"/>
      <c r="V385" s="354"/>
      <c r="W385" s="365"/>
      <c r="X385" s="365"/>
      <c r="Y385" s="365"/>
      <c r="Z385" s="365"/>
      <c r="AA385" s="365"/>
    </row>
    <row r="386" spans="2:27">
      <c r="B386" s="354">
        <v>2</v>
      </c>
      <c r="C386" s="354" t="s">
        <v>2201</v>
      </c>
      <c r="E386" s="2857"/>
      <c r="F386" s="354">
        <v>2013</v>
      </c>
      <c r="G386" s="354">
        <v>2015</v>
      </c>
      <c r="H386" s="354">
        <v>2020</v>
      </c>
      <c r="I386" s="354">
        <v>2025</v>
      </c>
      <c r="J386" s="354">
        <v>2030</v>
      </c>
      <c r="K386" s="354">
        <v>2035</v>
      </c>
      <c r="L386" s="354">
        <v>2040</v>
      </c>
      <c r="M386" s="354">
        <v>2045</v>
      </c>
      <c r="N386" s="354">
        <v>2050</v>
      </c>
      <c r="U386" s="354"/>
      <c r="V386" s="354"/>
    </row>
    <row r="387" spans="2:27">
      <c r="B387" s="2839"/>
      <c r="E387" s="2857"/>
      <c r="U387" s="354"/>
      <c r="V387" s="354"/>
    </row>
    <row r="388" spans="2:27">
      <c r="B388" s="2839"/>
      <c r="C388" s="2776" t="s">
        <v>2202</v>
      </c>
      <c r="E388" s="2857" t="s">
        <v>1931</v>
      </c>
      <c r="F388" s="2840">
        <f t="shared" ref="F388:N388" si="39">F$317*F$341</f>
        <v>0.21997008477862379</v>
      </c>
      <c r="G388" s="2840">
        <f t="shared" si="39"/>
        <v>0.21789883268482493</v>
      </c>
      <c r="H388" s="2840">
        <f t="shared" si="39"/>
        <v>0.21295378912985141</v>
      </c>
      <c r="I388" s="2840">
        <f t="shared" si="39"/>
        <v>0.20852459016393446</v>
      </c>
      <c r="J388" s="2840">
        <f t="shared" si="39"/>
        <v>0.20484848484848486</v>
      </c>
      <c r="K388" s="2840">
        <f t="shared" si="39"/>
        <v>0.20462427745664741</v>
      </c>
      <c r="L388" s="2840">
        <f t="shared" si="39"/>
        <v>0.20441988950276246</v>
      </c>
      <c r="M388" s="2840">
        <f t="shared" si="39"/>
        <v>0.20369393139841688</v>
      </c>
      <c r="N388" s="2840">
        <f t="shared" si="39"/>
        <v>0.20301507537688443</v>
      </c>
      <c r="U388" s="354"/>
      <c r="V388" s="354"/>
    </row>
    <row r="389" spans="2:27">
      <c r="B389" s="2839"/>
      <c r="C389" s="405" t="s">
        <v>2197</v>
      </c>
      <c r="D389" s="2776" t="s">
        <v>2203</v>
      </c>
      <c r="E389" s="2857"/>
      <c r="F389" s="365">
        <f t="shared" ref="F389:N389" si="40">F388*$G$159*F111</f>
        <v>0</v>
      </c>
      <c r="G389" s="365">
        <f t="shared" si="40"/>
        <v>0</v>
      </c>
      <c r="H389" s="365">
        <f t="shared" si="40"/>
        <v>0</v>
      </c>
      <c r="I389" s="365">
        <f t="shared" si="40"/>
        <v>2.8741086059016398E-3</v>
      </c>
      <c r="J389" s="365">
        <f t="shared" si="40"/>
        <v>5.6468811927272728E-3</v>
      </c>
      <c r="K389" s="365">
        <f t="shared" si="40"/>
        <v>7.2007041780346838E-3</v>
      </c>
      <c r="L389" s="365">
        <f t="shared" si="40"/>
        <v>8.7519571049723775E-3</v>
      </c>
      <c r="M389" s="365">
        <f t="shared" si="40"/>
        <v>1.0273786999472295E-2</v>
      </c>
      <c r="N389" s="365">
        <f t="shared" si="40"/>
        <v>1.1787282653266333E-2</v>
      </c>
      <c r="U389" s="354"/>
      <c r="V389" s="354"/>
    </row>
    <row r="390" spans="2:27">
      <c r="B390" s="1321"/>
      <c r="E390" s="2857"/>
      <c r="U390" s="354"/>
      <c r="V390" s="354"/>
    </row>
    <row r="391" spans="2:27">
      <c r="B391" s="2845"/>
      <c r="C391" s="2776" t="s">
        <v>2204</v>
      </c>
      <c r="E391" s="2857" t="s">
        <v>1931</v>
      </c>
      <c r="F391" s="2840">
        <f t="shared" ref="F391:N391" si="41">F$318*F$342</f>
        <v>0.18002991522137632</v>
      </c>
      <c r="G391" s="2840">
        <f t="shared" si="41"/>
        <v>0.18210116731517512</v>
      </c>
      <c r="H391" s="2840">
        <f t="shared" si="41"/>
        <v>0.18704621087014864</v>
      </c>
      <c r="I391" s="2840">
        <f t="shared" si="41"/>
        <v>0.19147540983606559</v>
      </c>
      <c r="J391" s="2840">
        <f t="shared" si="41"/>
        <v>0.19515151515151519</v>
      </c>
      <c r="K391" s="2840">
        <f t="shared" si="41"/>
        <v>0.19537572254335261</v>
      </c>
      <c r="L391" s="2840">
        <f t="shared" si="41"/>
        <v>0.19558011049723759</v>
      </c>
      <c r="M391" s="2840">
        <f t="shared" si="41"/>
        <v>0.19630606860158312</v>
      </c>
      <c r="N391" s="2840">
        <f t="shared" si="41"/>
        <v>0.19698492462311559</v>
      </c>
      <c r="U391" s="354"/>
      <c r="V391" s="354"/>
    </row>
    <row r="392" spans="2:27">
      <c r="B392" s="2839"/>
      <c r="C392" s="405" t="s">
        <v>2197</v>
      </c>
      <c r="D392" s="2776" t="s">
        <v>2203</v>
      </c>
      <c r="E392" s="2857"/>
      <c r="F392" s="365">
        <f t="shared" ref="F392:N392" si="42">F391*$H$159*F111</f>
        <v>0</v>
      </c>
      <c r="G392" s="365">
        <f t="shared" si="42"/>
        <v>0</v>
      </c>
      <c r="H392" s="365">
        <f t="shared" si="42"/>
        <v>0</v>
      </c>
      <c r="I392" s="365">
        <f t="shared" si="42"/>
        <v>1.522568419672131E-3</v>
      </c>
      <c r="J392" s="365">
        <f t="shared" si="42"/>
        <v>3.1035999272727276E-3</v>
      </c>
      <c r="K392" s="365">
        <f t="shared" si="42"/>
        <v>3.9664895895953761E-3</v>
      </c>
      <c r="L392" s="365">
        <f t="shared" si="42"/>
        <v>4.8308619779005527E-3</v>
      </c>
      <c r="M392" s="365">
        <f t="shared" si="42"/>
        <v>5.7122091926121365E-3</v>
      </c>
      <c r="N392" s="365">
        <f t="shared" si="42"/>
        <v>6.598364623115578E-3</v>
      </c>
      <c r="U392" s="354"/>
      <c r="V392" s="354"/>
    </row>
    <row r="393" spans="2:27">
      <c r="B393" s="2839"/>
      <c r="E393" s="2857"/>
      <c r="U393" s="354"/>
      <c r="V393" s="354"/>
    </row>
    <row r="394" spans="2:27">
      <c r="B394" s="2839"/>
      <c r="C394" s="2615" t="s">
        <v>2008</v>
      </c>
      <c r="D394" s="2020"/>
      <c r="E394" s="2020"/>
      <c r="F394" s="2020"/>
      <c r="G394" s="2020"/>
      <c r="H394" s="2020"/>
      <c r="I394" s="2020"/>
      <c r="J394" s="2020"/>
      <c r="K394" s="2020"/>
      <c r="L394" s="2020"/>
      <c r="M394" s="2020"/>
      <c r="N394" s="2020"/>
      <c r="U394" s="354"/>
      <c r="V394" s="354"/>
    </row>
    <row r="395" spans="2:27">
      <c r="B395" s="2839"/>
      <c r="C395" s="2616" t="s">
        <v>424</v>
      </c>
      <c r="D395" s="426" t="s">
        <v>374</v>
      </c>
      <c r="E395" s="1230" t="str">
        <f>Preferences.EnergyUnits</f>
        <v>TWh</v>
      </c>
      <c r="F395" s="2617">
        <f t="shared" ref="F395:N395" si="43">(F$389+F$392)*$F$167</f>
        <v>0</v>
      </c>
      <c r="G395" s="2617">
        <f t="shared" si="43"/>
        <v>0</v>
      </c>
      <c r="H395" s="2617">
        <f t="shared" si="43"/>
        <v>0</v>
      </c>
      <c r="I395" s="2617">
        <f t="shared" si="43"/>
        <v>6.1064958688524587E-3</v>
      </c>
      <c r="J395" s="2617">
        <f t="shared" si="43"/>
        <v>1.2153446E-2</v>
      </c>
      <c r="K395" s="2617">
        <f t="shared" si="43"/>
        <v>1.5509991343930636E-2</v>
      </c>
      <c r="L395" s="2617">
        <f t="shared" si="43"/>
        <v>1.8865026503990179E-2</v>
      </c>
      <c r="M395" s="2617">
        <f t="shared" si="43"/>
        <v>2.2202772489006154E-2</v>
      </c>
      <c r="N395" s="2617">
        <f t="shared" si="43"/>
        <v>2.5535621217197099E-2</v>
      </c>
      <c r="U395" s="354"/>
      <c r="V395" s="354"/>
    </row>
    <row r="396" spans="2:27">
      <c r="B396" s="2839"/>
      <c r="U396" s="354"/>
      <c r="V396" s="354"/>
    </row>
    <row r="397" spans="2:27">
      <c r="B397" s="2839"/>
      <c r="U397" s="354"/>
      <c r="V397" s="354"/>
    </row>
    <row r="398" spans="2:27">
      <c r="B398" s="2839"/>
      <c r="U398" s="354"/>
      <c r="V398" s="354"/>
    </row>
    <row r="399" spans="2:27">
      <c r="B399" s="354">
        <v>3</v>
      </c>
      <c r="C399" s="354" t="s">
        <v>2205</v>
      </c>
      <c r="U399" s="354"/>
      <c r="V399" s="354"/>
    </row>
    <row r="400" spans="2:27">
      <c r="U400" s="354"/>
      <c r="V400" s="354"/>
    </row>
    <row r="401" spans="1:22">
      <c r="C401" s="354" t="s">
        <v>2206</v>
      </c>
      <c r="E401" s="354" t="s">
        <v>2161</v>
      </c>
      <c r="F401" s="1181">
        <f t="shared" ref="F401:N401" si="44">F$321</f>
        <v>0.11999999999999997</v>
      </c>
      <c r="G401" s="357">
        <f t="shared" si="44"/>
        <v>0.11288288377961082</v>
      </c>
      <c r="H401" s="357">
        <f t="shared" si="44"/>
        <v>0.10576576755922167</v>
      </c>
      <c r="I401" s="357">
        <f t="shared" si="44"/>
        <v>9.8648651338832521E-2</v>
      </c>
      <c r="J401" s="357">
        <f t="shared" si="44"/>
        <v>9.1531535118443363E-2</v>
      </c>
      <c r="K401" s="357">
        <f t="shared" si="44"/>
        <v>8.4414418898054205E-2</v>
      </c>
      <c r="L401" s="357">
        <f t="shared" si="44"/>
        <v>7.7297302677665047E-2</v>
      </c>
      <c r="M401" s="357">
        <f t="shared" si="44"/>
        <v>7.0180186457275903E-2</v>
      </c>
      <c r="N401" s="357">
        <f t="shared" si="44"/>
        <v>6.3063070236886745E-2</v>
      </c>
      <c r="U401" s="354"/>
      <c r="V401" s="354"/>
    </row>
    <row r="402" spans="1:22">
      <c r="B402" s="2846" t="s">
        <v>218</v>
      </c>
      <c r="C402" s="405" t="s">
        <v>2207</v>
      </c>
      <c r="D402" s="405"/>
      <c r="E402" s="405"/>
      <c r="F402" s="1228">
        <f t="shared" ref="F402:N402" si="45">F138</f>
        <v>0.6</v>
      </c>
      <c r="G402" s="1228">
        <f t="shared" si="45"/>
        <v>0.66</v>
      </c>
      <c r="H402" s="1228">
        <f t="shared" si="45"/>
        <v>0.73</v>
      </c>
      <c r="I402" s="1228">
        <f t="shared" si="45"/>
        <v>0.73333333333333339</v>
      </c>
      <c r="J402" s="1228">
        <f t="shared" si="45"/>
        <v>0.71666666666666679</v>
      </c>
      <c r="K402" s="1228">
        <f t="shared" si="45"/>
        <v>0.70000000000000018</v>
      </c>
      <c r="L402" s="1228">
        <f t="shared" si="45"/>
        <v>0.68333333333333357</v>
      </c>
      <c r="M402" s="1228">
        <f t="shared" si="45"/>
        <v>0.66666666666666696</v>
      </c>
      <c r="N402" s="1228">
        <f t="shared" si="45"/>
        <v>0.65</v>
      </c>
      <c r="O402" s="405"/>
      <c r="Q402" s="405"/>
      <c r="R402" s="405"/>
      <c r="S402" s="405"/>
      <c r="T402" s="405"/>
      <c r="U402" s="354"/>
      <c r="V402" s="354"/>
    </row>
    <row r="403" spans="1:22">
      <c r="B403" s="2846" t="s">
        <v>218</v>
      </c>
      <c r="C403" s="405" t="s">
        <v>2208</v>
      </c>
      <c r="D403" s="405"/>
      <c r="E403" s="405"/>
      <c r="F403" s="1228">
        <f t="shared" ref="F403:N403" si="46">F147</f>
        <v>0.45</v>
      </c>
      <c r="G403" s="1228">
        <f t="shared" si="46"/>
        <v>0.45</v>
      </c>
      <c r="H403" s="1228">
        <f t="shared" si="46"/>
        <v>0.45</v>
      </c>
      <c r="I403" s="1228">
        <f t="shared" si="46"/>
        <v>0.45</v>
      </c>
      <c r="J403" s="1228">
        <f t="shared" si="46"/>
        <v>0.45</v>
      </c>
      <c r="K403" s="1228">
        <f t="shared" si="46"/>
        <v>0.45</v>
      </c>
      <c r="L403" s="1228">
        <f t="shared" si="46"/>
        <v>0.45</v>
      </c>
      <c r="M403" s="1228">
        <f t="shared" si="46"/>
        <v>0.45</v>
      </c>
      <c r="N403" s="1228">
        <f t="shared" si="46"/>
        <v>0.45</v>
      </c>
      <c r="O403" s="405"/>
      <c r="Q403" s="405"/>
      <c r="R403" s="405"/>
      <c r="S403" s="405"/>
      <c r="T403" s="405"/>
      <c r="U403" s="354"/>
      <c r="V403" s="354"/>
    </row>
    <row r="404" spans="1:22">
      <c r="B404" s="361" t="s">
        <v>220</v>
      </c>
      <c r="C404" s="354" t="s">
        <v>2209</v>
      </c>
      <c r="D404" s="354"/>
      <c r="E404" s="354" t="s">
        <v>2161</v>
      </c>
      <c r="F404" s="1181">
        <f>F401*F402*F403</f>
        <v>3.2399999999999991E-2</v>
      </c>
      <c r="G404" s="357">
        <f t="shared" ref="G404:N404" si="47">G401*G402*G403</f>
        <v>3.3526216482544419E-2</v>
      </c>
      <c r="H404" s="357">
        <f t="shared" si="47"/>
        <v>3.4744054643204313E-2</v>
      </c>
      <c r="I404" s="357">
        <f t="shared" si="47"/>
        <v>3.2554054941814736E-2</v>
      </c>
      <c r="J404" s="357">
        <f t="shared" si="47"/>
        <v>2.951892007569799E-2</v>
      </c>
      <c r="K404" s="357">
        <f t="shared" si="47"/>
        <v>2.6590541952887081E-2</v>
      </c>
      <c r="L404" s="357">
        <f t="shared" si="47"/>
        <v>2.3768920573382011E-2</v>
      </c>
      <c r="M404" s="357">
        <f t="shared" si="47"/>
        <v>2.1054055937182781E-2</v>
      </c>
      <c r="N404" s="357">
        <f t="shared" si="47"/>
        <v>1.8445948044289374E-2</v>
      </c>
      <c r="U404" s="354"/>
      <c r="V404" s="354"/>
    </row>
    <row r="405" spans="1:22">
      <c r="B405" s="361"/>
      <c r="C405" s="354"/>
      <c r="D405" s="354"/>
      <c r="E405" s="354"/>
      <c r="F405" s="357" t="s">
        <v>5</v>
      </c>
      <c r="G405" s="357"/>
      <c r="H405" s="357"/>
      <c r="I405" s="357"/>
      <c r="J405" s="357"/>
      <c r="K405" s="357"/>
      <c r="L405" s="357"/>
      <c r="M405" s="357"/>
      <c r="N405" s="357"/>
    </row>
    <row r="406" spans="1:22">
      <c r="B406" s="2846" t="s">
        <v>218</v>
      </c>
      <c r="C406" s="405" t="s">
        <v>2210</v>
      </c>
      <c r="D406" s="405"/>
      <c r="E406" s="2847"/>
      <c r="F406" s="1228">
        <f t="shared" ref="F406:N406" si="48">(1-F402)</f>
        <v>0.4</v>
      </c>
      <c r="G406" s="1228">
        <f t="shared" si="48"/>
        <v>0.33999999999999997</v>
      </c>
      <c r="H406" s="1228">
        <f t="shared" si="48"/>
        <v>0.27</v>
      </c>
      <c r="I406" s="1228">
        <f t="shared" si="48"/>
        <v>0.26666666666666661</v>
      </c>
      <c r="J406" s="1228">
        <f t="shared" si="48"/>
        <v>0.28333333333333321</v>
      </c>
      <c r="K406" s="1228">
        <f t="shared" si="48"/>
        <v>0.29999999999999982</v>
      </c>
      <c r="L406" s="1228">
        <f t="shared" si="48"/>
        <v>0.31666666666666643</v>
      </c>
      <c r="M406" s="1228">
        <f t="shared" si="48"/>
        <v>0.33333333333333304</v>
      </c>
      <c r="N406" s="1228">
        <f t="shared" si="48"/>
        <v>0.35</v>
      </c>
      <c r="O406" s="405"/>
      <c r="Q406" s="405"/>
      <c r="R406" s="405"/>
      <c r="S406" s="405"/>
      <c r="T406" s="405"/>
    </row>
    <row r="407" spans="1:22">
      <c r="B407" s="361" t="s">
        <v>220</v>
      </c>
      <c r="C407" s="354" t="s">
        <v>2211</v>
      </c>
      <c r="E407" s="354" t="s">
        <v>251</v>
      </c>
      <c r="F407" s="3546">
        <f t="shared" ref="F407:N407" si="49">F401*F406*GWP.CH4</f>
        <v>1.0079999999999998</v>
      </c>
      <c r="G407" s="3546">
        <f t="shared" si="49"/>
        <v>0.80598379018642119</v>
      </c>
      <c r="H407" s="3546">
        <f t="shared" si="49"/>
        <v>0.59969190206078693</v>
      </c>
      <c r="I407" s="3546">
        <f t="shared" si="49"/>
        <v>0.55243244749746201</v>
      </c>
      <c r="J407" s="3546">
        <f t="shared" si="49"/>
        <v>0.5446126339547378</v>
      </c>
      <c r="K407" s="3546">
        <f t="shared" si="49"/>
        <v>0.53181083905774118</v>
      </c>
      <c r="L407" s="3546">
        <f t="shared" si="49"/>
        <v>0.51402706280647215</v>
      </c>
      <c r="M407" s="3546">
        <f t="shared" si="49"/>
        <v>0.49126130520093092</v>
      </c>
      <c r="N407" s="3546">
        <f t="shared" si="49"/>
        <v>0.46351356624111756</v>
      </c>
    </row>
    <row r="408" spans="1:22">
      <c r="B408" s="361"/>
      <c r="C408" s="354"/>
      <c r="E408" s="375"/>
      <c r="F408" s="983"/>
      <c r="G408" s="983"/>
      <c r="H408" s="983"/>
      <c r="I408" s="983"/>
      <c r="J408" s="983"/>
      <c r="K408" s="983"/>
      <c r="L408" s="983"/>
      <c r="M408" s="983"/>
      <c r="N408" s="983"/>
    </row>
    <row r="409" spans="1:22">
      <c r="B409" s="361"/>
      <c r="C409" s="2615" t="s">
        <v>2008</v>
      </c>
      <c r="D409" s="2020"/>
      <c r="E409" s="3697"/>
      <c r="F409" s="3697"/>
      <c r="G409" s="2020"/>
      <c r="H409" s="2020"/>
      <c r="I409" s="2020"/>
      <c r="J409" s="2020"/>
      <c r="K409" s="2020"/>
      <c r="L409" s="2020"/>
      <c r="M409" s="2020"/>
      <c r="N409" s="2020"/>
    </row>
    <row r="410" spans="1:22" s="3692" customFormat="1">
      <c r="B410" s="361"/>
      <c r="C410" s="423"/>
      <c r="D410" s="3702" t="s">
        <v>1273</v>
      </c>
      <c r="E410" s="3701"/>
      <c r="F410" s="3703">
        <v>0.34599999999999997</v>
      </c>
      <c r="G410" s="3703">
        <v>0.34599999999999997</v>
      </c>
      <c r="H410" s="3703">
        <v>0.34599999999999997</v>
      </c>
      <c r="I410" s="3703">
        <v>0.34599999999999997</v>
      </c>
      <c r="J410" s="3703">
        <v>0.34599999999999997</v>
      </c>
      <c r="K410" s="3703">
        <v>0.34599999999999997</v>
      </c>
      <c r="L410" s="3703">
        <v>0.34599999999999997</v>
      </c>
      <c r="M410" s="3703">
        <v>0.34599999999999997</v>
      </c>
      <c r="N410" s="3703">
        <v>0.34599999999999997</v>
      </c>
    </row>
    <row r="411" spans="1:22" ht="23.5">
      <c r="A411" s="7"/>
      <c r="B411" s="361"/>
      <c r="C411" s="2616" t="s">
        <v>425</v>
      </c>
      <c r="D411" s="426" t="s">
        <v>375</v>
      </c>
      <c r="E411" s="1230" t="str">
        <f>Preferences.EnergyUnits</f>
        <v>TWh</v>
      </c>
      <c r="F411" s="2026">
        <f>F404*$F$182*F410</f>
        <v>0.15107025941422586</v>
      </c>
      <c r="G411" s="2026">
        <f t="shared" ref="G411:N411" si="50">G404*$F$182*G410</f>
        <v>0.15632142658010748</v>
      </c>
      <c r="H411" s="2026">
        <f t="shared" si="50"/>
        <v>0.16199979469292949</v>
      </c>
      <c r="I411" s="2026">
        <f t="shared" si="50"/>
        <v>0.15178856558780604</v>
      </c>
      <c r="J411" s="2026">
        <f t="shared" si="50"/>
        <v>0.13763675658837954</v>
      </c>
      <c r="K411" s="2026">
        <f t="shared" si="50"/>
        <v>0.12398271823418237</v>
      </c>
      <c r="L411" s="2026">
        <f t="shared" si="50"/>
        <v>0.11082645052521456</v>
      </c>
      <c r="M411" s="2026">
        <f t="shared" si="50"/>
        <v>9.816795346147611E-2</v>
      </c>
      <c r="N411" s="2026">
        <f t="shared" si="50"/>
        <v>8.6007227042966941E-2</v>
      </c>
    </row>
    <row r="412" spans="1:22">
      <c r="A412" s="2"/>
      <c r="B412" s="361"/>
      <c r="C412" s="354"/>
      <c r="F412" s="983"/>
      <c r="G412" s="983"/>
      <c r="H412" s="983"/>
      <c r="I412" s="983"/>
      <c r="J412" s="983"/>
      <c r="K412" s="983"/>
      <c r="L412" s="983"/>
      <c r="M412" s="983"/>
      <c r="N412" s="983"/>
    </row>
    <row r="413" spans="1:22">
      <c r="A413" s="2"/>
      <c r="B413" s="405"/>
      <c r="C413" s="405"/>
      <c r="D413" s="405"/>
      <c r="E413" s="405"/>
      <c r="F413" s="2848"/>
      <c r="G413" s="981"/>
      <c r="H413" s="981"/>
      <c r="I413" s="981"/>
      <c r="J413" s="981"/>
      <c r="K413" s="981"/>
      <c r="L413" s="981"/>
      <c r="M413" s="981"/>
      <c r="N413" s="981"/>
      <c r="O413" s="405"/>
      <c r="Q413" s="405"/>
      <c r="R413" s="405"/>
      <c r="S413" s="405"/>
      <c r="T413" s="405"/>
    </row>
    <row r="414" spans="1:22" s="405" customFormat="1">
      <c r="A414" s="2"/>
      <c r="B414" s="354">
        <v>4</v>
      </c>
      <c r="C414" s="354" t="s">
        <v>2212</v>
      </c>
      <c r="D414" s="2776"/>
      <c r="E414" s="2776"/>
      <c r="F414" s="365"/>
      <c r="G414" s="2776"/>
      <c r="H414" s="2776"/>
      <c r="I414" s="2776"/>
      <c r="J414" s="2776"/>
      <c r="K414" s="2776"/>
      <c r="L414" s="2776"/>
      <c r="M414" s="2776"/>
      <c r="N414" s="2776"/>
      <c r="O414" s="2776"/>
      <c r="Q414" s="2776"/>
      <c r="R414" s="2776"/>
      <c r="S414" s="2776"/>
      <c r="T414" s="2776"/>
      <c r="U414" s="2776"/>
      <c r="V414" s="2776"/>
    </row>
    <row r="415" spans="1:22" s="405" customFormat="1">
      <c r="A415" s="2"/>
      <c r="B415" s="2776"/>
      <c r="C415" s="354"/>
      <c r="D415" s="2776"/>
      <c r="E415" s="2776"/>
      <c r="F415" s="357"/>
      <c r="G415" s="357"/>
      <c r="H415" s="357"/>
      <c r="I415" s="357"/>
      <c r="J415" s="357"/>
      <c r="K415" s="357"/>
      <c r="L415" s="357"/>
      <c r="M415" s="357"/>
      <c r="N415" s="357"/>
      <c r="O415" s="2776"/>
      <c r="Q415" s="2776"/>
      <c r="R415" s="2776"/>
      <c r="S415" s="2776"/>
      <c r="T415" s="2776"/>
      <c r="U415" s="2776"/>
      <c r="V415" s="2776"/>
    </row>
    <row r="416" spans="1:22">
      <c r="A416" s="2"/>
      <c r="C416" s="354" t="s">
        <v>2213</v>
      </c>
      <c r="E416" s="354" t="s">
        <v>1931</v>
      </c>
      <c r="F416" s="1181">
        <f t="shared" ref="F416:N416" si="51">F$320</f>
        <v>0.06</v>
      </c>
      <c r="G416" s="357">
        <f t="shared" si="51"/>
        <v>6.1425E-2</v>
      </c>
      <c r="H416" s="357">
        <f t="shared" si="51"/>
        <v>6.2850000000000003E-2</v>
      </c>
      <c r="I416" s="357">
        <f t="shared" si="51"/>
        <v>6.4274999999999999E-2</v>
      </c>
      <c r="J416" s="357">
        <f t="shared" si="51"/>
        <v>6.5699999999999995E-2</v>
      </c>
      <c r="K416" s="357">
        <f t="shared" si="51"/>
        <v>6.712499999999999E-2</v>
      </c>
      <c r="L416" s="357">
        <f t="shared" si="51"/>
        <v>6.855E-2</v>
      </c>
      <c r="M416" s="357">
        <f t="shared" si="51"/>
        <v>6.9974999999999996E-2</v>
      </c>
      <c r="N416" s="357">
        <f t="shared" si="51"/>
        <v>7.1399999999999991E-2</v>
      </c>
    </row>
    <row r="417" spans="1:22">
      <c r="A417" s="2"/>
      <c r="C417" s="354"/>
      <c r="F417" s="365"/>
      <c r="G417" s="365"/>
      <c r="H417" s="365"/>
      <c r="I417" s="365"/>
      <c r="J417" s="365"/>
      <c r="K417" s="365"/>
      <c r="L417" s="365"/>
      <c r="M417" s="365"/>
      <c r="N417" s="365"/>
    </row>
    <row r="418" spans="1:22" s="405" customFormat="1">
      <c r="A418" s="2"/>
      <c r="B418" s="405" t="s">
        <v>218</v>
      </c>
      <c r="C418" s="405" t="s">
        <v>2214</v>
      </c>
      <c r="E418" s="1369" t="s">
        <v>2215</v>
      </c>
      <c r="F418" s="2849">
        <f>$F$177</f>
        <v>0.89235714285714285</v>
      </c>
      <c r="G418" s="2849"/>
      <c r="H418" s="2849"/>
      <c r="I418" s="2849"/>
      <c r="J418" s="2849"/>
      <c r="K418" s="2849"/>
      <c r="L418" s="2849"/>
      <c r="M418" s="2849"/>
      <c r="N418" s="2849"/>
      <c r="U418" s="2776"/>
      <c r="V418" s="2776"/>
    </row>
    <row r="419" spans="1:22">
      <c r="A419" s="2"/>
      <c r="B419" s="1603" t="s">
        <v>220</v>
      </c>
      <c r="C419" s="2" t="s">
        <v>2216</v>
      </c>
      <c r="D419" s="2"/>
      <c r="E419" s="2" t="s">
        <v>251</v>
      </c>
      <c r="F419" s="4310">
        <f t="shared" ref="F419:N419" si="52">F416*$F418</f>
        <v>5.3541428571428566E-2</v>
      </c>
      <c r="G419" s="983">
        <f t="shared" si="52"/>
        <v>5.4813037500000002E-2</v>
      </c>
      <c r="H419" s="983">
        <f t="shared" si="52"/>
        <v>5.608464642857143E-2</v>
      </c>
      <c r="I419" s="983">
        <f t="shared" si="52"/>
        <v>5.7356255357142859E-2</v>
      </c>
      <c r="J419" s="983">
        <f t="shared" si="52"/>
        <v>5.862786428571428E-2</v>
      </c>
      <c r="K419" s="983">
        <f t="shared" si="52"/>
        <v>5.9899473214285702E-2</v>
      </c>
      <c r="L419" s="983">
        <f t="shared" si="52"/>
        <v>6.1171082142857144E-2</v>
      </c>
      <c r="M419" s="983">
        <f t="shared" si="52"/>
        <v>6.2442691071428566E-2</v>
      </c>
      <c r="N419" s="983">
        <f t="shared" si="52"/>
        <v>6.3714299999999988E-2</v>
      </c>
    </row>
    <row r="420" spans="1:22">
      <c r="A420" s="2"/>
      <c r="B420" s="979"/>
      <c r="C420" s="354"/>
      <c r="E420" s="354"/>
      <c r="F420" s="1181"/>
      <c r="G420" s="1181"/>
      <c r="H420" s="1181"/>
      <c r="I420" s="1181"/>
      <c r="J420" s="1181"/>
      <c r="K420" s="1181"/>
      <c r="L420" s="1181"/>
      <c r="M420" s="1181"/>
      <c r="N420" s="1181"/>
    </row>
    <row r="421" spans="1:22">
      <c r="A421" s="2"/>
      <c r="B421" s="405" t="s">
        <v>218</v>
      </c>
      <c r="C421" s="405" t="s">
        <v>2217</v>
      </c>
      <c r="D421" s="405"/>
      <c r="E421" s="2847"/>
      <c r="F421" s="1228">
        <f>F$329</f>
        <v>5.0000000000000001E-3</v>
      </c>
      <c r="G421" s="1228">
        <f t="shared" ref="G421:N421" si="53">G$329</f>
        <v>0.05</v>
      </c>
      <c r="H421" s="1228">
        <f t="shared" si="53"/>
        <v>0.19124999999999998</v>
      </c>
      <c r="I421" s="1228">
        <f t="shared" si="53"/>
        <v>0.28437499999999999</v>
      </c>
      <c r="J421" s="1228">
        <f t="shared" si="53"/>
        <v>0.3775</v>
      </c>
      <c r="K421" s="1228">
        <f t="shared" si="53"/>
        <v>0.47062500000000007</v>
      </c>
      <c r="L421" s="1228">
        <f t="shared" si="53"/>
        <v>0.56375000000000008</v>
      </c>
      <c r="M421" s="1228">
        <f t="shared" si="53"/>
        <v>0.6568750000000001</v>
      </c>
      <c r="N421" s="1228">
        <f t="shared" si="53"/>
        <v>0.75000000000000011</v>
      </c>
      <c r="O421" s="405"/>
      <c r="Q421" s="405"/>
      <c r="R421" s="405"/>
      <c r="S421" s="405"/>
      <c r="T421" s="405"/>
    </row>
    <row r="422" spans="1:22">
      <c r="A422" s="2"/>
      <c r="B422" s="979" t="s">
        <v>220</v>
      </c>
      <c r="C422" s="354" t="s">
        <v>2218</v>
      </c>
      <c r="E422" s="354" t="s">
        <v>1931</v>
      </c>
      <c r="F422" s="357">
        <f>F421*F$416</f>
        <v>2.9999999999999997E-4</v>
      </c>
      <c r="G422" s="357">
        <f t="shared" ref="G422:N422" si="54">G421*G$416</f>
        <v>3.0712500000000002E-3</v>
      </c>
      <c r="H422" s="357">
        <f t="shared" si="54"/>
        <v>1.2020062499999999E-2</v>
      </c>
      <c r="I422" s="357">
        <f t="shared" si="54"/>
        <v>1.8278203125E-2</v>
      </c>
      <c r="J422" s="357">
        <f t="shared" si="54"/>
        <v>2.4801749999999997E-2</v>
      </c>
      <c r="K422" s="357">
        <f t="shared" si="54"/>
        <v>3.1590703125000001E-2</v>
      </c>
      <c r="L422" s="357">
        <f t="shared" si="54"/>
        <v>3.8645062500000008E-2</v>
      </c>
      <c r="M422" s="357">
        <f t="shared" si="54"/>
        <v>4.5964828125000003E-2</v>
      </c>
      <c r="N422" s="357">
        <f t="shared" si="54"/>
        <v>5.355E-2</v>
      </c>
    </row>
    <row r="423" spans="1:22">
      <c r="A423" s="2"/>
      <c r="B423" s="979"/>
      <c r="C423" s="354"/>
      <c r="F423" s="983"/>
      <c r="G423" s="983"/>
      <c r="H423" s="983"/>
      <c r="I423" s="983"/>
      <c r="J423" s="983"/>
      <c r="K423" s="983"/>
      <c r="L423" s="983"/>
      <c r="M423" s="983"/>
      <c r="N423" s="983"/>
    </row>
    <row r="424" spans="1:22" s="405" customFormat="1">
      <c r="A424" s="2"/>
      <c r="B424" s="979"/>
      <c r="C424" s="354" t="s">
        <v>2219</v>
      </c>
      <c r="D424" s="2776"/>
      <c r="E424" s="354" t="s">
        <v>1931</v>
      </c>
      <c r="F424" s="357">
        <f>F416-F422</f>
        <v>5.9699999999999996E-2</v>
      </c>
      <c r="G424" s="357">
        <f>G416-G422</f>
        <v>5.8353750000000003E-2</v>
      </c>
      <c r="H424" s="357">
        <f t="shared" ref="H424:N424" si="55">H416-H422</f>
        <v>5.0829937500000005E-2</v>
      </c>
      <c r="I424" s="357">
        <f t="shared" si="55"/>
        <v>4.5996796874999996E-2</v>
      </c>
      <c r="J424" s="357">
        <f t="shared" si="55"/>
        <v>4.0898249999999997E-2</v>
      </c>
      <c r="K424" s="357">
        <f t="shared" si="55"/>
        <v>3.5534296874999989E-2</v>
      </c>
      <c r="L424" s="357">
        <f t="shared" si="55"/>
        <v>2.9904937499999992E-2</v>
      </c>
      <c r="M424" s="357">
        <f t="shared" si="55"/>
        <v>2.4010171874999993E-2</v>
      </c>
      <c r="N424" s="357">
        <f t="shared" si="55"/>
        <v>1.7849999999999991E-2</v>
      </c>
      <c r="O424" s="2776"/>
      <c r="Q424" s="2776"/>
      <c r="R424" s="2776"/>
      <c r="S424" s="2776"/>
      <c r="T424" s="2776"/>
      <c r="U424" s="2776"/>
      <c r="V424" s="2776"/>
    </row>
    <row r="425" spans="1:22">
      <c r="A425" s="2"/>
      <c r="B425" s="405" t="s">
        <v>218</v>
      </c>
      <c r="C425" s="405" t="s">
        <v>2220</v>
      </c>
      <c r="F425" s="2849">
        <f>$F$176</f>
        <v>2.42475</v>
      </c>
      <c r="G425" s="983"/>
      <c r="H425" s="983"/>
      <c r="I425" s="983"/>
      <c r="J425" s="983"/>
      <c r="K425" s="983"/>
      <c r="L425" s="983"/>
      <c r="M425" s="983"/>
      <c r="N425" s="983"/>
    </row>
    <row r="426" spans="1:22">
      <c r="A426" s="2"/>
      <c r="B426" s="1603" t="s">
        <v>220</v>
      </c>
      <c r="C426" s="2776" t="s">
        <v>2221</v>
      </c>
      <c r="E426" s="2" t="s">
        <v>251</v>
      </c>
      <c r="F426" s="4309">
        <f t="shared" ref="F426:N426" si="56">F424*$F425</f>
        <v>0.144757575</v>
      </c>
      <c r="G426" s="3575">
        <f t="shared" si="56"/>
        <v>0.14149325531250001</v>
      </c>
      <c r="H426" s="3575">
        <f t="shared" si="56"/>
        <v>0.12324989095312501</v>
      </c>
      <c r="I426" s="3575">
        <f t="shared" si="56"/>
        <v>0.11153073322265623</v>
      </c>
      <c r="J426" s="3575">
        <f t="shared" si="56"/>
        <v>9.9168031687499991E-2</v>
      </c>
      <c r="K426" s="3575">
        <f t="shared" si="56"/>
        <v>8.6161786347656227E-2</v>
      </c>
      <c r="L426" s="3575">
        <f t="shared" si="56"/>
        <v>7.2511997203124984E-2</v>
      </c>
      <c r="M426" s="3575">
        <f t="shared" si="56"/>
        <v>5.8218664253906233E-2</v>
      </c>
      <c r="N426" s="3575">
        <f t="shared" si="56"/>
        <v>4.3281787499999974E-2</v>
      </c>
    </row>
    <row r="427" spans="1:22">
      <c r="A427" s="2"/>
      <c r="B427" s="979"/>
      <c r="C427" s="354"/>
      <c r="F427" s="983"/>
      <c r="G427" s="983"/>
      <c r="H427" s="983"/>
      <c r="I427" s="983"/>
      <c r="J427" s="983"/>
      <c r="K427" s="983"/>
      <c r="L427" s="983"/>
      <c r="M427" s="983"/>
      <c r="N427" s="983"/>
    </row>
    <row r="428" spans="1:22">
      <c r="A428" s="2"/>
      <c r="C428" s="2615" t="s">
        <v>2008</v>
      </c>
      <c r="D428" s="2020"/>
      <c r="E428" s="2020"/>
      <c r="F428" s="2020"/>
      <c r="G428" s="2020"/>
      <c r="H428" s="2020"/>
      <c r="I428" s="2020"/>
      <c r="J428" s="2020"/>
      <c r="K428" s="2020"/>
      <c r="L428" s="2020"/>
      <c r="M428" s="2020"/>
      <c r="N428" s="2020"/>
    </row>
    <row r="429" spans="1:22" s="3692" customFormat="1">
      <c r="A429" s="2"/>
      <c r="C429" s="423"/>
      <c r="D429" s="3702" t="s">
        <v>1273</v>
      </c>
      <c r="E429" s="389"/>
      <c r="F429" s="3707">
        <v>0.36</v>
      </c>
      <c r="G429" s="3707">
        <v>0.36</v>
      </c>
      <c r="H429" s="3707">
        <v>0.36</v>
      </c>
      <c r="I429" s="3707">
        <v>0.36</v>
      </c>
      <c r="J429" s="3707">
        <v>0.36</v>
      </c>
      <c r="K429" s="3707">
        <v>0.36</v>
      </c>
      <c r="L429" s="3707">
        <v>0.36</v>
      </c>
      <c r="M429" s="3707">
        <v>0.36</v>
      </c>
      <c r="N429" s="3707">
        <v>0.36</v>
      </c>
    </row>
    <row r="430" spans="1:22" s="405" customFormat="1">
      <c r="A430" s="2"/>
      <c r="B430" s="979"/>
      <c r="C430" s="2616" t="s">
        <v>424</v>
      </c>
      <c r="D430" s="426" t="s">
        <v>374</v>
      </c>
      <c r="E430" s="1230" t="str">
        <f>Preferences.EnergyUnits</f>
        <v>TWh</v>
      </c>
      <c r="F430" s="2617">
        <f t="shared" ref="F430:N430" si="57">F$422*$F$170*F429</f>
        <v>4.2000000000000002E-4</v>
      </c>
      <c r="G430" s="2617">
        <f t="shared" si="57"/>
        <v>4.2997500000000006E-3</v>
      </c>
      <c r="H430" s="2617">
        <f t="shared" si="57"/>
        <v>1.6828087499999998E-2</v>
      </c>
      <c r="I430" s="2617">
        <f t="shared" si="57"/>
        <v>2.5589484375000002E-2</v>
      </c>
      <c r="J430" s="2617">
        <f t="shared" si="57"/>
        <v>3.4722450000000002E-2</v>
      </c>
      <c r="K430" s="2617">
        <f t="shared" si="57"/>
        <v>4.4226984375000007E-2</v>
      </c>
      <c r="L430" s="2617">
        <f t="shared" si="57"/>
        <v>5.4103087500000015E-2</v>
      </c>
      <c r="M430" s="2617">
        <f t="shared" si="57"/>
        <v>6.4350759375000011E-2</v>
      </c>
      <c r="N430" s="2617">
        <f t="shared" si="57"/>
        <v>7.4970000000000009E-2</v>
      </c>
      <c r="O430" s="2776"/>
      <c r="Q430" s="2776"/>
      <c r="R430" s="2776"/>
      <c r="S430" s="2776"/>
      <c r="T430" s="2776"/>
      <c r="U430" s="2776"/>
      <c r="V430" s="2776"/>
    </row>
    <row r="431" spans="1:22" s="405" customFormat="1">
      <c r="A431" s="2"/>
      <c r="B431" s="979"/>
      <c r="C431" s="1691"/>
      <c r="D431" s="297"/>
      <c r="E431" s="389"/>
      <c r="F431" s="1443"/>
      <c r="G431" s="1443"/>
      <c r="H431" s="1443"/>
      <c r="I431" s="1443"/>
      <c r="J431" s="1443"/>
      <c r="K431" s="1443"/>
      <c r="L431" s="1443"/>
      <c r="M431" s="1443"/>
      <c r="N431" s="1443"/>
      <c r="O431" s="3608"/>
      <c r="Q431" s="3608"/>
      <c r="R431" s="3608"/>
      <c r="S431" s="3608"/>
      <c r="T431" s="3608"/>
      <c r="U431" s="3608"/>
      <c r="V431" s="3608"/>
    </row>
    <row r="432" spans="1:22" s="405" customFormat="1">
      <c r="A432" s="2"/>
      <c r="B432" s="979"/>
      <c r="C432" s="1691"/>
      <c r="D432" s="297"/>
      <c r="E432" s="389"/>
      <c r="F432" s="1443"/>
      <c r="G432" s="1443"/>
      <c r="H432" s="1443"/>
      <c r="I432" s="1443"/>
      <c r="J432" s="1443"/>
      <c r="K432" s="1443"/>
      <c r="L432" s="1443"/>
      <c r="M432" s="1443"/>
      <c r="N432" s="1443"/>
      <c r="O432" s="3608"/>
      <c r="Q432" s="3608"/>
      <c r="R432" s="3608"/>
      <c r="S432" s="3608"/>
      <c r="T432" s="3608"/>
      <c r="U432" s="3608"/>
      <c r="V432" s="3608"/>
    </row>
    <row r="433" spans="1:22">
      <c r="A433" s="2"/>
      <c r="B433" s="979"/>
      <c r="C433" s="1691"/>
      <c r="D433" s="297"/>
      <c r="E433" s="389"/>
      <c r="F433" s="1443"/>
      <c r="G433" s="1443"/>
      <c r="H433" s="1443"/>
      <c r="I433" s="1443"/>
      <c r="J433" s="1443"/>
      <c r="K433" s="1443"/>
      <c r="L433" s="1443"/>
      <c r="M433" s="1443"/>
      <c r="N433" s="1443"/>
    </row>
    <row r="434" spans="1:22">
      <c r="A434" s="2"/>
      <c r="B434" s="354">
        <v>5</v>
      </c>
      <c r="C434" s="354" t="s">
        <v>2222</v>
      </c>
      <c r="D434" s="297"/>
      <c r="E434" s="389"/>
      <c r="F434" s="1443"/>
      <c r="G434" s="1443"/>
      <c r="H434" s="1443"/>
      <c r="I434" s="1443"/>
      <c r="J434" s="1443"/>
      <c r="K434" s="1443"/>
      <c r="L434" s="1443"/>
      <c r="M434" s="1443"/>
      <c r="N434" s="1443"/>
    </row>
    <row r="435" spans="1:22" s="405" customFormat="1">
      <c r="A435" s="2"/>
      <c r="B435" s="354"/>
      <c r="C435" s="2" t="s">
        <v>2223</v>
      </c>
      <c r="D435" s="423"/>
      <c r="E435" s="297" t="s">
        <v>1931</v>
      </c>
      <c r="F435" s="2850">
        <f>SUM(F317:F318)</f>
        <v>2.4783369999999998</v>
      </c>
      <c r="G435" s="2850">
        <f t="shared" ref="G435:N435" si="58">SUM(G317:G318)</f>
        <v>2.57</v>
      </c>
      <c r="H435" s="2850">
        <f t="shared" si="58"/>
        <v>2.8175126747058821</v>
      </c>
      <c r="I435" s="2850">
        <f t="shared" si="58"/>
        <v>3.05</v>
      </c>
      <c r="J435" s="2850">
        <f t="shared" si="58"/>
        <v>3.3</v>
      </c>
      <c r="K435" s="2850">
        <f t="shared" si="58"/>
        <v>3.46</v>
      </c>
      <c r="L435" s="2850">
        <f t="shared" si="58"/>
        <v>3.62</v>
      </c>
      <c r="M435" s="2850">
        <f t="shared" si="58"/>
        <v>3.79</v>
      </c>
      <c r="N435" s="2850">
        <f t="shared" si="58"/>
        <v>3.98</v>
      </c>
      <c r="O435" s="354"/>
      <c r="Q435" s="354"/>
      <c r="R435" s="354"/>
      <c r="S435" s="354"/>
      <c r="T435" s="354"/>
      <c r="U435" s="2776"/>
      <c r="V435" s="2776"/>
    </row>
    <row r="436" spans="1:22">
      <c r="A436" s="2"/>
      <c r="B436" s="354"/>
      <c r="C436" s="2776" t="s">
        <v>2224</v>
      </c>
      <c r="D436" s="423"/>
      <c r="E436" s="297" t="s">
        <v>1931</v>
      </c>
      <c r="F436" s="2754">
        <f>SUMPRODUCT(F$317:F$318,F$326:F$327)</f>
        <v>0.17348359000000002</v>
      </c>
      <c r="G436" s="2850">
        <f t="shared" ref="G436:N436" si="59">SUMPRODUCT(G$317:G$318,G$326:G$327)</f>
        <v>0.1799</v>
      </c>
      <c r="H436" s="2850">
        <f t="shared" si="59"/>
        <v>0.7</v>
      </c>
      <c r="I436" s="2850">
        <f t="shared" si="59"/>
        <v>0.7</v>
      </c>
      <c r="J436" s="2850">
        <f t="shared" si="59"/>
        <v>0.7</v>
      </c>
      <c r="K436" s="2850">
        <f t="shared" si="59"/>
        <v>0.7</v>
      </c>
      <c r="L436" s="2850">
        <f t="shared" si="59"/>
        <v>0.7</v>
      </c>
      <c r="M436" s="2850">
        <f t="shared" si="59"/>
        <v>0.7</v>
      </c>
      <c r="N436" s="2850">
        <f t="shared" si="59"/>
        <v>0.7</v>
      </c>
      <c r="O436" s="354"/>
      <c r="Q436" s="354"/>
      <c r="R436" s="354"/>
      <c r="S436" s="354"/>
      <c r="T436" s="354"/>
    </row>
    <row r="437" spans="1:22">
      <c r="A437" s="2"/>
      <c r="B437" s="354"/>
      <c r="C437" s="2776" t="s">
        <v>2225</v>
      </c>
      <c r="D437" s="423"/>
      <c r="E437" s="297" t="s">
        <v>1931</v>
      </c>
      <c r="F437" s="2850">
        <f t="shared" ref="F437:N437" si="60">SUMPRODUCT(F$317:F$318,F$334:F$335)</f>
        <v>1.0161181699999999</v>
      </c>
      <c r="G437" s="2850">
        <f t="shared" si="60"/>
        <v>0.98050639999999989</v>
      </c>
      <c r="H437" s="2850">
        <f t="shared" si="60"/>
        <v>1.0547076946493998</v>
      </c>
      <c r="I437" s="2850">
        <f t="shared" si="60"/>
        <v>1.080371</v>
      </c>
      <c r="J437" s="2850">
        <f t="shared" si="60"/>
        <v>1.1025300000000002</v>
      </c>
      <c r="K437" s="2850">
        <f t="shared" si="60"/>
        <v>1.0718820500000001</v>
      </c>
      <c r="L437" s="2850">
        <f t="shared" si="60"/>
        <v>1.0334557</v>
      </c>
      <c r="M437" s="2850">
        <f t="shared" si="60"/>
        <v>0.98986272500000005</v>
      </c>
      <c r="N437" s="2850">
        <f t="shared" si="60"/>
        <v>0.94274259999999999</v>
      </c>
      <c r="O437" s="354"/>
      <c r="Q437" s="354"/>
      <c r="R437" s="354"/>
      <c r="S437" s="354"/>
      <c r="T437" s="354"/>
    </row>
    <row r="438" spans="1:22">
      <c r="A438" s="2"/>
      <c r="B438" s="354"/>
      <c r="C438" s="2" t="s">
        <v>2226</v>
      </c>
      <c r="D438" s="423"/>
      <c r="E438" s="297" t="s">
        <v>1931</v>
      </c>
      <c r="F438" s="2850">
        <f t="shared" ref="F438:N438" si="61">SUMPRODUCT(F317:F318,F341:F342)</f>
        <v>0.40000000000000013</v>
      </c>
      <c r="G438" s="2850">
        <f t="shared" si="61"/>
        <v>0.4</v>
      </c>
      <c r="H438" s="2850">
        <f t="shared" si="61"/>
        <v>0.4</v>
      </c>
      <c r="I438" s="2850">
        <f t="shared" si="61"/>
        <v>0.4</v>
      </c>
      <c r="J438" s="2850">
        <f t="shared" si="61"/>
        <v>0.4</v>
      </c>
      <c r="K438" s="2850">
        <f t="shared" si="61"/>
        <v>0.4</v>
      </c>
      <c r="L438" s="2850">
        <f t="shared" si="61"/>
        <v>0.4</v>
      </c>
      <c r="M438" s="2850">
        <f t="shared" si="61"/>
        <v>0.4</v>
      </c>
      <c r="N438" s="2850">
        <f t="shared" si="61"/>
        <v>0.4</v>
      </c>
      <c r="O438" s="354"/>
      <c r="Q438" s="354"/>
      <c r="R438" s="354"/>
      <c r="S438" s="354"/>
      <c r="T438" s="354"/>
    </row>
    <row r="439" spans="1:22">
      <c r="A439" s="2"/>
      <c r="B439" s="354"/>
      <c r="C439" s="2"/>
      <c r="D439" s="423"/>
      <c r="E439" s="297"/>
      <c r="F439" s="2850"/>
      <c r="G439" s="2850"/>
      <c r="H439" s="2850"/>
      <c r="I439" s="2850"/>
      <c r="J439" s="2850"/>
      <c r="K439" s="2850"/>
      <c r="L439" s="2850"/>
      <c r="M439" s="2850"/>
      <c r="N439" s="2850"/>
      <c r="O439" s="354"/>
      <c r="Q439" s="354"/>
      <c r="R439" s="354"/>
      <c r="S439" s="354"/>
      <c r="T439" s="354"/>
    </row>
    <row r="440" spans="1:22">
      <c r="A440" s="2"/>
      <c r="B440" s="354"/>
      <c r="C440" s="2776" t="s">
        <v>2227</v>
      </c>
      <c r="D440" s="423"/>
      <c r="E440" s="297" t="s">
        <v>1931</v>
      </c>
      <c r="F440" s="2754">
        <f>SUM(F389,F392)</f>
        <v>0</v>
      </c>
      <c r="G440" s="2754">
        <f t="shared" ref="G440:N440" si="62">SUM(G389,G392)</f>
        <v>0</v>
      </c>
      <c r="H440" s="2754">
        <f t="shared" si="62"/>
        <v>0</v>
      </c>
      <c r="I440" s="2754">
        <f t="shared" si="62"/>
        <v>4.3966770255737704E-3</v>
      </c>
      <c r="J440" s="2754">
        <f t="shared" si="62"/>
        <v>8.7504811200000004E-3</v>
      </c>
      <c r="K440" s="2754">
        <f t="shared" si="62"/>
        <v>1.1167193767630059E-2</v>
      </c>
      <c r="L440" s="2754">
        <f t="shared" si="62"/>
        <v>1.358281908287293E-2</v>
      </c>
      <c r="M440" s="2754">
        <f t="shared" si="62"/>
        <v>1.5985996192084431E-2</v>
      </c>
      <c r="N440" s="2754">
        <f t="shared" si="62"/>
        <v>1.8385647276381912E-2</v>
      </c>
      <c r="O440" s="354"/>
      <c r="Q440" s="354"/>
      <c r="R440" s="354"/>
      <c r="S440" s="354"/>
      <c r="T440" s="354"/>
    </row>
    <row r="441" spans="1:22">
      <c r="A441" s="2"/>
      <c r="B441" s="354"/>
      <c r="D441" s="423"/>
      <c r="E441" s="297"/>
      <c r="F441" s="397"/>
      <c r="G441" s="397"/>
      <c r="H441" s="397"/>
      <c r="I441" s="397"/>
      <c r="J441" s="397"/>
      <c r="K441" s="397"/>
      <c r="L441" s="397"/>
      <c r="M441" s="397"/>
      <c r="N441" s="397"/>
      <c r="O441" s="354"/>
      <c r="Q441" s="354"/>
      <c r="R441" s="354"/>
      <c r="S441" s="354"/>
      <c r="T441" s="354"/>
    </row>
    <row r="442" spans="1:22">
      <c r="A442" s="2"/>
      <c r="B442" s="354"/>
      <c r="C442" s="2776" t="s">
        <v>2228</v>
      </c>
      <c r="D442" s="423"/>
      <c r="E442" s="81" t="s">
        <v>741</v>
      </c>
      <c r="F442" s="2850">
        <v>18</v>
      </c>
      <c r="G442" s="2850">
        <f>G437/$E$198</f>
        <v>16.341773333333332</v>
      </c>
      <c r="H442" s="2850">
        <f t="shared" ref="H442:N442" si="63">H437/$E$198</f>
        <v>17.57846157749</v>
      </c>
      <c r="I442" s="2850">
        <f t="shared" si="63"/>
        <v>18.006183333333333</v>
      </c>
      <c r="J442" s="2850">
        <f t="shared" si="63"/>
        <v>18.375500000000006</v>
      </c>
      <c r="K442" s="2850">
        <f t="shared" si="63"/>
        <v>17.864700833333337</v>
      </c>
      <c r="L442" s="2850">
        <f t="shared" si="63"/>
        <v>17.224261666666667</v>
      </c>
      <c r="M442" s="2850">
        <f t="shared" si="63"/>
        <v>16.497712083333337</v>
      </c>
      <c r="N442" s="2850">
        <f t="shared" si="63"/>
        <v>15.712376666666668</v>
      </c>
      <c r="O442" s="354"/>
      <c r="Q442" s="354"/>
      <c r="R442" s="354"/>
      <c r="S442" s="354"/>
      <c r="T442" s="354"/>
    </row>
    <row r="443" spans="1:22">
      <c r="A443" s="2"/>
      <c r="B443" s="354"/>
      <c r="C443" s="2776" t="s">
        <v>2229</v>
      </c>
      <c r="D443" s="423"/>
      <c r="E443" s="81" t="s">
        <v>741</v>
      </c>
      <c r="F443" s="2850">
        <f>F$442/3</f>
        <v>6</v>
      </c>
      <c r="G443" s="2850">
        <f>MAX(G442-SUM(G444:G445),0)</f>
        <v>4.3417733333333324</v>
      </c>
      <c r="H443" s="2850">
        <f t="shared" ref="H443:N443" si="64">MAX(H442-SUM(H444:H445),0)</f>
        <v>7.2366882441566673</v>
      </c>
      <c r="I443" s="2850">
        <f t="shared" si="64"/>
        <v>6.4277217558433328</v>
      </c>
      <c r="J443" s="2850">
        <f t="shared" si="64"/>
        <v>4.7110900000000058</v>
      </c>
      <c r="K443" s="2850">
        <f t="shared" si="64"/>
        <v>6.7258890774899989</v>
      </c>
      <c r="L443" s="2850">
        <f t="shared" si="64"/>
        <v>5.7872825891766624</v>
      </c>
      <c r="M443" s="2850">
        <f t="shared" si="64"/>
        <v>3.9845404166666754</v>
      </c>
      <c r="N443" s="2850">
        <f t="shared" si="64"/>
        <v>5.9405536608233298</v>
      </c>
      <c r="O443" s="354"/>
      <c r="Q443" s="354"/>
      <c r="R443" s="354"/>
      <c r="S443" s="354"/>
      <c r="T443" s="354"/>
    </row>
    <row r="444" spans="1:22">
      <c r="A444" s="2"/>
      <c r="B444" s="354"/>
      <c r="C444" s="2776" t="s">
        <v>2230</v>
      </c>
      <c r="D444" s="423"/>
      <c r="E444" s="81" t="s">
        <v>741</v>
      </c>
      <c r="F444" s="2850">
        <f>F$442/3</f>
        <v>6</v>
      </c>
      <c r="G444" s="2850">
        <f>F443</f>
        <v>6</v>
      </c>
      <c r="H444" s="2850">
        <f>G443</f>
        <v>4.3417733333333324</v>
      </c>
      <c r="I444" s="2850">
        <f t="shared" ref="I444:N445" si="65">H443</f>
        <v>7.2366882441566673</v>
      </c>
      <c r="J444" s="2850">
        <f t="shared" si="65"/>
        <v>6.4277217558433328</v>
      </c>
      <c r="K444" s="2850">
        <f t="shared" si="65"/>
        <v>4.7110900000000058</v>
      </c>
      <c r="L444" s="2850">
        <f t="shared" si="65"/>
        <v>6.7258890774899989</v>
      </c>
      <c r="M444" s="2850">
        <f t="shared" si="65"/>
        <v>5.7872825891766624</v>
      </c>
      <c r="N444" s="2850">
        <f t="shared" si="65"/>
        <v>3.9845404166666754</v>
      </c>
      <c r="O444" s="354"/>
      <c r="Q444" s="354"/>
      <c r="R444" s="354"/>
      <c r="S444" s="354"/>
      <c r="T444" s="354"/>
    </row>
    <row r="445" spans="1:22">
      <c r="A445" s="2"/>
      <c r="B445" s="354"/>
      <c r="C445" s="2776" t="s">
        <v>2231</v>
      </c>
      <c r="D445" s="423"/>
      <c r="E445" s="81" t="s">
        <v>741</v>
      </c>
      <c r="F445" s="2850">
        <f>F$442/3</f>
        <v>6</v>
      </c>
      <c r="G445" s="2850">
        <f>F444</f>
        <v>6</v>
      </c>
      <c r="H445" s="2850">
        <f>G444</f>
        <v>6</v>
      </c>
      <c r="I445" s="2850">
        <f t="shared" si="65"/>
        <v>4.3417733333333324</v>
      </c>
      <c r="J445" s="2850">
        <f t="shared" si="65"/>
        <v>7.2366882441566673</v>
      </c>
      <c r="K445" s="2850">
        <f t="shared" si="65"/>
        <v>6.4277217558433328</v>
      </c>
      <c r="L445" s="2850">
        <f t="shared" si="65"/>
        <v>4.7110900000000058</v>
      </c>
      <c r="M445" s="2850">
        <f t="shared" si="65"/>
        <v>6.7258890774899989</v>
      </c>
      <c r="N445" s="2850">
        <f t="shared" si="65"/>
        <v>5.7872825891766624</v>
      </c>
      <c r="O445" s="354"/>
      <c r="Q445" s="354"/>
      <c r="R445" s="354"/>
      <c r="S445" s="354"/>
      <c r="T445" s="354"/>
    </row>
    <row r="446" spans="1:22" s="354" customFormat="1">
      <c r="A446" s="2"/>
      <c r="C446" s="2776"/>
      <c r="D446" s="423"/>
      <c r="E446" s="81"/>
      <c r="F446" s="2850"/>
      <c r="G446" s="2850"/>
      <c r="H446" s="2850"/>
      <c r="I446" s="2850"/>
      <c r="J446" s="2850"/>
      <c r="K446" s="2850"/>
      <c r="L446" s="2850"/>
      <c r="M446" s="2850"/>
      <c r="N446" s="2850"/>
      <c r="U446" s="2776"/>
      <c r="V446" s="2776"/>
    </row>
    <row r="447" spans="1:22" s="354" customFormat="1">
      <c r="A447" s="2"/>
      <c r="C447" s="2776" t="s">
        <v>2232</v>
      </c>
      <c r="D447" s="423"/>
      <c r="E447" s="81" t="s">
        <v>741</v>
      </c>
      <c r="F447" s="2850">
        <f t="shared" ref="F447:N447" si="66">F401/$E$203</f>
        <v>10.799999999999999</v>
      </c>
      <c r="G447" s="2850">
        <f t="shared" si="66"/>
        <v>10.159459540164976</v>
      </c>
      <c r="H447" s="2850">
        <f t="shared" si="66"/>
        <v>9.518919080329951</v>
      </c>
      <c r="I447" s="2850">
        <f t="shared" si="66"/>
        <v>8.878378620494928</v>
      </c>
      <c r="J447" s="2850">
        <f t="shared" si="66"/>
        <v>8.2378381606599032</v>
      </c>
      <c r="K447" s="2850">
        <f t="shared" si="66"/>
        <v>7.5972977008248792</v>
      </c>
      <c r="L447" s="2850">
        <f t="shared" si="66"/>
        <v>6.9567572409898553</v>
      </c>
      <c r="M447" s="2850">
        <f t="shared" si="66"/>
        <v>6.3162167811548322</v>
      </c>
      <c r="N447" s="2850">
        <f t="shared" si="66"/>
        <v>5.6756763213198074</v>
      </c>
      <c r="U447" s="2776"/>
      <c r="V447" s="2776"/>
    </row>
    <row r="448" spans="1:22" s="354" customFormat="1">
      <c r="A448" s="2"/>
      <c r="C448" s="2776" t="s">
        <v>2229</v>
      </c>
      <c r="D448" s="423"/>
      <c r="E448" s="81" t="s">
        <v>741</v>
      </c>
      <c r="F448" s="2850">
        <f>F$447/3</f>
        <v>3.5999999999999996</v>
      </c>
      <c r="G448" s="2850">
        <f>MAX(G447-SUM(G449:G450),0)</f>
        <v>2.9594595401649766</v>
      </c>
      <c r="H448" s="2850">
        <f t="shared" ref="H448:N448" si="67">MAX(H447-SUM(H449:H450),0)</f>
        <v>2.9594595401649748</v>
      </c>
      <c r="I448" s="2850">
        <f t="shared" si="67"/>
        <v>2.9594595401649766</v>
      </c>
      <c r="J448" s="2850">
        <f t="shared" si="67"/>
        <v>2.3189190803299518</v>
      </c>
      <c r="K448" s="2850">
        <f t="shared" si="67"/>
        <v>2.3189190803299509</v>
      </c>
      <c r="L448" s="2850">
        <f t="shared" si="67"/>
        <v>2.3189190803299526</v>
      </c>
      <c r="M448" s="2850">
        <f t="shared" si="67"/>
        <v>1.6783786204949287</v>
      </c>
      <c r="N448" s="2850">
        <f t="shared" si="67"/>
        <v>1.678378620494926</v>
      </c>
      <c r="U448" s="2776"/>
      <c r="V448" s="2776"/>
    </row>
    <row r="449" spans="1:22" s="354" customFormat="1">
      <c r="A449" s="2"/>
      <c r="C449" s="2776" t="s">
        <v>2230</v>
      </c>
      <c r="D449" s="423"/>
      <c r="E449" s="81" t="s">
        <v>741</v>
      </c>
      <c r="F449" s="2850">
        <f>F$447/3</f>
        <v>3.5999999999999996</v>
      </c>
      <c r="G449" s="2850">
        <f>F448</f>
        <v>3.5999999999999996</v>
      </c>
      <c r="H449" s="2850">
        <f>G448</f>
        <v>2.9594595401649766</v>
      </c>
      <c r="I449" s="2850">
        <f t="shared" ref="I449:N450" si="68">H448</f>
        <v>2.9594595401649748</v>
      </c>
      <c r="J449" s="2850">
        <f t="shared" si="68"/>
        <v>2.9594595401649766</v>
      </c>
      <c r="K449" s="2850">
        <f t="shared" si="68"/>
        <v>2.3189190803299518</v>
      </c>
      <c r="L449" s="2850">
        <f t="shared" si="68"/>
        <v>2.3189190803299509</v>
      </c>
      <c r="M449" s="2850">
        <f t="shared" si="68"/>
        <v>2.3189190803299526</v>
      </c>
      <c r="N449" s="2850">
        <f t="shared" si="68"/>
        <v>1.6783786204949287</v>
      </c>
      <c r="U449" s="2776"/>
      <c r="V449" s="2776"/>
    </row>
    <row r="450" spans="1:22" s="354" customFormat="1">
      <c r="A450" s="2"/>
      <c r="C450" s="2776" t="s">
        <v>2231</v>
      </c>
      <c r="D450" s="423"/>
      <c r="E450" s="81" t="s">
        <v>741</v>
      </c>
      <c r="F450" s="2850">
        <f>F$447/3</f>
        <v>3.5999999999999996</v>
      </c>
      <c r="G450" s="2850">
        <f>F449</f>
        <v>3.5999999999999996</v>
      </c>
      <c r="H450" s="2850">
        <f>G449</f>
        <v>3.5999999999999996</v>
      </c>
      <c r="I450" s="2850">
        <f t="shared" si="68"/>
        <v>2.9594595401649766</v>
      </c>
      <c r="J450" s="2850">
        <f t="shared" si="68"/>
        <v>2.9594595401649748</v>
      </c>
      <c r="K450" s="2850">
        <f t="shared" si="68"/>
        <v>2.9594595401649766</v>
      </c>
      <c r="L450" s="2850">
        <f t="shared" si="68"/>
        <v>2.3189190803299518</v>
      </c>
      <c r="M450" s="2850">
        <f t="shared" si="68"/>
        <v>2.3189190803299509</v>
      </c>
      <c r="N450" s="2850">
        <f t="shared" si="68"/>
        <v>2.3189190803299526</v>
      </c>
      <c r="U450" s="2776"/>
      <c r="V450" s="2776"/>
    </row>
    <row r="451" spans="1:22" s="354" customFormat="1">
      <c r="A451" s="2"/>
      <c r="C451" s="2776"/>
      <c r="D451" s="423"/>
      <c r="E451" s="81"/>
      <c r="F451" s="2850"/>
      <c r="G451" s="2850"/>
      <c r="H451" s="2850"/>
      <c r="I451" s="2850"/>
      <c r="J451" s="2850"/>
      <c r="K451" s="2850"/>
      <c r="L451" s="2850"/>
      <c r="M451" s="2850"/>
      <c r="N451" s="2850"/>
      <c r="U451" s="2776"/>
      <c r="V451" s="2776"/>
    </row>
    <row r="452" spans="1:22" s="354" customFormat="1">
      <c r="A452" s="2"/>
      <c r="C452" s="2776" t="s">
        <v>2233</v>
      </c>
      <c r="D452" s="423"/>
      <c r="E452" s="81" t="s">
        <v>741</v>
      </c>
      <c r="F452" s="2850">
        <f t="shared" ref="F452:N452" si="69">F404/$E$204</f>
        <v>8.1</v>
      </c>
      <c r="G452" s="2850">
        <f t="shared" si="69"/>
        <v>8.3815541206361068</v>
      </c>
      <c r="H452" s="2850">
        <f t="shared" si="69"/>
        <v>8.6860136608010805</v>
      </c>
      <c r="I452" s="2850">
        <f t="shared" si="69"/>
        <v>8.1385137354536852</v>
      </c>
      <c r="J452" s="2850">
        <f t="shared" si="69"/>
        <v>7.3797300189244988</v>
      </c>
      <c r="K452" s="2850">
        <f t="shared" si="69"/>
        <v>6.6476354882217716</v>
      </c>
      <c r="L452" s="2850">
        <f t="shared" si="69"/>
        <v>5.9422301433455038</v>
      </c>
      <c r="M452" s="2850">
        <f t="shared" si="69"/>
        <v>5.2635139842956962</v>
      </c>
      <c r="N452" s="2850">
        <f t="shared" si="69"/>
        <v>4.6114870110723443</v>
      </c>
      <c r="U452" s="2776"/>
      <c r="V452" s="2776"/>
    </row>
    <row r="453" spans="1:22" s="354" customFormat="1">
      <c r="A453" s="2"/>
      <c r="C453" s="2776" t="s">
        <v>2229</v>
      </c>
      <c r="D453" s="423"/>
      <c r="E453" s="81" t="s">
        <v>741</v>
      </c>
      <c r="F453" s="2850">
        <f>F$452/3</f>
        <v>2.6999999999999997</v>
      </c>
      <c r="G453" s="2850">
        <f>MAX(G452-SUM(G454:G455),0)</f>
        <v>2.9815541206361074</v>
      </c>
      <c r="H453" s="2850">
        <f t="shared" ref="H453:N453" si="70">MAX(H452-SUM(H454:H455),0)</f>
        <v>3.004459540164973</v>
      </c>
      <c r="I453" s="2850">
        <f t="shared" si="70"/>
        <v>2.1525000746526048</v>
      </c>
      <c r="J453" s="2850">
        <f t="shared" si="70"/>
        <v>2.2227704041069209</v>
      </c>
      <c r="K453" s="2850">
        <f t="shared" si="70"/>
        <v>2.2723650094622458</v>
      </c>
      <c r="L453" s="2850">
        <f t="shared" si="70"/>
        <v>1.447094729776337</v>
      </c>
      <c r="M453" s="2850">
        <f t="shared" si="70"/>
        <v>1.5440542450571133</v>
      </c>
      <c r="N453" s="2850">
        <f t="shared" si="70"/>
        <v>1.6203380362388939</v>
      </c>
      <c r="U453" s="2776"/>
      <c r="V453" s="2776"/>
    </row>
    <row r="454" spans="1:22" s="354" customFormat="1">
      <c r="A454" s="2"/>
      <c r="C454" s="2776" t="s">
        <v>2230</v>
      </c>
      <c r="D454" s="423"/>
      <c r="E454" s="81" t="s">
        <v>741</v>
      </c>
      <c r="F454" s="2850">
        <f>F$452/3</f>
        <v>2.6999999999999997</v>
      </c>
      <c r="G454" s="2850">
        <f>F453</f>
        <v>2.6999999999999997</v>
      </c>
      <c r="H454" s="2850">
        <f>G453</f>
        <v>2.9815541206361074</v>
      </c>
      <c r="I454" s="2850">
        <f t="shared" ref="I454:N455" si="71">H453</f>
        <v>3.004459540164973</v>
      </c>
      <c r="J454" s="2850">
        <f t="shared" si="71"/>
        <v>2.1525000746526048</v>
      </c>
      <c r="K454" s="2850">
        <f t="shared" si="71"/>
        <v>2.2227704041069209</v>
      </c>
      <c r="L454" s="2850">
        <f t="shared" si="71"/>
        <v>2.2723650094622458</v>
      </c>
      <c r="M454" s="2850">
        <f t="shared" si="71"/>
        <v>1.447094729776337</v>
      </c>
      <c r="N454" s="2850">
        <f t="shared" si="71"/>
        <v>1.5440542450571133</v>
      </c>
      <c r="U454" s="2776"/>
      <c r="V454" s="2776"/>
    </row>
    <row r="455" spans="1:22" s="354" customFormat="1">
      <c r="A455" s="2"/>
      <c r="C455" s="2776" t="s">
        <v>2231</v>
      </c>
      <c r="D455" s="423"/>
      <c r="E455" s="81" t="s">
        <v>741</v>
      </c>
      <c r="F455" s="2850">
        <f>F$452/3</f>
        <v>2.6999999999999997</v>
      </c>
      <c r="G455" s="2850">
        <f>F454</f>
        <v>2.6999999999999997</v>
      </c>
      <c r="H455" s="2850">
        <f>G454</f>
        <v>2.6999999999999997</v>
      </c>
      <c r="I455" s="2850">
        <f>H454</f>
        <v>2.9815541206361074</v>
      </c>
      <c r="J455" s="2850">
        <f t="shared" si="71"/>
        <v>3.004459540164973</v>
      </c>
      <c r="K455" s="2850">
        <f t="shared" si="71"/>
        <v>2.1525000746526048</v>
      </c>
      <c r="L455" s="2850">
        <f t="shared" si="71"/>
        <v>2.2227704041069209</v>
      </c>
      <c r="M455" s="2850">
        <f t="shared" si="71"/>
        <v>2.2723650094622458</v>
      </c>
      <c r="N455" s="2850">
        <f t="shared" si="71"/>
        <v>1.447094729776337</v>
      </c>
      <c r="U455" s="2776"/>
      <c r="V455" s="2776"/>
    </row>
    <row r="456" spans="1:22" s="354" customFormat="1">
      <c r="A456" s="2"/>
      <c r="C456" s="2776"/>
      <c r="D456" s="423"/>
      <c r="E456" s="81"/>
      <c r="F456" s="2850"/>
      <c r="G456" s="2850"/>
      <c r="H456" s="2850"/>
      <c r="I456" s="2850"/>
      <c r="J456" s="2850"/>
      <c r="K456" s="2850"/>
      <c r="L456" s="2850"/>
      <c r="M456" s="2850"/>
      <c r="N456" s="2850"/>
      <c r="U456" s="2776"/>
      <c r="V456" s="2776"/>
    </row>
    <row r="457" spans="1:22" s="354" customFormat="1">
      <c r="A457" s="2"/>
      <c r="C457" s="2776" t="s">
        <v>2234</v>
      </c>
      <c r="D457" s="423"/>
      <c r="E457" s="81" t="s">
        <v>741</v>
      </c>
      <c r="F457" s="2850">
        <f>F422/$E$209</f>
        <v>0.3</v>
      </c>
      <c r="G457" s="2850">
        <f t="shared" ref="G457:N457" si="72">G422/$E$209</f>
        <v>3.07125</v>
      </c>
      <c r="H457" s="2850">
        <f t="shared" si="72"/>
        <v>12.0200625</v>
      </c>
      <c r="I457" s="2850">
        <f t="shared" si="72"/>
        <v>18.278203125000001</v>
      </c>
      <c r="J457" s="2850">
        <f t="shared" si="72"/>
        <v>24.801749999999998</v>
      </c>
      <c r="K457" s="2850">
        <f t="shared" si="72"/>
        <v>31.590703125000001</v>
      </c>
      <c r="L457" s="2850">
        <f t="shared" si="72"/>
        <v>38.645062500000009</v>
      </c>
      <c r="M457" s="2850">
        <f t="shared" si="72"/>
        <v>45.964828125000004</v>
      </c>
      <c r="N457" s="2850">
        <f t="shared" si="72"/>
        <v>53.55</v>
      </c>
      <c r="U457" s="2776"/>
      <c r="V457" s="2776"/>
    </row>
    <row r="458" spans="1:22" s="354" customFormat="1">
      <c r="A458" s="2"/>
      <c r="C458" s="2776"/>
      <c r="D458" s="423"/>
      <c r="E458" s="81"/>
      <c r="F458" s="2850"/>
      <c r="G458" s="2850"/>
      <c r="H458" s="2850"/>
      <c r="I458" s="2850"/>
      <c r="J458" s="2850"/>
      <c r="K458" s="2850"/>
      <c r="L458" s="2850"/>
      <c r="M458" s="2850"/>
      <c r="N458" s="2850"/>
      <c r="U458" s="2776"/>
      <c r="V458" s="2776"/>
    </row>
    <row r="459" spans="1:22" s="354" customFormat="1">
      <c r="A459" s="2"/>
      <c r="B459" s="979"/>
      <c r="C459" s="2851" t="s">
        <v>2235</v>
      </c>
      <c r="D459" s="297"/>
      <c r="E459" s="81" t="s">
        <v>741</v>
      </c>
      <c r="F459" s="1443">
        <f>SUM(F355,F361,F367)/$F$187</f>
        <v>0.69393436000000008</v>
      </c>
      <c r="G459" s="1443">
        <f t="shared" ref="G459:N459" si="73">SUM(G355,G361,G367)/$F$187</f>
        <v>0.74444735000000006</v>
      </c>
      <c r="H459" s="1443">
        <f t="shared" si="73"/>
        <v>2.8722638173063184</v>
      </c>
      <c r="I459" s="1443">
        <f t="shared" si="73"/>
        <v>2.8837378734162455</v>
      </c>
      <c r="J459" s="1443">
        <f t="shared" si="73"/>
        <v>2.8966980242694973</v>
      </c>
      <c r="K459" s="1443">
        <f t="shared" si="73"/>
        <v>2.9376844985923918</v>
      </c>
      <c r="L459" s="1443">
        <f t="shared" si="73"/>
        <v>2.9853050574340472</v>
      </c>
      <c r="M459" s="1443">
        <f t="shared" si="73"/>
        <v>3.0404254619208886</v>
      </c>
      <c r="N459" s="1443">
        <f t="shared" si="73"/>
        <v>3.1040139029092226</v>
      </c>
      <c r="O459" s="2776"/>
      <c r="Q459" s="2776"/>
      <c r="R459" s="2776"/>
      <c r="S459" s="2776"/>
      <c r="T459" s="2776"/>
      <c r="U459" s="2776"/>
      <c r="V459" s="2776"/>
    </row>
    <row r="460" spans="1:22" s="354" customFormat="1">
      <c r="A460" s="2"/>
      <c r="B460" s="979"/>
      <c r="C460" s="1691"/>
      <c r="D460" s="297"/>
      <c r="E460" s="389"/>
      <c r="F460" s="1443"/>
      <c r="G460" s="1443"/>
      <c r="H460" s="1443"/>
      <c r="I460" s="1443"/>
      <c r="J460" s="1443"/>
      <c r="K460" s="1443"/>
      <c r="L460" s="1443"/>
      <c r="M460" s="1443"/>
      <c r="N460" s="1443"/>
      <c r="O460" s="2776"/>
      <c r="Q460" s="2776"/>
      <c r="R460" s="2776"/>
      <c r="S460" s="2776"/>
      <c r="T460" s="2776"/>
      <c r="U460" s="2776"/>
      <c r="V460" s="2776"/>
    </row>
    <row r="461" spans="1:22" s="354" customFormat="1">
      <c r="A461" s="2"/>
      <c r="B461" s="354">
        <v>6</v>
      </c>
      <c r="C461" s="354" t="s">
        <v>2718</v>
      </c>
      <c r="D461" s="297"/>
      <c r="E461" s="389"/>
      <c r="F461" s="1443"/>
      <c r="G461" s="1443"/>
      <c r="H461" s="1443"/>
      <c r="I461" s="1443"/>
      <c r="J461" s="1443"/>
      <c r="K461" s="1443"/>
      <c r="L461" s="1443"/>
      <c r="M461" s="1443"/>
      <c r="N461" s="1443"/>
      <c r="O461" s="2776"/>
      <c r="Q461" s="2776"/>
      <c r="R461" s="2776"/>
      <c r="S461" s="2776"/>
      <c r="T461" s="2776"/>
      <c r="U461" s="2776"/>
      <c r="V461" s="2776"/>
    </row>
    <row r="462" spans="1:22" s="354" customFormat="1" hidden="1">
      <c r="A462" s="2776" t="s">
        <v>5</v>
      </c>
      <c r="C462" s="354" t="s">
        <v>2236</v>
      </c>
      <c r="D462" s="297"/>
      <c r="E462" s="423" t="s">
        <v>2736</v>
      </c>
      <c r="F462" s="354">
        <v>2013</v>
      </c>
      <c r="G462" s="354">
        <v>2015</v>
      </c>
      <c r="H462" s="354">
        <v>2020</v>
      </c>
      <c r="I462" s="354">
        <v>2025</v>
      </c>
      <c r="J462" s="354">
        <v>2030</v>
      </c>
      <c r="K462" s="354">
        <v>2035</v>
      </c>
      <c r="L462" s="354">
        <v>2040</v>
      </c>
      <c r="M462" s="354">
        <v>2045</v>
      </c>
      <c r="N462" s="354">
        <v>2050</v>
      </c>
    </row>
    <row r="463" spans="1:22" s="354" customFormat="1" hidden="1">
      <c r="A463" s="2"/>
      <c r="C463" s="2776" t="s">
        <v>2237</v>
      </c>
      <c r="D463" s="297"/>
      <c r="E463" s="389"/>
      <c r="F463" s="1443"/>
      <c r="G463" s="1443"/>
      <c r="H463" s="1443"/>
      <c r="I463" s="1443"/>
      <c r="J463" s="1443"/>
      <c r="K463" s="1443"/>
      <c r="L463" s="1443"/>
      <c r="M463" s="1443"/>
      <c r="N463" s="1443"/>
    </row>
    <row r="464" spans="1:22" s="354" customFormat="1" hidden="1">
      <c r="A464" s="2776"/>
      <c r="C464" s="2776" t="s">
        <v>2140</v>
      </c>
      <c r="D464" s="297"/>
      <c r="E464" s="389"/>
      <c r="F464" s="1443"/>
      <c r="G464" s="1443"/>
      <c r="H464" s="1443"/>
      <c r="I464" s="1443"/>
      <c r="J464" s="1443"/>
      <c r="K464" s="1443"/>
      <c r="L464" s="1443"/>
      <c r="M464" s="1443"/>
      <c r="N464" s="1443"/>
    </row>
    <row r="465" spans="1:14" s="354" customFormat="1" hidden="1">
      <c r="A465" s="2776"/>
      <c r="C465" s="2776" t="s">
        <v>2158</v>
      </c>
      <c r="D465" s="297"/>
      <c r="E465" s="389"/>
      <c r="F465" s="1443"/>
      <c r="G465" s="2852"/>
      <c r="H465" s="2852"/>
      <c r="I465" s="2852"/>
      <c r="J465" s="2852"/>
      <c r="K465" s="2852"/>
      <c r="L465" s="2852"/>
      <c r="M465" s="2852"/>
      <c r="N465" s="2852"/>
    </row>
    <row r="466" spans="1:14" s="354" customFormat="1" hidden="1">
      <c r="A466" s="2776"/>
      <c r="C466" s="2776" t="s">
        <v>2238</v>
      </c>
      <c r="D466" s="297"/>
      <c r="E466" s="389"/>
      <c r="F466" s="1443"/>
      <c r="G466" s="2852"/>
      <c r="H466" s="2852"/>
      <c r="I466" s="2852"/>
      <c r="J466" s="2852"/>
      <c r="K466" s="2852"/>
      <c r="L466" s="2852"/>
      <c r="M466" s="2852"/>
      <c r="N466" s="2852"/>
    </row>
    <row r="467" spans="1:14" s="354" customFormat="1" hidden="1">
      <c r="A467" s="405"/>
      <c r="C467" s="2776" t="s">
        <v>2239</v>
      </c>
      <c r="D467" s="297"/>
      <c r="E467" s="389"/>
      <c r="F467" s="1443"/>
      <c r="G467" s="2852"/>
      <c r="H467" s="2852"/>
      <c r="I467" s="2852"/>
      <c r="J467" s="2852"/>
      <c r="K467" s="2852"/>
      <c r="L467" s="2852"/>
      <c r="M467" s="2852"/>
      <c r="N467" s="2852"/>
    </row>
    <row r="468" spans="1:14" s="354" customFormat="1" hidden="1">
      <c r="A468" s="405"/>
      <c r="C468" s="2776" t="s">
        <v>2234</v>
      </c>
      <c r="D468" s="297"/>
      <c r="E468" s="389"/>
      <c r="F468" s="1443"/>
      <c r="G468" s="2852"/>
      <c r="H468" s="2852"/>
      <c r="I468" s="2852"/>
      <c r="J468" s="2852"/>
      <c r="K468" s="2852"/>
      <c r="L468" s="2852"/>
      <c r="M468" s="2852"/>
      <c r="N468" s="2852"/>
    </row>
    <row r="469" spans="1:14" s="354" customFormat="1" hidden="1">
      <c r="A469" s="2776"/>
      <c r="C469" s="2776" t="s">
        <v>2240</v>
      </c>
      <c r="D469" s="297"/>
      <c r="E469" s="389"/>
      <c r="F469" s="1443"/>
      <c r="G469" s="1443"/>
      <c r="H469" s="1443"/>
      <c r="I469" s="1443"/>
      <c r="J469" s="1443"/>
      <c r="K469" s="1443"/>
      <c r="L469" s="1443"/>
      <c r="M469" s="1443"/>
      <c r="N469" s="1443"/>
    </row>
    <row r="470" spans="1:14" hidden="1">
      <c r="B470" s="354"/>
      <c r="C470" s="2776" t="s">
        <v>2241</v>
      </c>
      <c r="D470" s="297"/>
      <c r="E470" s="389"/>
      <c r="F470" s="1443"/>
      <c r="G470" s="1443"/>
      <c r="H470" s="1443"/>
      <c r="I470" s="1443"/>
      <c r="J470" s="1443"/>
      <c r="K470" s="1443"/>
      <c r="L470" s="1443"/>
      <c r="M470" s="1443"/>
      <c r="N470" s="1443"/>
    </row>
    <row r="471" spans="1:14" hidden="1">
      <c r="A471" s="405"/>
      <c r="B471" s="354"/>
      <c r="C471" s="2776" t="s">
        <v>58</v>
      </c>
      <c r="D471" s="297"/>
      <c r="E471" s="389"/>
      <c r="F471" s="1443"/>
      <c r="G471" s="1443"/>
      <c r="H471" s="1443"/>
      <c r="I471" s="1443"/>
      <c r="J471" s="1443"/>
      <c r="K471" s="1443"/>
      <c r="L471" s="1443"/>
      <c r="M471" s="1443"/>
      <c r="N471" s="1443"/>
    </row>
    <row r="472" spans="1:14" hidden="1">
      <c r="B472" s="354"/>
      <c r="C472" s="2776" t="s">
        <v>2242</v>
      </c>
      <c r="D472" s="297"/>
      <c r="E472" s="389"/>
      <c r="F472" s="1443"/>
      <c r="G472" s="2852"/>
      <c r="H472" s="2852"/>
      <c r="I472" s="2852"/>
      <c r="J472" s="2852"/>
      <c r="K472" s="2852"/>
      <c r="L472" s="2852"/>
      <c r="M472" s="2852"/>
      <c r="N472" s="2852"/>
    </row>
    <row r="473" spans="1:14" hidden="1">
      <c r="B473" s="354"/>
      <c r="C473" s="2776" t="s">
        <v>2243</v>
      </c>
      <c r="D473" s="297"/>
      <c r="E473" s="389"/>
      <c r="F473" s="1443"/>
      <c r="G473" s="2852"/>
      <c r="H473" s="2852"/>
      <c r="I473" s="2852"/>
      <c r="J473" s="2852"/>
      <c r="K473" s="2852"/>
      <c r="L473" s="2852"/>
      <c r="M473" s="2852"/>
      <c r="N473" s="2852"/>
    </row>
    <row r="474" spans="1:14" hidden="1">
      <c r="B474" s="354"/>
      <c r="D474" s="297"/>
      <c r="E474" s="389"/>
      <c r="F474" s="1443"/>
      <c r="G474" s="2852"/>
      <c r="H474" s="2852"/>
      <c r="I474" s="2852"/>
      <c r="J474" s="2852"/>
      <c r="K474" s="2852"/>
      <c r="L474" s="2852"/>
      <c r="M474" s="2852"/>
      <c r="N474" s="2852"/>
    </row>
    <row r="475" spans="1:14" hidden="1">
      <c r="B475" s="354"/>
      <c r="C475" s="354" t="s">
        <v>2244</v>
      </c>
      <c r="D475" s="297"/>
      <c r="E475" s="423" t="s">
        <v>2736</v>
      </c>
      <c r="F475" s="354">
        <v>2013</v>
      </c>
      <c r="G475" s="354">
        <v>2015</v>
      </c>
      <c r="H475" s="354">
        <v>2020</v>
      </c>
      <c r="I475" s="354">
        <v>2025</v>
      </c>
      <c r="J475" s="354">
        <v>2030</v>
      </c>
      <c r="K475" s="354">
        <v>2035</v>
      </c>
      <c r="L475" s="354">
        <v>2040</v>
      </c>
      <c r="M475" s="354">
        <v>2045</v>
      </c>
      <c r="N475" s="354">
        <v>2050</v>
      </c>
    </row>
    <row r="476" spans="1:14" hidden="1">
      <c r="B476" s="354"/>
      <c r="C476" s="2776" t="s">
        <v>2237</v>
      </c>
      <c r="D476" s="297"/>
      <c r="E476" s="389"/>
      <c r="F476" s="1443"/>
      <c r="G476" s="1443"/>
      <c r="H476" s="1443"/>
      <c r="I476" s="1443"/>
      <c r="J476" s="1443"/>
      <c r="K476" s="1443"/>
      <c r="L476" s="1443"/>
      <c r="M476" s="1443"/>
      <c r="N476" s="1443"/>
    </row>
    <row r="477" spans="1:14" hidden="1">
      <c r="B477" s="354"/>
      <c r="C477" s="2776" t="s">
        <v>2140</v>
      </c>
      <c r="D477" s="297"/>
      <c r="E477" s="389"/>
      <c r="F477" s="1443"/>
      <c r="G477" s="1443"/>
      <c r="H477" s="1443"/>
      <c r="I477" s="1443"/>
      <c r="J477" s="1443"/>
      <c r="K477" s="1443"/>
      <c r="L477" s="1443"/>
      <c r="M477" s="1443"/>
      <c r="N477" s="1443"/>
    </row>
    <row r="478" spans="1:14" hidden="1">
      <c r="B478" s="354"/>
      <c r="C478" s="2776" t="s">
        <v>2158</v>
      </c>
      <c r="D478" s="297"/>
      <c r="E478" s="389"/>
      <c r="F478" s="1443"/>
      <c r="G478" s="2852"/>
      <c r="H478" s="2852"/>
      <c r="I478" s="2852"/>
      <c r="J478" s="2852"/>
      <c r="K478" s="2852"/>
      <c r="L478" s="2852"/>
      <c r="M478" s="2852"/>
      <c r="N478" s="2852"/>
    </row>
    <row r="479" spans="1:14" hidden="1">
      <c r="B479" s="354"/>
      <c r="C479" s="2776" t="s">
        <v>2238</v>
      </c>
      <c r="D479" s="297"/>
      <c r="E479" s="389"/>
      <c r="F479" s="1443"/>
      <c r="G479" s="2852"/>
      <c r="H479" s="2852"/>
      <c r="I479" s="2852"/>
      <c r="J479" s="2852"/>
      <c r="K479" s="2852"/>
      <c r="L479" s="2852"/>
      <c r="M479" s="2852"/>
      <c r="N479" s="2852"/>
    </row>
    <row r="480" spans="1:14" hidden="1">
      <c r="B480" s="354"/>
      <c r="C480" s="2776" t="s">
        <v>2239</v>
      </c>
      <c r="D480" s="297"/>
      <c r="E480" s="389"/>
      <c r="F480" s="1443"/>
      <c r="G480" s="2852"/>
      <c r="H480" s="2852"/>
      <c r="I480" s="2852"/>
      <c r="J480" s="2852"/>
      <c r="K480" s="2852"/>
      <c r="L480" s="2852"/>
      <c r="M480" s="2852"/>
      <c r="N480" s="2852"/>
    </row>
    <row r="481" spans="1:14" hidden="1">
      <c r="B481" s="354"/>
      <c r="C481" s="2776" t="s">
        <v>2234</v>
      </c>
      <c r="D481" s="297"/>
      <c r="E481" s="389"/>
      <c r="F481" s="1443"/>
      <c r="G481" s="2852"/>
      <c r="H481" s="2852"/>
      <c r="I481" s="2852"/>
      <c r="J481" s="2852"/>
      <c r="K481" s="2852"/>
      <c r="L481" s="2852"/>
      <c r="M481" s="2852"/>
      <c r="N481" s="2852"/>
    </row>
    <row r="482" spans="1:14" hidden="1">
      <c r="B482" s="354"/>
      <c r="C482" s="2776" t="s">
        <v>2240</v>
      </c>
      <c r="D482" s="297"/>
      <c r="E482" s="389"/>
      <c r="F482" s="1443"/>
      <c r="G482" s="1443"/>
      <c r="H482" s="1443"/>
      <c r="I482" s="1443"/>
      <c r="J482" s="1443"/>
      <c r="K482" s="1443"/>
      <c r="L482" s="1443"/>
      <c r="M482" s="1443"/>
      <c r="N482" s="1443"/>
    </row>
    <row r="483" spans="1:14" hidden="1">
      <c r="B483" s="354"/>
      <c r="C483" s="2776" t="s">
        <v>2241</v>
      </c>
      <c r="D483" s="297"/>
      <c r="E483" s="389"/>
      <c r="F483" s="1443"/>
      <c r="G483" s="1443"/>
      <c r="H483" s="1443"/>
      <c r="I483" s="1443"/>
      <c r="J483" s="1443"/>
      <c r="K483" s="1443"/>
      <c r="L483" s="1443"/>
      <c r="M483" s="1443"/>
      <c r="N483" s="1443"/>
    </row>
    <row r="484" spans="1:14" hidden="1">
      <c r="B484" s="354"/>
      <c r="C484" s="2776" t="s">
        <v>58</v>
      </c>
      <c r="D484" s="297"/>
      <c r="E484" s="389"/>
      <c r="F484" s="1443"/>
      <c r="G484" s="1443"/>
      <c r="H484" s="1443"/>
      <c r="I484" s="1443"/>
      <c r="J484" s="1443"/>
      <c r="K484" s="1443"/>
      <c r="L484" s="1443"/>
      <c r="M484" s="1443"/>
      <c r="N484" s="1443"/>
    </row>
    <row r="485" spans="1:14" hidden="1">
      <c r="B485" s="354"/>
      <c r="C485" s="2776" t="s">
        <v>2242</v>
      </c>
      <c r="D485" s="297"/>
      <c r="E485" s="389"/>
      <c r="F485" s="1443"/>
      <c r="G485" s="2852"/>
      <c r="H485" s="2852"/>
      <c r="I485" s="2852"/>
      <c r="J485" s="2852"/>
      <c r="K485" s="2852"/>
      <c r="L485" s="2852"/>
      <c r="M485" s="2852"/>
      <c r="N485" s="2852"/>
    </row>
    <row r="486" spans="1:14" hidden="1">
      <c r="B486" s="354"/>
      <c r="C486" s="2776" t="s">
        <v>2243</v>
      </c>
      <c r="D486" s="297"/>
      <c r="E486" s="389"/>
      <c r="F486" s="1443"/>
      <c r="G486" s="2852"/>
      <c r="H486" s="2852"/>
      <c r="I486" s="2852"/>
      <c r="J486" s="2852"/>
      <c r="K486" s="2852"/>
      <c r="L486" s="2852"/>
      <c r="M486" s="2852"/>
      <c r="N486" s="2852"/>
    </row>
    <row r="487" spans="1:14" hidden="1">
      <c r="B487" s="354"/>
      <c r="D487" s="297"/>
      <c r="E487" s="389"/>
      <c r="F487" s="1443"/>
      <c r="G487" s="2852"/>
      <c r="H487" s="2852"/>
      <c r="I487" s="2852"/>
      <c r="J487" s="2852"/>
      <c r="K487" s="2852"/>
      <c r="L487" s="2852"/>
      <c r="M487" s="2852"/>
      <c r="N487" s="2852"/>
    </row>
    <row r="488" spans="1:14" hidden="1">
      <c r="B488" s="354"/>
      <c r="C488" s="354" t="s">
        <v>2245</v>
      </c>
      <c r="D488" s="297"/>
      <c r="E488" s="423" t="s">
        <v>2736</v>
      </c>
      <c r="F488" s="354">
        <v>2013</v>
      </c>
      <c r="G488" s="354">
        <v>2015</v>
      </c>
      <c r="H488" s="354">
        <v>2020</v>
      </c>
      <c r="I488" s="354">
        <v>2025</v>
      </c>
      <c r="J488" s="354">
        <v>2030</v>
      </c>
      <c r="K488" s="354">
        <v>2035</v>
      </c>
      <c r="L488" s="354">
        <v>2040</v>
      </c>
      <c r="M488" s="354">
        <v>2045</v>
      </c>
      <c r="N488" s="354">
        <v>2050</v>
      </c>
    </row>
    <row r="489" spans="1:14" hidden="1">
      <c r="B489" s="354"/>
      <c r="C489" s="2776" t="s">
        <v>2237</v>
      </c>
      <c r="D489" s="297"/>
      <c r="E489" s="389"/>
      <c r="F489" s="1443"/>
      <c r="G489" s="1443"/>
      <c r="H489" s="1443"/>
      <c r="I489" s="1443"/>
      <c r="J489" s="1443"/>
      <c r="K489" s="1443"/>
      <c r="L489" s="1443"/>
      <c r="M489" s="1443"/>
      <c r="N489" s="1443"/>
    </row>
    <row r="490" spans="1:14" hidden="1">
      <c r="A490" s="405"/>
      <c r="B490" s="354"/>
      <c r="C490" s="2776" t="s">
        <v>2140</v>
      </c>
      <c r="D490" s="297"/>
      <c r="E490" s="389"/>
      <c r="F490" s="1443"/>
      <c r="G490" s="1443"/>
      <c r="H490" s="1443"/>
      <c r="I490" s="1443"/>
      <c r="J490" s="1443"/>
      <c r="K490" s="1443"/>
      <c r="L490" s="1443"/>
      <c r="M490" s="1443"/>
      <c r="N490" s="1443"/>
    </row>
    <row r="491" spans="1:14" hidden="1">
      <c r="B491" s="354"/>
      <c r="C491" s="2776" t="s">
        <v>2158</v>
      </c>
      <c r="D491" s="297"/>
      <c r="E491" s="389"/>
      <c r="F491" s="1443"/>
      <c r="G491" s="2852"/>
      <c r="H491" s="2852"/>
      <c r="I491" s="2852"/>
      <c r="J491" s="2852"/>
      <c r="K491" s="2852"/>
      <c r="L491" s="2852"/>
      <c r="M491" s="2852"/>
      <c r="N491" s="2852"/>
    </row>
    <row r="492" spans="1:14" hidden="1">
      <c r="B492" s="354"/>
      <c r="C492" s="2776" t="s">
        <v>2238</v>
      </c>
      <c r="D492" s="297"/>
      <c r="E492" s="389"/>
      <c r="F492" s="1443"/>
      <c r="G492" s="2852"/>
      <c r="H492" s="2852"/>
      <c r="I492" s="2852"/>
      <c r="J492" s="2852"/>
      <c r="K492" s="2852"/>
      <c r="L492" s="2852"/>
      <c r="M492" s="2852"/>
      <c r="N492" s="2852"/>
    </row>
    <row r="493" spans="1:14" hidden="1">
      <c r="B493" s="354"/>
      <c r="C493" s="2776" t="s">
        <v>2239</v>
      </c>
      <c r="D493" s="297"/>
      <c r="E493" s="389"/>
      <c r="F493" s="1443"/>
      <c r="G493" s="2852"/>
      <c r="H493" s="2852"/>
      <c r="I493" s="2852"/>
      <c r="J493" s="2852"/>
      <c r="K493" s="2852"/>
      <c r="L493" s="2852"/>
      <c r="M493" s="2852"/>
      <c r="N493" s="2852"/>
    </row>
    <row r="494" spans="1:14" hidden="1">
      <c r="B494" s="354"/>
      <c r="C494" s="2776" t="s">
        <v>2234</v>
      </c>
      <c r="D494" s="297"/>
      <c r="E494" s="389"/>
      <c r="F494" s="1443"/>
      <c r="G494" s="2852"/>
      <c r="H494" s="2852"/>
      <c r="I494" s="2852"/>
      <c r="J494" s="2852"/>
      <c r="K494" s="2852"/>
      <c r="L494" s="2852"/>
      <c r="M494" s="2852"/>
      <c r="N494" s="2852"/>
    </row>
    <row r="495" spans="1:14" hidden="1">
      <c r="A495" s="405"/>
      <c r="B495" s="354"/>
      <c r="C495" s="2776" t="s">
        <v>2240</v>
      </c>
      <c r="D495" s="297"/>
      <c r="E495" s="389"/>
      <c r="F495" s="1443"/>
      <c r="G495" s="1443"/>
      <c r="H495" s="1443"/>
      <c r="I495" s="1443"/>
      <c r="J495" s="1443"/>
      <c r="K495" s="1443"/>
      <c r="L495" s="1443"/>
      <c r="M495" s="1443"/>
      <c r="N495" s="1443"/>
    </row>
    <row r="496" spans="1:14" hidden="1">
      <c r="B496" s="354"/>
      <c r="C496" s="2776" t="s">
        <v>2241</v>
      </c>
      <c r="D496" s="297"/>
      <c r="E496" s="389"/>
      <c r="F496" s="1443"/>
      <c r="G496" s="1443"/>
      <c r="H496" s="1443"/>
      <c r="I496" s="1443"/>
      <c r="J496" s="1443"/>
      <c r="K496" s="1443"/>
      <c r="L496" s="1443"/>
      <c r="M496" s="1443"/>
      <c r="N496" s="1443"/>
    </row>
    <row r="497" spans="1:14" hidden="1">
      <c r="B497" s="354"/>
      <c r="C497" s="2776" t="s">
        <v>58</v>
      </c>
      <c r="D497" s="297"/>
      <c r="E497" s="389"/>
      <c r="F497" s="1443"/>
      <c r="G497" s="1443"/>
      <c r="H497" s="1443"/>
      <c r="I497" s="1443"/>
      <c r="J497" s="1443"/>
      <c r="K497" s="1443"/>
      <c r="L497" s="1443"/>
      <c r="M497" s="1443"/>
      <c r="N497" s="1443"/>
    </row>
    <row r="498" spans="1:14" hidden="1">
      <c r="A498" s="405"/>
      <c r="B498" s="354"/>
      <c r="C498" s="2776" t="s">
        <v>2242</v>
      </c>
      <c r="D498" s="297"/>
      <c r="E498" s="389"/>
      <c r="F498" s="1443"/>
      <c r="G498" s="2852"/>
      <c r="H498" s="2852"/>
      <c r="I498" s="2852"/>
      <c r="J498" s="2852"/>
      <c r="K498" s="2852"/>
      <c r="L498" s="2852"/>
      <c r="M498" s="2852"/>
      <c r="N498" s="2852"/>
    </row>
    <row r="499" spans="1:14" hidden="1">
      <c r="B499" s="354"/>
      <c r="C499" s="2776" t="s">
        <v>2243</v>
      </c>
      <c r="D499" s="297"/>
      <c r="E499" s="389"/>
      <c r="F499" s="1443"/>
      <c r="G499" s="2852"/>
      <c r="H499" s="2852"/>
      <c r="I499" s="2852"/>
      <c r="J499" s="2852"/>
      <c r="K499" s="2852"/>
      <c r="L499" s="2852"/>
      <c r="M499" s="2852"/>
      <c r="N499" s="2852"/>
    </row>
    <row r="500" spans="1:14" hidden="1">
      <c r="B500" s="354"/>
      <c r="D500" s="297"/>
      <c r="E500" s="389"/>
      <c r="F500" s="1443"/>
      <c r="G500" s="1443"/>
      <c r="H500" s="1443"/>
      <c r="I500" s="1443"/>
      <c r="J500" s="1443"/>
      <c r="K500" s="1443"/>
      <c r="L500" s="1443"/>
      <c r="M500" s="1443"/>
      <c r="N500" s="1443"/>
    </row>
    <row r="501" spans="1:14" hidden="1">
      <c r="B501" s="354"/>
      <c r="C501" s="354" t="s">
        <v>2246</v>
      </c>
      <c r="D501" s="297"/>
      <c r="E501" s="423" t="s">
        <v>2736</v>
      </c>
      <c r="F501" s="354">
        <v>2013</v>
      </c>
      <c r="G501" s="354">
        <v>2015</v>
      </c>
      <c r="H501" s="354">
        <v>2020</v>
      </c>
      <c r="I501" s="354">
        <v>2025</v>
      </c>
      <c r="J501" s="354">
        <v>2030</v>
      </c>
      <c r="K501" s="354">
        <v>2035</v>
      </c>
      <c r="L501" s="354">
        <v>2040</v>
      </c>
      <c r="M501" s="354">
        <v>2045</v>
      </c>
      <c r="N501" s="354">
        <v>2050</v>
      </c>
    </row>
    <row r="502" spans="1:14" hidden="1">
      <c r="B502" s="354"/>
      <c r="C502" s="2776" t="s">
        <v>2237</v>
      </c>
      <c r="D502" s="297"/>
      <c r="E502" s="389"/>
      <c r="F502" s="1443"/>
      <c r="G502" s="1443"/>
      <c r="H502" s="1443"/>
      <c r="I502" s="1443"/>
      <c r="J502" s="1443"/>
      <c r="K502" s="1443"/>
      <c r="L502" s="1443"/>
      <c r="M502" s="1443"/>
      <c r="N502" s="1443"/>
    </row>
    <row r="503" spans="1:14" hidden="1">
      <c r="B503" s="354"/>
      <c r="C503" s="2776" t="s">
        <v>2140</v>
      </c>
      <c r="D503" s="297"/>
      <c r="E503" s="389"/>
      <c r="F503" s="1443"/>
      <c r="G503" s="1443"/>
      <c r="H503" s="1443"/>
      <c r="I503" s="1443"/>
      <c r="J503" s="1443"/>
      <c r="K503" s="1443"/>
      <c r="L503" s="1443"/>
      <c r="M503" s="1443"/>
      <c r="N503" s="1443"/>
    </row>
    <row r="504" spans="1:14" hidden="1">
      <c r="B504" s="354"/>
      <c r="C504" s="2776" t="s">
        <v>2158</v>
      </c>
      <c r="D504" s="297"/>
      <c r="E504" s="389"/>
      <c r="F504" s="1443"/>
      <c r="G504" s="2852"/>
      <c r="H504" s="2852"/>
      <c r="I504" s="2852"/>
      <c r="J504" s="2852"/>
      <c r="K504" s="2852"/>
      <c r="L504" s="2852"/>
      <c r="M504" s="2852"/>
      <c r="N504" s="2852"/>
    </row>
    <row r="505" spans="1:14" hidden="1">
      <c r="B505" s="354"/>
      <c r="C505" s="2776" t="s">
        <v>2238</v>
      </c>
      <c r="D505" s="297"/>
      <c r="E505" s="389"/>
      <c r="F505" s="1443"/>
      <c r="G505" s="2852"/>
      <c r="H505" s="2852"/>
      <c r="I505" s="2852"/>
      <c r="J505" s="2852"/>
      <c r="K505" s="2852"/>
      <c r="L505" s="2852"/>
      <c r="M505" s="2852"/>
      <c r="N505" s="2852"/>
    </row>
    <row r="506" spans="1:14" hidden="1">
      <c r="B506" s="354"/>
      <c r="C506" s="2776" t="s">
        <v>2239</v>
      </c>
      <c r="D506" s="297"/>
      <c r="E506" s="389"/>
      <c r="F506" s="1443"/>
      <c r="G506" s="2852"/>
      <c r="H506" s="2852"/>
      <c r="I506" s="2852"/>
      <c r="J506" s="2852"/>
      <c r="K506" s="2852"/>
      <c r="L506" s="2852"/>
      <c r="M506" s="2852"/>
      <c r="N506" s="2852"/>
    </row>
    <row r="507" spans="1:14" hidden="1">
      <c r="B507" s="354"/>
      <c r="C507" s="2776" t="s">
        <v>2234</v>
      </c>
      <c r="D507" s="297"/>
      <c r="E507" s="389"/>
      <c r="F507" s="1443"/>
      <c r="G507" s="2852"/>
      <c r="H507" s="2852"/>
      <c r="I507" s="2852"/>
      <c r="J507" s="2852"/>
      <c r="K507" s="2852"/>
      <c r="L507" s="2852"/>
      <c r="M507" s="2852"/>
      <c r="N507" s="2852"/>
    </row>
    <row r="508" spans="1:14" hidden="1">
      <c r="B508" s="354"/>
      <c r="C508" s="2776" t="s">
        <v>2240</v>
      </c>
      <c r="D508" s="297"/>
      <c r="E508" s="389"/>
      <c r="F508" s="1443"/>
      <c r="G508" s="1443"/>
      <c r="H508" s="1443"/>
      <c r="I508" s="1443"/>
      <c r="J508" s="1443"/>
      <c r="K508" s="1443"/>
      <c r="L508" s="1443"/>
      <c r="M508" s="1443"/>
      <c r="N508" s="1443"/>
    </row>
    <row r="509" spans="1:14" hidden="1">
      <c r="A509" s="354"/>
      <c r="B509" s="354"/>
      <c r="C509" s="2776" t="s">
        <v>2241</v>
      </c>
      <c r="D509" s="297"/>
      <c r="E509" s="389"/>
      <c r="F509" s="1443"/>
      <c r="G509" s="1443"/>
      <c r="H509" s="1443"/>
      <c r="I509" s="1443"/>
      <c r="J509" s="1443"/>
      <c r="K509" s="1443"/>
      <c r="L509" s="1443"/>
      <c r="M509" s="1443"/>
      <c r="N509" s="1443"/>
    </row>
    <row r="510" spans="1:14" hidden="1">
      <c r="A510" s="354"/>
      <c r="B510" s="354"/>
      <c r="C510" s="2776" t="s">
        <v>58</v>
      </c>
      <c r="D510" s="297"/>
      <c r="E510" s="389" t="s">
        <v>2247</v>
      </c>
      <c r="F510" s="1443"/>
      <c r="G510" s="1443"/>
      <c r="H510" s="1443"/>
      <c r="I510" s="1443"/>
      <c r="J510" s="1443"/>
      <c r="K510" s="1443"/>
      <c r="L510" s="1443"/>
      <c r="M510" s="1443"/>
      <c r="N510" s="1443"/>
    </row>
    <row r="511" spans="1:14" hidden="1">
      <c r="A511" s="354"/>
      <c r="B511" s="354"/>
      <c r="C511" s="2776" t="s">
        <v>2242</v>
      </c>
      <c r="D511" s="297"/>
      <c r="E511" s="389"/>
      <c r="F511" s="1443"/>
      <c r="G511" s="2852"/>
      <c r="H511" s="2852"/>
      <c r="I511" s="2852"/>
      <c r="J511" s="2852"/>
      <c r="K511" s="2852"/>
      <c r="L511" s="2852"/>
      <c r="M511" s="2852"/>
      <c r="N511" s="2852"/>
    </row>
    <row r="512" spans="1:14" hidden="1">
      <c r="A512" s="354"/>
      <c r="B512" s="354"/>
      <c r="C512" s="2776" t="s">
        <v>2243</v>
      </c>
      <c r="D512" s="297"/>
      <c r="E512" s="389"/>
      <c r="F512" s="1443"/>
      <c r="G512" s="2852"/>
      <c r="H512" s="2852"/>
      <c r="I512" s="2852"/>
      <c r="J512" s="2852"/>
      <c r="K512" s="2852"/>
      <c r="L512" s="2852"/>
      <c r="M512" s="2852"/>
      <c r="N512" s="2852"/>
    </row>
    <row r="513" spans="1:14" hidden="1">
      <c r="A513" s="354"/>
      <c r="B513" s="354"/>
      <c r="C513" s="354"/>
      <c r="D513" s="297"/>
      <c r="E513" s="389"/>
      <c r="F513" s="1443"/>
      <c r="G513" s="1443"/>
      <c r="H513" s="1443"/>
      <c r="I513" s="1443"/>
      <c r="J513" s="1443"/>
      <c r="K513" s="1443"/>
      <c r="L513" s="1443"/>
      <c r="M513" s="1443"/>
      <c r="N513" s="1443"/>
    </row>
    <row r="514" spans="1:14" hidden="1">
      <c r="A514" s="354"/>
      <c r="B514" s="354"/>
      <c r="C514" s="354" t="s">
        <v>2248</v>
      </c>
      <c r="D514" s="297"/>
      <c r="E514" s="423" t="s">
        <v>2736</v>
      </c>
      <c r="F514" s="354">
        <v>2013</v>
      </c>
      <c r="G514" s="354">
        <v>2015</v>
      </c>
      <c r="H514" s="354">
        <v>2020</v>
      </c>
      <c r="I514" s="354">
        <v>2025</v>
      </c>
      <c r="J514" s="354">
        <v>2030</v>
      </c>
      <c r="K514" s="354">
        <v>2035</v>
      </c>
      <c r="L514" s="354">
        <v>2040</v>
      </c>
      <c r="M514" s="354">
        <v>2045</v>
      </c>
      <c r="N514" s="354">
        <v>2050</v>
      </c>
    </row>
    <row r="515" spans="1:14" hidden="1">
      <c r="A515" s="354"/>
      <c r="B515" s="354"/>
      <c r="C515" s="2776" t="s">
        <v>2237</v>
      </c>
      <c r="D515" s="297"/>
      <c r="E515" s="389"/>
      <c r="F515" s="1443"/>
      <c r="G515" s="1443"/>
      <c r="H515" s="1443"/>
      <c r="I515" s="1443"/>
      <c r="J515" s="1443"/>
      <c r="K515" s="1443"/>
      <c r="L515" s="1443"/>
      <c r="M515" s="1443"/>
      <c r="N515" s="1443"/>
    </row>
    <row r="516" spans="1:14" hidden="1">
      <c r="A516" s="354"/>
      <c r="B516" s="354"/>
      <c r="C516" s="2776" t="s">
        <v>2140</v>
      </c>
      <c r="D516" s="297"/>
      <c r="E516" s="389"/>
      <c r="F516" s="1443"/>
      <c r="G516" s="1443"/>
      <c r="H516" s="1443"/>
      <c r="I516" s="1443"/>
      <c r="J516" s="1443"/>
      <c r="K516" s="1443"/>
      <c r="L516" s="1443"/>
      <c r="M516" s="1443"/>
      <c r="N516" s="1443"/>
    </row>
    <row r="517" spans="1:14" hidden="1">
      <c r="A517" s="354"/>
      <c r="B517" s="354"/>
      <c r="C517" s="2776" t="s">
        <v>2116</v>
      </c>
      <c r="D517" s="297"/>
      <c r="E517" s="389"/>
      <c r="F517" s="1443"/>
      <c r="G517" s="2852"/>
      <c r="H517" s="2852"/>
      <c r="I517" s="2852"/>
      <c r="J517" s="2852"/>
      <c r="K517" s="2852"/>
      <c r="L517" s="2852"/>
      <c r="M517" s="2852"/>
      <c r="N517" s="2852"/>
    </row>
    <row r="518" spans="1:14" hidden="1">
      <c r="A518" s="354"/>
      <c r="B518" s="354"/>
      <c r="C518" s="2776" t="s">
        <v>2238</v>
      </c>
      <c r="D518" s="297"/>
      <c r="E518" s="389"/>
      <c r="F518" s="1443"/>
      <c r="G518" s="2852"/>
      <c r="H518" s="2852"/>
      <c r="I518" s="2852"/>
      <c r="J518" s="2852"/>
      <c r="K518" s="2852"/>
      <c r="L518" s="2852"/>
      <c r="M518" s="2852"/>
      <c r="N518" s="2852"/>
    </row>
    <row r="519" spans="1:14" hidden="1">
      <c r="A519" s="354"/>
      <c r="B519" s="354"/>
      <c r="C519" s="2776" t="s">
        <v>2239</v>
      </c>
      <c r="D519" s="297"/>
      <c r="E519" s="389"/>
      <c r="F519" s="1443"/>
      <c r="G519" s="2852"/>
      <c r="H519" s="2852"/>
      <c r="I519" s="2852"/>
      <c r="J519" s="2852"/>
      <c r="K519" s="2852"/>
      <c r="L519" s="2852"/>
      <c r="M519" s="2852"/>
      <c r="N519" s="2852"/>
    </row>
    <row r="520" spans="1:14" hidden="1">
      <c r="A520" s="354"/>
      <c r="B520" s="354"/>
      <c r="C520" s="2776" t="s">
        <v>2234</v>
      </c>
      <c r="D520" s="297"/>
      <c r="E520" s="389"/>
      <c r="F520" s="1443"/>
      <c r="G520" s="2852"/>
      <c r="H520" s="2852"/>
      <c r="I520" s="2852"/>
      <c r="J520" s="2852"/>
      <c r="K520" s="2852"/>
      <c r="L520" s="2852"/>
      <c r="M520" s="2852"/>
      <c r="N520" s="2852"/>
    </row>
    <row r="521" spans="1:14" hidden="1">
      <c r="A521" s="354"/>
      <c r="B521" s="354"/>
      <c r="C521" s="2776" t="s">
        <v>2240</v>
      </c>
      <c r="D521" s="297"/>
      <c r="E521" s="389"/>
      <c r="F521" s="1443"/>
      <c r="G521" s="1443"/>
      <c r="H521" s="1443"/>
      <c r="I521" s="1443"/>
      <c r="J521" s="1443"/>
      <c r="K521" s="1443"/>
      <c r="L521" s="1443"/>
      <c r="M521" s="1443"/>
      <c r="N521" s="1443"/>
    </row>
    <row r="522" spans="1:14" hidden="1">
      <c r="A522" s="354"/>
      <c r="B522" s="354"/>
      <c r="C522" s="2776" t="s">
        <v>2241</v>
      </c>
      <c r="D522" s="297"/>
      <c r="E522" s="389"/>
      <c r="F522" s="1443"/>
      <c r="G522" s="1443"/>
      <c r="H522" s="1443"/>
      <c r="I522" s="1443"/>
      <c r="J522" s="1443"/>
      <c r="K522" s="1443"/>
      <c r="L522" s="1443"/>
      <c r="M522" s="1443"/>
      <c r="N522" s="1443"/>
    </row>
    <row r="523" spans="1:14" hidden="1">
      <c r="A523" s="354"/>
      <c r="B523" s="354"/>
      <c r="C523" s="2776" t="s">
        <v>58</v>
      </c>
      <c r="D523" s="297"/>
      <c r="E523" s="389"/>
      <c r="F523" s="1443"/>
      <c r="G523" s="1443"/>
      <c r="H523" s="1443"/>
      <c r="I523" s="1443"/>
      <c r="J523" s="1443"/>
      <c r="K523" s="1443"/>
      <c r="L523" s="1443"/>
      <c r="M523" s="1443"/>
      <c r="N523" s="1443"/>
    </row>
    <row r="524" spans="1:14" hidden="1">
      <c r="A524" s="354"/>
      <c r="B524" s="354"/>
      <c r="C524" s="2776" t="s">
        <v>2242</v>
      </c>
      <c r="D524" s="297"/>
      <c r="E524" s="389"/>
      <c r="F524" s="1443"/>
      <c r="G524" s="2852"/>
      <c r="H524" s="2852"/>
      <c r="I524" s="2852"/>
      <c r="J524" s="2852"/>
      <c r="K524" s="2852"/>
      <c r="L524" s="2852"/>
      <c r="M524" s="2852"/>
      <c r="N524" s="2852"/>
    </row>
    <row r="525" spans="1:14" hidden="1">
      <c r="A525" s="354"/>
      <c r="B525" s="354"/>
      <c r="C525" s="2776" t="s">
        <v>2243</v>
      </c>
      <c r="D525" s="297"/>
      <c r="E525" s="389"/>
      <c r="F525" s="1443"/>
      <c r="G525" s="2852"/>
      <c r="H525" s="2852"/>
      <c r="I525" s="2852"/>
      <c r="J525" s="2852"/>
      <c r="K525" s="2852"/>
      <c r="L525" s="2852"/>
      <c r="M525" s="2852"/>
      <c r="N525" s="2852"/>
    </row>
    <row r="526" spans="1:14" hidden="1">
      <c r="A526" s="354"/>
      <c r="B526" s="354"/>
      <c r="C526" s="354"/>
      <c r="D526" s="297"/>
      <c r="E526" s="389"/>
      <c r="F526" s="1443"/>
      <c r="G526" s="1443"/>
      <c r="H526" s="1443"/>
      <c r="I526" s="1443"/>
      <c r="J526" s="1443"/>
      <c r="K526" s="1443"/>
      <c r="L526" s="1443"/>
      <c r="M526" s="1443"/>
      <c r="N526" s="1443"/>
    </row>
    <row r="527" spans="1:14" hidden="1">
      <c r="A527" s="354"/>
      <c r="C527" s="354" t="s">
        <v>2249</v>
      </c>
      <c r="D527" s="297"/>
      <c r="E527" s="423" t="s">
        <v>2736</v>
      </c>
      <c r="F527" s="354">
        <v>2013</v>
      </c>
      <c r="G527" s="354">
        <v>2015</v>
      </c>
      <c r="H527" s="354">
        <v>2020</v>
      </c>
      <c r="I527" s="354">
        <v>2025</v>
      </c>
      <c r="J527" s="354">
        <v>2030</v>
      </c>
      <c r="K527" s="354">
        <v>2035</v>
      </c>
      <c r="L527" s="354">
        <v>2040</v>
      </c>
      <c r="M527" s="354">
        <v>2045</v>
      </c>
      <c r="N527" s="354">
        <v>2050</v>
      </c>
    </row>
    <row r="528" spans="1:14" hidden="1">
      <c r="A528" s="354"/>
      <c r="C528" s="2776" t="s">
        <v>2237</v>
      </c>
      <c r="D528" s="297"/>
      <c r="E528" s="389"/>
      <c r="F528" s="1443"/>
      <c r="G528" s="1443"/>
      <c r="H528" s="1443"/>
      <c r="I528" s="1443"/>
      <c r="J528" s="1443"/>
      <c r="K528" s="1443"/>
      <c r="L528" s="1443"/>
      <c r="M528" s="1443"/>
      <c r="N528" s="1443"/>
    </row>
    <row r="529" spans="1:15" hidden="1">
      <c r="A529" s="354"/>
      <c r="C529" s="2776" t="s">
        <v>2140</v>
      </c>
      <c r="D529" s="297"/>
      <c r="E529" s="389"/>
      <c r="F529" s="1443"/>
      <c r="G529" s="1443"/>
      <c r="H529" s="1443"/>
      <c r="I529" s="1443"/>
      <c r="J529" s="1443"/>
      <c r="K529" s="1443"/>
      <c r="L529" s="1443"/>
      <c r="M529" s="1443"/>
      <c r="N529" s="1443"/>
    </row>
    <row r="530" spans="1:15" hidden="1">
      <c r="A530" s="354"/>
      <c r="C530" s="2776" t="s">
        <v>2116</v>
      </c>
      <c r="D530" s="297"/>
      <c r="E530" s="389"/>
      <c r="F530" s="1443"/>
      <c r="G530" s="2852"/>
      <c r="H530" s="2852"/>
      <c r="I530" s="2852"/>
      <c r="J530" s="2852"/>
      <c r="K530" s="2852"/>
      <c r="L530" s="2852"/>
      <c r="M530" s="2852"/>
      <c r="N530" s="2852"/>
    </row>
    <row r="531" spans="1:15" hidden="1">
      <c r="A531" s="354"/>
      <c r="C531" s="2776" t="s">
        <v>2238</v>
      </c>
      <c r="D531" s="297"/>
      <c r="E531" s="389"/>
      <c r="F531" s="1443"/>
      <c r="G531" s="2852"/>
      <c r="H531" s="2852"/>
      <c r="I531" s="2852"/>
      <c r="J531" s="2852"/>
      <c r="K531" s="2852"/>
      <c r="L531" s="2852"/>
      <c r="M531" s="2852"/>
      <c r="N531" s="2852"/>
    </row>
    <row r="532" spans="1:15" hidden="1">
      <c r="A532" s="354"/>
      <c r="C532" s="2776" t="s">
        <v>2239</v>
      </c>
      <c r="D532" s="297"/>
      <c r="E532" s="389"/>
      <c r="F532" s="1443"/>
      <c r="G532" s="2852"/>
      <c r="H532" s="2852"/>
      <c r="I532" s="2852"/>
      <c r="J532" s="2852"/>
      <c r="K532" s="2852"/>
      <c r="L532" s="2852"/>
      <c r="M532" s="2852"/>
      <c r="N532" s="2852"/>
    </row>
    <row r="533" spans="1:15" hidden="1">
      <c r="C533" s="2776" t="s">
        <v>2234</v>
      </c>
      <c r="D533" s="297"/>
      <c r="E533" s="389"/>
      <c r="F533" s="1443"/>
      <c r="G533" s="2852"/>
      <c r="H533" s="2852"/>
      <c r="I533" s="2852"/>
      <c r="J533" s="2852"/>
      <c r="K533" s="2852"/>
      <c r="L533" s="2852"/>
      <c r="M533" s="2852"/>
      <c r="N533" s="2852"/>
    </row>
    <row r="534" spans="1:15" hidden="1">
      <c r="C534" s="2776" t="s">
        <v>2240</v>
      </c>
      <c r="D534" s="297"/>
      <c r="E534" s="389"/>
      <c r="F534" s="1443"/>
      <c r="G534" s="1443"/>
      <c r="H534" s="1443"/>
      <c r="I534" s="1443"/>
      <c r="J534" s="1443"/>
      <c r="K534" s="1443"/>
      <c r="L534" s="1443"/>
      <c r="M534" s="1443"/>
      <c r="N534" s="1443"/>
    </row>
    <row r="535" spans="1:15" hidden="1">
      <c r="C535" s="2776" t="s">
        <v>2241</v>
      </c>
      <c r="D535" s="297"/>
      <c r="E535" s="389"/>
      <c r="F535" s="1443"/>
      <c r="G535" s="1443"/>
      <c r="H535" s="1443"/>
      <c r="I535" s="1443"/>
      <c r="J535" s="1443"/>
      <c r="K535" s="1443"/>
      <c r="L535" s="1443"/>
      <c r="M535" s="1443"/>
      <c r="N535" s="1443"/>
    </row>
    <row r="536" spans="1:15" hidden="1">
      <c r="C536" s="2776" t="s">
        <v>58</v>
      </c>
      <c r="D536" s="297"/>
      <c r="E536" s="389"/>
      <c r="F536" s="1443"/>
      <c r="G536" s="1443"/>
      <c r="H536" s="1443"/>
      <c r="I536" s="1443"/>
      <c r="J536" s="1443"/>
      <c r="K536" s="1443"/>
      <c r="L536" s="1443"/>
      <c r="M536" s="1443"/>
      <c r="N536" s="1443"/>
    </row>
    <row r="537" spans="1:15" hidden="1">
      <c r="C537" s="2776" t="s">
        <v>2242</v>
      </c>
      <c r="D537" s="297"/>
      <c r="E537" s="389"/>
      <c r="F537" s="1443"/>
      <c r="G537" s="2852"/>
      <c r="H537" s="2852"/>
      <c r="I537" s="2852"/>
      <c r="J537" s="2852"/>
      <c r="K537" s="2852"/>
      <c r="L537" s="2852"/>
      <c r="M537" s="2852"/>
      <c r="N537" s="2852"/>
    </row>
    <row r="538" spans="1:15" hidden="1">
      <c r="C538" s="2776" t="s">
        <v>2243</v>
      </c>
      <c r="D538" s="297"/>
      <c r="E538" s="389"/>
      <c r="F538" s="1443"/>
      <c r="G538" s="2852"/>
      <c r="H538" s="2852"/>
      <c r="I538" s="2852"/>
      <c r="J538" s="2852"/>
      <c r="K538" s="2852"/>
      <c r="L538" s="2852"/>
      <c r="M538" s="2852"/>
      <c r="N538" s="2852"/>
    </row>
    <row r="540" spans="1:15" ht="15">
      <c r="B540" s="502" t="s">
        <v>296</v>
      </c>
      <c r="C540" s="503"/>
      <c r="D540" s="503"/>
      <c r="E540" s="503"/>
      <c r="F540" s="503"/>
      <c r="G540" s="503"/>
      <c r="H540" s="503"/>
      <c r="I540" s="503"/>
      <c r="J540" s="503"/>
      <c r="K540" s="503"/>
      <c r="L540" s="503"/>
      <c r="M540" s="503"/>
      <c r="N540" s="503"/>
      <c r="O540" s="857"/>
    </row>
    <row r="541" spans="1:15">
      <c r="B541" s="505"/>
      <c r="C541" s="506"/>
      <c r="D541" s="506"/>
      <c r="E541" s="506"/>
      <c r="F541" s="506"/>
      <c r="G541" s="506"/>
      <c r="H541" s="506"/>
      <c r="I541" s="506"/>
      <c r="J541" s="506"/>
      <c r="K541" s="506"/>
      <c r="L541" s="506"/>
      <c r="M541" s="506"/>
      <c r="N541" s="506"/>
      <c r="O541" s="858"/>
    </row>
    <row r="542" spans="1:15">
      <c r="B542" s="505"/>
      <c r="C542" s="34" t="s">
        <v>746</v>
      </c>
      <c r="D542" s="506"/>
      <c r="E542" s="507"/>
      <c r="F542" s="506"/>
      <c r="G542" s="506"/>
      <c r="H542" s="506"/>
      <c r="I542" s="506"/>
      <c r="J542" s="506"/>
      <c r="K542" s="506"/>
      <c r="L542" s="506"/>
      <c r="M542" s="506"/>
      <c r="N542" s="1117" t="str">
        <f>Preferences.EnergyUnits</f>
        <v>TWh</v>
      </c>
      <c r="O542" s="858"/>
    </row>
    <row r="543" spans="1:15">
      <c r="B543" s="505"/>
      <c r="C543" s="506"/>
      <c r="D543" s="506"/>
      <c r="E543" s="506"/>
      <c r="F543" s="506"/>
      <c r="G543" s="506"/>
      <c r="H543" s="506"/>
      <c r="I543" s="506"/>
      <c r="J543" s="506"/>
      <c r="K543" s="506"/>
      <c r="L543" s="506"/>
      <c r="M543" s="506"/>
      <c r="N543" s="506"/>
      <c r="O543" s="858"/>
    </row>
    <row r="544" spans="1:15" ht="15.5">
      <c r="B544" s="15"/>
      <c r="C544" s="864" t="s">
        <v>28</v>
      </c>
      <c r="D544" s="864" t="s">
        <v>29</v>
      </c>
      <c r="E544" s="864" t="s">
        <v>30</v>
      </c>
      <c r="F544" s="864" t="s">
        <v>588</v>
      </c>
      <c r="G544" s="864" t="s">
        <v>132</v>
      </c>
      <c r="H544" s="864" t="s">
        <v>133</v>
      </c>
      <c r="I544" s="864" t="s">
        <v>134</v>
      </c>
      <c r="J544" s="864" t="s">
        <v>135</v>
      </c>
      <c r="K544" s="864" t="s">
        <v>136</v>
      </c>
      <c r="L544" s="864" t="s">
        <v>137</v>
      </c>
      <c r="M544" s="864" t="s">
        <v>138</v>
      </c>
      <c r="N544" s="864" t="s">
        <v>139</v>
      </c>
      <c r="O544" s="858"/>
    </row>
    <row r="545" spans="2:15" ht="15.5">
      <c r="B545" s="15"/>
      <c r="C545" s="17" t="s">
        <v>444</v>
      </c>
      <c r="D545" s="17" t="str">
        <f>INDEX(Vectors[Description], MATCH(VI.b.Outputs[Vector], Vectors[Code], 0))</f>
        <v>Waste (all forms of biomass)</v>
      </c>
      <c r="E545" s="17"/>
      <c r="F545" s="3942">
        <f t="shared" ref="F545:N545" si="74">-(F381+F382+F395+F411+F430)</f>
        <v>-0.31246386038422586</v>
      </c>
      <c r="G545" s="22">
        <f t="shared" si="74"/>
        <v>-0.33673381658010743</v>
      </c>
      <c r="H545" s="22">
        <f t="shared" si="74"/>
        <v>-0.84732273607604403</v>
      </c>
      <c r="I545" s="22">
        <f t="shared" si="74"/>
        <v>-0.85029838372274713</v>
      </c>
      <c r="J545" s="22">
        <f t="shared" si="74"/>
        <v>-0.85130610472042079</v>
      </c>
      <c r="K545" s="22">
        <f t="shared" si="74"/>
        <v>-0.86659031419931842</v>
      </c>
      <c r="L545" s="22">
        <f t="shared" si="74"/>
        <v>-0.88542404606635949</v>
      </c>
      <c r="M545" s="22">
        <f t="shared" si="74"/>
        <v>-0.90737135347114628</v>
      </c>
      <c r="N545" s="22">
        <f t="shared" si="74"/>
        <v>-0.9336370023886772</v>
      </c>
      <c r="O545" s="858"/>
    </row>
    <row r="546" spans="2:15" ht="15.5">
      <c r="B546" s="15"/>
      <c r="C546" s="17" t="s">
        <v>416</v>
      </c>
      <c r="D546" s="17" t="str">
        <f>INDEX(Vectors[Description], MATCH(VI.b.Outputs[Vector], Vectors[Code], 0))</f>
        <v>Coal, peat and solid fuels</v>
      </c>
      <c r="E546" s="17"/>
      <c r="F546" s="22">
        <f t="shared" ref="F546:N546" si="75">F$382</f>
        <v>6.3749380800000005E-2</v>
      </c>
      <c r="G546" s="22">
        <f t="shared" si="75"/>
        <v>6.568800000000001E-2</v>
      </c>
      <c r="H546" s="22">
        <f t="shared" si="75"/>
        <v>0.25170110893975794</v>
      </c>
      <c r="I546" s="22">
        <f t="shared" si="75"/>
        <v>0.24821311475409841</v>
      </c>
      <c r="J546" s="22">
        <f t="shared" si="75"/>
        <v>0.24531818181818182</v>
      </c>
      <c r="K546" s="22">
        <f t="shared" si="75"/>
        <v>0.2451416184971098</v>
      </c>
      <c r="L546" s="22">
        <f t="shared" si="75"/>
        <v>0.24498066298342538</v>
      </c>
      <c r="M546" s="22">
        <f t="shared" si="75"/>
        <v>0.24440897097625325</v>
      </c>
      <c r="N546" s="22">
        <f t="shared" si="75"/>
        <v>0.24387437185929645</v>
      </c>
      <c r="O546" s="858"/>
    </row>
    <row r="547" spans="2:15" ht="15.5">
      <c r="B547" s="15"/>
      <c r="C547" s="17" t="s">
        <v>423</v>
      </c>
      <c r="D547" s="17" t="str">
        <f>INDEX(Vectors[Description], MATCH(VI.b.Outputs[Vector], Vectors[Code], 0))</f>
        <v>Dry biomass and waste</v>
      </c>
      <c r="E547" s="17"/>
      <c r="F547" s="22">
        <f t="shared" ref="F547:N547" si="76">F$381</f>
        <v>9.7224220170000014E-2</v>
      </c>
      <c r="G547" s="22">
        <f t="shared" si="76"/>
        <v>0.11042463999999999</v>
      </c>
      <c r="H547" s="22">
        <f t="shared" si="76"/>
        <v>0.41679374494335664</v>
      </c>
      <c r="I547" s="22">
        <f t="shared" si="76"/>
        <v>0.41860072313699015</v>
      </c>
      <c r="J547" s="22">
        <f t="shared" si="76"/>
        <v>0.42147527031385951</v>
      </c>
      <c r="K547" s="22">
        <f t="shared" si="76"/>
        <v>0.43772900174909557</v>
      </c>
      <c r="L547" s="22">
        <f t="shared" si="76"/>
        <v>0.45664881855372935</v>
      </c>
      <c r="M547" s="22">
        <f t="shared" si="76"/>
        <v>0.47824089716941076</v>
      </c>
      <c r="N547" s="22">
        <f t="shared" si="76"/>
        <v>0.50324978226921668</v>
      </c>
      <c r="O547" s="858"/>
    </row>
    <row r="548" spans="2:15" ht="15.5">
      <c r="B548" s="15"/>
      <c r="C548" s="17" t="s">
        <v>424</v>
      </c>
      <c r="D548" s="17" t="str">
        <f>INDEX(Vectors[Description], MATCH(VI.b.Outputs[Vector], Vectors[Code], 0))</f>
        <v>Wet biomass and waste</v>
      </c>
      <c r="E548" s="17"/>
      <c r="F548" s="22">
        <f t="shared" ref="F548:N548" si="77">F$395+F$430</f>
        <v>4.2000000000000002E-4</v>
      </c>
      <c r="G548" s="22">
        <f t="shared" si="77"/>
        <v>4.2997500000000006E-3</v>
      </c>
      <c r="H548" s="22">
        <f t="shared" si="77"/>
        <v>1.6828087499999998E-2</v>
      </c>
      <c r="I548" s="22">
        <f t="shared" si="77"/>
        <v>3.1695980243852465E-2</v>
      </c>
      <c r="J548" s="22">
        <f t="shared" si="77"/>
        <v>4.6875896E-2</v>
      </c>
      <c r="K548" s="22">
        <f t="shared" si="77"/>
        <v>5.9736975718930642E-2</v>
      </c>
      <c r="L548" s="22">
        <f t="shared" si="77"/>
        <v>7.2968114003990198E-2</v>
      </c>
      <c r="M548" s="22">
        <f t="shared" si="77"/>
        <v>8.6553531864006161E-2</v>
      </c>
      <c r="N548" s="22">
        <f t="shared" si="77"/>
        <v>0.10050562121719711</v>
      </c>
      <c r="O548" s="858"/>
    </row>
    <row r="549" spans="2:15" ht="15.5">
      <c r="B549" s="15"/>
      <c r="C549" s="17" t="s">
        <v>425</v>
      </c>
      <c r="D549" s="17" t="str">
        <f>INDEX(Vectors[Description], MATCH(VI.b.Outputs[Vector], Vectors[Code], 0))</f>
        <v>Gaseous waste</v>
      </c>
      <c r="E549" s="17"/>
      <c r="F549" s="22">
        <f t="shared" ref="F549:N549" si="78">F$411</f>
        <v>0.15107025941422586</v>
      </c>
      <c r="G549" s="22">
        <f t="shared" si="78"/>
        <v>0.15632142658010748</v>
      </c>
      <c r="H549" s="22">
        <f t="shared" si="78"/>
        <v>0.16199979469292949</v>
      </c>
      <c r="I549" s="22">
        <f t="shared" si="78"/>
        <v>0.15178856558780604</v>
      </c>
      <c r="J549" s="22">
        <f t="shared" si="78"/>
        <v>0.13763675658837954</v>
      </c>
      <c r="K549" s="22">
        <f t="shared" si="78"/>
        <v>0.12398271823418237</v>
      </c>
      <c r="L549" s="22">
        <f t="shared" si="78"/>
        <v>0.11082645052521456</v>
      </c>
      <c r="M549" s="22">
        <f t="shared" si="78"/>
        <v>9.816795346147611E-2</v>
      </c>
      <c r="N549" s="22">
        <f t="shared" si="78"/>
        <v>8.6007227042966941E-2</v>
      </c>
      <c r="O549" s="858"/>
    </row>
    <row r="550" spans="2:15" ht="15.5">
      <c r="B550" s="15"/>
      <c r="C550" s="2432" t="s">
        <v>58</v>
      </c>
      <c r="D550" s="2432"/>
      <c r="E550" s="2432"/>
      <c r="F550" s="2435">
        <f>SUBTOTAL(109,VI.b.Outputs[2013])</f>
        <v>0</v>
      </c>
      <c r="G550" s="2435">
        <f>SUBTOTAL(109,VI.b.Outputs[2015])</f>
        <v>0</v>
      </c>
      <c r="H550" s="2435">
        <f>SUBTOTAL(109,VI.b.Outputs[2020])</f>
        <v>0</v>
      </c>
      <c r="I550" s="2435">
        <f>SUBTOTAL(109,VI.b.Outputs[2025])</f>
        <v>0</v>
      </c>
      <c r="J550" s="2435">
        <f>SUBTOTAL(109,VI.b.Outputs[2030])</f>
        <v>0</v>
      </c>
      <c r="K550" s="2435">
        <f>SUBTOTAL(109,VI.b.Outputs[2035])</f>
        <v>0</v>
      </c>
      <c r="L550" s="2435">
        <f>SUBTOTAL(109,VI.b.Outputs[2040])</f>
        <v>0</v>
      </c>
      <c r="M550" s="2435">
        <f>SUBTOTAL(109,VI.b.Outputs[2045])</f>
        <v>0</v>
      </c>
      <c r="N550" s="2435">
        <f>SUBTOTAL(109,VI.b.Outputs[2050])</f>
        <v>0</v>
      </c>
      <c r="O550" s="858"/>
    </row>
    <row r="551" spans="2:15" ht="15.5">
      <c r="B551" s="15"/>
      <c r="C551" s="17"/>
      <c r="D551" s="17"/>
      <c r="E551" s="17"/>
      <c r="F551" s="440"/>
      <c r="G551" s="440"/>
      <c r="H551" s="440"/>
      <c r="I551" s="440"/>
      <c r="J551" s="440"/>
      <c r="K551" s="440"/>
      <c r="L551" s="440"/>
      <c r="M551" s="440"/>
      <c r="N551" s="440"/>
      <c r="O551" s="858"/>
    </row>
    <row r="553" spans="2:15" ht="15">
      <c r="B553" s="1118" t="s">
        <v>300</v>
      </c>
      <c r="C553" s="1119"/>
      <c r="D553" s="1120"/>
      <c r="E553" s="1120"/>
      <c r="F553" s="1120"/>
      <c r="G553" s="1120"/>
      <c r="H553" s="1120"/>
      <c r="I553" s="1120"/>
      <c r="J553" s="1120"/>
      <c r="K553" s="1120"/>
      <c r="L553" s="1120"/>
      <c r="M553" s="1120"/>
      <c r="N553" s="1120"/>
      <c r="O553" s="1121"/>
    </row>
    <row r="554" spans="2:15">
      <c r="B554" s="1122"/>
      <c r="C554" s="1123"/>
      <c r="D554" s="1123"/>
      <c r="E554" s="1123"/>
      <c r="F554" s="1123"/>
      <c r="G554" s="1123"/>
      <c r="H554" s="1123"/>
      <c r="I554" s="1123"/>
      <c r="J554" s="1123"/>
      <c r="K554" s="1123"/>
      <c r="L554" s="1123"/>
      <c r="M554" s="1123"/>
      <c r="N554" s="1123"/>
      <c r="O554" s="1124"/>
    </row>
    <row r="555" spans="2:15">
      <c r="B555" s="1125"/>
      <c r="C555" s="453" t="s">
        <v>1005</v>
      </c>
      <c r="D555" s="1126"/>
      <c r="E555" s="1127"/>
      <c r="F555" s="1126"/>
      <c r="G555" s="1126"/>
      <c r="H555" s="1126"/>
      <c r="I555" s="1126"/>
      <c r="J555" s="1126"/>
      <c r="K555" s="1126"/>
      <c r="L555" s="1126"/>
      <c r="M555" s="1126"/>
      <c r="N555" s="1128" t="s">
        <v>251</v>
      </c>
      <c r="O555" s="1129"/>
    </row>
    <row r="556" spans="2:15">
      <c r="B556" s="1125"/>
      <c r="C556" s="1126"/>
      <c r="D556" s="1126"/>
      <c r="E556" s="1126"/>
      <c r="F556" s="1126"/>
      <c r="G556" s="1126"/>
      <c r="H556" s="1126"/>
      <c r="I556" s="1126"/>
      <c r="J556" s="1126"/>
      <c r="K556" s="1126"/>
      <c r="L556" s="1126"/>
      <c r="M556" s="1126"/>
      <c r="N556" s="1126"/>
      <c r="O556" s="1129"/>
    </row>
    <row r="557" spans="2:15" ht="15.5">
      <c r="B557" s="458"/>
      <c r="C557" s="1327" t="s">
        <v>302</v>
      </c>
      <c r="D557" s="1327" t="s">
        <v>303</v>
      </c>
      <c r="E557" s="1327" t="s">
        <v>30</v>
      </c>
      <c r="F557" s="1327" t="s">
        <v>588</v>
      </c>
      <c r="G557" s="1327" t="s">
        <v>132</v>
      </c>
      <c r="H557" s="1327" t="s">
        <v>133</v>
      </c>
      <c r="I557" s="1327" t="s">
        <v>134</v>
      </c>
      <c r="J557" s="1327" t="s">
        <v>135</v>
      </c>
      <c r="K557" s="1327" t="s">
        <v>136</v>
      </c>
      <c r="L557" s="1327" t="s">
        <v>137</v>
      </c>
      <c r="M557" s="1327" t="s">
        <v>138</v>
      </c>
      <c r="N557" s="1327" t="s">
        <v>139</v>
      </c>
      <c r="O557" s="1129"/>
    </row>
    <row r="558" spans="2:15" ht="15.5">
      <c r="B558" s="458"/>
      <c r="C558" s="1131" t="s">
        <v>250</v>
      </c>
      <c r="D558" s="2634">
        <v>6</v>
      </c>
      <c r="E558" s="1132" t="str">
        <f>INDEX(IPCC[Sector_description], MATCH(VI.b.Emissions[IPCC Sector], IPCC[Sector_code], 0))</f>
        <v>Waste</v>
      </c>
      <c r="F558" s="461">
        <f>0</f>
        <v>0</v>
      </c>
      <c r="G558" s="461">
        <f>0</f>
        <v>0</v>
      </c>
      <c r="H558" s="461">
        <f>0</f>
        <v>0</v>
      </c>
      <c r="I558" s="461">
        <f>0</f>
        <v>0</v>
      </c>
      <c r="J558" s="461">
        <f>0</f>
        <v>0</v>
      </c>
      <c r="K558" s="461">
        <f>0</f>
        <v>0</v>
      </c>
      <c r="L558" s="461">
        <f>0</f>
        <v>0</v>
      </c>
      <c r="M558" s="461">
        <f>0</f>
        <v>0</v>
      </c>
      <c r="N558" s="461">
        <f>0</f>
        <v>0</v>
      </c>
      <c r="O558" s="1129"/>
    </row>
    <row r="559" spans="2:15" ht="15.5">
      <c r="B559" s="458"/>
      <c r="C559" s="1131" t="s">
        <v>252</v>
      </c>
      <c r="D559" s="2634">
        <v>6</v>
      </c>
      <c r="E559" s="1132" t="str">
        <f>INDEX(IPCC[Sector_description], MATCH(VI.b.Emissions[IPCC Sector], IPCC[Sector_code], 0))</f>
        <v>Waste</v>
      </c>
      <c r="F559" s="461">
        <f>F407+F426</f>
        <v>1.1527575749999999</v>
      </c>
      <c r="G559" s="461">
        <f t="shared" ref="G559:N559" si="79">G407+G426</f>
        <v>0.9474770454989212</v>
      </c>
      <c r="H559" s="461">
        <f t="shared" si="79"/>
        <v>0.72294179301391193</v>
      </c>
      <c r="I559" s="461">
        <f t="shared" si="79"/>
        <v>0.66396318072011828</v>
      </c>
      <c r="J559" s="461">
        <f t="shared" si="79"/>
        <v>0.64378066564223779</v>
      </c>
      <c r="K559" s="461">
        <f t="shared" si="79"/>
        <v>0.61797262540539744</v>
      </c>
      <c r="L559" s="461">
        <f t="shared" si="79"/>
        <v>0.5865390600095971</v>
      </c>
      <c r="M559" s="461">
        <f t="shared" si="79"/>
        <v>0.54947996945483712</v>
      </c>
      <c r="N559" s="461">
        <f t="shared" si="79"/>
        <v>0.5067953537411175</v>
      </c>
      <c r="O559" s="1129"/>
    </row>
    <row r="560" spans="2:15" ht="15.5">
      <c r="B560" s="458"/>
      <c r="C560" s="1131" t="s">
        <v>253</v>
      </c>
      <c r="D560" s="2634">
        <v>6</v>
      </c>
      <c r="E560" s="1132" t="str">
        <f>INDEX(IPCC[Sector_description], MATCH(VI.b.Emissions[IPCC Sector], IPCC[Sector_code], 0))</f>
        <v>Waste</v>
      </c>
      <c r="F560" s="461">
        <f t="shared" ref="F560:N560" si="80">F419</f>
        <v>5.3541428571428566E-2</v>
      </c>
      <c r="G560" s="461">
        <f t="shared" si="80"/>
        <v>5.4813037500000002E-2</v>
      </c>
      <c r="H560" s="461">
        <f t="shared" si="80"/>
        <v>5.608464642857143E-2</v>
      </c>
      <c r="I560" s="461">
        <f t="shared" si="80"/>
        <v>5.7356255357142859E-2</v>
      </c>
      <c r="J560" s="461">
        <f t="shared" si="80"/>
        <v>5.862786428571428E-2</v>
      </c>
      <c r="K560" s="461">
        <f t="shared" si="80"/>
        <v>5.9899473214285702E-2</v>
      </c>
      <c r="L560" s="461">
        <f t="shared" si="80"/>
        <v>6.1171082142857144E-2</v>
      </c>
      <c r="M560" s="461">
        <f t="shared" si="80"/>
        <v>6.2442691071428566E-2</v>
      </c>
      <c r="N560" s="461">
        <f t="shared" si="80"/>
        <v>6.3714299999999988E-2</v>
      </c>
      <c r="O560" s="1129"/>
    </row>
    <row r="561" spans="2:15" ht="15.5">
      <c r="B561" s="458"/>
      <c r="C561" s="2436" t="s">
        <v>58</v>
      </c>
      <c r="D561" s="2651"/>
      <c r="E561" s="2436"/>
      <c r="F561" s="2437">
        <f>SUBTOTAL(109,VI.b.Emissions[2013])</f>
        <v>1.2062990035714285</v>
      </c>
      <c r="G561" s="2437">
        <f>SUBTOTAL(109,VI.b.Emissions[2015])</f>
        <v>1.0022900829989212</v>
      </c>
      <c r="H561" s="2437">
        <f>SUBTOTAL(109,VI.b.Emissions[2020])</f>
        <v>0.7790264394424834</v>
      </c>
      <c r="I561" s="2437">
        <f>SUBTOTAL(109,VI.b.Emissions[2025])</f>
        <v>0.72131943607726112</v>
      </c>
      <c r="J561" s="2437">
        <f>SUBTOTAL(109,VI.b.Emissions[2030])</f>
        <v>0.70240852992795211</v>
      </c>
      <c r="K561" s="2437">
        <f>SUBTOTAL(109,VI.b.Emissions[2035])</f>
        <v>0.67787209861968312</v>
      </c>
      <c r="L561" s="2437">
        <f>SUBTOTAL(109,VI.b.Emissions[2040])</f>
        <v>0.64771014215245426</v>
      </c>
      <c r="M561" s="2437">
        <f>SUBTOTAL(109,VI.b.Emissions[2045])</f>
        <v>0.61192266052626565</v>
      </c>
      <c r="N561" s="2437">
        <f>SUBTOTAL(109,VI.b.Emissions[2050])</f>
        <v>0.57050965374111751</v>
      </c>
      <c r="O561" s="1129"/>
    </row>
    <row r="562" spans="2:15" ht="15.5">
      <c r="B562" s="458"/>
      <c r="C562" s="1131"/>
      <c r="D562" s="1372"/>
      <c r="E562" s="1131"/>
      <c r="F562" s="462"/>
      <c r="G562" s="462"/>
      <c r="H562" s="462"/>
      <c r="I562" s="462"/>
      <c r="J562" s="462"/>
      <c r="K562" s="462"/>
      <c r="L562" s="462"/>
      <c r="M562" s="462"/>
      <c r="N562" s="462"/>
      <c r="O562" s="1129"/>
    </row>
    <row r="563" spans="2:15" ht="15.5">
      <c r="B563" s="458"/>
      <c r="C563" s="466" t="s">
        <v>830</v>
      </c>
      <c r="D563" s="1372"/>
      <c r="E563" s="1131"/>
      <c r="F563" s="462"/>
      <c r="G563" s="462"/>
      <c r="H563" s="462"/>
      <c r="I563" s="462"/>
      <c r="J563" s="462"/>
      <c r="K563" s="462"/>
      <c r="L563" s="462"/>
      <c r="M563" s="462"/>
      <c r="N563" s="1134" t="s">
        <v>831</v>
      </c>
      <c r="O563" s="1129"/>
    </row>
    <row r="564" spans="2:15" ht="15.5">
      <c r="B564" s="458"/>
      <c r="C564" s="1131"/>
      <c r="D564" s="1372" t="s">
        <v>5</v>
      </c>
      <c r="E564" s="1131"/>
      <c r="F564" s="462"/>
      <c r="G564" s="462"/>
      <c r="H564" s="462"/>
      <c r="I564" s="462"/>
      <c r="J564" s="462"/>
      <c r="K564" s="462"/>
      <c r="L564" s="462"/>
      <c r="M564" s="462"/>
      <c r="N564" s="462"/>
      <c r="O564" s="1129"/>
    </row>
    <row r="565" spans="2:15" ht="15.5">
      <c r="B565" s="458"/>
      <c r="C565" s="2635" t="s">
        <v>28</v>
      </c>
      <c r="D565" s="2635" t="s">
        <v>29</v>
      </c>
      <c r="E565" s="2635" t="s">
        <v>30</v>
      </c>
      <c r="F565" s="2635" t="s">
        <v>588</v>
      </c>
      <c r="G565" s="2635" t="s">
        <v>132</v>
      </c>
      <c r="H565" s="2635" t="s">
        <v>133</v>
      </c>
      <c r="I565" s="2635" t="s">
        <v>134</v>
      </c>
      <c r="J565" s="2635" t="s">
        <v>135</v>
      </c>
      <c r="K565" s="2635" t="s">
        <v>136</v>
      </c>
      <c r="L565" s="2635" t="s">
        <v>137</v>
      </c>
      <c r="M565" s="2635" t="s">
        <v>138</v>
      </c>
      <c r="N565" s="2635" t="s">
        <v>139</v>
      </c>
      <c r="O565" s="1129"/>
    </row>
    <row r="566" spans="2:15" ht="15.5">
      <c r="B566" s="458"/>
      <c r="C566" s="1332" t="s">
        <v>257</v>
      </c>
      <c r="D566" s="1331" t="str">
        <f>INDEX(AirQualityVectors[Description],MATCH(C566,AirQualityVectors[Code],0))</f>
        <v>PM10</v>
      </c>
      <c r="E566" s="1332"/>
      <c r="F566" s="2853">
        <f t="shared" ref="F566:N566" si="81">F214*(F$401*F$402*(1-F$403))*$F$182</f>
        <v>1.8996724135207657E-2</v>
      </c>
      <c r="G566" s="2853">
        <f t="shared" si="81"/>
        <v>1.9657045858523101E-2</v>
      </c>
      <c r="H566" s="2853">
        <f t="shared" si="81"/>
        <v>2.0371087080109051E-2</v>
      </c>
      <c r="I566" s="2853">
        <f t="shared" si="81"/>
        <v>1.9087049420124944E-2</v>
      </c>
      <c r="J566" s="2853">
        <f t="shared" si="81"/>
        <v>1.7307493254545617E-2</v>
      </c>
      <c r="K566" s="2853">
        <f t="shared" si="81"/>
        <v>1.5590530558168579E-2</v>
      </c>
      <c r="L566" s="2853">
        <f t="shared" si="81"/>
        <v>1.3936161330993827E-2</v>
      </c>
      <c r="M566" s="2853">
        <f t="shared" si="81"/>
        <v>1.2344385573021369E-2</v>
      </c>
      <c r="N566" s="2853">
        <f t="shared" si="81"/>
        <v>1.0815203284251191E-2</v>
      </c>
      <c r="O566" s="1129"/>
    </row>
    <row r="567" spans="2:15" ht="15.5">
      <c r="B567" s="458"/>
      <c r="C567" s="1139" t="s">
        <v>259</v>
      </c>
      <c r="D567" s="1135" t="str">
        <f>INDEX(AirQualityVectors[Description],MATCH(C567,AirQualityVectors[Code],0))</f>
        <v>NOX</v>
      </c>
      <c r="E567" s="1139"/>
      <c r="F567" s="2854">
        <f t="shared" ref="F567:N567" si="82">F219*(F$401*F$402*(1-F$403))*$F$182</f>
        <v>0.460678936259445</v>
      </c>
      <c r="G567" s="2854">
        <f t="shared" si="82"/>
        <v>0.47669202919698883</v>
      </c>
      <c r="H567" s="2854">
        <f t="shared" si="82"/>
        <v>0.49400784365343825</v>
      </c>
      <c r="I567" s="2854">
        <f t="shared" si="82"/>
        <v>0.46286936424465269</v>
      </c>
      <c r="J567" s="2854">
        <f t="shared" si="82"/>
        <v>0.4197143425925966</v>
      </c>
      <c r="K567" s="2854">
        <f t="shared" si="82"/>
        <v>0.37807724016722755</v>
      </c>
      <c r="L567" s="2854">
        <f t="shared" si="82"/>
        <v>0.33795805696854531</v>
      </c>
      <c r="M567" s="2854">
        <f t="shared" si="82"/>
        <v>0.29935679299654999</v>
      </c>
      <c r="N567" s="2854">
        <f t="shared" si="82"/>
        <v>0.26227344825124144</v>
      </c>
      <c r="O567" s="1129"/>
    </row>
    <row r="568" spans="2:15" ht="15.5">
      <c r="B568" s="458"/>
      <c r="C568" s="1139" t="s">
        <v>261</v>
      </c>
      <c r="D568" s="1135" t="str">
        <f>INDEX(AirQualityVectors[Description],MATCH(C568,AirQualityVectors[Code],0))</f>
        <v>SO2</v>
      </c>
      <c r="E568" s="1139"/>
      <c r="F568" s="2854">
        <f t="shared" ref="F568:N568" si="83">F224*(F$401*F$402*(1-F$403))*$F$182</f>
        <v>0</v>
      </c>
      <c r="G568" s="2854">
        <f t="shared" si="83"/>
        <v>0</v>
      </c>
      <c r="H568" s="2854">
        <f t="shared" si="83"/>
        <v>0</v>
      </c>
      <c r="I568" s="2854">
        <f t="shared" si="83"/>
        <v>0</v>
      </c>
      <c r="J568" s="2854">
        <f t="shared" si="83"/>
        <v>0</v>
      </c>
      <c r="K568" s="2854">
        <f t="shared" si="83"/>
        <v>0</v>
      </c>
      <c r="L568" s="2854">
        <f t="shared" si="83"/>
        <v>0</v>
      </c>
      <c r="M568" s="2854">
        <f t="shared" si="83"/>
        <v>0</v>
      </c>
      <c r="N568" s="2854">
        <f t="shared" si="83"/>
        <v>0</v>
      </c>
      <c r="O568" s="1129"/>
    </row>
    <row r="569" spans="2:15" ht="15.5">
      <c r="B569" s="458"/>
      <c r="C569" s="1336" t="s">
        <v>263</v>
      </c>
      <c r="D569" s="1335" t="str">
        <f>INDEX(AirQualityVectors[Description],MATCH(C569,AirQualityVectors[Code],0))</f>
        <v>NMVOC</v>
      </c>
      <c r="E569" s="1336"/>
      <c r="F569" s="2855">
        <f t="shared" ref="F569:N569" si="84">F229*(F$401*F$402*(1-F$403))*$F$182+$F234*F559/$F559</f>
        <v>9.6369494597344012</v>
      </c>
      <c r="G569" s="2855">
        <f t="shared" si="84"/>
        <v>7.9223018356474455</v>
      </c>
      <c r="H569" s="2855">
        <f t="shared" si="84"/>
        <v>6.046822192328003</v>
      </c>
      <c r="I569" s="2855">
        <f t="shared" si="84"/>
        <v>5.5536521314526519</v>
      </c>
      <c r="J569" s="2855">
        <f t="shared" si="84"/>
        <v>5.3843987907139015</v>
      </c>
      <c r="K569" s="2855">
        <f t="shared" si="84"/>
        <v>5.1681733784995325</v>
      </c>
      <c r="L569" s="2855">
        <f t="shared" si="84"/>
        <v>4.9049758948095459</v>
      </c>
      <c r="M569" s="2855">
        <f t="shared" si="84"/>
        <v>4.5948063396439425</v>
      </c>
      <c r="N569" s="2855">
        <f t="shared" si="84"/>
        <v>4.2376647130027232</v>
      </c>
      <c r="O569" s="1129"/>
    </row>
    <row r="570" spans="2:15" ht="15.5">
      <c r="B570" s="458"/>
      <c r="C570" s="1131"/>
      <c r="D570" s="1372"/>
      <c r="E570" s="1131"/>
      <c r="F570" s="462"/>
      <c r="G570" s="462"/>
      <c r="H570" s="462"/>
      <c r="I570" s="462"/>
      <c r="J570" s="462"/>
      <c r="K570" s="462"/>
      <c r="L570" s="462"/>
      <c r="M570" s="462"/>
      <c r="N570" s="462"/>
      <c r="O570" s="465"/>
    </row>
    <row r="572" spans="2:15" ht="15">
      <c r="B572" s="986" t="s">
        <v>310</v>
      </c>
      <c r="C572" s="987"/>
      <c r="D572" s="988"/>
      <c r="E572" s="988"/>
      <c r="F572" s="988"/>
      <c r="G572" s="988"/>
      <c r="H572" s="988"/>
      <c r="I572" s="988"/>
      <c r="J572" s="988"/>
      <c r="K572" s="988"/>
      <c r="L572" s="988"/>
      <c r="M572" s="988"/>
      <c r="N572" s="988"/>
      <c r="O572" s="989"/>
    </row>
    <row r="573" spans="2:15">
      <c r="B573" s="990"/>
      <c r="C573" s="991"/>
      <c r="D573" s="991"/>
      <c r="E573" s="991"/>
      <c r="F573" s="991"/>
      <c r="G573" s="991"/>
      <c r="H573" s="991"/>
      <c r="I573" s="991"/>
      <c r="J573" s="991"/>
      <c r="K573" s="991"/>
      <c r="L573" s="991"/>
      <c r="M573" s="991"/>
      <c r="N573" s="991"/>
      <c r="O573" s="992"/>
    </row>
    <row r="574" spans="2:15">
      <c r="B574" s="993"/>
      <c r="C574" s="479" t="s">
        <v>311</v>
      </c>
      <c r="D574" s="994"/>
      <c r="E574" s="995"/>
      <c r="F574" s="994"/>
      <c r="G574" s="994"/>
      <c r="H574" s="994"/>
      <c r="I574" s="994"/>
      <c r="J574" s="994"/>
      <c r="K574" s="994"/>
      <c r="L574" s="994"/>
      <c r="M574" s="994"/>
      <c r="N574" s="995"/>
      <c r="O574" s="996"/>
    </row>
    <row r="575" spans="2:15">
      <c r="B575" s="993"/>
      <c r="C575" s="994"/>
      <c r="D575" s="994"/>
      <c r="E575" s="994"/>
      <c r="F575" s="994"/>
      <c r="G575" s="994"/>
      <c r="H575" s="994"/>
      <c r="I575" s="994"/>
      <c r="J575" s="994"/>
      <c r="K575" s="994"/>
      <c r="L575" s="994"/>
      <c r="M575" s="994"/>
      <c r="N575" s="994"/>
      <c r="O575" s="996"/>
    </row>
    <row r="576" spans="2:15" ht="15.5">
      <c r="B576" s="483"/>
      <c r="C576" s="997" t="s">
        <v>28</v>
      </c>
      <c r="D576" s="997" t="s">
        <v>312</v>
      </c>
      <c r="E576" s="997" t="s">
        <v>30</v>
      </c>
      <c r="F576" s="997" t="s">
        <v>588</v>
      </c>
      <c r="G576" s="997" t="s">
        <v>132</v>
      </c>
      <c r="H576" s="997" t="s">
        <v>133</v>
      </c>
      <c r="I576" s="997" t="s">
        <v>134</v>
      </c>
      <c r="J576" s="997" t="s">
        <v>135</v>
      </c>
      <c r="K576" s="997" t="s">
        <v>136</v>
      </c>
      <c r="L576" s="997" t="s">
        <v>137</v>
      </c>
      <c r="M576" s="997" t="s">
        <v>138</v>
      </c>
      <c r="N576" s="997" t="s">
        <v>139</v>
      </c>
      <c r="O576" s="996"/>
    </row>
    <row r="577" spans="1:20" ht="15.5">
      <c r="B577" s="483"/>
      <c r="C577" s="998" t="s">
        <v>313</v>
      </c>
      <c r="D577" s="998" t="s">
        <v>3089</v>
      </c>
      <c r="E577" s="485"/>
      <c r="F577" s="1184">
        <f>F459</f>
        <v>0.69393436000000008</v>
      </c>
      <c r="G577" s="1184">
        <f t="shared" ref="G577:N577" si="85">G459</f>
        <v>0.74444735000000006</v>
      </c>
      <c r="H577" s="1184">
        <f t="shared" si="85"/>
        <v>2.8722638173063184</v>
      </c>
      <c r="I577" s="1184">
        <f t="shared" si="85"/>
        <v>2.8837378734162455</v>
      </c>
      <c r="J577" s="1184">
        <f t="shared" si="85"/>
        <v>2.8966980242694973</v>
      </c>
      <c r="K577" s="1184">
        <f t="shared" si="85"/>
        <v>2.9376844985923918</v>
      </c>
      <c r="L577" s="1184">
        <f t="shared" si="85"/>
        <v>2.9853050574340472</v>
      </c>
      <c r="M577" s="1184">
        <f t="shared" si="85"/>
        <v>3.0404254619208886</v>
      </c>
      <c r="N577" s="1184">
        <f t="shared" si="85"/>
        <v>3.1040139029092226</v>
      </c>
      <c r="O577" s="996"/>
    </row>
    <row r="578" spans="1:20" ht="15.5">
      <c r="B578" s="488"/>
      <c r="C578" s="1001"/>
      <c r="D578" s="1001"/>
      <c r="E578" s="1001"/>
      <c r="F578" s="1001"/>
      <c r="G578" s="1001"/>
      <c r="H578" s="1001"/>
      <c r="I578" s="1001"/>
      <c r="J578" s="1001"/>
      <c r="K578" s="1001"/>
      <c r="L578" s="1001"/>
      <c r="M578" s="1001"/>
      <c r="N578" s="1001"/>
      <c r="O578" s="1002"/>
    </row>
    <row r="579" spans="1:20">
      <c r="T579" s="6"/>
    </row>
    <row r="580" spans="1:20" ht="15">
      <c r="B580" s="986" t="s">
        <v>2720</v>
      </c>
      <c r="C580" s="988"/>
      <c r="D580" s="988"/>
      <c r="E580" s="988"/>
      <c r="F580" s="988"/>
      <c r="G580" s="988"/>
      <c r="H580" s="988"/>
      <c r="I580" s="988"/>
      <c r="J580" s="988"/>
      <c r="K580" s="988"/>
      <c r="L580" s="988"/>
      <c r="M580" s="988"/>
      <c r="N580" s="988"/>
      <c r="O580" s="989"/>
      <c r="T580" s="6"/>
    </row>
    <row r="581" spans="1:20" hidden="1">
      <c r="B581" s="993"/>
      <c r="C581" s="994"/>
      <c r="D581" s="994"/>
      <c r="E581" s="994"/>
      <c r="F581" s="994"/>
      <c r="G581" s="994"/>
      <c r="H581" s="994"/>
      <c r="I581" s="994"/>
      <c r="J581" s="994"/>
      <c r="K581" s="994"/>
      <c r="L581" s="994"/>
      <c r="M581" s="994"/>
      <c r="N581" s="994"/>
      <c r="O581" s="996"/>
    </row>
    <row r="582" spans="1:20" hidden="1">
      <c r="B582" s="993"/>
      <c r="C582" s="491" t="s">
        <v>2250</v>
      </c>
      <c r="D582" s="1003"/>
      <c r="E582" s="1003"/>
      <c r="F582" s="1003"/>
      <c r="G582" s="1003"/>
      <c r="H582" s="1003"/>
      <c r="I582" s="1003"/>
      <c r="J582" s="1003"/>
      <c r="K582" s="1003"/>
      <c r="L582" s="1003"/>
      <c r="M582" s="1003"/>
      <c r="N582" s="1004" t="s">
        <v>2736</v>
      </c>
      <c r="O582" s="996"/>
    </row>
    <row r="583" spans="1:20" hidden="1">
      <c r="B583" s="993"/>
      <c r="C583" s="994"/>
      <c r="D583" s="994"/>
      <c r="E583" s="994"/>
      <c r="F583" s="994"/>
      <c r="G583" s="994"/>
      <c r="H583" s="994"/>
      <c r="I583" s="994"/>
      <c r="J583" s="994"/>
      <c r="K583" s="994"/>
      <c r="L583" s="994"/>
      <c r="M583" s="994"/>
      <c r="N583" s="994"/>
      <c r="O583" s="996"/>
    </row>
    <row r="584" spans="1:20" ht="15.5" hidden="1">
      <c r="B584" s="483"/>
      <c r="C584" s="997" t="s">
        <v>28</v>
      </c>
      <c r="D584" s="997" t="s">
        <v>29</v>
      </c>
      <c r="E584" s="997" t="s">
        <v>30</v>
      </c>
      <c r="F584" s="997">
        <v>2013</v>
      </c>
      <c r="G584" s="997" t="s">
        <v>132</v>
      </c>
      <c r="H584" s="997" t="s">
        <v>133</v>
      </c>
      <c r="I584" s="997" t="s">
        <v>134</v>
      </c>
      <c r="J584" s="997" t="s">
        <v>135</v>
      </c>
      <c r="K584" s="997" t="s">
        <v>136</v>
      </c>
      <c r="L584" s="997" t="s">
        <v>137</v>
      </c>
      <c r="M584" s="997" t="s">
        <v>138</v>
      </c>
      <c r="N584" s="997" t="s">
        <v>139</v>
      </c>
      <c r="O584" s="1141"/>
    </row>
    <row r="585" spans="1:20" ht="15.5" hidden="1">
      <c r="B585" s="483"/>
      <c r="C585" s="1231" t="s">
        <v>325</v>
      </c>
      <c r="D585" s="485" t="s">
        <v>326</v>
      </c>
      <c r="E585" s="485"/>
      <c r="F585" s="486"/>
      <c r="G585" s="486"/>
      <c r="H585" s="486"/>
      <c r="I585" s="486"/>
      <c r="J585" s="486"/>
      <c r="K585" s="486"/>
      <c r="L585" s="486"/>
      <c r="M585" s="486"/>
      <c r="N585" s="486"/>
      <c r="O585" s="1141"/>
    </row>
    <row r="586" spans="1:20" ht="15.5" hidden="1">
      <c r="B586" s="483"/>
      <c r="C586" s="998" t="s">
        <v>332</v>
      </c>
      <c r="D586" s="485" t="s">
        <v>333</v>
      </c>
      <c r="E586" s="485"/>
      <c r="F586" s="497"/>
      <c r="G586" s="497"/>
      <c r="H586" s="497"/>
      <c r="I586" s="497"/>
      <c r="J586" s="497"/>
      <c r="K586" s="497"/>
      <c r="L586" s="497"/>
      <c r="M586" s="497"/>
      <c r="N586" s="497"/>
      <c r="O586" s="1141"/>
    </row>
    <row r="587" spans="1:20" ht="15.5" hidden="1">
      <c r="B587" s="483"/>
      <c r="C587" s="1231" t="s">
        <v>323</v>
      </c>
      <c r="D587" s="485" t="s">
        <v>324</v>
      </c>
      <c r="E587" s="2638"/>
      <c r="F587" s="497"/>
      <c r="G587" s="497"/>
      <c r="H587" s="497"/>
      <c r="I587" s="497"/>
      <c r="J587" s="497"/>
      <c r="K587" s="497"/>
      <c r="L587" s="497"/>
      <c r="M587" s="497"/>
      <c r="N587" s="497"/>
      <c r="O587" s="1141"/>
    </row>
    <row r="588" spans="1:20" ht="23.5" hidden="1">
      <c r="A588" s="7"/>
      <c r="B588" s="483"/>
      <c r="C588" s="1231" t="s">
        <v>330</v>
      </c>
      <c r="D588" s="495" t="s">
        <v>331</v>
      </c>
      <c r="E588" s="2638"/>
      <c r="F588" s="497"/>
      <c r="G588" s="497"/>
      <c r="H588" s="497"/>
      <c r="I588" s="497"/>
      <c r="J588" s="497"/>
      <c r="K588" s="497"/>
      <c r="L588" s="497"/>
      <c r="M588" s="497"/>
      <c r="N588" s="497"/>
      <c r="O588" s="1141"/>
    </row>
    <row r="589" spans="1:20" ht="15.5" hidden="1">
      <c r="B589" s="483"/>
      <c r="C589" s="998" t="s">
        <v>321</v>
      </c>
      <c r="D589" s="495" t="s">
        <v>322</v>
      </c>
      <c r="E589" s="2856"/>
      <c r="F589" s="486"/>
      <c r="G589" s="486"/>
      <c r="H589" s="486"/>
      <c r="I589" s="486"/>
      <c r="J589" s="486"/>
      <c r="K589" s="486"/>
      <c r="L589" s="486"/>
      <c r="M589" s="486"/>
      <c r="N589" s="486"/>
      <c r="O589" s="1141"/>
    </row>
    <row r="590" spans="1:20" hidden="1">
      <c r="B590" s="494"/>
      <c r="C590" s="998" t="s">
        <v>328</v>
      </c>
      <c r="D590" s="485" t="s">
        <v>329</v>
      </c>
      <c r="E590" s="2638"/>
      <c r="F590" s="497"/>
      <c r="G590" s="497"/>
      <c r="H590" s="497"/>
      <c r="I590" s="497"/>
      <c r="J590" s="497"/>
      <c r="K590" s="497"/>
      <c r="L590" s="497"/>
      <c r="M590" s="497"/>
      <c r="N590" s="497"/>
      <c r="O590" s="1142"/>
    </row>
    <row r="591" spans="1:20" hidden="1">
      <c r="B591" s="494"/>
      <c r="C591" s="994"/>
      <c r="D591" s="994"/>
      <c r="E591" s="994"/>
      <c r="F591" s="994"/>
      <c r="G591" s="994"/>
      <c r="H591" s="994"/>
      <c r="I591" s="994"/>
      <c r="J591" s="994"/>
      <c r="K591" s="994"/>
      <c r="L591" s="994"/>
      <c r="M591" s="994"/>
      <c r="N591" s="994"/>
      <c r="O591" s="1142"/>
    </row>
    <row r="592" spans="1:20" hidden="1">
      <c r="B592" s="494"/>
      <c r="C592" s="994"/>
      <c r="D592" s="994"/>
      <c r="E592" s="994"/>
      <c r="F592" s="994"/>
      <c r="G592" s="994"/>
      <c r="H592" s="994"/>
      <c r="I592" s="994"/>
      <c r="J592" s="994"/>
      <c r="K592" s="994"/>
      <c r="L592" s="994"/>
      <c r="M592" s="994"/>
      <c r="N592" s="994"/>
      <c r="O592" s="1142"/>
    </row>
    <row r="593" spans="1:15" ht="15.5" hidden="1">
      <c r="A593" s="434"/>
      <c r="B593" s="993"/>
      <c r="C593" s="491" t="s">
        <v>2251</v>
      </c>
      <c r="D593" s="1003"/>
      <c r="E593" s="1003"/>
      <c r="F593" s="1003"/>
      <c r="G593" s="1003"/>
      <c r="H593" s="1003"/>
      <c r="I593" s="1003"/>
      <c r="J593" s="1003"/>
      <c r="K593" s="1003"/>
      <c r="L593" s="1003"/>
      <c r="M593" s="1003"/>
      <c r="N593" s="1004" t="s">
        <v>2736</v>
      </c>
      <c r="O593" s="996"/>
    </row>
    <row r="594" spans="1:15" ht="15.5" hidden="1">
      <c r="A594" s="434"/>
      <c r="B594" s="993"/>
      <c r="C594" s="994"/>
      <c r="D594" s="994"/>
      <c r="E594" s="994"/>
      <c r="F594" s="994"/>
      <c r="G594" s="994"/>
      <c r="H594" s="994"/>
      <c r="I594" s="994"/>
      <c r="J594" s="994"/>
      <c r="K594" s="994"/>
      <c r="L594" s="994"/>
      <c r="M594" s="994"/>
      <c r="N594" s="994"/>
      <c r="O594" s="996"/>
    </row>
    <row r="595" spans="1:15" ht="15.5" hidden="1">
      <c r="A595" s="434"/>
      <c r="B595" s="483"/>
      <c r="C595" s="1377" t="s">
        <v>28</v>
      </c>
      <c r="D595" s="1377" t="s">
        <v>29</v>
      </c>
      <c r="E595" s="1377" t="s">
        <v>30</v>
      </c>
      <c r="F595" s="1377">
        <v>2013</v>
      </c>
      <c r="G595" s="1377" t="s">
        <v>132</v>
      </c>
      <c r="H595" s="1377" t="s">
        <v>133</v>
      </c>
      <c r="I595" s="1377" t="s">
        <v>134</v>
      </c>
      <c r="J595" s="1377" t="s">
        <v>135</v>
      </c>
      <c r="K595" s="1377" t="s">
        <v>136</v>
      </c>
      <c r="L595" s="1377" t="s">
        <v>137</v>
      </c>
      <c r="M595" s="1377" t="s">
        <v>138</v>
      </c>
      <c r="N595" s="1377" t="s">
        <v>139</v>
      </c>
      <c r="O595" s="1141"/>
    </row>
    <row r="596" spans="1:15" ht="15.5" hidden="1">
      <c r="A596" s="434"/>
      <c r="B596" s="2439"/>
      <c r="C596" s="1231" t="s">
        <v>325</v>
      </c>
      <c r="D596" s="485" t="s">
        <v>326</v>
      </c>
      <c r="E596" s="485"/>
      <c r="F596" s="486"/>
      <c r="G596" s="486"/>
      <c r="H596" s="486"/>
      <c r="I596" s="486"/>
      <c r="J596" s="486"/>
      <c r="K596" s="486"/>
      <c r="L596" s="486"/>
      <c r="M596" s="486"/>
      <c r="N596" s="486"/>
      <c r="O596" s="1231"/>
    </row>
    <row r="597" spans="1:15" ht="15.5" hidden="1">
      <c r="A597" s="434"/>
      <c r="B597" s="2439"/>
      <c r="C597" s="998" t="s">
        <v>332</v>
      </c>
      <c r="D597" s="485" t="s">
        <v>333</v>
      </c>
      <c r="E597" s="485"/>
      <c r="F597" s="497"/>
      <c r="G597" s="497"/>
      <c r="H597" s="497"/>
      <c r="I597" s="497"/>
      <c r="J597" s="497"/>
      <c r="K597" s="497"/>
      <c r="L597" s="497"/>
      <c r="M597" s="497"/>
      <c r="N597" s="497"/>
      <c r="O597" s="1231"/>
    </row>
    <row r="598" spans="1:15" ht="15.5" hidden="1">
      <c r="A598" s="434"/>
      <c r="B598" s="2439"/>
      <c r="C598" s="1231" t="s">
        <v>323</v>
      </c>
      <c r="D598" s="485" t="s">
        <v>324</v>
      </c>
      <c r="E598" s="495"/>
      <c r="F598" s="497"/>
      <c r="G598" s="497"/>
      <c r="H598" s="497"/>
      <c r="I598" s="497"/>
      <c r="J598" s="497"/>
      <c r="K598" s="497"/>
      <c r="L598" s="497"/>
      <c r="M598" s="497"/>
      <c r="N598" s="497"/>
      <c r="O598" s="1231"/>
    </row>
    <row r="599" spans="1:15" ht="15.5" hidden="1">
      <c r="A599" s="434"/>
      <c r="B599" s="2499"/>
      <c r="C599" s="1231" t="s">
        <v>330</v>
      </c>
      <c r="D599" s="495" t="s">
        <v>331</v>
      </c>
      <c r="E599" s="495"/>
      <c r="F599" s="497"/>
      <c r="G599" s="497"/>
      <c r="H599" s="497"/>
      <c r="I599" s="497"/>
      <c r="J599" s="497"/>
      <c r="K599" s="497"/>
      <c r="L599" s="497"/>
      <c r="M599" s="497"/>
      <c r="N599" s="497"/>
      <c r="O599" s="1232"/>
    </row>
    <row r="600" spans="1:15" ht="15.5" hidden="1">
      <c r="A600" s="434"/>
      <c r="B600" s="2499"/>
      <c r="C600" s="998" t="s">
        <v>321</v>
      </c>
      <c r="D600" s="495" t="s">
        <v>322</v>
      </c>
      <c r="E600" s="485"/>
      <c r="F600" s="486"/>
      <c r="G600" s="486"/>
      <c r="H600" s="486"/>
      <c r="I600" s="486"/>
      <c r="J600" s="486"/>
      <c r="K600" s="486"/>
      <c r="L600" s="486"/>
      <c r="M600" s="486"/>
      <c r="N600" s="486"/>
      <c r="O600" s="1232"/>
    </row>
    <row r="601" spans="1:15" hidden="1">
      <c r="B601" s="994"/>
      <c r="C601" s="998" t="s">
        <v>328</v>
      </c>
      <c r="D601" s="485" t="s">
        <v>329</v>
      </c>
      <c r="E601" s="495"/>
      <c r="F601" s="497"/>
      <c r="G601" s="497"/>
      <c r="H601" s="497"/>
      <c r="I601" s="497"/>
      <c r="J601" s="497"/>
      <c r="K601" s="497"/>
      <c r="L601" s="497"/>
      <c r="M601" s="497"/>
      <c r="N601" s="497"/>
      <c r="O601" s="994"/>
    </row>
    <row r="602" spans="1:15" ht="23.5" hidden="1">
      <c r="A602" s="7"/>
      <c r="B602" s="1003"/>
      <c r="C602" s="1003"/>
      <c r="D602" s="1003"/>
      <c r="E602" s="1003"/>
      <c r="F602" s="1003"/>
      <c r="G602" s="1003"/>
      <c r="H602" s="1003"/>
      <c r="I602" s="1003"/>
      <c r="J602" s="1003"/>
      <c r="K602" s="1003"/>
      <c r="L602" s="1003"/>
      <c r="M602" s="1003"/>
      <c r="N602" s="1003"/>
      <c r="O602" s="1003"/>
    </row>
  </sheetData>
  <mergeCells count="3">
    <mergeCell ref="U286:V286"/>
    <mergeCell ref="W286:X286"/>
    <mergeCell ref="R290:R297"/>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9"/>
  </sheetPr>
  <dimension ref="A1:AF262"/>
  <sheetViews>
    <sheetView showGridLines="0" zoomScale="80" zoomScaleNormal="80" workbookViewId="0">
      <selection activeCell="E7" sqref="E7"/>
    </sheetView>
  </sheetViews>
  <sheetFormatPr defaultColWidth="8.81640625" defaultRowHeight="14.5"/>
  <cols>
    <col min="1" max="1" width="7.7265625" style="3692" customWidth="1"/>
    <col min="2" max="2" width="5.81640625" style="3692" customWidth="1"/>
    <col min="3" max="3" width="20.453125" style="3692" customWidth="1"/>
    <col min="4" max="4" width="30.7265625" style="3692" customWidth="1"/>
    <col min="5" max="5" width="20.7265625" style="3692" customWidth="1"/>
    <col min="6" max="14" width="17.7265625" style="3692" customWidth="1"/>
    <col min="15" max="15" width="2" style="3692" customWidth="1"/>
    <col min="16" max="16" width="10.81640625" style="3692" customWidth="1"/>
    <col min="17" max="17" width="11.7265625" style="3692" bestFit="1" customWidth="1"/>
    <col min="18" max="18" width="10" style="3692" bestFit="1" customWidth="1"/>
    <col min="19" max="16384" width="8.81640625" style="3692"/>
  </cols>
  <sheetData>
    <row r="1" spans="1:17" ht="20">
      <c r="A1" s="854" t="s">
        <v>503</v>
      </c>
      <c r="B1" s="854" t="s">
        <v>504</v>
      </c>
      <c r="C1" s="854"/>
    </row>
    <row r="2" spans="1:17" s="6" customFormat="1" ht="15">
      <c r="A2" s="855" t="s">
        <v>497</v>
      </c>
      <c r="B2" s="855" t="s">
        <v>498</v>
      </c>
      <c r="C2" s="855"/>
      <c r="E2" s="5"/>
      <c r="L2" s="6" t="s">
        <v>5</v>
      </c>
    </row>
    <row r="4" spans="1:17" ht="23.5">
      <c r="A4" s="7"/>
      <c r="B4" s="502" t="s">
        <v>352</v>
      </c>
      <c r="C4" s="1145"/>
      <c r="D4" s="503"/>
      <c r="E4" s="504"/>
      <c r="F4" s="503"/>
      <c r="G4" s="503"/>
      <c r="H4" s="503"/>
      <c r="I4" s="503"/>
      <c r="J4" s="503"/>
      <c r="K4" s="503"/>
      <c r="L4" s="503"/>
      <c r="M4" s="503"/>
      <c r="N4" s="503"/>
      <c r="O4" s="857"/>
      <c r="Q4" s="354"/>
    </row>
    <row r="5" spans="1:17">
      <c r="B5" s="505"/>
      <c r="C5" s="12"/>
      <c r="D5" s="506"/>
      <c r="E5" s="507"/>
      <c r="F5" s="506"/>
      <c r="G5" s="506"/>
      <c r="H5" s="506"/>
      <c r="I5" s="506"/>
      <c r="J5" s="506"/>
      <c r="K5" s="506"/>
      <c r="L5" s="506"/>
      <c r="M5" s="506"/>
      <c r="N5" s="506"/>
      <c r="O5" s="858"/>
    </row>
    <row r="6" spans="1:17" ht="15.5">
      <c r="B6" s="15"/>
      <c r="C6" s="506"/>
      <c r="D6" s="16" t="s">
        <v>7</v>
      </c>
      <c r="E6" s="16" t="s">
        <v>8</v>
      </c>
      <c r="F6" s="506"/>
      <c r="G6" s="506"/>
      <c r="H6" s="506"/>
      <c r="I6" s="506"/>
      <c r="J6" s="506"/>
      <c r="K6" s="506"/>
      <c r="L6" s="506"/>
      <c r="M6" s="506"/>
      <c r="N6" s="506"/>
      <c r="O6" s="858"/>
    </row>
    <row r="7" spans="1:17" ht="15.5">
      <c r="B7" s="15"/>
      <c r="C7" s="506"/>
      <c r="D7" s="859" t="s">
        <v>8</v>
      </c>
      <c r="E7" s="859">
        <f>VI.c.Scenario</f>
        <v>1</v>
      </c>
      <c r="F7" s="506"/>
      <c r="G7" s="506"/>
      <c r="H7" s="506"/>
      <c r="I7" s="506"/>
      <c r="J7" s="506"/>
      <c r="K7" s="506"/>
      <c r="L7" s="506"/>
      <c r="M7" s="506"/>
      <c r="N7" s="506"/>
      <c r="O7" s="858"/>
    </row>
    <row r="8" spans="1:17" ht="15.5">
      <c r="B8" s="441"/>
      <c r="C8" s="443"/>
      <c r="D8" s="443"/>
      <c r="E8" s="443"/>
      <c r="F8" s="860"/>
      <c r="G8" s="860"/>
      <c r="H8" s="860"/>
      <c r="I8" s="860"/>
      <c r="J8" s="860"/>
      <c r="K8" s="860"/>
      <c r="L8" s="860"/>
      <c r="M8" s="860"/>
      <c r="N8" s="860"/>
      <c r="O8" s="861"/>
    </row>
    <row r="10" spans="1:17" ht="23.5">
      <c r="A10" s="7"/>
      <c r="B10" s="869" t="s">
        <v>33</v>
      </c>
      <c r="C10" s="870"/>
      <c r="D10" s="870"/>
      <c r="E10" s="870"/>
      <c r="F10" s="870"/>
      <c r="G10" s="870"/>
      <c r="H10" s="870"/>
      <c r="I10" s="870"/>
      <c r="J10" s="870"/>
      <c r="K10" s="870"/>
      <c r="L10" s="870"/>
      <c r="M10" s="870"/>
      <c r="N10" s="870"/>
      <c r="O10" s="871"/>
    </row>
    <row r="11" spans="1:17">
      <c r="B11" s="105"/>
      <c r="C11" s="67"/>
      <c r="D11" s="67"/>
      <c r="E11" s="67"/>
      <c r="F11" s="67"/>
      <c r="G11" s="67"/>
      <c r="H11" s="67"/>
      <c r="I11" s="67"/>
      <c r="J11" s="67"/>
      <c r="K11" s="67"/>
      <c r="L11" s="67"/>
      <c r="M11" s="67"/>
      <c r="N11" s="67"/>
      <c r="O11" s="876"/>
    </row>
    <row r="12" spans="1:17">
      <c r="B12" s="105"/>
      <c r="C12" s="49" t="s">
        <v>2880</v>
      </c>
      <c r="D12" s="67"/>
      <c r="E12" s="51"/>
      <c r="F12" s="67"/>
      <c r="G12" s="67"/>
      <c r="H12" s="67"/>
      <c r="I12" s="67"/>
      <c r="J12" s="67"/>
      <c r="K12" s="67"/>
      <c r="L12" s="67"/>
      <c r="M12" s="67"/>
      <c r="N12" s="51" t="str">
        <f>Preferences.AreaUnits</f>
        <v>km^2</v>
      </c>
      <c r="O12" s="876"/>
    </row>
    <row r="13" spans="1:17">
      <c r="B13" s="105"/>
      <c r="C13" s="67"/>
      <c r="D13" s="67"/>
      <c r="E13" s="67"/>
      <c r="F13" s="67"/>
      <c r="G13" s="67"/>
      <c r="H13" s="67"/>
      <c r="I13" s="67"/>
      <c r="J13" s="67"/>
      <c r="K13" s="67"/>
      <c r="L13" s="67"/>
      <c r="M13" s="67"/>
      <c r="N13" s="67"/>
      <c r="O13" s="876"/>
    </row>
    <row r="14" spans="1:17" ht="15.5">
      <c r="B14" s="55"/>
      <c r="C14" s="878" t="s">
        <v>8</v>
      </c>
      <c r="D14" s="878" t="s">
        <v>71</v>
      </c>
      <c r="E14" s="878" t="s">
        <v>30</v>
      </c>
      <c r="F14" s="899">
        <v>2013</v>
      </c>
      <c r="G14" s="87">
        <v>2015</v>
      </c>
      <c r="H14" s="87">
        <v>2020</v>
      </c>
      <c r="I14" s="87">
        <v>2025</v>
      </c>
      <c r="J14" s="87">
        <v>2030</v>
      </c>
      <c r="K14" s="87">
        <v>2035</v>
      </c>
      <c r="L14" s="87">
        <v>2040</v>
      </c>
      <c r="M14" s="87">
        <v>2045</v>
      </c>
      <c r="N14" s="87">
        <v>2050</v>
      </c>
      <c r="O14" s="876"/>
    </row>
    <row r="15" spans="1:17" ht="15.5">
      <c r="B15" s="966"/>
      <c r="C15" s="65">
        <v>1</v>
      </c>
      <c r="D15" s="103"/>
      <c r="E15" s="881"/>
      <c r="F15" s="2639">
        <v>0</v>
      </c>
      <c r="G15" s="2639">
        <v>0</v>
      </c>
      <c r="H15" s="2639">
        <v>0</v>
      </c>
      <c r="I15" s="2639">
        <v>0</v>
      </c>
      <c r="J15" s="2639">
        <v>0</v>
      </c>
      <c r="K15" s="2639">
        <v>0</v>
      </c>
      <c r="L15" s="2639">
        <v>0</v>
      </c>
      <c r="M15" s="2639">
        <v>0</v>
      </c>
      <c r="N15" s="2639">
        <v>0</v>
      </c>
      <c r="O15" s="884"/>
    </row>
    <row r="16" spans="1:17" ht="15.5">
      <c r="B16" s="55"/>
      <c r="C16" s="65">
        <v>2</v>
      </c>
      <c r="D16" s="103"/>
      <c r="E16" s="103"/>
      <c r="F16" s="2639">
        <v>0</v>
      </c>
      <c r="G16" s="2918">
        <v>0</v>
      </c>
      <c r="H16" s="2918">
        <v>0</v>
      </c>
      <c r="I16" s="3376">
        <f>(Unit.km2)*5</f>
        <v>5</v>
      </c>
      <c r="J16" s="3376">
        <f>(Unit.km2)*10</f>
        <v>10</v>
      </c>
      <c r="K16" s="3376">
        <f>(Unit.km2)*25</f>
        <v>25</v>
      </c>
      <c r="L16" s="3376">
        <f>(Unit.km2)*100</f>
        <v>100</v>
      </c>
      <c r="M16" s="3376">
        <f>(Unit.km2)*250</f>
        <v>250</v>
      </c>
      <c r="N16" s="3376">
        <f>(Unit.km2)*400</f>
        <v>400</v>
      </c>
      <c r="O16" s="876"/>
      <c r="Q16" s="409"/>
    </row>
    <row r="17" spans="1:20" ht="15.5">
      <c r="B17" s="55"/>
      <c r="C17" s="65">
        <v>3</v>
      </c>
      <c r="D17" s="103"/>
      <c r="E17" s="103"/>
      <c r="F17" s="2639">
        <v>0</v>
      </c>
      <c r="G17" s="2918">
        <v>0</v>
      </c>
      <c r="H17" s="2918">
        <v>0</v>
      </c>
      <c r="I17" s="3376">
        <f>(Unit.km2)*10</f>
        <v>10</v>
      </c>
      <c r="J17" s="3376">
        <f>(Unit.km2)*50</f>
        <v>50</v>
      </c>
      <c r="K17" s="3376">
        <f>(Unit.km2)*100</f>
        <v>100</v>
      </c>
      <c r="L17" s="3376">
        <f>(Unit.km2)*250</f>
        <v>250</v>
      </c>
      <c r="M17" s="3376">
        <f>(Unit.km2)*600</f>
        <v>600</v>
      </c>
      <c r="N17" s="3376">
        <f>(Unit.km2)*900</f>
        <v>900</v>
      </c>
      <c r="O17" s="876"/>
    </row>
    <row r="18" spans="1:20" ht="15.5">
      <c r="B18" s="55"/>
      <c r="C18" s="887">
        <v>4</v>
      </c>
      <c r="D18" s="888"/>
      <c r="E18" s="888"/>
      <c r="F18" s="2640">
        <v>0</v>
      </c>
      <c r="G18" s="3477">
        <v>0</v>
      </c>
      <c r="H18" s="3477">
        <v>0</v>
      </c>
      <c r="I18" s="3714">
        <f>(Unit.km2)*10</f>
        <v>10</v>
      </c>
      <c r="J18" s="3714">
        <f>(Unit.km2)*100</f>
        <v>100</v>
      </c>
      <c r="K18" s="3714">
        <f>(Unit.km2)*400</f>
        <v>400</v>
      </c>
      <c r="L18" s="3714">
        <f>(Unit.km2)*1000</f>
        <v>1000</v>
      </c>
      <c r="M18" s="3714">
        <f>(Unit.km2)*1500</f>
        <v>1500</v>
      </c>
      <c r="N18" s="3714">
        <f>(Unit.km2)*2100</f>
        <v>2100</v>
      </c>
      <c r="O18" s="876"/>
    </row>
    <row r="19" spans="1:20" ht="15.5">
      <c r="B19" s="55"/>
      <c r="C19" s="1015" t="s">
        <v>37</v>
      </c>
      <c r="D19" s="892"/>
      <c r="E19" s="892"/>
      <c r="F19" s="3318">
        <f>(INDEX(F$15:F$18,ROUNDDOWN($E$7,0))*(1-MOD($E$7,1)))+(INDEX(F$15:F$18,ROUNDUP($E$7,0))*MOD($E$7,1))</f>
        <v>0</v>
      </c>
      <c r="G19" s="3319">
        <f t="shared" ref="G19:N19" si="0">(INDEX(G$15:G$18,ROUNDDOWN($E$7,0))*(1-MOD($E$7,1)))+(INDEX(G$15:G$18,ROUNDUP($E$7,0))*MOD($E$7,1))</f>
        <v>0</v>
      </c>
      <c r="H19" s="3318">
        <f t="shared" si="0"/>
        <v>0</v>
      </c>
      <c r="I19" s="3717">
        <f t="shared" si="0"/>
        <v>0</v>
      </c>
      <c r="J19" s="3717">
        <f t="shared" si="0"/>
        <v>0</v>
      </c>
      <c r="K19" s="3717">
        <f t="shared" si="0"/>
        <v>0</v>
      </c>
      <c r="L19" s="3717">
        <f t="shared" si="0"/>
        <v>0</v>
      </c>
      <c r="M19" s="3717">
        <f t="shared" si="0"/>
        <v>0</v>
      </c>
      <c r="N19" s="3717">
        <f t="shared" si="0"/>
        <v>0</v>
      </c>
      <c r="O19" s="876"/>
    </row>
    <row r="20" spans="1:20">
      <c r="B20" s="45"/>
      <c r="C20" s="67"/>
      <c r="D20" s="195"/>
      <c r="E20" s="67"/>
      <c r="F20" s="67"/>
      <c r="G20" s="67"/>
      <c r="H20" s="67"/>
      <c r="I20" s="67"/>
      <c r="J20" s="67"/>
      <c r="K20" s="67"/>
      <c r="L20" s="67"/>
      <c r="M20" s="67"/>
      <c r="N20" s="67"/>
      <c r="O20" s="876"/>
    </row>
    <row r="21" spans="1:20">
      <c r="B21" s="45"/>
      <c r="C21" s="1347" t="s">
        <v>63</v>
      </c>
      <c r="D21" s="3716"/>
      <c r="E21" s="67"/>
      <c r="F21" s="67"/>
      <c r="G21" s="67"/>
      <c r="H21" s="67"/>
      <c r="I21" s="67"/>
      <c r="J21" s="67"/>
      <c r="K21" s="67"/>
      <c r="L21" s="67"/>
      <c r="M21" s="67"/>
      <c r="N21" s="67"/>
      <c r="O21" s="876"/>
    </row>
    <row r="22" spans="1:20">
      <c r="B22" s="46"/>
      <c r="C22" s="3827" t="s">
        <v>64</v>
      </c>
      <c r="D22" s="3846" t="s">
        <v>3020</v>
      </c>
      <c r="E22" s="3716"/>
      <c r="F22" s="67"/>
      <c r="G22" s="67"/>
      <c r="H22" s="67"/>
      <c r="I22" s="67"/>
      <c r="J22" s="67"/>
      <c r="K22" s="67"/>
      <c r="L22" s="67"/>
      <c r="M22" s="67"/>
      <c r="N22" s="67"/>
      <c r="O22" s="67"/>
      <c r="T22" s="3692" t="s">
        <v>5</v>
      </c>
    </row>
    <row r="23" spans="1:20">
      <c r="B23" s="46"/>
      <c r="C23" s="3828"/>
      <c r="D23" s="3830" t="s">
        <v>3021</v>
      </c>
      <c r="E23" s="195"/>
      <c r="F23" s="67"/>
      <c r="G23" s="67"/>
      <c r="H23" s="67"/>
      <c r="I23" s="67"/>
      <c r="J23" s="67"/>
      <c r="K23" s="67"/>
      <c r="L23" s="67"/>
      <c r="M23" s="67"/>
      <c r="N23" s="67"/>
      <c r="O23" s="67"/>
    </row>
    <row r="24" spans="1:20">
      <c r="B24" s="46"/>
      <c r="C24" s="3828"/>
      <c r="D24" s="3830"/>
      <c r="E24" s="195"/>
      <c r="F24" s="67"/>
      <c r="G24" s="67"/>
      <c r="H24" s="67"/>
      <c r="I24" s="67"/>
      <c r="J24" s="67"/>
      <c r="K24" s="67"/>
      <c r="L24" s="67"/>
      <c r="M24" s="67"/>
      <c r="N24" s="67"/>
      <c r="O24" s="67"/>
    </row>
    <row r="26" spans="1:20" s="6" customFormat="1" ht="23.5">
      <c r="A26" s="40"/>
      <c r="B26" s="869" t="s">
        <v>69</v>
      </c>
      <c r="C26" s="870"/>
      <c r="D26" s="870"/>
      <c r="E26" s="870"/>
      <c r="F26" s="870"/>
      <c r="G26" s="870"/>
      <c r="H26" s="870"/>
      <c r="I26" s="870"/>
      <c r="J26" s="870"/>
      <c r="K26" s="870"/>
      <c r="L26" s="870"/>
      <c r="M26" s="870"/>
      <c r="N26" s="870"/>
      <c r="O26" s="871"/>
    </row>
    <row r="27" spans="1:20">
      <c r="B27" s="105"/>
      <c r="C27" s="67"/>
      <c r="D27" s="67"/>
      <c r="E27" s="67"/>
      <c r="F27" s="67"/>
      <c r="G27" s="67"/>
      <c r="H27" s="67"/>
      <c r="I27" s="67"/>
      <c r="J27" s="67"/>
      <c r="K27" s="67"/>
      <c r="L27" s="67"/>
      <c r="M27" s="67"/>
      <c r="N27" s="67"/>
      <c r="O27" s="876"/>
    </row>
    <row r="28" spans="1:20">
      <c r="B28" s="105"/>
      <c r="C28" s="49" t="s">
        <v>2865</v>
      </c>
      <c r="D28" s="67"/>
      <c r="E28" s="67"/>
      <c r="F28" s="67"/>
      <c r="G28" s="67"/>
      <c r="H28" s="67"/>
      <c r="I28" s="67"/>
      <c r="J28" s="67"/>
      <c r="K28" s="67"/>
      <c r="L28" s="67"/>
      <c r="M28" s="67"/>
      <c r="N28" s="51" t="s">
        <v>2866</v>
      </c>
      <c r="O28" s="876"/>
    </row>
    <row r="29" spans="1:20">
      <c r="B29" s="105"/>
      <c r="C29" s="67"/>
      <c r="D29" s="67"/>
      <c r="E29" s="67"/>
      <c r="F29" s="67"/>
      <c r="G29" s="67"/>
      <c r="H29" s="67"/>
      <c r="I29" s="67"/>
      <c r="J29" s="67"/>
      <c r="K29" s="67"/>
      <c r="L29" s="67"/>
      <c r="M29" s="67"/>
      <c r="N29" s="67"/>
      <c r="O29" s="876"/>
    </row>
    <row r="30" spans="1:20" ht="15.5">
      <c r="B30" s="55"/>
      <c r="C30" s="878" t="s">
        <v>773</v>
      </c>
      <c r="D30" s="878" t="s">
        <v>71</v>
      </c>
      <c r="E30" s="878" t="s">
        <v>30</v>
      </c>
      <c r="F30" s="899">
        <v>2013</v>
      </c>
      <c r="G30" s="87">
        <v>2015</v>
      </c>
      <c r="H30" s="87">
        <v>2020</v>
      </c>
      <c r="I30" s="87">
        <v>2025</v>
      </c>
      <c r="J30" s="87">
        <v>2030</v>
      </c>
      <c r="K30" s="87">
        <v>2035</v>
      </c>
      <c r="L30" s="87">
        <v>2040</v>
      </c>
      <c r="M30" s="87">
        <v>2045</v>
      </c>
      <c r="N30" s="87">
        <v>2050</v>
      </c>
      <c r="O30" s="876"/>
    </row>
    <row r="31" spans="1:20" ht="15.5">
      <c r="B31" s="55"/>
      <c r="C31" s="907" t="s">
        <v>2867</v>
      </c>
      <c r="D31" s="908" t="s">
        <v>2868</v>
      </c>
      <c r="E31" s="908"/>
      <c r="F31" s="3422">
        <v>0</v>
      </c>
      <c r="G31" s="3480">
        <v>0</v>
      </c>
      <c r="H31" s="3423">
        <v>0</v>
      </c>
      <c r="I31" s="3423">
        <v>10</v>
      </c>
      <c r="J31" s="3423">
        <v>15</v>
      </c>
      <c r="K31" s="3423">
        <v>20</v>
      </c>
      <c r="L31" s="3423">
        <v>20</v>
      </c>
      <c r="M31" s="3423">
        <v>20</v>
      </c>
      <c r="N31" s="3423">
        <v>20</v>
      </c>
      <c r="O31" s="876"/>
      <c r="Q31"/>
      <c r="R31"/>
    </row>
    <row r="32" spans="1:20">
      <c r="B32" s="105"/>
      <c r="C32" s="67"/>
      <c r="D32" s="67"/>
      <c r="E32" s="67"/>
      <c r="F32" s="67"/>
      <c r="G32" s="67"/>
      <c r="H32" s="67"/>
      <c r="I32" s="67"/>
      <c r="J32" s="67"/>
      <c r="K32" s="67"/>
      <c r="L32" s="67"/>
      <c r="M32" s="67"/>
      <c r="N32" s="67"/>
      <c r="O32" s="876"/>
    </row>
    <row r="33" spans="1:32">
      <c r="B33" s="105"/>
      <c r="C33" s="49" t="s">
        <v>2869</v>
      </c>
      <c r="D33" s="67"/>
      <c r="E33" s="67"/>
      <c r="F33" s="51" t="str">
        <f>Preferences.EnergyUnits &amp; " / M tonnes"</f>
        <v>TWh / M tonnes</v>
      </c>
      <c r="G33" s="67"/>
      <c r="H33" s="67"/>
      <c r="I33" s="67"/>
      <c r="J33" s="67"/>
      <c r="K33" s="67"/>
      <c r="L33" s="67"/>
      <c r="M33" s="67"/>
      <c r="N33" s="51"/>
      <c r="O33" s="876"/>
    </row>
    <row r="34" spans="1:32">
      <c r="B34" s="105"/>
      <c r="C34" s="67"/>
      <c r="D34" s="67"/>
      <c r="E34" s="67"/>
      <c r="F34" s="67"/>
      <c r="G34" s="67"/>
      <c r="H34" s="67"/>
      <c r="I34" s="67"/>
      <c r="J34" s="67"/>
      <c r="K34" s="67"/>
      <c r="L34" s="67"/>
      <c r="M34" s="67"/>
      <c r="N34" s="67"/>
      <c r="O34" s="876"/>
    </row>
    <row r="35" spans="1:32" ht="15.5">
      <c r="B35" s="55"/>
      <c r="C35" s="878" t="s">
        <v>773</v>
      </c>
      <c r="D35" s="878" t="s">
        <v>71</v>
      </c>
      <c r="E35" s="878" t="s">
        <v>30</v>
      </c>
      <c r="F35" s="900">
        <v>2013</v>
      </c>
      <c r="G35" s="911"/>
      <c r="H35" s="911"/>
      <c r="I35" s="911"/>
      <c r="J35" s="911"/>
      <c r="K35" s="911"/>
      <c r="L35" s="911"/>
      <c r="M35" s="911"/>
      <c r="N35" s="911"/>
      <c r="O35" s="876"/>
    </row>
    <row r="36" spans="1:32" ht="15.5">
      <c r="B36" s="55"/>
      <c r="C36" s="907" t="s">
        <v>2867</v>
      </c>
      <c r="D36" s="908" t="s">
        <v>2868</v>
      </c>
      <c r="E36" s="908"/>
      <c r="F36" s="3422">
        <f>14*Unit.PJ</f>
        <v>3.8888888888888893</v>
      </c>
      <c r="G36" s="2569"/>
      <c r="H36" s="2493"/>
      <c r="I36" s="2493"/>
      <c r="J36" s="2493"/>
      <c r="K36" s="2493"/>
      <c r="L36" s="2493"/>
      <c r="M36" s="2493"/>
      <c r="N36" s="2493"/>
      <c r="O36" s="876"/>
    </row>
    <row r="37" spans="1:32">
      <c r="B37" s="45"/>
      <c r="C37" s="1161"/>
      <c r="D37" s="921"/>
      <c r="E37" s="67"/>
      <c r="F37" s="67"/>
      <c r="G37" s="67"/>
      <c r="H37" s="67"/>
      <c r="I37" s="67"/>
      <c r="J37" s="67"/>
      <c r="K37" s="67"/>
      <c r="L37" s="67"/>
      <c r="M37" s="67"/>
      <c r="N37" s="67"/>
      <c r="O37" s="876"/>
    </row>
    <row r="38" spans="1:32" s="918" customFormat="1" ht="13">
      <c r="B38" s="1160"/>
      <c r="C38" s="920"/>
      <c r="D38" s="921"/>
      <c r="E38" s="922"/>
      <c r="F38" s="922"/>
      <c r="G38" s="922"/>
      <c r="H38" s="922"/>
      <c r="I38" s="922"/>
      <c r="J38" s="922"/>
      <c r="K38" s="922"/>
      <c r="L38" s="922"/>
      <c r="M38" s="922"/>
      <c r="N38" s="922"/>
      <c r="O38" s="923"/>
    </row>
    <row r="39" spans="1:32">
      <c r="P39" s="1410"/>
      <c r="Q39" s="1410"/>
      <c r="R39" s="1410"/>
    </row>
    <row r="40" spans="1:32" s="6" customFormat="1" ht="15.75" customHeight="1" collapsed="1">
      <c r="A40" s="40"/>
      <c r="B40" s="869" t="s">
        <v>2719</v>
      </c>
      <c r="C40" s="870"/>
      <c r="D40" s="870"/>
      <c r="E40" s="870"/>
      <c r="F40" s="870"/>
      <c r="G40" s="870"/>
      <c r="H40" s="870"/>
      <c r="I40" s="870"/>
      <c r="J40" s="870"/>
      <c r="K40" s="870"/>
      <c r="L40" s="870"/>
      <c r="M40" s="870"/>
      <c r="N40" s="870"/>
      <c r="O40" s="871"/>
      <c r="P40" s="850"/>
      <c r="Q40" s="3708"/>
      <c r="R40" s="647"/>
      <c r="S40" s="647"/>
      <c r="T40" s="647"/>
      <c r="U40" s="647"/>
      <c r="V40" s="647"/>
      <c r="W40" s="647"/>
      <c r="X40" s="647"/>
      <c r="Y40" s="647"/>
      <c r="Z40" s="647"/>
      <c r="AA40" s="647"/>
      <c r="AB40" s="647"/>
      <c r="AC40" s="647"/>
      <c r="AD40" s="647"/>
      <c r="AE40" s="647"/>
      <c r="AF40" s="647"/>
    </row>
    <row r="41" spans="1:32" ht="4.5" customHeight="1">
      <c r="B41" s="872"/>
      <c r="C41" s="873"/>
      <c r="D41" s="873"/>
      <c r="E41" s="873"/>
      <c r="F41" s="873"/>
      <c r="G41" s="873"/>
      <c r="H41" s="873"/>
      <c r="I41" s="873"/>
      <c r="J41" s="873"/>
      <c r="K41" s="873"/>
      <c r="L41" s="873"/>
      <c r="M41" s="873"/>
      <c r="N41" s="873"/>
      <c r="O41" s="874"/>
      <c r="P41" s="3693"/>
      <c r="Q41" s="1164"/>
      <c r="R41" s="1164"/>
      <c r="S41" s="1068"/>
      <c r="T41" s="1068"/>
      <c r="U41" s="1068"/>
      <c r="V41" s="1068"/>
      <c r="W41" s="1068"/>
      <c r="X41" s="1068"/>
      <c r="Y41" s="1068"/>
      <c r="Z41" s="1068"/>
      <c r="AA41" s="1068"/>
      <c r="AB41" s="1068"/>
      <c r="AC41" s="1068"/>
      <c r="AD41" s="1068"/>
      <c r="AE41" s="1068"/>
      <c r="AF41" s="1068"/>
    </row>
    <row r="42" spans="1:32" hidden="1">
      <c r="B42" s="105"/>
      <c r="C42" s="49" t="s">
        <v>2870</v>
      </c>
      <c r="D42" s="915"/>
      <c r="E42" s="932"/>
      <c r="F42" s="2489"/>
      <c r="G42" s="934"/>
      <c r="H42" s="934"/>
      <c r="I42" s="934"/>
      <c r="J42" s="934"/>
      <c r="K42" s="934"/>
      <c r="L42" s="934"/>
      <c r="M42" s="934"/>
      <c r="N42" s="935" t="s">
        <v>2878</v>
      </c>
      <c r="O42" s="876"/>
      <c r="P42" s="3693"/>
      <c r="Q42" s="1410"/>
      <c r="R42" s="2466"/>
      <c r="S42" s="202"/>
      <c r="T42" s="1419"/>
      <c r="U42" s="1419"/>
      <c r="V42" s="1419"/>
      <c r="W42" s="1068"/>
      <c r="X42" s="1068"/>
      <c r="Y42" s="1068"/>
      <c r="Z42" s="1068"/>
      <c r="AA42" s="1068"/>
      <c r="AB42" s="1068"/>
      <c r="AC42" s="1068"/>
      <c r="AD42" s="1068"/>
      <c r="AE42" s="1068"/>
      <c r="AF42" s="1068"/>
    </row>
    <row r="43" spans="1:32" ht="4.5" hidden="1" customHeight="1">
      <c r="B43" s="105"/>
      <c r="C43" s="937"/>
      <c r="D43" s="915"/>
      <c r="E43" s="932"/>
      <c r="F43" s="2489"/>
      <c r="G43" s="934"/>
      <c r="H43" s="934"/>
      <c r="I43" s="934"/>
      <c r="J43" s="934"/>
      <c r="K43" s="934"/>
      <c r="L43" s="934"/>
      <c r="M43" s="934"/>
      <c r="N43" s="67"/>
      <c r="O43" s="876"/>
      <c r="P43" s="3693"/>
      <c r="Q43" s="1410"/>
      <c r="R43" s="2466"/>
      <c r="S43" s="1068"/>
      <c r="T43" s="1068"/>
      <c r="U43" s="3709"/>
      <c r="V43" s="3709"/>
      <c r="W43" s="1068"/>
      <c r="X43" s="1068"/>
      <c r="Y43" s="1068"/>
      <c r="Z43" s="1068"/>
      <c r="AA43" s="1068"/>
      <c r="AB43" s="1068"/>
      <c r="AC43" s="1068"/>
      <c r="AD43" s="1068"/>
      <c r="AE43" s="1068"/>
      <c r="AF43" s="1068"/>
    </row>
    <row r="44" spans="1:32" hidden="1" collapsed="1">
      <c r="B44" s="105"/>
      <c r="C44" s="938"/>
      <c r="D44" s="939"/>
      <c r="E44" s="940" t="s">
        <v>159</v>
      </c>
      <c r="F44" s="941">
        <v>2013</v>
      </c>
      <c r="G44" s="942">
        <v>2015</v>
      </c>
      <c r="H44" s="942">
        <v>2020</v>
      </c>
      <c r="I44" s="942">
        <v>2025</v>
      </c>
      <c r="J44" s="942">
        <v>2030</v>
      </c>
      <c r="K44" s="942">
        <v>2035</v>
      </c>
      <c r="L44" s="942">
        <v>2040</v>
      </c>
      <c r="M44" s="942">
        <v>2045</v>
      </c>
      <c r="N44" s="942">
        <v>2050</v>
      </c>
      <c r="O44" s="876"/>
      <c r="P44" s="3693"/>
      <c r="Q44" s="1410"/>
      <c r="R44" s="1164"/>
      <c r="S44" s="1068"/>
      <c r="T44" s="1068"/>
      <c r="U44" s="1068"/>
      <c r="V44" s="1068"/>
      <c r="W44" s="1068"/>
      <c r="X44" s="1068"/>
      <c r="Y44" s="1068"/>
      <c r="Z44" s="1068"/>
      <c r="AA44" s="1068"/>
      <c r="AB44" s="1068"/>
      <c r="AC44" s="1068"/>
      <c r="AD44" s="1068"/>
      <c r="AE44" s="1068"/>
      <c r="AF44" s="1068"/>
    </row>
    <row r="45" spans="1:32" hidden="1">
      <c r="B45" s="105"/>
      <c r="C45" s="943" t="s">
        <v>719</v>
      </c>
      <c r="D45" s="915"/>
      <c r="E45" s="2395"/>
      <c r="F45" s="2398"/>
      <c r="G45" s="2398"/>
      <c r="H45" s="2398"/>
      <c r="I45" s="2398"/>
      <c r="J45" s="2398"/>
      <c r="K45" s="2398"/>
      <c r="L45" s="2398"/>
      <c r="M45" s="2398"/>
      <c r="N45" s="2398"/>
      <c r="O45" s="876"/>
      <c r="P45" s="3693"/>
      <c r="Q45" s="1410"/>
      <c r="R45" s="1164"/>
      <c r="S45" s="1068"/>
      <c r="T45" s="1068"/>
      <c r="U45" s="1068"/>
      <c r="V45" s="1068"/>
      <c r="W45" s="1068"/>
      <c r="X45" s="1068"/>
      <c r="Y45" s="1068"/>
      <c r="Z45" s="1068"/>
      <c r="AA45" s="1068"/>
      <c r="AB45" s="1068"/>
      <c r="AC45" s="1068"/>
      <c r="AD45" s="1068"/>
      <c r="AE45" s="1068"/>
      <c r="AF45" s="1068"/>
    </row>
    <row r="46" spans="1:32" hidden="1">
      <c r="B46" s="105"/>
      <c r="C46" s="943" t="s">
        <v>720</v>
      </c>
      <c r="D46" s="915"/>
      <c r="E46" s="2395"/>
      <c r="F46" s="3360"/>
      <c r="G46" s="2398"/>
      <c r="H46" s="2398"/>
      <c r="I46" s="2398"/>
      <c r="J46" s="2398"/>
      <c r="K46" s="2398"/>
      <c r="L46" s="2398"/>
      <c r="M46" s="2398"/>
      <c r="N46" s="3360"/>
      <c r="O46" s="67"/>
      <c r="P46" s="3693"/>
      <c r="Q46" s="1410"/>
      <c r="R46" s="646"/>
      <c r="S46" s="646"/>
      <c r="T46" s="1164"/>
      <c r="U46" s="1068"/>
      <c r="V46" s="1068"/>
      <c r="W46" s="1068"/>
      <c r="X46" s="1068"/>
      <c r="Y46" s="1068"/>
      <c r="Z46" s="1068"/>
      <c r="AA46" s="1068"/>
      <c r="AB46" s="1068"/>
      <c r="AC46" s="1068"/>
      <c r="AD46" s="1068"/>
      <c r="AE46" s="1068"/>
      <c r="AF46" s="1068"/>
    </row>
    <row r="47" spans="1:32" hidden="1">
      <c r="B47" s="105"/>
      <c r="C47" s="947" t="s">
        <v>721</v>
      </c>
      <c r="D47" s="948"/>
      <c r="E47" s="2396"/>
      <c r="F47" s="2399"/>
      <c r="G47" s="2399"/>
      <c r="H47" s="2399"/>
      <c r="I47" s="2399"/>
      <c r="J47" s="2399"/>
      <c r="K47" s="2399"/>
      <c r="L47" s="2399"/>
      <c r="M47" s="2399"/>
      <c r="N47" s="2399"/>
      <c r="O47" s="3710"/>
      <c r="P47" s="3693"/>
      <c r="Q47" s="1410"/>
      <c r="R47" s="646"/>
      <c r="S47" s="646"/>
      <c r="T47" s="1164"/>
      <c r="U47" s="1068"/>
      <c r="V47" s="1068"/>
      <c r="W47" s="1068"/>
      <c r="X47" s="1068"/>
      <c r="Y47" s="1068"/>
      <c r="Z47" s="1068"/>
      <c r="AA47" s="1068"/>
      <c r="AB47" s="1068"/>
      <c r="AC47" s="1068"/>
      <c r="AD47" s="1068"/>
      <c r="AE47" s="1068"/>
      <c r="AF47" s="1068"/>
    </row>
    <row r="48" spans="1:32" hidden="1">
      <c r="B48" s="47"/>
      <c r="C48" s="47" t="s">
        <v>176</v>
      </c>
      <c r="D48" s="3377"/>
      <c r="E48" s="47"/>
      <c r="F48" s="47"/>
      <c r="G48" s="47"/>
      <c r="H48" s="47"/>
      <c r="I48" s="47"/>
      <c r="J48" s="47"/>
      <c r="K48" s="47"/>
      <c r="L48" s="47"/>
      <c r="M48" s="47"/>
      <c r="N48" s="47"/>
      <c r="O48" s="47"/>
      <c r="P48" s="3693"/>
      <c r="Q48" s="1410"/>
      <c r="R48" s="646"/>
      <c r="S48" s="646"/>
      <c r="T48" s="1164"/>
      <c r="U48" s="1068"/>
      <c r="V48" s="1068"/>
      <c r="W48" s="1068"/>
      <c r="X48" s="1068"/>
      <c r="Y48" s="1068"/>
      <c r="Z48" s="1068"/>
      <c r="AA48" s="1068"/>
      <c r="AB48" s="1068"/>
      <c r="AC48" s="1068"/>
      <c r="AD48" s="1068"/>
      <c r="AE48" s="1068"/>
      <c r="AF48" s="1068"/>
    </row>
    <row r="49" spans="1:32" hidden="1">
      <c r="B49" s="47"/>
      <c r="C49" s="3377"/>
      <c r="D49" s="47"/>
      <c r="E49" s="47"/>
      <c r="F49" s="47"/>
      <c r="G49" s="47"/>
      <c r="H49" s="47"/>
      <c r="I49" s="47"/>
      <c r="J49" s="47"/>
      <c r="K49" s="47"/>
      <c r="L49" s="47"/>
      <c r="M49" s="47"/>
      <c r="N49" s="47"/>
      <c r="O49" s="47"/>
      <c r="R49" s="646"/>
      <c r="S49" s="646"/>
      <c r="T49" s="1164"/>
      <c r="U49" s="1068"/>
      <c r="V49" s="1068"/>
      <c r="W49" s="1068"/>
      <c r="X49" s="1068"/>
      <c r="Y49" s="1068"/>
      <c r="Z49" s="1068"/>
      <c r="AA49" s="1068"/>
      <c r="AB49" s="1068"/>
      <c r="AC49" s="1068"/>
      <c r="AD49" s="1068"/>
      <c r="AE49" s="1068"/>
      <c r="AF49" s="1068"/>
    </row>
    <row r="50" spans="1:32" s="39" customFormat="1">
      <c r="C50" s="3711"/>
      <c r="Q50" s="646"/>
      <c r="R50" s="646"/>
      <c r="S50" s="646"/>
      <c r="T50" s="1164"/>
      <c r="U50" s="1068"/>
      <c r="V50" s="1068"/>
      <c r="Y50" s="1068"/>
      <c r="Z50" s="1068"/>
      <c r="AA50" s="1068"/>
      <c r="AB50" s="1068"/>
      <c r="AC50" s="1068"/>
      <c r="AD50" s="1068"/>
      <c r="AE50" s="1068"/>
      <c r="AF50" s="1068"/>
    </row>
    <row r="51" spans="1:32" ht="23.5">
      <c r="A51" s="7"/>
      <c r="B51" s="869" t="s">
        <v>177</v>
      </c>
      <c r="C51" s="870"/>
      <c r="D51" s="870"/>
      <c r="E51" s="870"/>
      <c r="F51" s="870"/>
      <c r="G51" s="870"/>
      <c r="H51" s="870"/>
      <c r="I51" s="870"/>
      <c r="J51" s="870"/>
      <c r="K51" s="870"/>
      <c r="L51" s="870"/>
      <c r="M51" s="870"/>
      <c r="N51" s="870"/>
      <c r="O51" s="871"/>
      <c r="Q51" s="646"/>
      <c r="R51" s="646"/>
      <c r="S51" s="646"/>
      <c r="T51" s="1164"/>
      <c r="U51" s="1068"/>
      <c r="V51" s="1068"/>
      <c r="W51" s="39"/>
      <c r="X51" s="39"/>
      <c r="Y51" s="1068"/>
      <c r="Z51" s="1068"/>
      <c r="AA51" s="1068"/>
      <c r="AB51" s="1068"/>
      <c r="AC51" s="1068"/>
      <c r="AD51" s="1068"/>
      <c r="AE51" s="1068"/>
      <c r="AF51" s="1068"/>
    </row>
    <row r="52" spans="1:32">
      <c r="B52" s="105"/>
      <c r="C52" s="67"/>
      <c r="D52" s="67"/>
      <c r="E52" s="67"/>
      <c r="F52" s="67"/>
      <c r="G52" s="67"/>
      <c r="H52" s="67"/>
      <c r="I52" s="67"/>
      <c r="J52" s="67"/>
      <c r="K52" s="67"/>
      <c r="L52" s="67"/>
      <c r="M52" s="67"/>
      <c r="N52" s="67"/>
      <c r="O52" s="876"/>
      <c r="Q52" s="646"/>
      <c r="R52" s="646"/>
      <c r="S52" s="646"/>
      <c r="T52" s="1410"/>
      <c r="W52" s="39"/>
      <c r="X52" s="39"/>
      <c r="Y52" s="39"/>
      <c r="Z52" s="39"/>
    </row>
    <row r="53" spans="1:32">
      <c r="B53" s="45"/>
      <c r="C53" s="65"/>
      <c r="D53" s="103"/>
      <c r="E53" s="103"/>
      <c r="F53" s="2493"/>
      <c r="G53" s="3376"/>
      <c r="H53" s="3376"/>
      <c r="I53" s="3376"/>
      <c r="J53" s="3376"/>
      <c r="K53" s="3376"/>
      <c r="L53" s="3376"/>
      <c r="M53" s="3376"/>
      <c r="N53" s="3376"/>
      <c r="O53" s="876"/>
      <c r="Q53" s="646"/>
      <c r="R53" s="646"/>
      <c r="S53" s="646"/>
      <c r="T53" s="1410"/>
      <c r="W53" s="39"/>
      <c r="X53" s="39"/>
      <c r="Y53" s="39"/>
      <c r="Z53" s="39"/>
    </row>
    <row r="54" spans="1:32">
      <c r="W54" s="39"/>
      <c r="X54" s="39"/>
      <c r="Y54" s="39"/>
      <c r="Z54" s="39"/>
    </row>
    <row r="55" spans="1:32" ht="15.5">
      <c r="B55" s="1101" t="s">
        <v>206</v>
      </c>
      <c r="W55" s="39"/>
      <c r="X55" s="39"/>
      <c r="Y55" s="39"/>
      <c r="Z55" s="39"/>
    </row>
    <row r="56" spans="1:32">
      <c r="B56" s="354"/>
      <c r="C56" s="354"/>
      <c r="W56" s="39"/>
      <c r="X56" s="39"/>
      <c r="Y56" s="39"/>
      <c r="Z56" s="39"/>
    </row>
    <row r="57" spans="1:32">
      <c r="B57" s="354">
        <v>1</v>
      </c>
      <c r="C57" s="354" t="s">
        <v>2871</v>
      </c>
      <c r="W57" s="39"/>
      <c r="X57" s="39"/>
      <c r="Y57" s="39"/>
      <c r="Z57" s="39"/>
    </row>
    <row r="58" spans="1:32">
      <c r="B58" s="354"/>
      <c r="C58" s="354"/>
      <c r="W58" s="39"/>
      <c r="X58" s="39"/>
      <c r="Y58" s="39"/>
      <c r="Z58" s="39"/>
    </row>
    <row r="59" spans="1:32">
      <c r="C59" s="354" t="s">
        <v>2872</v>
      </c>
      <c r="D59" s="372"/>
      <c r="E59" s="355" t="str">
        <f>Preferences.AreaUnits</f>
        <v>km^2</v>
      </c>
      <c r="F59" s="2460">
        <f>F19</f>
        <v>0</v>
      </c>
      <c r="G59" s="2460">
        <f t="shared" ref="G59:N59" si="1">G19</f>
        <v>0</v>
      </c>
      <c r="H59" s="2460">
        <f t="shared" si="1"/>
        <v>0</v>
      </c>
      <c r="I59" s="2460">
        <f t="shared" si="1"/>
        <v>0</v>
      </c>
      <c r="J59" s="2460">
        <f t="shared" si="1"/>
        <v>0</v>
      </c>
      <c r="K59" s="2460">
        <f t="shared" si="1"/>
        <v>0</v>
      </c>
      <c r="L59" s="2460">
        <f t="shared" si="1"/>
        <v>0</v>
      </c>
      <c r="M59" s="2460">
        <f t="shared" si="1"/>
        <v>0</v>
      </c>
      <c r="N59" s="2460">
        <f t="shared" si="1"/>
        <v>0</v>
      </c>
      <c r="W59" s="39"/>
      <c r="X59" s="39"/>
      <c r="Y59" s="39"/>
      <c r="Z59" s="39"/>
    </row>
    <row r="60" spans="1:32" s="405" customFormat="1">
      <c r="B60" s="1369" t="s">
        <v>218</v>
      </c>
      <c r="C60" s="405" t="s">
        <v>2868</v>
      </c>
      <c r="E60" s="1369" t="str">
        <f>"M tonnes / " &amp; Preferences.AreaUnits</f>
        <v>M tonnes / km^2</v>
      </c>
      <c r="F60" s="2531">
        <f t="shared" ref="F60:N60" si="2">F$31/(1000000*Unit.ha)</f>
        <v>0</v>
      </c>
      <c r="G60" s="2531">
        <f t="shared" si="2"/>
        <v>0</v>
      </c>
      <c r="H60" s="2531">
        <f t="shared" si="2"/>
        <v>0</v>
      </c>
      <c r="I60" s="2531">
        <f t="shared" si="2"/>
        <v>1E-3</v>
      </c>
      <c r="J60" s="2531">
        <f t="shared" si="2"/>
        <v>1.5E-3</v>
      </c>
      <c r="K60" s="2531">
        <f t="shared" si="2"/>
        <v>2E-3</v>
      </c>
      <c r="L60" s="2531">
        <f t="shared" si="2"/>
        <v>2E-3</v>
      </c>
      <c r="M60" s="2531">
        <f t="shared" si="2"/>
        <v>2E-3</v>
      </c>
      <c r="N60" s="3715">
        <f t="shared" si="2"/>
        <v>2E-3</v>
      </c>
      <c r="W60" s="39"/>
      <c r="X60" s="3530"/>
      <c r="Y60" s="3530"/>
      <c r="Z60" s="3530"/>
    </row>
    <row r="61" spans="1:32" s="405" customFormat="1">
      <c r="B61" s="1369" t="s">
        <v>218</v>
      </c>
      <c r="C61" s="405" t="s">
        <v>1271</v>
      </c>
      <c r="E61" s="1369"/>
      <c r="F61" s="2531">
        <f>F$36</f>
        <v>3.8888888888888893</v>
      </c>
      <c r="G61" s="2753"/>
      <c r="H61" s="2753"/>
      <c r="I61" s="2753"/>
      <c r="J61" s="2753"/>
      <c r="K61" s="2753"/>
      <c r="L61" s="2753"/>
      <c r="M61" s="2753"/>
      <c r="N61" s="2753"/>
      <c r="W61" s="1068"/>
      <c r="X61" s="1677"/>
      <c r="Y61" s="3530"/>
      <c r="Z61" s="3530"/>
    </row>
    <row r="62" spans="1:32" s="354" customFormat="1">
      <c r="B62" s="979" t="s">
        <v>220</v>
      </c>
      <c r="C62" s="354" t="s">
        <v>424</v>
      </c>
      <c r="D62" s="354" t="s">
        <v>374</v>
      </c>
      <c r="E62" s="355" t="str">
        <f>Preferences.EnergyUnits</f>
        <v>TWh</v>
      </c>
      <c r="F62" s="3583">
        <f>F59*F60*$F61</f>
        <v>0</v>
      </c>
      <c r="G62" s="3583">
        <f t="shared" ref="G62:N62" si="3">G59*G60*$F61</f>
        <v>0</v>
      </c>
      <c r="H62" s="3583">
        <f t="shared" si="3"/>
        <v>0</v>
      </c>
      <c r="I62" s="3583">
        <f t="shared" si="3"/>
        <v>0</v>
      </c>
      <c r="J62" s="3583">
        <f t="shared" si="3"/>
        <v>0</v>
      </c>
      <c r="K62" s="3583">
        <f t="shared" si="3"/>
        <v>0</v>
      </c>
      <c r="L62" s="3583">
        <f t="shared" si="3"/>
        <v>0</v>
      </c>
      <c r="M62" s="3583">
        <f t="shared" si="3"/>
        <v>0</v>
      </c>
      <c r="N62" s="3583">
        <f t="shared" si="3"/>
        <v>0</v>
      </c>
      <c r="W62" s="1068"/>
      <c r="X62" s="202"/>
      <c r="Y62" s="399"/>
      <c r="Z62" s="399"/>
    </row>
    <row r="63" spans="1:32">
      <c r="B63" s="979"/>
      <c r="C63" s="354"/>
      <c r="F63" s="2460"/>
      <c r="G63" s="2460"/>
      <c r="H63" s="2460"/>
      <c r="I63" s="2460"/>
      <c r="J63" s="2460"/>
      <c r="K63" s="2460"/>
      <c r="L63" s="2460"/>
      <c r="M63" s="2460"/>
      <c r="N63" s="2460"/>
      <c r="W63" s="1068"/>
      <c r="X63" s="1068"/>
      <c r="Y63" s="39"/>
      <c r="Z63" s="39"/>
    </row>
    <row r="64" spans="1:32">
      <c r="C64" s="3692" t="s">
        <v>2873</v>
      </c>
      <c r="E64" s="373" t="s">
        <v>42</v>
      </c>
      <c r="F64" s="3712">
        <f t="shared" ref="F64:N64" si="4">IFERROR(F62*Conversion.to.average.power/(F59*Global.IrelandIncidentSolarEnergy*Unit.W/Unit.m2),0%)</f>
        <v>0</v>
      </c>
      <c r="G64" s="3712">
        <f t="shared" si="4"/>
        <v>0</v>
      </c>
      <c r="H64" s="3712">
        <f t="shared" si="4"/>
        <v>0</v>
      </c>
      <c r="I64" s="3712">
        <f t="shared" si="4"/>
        <v>0</v>
      </c>
      <c r="J64" s="3712">
        <f t="shared" si="4"/>
        <v>0</v>
      </c>
      <c r="K64" s="3712">
        <f t="shared" si="4"/>
        <v>0</v>
      </c>
      <c r="L64" s="3712">
        <f t="shared" si="4"/>
        <v>0</v>
      </c>
      <c r="M64" s="3712">
        <f t="shared" si="4"/>
        <v>0</v>
      </c>
      <c r="N64" s="3712">
        <f t="shared" si="4"/>
        <v>0</v>
      </c>
      <c r="W64" s="1068"/>
      <c r="X64" s="1068"/>
      <c r="Y64" s="39"/>
      <c r="Z64" s="39"/>
    </row>
    <row r="65" spans="1:26">
      <c r="E65" s="373"/>
      <c r="F65" s="3712"/>
      <c r="G65" s="3712"/>
      <c r="H65" s="3712"/>
      <c r="I65" s="3712"/>
      <c r="J65" s="3712"/>
      <c r="K65" s="3712"/>
      <c r="L65" s="3712"/>
      <c r="M65" s="3712"/>
      <c r="N65" s="3712"/>
      <c r="W65" s="1068"/>
      <c r="X65" s="1068"/>
      <c r="Y65" s="39"/>
      <c r="Z65" s="39"/>
    </row>
    <row r="66" spans="1:26">
      <c r="B66" s="354">
        <v>2</v>
      </c>
      <c r="C66" s="354" t="s">
        <v>2879</v>
      </c>
      <c r="E66" s="373"/>
      <c r="F66" s="2526">
        <v>2013</v>
      </c>
      <c r="G66" s="2526">
        <v>2015</v>
      </c>
      <c r="H66" s="2526">
        <v>2020</v>
      </c>
      <c r="I66" s="2526">
        <v>2025</v>
      </c>
      <c r="J66" s="2526">
        <v>2030</v>
      </c>
      <c r="K66" s="2526">
        <v>2035</v>
      </c>
      <c r="L66" s="2526">
        <v>2040</v>
      </c>
      <c r="M66" s="2526">
        <v>2045</v>
      </c>
      <c r="N66" s="2526">
        <v>2050</v>
      </c>
      <c r="W66" s="39"/>
      <c r="X66" s="39"/>
      <c r="Y66" s="39"/>
      <c r="Z66" s="39"/>
    </row>
    <row r="67" spans="1:26" hidden="1">
      <c r="B67" s="354"/>
      <c r="C67" s="2" t="s">
        <v>2874</v>
      </c>
      <c r="E67" s="373" t="s">
        <v>2748</v>
      </c>
      <c r="F67" s="2485"/>
      <c r="G67" s="2485"/>
      <c r="H67" s="2485"/>
      <c r="I67" s="2485"/>
      <c r="J67" s="2485"/>
      <c r="K67" s="2485"/>
      <c r="L67" s="2485"/>
      <c r="M67" s="2485"/>
      <c r="N67" s="2485"/>
    </row>
    <row r="68" spans="1:26" hidden="1">
      <c r="B68" s="354"/>
      <c r="C68" s="2" t="s">
        <v>2875</v>
      </c>
      <c r="E68" s="373" t="s">
        <v>2748</v>
      </c>
      <c r="F68" s="2485"/>
      <c r="G68" s="2485"/>
      <c r="H68" s="2485"/>
      <c r="I68" s="2485"/>
      <c r="J68" s="2485"/>
      <c r="K68" s="2485"/>
      <c r="L68" s="2485"/>
      <c r="M68" s="2485"/>
      <c r="N68" s="2485"/>
    </row>
    <row r="69" spans="1:26" hidden="1">
      <c r="B69" s="354"/>
      <c r="C69" s="2" t="s">
        <v>2876</v>
      </c>
      <c r="E69" s="373" t="s">
        <v>2748</v>
      </c>
      <c r="F69" s="2485"/>
      <c r="G69" s="2485"/>
      <c r="H69" s="2485"/>
      <c r="I69" s="2485"/>
      <c r="J69" s="2485"/>
      <c r="K69" s="2485"/>
      <c r="L69" s="2485"/>
      <c r="M69" s="2485"/>
      <c r="N69" s="2485"/>
    </row>
    <row r="71" spans="1:26" ht="23.5">
      <c r="A71" s="7"/>
      <c r="B71" s="502" t="s">
        <v>296</v>
      </c>
      <c r="C71" s="503"/>
      <c r="D71" s="503"/>
      <c r="E71" s="503"/>
      <c r="F71" s="503"/>
      <c r="G71" s="503"/>
      <c r="H71" s="503"/>
      <c r="I71" s="503"/>
      <c r="J71" s="503"/>
      <c r="K71" s="503"/>
      <c r="L71" s="503"/>
      <c r="M71" s="503"/>
      <c r="N71" s="503"/>
      <c r="O71" s="857"/>
    </row>
    <row r="72" spans="1:26">
      <c r="B72" s="505"/>
      <c r="C72" s="506"/>
      <c r="D72" s="506"/>
      <c r="E72" s="506"/>
      <c r="F72" s="506"/>
      <c r="G72" s="506"/>
      <c r="H72" s="506"/>
      <c r="I72" s="506"/>
      <c r="J72" s="506"/>
      <c r="K72" s="506"/>
      <c r="L72" s="506"/>
      <c r="M72" s="506"/>
      <c r="N72" s="506"/>
      <c r="O72" s="858"/>
    </row>
    <row r="73" spans="1:26">
      <c r="B73" s="505"/>
      <c r="C73" s="34" t="s">
        <v>746</v>
      </c>
      <c r="D73" s="506"/>
      <c r="E73" s="507"/>
      <c r="F73" s="506"/>
      <c r="G73" s="506"/>
      <c r="H73" s="506"/>
      <c r="I73" s="506"/>
      <c r="J73" s="506"/>
      <c r="K73" s="506"/>
      <c r="L73" s="506"/>
      <c r="M73" s="506"/>
      <c r="N73" s="507" t="str">
        <f>Preferences.EnergyUnits</f>
        <v>TWh</v>
      </c>
      <c r="O73" s="858"/>
    </row>
    <row r="74" spans="1:26">
      <c r="B74" s="505"/>
      <c r="C74" s="506"/>
      <c r="D74" s="506"/>
      <c r="E74" s="506"/>
      <c r="F74" s="506"/>
      <c r="G74" s="506"/>
      <c r="H74" s="506"/>
      <c r="I74" s="506"/>
      <c r="J74" s="506"/>
      <c r="K74" s="506"/>
      <c r="L74" s="506"/>
      <c r="M74" s="506"/>
      <c r="N74" s="506"/>
      <c r="O74" s="858"/>
    </row>
    <row r="75" spans="1:26" ht="15.5">
      <c r="A75" s="434"/>
      <c r="B75" s="15"/>
      <c r="C75" s="864" t="s">
        <v>28</v>
      </c>
      <c r="D75" s="864" t="s">
        <v>29</v>
      </c>
      <c r="E75" s="864" t="s">
        <v>30</v>
      </c>
      <c r="F75" s="864" t="s">
        <v>588</v>
      </c>
      <c r="G75" s="864" t="s">
        <v>132</v>
      </c>
      <c r="H75" s="864" t="s">
        <v>133</v>
      </c>
      <c r="I75" s="864" t="s">
        <v>134</v>
      </c>
      <c r="J75" s="864" t="s">
        <v>135</v>
      </c>
      <c r="K75" s="864" t="s">
        <v>136</v>
      </c>
      <c r="L75" s="864" t="s">
        <v>137</v>
      </c>
      <c r="M75" s="864" t="s">
        <v>138</v>
      </c>
      <c r="N75" s="864" t="s">
        <v>139</v>
      </c>
      <c r="O75" s="858"/>
    </row>
    <row r="76" spans="1:26" ht="15.5">
      <c r="A76" s="434"/>
      <c r="B76" s="15"/>
      <c r="C76" s="17" t="s">
        <v>424</v>
      </c>
      <c r="D76" s="2457" t="str">
        <f>INDEX(Vectors[Description], MATCH(VI.c.Outputs[Vector], Vectors[Code], 0))</f>
        <v>Wet biomass and waste</v>
      </c>
      <c r="E76" s="17"/>
      <c r="F76" s="2491">
        <f>F62</f>
        <v>0</v>
      </c>
      <c r="G76" s="2491">
        <f t="shared" ref="G76:N76" si="5">G62</f>
        <v>0</v>
      </c>
      <c r="H76" s="2491">
        <f t="shared" si="5"/>
        <v>0</v>
      </c>
      <c r="I76" s="2491">
        <f t="shared" si="5"/>
        <v>0</v>
      </c>
      <c r="J76" s="2491">
        <f t="shared" si="5"/>
        <v>0</v>
      </c>
      <c r="K76" s="2491">
        <f t="shared" si="5"/>
        <v>0</v>
      </c>
      <c r="L76" s="2491">
        <f t="shared" si="5"/>
        <v>0</v>
      </c>
      <c r="M76" s="2491">
        <f t="shared" si="5"/>
        <v>0</v>
      </c>
      <c r="N76" s="2491">
        <f t="shared" si="5"/>
        <v>0</v>
      </c>
      <c r="O76" s="858"/>
    </row>
    <row r="77" spans="1:26" ht="15.5">
      <c r="A77" s="434"/>
      <c r="B77" s="15"/>
      <c r="C77" s="17" t="s">
        <v>443</v>
      </c>
      <c r="D77" s="2457" t="str">
        <f>INDEX(Vectors[Description], MATCH(VI.c.Outputs[Vector], Vectors[Code], 0))</f>
        <v>Agriculture</v>
      </c>
      <c r="E77" s="17"/>
      <c r="F77" s="2491">
        <f>-F62</f>
        <v>0</v>
      </c>
      <c r="G77" s="2491">
        <f t="shared" ref="G77:N77" si="6">-G62</f>
        <v>0</v>
      </c>
      <c r="H77" s="2491">
        <f t="shared" si="6"/>
        <v>0</v>
      </c>
      <c r="I77" s="2491">
        <f t="shared" si="6"/>
        <v>0</v>
      </c>
      <c r="J77" s="2491">
        <f t="shared" si="6"/>
        <v>0</v>
      </c>
      <c r="K77" s="2491">
        <f t="shared" si="6"/>
        <v>0</v>
      </c>
      <c r="L77" s="2491">
        <f t="shared" si="6"/>
        <v>0</v>
      </c>
      <c r="M77" s="2491">
        <f t="shared" si="6"/>
        <v>0</v>
      </c>
      <c r="N77" s="2491">
        <f t="shared" si="6"/>
        <v>0</v>
      </c>
      <c r="O77" s="858"/>
    </row>
    <row r="78" spans="1:26" ht="15.5">
      <c r="A78" s="434"/>
      <c r="B78" s="15"/>
      <c r="C78" s="2432" t="s">
        <v>58</v>
      </c>
      <c r="D78" s="2432"/>
      <c r="E78" s="2432"/>
      <c r="F78" s="2435">
        <f>SUBTOTAL(109,VI.c.Outputs[2013])</f>
        <v>0</v>
      </c>
      <c r="G78" s="2435">
        <f>SUBTOTAL(109,VI.c.Outputs[2015])</f>
        <v>0</v>
      </c>
      <c r="H78" s="2435">
        <f>SUBTOTAL(109,VI.c.Outputs[2020])</f>
        <v>0</v>
      </c>
      <c r="I78" s="2435">
        <f>SUBTOTAL(109,VI.c.Outputs[2025])</f>
        <v>0</v>
      </c>
      <c r="J78" s="2435">
        <f>SUBTOTAL(109,VI.c.Outputs[2030])</f>
        <v>0</v>
      </c>
      <c r="K78" s="2435">
        <f>SUBTOTAL(109,VI.c.Outputs[2035])</f>
        <v>0</v>
      </c>
      <c r="L78" s="2435">
        <f>SUBTOTAL(109,VI.c.Outputs[2040])</f>
        <v>0</v>
      </c>
      <c r="M78" s="2435">
        <f>SUBTOTAL(109,VI.c.Outputs[2045])</f>
        <v>0</v>
      </c>
      <c r="N78" s="2435">
        <f>SUBTOTAL(109,VI.c.Outputs[2050])</f>
        <v>0</v>
      </c>
      <c r="O78" s="858"/>
    </row>
    <row r="79" spans="1:26" ht="15.5">
      <c r="B79" s="15"/>
      <c r="C79" s="443"/>
      <c r="D79" s="443"/>
      <c r="E79" s="443"/>
      <c r="F79" s="443"/>
      <c r="G79" s="443"/>
      <c r="H79" s="443"/>
      <c r="I79" s="443"/>
      <c r="J79" s="443"/>
      <c r="K79" s="443"/>
      <c r="L79" s="443"/>
      <c r="M79" s="443"/>
      <c r="N79" s="443"/>
      <c r="O79" s="35"/>
      <c r="R79" s="1068"/>
      <c r="S79" s="1068"/>
      <c r="T79" s="1068"/>
      <c r="U79" s="1068"/>
      <c r="V79" s="1068"/>
      <c r="W79" s="1068"/>
      <c r="X79" s="1068"/>
    </row>
    <row r="80" spans="1:26">
      <c r="R80" s="1068"/>
      <c r="S80" s="647"/>
      <c r="T80" s="1068"/>
      <c r="U80" s="1068"/>
      <c r="V80" s="1068"/>
      <c r="W80" s="1068"/>
      <c r="X80" s="1068"/>
    </row>
    <row r="81" spans="2:24" ht="15">
      <c r="B81" s="986" t="s">
        <v>310</v>
      </c>
      <c r="C81" s="987"/>
      <c r="D81" s="988"/>
      <c r="E81" s="988"/>
      <c r="F81" s="988"/>
      <c r="G81" s="988"/>
      <c r="H81" s="988"/>
      <c r="I81" s="988"/>
      <c r="J81" s="988"/>
      <c r="K81" s="988"/>
      <c r="L81" s="988"/>
      <c r="M81" s="988"/>
      <c r="N81" s="988"/>
      <c r="O81" s="989"/>
      <c r="R81" s="1068"/>
      <c r="S81" s="647"/>
      <c r="T81" s="1068"/>
      <c r="U81" s="1068"/>
      <c r="V81" s="1068"/>
      <c r="W81" s="1068"/>
      <c r="X81" s="1068"/>
    </row>
    <row r="82" spans="2:24">
      <c r="B82" s="990"/>
      <c r="C82" s="991"/>
      <c r="D82" s="991"/>
      <c r="E82" s="991"/>
      <c r="F82" s="991"/>
      <c r="G82" s="991"/>
      <c r="H82" s="991"/>
      <c r="I82" s="991"/>
      <c r="J82" s="991"/>
      <c r="K82" s="991"/>
      <c r="L82" s="991"/>
      <c r="M82" s="991"/>
      <c r="N82" s="991"/>
      <c r="O82" s="992"/>
      <c r="R82" s="1068"/>
      <c r="S82" s="647"/>
      <c r="T82" s="1068"/>
      <c r="U82" s="1068"/>
      <c r="V82" s="1068"/>
      <c r="W82" s="1068"/>
      <c r="X82" s="1068"/>
    </row>
    <row r="83" spans="2:24">
      <c r="B83" s="993"/>
      <c r="C83" s="479" t="s">
        <v>311</v>
      </c>
      <c r="D83" s="994"/>
      <c r="E83" s="995"/>
      <c r="F83" s="994"/>
      <c r="G83" s="994"/>
      <c r="H83" s="994"/>
      <c r="I83" s="994"/>
      <c r="J83" s="994"/>
      <c r="K83" s="994"/>
      <c r="L83" s="994"/>
      <c r="M83" s="994"/>
      <c r="N83" s="995"/>
      <c r="O83" s="996"/>
      <c r="R83" s="1068"/>
      <c r="S83" s="647"/>
      <c r="T83" s="1068"/>
      <c r="U83" s="1068"/>
      <c r="V83" s="1068"/>
      <c r="W83" s="1068"/>
      <c r="X83" s="1068"/>
    </row>
    <row r="84" spans="2:24">
      <c r="B84" s="993"/>
      <c r="C84" s="994"/>
      <c r="D84" s="994"/>
      <c r="E84" s="994"/>
      <c r="F84" s="994"/>
      <c r="G84" s="994"/>
      <c r="H84" s="994"/>
      <c r="I84" s="994"/>
      <c r="J84" s="994"/>
      <c r="K84" s="994"/>
      <c r="L84" s="994"/>
      <c r="M84" s="994"/>
      <c r="N84" s="994"/>
      <c r="O84" s="996"/>
      <c r="R84" s="1068"/>
      <c r="S84" s="1068"/>
      <c r="T84" s="1068"/>
      <c r="U84" s="1068"/>
      <c r="V84" s="1068"/>
      <c r="W84" s="1068"/>
      <c r="X84" s="1068"/>
    </row>
    <row r="85" spans="2:24" ht="15.5">
      <c r="B85" s="483"/>
      <c r="C85" s="997" t="s">
        <v>28</v>
      </c>
      <c r="D85" s="997" t="s">
        <v>312</v>
      </c>
      <c r="E85" s="997" t="s">
        <v>30</v>
      </c>
      <c r="F85" s="997" t="s">
        <v>588</v>
      </c>
      <c r="G85" s="997" t="s">
        <v>132</v>
      </c>
      <c r="H85" s="997" t="s">
        <v>133</v>
      </c>
      <c r="I85" s="997" t="s">
        <v>134</v>
      </c>
      <c r="J85" s="997" t="s">
        <v>135</v>
      </c>
      <c r="K85" s="997" t="s">
        <v>136</v>
      </c>
      <c r="L85" s="997" t="s">
        <v>137</v>
      </c>
      <c r="M85" s="997" t="s">
        <v>138</v>
      </c>
      <c r="N85" s="997" t="s">
        <v>139</v>
      </c>
      <c r="O85" s="996"/>
      <c r="R85" s="1068"/>
      <c r="S85" s="1068"/>
      <c r="T85" s="1068"/>
      <c r="U85" s="1068"/>
      <c r="V85" s="1068"/>
      <c r="W85" s="1068"/>
      <c r="X85" s="1068"/>
    </row>
    <row r="86" spans="2:24" ht="15.5">
      <c r="B86" s="483"/>
      <c r="C86" s="998" t="s">
        <v>859</v>
      </c>
      <c r="D86" s="998" t="s">
        <v>2877</v>
      </c>
      <c r="E86" s="485" t="str">
        <f>Preferences.AreaUnits</f>
        <v>km^2</v>
      </c>
      <c r="F86" s="2408">
        <f>F59</f>
        <v>0</v>
      </c>
      <c r="G86" s="2408">
        <f t="shared" ref="G86:N86" si="7">G59</f>
        <v>0</v>
      </c>
      <c r="H86" s="2408">
        <f t="shared" si="7"/>
        <v>0</v>
      </c>
      <c r="I86" s="2408">
        <f t="shared" si="7"/>
        <v>0</v>
      </c>
      <c r="J86" s="2408">
        <f t="shared" si="7"/>
        <v>0</v>
      </c>
      <c r="K86" s="2408">
        <f t="shared" si="7"/>
        <v>0</v>
      </c>
      <c r="L86" s="2408">
        <f t="shared" si="7"/>
        <v>0</v>
      </c>
      <c r="M86" s="2408">
        <f t="shared" si="7"/>
        <v>0</v>
      </c>
      <c r="N86" s="2408">
        <f t="shared" si="7"/>
        <v>0</v>
      </c>
      <c r="O86" s="996"/>
    </row>
    <row r="87" spans="2:24" ht="15.5">
      <c r="B87" s="488"/>
      <c r="C87" s="1001"/>
      <c r="D87" s="1001"/>
      <c r="E87" s="1001"/>
      <c r="F87" s="1001"/>
      <c r="G87" s="1001"/>
      <c r="H87" s="1001"/>
      <c r="I87" s="1001"/>
      <c r="J87" s="1001"/>
      <c r="K87" s="1001"/>
      <c r="L87" s="1001"/>
      <c r="M87" s="1001"/>
      <c r="N87" s="1001"/>
      <c r="O87" s="1002"/>
    </row>
    <row r="89" spans="2:24" ht="15">
      <c r="B89" s="986" t="s">
        <v>2720</v>
      </c>
      <c r="C89" s="988"/>
      <c r="D89" s="988"/>
      <c r="E89" s="988"/>
      <c r="F89" s="988"/>
      <c r="G89" s="988"/>
      <c r="H89" s="988"/>
      <c r="I89" s="988"/>
      <c r="J89" s="988"/>
      <c r="K89" s="988"/>
      <c r="L89" s="988"/>
      <c r="M89" s="988"/>
      <c r="N89" s="988"/>
      <c r="O89" s="989"/>
    </row>
    <row r="90" spans="2:24" hidden="1">
      <c r="B90" s="993"/>
      <c r="C90" s="994"/>
      <c r="D90" s="994"/>
      <c r="E90" s="994"/>
      <c r="F90" s="994"/>
      <c r="G90" s="994"/>
      <c r="H90" s="994"/>
      <c r="I90" s="994"/>
      <c r="J90" s="994"/>
      <c r="K90" s="994"/>
      <c r="L90" s="994"/>
      <c r="M90" s="994"/>
      <c r="N90" s="994"/>
      <c r="O90" s="996"/>
    </row>
    <row r="91" spans="2:24" hidden="1">
      <c r="B91" s="993"/>
      <c r="C91" s="491" t="s">
        <v>751</v>
      </c>
      <c r="D91" s="1003"/>
      <c r="E91" s="1003"/>
      <c r="F91" s="1003"/>
      <c r="G91" s="1003"/>
      <c r="H91" s="1003"/>
      <c r="I91" s="1003"/>
      <c r="J91" s="1003"/>
      <c r="K91" s="1003"/>
      <c r="L91" s="1003"/>
      <c r="M91" s="1003"/>
      <c r="N91" s="1004" t="s">
        <v>2736</v>
      </c>
      <c r="O91" s="996"/>
    </row>
    <row r="92" spans="2:24" hidden="1">
      <c r="B92" s="993"/>
      <c r="C92" s="994"/>
      <c r="D92" s="994"/>
      <c r="E92" s="994"/>
      <c r="F92" s="994"/>
      <c r="G92" s="994"/>
      <c r="H92" s="994"/>
      <c r="I92" s="994"/>
      <c r="J92" s="994"/>
      <c r="K92" s="994"/>
      <c r="L92" s="994"/>
      <c r="M92" s="994"/>
      <c r="N92" s="994"/>
      <c r="O92" s="996"/>
    </row>
    <row r="93" spans="2:24" ht="15.5" hidden="1">
      <c r="B93" s="483"/>
      <c r="C93" s="997" t="s">
        <v>28</v>
      </c>
      <c r="D93" s="997" t="s">
        <v>29</v>
      </c>
      <c r="E93" s="997" t="s">
        <v>30</v>
      </c>
      <c r="F93" s="997">
        <v>2013</v>
      </c>
      <c r="G93" s="997" t="s">
        <v>132</v>
      </c>
      <c r="H93" s="997" t="s">
        <v>133</v>
      </c>
      <c r="I93" s="997" t="s">
        <v>134</v>
      </c>
      <c r="J93" s="997" t="s">
        <v>135</v>
      </c>
      <c r="K93" s="997" t="s">
        <v>136</v>
      </c>
      <c r="L93" s="997" t="s">
        <v>137</v>
      </c>
      <c r="M93" s="997" t="s">
        <v>138</v>
      </c>
      <c r="N93" s="997" t="s">
        <v>139</v>
      </c>
      <c r="O93" s="1141"/>
    </row>
    <row r="94" spans="2:24" ht="15.5" hidden="1">
      <c r="B94" s="483"/>
      <c r="C94" s="998" t="s">
        <v>756</v>
      </c>
      <c r="D94" s="485" t="s">
        <v>757</v>
      </c>
      <c r="E94" s="485"/>
      <c r="F94" s="2410"/>
      <c r="G94" s="2410"/>
      <c r="H94" s="2410"/>
      <c r="I94" s="2410"/>
      <c r="J94" s="2410"/>
      <c r="K94" s="2410"/>
      <c r="L94" s="2410"/>
      <c r="M94" s="2410"/>
      <c r="N94" s="2410"/>
      <c r="O94" s="1141"/>
    </row>
    <row r="95" spans="2:24" ht="15.5" hidden="1">
      <c r="B95" s="483"/>
      <c r="C95" s="3713" t="s">
        <v>754</v>
      </c>
      <c r="D95" s="485" t="s">
        <v>755</v>
      </c>
      <c r="E95" s="2638"/>
      <c r="F95" s="3470"/>
      <c r="G95" s="3470"/>
      <c r="H95" s="3470"/>
      <c r="I95" s="3470"/>
      <c r="J95" s="3470"/>
      <c r="K95" s="3470"/>
      <c r="L95" s="3470"/>
      <c r="M95" s="3470"/>
      <c r="N95" s="3470"/>
      <c r="O95" s="1141"/>
    </row>
    <row r="96" spans="2:24" hidden="1">
      <c r="B96" s="494"/>
      <c r="C96" s="998" t="s">
        <v>752</v>
      </c>
      <c r="D96" s="485" t="s">
        <v>753</v>
      </c>
      <c r="E96" s="2638"/>
      <c r="F96" s="3470"/>
      <c r="G96" s="3470"/>
      <c r="H96" s="3470"/>
      <c r="I96" s="3470"/>
      <c r="J96" s="3470"/>
      <c r="K96" s="3470"/>
      <c r="L96" s="3470"/>
      <c r="M96" s="3470"/>
      <c r="N96" s="3470"/>
      <c r="O96" s="1142"/>
    </row>
    <row r="97" spans="2:15" hidden="1">
      <c r="B97" s="1005"/>
      <c r="C97" s="1001"/>
      <c r="D97" s="1001"/>
      <c r="E97" s="1001"/>
      <c r="F97" s="1001"/>
      <c r="G97" s="1001"/>
      <c r="H97" s="1001"/>
      <c r="I97" s="1001"/>
      <c r="J97" s="1001"/>
      <c r="K97" s="1001"/>
      <c r="L97" s="1001"/>
      <c r="M97" s="1001"/>
      <c r="N97" s="1001"/>
      <c r="O97" s="1006"/>
    </row>
    <row r="262" spans="18:18">
      <c r="R262" s="1322"/>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9"/>
  </sheetPr>
  <dimension ref="A1:DJ259"/>
  <sheetViews>
    <sheetView showGridLines="0" topLeftCell="B1" zoomScale="80" zoomScaleNormal="80" workbookViewId="0">
      <selection activeCell="L1" sqref="L1"/>
    </sheetView>
  </sheetViews>
  <sheetFormatPr defaultColWidth="8.81640625" defaultRowHeight="14.5"/>
  <cols>
    <col min="1" max="1" width="7.7265625" style="3348" customWidth="1"/>
    <col min="2" max="2" width="5.81640625" style="3348" customWidth="1"/>
    <col min="3" max="3" width="20.453125" style="3348" customWidth="1"/>
    <col min="4" max="4" width="30.7265625" style="3348" customWidth="1"/>
    <col min="5" max="5" width="20.7265625" style="3348" customWidth="1"/>
    <col min="6" max="15" width="17.7265625" style="3348" customWidth="1"/>
    <col min="16" max="16" width="2" customWidth="1"/>
    <col min="17" max="17" width="10.81640625" style="3348" customWidth="1"/>
    <col min="18" max="16384" width="8.81640625" style="3348"/>
  </cols>
  <sheetData>
    <row r="1" spans="1:20" ht="20">
      <c r="A1" s="854" t="s">
        <v>562</v>
      </c>
      <c r="B1" s="854" t="s">
        <v>563</v>
      </c>
      <c r="C1" s="854"/>
      <c r="G1"/>
      <c r="H1"/>
      <c r="I1"/>
      <c r="J1"/>
    </row>
    <row r="2" spans="1:20" s="6" customFormat="1" ht="15">
      <c r="A2" s="855" t="s">
        <v>554</v>
      </c>
      <c r="B2" s="855" t="s">
        <v>555</v>
      </c>
      <c r="C2" s="855"/>
      <c r="E2" s="5"/>
      <c r="P2"/>
    </row>
    <row r="4" spans="1:20" ht="23.5">
      <c r="A4" s="7"/>
      <c r="B4" s="502" t="s">
        <v>352</v>
      </c>
      <c r="C4" s="856"/>
      <c r="D4" s="503"/>
      <c r="E4" s="504"/>
      <c r="F4" s="503"/>
      <c r="G4" s="503"/>
      <c r="H4" s="503"/>
      <c r="I4" s="503"/>
      <c r="J4" s="503"/>
      <c r="K4" s="503"/>
      <c r="L4" s="503"/>
      <c r="M4" s="503"/>
      <c r="N4" s="503"/>
      <c r="O4" s="503"/>
    </row>
    <row r="5" spans="1:20">
      <c r="B5" s="505"/>
      <c r="C5" s="12"/>
      <c r="D5" s="506"/>
      <c r="E5" s="507"/>
      <c r="F5" s="506"/>
      <c r="G5" s="506"/>
      <c r="H5" s="506"/>
      <c r="I5" s="506"/>
      <c r="J5" s="506"/>
      <c r="K5" s="506"/>
      <c r="L5" s="506"/>
      <c r="M5" s="506"/>
      <c r="N5" s="506"/>
      <c r="O5" s="506"/>
    </row>
    <row r="6" spans="1:20" ht="15.5">
      <c r="B6" s="15"/>
      <c r="C6" s="506"/>
      <c r="D6" s="16" t="s">
        <v>7</v>
      </c>
      <c r="E6" s="16" t="s">
        <v>8</v>
      </c>
      <c r="F6" s="506"/>
      <c r="G6" s="506"/>
      <c r="H6" s="506"/>
      <c r="I6" s="506"/>
      <c r="J6" s="506"/>
      <c r="K6" s="506"/>
      <c r="L6" s="506"/>
      <c r="M6" s="506"/>
      <c r="N6" s="506"/>
      <c r="O6" s="506"/>
    </row>
    <row r="7" spans="1:20" ht="15.5">
      <c r="B7" s="15"/>
      <c r="C7" s="506"/>
      <c r="D7" s="859" t="s">
        <v>2049</v>
      </c>
      <c r="E7" s="859">
        <f>VII.a.Scenario</f>
        <v>1</v>
      </c>
      <c r="F7" s="506"/>
      <c r="G7" s="506"/>
      <c r="H7" s="506"/>
      <c r="I7" s="506"/>
      <c r="J7" s="506"/>
      <c r="K7" s="506"/>
      <c r="L7" s="506"/>
      <c r="M7" s="506"/>
      <c r="N7" s="506"/>
      <c r="O7" s="506"/>
    </row>
    <row r="8" spans="1:20" ht="15.5">
      <c r="B8" s="441"/>
      <c r="C8" s="443"/>
      <c r="D8" s="443"/>
      <c r="E8" s="443"/>
      <c r="F8" s="860"/>
      <c r="G8" s="860"/>
      <c r="H8" s="860"/>
      <c r="I8" s="860"/>
      <c r="J8" s="860"/>
      <c r="K8" s="860"/>
      <c r="L8" s="860"/>
      <c r="M8" s="860"/>
      <c r="N8" s="860"/>
      <c r="O8" s="860"/>
    </row>
    <row r="10" spans="1:20" ht="23.5">
      <c r="A10" s="7"/>
      <c r="B10" s="502" t="s">
        <v>24</v>
      </c>
      <c r="C10" s="503"/>
      <c r="D10" s="503"/>
      <c r="E10" s="503"/>
      <c r="F10" s="503"/>
      <c r="G10" s="503"/>
      <c r="H10" s="503"/>
      <c r="I10" s="503"/>
      <c r="J10" s="503"/>
      <c r="K10" s="503"/>
      <c r="L10" s="503"/>
      <c r="M10" s="503"/>
      <c r="N10" s="503"/>
      <c r="O10" s="857"/>
    </row>
    <row r="11" spans="1:20">
      <c r="B11" s="505"/>
      <c r="C11" s="506"/>
      <c r="D11" s="506"/>
      <c r="E11" s="506"/>
      <c r="F11" s="506"/>
      <c r="G11" s="506"/>
      <c r="H11" s="506"/>
      <c r="I11" s="506"/>
      <c r="J11" s="506"/>
      <c r="K11" s="506"/>
      <c r="L11" s="506"/>
      <c r="M11" s="506"/>
      <c r="N11" s="506"/>
      <c r="O11" s="858"/>
    </row>
    <row r="12" spans="1:20" ht="15.5">
      <c r="A12" s="2949"/>
      <c r="B12" s="2950"/>
      <c r="C12" s="34" t="s">
        <v>2437</v>
      </c>
      <c r="D12" s="2921"/>
      <c r="E12" s="864"/>
      <c r="F12" s="2769"/>
      <c r="G12" s="2769"/>
      <c r="H12" s="2769"/>
      <c r="I12" s="2769"/>
      <c r="J12" s="2769"/>
      <c r="K12" s="2769"/>
      <c r="L12" s="2769"/>
      <c r="M12" s="2769"/>
      <c r="N12" s="3386" t="str">
        <f>Preferences.EnergyUnits&amp;"e"</f>
        <v>TWhe</v>
      </c>
      <c r="O12" s="866"/>
    </row>
    <row r="13" spans="1:20" ht="15.5">
      <c r="A13" s="2949"/>
      <c r="B13" s="2950"/>
      <c r="C13" s="864"/>
      <c r="D13" s="2921"/>
      <c r="E13" s="864"/>
      <c r="F13" s="2769"/>
      <c r="G13" s="2769"/>
      <c r="H13" s="2769"/>
      <c r="I13" s="2769"/>
      <c r="J13" s="2769"/>
      <c r="K13" s="2769"/>
      <c r="L13" s="2769"/>
      <c r="M13" s="2769"/>
      <c r="N13" s="2769"/>
      <c r="O13" s="866"/>
    </row>
    <row r="14" spans="1:20" ht="15.5">
      <c r="A14" s="2949"/>
      <c r="B14" s="2950"/>
      <c r="C14" s="2958"/>
      <c r="D14" s="2958" t="s">
        <v>71</v>
      </c>
      <c r="E14" s="2958" t="s">
        <v>30</v>
      </c>
      <c r="F14" s="2968">
        <v>2013</v>
      </c>
      <c r="G14" s="2968">
        <v>2015</v>
      </c>
      <c r="H14" s="2968">
        <v>2020</v>
      </c>
      <c r="I14" s="2968">
        <v>2025</v>
      </c>
      <c r="J14" s="2968">
        <v>2030</v>
      </c>
      <c r="K14" s="2968">
        <v>2035</v>
      </c>
      <c r="L14" s="2968">
        <v>2040</v>
      </c>
      <c r="M14" s="2968">
        <v>2045</v>
      </c>
      <c r="N14" s="2968">
        <v>2050</v>
      </c>
      <c r="O14" s="866"/>
    </row>
    <row r="15" spans="1:20" ht="15.5">
      <c r="A15" s="2949"/>
      <c r="B15" s="2950"/>
      <c r="C15" s="2969"/>
      <c r="D15" s="859" t="s">
        <v>3197</v>
      </c>
      <c r="E15" s="859"/>
      <c r="F15" s="3789">
        <f>0.4*Unit.TWh</f>
        <v>0.4</v>
      </c>
      <c r="G15" s="3789">
        <f t="shared" ref="G15:N15" ca="1" si="0">MAX(-INDIRECT(G14&amp;"!T103"),0)</f>
        <v>3.5527136788005009E-15</v>
      </c>
      <c r="H15" s="3789">
        <f t="shared" ca="1" si="0"/>
        <v>0</v>
      </c>
      <c r="I15" s="3789">
        <f t="shared" ca="1" si="0"/>
        <v>3.5527136788005009E-15</v>
      </c>
      <c r="J15" s="3789">
        <f t="shared" ca="1" si="0"/>
        <v>0</v>
      </c>
      <c r="K15" s="3789">
        <f t="shared" ca="1" si="0"/>
        <v>0</v>
      </c>
      <c r="L15" s="3789">
        <f t="shared" ca="1" si="0"/>
        <v>0</v>
      </c>
      <c r="M15" s="3789">
        <f t="shared" ca="1" si="0"/>
        <v>0</v>
      </c>
      <c r="N15" s="3789">
        <f t="shared" ca="1" si="0"/>
        <v>0</v>
      </c>
      <c r="O15" s="866"/>
      <c r="Q15"/>
      <c r="R15"/>
      <c r="S15"/>
      <c r="T15"/>
    </row>
    <row r="16" spans="1:20">
      <c r="B16" s="505"/>
      <c r="C16" s="34"/>
      <c r="D16" s="506"/>
      <c r="E16" s="506"/>
      <c r="F16" s="506"/>
      <c r="G16" s="506"/>
      <c r="H16" s="506"/>
      <c r="I16" s="506"/>
      <c r="J16" s="506"/>
      <c r="K16" s="506"/>
      <c r="L16" s="506"/>
      <c r="M16" s="507"/>
      <c r="N16" s="3387"/>
      <c r="O16" s="858"/>
    </row>
    <row r="17" spans="1:15" ht="15.5">
      <c r="A17" s="2949"/>
      <c r="B17" s="2950"/>
      <c r="C17" s="2957" t="s">
        <v>1824</v>
      </c>
      <c r="D17" s="2921"/>
      <c r="E17" s="864"/>
      <c r="F17" s="2769"/>
      <c r="G17" s="2769"/>
      <c r="H17" s="2769"/>
      <c r="I17" s="2769"/>
      <c r="J17" s="2769"/>
      <c r="K17" s="2769"/>
      <c r="L17" s="2769"/>
      <c r="M17" s="3388" t="s">
        <v>1823</v>
      </c>
      <c r="N17" s="3388" t="str">
        <f>Preferences.PowerUnits&amp;"e"</f>
        <v>GWe</v>
      </c>
      <c r="O17" s="866"/>
    </row>
    <row r="18" spans="1:15" ht="15.5">
      <c r="A18" s="2949"/>
      <c r="B18" s="2950"/>
      <c r="C18" s="2957"/>
      <c r="D18" s="2921"/>
      <c r="E18" s="864"/>
      <c r="F18" s="2769"/>
      <c r="G18" s="2769"/>
      <c r="H18" s="2769"/>
      <c r="I18" s="2769"/>
      <c r="J18" s="2769"/>
      <c r="K18" s="2769"/>
      <c r="L18" s="2769"/>
      <c r="M18" s="2769"/>
      <c r="N18" s="3388"/>
      <c r="O18" s="866"/>
    </row>
    <row r="19" spans="1:15" ht="15.5">
      <c r="A19" s="2949"/>
      <c r="B19" s="2950"/>
      <c r="C19" s="2958"/>
      <c r="D19" s="2958" t="s">
        <v>71</v>
      </c>
      <c r="E19" s="2958" t="s">
        <v>30</v>
      </c>
      <c r="F19" s="2968">
        <v>2013</v>
      </c>
      <c r="G19" s="2968">
        <v>2015</v>
      </c>
      <c r="H19" s="2968">
        <v>2020</v>
      </c>
      <c r="I19" s="2968">
        <v>2025</v>
      </c>
      <c r="J19" s="2968">
        <v>2030</v>
      </c>
      <c r="K19" s="2968">
        <v>2035</v>
      </c>
      <c r="L19" s="2968">
        <v>2040</v>
      </c>
      <c r="M19" s="2968">
        <v>2045</v>
      </c>
      <c r="N19" s="2968">
        <v>2050</v>
      </c>
      <c r="O19" s="866"/>
    </row>
    <row r="20" spans="1:15" ht="15.5">
      <c r="A20" s="2949"/>
      <c r="B20" s="2950"/>
      <c r="C20" s="2969" t="s">
        <v>560</v>
      </c>
      <c r="D20" s="859" t="s">
        <v>2628</v>
      </c>
      <c r="E20" s="859"/>
      <c r="F20" s="3389">
        <f t="shared" ref="F20:N20" ca="1" si="1">IFERROR(INDEX(INDIRECT($C20&amp;".Info["&amp;F$19&amp;"]"), MATCH($M$17, INDIRECT($C20&amp;".Info[Vector]"), 0)), 0)</f>
        <v>0.75</v>
      </c>
      <c r="G20" s="3389">
        <f t="shared" ca="1" si="1"/>
        <v>0.75</v>
      </c>
      <c r="H20" s="3389">
        <f t="shared" ca="1" si="1"/>
        <v>0.75</v>
      </c>
      <c r="I20" s="3389">
        <f t="shared" ca="1" si="1"/>
        <v>1.4</v>
      </c>
      <c r="J20" s="3389">
        <f t="shared" ca="1" si="1"/>
        <v>1.4</v>
      </c>
      <c r="K20" s="3389">
        <f t="shared" ca="1" si="1"/>
        <v>1.4</v>
      </c>
      <c r="L20" s="3389">
        <f t="shared" ca="1" si="1"/>
        <v>1.4</v>
      </c>
      <c r="M20" s="3389">
        <f t="shared" ca="1" si="1"/>
        <v>1.4</v>
      </c>
      <c r="N20" s="3389">
        <f t="shared" ca="1" si="1"/>
        <v>1.4</v>
      </c>
      <c r="O20" s="866"/>
    </row>
    <row r="21" spans="1:15">
      <c r="B21" s="506"/>
      <c r="C21" s="506"/>
      <c r="D21" s="506"/>
      <c r="E21" s="506"/>
      <c r="F21" s="506"/>
      <c r="G21" s="506"/>
      <c r="H21" s="506"/>
      <c r="I21" s="506"/>
      <c r="J21" s="506"/>
      <c r="K21" s="506"/>
      <c r="L21" s="506"/>
      <c r="M21" s="507"/>
      <c r="N21" s="3387"/>
      <c r="O21" s="506"/>
    </row>
    <row r="22" spans="1:15">
      <c r="B22" s="506"/>
      <c r="C22" s="34"/>
      <c r="D22" s="506"/>
      <c r="E22" s="506"/>
      <c r="F22" s="506"/>
      <c r="G22" s="506"/>
      <c r="H22" s="506"/>
      <c r="I22" s="506"/>
      <c r="J22" s="506"/>
      <c r="K22" s="506"/>
      <c r="L22" s="506"/>
      <c r="M22" s="507"/>
      <c r="N22" s="3387"/>
      <c r="O22" s="506"/>
    </row>
    <row r="24" spans="1:15" ht="23.5">
      <c r="A24" s="7"/>
      <c r="B24" s="869" t="s">
        <v>33</v>
      </c>
      <c r="C24" s="870"/>
      <c r="D24" s="870"/>
      <c r="E24" s="870"/>
      <c r="F24" s="870"/>
      <c r="G24" s="870"/>
      <c r="H24" s="870"/>
      <c r="I24" s="870"/>
      <c r="J24" s="870"/>
      <c r="K24" s="870"/>
      <c r="L24" s="870"/>
      <c r="M24" s="870"/>
      <c r="N24" s="870"/>
      <c r="O24" s="871"/>
    </row>
    <row r="25" spans="1:15">
      <c r="B25" s="872"/>
      <c r="C25" s="873"/>
      <c r="D25" s="873"/>
      <c r="E25" s="873"/>
      <c r="F25" s="873"/>
      <c r="G25" s="873"/>
      <c r="H25" s="873"/>
      <c r="I25" s="873"/>
      <c r="J25" s="873"/>
      <c r="K25" s="873"/>
      <c r="L25" s="873"/>
      <c r="M25" s="873"/>
      <c r="N25" s="873"/>
      <c r="O25" s="874"/>
    </row>
    <row r="26" spans="1:15">
      <c r="B26" s="875"/>
      <c r="C26" s="49" t="s">
        <v>1371</v>
      </c>
      <c r="D26" s="67"/>
      <c r="E26" s="51"/>
      <c r="F26" s="51"/>
      <c r="G26" s="67"/>
      <c r="H26" s="67"/>
      <c r="I26" s="67"/>
      <c r="J26" s="67"/>
      <c r="K26" s="67"/>
      <c r="L26" s="67"/>
      <c r="M26" s="67"/>
      <c r="N26" s="935" t="str">
        <f>Preferences.EnergyUnits</f>
        <v>TWh</v>
      </c>
      <c r="O26" s="876"/>
    </row>
    <row r="27" spans="1:15">
      <c r="B27" s="875"/>
      <c r="C27" s="67"/>
      <c r="D27" s="67"/>
      <c r="E27" s="67"/>
      <c r="F27" s="67"/>
      <c r="G27" s="67"/>
      <c r="H27" s="67"/>
      <c r="I27" s="67"/>
      <c r="J27" s="67"/>
      <c r="K27" s="67"/>
      <c r="L27" s="67"/>
      <c r="M27" s="67"/>
      <c r="N27" s="67"/>
      <c r="O27" s="876"/>
    </row>
    <row r="28" spans="1:15" ht="15.5">
      <c r="B28" s="877"/>
      <c r="C28" s="878" t="s">
        <v>8</v>
      </c>
      <c r="D28" s="878" t="s">
        <v>71</v>
      </c>
      <c r="E28" s="878"/>
      <c r="F28" s="899">
        <v>2013</v>
      </c>
      <c r="G28" s="87">
        <v>2015</v>
      </c>
      <c r="H28" s="87">
        <v>2020</v>
      </c>
      <c r="I28" s="87">
        <v>2025</v>
      </c>
      <c r="J28" s="87">
        <v>2030</v>
      </c>
      <c r="K28" s="87">
        <v>2035</v>
      </c>
      <c r="L28" s="87">
        <v>2040</v>
      </c>
      <c r="M28" s="87">
        <v>2045</v>
      </c>
      <c r="N28" s="87">
        <v>2050</v>
      </c>
      <c r="O28" s="876"/>
    </row>
    <row r="29" spans="1:15" ht="15.5">
      <c r="B29" s="880"/>
      <c r="C29" s="65">
        <v>1</v>
      </c>
      <c r="D29" s="103" t="s">
        <v>2949</v>
      </c>
      <c r="E29" s="881"/>
      <c r="F29" s="3390">
        <v>0</v>
      </c>
      <c r="G29" s="2489">
        <f>2.5*Unit.TWh</f>
        <v>2.5</v>
      </c>
      <c r="H29" s="2489">
        <f>2.5*Unit.TWh</f>
        <v>2.5</v>
      </c>
      <c r="I29" s="2489">
        <f>Unit.TWh*1.5</f>
        <v>1.5</v>
      </c>
      <c r="J29" s="2489">
        <f>Unit.TWh*1</f>
        <v>1</v>
      </c>
      <c r="K29" s="2489">
        <v>0</v>
      </c>
      <c r="L29" s="2489">
        <v>0</v>
      </c>
      <c r="M29" s="2489">
        <v>0</v>
      </c>
      <c r="N29" s="2489">
        <v>0</v>
      </c>
      <c r="O29" s="884"/>
    </row>
    <row r="30" spans="1:15" ht="15.5">
      <c r="B30" s="880"/>
      <c r="C30" s="65">
        <v>2</v>
      </c>
      <c r="D30" s="103" t="s">
        <v>2949</v>
      </c>
      <c r="E30" s="103"/>
      <c r="F30" s="3391">
        <v>0</v>
      </c>
      <c r="G30" s="2489">
        <f>Unit.TWh*2.5</f>
        <v>2.5</v>
      </c>
      <c r="H30" s="2489">
        <f>Unit.TWh*2.5</f>
        <v>2.5</v>
      </c>
      <c r="I30" s="2489">
        <f>Unit.TWh*2.5</f>
        <v>2.5</v>
      </c>
      <c r="J30" s="2489">
        <f>Unit.TWh*2.5</f>
        <v>2.5</v>
      </c>
      <c r="K30" s="2489">
        <f>Unit.TWh*2.5</f>
        <v>2.5</v>
      </c>
      <c r="L30" s="2489">
        <f>Unit.TWh*3</f>
        <v>3</v>
      </c>
      <c r="M30" s="2489">
        <f>Unit.TWh*3</f>
        <v>3</v>
      </c>
      <c r="N30" s="2489">
        <f>Unit.TWh*3</f>
        <v>3</v>
      </c>
      <c r="O30" s="884"/>
    </row>
    <row r="31" spans="1:15" ht="15.5">
      <c r="B31" s="880"/>
      <c r="C31" s="65">
        <v>3</v>
      </c>
      <c r="D31" s="103" t="s">
        <v>2949</v>
      </c>
      <c r="E31" s="103"/>
      <c r="F31" s="3391">
        <v>0</v>
      </c>
      <c r="G31" s="2489">
        <f t="shared" ref="G31:I32" si="2">Unit.TWh*2.5</f>
        <v>2.5</v>
      </c>
      <c r="H31" s="2489">
        <f t="shared" si="2"/>
        <v>2.5</v>
      </c>
      <c r="I31" s="2489">
        <f t="shared" si="2"/>
        <v>2.5</v>
      </c>
      <c r="J31" s="2489">
        <f>Unit.TWh*3.2</f>
        <v>3.2</v>
      </c>
      <c r="K31" s="2489">
        <f>Unit.TWh*3.9</f>
        <v>3.9</v>
      </c>
      <c r="L31" s="2489">
        <f>Unit.TWh*4.6</f>
        <v>4.5999999999999996</v>
      </c>
      <c r="M31" s="2489">
        <f>Unit.TWh*5.3</f>
        <v>5.3</v>
      </c>
      <c r="N31" s="2489">
        <f>Unit.TWh*6</f>
        <v>6</v>
      </c>
      <c r="O31" s="884" t="s">
        <v>5</v>
      </c>
    </row>
    <row r="32" spans="1:15" ht="15.5">
      <c r="B32" s="877"/>
      <c r="C32" s="887">
        <v>4</v>
      </c>
      <c r="D32" s="103" t="s">
        <v>2949</v>
      </c>
      <c r="E32" s="888" t="s">
        <v>5</v>
      </c>
      <c r="F32" s="3392">
        <v>0</v>
      </c>
      <c r="G32" s="2489">
        <f t="shared" si="2"/>
        <v>2.5</v>
      </c>
      <c r="H32" s="2489">
        <f t="shared" si="2"/>
        <v>2.5</v>
      </c>
      <c r="I32" s="2489">
        <f t="shared" si="2"/>
        <v>2.5</v>
      </c>
      <c r="J32" s="2489">
        <f>Unit.TWh*3.9</f>
        <v>3.9</v>
      </c>
      <c r="K32" s="2489">
        <f>Unit.TWh*4.6</f>
        <v>4.5999999999999996</v>
      </c>
      <c r="L32" s="2489">
        <f>Unit.TWh*7</f>
        <v>7</v>
      </c>
      <c r="M32" s="2489">
        <f>Unit.TWh*9</f>
        <v>9</v>
      </c>
      <c r="N32" s="2489">
        <f>Unit.TWh*10</f>
        <v>10</v>
      </c>
      <c r="O32" s="876"/>
    </row>
    <row r="33" spans="1:27" ht="15.5">
      <c r="B33" s="55"/>
      <c r="C33" s="1015" t="s">
        <v>37</v>
      </c>
      <c r="D33" s="892"/>
      <c r="E33" s="892"/>
      <c r="F33" s="3318">
        <f t="shared" ref="F33:N33" si="3">(INDEX(F$29:F$32,ROUNDDOWN($E$7,0))*(1-MOD($E$7,1)))+(INDEX(F$29:F$32,ROUNDUP($E$7,0))*MOD($E$7,1))</f>
        <v>0</v>
      </c>
      <c r="G33" s="3319">
        <f t="shared" si="3"/>
        <v>2.5</v>
      </c>
      <c r="H33" s="3318">
        <f t="shared" si="3"/>
        <v>2.5</v>
      </c>
      <c r="I33" s="3318">
        <f t="shared" si="3"/>
        <v>1.5</v>
      </c>
      <c r="J33" s="3318">
        <f t="shared" si="3"/>
        <v>1</v>
      </c>
      <c r="K33" s="3318">
        <f t="shared" si="3"/>
        <v>0</v>
      </c>
      <c r="L33" s="3318">
        <f t="shared" si="3"/>
        <v>0</v>
      </c>
      <c r="M33" s="3318">
        <f t="shared" si="3"/>
        <v>0</v>
      </c>
      <c r="N33" s="3318">
        <f t="shared" si="3"/>
        <v>0</v>
      </c>
      <c r="O33" s="876"/>
    </row>
    <row r="34" spans="1:27">
      <c r="B34" s="895"/>
      <c r="C34" s="67"/>
      <c r="D34" s="195" t="s">
        <v>5</v>
      </c>
      <c r="E34" s="67"/>
      <c r="F34" s="67"/>
      <c r="G34" s="67" t="s">
        <v>5</v>
      </c>
      <c r="H34" s="67"/>
      <c r="I34" s="67"/>
      <c r="J34" s="67"/>
      <c r="K34" s="67"/>
      <c r="L34" s="67"/>
      <c r="M34" s="67"/>
      <c r="N34" s="67"/>
      <c r="O34" s="876"/>
    </row>
    <row r="35" spans="1:27">
      <c r="B35" s="895"/>
      <c r="C35" s="67"/>
      <c r="D35" s="195" t="s">
        <v>5</v>
      </c>
      <c r="E35" s="67"/>
      <c r="F35" s="67"/>
      <c r="G35" s="67"/>
      <c r="H35" s="67"/>
      <c r="I35" s="67"/>
      <c r="J35" s="67"/>
      <c r="K35" s="67"/>
      <c r="L35" s="67"/>
      <c r="M35" s="67"/>
      <c r="N35" s="67"/>
      <c r="O35" s="876"/>
    </row>
    <row r="36" spans="1:27">
      <c r="B36" s="895"/>
      <c r="C36" s="67"/>
      <c r="D36" s="195"/>
      <c r="E36" s="67"/>
      <c r="F36" s="67"/>
      <c r="G36" s="67"/>
      <c r="H36" s="67"/>
      <c r="I36" s="67"/>
      <c r="J36" s="67"/>
      <c r="K36" s="67"/>
      <c r="L36" s="67"/>
      <c r="M36" s="67"/>
      <c r="N36" s="67"/>
      <c r="O36" s="876"/>
    </row>
    <row r="37" spans="1:27">
      <c r="B37" s="895"/>
      <c r="C37" s="67"/>
      <c r="D37" s="195"/>
      <c r="E37" s="67"/>
      <c r="F37" s="67"/>
      <c r="G37" s="67"/>
      <c r="H37" s="67" t="s">
        <v>5</v>
      </c>
      <c r="I37" s="67"/>
      <c r="J37" s="67"/>
      <c r="K37" s="67"/>
      <c r="L37" s="67"/>
      <c r="M37" s="67"/>
      <c r="N37" s="67"/>
      <c r="O37" s="876"/>
    </row>
    <row r="39" spans="1:27" s="6" customFormat="1" ht="23.5">
      <c r="A39" s="40"/>
      <c r="B39" s="869" t="s">
        <v>69</v>
      </c>
      <c r="C39" s="870"/>
      <c r="D39" s="870"/>
      <c r="E39" s="870"/>
      <c r="F39" s="870"/>
      <c r="G39" s="870"/>
      <c r="H39" s="870"/>
      <c r="I39" s="870"/>
      <c r="J39" s="870"/>
      <c r="K39" s="870"/>
      <c r="L39" s="870"/>
      <c r="M39" s="870"/>
      <c r="N39" s="870"/>
      <c r="O39" s="871"/>
      <c r="P39"/>
    </row>
    <row r="40" spans="1:27">
      <c r="B40" s="105"/>
      <c r="C40" s="67"/>
      <c r="D40" s="67"/>
      <c r="E40" s="67"/>
      <c r="F40" s="67"/>
      <c r="G40" s="67"/>
      <c r="H40" s="67"/>
      <c r="I40" s="67"/>
      <c r="J40" s="67"/>
      <c r="K40" s="67"/>
      <c r="L40" s="67"/>
      <c r="M40" s="67"/>
      <c r="N40" s="67"/>
      <c r="O40" s="876"/>
    </row>
    <row r="41" spans="1:27">
      <c r="B41" s="105"/>
      <c r="C41" s="49" t="s">
        <v>1767</v>
      </c>
      <c r="D41" s="67"/>
      <c r="E41" s="51"/>
      <c r="F41" s="67"/>
      <c r="G41" s="67"/>
      <c r="H41" s="67"/>
      <c r="I41" s="67"/>
      <c r="J41" s="67"/>
      <c r="K41" s="67"/>
      <c r="L41" s="67"/>
      <c r="M41" s="67"/>
      <c r="N41" s="935" t="str">
        <f>Preferences.EnergyUnits</f>
        <v>TWh</v>
      </c>
      <c r="O41" s="876"/>
    </row>
    <row r="42" spans="1:27">
      <c r="B42" s="105"/>
      <c r="C42" s="67"/>
      <c r="D42" s="67"/>
      <c r="E42" s="67"/>
      <c r="F42" s="67"/>
      <c r="G42" s="67"/>
      <c r="H42" s="67"/>
      <c r="I42" s="67"/>
      <c r="J42" s="67"/>
      <c r="K42" s="67"/>
      <c r="L42" s="67"/>
      <c r="M42" s="67"/>
      <c r="N42" s="67"/>
      <c r="O42" s="876"/>
    </row>
    <row r="43" spans="1:27" ht="15.5">
      <c r="B43" s="55"/>
      <c r="C43" s="878" t="s">
        <v>28</v>
      </c>
      <c r="D43" s="878" t="s">
        <v>29</v>
      </c>
      <c r="E43" s="878" t="s">
        <v>30</v>
      </c>
      <c r="F43" s="87">
        <v>2013</v>
      </c>
      <c r="G43" s="87">
        <v>2015</v>
      </c>
      <c r="H43" s="87">
        <v>2020</v>
      </c>
      <c r="I43" s="87">
        <v>2025</v>
      </c>
      <c r="J43" s="87">
        <v>2030</v>
      </c>
      <c r="K43" s="87">
        <v>2035</v>
      </c>
      <c r="L43" s="87">
        <v>2040</v>
      </c>
      <c r="M43" s="87">
        <v>2045</v>
      </c>
      <c r="N43" s="87">
        <v>2050</v>
      </c>
      <c r="O43" s="876"/>
      <c r="X43" s="39"/>
      <c r="Y43" s="39"/>
      <c r="Z43" s="39"/>
      <c r="AA43" s="39"/>
    </row>
    <row r="44" spans="1:27" s="6" customFormat="1" ht="15.5">
      <c r="B44" s="966"/>
      <c r="C44" s="901" t="s">
        <v>96</v>
      </c>
      <c r="D44" s="901" t="s">
        <v>86</v>
      </c>
      <c r="E44" s="901" t="s">
        <v>64</v>
      </c>
      <c r="F44" s="2861">
        <f>2.5*Unit.TWh</f>
        <v>2.5</v>
      </c>
      <c r="G44" s="2861">
        <v>0</v>
      </c>
      <c r="H44" s="2861">
        <v>0</v>
      </c>
      <c r="I44" s="2861">
        <v>0</v>
      </c>
      <c r="J44" s="2861">
        <v>0</v>
      </c>
      <c r="K44" s="2861">
        <v>0</v>
      </c>
      <c r="L44" s="2861">
        <v>0</v>
      </c>
      <c r="M44" s="2861">
        <v>0</v>
      </c>
      <c r="N44" s="2861">
        <v>0</v>
      </c>
      <c r="O44" s="884"/>
      <c r="P44"/>
      <c r="X44" s="850"/>
      <c r="Y44" s="850"/>
      <c r="Z44" s="850"/>
      <c r="AA44" s="850"/>
    </row>
    <row r="45" spans="1:27">
      <c r="B45" s="45"/>
      <c r="C45" s="67"/>
      <c r="D45" s="195"/>
      <c r="E45" s="67"/>
      <c r="F45" s="67"/>
      <c r="G45" s="67"/>
      <c r="H45" s="67"/>
      <c r="I45" s="67"/>
      <c r="J45" s="67"/>
      <c r="K45" s="67"/>
      <c r="L45" s="67"/>
      <c r="M45" s="67"/>
      <c r="N45" s="67"/>
      <c r="O45" s="876"/>
      <c r="X45" s="39"/>
      <c r="Y45" s="39"/>
      <c r="Z45" s="39"/>
      <c r="AA45" s="39"/>
    </row>
    <row r="46" spans="1:27" ht="15.5">
      <c r="B46" s="55"/>
      <c r="C46" s="49" t="s">
        <v>716</v>
      </c>
      <c r="D46" s="67"/>
      <c r="E46" s="67"/>
      <c r="F46" s="67"/>
      <c r="G46" s="67"/>
      <c r="H46" s="67"/>
      <c r="I46" s="67"/>
      <c r="J46" s="67"/>
      <c r="K46" s="67"/>
      <c r="L46" s="67"/>
      <c r="M46" s="67"/>
      <c r="N46" s="67"/>
      <c r="O46" s="876"/>
      <c r="X46" s="39"/>
      <c r="Y46" s="39"/>
      <c r="Z46" s="39"/>
      <c r="AA46" s="39"/>
    </row>
    <row r="47" spans="1:27" ht="15.5">
      <c r="B47" s="55"/>
      <c r="C47" s="67"/>
      <c r="D47" s="67"/>
      <c r="E47" s="67"/>
      <c r="F47" s="67"/>
      <c r="G47" s="67"/>
      <c r="H47" s="67"/>
      <c r="I47" s="67"/>
      <c r="J47" s="67"/>
      <c r="K47" s="67"/>
      <c r="L47" s="67"/>
      <c r="M47" s="67"/>
      <c r="N47" s="67"/>
      <c r="O47" s="67"/>
      <c r="X47" s="39"/>
      <c r="Y47" s="39"/>
      <c r="Z47" s="39"/>
      <c r="AA47" s="39"/>
    </row>
    <row r="48" spans="1:27" ht="15.5">
      <c r="B48" s="55"/>
      <c r="C48" s="878"/>
      <c r="D48" s="878"/>
      <c r="E48" s="878"/>
      <c r="F48" s="87"/>
      <c r="G48" s="1152" t="s">
        <v>876</v>
      </c>
      <c r="H48" s="1152"/>
      <c r="I48" s="67"/>
      <c r="J48" s="911"/>
      <c r="K48" s="911"/>
      <c r="L48" s="911"/>
      <c r="M48" s="911"/>
      <c r="N48" s="911"/>
      <c r="O48" s="911"/>
      <c r="X48" s="39"/>
      <c r="Y48" s="39"/>
      <c r="Z48" s="39"/>
      <c r="AA48" s="39"/>
    </row>
    <row r="49" spans="2:32" ht="15.5">
      <c r="B49" s="55"/>
      <c r="C49" s="914"/>
      <c r="D49" s="915" t="s">
        <v>2629</v>
      </c>
      <c r="E49" s="881" t="s">
        <v>66</v>
      </c>
      <c r="F49" s="3393">
        <v>0.95</v>
      </c>
      <c r="G49" s="1215"/>
      <c r="H49" s="1215"/>
      <c r="I49" s="67"/>
      <c r="J49" s="911"/>
      <c r="K49" s="911"/>
      <c r="L49" s="911"/>
      <c r="M49" s="911"/>
      <c r="N49" s="911"/>
      <c r="O49" s="911"/>
      <c r="X49" s="39"/>
      <c r="Y49" s="39"/>
      <c r="Z49" s="39"/>
      <c r="AA49" s="39"/>
    </row>
    <row r="50" spans="2:32" ht="15.5">
      <c r="B50" s="55"/>
      <c r="C50" s="914"/>
      <c r="D50" s="915" t="s">
        <v>2630</v>
      </c>
      <c r="E50" s="103" t="s">
        <v>105</v>
      </c>
      <c r="F50" s="3393">
        <v>0.15</v>
      </c>
      <c r="G50" s="1215"/>
      <c r="H50" s="1215"/>
      <c r="I50" s="67"/>
      <c r="J50" s="911"/>
      <c r="K50" s="911"/>
      <c r="L50" s="911"/>
      <c r="M50" s="911"/>
      <c r="N50" s="911"/>
      <c r="O50" s="911"/>
      <c r="X50" s="39"/>
      <c r="Y50" s="39"/>
      <c r="Z50" s="39"/>
      <c r="AA50" s="39"/>
    </row>
    <row r="51" spans="2:32" ht="15.5">
      <c r="B51" s="55"/>
      <c r="C51" s="917"/>
      <c r="D51" s="194"/>
      <c r="E51" s="194"/>
      <c r="F51" s="2645"/>
      <c r="G51" s="1156"/>
      <c r="H51" s="1156"/>
      <c r="I51" s="67"/>
      <c r="J51" s="2448"/>
      <c r="K51" s="2448"/>
      <c r="L51" s="2448"/>
      <c r="M51" s="2448"/>
      <c r="N51" s="2448"/>
      <c r="O51" s="2448" t="s">
        <v>5</v>
      </c>
      <c r="X51" s="39"/>
      <c r="Y51" s="39"/>
      <c r="Z51" s="39"/>
      <c r="AA51" s="39"/>
    </row>
    <row r="52" spans="2:32" ht="15.5">
      <c r="B52" s="55"/>
      <c r="C52" s="65"/>
      <c r="D52" s="103"/>
      <c r="E52" s="103"/>
      <c r="F52" s="2639"/>
      <c r="G52" s="934"/>
      <c r="H52" s="934"/>
      <c r="I52" s="67"/>
      <c r="J52" s="2448"/>
      <c r="K52" s="2448"/>
      <c r="L52" s="2448"/>
      <c r="M52" s="2448"/>
      <c r="N52" s="2448"/>
      <c r="O52" s="2448"/>
      <c r="X52" s="39"/>
      <c r="Y52" s="39"/>
      <c r="Z52" s="39"/>
      <c r="AA52" s="39"/>
    </row>
    <row r="53" spans="2:32" ht="15.5">
      <c r="B53" s="55"/>
      <c r="C53" s="2926" t="s">
        <v>2631</v>
      </c>
      <c r="D53" s="245"/>
      <c r="E53" s="3394">
        <v>30</v>
      </c>
      <c r="F53" s="245" t="s">
        <v>1843</v>
      </c>
      <c r="G53" s="2729"/>
      <c r="H53" s="2729"/>
      <c r="I53" s="67"/>
      <c r="J53" s="2448"/>
      <c r="K53" s="2448"/>
      <c r="L53" s="2448"/>
      <c r="M53" s="2448"/>
      <c r="N53" s="2448"/>
      <c r="O53" s="2448"/>
      <c r="X53" s="39"/>
      <c r="Y53" s="39"/>
      <c r="Z53" s="39"/>
      <c r="AA53" s="39"/>
    </row>
    <row r="54" spans="2:32">
      <c r="B54" s="105"/>
      <c r="C54" s="67"/>
      <c r="D54" s="67"/>
      <c r="E54" s="67"/>
      <c r="F54" s="67"/>
      <c r="G54" s="67"/>
      <c r="H54" s="67"/>
      <c r="I54" s="67"/>
      <c r="J54" s="67"/>
      <c r="K54" s="67"/>
      <c r="L54" s="67"/>
      <c r="M54" s="67"/>
      <c r="N54" s="67"/>
      <c r="O54" s="67"/>
      <c r="X54" s="39"/>
      <c r="Y54" s="39"/>
      <c r="Z54" s="39"/>
      <c r="AA54" s="39"/>
    </row>
    <row r="55" spans="2:32">
      <c r="B55" s="45"/>
      <c r="C55" s="3826" t="s">
        <v>63</v>
      </c>
      <c r="D55" s="195"/>
      <c r="E55" s="67"/>
      <c r="F55" s="67"/>
      <c r="G55" s="67"/>
      <c r="H55" s="67"/>
      <c r="I55" s="67"/>
      <c r="J55" s="67"/>
      <c r="K55" s="67"/>
      <c r="L55" s="67"/>
      <c r="M55" s="67"/>
      <c r="N55" s="67"/>
      <c r="O55" s="67"/>
      <c r="X55" s="39"/>
      <c r="Y55" s="39"/>
      <c r="Z55" s="39"/>
      <c r="AA55" s="39"/>
    </row>
    <row r="56" spans="2:32">
      <c r="B56" s="45"/>
      <c r="C56" s="3828"/>
      <c r="D56" s="3830" t="s">
        <v>2953</v>
      </c>
      <c r="E56" s="67"/>
      <c r="F56" s="67"/>
      <c r="G56" s="67"/>
      <c r="H56" s="67"/>
      <c r="I56" s="67"/>
      <c r="J56" s="67"/>
      <c r="K56" s="67"/>
      <c r="L56" s="67"/>
      <c r="M56" s="67"/>
      <c r="N56" s="67"/>
      <c r="O56" s="67"/>
      <c r="X56" s="39"/>
      <c r="Y56" s="39"/>
      <c r="Z56" s="39"/>
      <c r="AA56" s="39"/>
    </row>
    <row r="57" spans="2:32" s="918" customFormat="1">
      <c r="B57" s="1160"/>
      <c r="C57" s="3827" t="s">
        <v>64</v>
      </c>
      <c r="D57" s="3830" t="s">
        <v>2948</v>
      </c>
      <c r="E57" s="922"/>
      <c r="F57" s="922"/>
      <c r="G57" s="922"/>
      <c r="H57" s="922"/>
      <c r="I57" s="922"/>
      <c r="J57" s="922"/>
      <c r="K57" s="922"/>
      <c r="L57" s="922"/>
      <c r="M57" s="922"/>
      <c r="N57" s="922"/>
      <c r="O57" s="922"/>
      <c r="P57"/>
      <c r="X57" s="1068"/>
      <c r="Y57" s="1298"/>
      <c r="Z57" s="1298"/>
      <c r="AA57" s="1298"/>
    </row>
    <row r="58" spans="2:32" s="918" customFormat="1">
      <c r="B58" s="1160"/>
      <c r="C58" s="3827" t="s">
        <v>66</v>
      </c>
      <c r="D58" s="3830" t="s">
        <v>2108</v>
      </c>
      <c r="E58" s="922"/>
      <c r="F58" s="922"/>
      <c r="G58" s="922"/>
      <c r="H58" s="922"/>
      <c r="I58" s="922"/>
      <c r="J58" s="922"/>
      <c r="K58" s="922"/>
      <c r="L58" s="922"/>
      <c r="M58" s="922"/>
      <c r="N58" s="922"/>
      <c r="O58" s="922"/>
      <c r="P58"/>
      <c r="X58" s="1068"/>
      <c r="Y58" s="1162"/>
      <c r="Z58" s="1298"/>
      <c r="AA58" s="1298"/>
    </row>
    <row r="59" spans="2:32" s="918" customFormat="1">
      <c r="B59" s="1160"/>
      <c r="C59" s="3827" t="s">
        <v>105</v>
      </c>
      <c r="D59" s="3830" t="s">
        <v>2108</v>
      </c>
      <c r="E59" s="922"/>
      <c r="F59" s="922"/>
      <c r="G59" s="922"/>
      <c r="H59" s="922"/>
      <c r="I59" s="922"/>
      <c r="J59" s="922"/>
      <c r="K59" s="922"/>
      <c r="L59" s="922"/>
      <c r="M59" s="922"/>
      <c r="N59" s="922"/>
      <c r="O59" s="922"/>
      <c r="P59"/>
      <c r="X59" s="1068"/>
      <c r="Y59" s="1162"/>
      <c r="Z59" s="1298"/>
      <c r="AA59" s="1298"/>
    </row>
    <row r="60" spans="2:32" s="918" customFormat="1">
      <c r="B60" s="1160"/>
      <c r="C60" s="51"/>
      <c r="D60" s="195"/>
      <c r="E60" s="922"/>
      <c r="F60" s="922"/>
      <c r="G60" s="922"/>
      <c r="H60" s="922"/>
      <c r="I60" s="922"/>
      <c r="J60" s="922"/>
      <c r="K60" s="922"/>
      <c r="L60" s="922"/>
      <c r="M60" s="922"/>
      <c r="N60" s="922"/>
      <c r="O60" s="922"/>
      <c r="P60"/>
      <c r="X60" s="1162"/>
      <c r="Y60" s="1162"/>
      <c r="Z60" s="1298"/>
      <c r="AA60" s="1298"/>
    </row>
    <row r="61" spans="2:32">
      <c r="B61" s="1163"/>
      <c r="C61" s="1065"/>
      <c r="D61" s="1065"/>
      <c r="E61" s="1065"/>
      <c r="F61" s="1065"/>
      <c r="G61" s="1065"/>
      <c r="H61" s="1065"/>
      <c r="I61" s="1065"/>
      <c r="J61" s="1065"/>
      <c r="K61" s="1065"/>
      <c r="L61" s="1065"/>
      <c r="M61" s="1065"/>
      <c r="N61" s="1065"/>
      <c r="O61" s="1065"/>
      <c r="X61" s="1068"/>
      <c r="Y61" s="1068"/>
      <c r="Z61" s="39"/>
      <c r="AA61" s="39"/>
    </row>
    <row r="62" spans="2:32">
      <c r="B62" s="1068"/>
      <c r="C62" s="1068"/>
      <c r="D62" s="1068"/>
      <c r="E62" s="1068"/>
      <c r="F62" s="1068"/>
      <c r="G62" s="1068"/>
      <c r="H62" s="1068"/>
      <c r="I62" s="1068"/>
      <c r="J62" s="1068"/>
      <c r="K62" s="1068"/>
      <c r="L62" s="1068"/>
      <c r="M62" s="1068"/>
      <c r="N62" s="1068"/>
      <c r="O62" s="1068"/>
      <c r="X62" s="1068"/>
      <c r="Y62" s="1068"/>
      <c r="Z62" s="39"/>
      <c r="AA62" s="39"/>
    </row>
    <row r="63" spans="2:32" ht="15">
      <c r="B63" s="869" t="s">
        <v>2719</v>
      </c>
      <c r="C63" s="870"/>
      <c r="D63" s="870"/>
      <c r="E63" s="870"/>
      <c r="F63" s="870"/>
      <c r="G63" s="870"/>
      <c r="H63" s="870"/>
      <c r="I63" s="870"/>
      <c r="J63" s="870"/>
      <c r="K63" s="870"/>
      <c r="L63" s="870"/>
      <c r="M63" s="870"/>
      <c r="N63" s="870"/>
      <c r="O63" s="871"/>
      <c r="Q63" s="39"/>
      <c r="R63" s="2500"/>
      <c r="S63" s="647"/>
      <c r="T63" s="647"/>
      <c r="U63" s="647"/>
      <c r="V63" s="647"/>
      <c r="W63" s="647"/>
      <c r="X63" s="647"/>
      <c r="Y63" s="647"/>
      <c r="Z63" s="647"/>
      <c r="AA63" s="647"/>
      <c r="AB63" s="647"/>
      <c r="AC63" s="647"/>
      <c r="AD63" s="647"/>
      <c r="AE63" s="647"/>
      <c r="AF63" s="647"/>
    </row>
    <row r="64" spans="2:32" hidden="1">
      <c r="B64" s="872"/>
      <c r="C64" s="873"/>
      <c r="D64" s="873"/>
      <c r="E64" s="873"/>
      <c r="F64" s="873"/>
      <c r="G64" s="873"/>
      <c r="H64" s="873"/>
      <c r="I64" s="873"/>
      <c r="J64" s="873"/>
      <c r="K64" s="873"/>
      <c r="L64" s="873"/>
      <c r="M64" s="873"/>
      <c r="N64" s="873"/>
      <c r="O64" s="874"/>
      <c r="R64" s="2570"/>
      <c r="S64" s="81"/>
      <c r="T64" s="81"/>
      <c r="U64" s="81"/>
      <c r="V64" s="81"/>
      <c r="W64" s="81"/>
      <c r="X64" s="81"/>
      <c r="Y64" s="81"/>
      <c r="Z64" s="81"/>
      <c r="AA64" s="81"/>
      <c r="AB64" s="81"/>
      <c r="AC64" s="81"/>
      <c r="AD64" s="81"/>
      <c r="AE64" s="81"/>
      <c r="AF64" s="81"/>
    </row>
    <row r="65" spans="1:114" s="6" customFormat="1" hidden="1">
      <c r="A65" s="3348"/>
      <c r="B65" s="105"/>
      <c r="C65" s="49" t="s">
        <v>2653</v>
      </c>
      <c r="D65" s="915"/>
      <c r="E65" s="932"/>
      <c r="F65" s="2489"/>
      <c r="G65" s="934"/>
      <c r="H65" s="934"/>
      <c r="I65" s="934"/>
      <c r="J65" s="934"/>
      <c r="K65" s="934"/>
      <c r="L65" s="934"/>
      <c r="M65" s="934"/>
      <c r="N65" s="935" t="s">
        <v>2742</v>
      </c>
      <c r="O65" s="876"/>
      <c r="P65"/>
      <c r="Q65" s="3348"/>
      <c r="R65" s="3395"/>
      <c r="S65" s="3396"/>
      <c r="T65" s="3397"/>
      <c r="U65" s="3397"/>
      <c r="V65" s="3397"/>
      <c r="W65" s="3397"/>
      <c r="X65" s="3397"/>
      <c r="Y65" s="3397"/>
      <c r="Z65" s="3397"/>
      <c r="AA65" s="3397"/>
      <c r="AB65" s="3397"/>
      <c r="AC65" s="3397"/>
      <c r="AD65" s="3397"/>
      <c r="AE65" s="3397"/>
      <c r="AF65" s="3397"/>
      <c r="AG65" s="3348"/>
      <c r="AH65" s="3348"/>
      <c r="AI65" s="3348"/>
      <c r="AJ65" s="3348"/>
      <c r="AK65" s="3348"/>
      <c r="AL65" s="3348"/>
      <c r="AM65" s="3348"/>
      <c r="AN65" s="3348"/>
      <c r="AO65" s="3348"/>
      <c r="AP65" s="3348"/>
      <c r="AQ65" s="3348"/>
      <c r="AR65" s="3348"/>
      <c r="AS65" s="3348"/>
      <c r="AT65" s="3348"/>
      <c r="AU65" s="3348"/>
      <c r="AV65" s="3348"/>
      <c r="AW65" s="3348"/>
      <c r="AX65" s="3348"/>
      <c r="AY65" s="3348"/>
      <c r="AZ65" s="3348"/>
      <c r="BA65" s="3348"/>
      <c r="BB65" s="3348"/>
      <c r="BC65" s="3348"/>
      <c r="BD65" s="3348"/>
      <c r="BE65" s="3348"/>
      <c r="BF65" s="3348"/>
      <c r="BG65" s="3348"/>
      <c r="BH65" s="3348"/>
      <c r="BI65" s="3348"/>
      <c r="BJ65" s="3348"/>
      <c r="BK65" s="3348"/>
      <c r="BL65" s="3348"/>
      <c r="BM65" s="3348"/>
      <c r="BN65" s="3348"/>
      <c r="BO65" s="3348"/>
      <c r="BP65" s="3348"/>
      <c r="BQ65" s="3348"/>
      <c r="BR65" s="3348"/>
      <c r="BS65" s="3348"/>
      <c r="BT65" s="3348"/>
      <c r="BU65" s="3348"/>
      <c r="BV65" s="3348"/>
      <c r="BW65" s="3348"/>
      <c r="BX65" s="3348"/>
      <c r="BY65" s="3348"/>
      <c r="BZ65" s="3348"/>
      <c r="CA65" s="3348"/>
      <c r="CB65" s="3348"/>
      <c r="CC65" s="3348"/>
      <c r="CD65" s="3348"/>
      <c r="CE65" s="3348"/>
      <c r="CF65" s="3348"/>
      <c r="CG65" s="3348"/>
      <c r="CH65" s="3348"/>
      <c r="CI65" s="3348"/>
      <c r="CJ65" s="3348"/>
      <c r="CK65" s="3348"/>
      <c r="CL65" s="3348"/>
      <c r="CM65" s="3348"/>
      <c r="CN65" s="3348"/>
      <c r="CO65" s="3348"/>
      <c r="CP65" s="3348"/>
      <c r="CQ65" s="3348"/>
      <c r="CR65" s="3348"/>
      <c r="CS65" s="3348"/>
      <c r="CT65" s="3348"/>
      <c r="CU65" s="3348"/>
      <c r="CV65" s="3348"/>
      <c r="CW65" s="3348"/>
      <c r="CX65" s="3348"/>
      <c r="CY65" s="3348"/>
      <c r="CZ65" s="3348"/>
      <c r="DA65" s="3348"/>
      <c r="DB65" s="3348"/>
      <c r="DC65" s="3348"/>
      <c r="DD65" s="3348"/>
      <c r="DE65" s="3348"/>
      <c r="DF65" s="3348"/>
      <c r="DG65" s="3348"/>
      <c r="DH65" s="3348"/>
      <c r="DI65" s="3348"/>
      <c r="DJ65" s="3348"/>
    </row>
    <row r="66" spans="1:114" s="6" customFormat="1" ht="4.5" hidden="1" customHeight="1">
      <c r="A66" s="3348"/>
      <c r="B66" s="105"/>
      <c r="C66" s="937"/>
      <c r="D66" s="915"/>
      <c r="E66" s="932"/>
      <c r="F66" s="2489"/>
      <c r="G66" s="934"/>
      <c r="H66" s="934"/>
      <c r="I66" s="934"/>
      <c r="J66" s="934"/>
      <c r="K66" s="934"/>
      <c r="L66" s="934"/>
      <c r="M66" s="934"/>
      <c r="N66" s="67"/>
      <c r="O66" s="876"/>
      <c r="P66"/>
      <c r="Q66" s="3348"/>
      <c r="R66" s="3395"/>
      <c r="S66" s="3397"/>
      <c r="T66" s="3397"/>
      <c r="U66" s="3397"/>
      <c r="V66" s="3397"/>
      <c r="W66" s="3397"/>
      <c r="X66" s="3397"/>
      <c r="Y66" s="3397"/>
      <c r="Z66" s="3397"/>
      <c r="AA66" s="3397"/>
      <c r="AB66" s="3397"/>
      <c r="AC66" s="3397"/>
      <c r="AD66" s="3397"/>
      <c r="AE66" s="3397"/>
      <c r="AF66" s="3397"/>
      <c r="AG66" s="3348"/>
      <c r="AH66" s="3348"/>
      <c r="AI66" s="3348"/>
      <c r="AJ66" s="3348"/>
      <c r="AK66" s="3348"/>
      <c r="AL66" s="3348"/>
      <c r="AM66" s="3348"/>
      <c r="AN66" s="3348"/>
      <c r="AO66" s="3348"/>
      <c r="AP66" s="3348"/>
      <c r="AQ66" s="3348"/>
      <c r="AR66" s="3348"/>
      <c r="AS66" s="3348"/>
      <c r="AT66" s="3348"/>
      <c r="AU66" s="3348"/>
      <c r="AV66" s="3348"/>
      <c r="AW66" s="3348"/>
      <c r="AX66" s="3348"/>
      <c r="AY66" s="3348"/>
      <c r="AZ66" s="3348"/>
      <c r="BA66" s="3348"/>
      <c r="BB66" s="3348"/>
      <c r="BC66" s="3348"/>
      <c r="BD66" s="3348"/>
      <c r="BE66" s="3348"/>
      <c r="BF66" s="3348"/>
      <c r="BG66" s="3348"/>
      <c r="BH66" s="3348"/>
      <c r="BI66" s="3348"/>
      <c r="BJ66" s="3348"/>
      <c r="BK66" s="3348"/>
      <c r="BL66" s="3348"/>
      <c r="BM66" s="3348"/>
      <c r="BN66" s="3348"/>
      <c r="BO66" s="3348"/>
      <c r="BP66" s="3348"/>
      <c r="BQ66" s="3348"/>
      <c r="BR66" s="3348"/>
      <c r="BS66" s="3348"/>
      <c r="BT66" s="3348"/>
      <c r="BU66" s="3348"/>
      <c r="BV66" s="3348"/>
      <c r="BW66" s="3348"/>
      <c r="BX66" s="3348"/>
      <c r="BY66" s="3348"/>
      <c r="BZ66" s="3348"/>
      <c r="CA66" s="3348"/>
      <c r="CB66" s="3348"/>
      <c r="CC66" s="3348"/>
      <c r="CD66" s="3348"/>
      <c r="CE66" s="3348"/>
      <c r="CF66" s="3348"/>
      <c r="CG66" s="3348"/>
      <c r="CH66" s="3348"/>
      <c r="CI66" s="3348"/>
      <c r="CJ66" s="3348"/>
      <c r="CK66" s="3348"/>
      <c r="CL66" s="3348"/>
      <c r="CM66" s="3348"/>
      <c r="CN66" s="3348"/>
      <c r="CO66" s="3348"/>
      <c r="CP66" s="3348"/>
      <c r="CQ66" s="3348"/>
      <c r="CR66" s="3348"/>
      <c r="CS66" s="3348"/>
      <c r="CT66" s="3348"/>
      <c r="CU66" s="3348"/>
      <c r="CV66" s="3348"/>
      <c r="CW66" s="3348"/>
      <c r="CX66" s="3348"/>
      <c r="CY66" s="3348"/>
      <c r="CZ66" s="3348"/>
      <c r="DA66" s="3348"/>
      <c r="DB66" s="3348"/>
      <c r="DC66" s="3348"/>
      <c r="DD66" s="3348"/>
      <c r="DE66" s="3348"/>
      <c r="DF66" s="3348"/>
      <c r="DG66" s="3348"/>
      <c r="DH66" s="3348"/>
      <c r="DI66" s="3348"/>
      <c r="DJ66" s="3348"/>
    </row>
    <row r="67" spans="1:114" s="6" customFormat="1" hidden="1">
      <c r="A67" s="3348"/>
      <c r="B67" s="105"/>
      <c r="C67" s="952"/>
      <c r="D67" s="1070"/>
      <c r="E67" s="971" t="s">
        <v>159</v>
      </c>
      <c r="F67" s="3008">
        <v>2013</v>
      </c>
      <c r="G67" s="965">
        <v>2015</v>
      </c>
      <c r="H67" s="965">
        <v>2020</v>
      </c>
      <c r="I67" s="965">
        <v>2025</v>
      </c>
      <c r="J67" s="965">
        <v>2030</v>
      </c>
      <c r="K67" s="965">
        <v>2035</v>
      </c>
      <c r="L67" s="965">
        <v>2040</v>
      </c>
      <c r="M67" s="965">
        <v>2045</v>
      </c>
      <c r="N67" s="965">
        <v>2050</v>
      </c>
      <c r="O67" s="876"/>
      <c r="P67"/>
      <c r="Q67" s="3348"/>
      <c r="R67" s="3395"/>
      <c r="S67" s="3397"/>
      <c r="T67" s="3397"/>
      <c r="U67" s="3397"/>
      <c r="V67" s="3397"/>
      <c r="W67" s="3397"/>
      <c r="X67" s="3397"/>
      <c r="Y67" s="3397"/>
      <c r="Z67" s="3397"/>
      <c r="AA67" s="3397"/>
      <c r="AB67" s="3397"/>
      <c r="AC67" s="3397"/>
      <c r="AD67" s="3397"/>
      <c r="AE67" s="3397"/>
      <c r="AF67" s="3397"/>
      <c r="AG67" s="3348"/>
      <c r="AH67" s="3348"/>
      <c r="AI67" s="3348"/>
      <c r="AJ67" s="3348"/>
      <c r="AK67" s="3348"/>
      <c r="AL67" s="3348"/>
      <c r="AM67" s="3348"/>
      <c r="AN67" s="3348"/>
      <c r="AO67" s="3348"/>
      <c r="AP67" s="3348"/>
      <c r="AQ67" s="3348"/>
      <c r="AR67" s="3348"/>
      <c r="AS67" s="3348"/>
      <c r="AT67" s="3348"/>
      <c r="AU67" s="3348"/>
      <c r="AV67" s="3348"/>
      <c r="AW67" s="3348"/>
      <c r="AX67" s="3348"/>
      <c r="AY67" s="3348"/>
      <c r="AZ67" s="3348"/>
      <c r="BA67" s="3348"/>
      <c r="BB67" s="3348"/>
      <c r="BC67" s="3348"/>
      <c r="BD67" s="3348"/>
      <c r="BE67" s="3348"/>
      <c r="BF67" s="3348"/>
      <c r="BG67" s="3348"/>
      <c r="BH67" s="3348"/>
      <c r="BI67" s="3348"/>
      <c r="BJ67" s="3348"/>
      <c r="BK67" s="3348"/>
      <c r="BL67" s="3348"/>
      <c r="BM67" s="3348"/>
      <c r="BN67" s="3348"/>
      <c r="BO67" s="3348"/>
      <c r="BP67" s="3348"/>
      <c r="BQ67" s="3348"/>
      <c r="BR67" s="3348"/>
      <c r="BS67" s="3348"/>
      <c r="BT67" s="3348"/>
      <c r="BU67" s="3348"/>
      <c r="BV67" s="3348"/>
      <c r="BW67" s="3348"/>
      <c r="BX67" s="3348"/>
      <c r="BY67" s="3348"/>
      <c r="BZ67" s="3348"/>
      <c r="CA67" s="3348"/>
      <c r="CB67" s="3348"/>
      <c r="CC67" s="3348"/>
      <c r="CD67" s="3348"/>
      <c r="CE67" s="3348"/>
      <c r="CF67" s="3348"/>
      <c r="CG67" s="3348"/>
      <c r="CH67" s="3348"/>
      <c r="CI67" s="3348"/>
      <c r="CJ67" s="3348"/>
      <c r="CK67" s="3348"/>
      <c r="CL67" s="3348"/>
      <c r="CM67" s="3348"/>
      <c r="CN67" s="3348"/>
      <c r="CO67" s="3348"/>
      <c r="CP67" s="3348"/>
      <c r="CQ67" s="3348"/>
      <c r="CR67" s="3348"/>
      <c r="CS67" s="3348"/>
      <c r="CT67" s="3348"/>
      <c r="CU67" s="3348"/>
      <c r="CV67" s="3348"/>
      <c r="CW67" s="3348"/>
      <c r="CX67" s="3348"/>
      <c r="CY67" s="3348"/>
      <c r="CZ67" s="3348"/>
      <c r="DA67" s="3348"/>
      <c r="DB67" s="3348"/>
      <c r="DC67" s="3348"/>
      <c r="DD67" s="3348"/>
      <c r="DE67" s="3348"/>
      <c r="DF67" s="3348"/>
      <c r="DG67" s="3348"/>
      <c r="DH67" s="3348"/>
      <c r="DI67" s="3348"/>
      <c r="DJ67" s="3348"/>
    </row>
    <row r="68" spans="1:114" s="6" customFormat="1" ht="15.75" hidden="1" customHeight="1">
      <c r="A68" s="3348"/>
      <c r="B68" s="105"/>
      <c r="C68" s="943" t="s">
        <v>719</v>
      </c>
      <c r="D68" s="1070"/>
      <c r="E68" s="2394"/>
      <c r="F68" s="3354"/>
      <c r="G68" s="2397"/>
      <c r="H68" s="2397"/>
      <c r="I68" s="2397"/>
      <c r="J68" s="2397"/>
      <c r="K68" s="2397"/>
      <c r="L68" s="2397"/>
      <c r="M68" s="2397"/>
      <c r="N68" s="3398"/>
      <c r="O68" s="876"/>
      <c r="P68"/>
      <c r="Q68" s="39"/>
      <c r="R68" s="3395"/>
      <c r="S68" s="3397"/>
      <c r="T68" s="3397"/>
      <c r="U68" s="3397"/>
      <c r="V68" s="3397"/>
      <c r="W68" s="3397"/>
      <c r="X68" s="3397"/>
      <c r="Y68" s="3397"/>
      <c r="Z68" s="3397"/>
      <c r="AA68" s="3397"/>
      <c r="AB68" s="3397"/>
      <c r="AC68" s="3397"/>
      <c r="AD68" s="3397"/>
      <c r="AE68" s="3397"/>
      <c r="AF68" s="3397"/>
      <c r="AG68" s="3348"/>
      <c r="AH68" s="3348"/>
      <c r="AI68" s="3348"/>
      <c r="AJ68" s="3348"/>
      <c r="AK68" s="3348"/>
      <c r="AL68" s="3348"/>
      <c r="AM68" s="3348"/>
      <c r="AN68" s="3348"/>
      <c r="AO68" s="3348"/>
      <c r="AP68" s="3348"/>
      <c r="AQ68" s="3348"/>
      <c r="AR68" s="3348"/>
      <c r="AS68" s="3348"/>
      <c r="AT68" s="3348"/>
      <c r="AU68" s="3348"/>
      <c r="AV68" s="3348"/>
      <c r="AW68" s="3348"/>
      <c r="AX68" s="3348"/>
      <c r="AY68" s="3348"/>
      <c r="AZ68" s="3348"/>
      <c r="BA68" s="3348"/>
      <c r="BB68" s="3348"/>
      <c r="BC68" s="3348"/>
      <c r="BD68" s="3348"/>
      <c r="BE68" s="3348"/>
      <c r="BF68" s="3348"/>
      <c r="BG68" s="3348"/>
      <c r="BH68" s="3348"/>
      <c r="BI68" s="3348"/>
      <c r="BJ68" s="3348"/>
      <c r="BK68" s="3348"/>
      <c r="BL68" s="3348"/>
      <c r="BM68" s="3348"/>
      <c r="BN68" s="3348"/>
      <c r="BO68" s="3348"/>
      <c r="BP68" s="3348"/>
      <c r="BQ68" s="3348"/>
      <c r="BR68" s="3348"/>
      <c r="BS68" s="3348"/>
      <c r="BT68" s="3348"/>
      <c r="BU68" s="3348"/>
      <c r="BV68" s="3348"/>
      <c r="BW68" s="3348"/>
      <c r="BX68" s="3348"/>
      <c r="BY68" s="3348"/>
      <c r="BZ68" s="3348"/>
      <c r="CA68" s="3348"/>
      <c r="CB68" s="3348"/>
      <c r="CC68" s="3348"/>
      <c r="CD68" s="3348"/>
      <c r="CE68" s="3348"/>
      <c r="CF68" s="3348"/>
      <c r="CG68" s="3348"/>
      <c r="CH68" s="3348"/>
      <c r="CI68" s="3348"/>
      <c r="CJ68" s="3348"/>
      <c r="CK68" s="3348"/>
      <c r="CL68" s="3348"/>
      <c r="CM68" s="3348"/>
      <c r="CN68" s="3348"/>
      <c r="CO68" s="3348"/>
      <c r="CP68" s="3348"/>
      <c r="CQ68" s="3348"/>
      <c r="CR68" s="3348"/>
      <c r="CS68" s="3348"/>
      <c r="CT68" s="3348"/>
      <c r="CU68" s="3348"/>
      <c r="CV68" s="3348"/>
      <c r="CW68" s="3348"/>
      <c r="CX68" s="3348"/>
      <c r="CY68" s="3348"/>
      <c r="CZ68" s="3348"/>
      <c r="DA68" s="3348"/>
      <c r="DB68" s="3348"/>
      <c r="DC68" s="3348"/>
      <c r="DD68" s="3348"/>
      <c r="DE68" s="3348"/>
      <c r="DF68" s="3348"/>
      <c r="DG68" s="3348"/>
      <c r="DH68" s="3348"/>
      <c r="DI68" s="3348"/>
      <c r="DJ68" s="3348"/>
    </row>
    <row r="69" spans="1:114" s="6" customFormat="1" ht="15.75" hidden="1" customHeight="1">
      <c r="A69" s="3348"/>
      <c r="B69" s="105"/>
      <c r="C69" s="943" t="s">
        <v>720</v>
      </c>
      <c r="D69" s="915"/>
      <c r="E69" s="2395"/>
      <c r="F69" s="3360"/>
      <c r="G69" s="2398"/>
      <c r="H69" s="2398"/>
      <c r="I69" s="2398"/>
      <c r="J69" s="2398"/>
      <c r="K69" s="2398"/>
      <c r="L69" s="2398"/>
      <c r="M69" s="2398"/>
      <c r="N69" s="3360"/>
      <c r="O69" s="876"/>
      <c r="P69"/>
      <c r="Q69" s="39"/>
      <c r="R69" s="3395"/>
      <c r="S69" s="3397"/>
      <c r="T69" s="3397"/>
      <c r="U69" s="3397"/>
      <c r="V69" s="3397"/>
      <c r="W69" s="3397"/>
      <c r="X69" s="3397"/>
      <c r="Y69" s="3397"/>
      <c r="Z69" s="3397"/>
      <c r="AA69" s="3397"/>
      <c r="AB69" s="3397"/>
      <c r="AC69" s="3397"/>
      <c r="AD69" s="3397"/>
      <c r="AE69" s="3397"/>
      <c r="AF69" s="3397"/>
      <c r="AG69" s="3348"/>
      <c r="AH69" s="3348"/>
      <c r="AI69" s="3348"/>
      <c r="AJ69" s="3348"/>
      <c r="AK69" s="3348"/>
      <c r="AL69" s="3348"/>
      <c r="AM69" s="3348"/>
      <c r="AN69" s="3348"/>
      <c r="AO69" s="3348"/>
      <c r="AP69" s="3348"/>
      <c r="AQ69" s="3348"/>
      <c r="AR69" s="3348"/>
      <c r="AS69" s="3348"/>
      <c r="AT69" s="3348"/>
      <c r="AU69" s="3348"/>
      <c r="AV69" s="3348"/>
      <c r="AW69" s="3348"/>
      <c r="AX69" s="3348"/>
      <c r="AY69" s="3348"/>
      <c r="AZ69" s="3348"/>
      <c r="BA69" s="3348"/>
      <c r="BB69" s="3348"/>
      <c r="BC69" s="3348"/>
      <c r="BD69" s="3348"/>
      <c r="BE69" s="3348"/>
      <c r="BF69" s="3348"/>
      <c r="BG69" s="3348"/>
      <c r="BH69" s="3348"/>
      <c r="BI69" s="3348"/>
      <c r="BJ69" s="3348"/>
      <c r="BK69" s="3348"/>
      <c r="BL69" s="3348"/>
      <c r="BM69" s="3348"/>
      <c r="BN69" s="3348"/>
      <c r="BO69" s="3348"/>
      <c r="BP69" s="3348"/>
      <c r="BQ69" s="3348"/>
      <c r="BR69" s="3348"/>
      <c r="BS69" s="3348"/>
      <c r="BT69" s="3348"/>
      <c r="BU69" s="3348"/>
      <c r="BV69" s="3348"/>
      <c r="BW69" s="3348"/>
      <c r="BX69" s="3348"/>
      <c r="BY69" s="3348"/>
      <c r="BZ69" s="3348"/>
      <c r="CA69" s="3348"/>
      <c r="CB69" s="3348"/>
      <c r="CC69" s="3348"/>
      <c r="CD69" s="3348"/>
      <c r="CE69" s="3348"/>
      <c r="CF69" s="3348"/>
      <c r="CG69" s="3348"/>
      <c r="CH69" s="3348"/>
      <c r="CI69" s="3348"/>
      <c r="CJ69" s="3348"/>
      <c r="CK69" s="3348"/>
      <c r="CL69" s="3348"/>
      <c r="CM69" s="3348"/>
      <c r="CN69" s="3348"/>
      <c r="CO69" s="3348"/>
      <c r="CP69" s="3348"/>
      <c r="CQ69" s="3348"/>
      <c r="CR69" s="3348"/>
      <c r="CS69" s="3348"/>
      <c r="CT69" s="3348"/>
      <c r="CU69" s="3348"/>
      <c r="CV69" s="3348"/>
      <c r="CW69" s="3348"/>
      <c r="CX69" s="3348"/>
      <c r="CY69" s="3348"/>
      <c r="CZ69" s="3348"/>
      <c r="DA69" s="3348"/>
      <c r="DB69" s="3348"/>
      <c r="DC69" s="3348"/>
      <c r="DD69" s="3348"/>
      <c r="DE69" s="3348"/>
      <c r="DF69" s="3348"/>
      <c r="DG69" s="3348"/>
      <c r="DH69" s="3348"/>
      <c r="DI69" s="3348"/>
      <c r="DJ69" s="3348"/>
    </row>
    <row r="70" spans="1:114" ht="15.75" hidden="1" customHeight="1">
      <c r="B70" s="105"/>
      <c r="C70" s="947" t="s">
        <v>721</v>
      </c>
      <c r="D70" s="948"/>
      <c r="E70" s="2396"/>
      <c r="F70" s="2490"/>
      <c r="G70" s="2399"/>
      <c r="H70" s="2399"/>
      <c r="I70" s="2399"/>
      <c r="J70" s="2399"/>
      <c r="K70" s="2399"/>
      <c r="L70" s="2399"/>
      <c r="M70" s="2399"/>
      <c r="N70" s="3399"/>
      <c r="O70" s="876"/>
      <c r="Q70" s="39"/>
      <c r="R70" s="81"/>
      <c r="S70" s="81"/>
      <c r="T70" s="81"/>
      <c r="U70" s="81"/>
      <c r="V70" s="81"/>
      <c r="W70" s="81"/>
      <c r="X70" s="81"/>
      <c r="Y70" s="81"/>
      <c r="Z70" s="81"/>
      <c r="AA70" s="81"/>
      <c r="AB70" s="81"/>
      <c r="AC70" s="81"/>
      <c r="AD70" s="81"/>
      <c r="AE70" s="81"/>
      <c r="AF70" s="81"/>
    </row>
    <row r="71" spans="1:114" hidden="1">
      <c r="B71" s="105"/>
      <c r="C71" s="937"/>
      <c r="D71" s="915"/>
      <c r="E71" s="932"/>
      <c r="F71" s="3356"/>
      <c r="G71" s="934"/>
      <c r="H71" s="934"/>
      <c r="I71" s="934"/>
      <c r="J71" s="934"/>
      <c r="K71" s="934"/>
      <c r="L71" s="934"/>
      <c r="M71" s="934"/>
      <c r="N71" s="67"/>
      <c r="O71" s="876"/>
      <c r="Q71" s="39"/>
      <c r="R71" s="81"/>
      <c r="S71" s="3396"/>
      <c r="T71" s="81"/>
      <c r="U71" s="81"/>
      <c r="V71" s="81"/>
      <c r="W71" s="81"/>
      <c r="X71" s="81"/>
      <c r="Y71" s="81"/>
      <c r="Z71" s="81"/>
      <c r="AA71" s="81"/>
      <c r="AB71" s="81"/>
      <c r="AC71" s="81"/>
      <c r="AD71" s="81"/>
      <c r="AE71" s="81"/>
      <c r="AF71" s="81"/>
    </row>
    <row r="72" spans="1:114" hidden="1">
      <c r="B72" s="105"/>
      <c r="C72" s="49" t="s">
        <v>2632</v>
      </c>
      <c r="D72" s="915"/>
      <c r="E72" s="932"/>
      <c r="F72" s="3356"/>
      <c r="G72" s="934"/>
      <c r="H72" s="934"/>
      <c r="I72" s="934"/>
      <c r="J72" s="934"/>
      <c r="K72" s="934"/>
      <c r="L72" s="934"/>
      <c r="M72" s="934"/>
      <c r="N72" s="935" t="s">
        <v>2742</v>
      </c>
      <c r="O72" s="876"/>
      <c r="Q72" s="39"/>
      <c r="R72" s="81"/>
      <c r="S72" s="202"/>
      <c r="T72" s="81"/>
      <c r="U72" s="203"/>
      <c r="V72" s="81"/>
      <c r="W72" s="81"/>
      <c r="X72" s="203"/>
      <c r="Y72" s="81"/>
      <c r="Z72" s="81"/>
      <c r="AA72" s="81"/>
      <c r="AB72" s="81"/>
      <c r="AC72" s="81"/>
      <c r="AD72" s="81"/>
      <c r="AE72" s="81"/>
      <c r="AF72" s="81"/>
    </row>
    <row r="73" spans="1:114" ht="4.5" hidden="1" customHeight="1">
      <c r="B73" s="105"/>
      <c r="C73" s="937"/>
      <c r="D73" s="915"/>
      <c r="E73" s="932"/>
      <c r="F73" s="3356"/>
      <c r="G73" s="934"/>
      <c r="H73" s="934"/>
      <c r="I73" s="934"/>
      <c r="J73" s="934"/>
      <c r="K73" s="934"/>
      <c r="L73" s="934"/>
      <c r="M73" s="934"/>
      <c r="N73" s="67"/>
      <c r="O73" s="876"/>
      <c r="Q73" s="39"/>
      <c r="R73" s="81"/>
      <c r="S73" s="81"/>
      <c r="T73" s="81"/>
      <c r="U73" s="81"/>
      <c r="V73" s="81"/>
      <c r="W73" s="81"/>
      <c r="X73" s="81"/>
      <c r="Y73" s="81"/>
      <c r="Z73" s="81"/>
      <c r="AA73" s="81"/>
      <c r="AB73" s="81"/>
      <c r="AC73" s="81"/>
      <c r="AD73" s="81"/>
      <c r="AE73" s="81"/>
      <c r="AF73" s="81"/>
    </row>
    <row r="74" spans="1:114" hidden="1">
      <c r="B74" s="105"/>
      <c r="C74" s="1170"/>
      <c r="D74" s="1070"/>
      <c r="E74" s="971" t="s">
        <v>159</v>
      </c>
      <c r="F74" s="3008">
        <v>2013</v>
      </c>
      <c r="G74" s="965">
        <v>2015</v>
      </c>
      <c r="H74" s="965">
        <v>2020</v>
      </c>
      <c r="I74" s="965">
        <v>2025</v>
      </c>
      <c r="J74" s="965">
        <v>2030</v>
      </c>
      <c r="K74" s="965">
        <v>2035</v>
      </c>
      <c r="L74" s="965">
        <v>2040</v>
      </c>
      <c r="M74" s="965">
        <v>2045</v>
      </c>
      <c r="N74" s="965">
        <v>2050</v>
      </c>
      <c r="O74" s="876"/>
      <c r="Q74" s="39"/>
      <c r="R74" s="81"/>
      <c r="S74" s="608"/>
      <c r="T74" s="608"/>
      <c r="U74" s="607"/>
      <c r="V74" s="207"/>
      <c r="W74" s="207"/>
      <c r="X74" s="2509"/>
      <c r="Y74" s="3400"/>
      <c r="Z74" s="3400"/>
      <c r="AA74" s="3400"/>
      <c r="AB74" s="3400"/>
      <c r="AC74" s="3400"/>
      <c r="AD74" s="3400"/>
      <c r="AE74" s="3400"/>
      <c r="AF74" s="81"/>
    </row>
    <row r="75" spans="1:114" ht="15.75" hidden="1" customHeight="1">
      <c r="B75" s="105"/>
      <c r="C75" s="967" t="s">
        <v>719</v>
      </c>
      <c r="D75" s="1070"/>
      <c r="E75" s="2394"/>
      <c r="F75" s="3354"/>
      <c r="G75" s="3369"/>
      <c r="H75" s="3369"/>
      <c r="I75" s="3369"/>
      <c r="J75" s="3369"/>
      <c r="K75" s="3369"/>
      <c r="L75" s="3369"/>
      <c r="M75" s="3369"/>
      <c r="N75" s="3354"/>
      <c r="O75" s="876"/>
      <c r="Q75" s="39"/>
      <c r="R75" s="81"/>
      <c r="S75" s="608"/>
      <c r="T75" s="201"/>
      <c r="U75" s="613"/>
      <c r="V75" s="3401"/>
      <c r="W75" s="3401"/>
      <c r="X75" s="2509"/>
      <c r="Y75" s="3400"/>
      <c r="Z75" s="3400"/>
      <c r="AA75" s="3400"/>
      <c r="AB75" s="3400"/>
      <c r="AC75" s="3400"/>
      <c r="AD75" s="3400"/>
      <c r="AE75" s="3400"/>
      <c r="AF75" s="81"/>
    </row>
    <row r="76" spans="1:114" ht="15.75" hidden="1" customHeight="1">
      <c r="B76" s="105"/>
      <c r="C76" s="943" t="s">
        <v>720</v>
      </c>
      <c r="D76" s="915"/>
      <c r="E76" s="2395"/>
      <c r="F76" s="3360"/>
      <c r="G76" s="2489"/>
      <c r="H76" s="2489"/>
      <c r="I76" s="2489"/>
      <c r="J76" s="2489"/>
      <c r="K76" s="2489"/>
      <c r="L76" s="2489"/>
      <c r="M76" s="2489"/>
      <c r="N76" s="3360"/>
      <c r="O76" s="876"/>
      <c r="Q76" s="39"/>
      <c r="R76" s="81"/>
      <c r="S76" s="3402"/>
      <c r="T76" s="201"/>
      <c r="U76" s="613"/>
      <c r="V76" s="3401"/>
      <c r="W76" s="3401"/>
      <c r="X76" s="3403"/>
      <c r="Y76" s="3400"/>
      <c r="Z76" s="3400"/>
      <c r="AA76" s="3400"/>
      <c r="AB76" s="3400"/>
      <c r="AC76" s="3400"/>
      <c r="AD76" s="3400"/>
      <c r="AE76" s="3400"/>
      <c r="AF76" s="81"/>
    </row>
    <row r="77" spans="1:114" ht="16.5" hidden="1" customHeight="1">
      <c r="B77" s="105"/>
      <c r="C77" s="947" t="s">
        <v>721</v>
      </c>
      <c r="D77" s="948"/>
      <c r="E77" s="2396"/>
      <c r="F77" s="2490"/>
      <c r="G77" s="3371"/>
      <c r="H77" s="3371"/>
      <c r="I77" s="3371"/>
      <c r="J77" s="3371"/>
      <c r="K77" s="3371"/>
      <c r="L77" s="3371"/>
      <c r="M77" s="3371"/>
      <c r="N77" s="2490"/>
      <c r="O77" s="876"/>
      <c r="Q77" s="39"/>
      <c r="R77" s="81"/>
      <c r="S77" s="3402"/>
      <c r="T77" s="201"/>
      <c r="U77" s="613"/>
      <c r="V77" s="3401"/>
      <c r="W77" s="3401"/>
      <c r="X77" s="3403"/>
      <c r="Y77" s="3400"/>
      <c r="Z77" s="3400"/>
      <c r="AA77" s="3400"/>
      <c r="AB77" s="3400"/>
      <c r="AC77" s="3400"/>
      <c r="AD77" s="3400"/>
      <c r="AE77" s="3400"/>
      <c r="AF77" s="81"/>
    </row>
    <row r="78" spans="1:114" hidden="1">
      <c r="B78" s="67"/>
      <c r="C78" s="943"/>
      <c r="D78" s="915"/>
      <c r="E78" s="2395"/>
      <c r="F78" s="3365"/>
      <c r="G78" s="2489"/>
      <c r="H78" s="2489"/>
      <c r="I78" s="2489"/>
      <c r="J78" s="2489"/>
      <c r="K78" s="2489"/>
      <c r="L78" s="2489"/>
      <c r="M78" s="2489"/>
      <c r="N78" s="2489"/>
      <c r="O78" s="67"/>
      <c r="Q78" s="39"/>
      <c r="R78" s="81"/>
      <c r="S78" s="3402"/>
      <c r="T78" s="201"/>
      <c r="U78" s="613"/>
      <c r="V78" s="3401"/>
      <c r="W78" s="3401"/>
      <c r="X78" s="3403"/>
      <c r="Y78" s="3400"/>
      <c r="Z78" s="3400"/>
      <c r="AA78" s="3400"/>
      <c r="AB78" s="3400"/>
      <c r="AC78" s="3400"/>
      <c r="AD78" s="3400"/>
      <c r="AE78" s="3400"/>
      <c r="AF78" s="81"/>
    </row>
    <row r="79" spans="1:114" hidden="1">
      <c r="B79" s="67"/>
      <c r="C79" s="65"/>
      <c r="D79" s="67"/>
      <c r="E79" s="934"/>
      <c r="F79" s="67"/>
      <c r="G79" s="67"/>
      <c r="H79" s="67"/>
      <c r="I79" s="3404"/>
      <c r="J79" s="3404"/>
      <c r="K79" s="67"/>
      <c r="L79" s="67"/>
      <c r="M79" s="67"/>
      <c r="N79" s="67"/>
      <c r="O79" s="67"/>
      <c r="Q79" s="39"/>
      <c r="R79" s="81"/>
      <c r="S79" s="2525"/>
      <c r="T79" s="201"/>
      <c r="U79" s="613"/>
      <c r="V79" s="3401"/>
      <c r="W79" s="3401"/>
      <c r="X79" s="3403"/>
      <c r="Y79" s="3400"/>
      <c r="Z79" s="3400"/>
      <c r="AA79" s="3400"/>
      <c r="AB79" s="3400"/>
      <c r="AC79" s="3400"/>
      <c r="AD79" s="3400"/>
      <c r="AE79" s="3400"/>
      <c r="AF79" s="81"/>
    </row>
    <row r="80" spans="1:114" hidden="1">
      <c r="B80" s="2816"/>
      <c r="C80" s="67"/>
      <c r="D80" s="67"/>
      <c r="E80" s="67"/>
      <c r="F80" s="67"/>
      <c r="G80" s="67"/>
      <c r="H80" s="67"/>
      <c r="I80" s="67"/>
      <c r="J80" s="67"/>
      <c r="K80" s="67"/>
      <c r="L80" s="67"/>
      <c r="M80" s="67"/>
      <c r="N80" s="67"/>
      <c r="O80" s="67"/>
      <c r="Q80" s="39"/>
      <c r="R80" s="81"/>
      <c r="S80" s="81"/>
      <c r="T80" s="81"/>
      <c r="U80" s="203"/>
      <c r="V80" s="81"/>
      <c r="W80" s="81"/>
      <c r="X80" s="81"/>
      <c r="Y80" s="81"/>
      <c r="Z80" s="81"/>
      <c r="AA80" s="81"/>
      <c r="AB80" s="81"/>
      <c r="AC80" s="81"/>
      <c r="AD80" s="81"/>
      <c r="AE80" s="81"/>
      <c r="AF80" s="81"/>
    </row>
    <row r="81" spans="2:32" hidden="1">
      <c r="B81" s="105"/>
      <c r="C81" s="49" t="s">
        <v>2633</v>
      </c>
      <c r="D81" s="915"/>
      <c r="E81" s="932"/>
      <c r="F81" s="2489"/>
      <c r="G81" s="934"/>
      <c r="H81" s="934"/>
      <c r="I81" s="934"/>
      <c r="J81" s="934"/>
      <c r="K81" s="934"/>
      <c r="L81" s="934"/>
      <c r="M81" s="934"/>
      <c r="N81" s="935" t="s">
        <v>2752</v>
      </c>
      <c r="O81" s="876"/>
      <c r="Q81" s="39"/>
      <c r="R81" s="81"/>
      <c r="S81" s="3396"/>
      <c r="T81" s="81"/>
      <c r="U81" s="203"/>
      <c r="V81" s="81"/>
      <c r="W81" s="81"/>
      <c r="X81" s="81"/>
      <c r="Y81" s="81"/>
      <c r="Z81" s="81"/>
      <c r="AA81" s="81"/>
      <c r="AB81" s="81"/>
      <c r="AC81" s="81"/>
      <c r="AD81" s="81"/>
      <c r="AE81" s="81"/>
      <c r="AF81" s="81"/>
    </row>
    <row r="82" spans="2:32" hidden="1">
      <c r="B82" s="105"/>
      <c r="C82" s="937"/>
      <c r="D82" s="915"/>
      <c r="E82" s="932"/>
      <c r="F82" s="2489"/>
      <c r="G82" s="934"/>
      <c r="H82" s="934"/>
      <c r="I82" s="934"/>
      <c r="J82" s="934"/>
      <c r="K82" s="934"/>
      <c r="L82" s="934"/>
      <c r="M82" s="934"/>
      <c r="N82" s="67"/>
      <c r="O82" s="876"/>
      <c r="Q82" s="39"/>
      <c r="R82" s="81"/>
      <c r="S82" s="202"/>
      <c r="T82" s="81"/>
      <c r="U82" s="203"/>
      <c r="V82" s="81"/>
      <c r="W82" s="81"/>
      <c r="X82" s="81"/>
      <c r="Y82" s="81"/>
      <c r="Z82" s="81"/>
      <c r="AA82" s="81"/>
      <c r="AB82" s="81"/>
      <c r="AC82" s="81"/>
      <c r="AD82" s="81"/>
      <c r="AE82" s="81"/>
      <c r="AF82" s="81"/>
    </row>
    <row r="83" spans="2:32" hidden="1">
      <c r="B83" s="105"/>
      <c r="C83" s="952"/>
      <c r="D83" s="1070"/>
      <c r="E83" s="971" t="s">
        <v>159</v>
      </c>
      <c r="F83" s="972">
        <v>2013</v>
      </c>
      <c r="G83" s="965">
        <v>2015</v>
      </c>
      <c r="H83" s="965">
        <v>2020</v>
      </c>
      <c r="I83" s="965">
        <v>2025</v>
      </c>
      <c r="J83" s="965">
        <v>2030</v>
      </c>
      <c r="K83" s="965">
        <v>2035</v>
      </c>
      <c r="L83" s="965">
        <v>2040</v>
      </c>
      <c r="M83" s="965">
        <v>2045</v>
      </c>
      <c r="N83" s="965">
        <v>2050</v>
      </c>
      <c r="O83" s="876"/>
      <c r="Q83" s="39"/>
      <c r="R83" s="81"/>
      <c r="S83" s="202"/>
      <c r="T83" s="81"/>
      <c r="U83" s="81"/>
      <c r="V83" s="81"/>
      <c r="W83" s="81"/>
      <c r="X83" s="81"/>
      <c r="Y83" s="81"/>
      <c r="Z83" s="81"/>
      <c r="AA83" s="81"/>
      <c r="AB83" s="81"/>
      <c r="AC83" s="81"/>
      <c r="AD83" s="81"/>
      <c r="AE83" s="81"/>
      <c r="AF83" s="81"/>
    </row>
    <row r="84" spans="2:32" hidden="1">
      <c r="B84" s="105"/>
      <c r="C84" s="943" t="s">
        <v>719</v>
      </c>
      <c r="D84" s="1070"/>
      <c r="E84" s="2394"/>
      <c r="F84" s="3398"/>
      <c r="G84" s="2397"/>
      <c r="H84" s="2397"/>
      <c r="I84" s="2397"/>
      <c r="J84" s="2397"/>
      <c r="K84" s="2397"/>
      <c r="L84" s="2397"/>
      <c r="M84" s="2397"/>
      <c r="N84" s="3398"/>
      <c r="O84" s="876"/>
      <c r="Q84" s="39"/>
      <c r="R84" s="81"/>
      <c r="S84" s="81"/>
      <c r="T84" s="81"/>
      <c r="U84" s="4337"/>
      <c r="V84" s="4337"/>
      <c r="W84" s="4337"/>
      <c r="X84" s="4337"/>
      <c r="Y84" s="3405"/>
      <c r="Z84" s="81"/>
      <c r="AA84" s="81"/>
      <c r="AB84" s="81"/>
      <c r="AC84" s="81"/>
      <c r="AD84" s="81"/>
      <c r="AE84" s="81"/>
      <c r="AF84" s="81"/>
    </row>
    <row r="85" spans="2:32" hidden="1">
      <c r="B85" s="105"/>
      <c r="C85" s="943" t="s">
        <v>720</v>
      </c>
      <c r="D85" s="915"/>
      <c r="E85" s="2395"/>
      <c r="F85" s="3360"/>
      <c r="G85" s="2398"/>
      <c r="H85" s="2398"/>
      <c r="I85" s="2398"/>
      <c r="J85" s="2398"/>
      <c r="K85" s="2398"/>
      <c r="L85" s="2398"/>
      <c r="M85" s="2398"/>
      <c r="N85" s="3360"/>
      <c r="O85" s="876"/>
      <c r="Q85" s="39"/>
      <c r="R85" s="81"/>
      <c r="S85" s="81"/>
      <c r="T85" s="81"/>
      <c r="U85" s="3405"/>
      <c r="V85" s="3405"/>
      <c r="W85" s="3405"/>
      <c r="X85" s="3405"/>
      <c r="Y85" s="3405"/>
      <c r="Z85" s="81"/>
      <c r="AA85" s="81"/>
      <c r="AB85" s="81"/>
      <c r="AC85" s="81"/>
      <c r="AD85" s="81"/>
      <c r="AE85" s="81"/>
      <c r="AF85" s="81"/>
    </row>
    <row r="86" spans="2:32" hidden="1">
      <c r="B86" s="105"/>
      <c r="C86" s="947" t="s">
        <v>721</v>
      </c>
      <c r="D86" s="948"/>
      <c r="E86" s="2396"/>
      <c r="F86" s="3399"/>
      <c r="G86" s="2399"/>
      <c r="H86" s="2399"/>
      <c r="I86" s="2399"/>
      <c r="J86" s="2399"/>
      <c r="K86" s="2399"/>
      <c r="L86" s="2399"/>
      <c r="M86" s="2399"/>
      <c r="N86" s="3399"/>
      <c r="O86" s="876"/>
      <c r="Q86" s="39"/>
      <c r="R86" s="81"/>
      <c r="S86" s="81"/>
      <c r="T86" s="81"/>
      <c r="U86" s="3406"/>
      <c r="V86" s="3406"/>
      <c r="W86" s="3406"/>
      <c r="X86" s="3406"/>
      <c r="Y86" s="3405"/>
      <c r="Z86" s="81"/>
      <c r="AA86" s="81"/>
      <c r="AB86" s="81"/>
      <c r="AC86" s="81"/>
      <c r="AD86" s="81"/>
      <c r="AE86" s="81"/>
      <c r="AF86" s="81"/>
    </row>
    <row r="87" spans="2:32" hidden="1">
      <c r="B87" s="105"/>
      <c r="C87" s="937"/>
      <c r="D87" s="915"/>
      <c r="E87" s="932"/>
      <c r="F87" s="2489"/>
      <c r="G87" s="934"/>
      <c r="H87" s="934"/>
      <c r="I87" s="934"/>
      <c r="J87" s="934"/>
      <c r="K87" s="934"/>
      <c r="L87" s="934"/>
      <c r="M87" s="934"/>
      <c r="N87" s="67"/>
      <c r="O87" s="876"/>
      <c r="Q87" s="39"/>
      <c r="R87" s="81"/>
      <c r="S87" s="81"/>
      <c r="T87" s="81"/>
      <c r="U87" s="203"/>
      <c r="V87" s="81"/>
      <c r="W87" s="81"/>
      <c r="X87" s="81"/>
      <c r="Y87" s="81"/>
      <c r="Z87" s="81"/>
      <c r="AA87" s="81"/>
      <c r="AB87" s="81"/>
      <c r="AC87" s="81"/>
      <c r="AD87" s="81"/>
      <c r="AE87" s="81"/>
      <c r="AF87" s="81"/>
    </row>
    <row r="88" spans="2:32" hidden="1">
      <c r="B88" s="105"/>
      <c r="C88" s="49" t="s">
        <v>2634</v>
      </c>
      <c r="D88" s="915"/>
      <c r="E88" s="932"/>
      <c r="F88" s="2489"/>
      <c r="G88" s="934"/>
      <c r="H88" s="934"/>
      <c r="I88" s="934"/>
      <c r="J88" s="934"/>
      <c r="K88" s="934"/>
      <c r="L88" s="934"/>
      <c r="M88" s="934"/>
      <c r="N88" s="935" t="s">
        <v>2752</v>
      </c>
      <c r="O88" s="876"/>
      <c r="Q88" s="39"/>
      <c r="R88" s="81"/>
      <c r="S88" s="81"/>
      <c r="T88" s="81"/>
      <c r="U88" s="203"/>
      <c r="V88" s="81"/>
      <c r="W88" s="81"/>
      <c r="X88" s="81"/>
      <c r="Y88" s="81"/>
      <c r="Z88" s="81"/>
      <c r="AA88" s="81"/>
      <c r="AB88" s="81"/>
      <c r="AC88" s="81"/>
      <c r="AD88" s="81"/>
      <c r="AE88" s="81"/>
      <c r="AF88" s="81"/>
    </row>
    <row r="89" spans="2:32" hidden="1">
      <c r="B89" s="105"/>
      <c r="C89" s="937"/>
      <c r="D89" s="915"/>
      <c r="E89" s="932"/>
      <c r="F89" s="2489"/>
      <c r="G89" s="934"/>
      <c r="H89" s="934"/>
      <c r="I89" s="934"/>
      <c r="J89" s="934"/>
      <c r="K89" s="934"/>
      <c r="L89" s="934"/>
      <c r="M89" s="934"/>
      <c r="N89" s="67"/>
      <c r="O89" s="876"/>
      <c r="Q89" s="39"/>
      <c r="R89" s="81"/>
      <c r="S89" s="81"/>
      <c r="T89" s="81"/>
      <c r="U89" s="2539"/>
      <c r="V89" s="2539"/>
      <c r="W89" s="81"/>
      <c r="X89" s="81"/>
      <c r="Y89" s="81"/>
      <c r="Z89" s="81"/>
      <c r="AA89" s="81"/>
      <c r="AB89" s="81"/>
      <c r="AC89" s="81"/>
      <c r="AD89" s="81"/>
      <c r="AE89" s="81"/>
      <c r="AF89" s="81"/>
    </row>
    <row r="90" spans="2:32" hidden="1">
      <c r="B90" s="105"/>
      <c r="C90" s="1170"/>
      <c r="D90" s="1070"/>
      <c r="E90" s="971" t="s">
        <v>159</v>
      </c>
      <c r="F90" s="972">
        <v>2013</v>
      </c>
      <c r="G90" s="965">
        <v>2015</v>
      </c>
      <c r="H90" s="965">
        <v>2020</v>
      </c>
      <c r="I90" s="965">
        <v>2025</v>
      </c>
      <c r="J90" s="965">
        <v>2030</v>
      </c>
      <c r="K90" s="965">
        <v>2035</v>
      </c>
      <c r="L90" s="965">
        <v>2040</v>
      </c>
      <c r="M90" s="965">
        <v>2045</v>
      </c>
      <c r="N90" s="965">
        <v>2050</v>
      </c>
      <c r="O90" s="876"/>
      <c r="Q90" s="39"/>
      <c r="R90" s="81"/>
      <c r="S90" s="3396"/>
      <c r="T90" s="81"/>
      <c r="U90" s="3407"/>
      <c r="V90" s="3407"/>
      <c r="W90" s="81"/>
      <c r="X90" s="81"/>
      <c r="Y90" s="81"/>
      <c r="Z90" s="81"/>
      <c r="AA90" s="81"/>
      <c r="AB90" s="81"/>
      <c r="AC90" s="81"/>
      <c r="AD90" s="81"/>
      <c r="AE90" s="81"/>
      <c r="AF90" s="81"/>
    </row>
    <row r="91" spans="2:32" hidden="1">
      <c r="B91" s="105"/>
      <c r="C91" s="967" t="s">
        <v>719</v>
      </c>
      <c r="D91" s="1070"/>
      <c r="E91" s="2394"/>
      <c r="F91" s="3408"/>
      <c r="G91" s="3409"/>
      <c r="H91" s="3409"/>
      <c r="I91" s="3409"/>
      <c r="J91" s="3409"/>
      <c r="K91" s="3409"/>
      <c r="L91" s="3409"/>
      <c r="M91" s="3409"/>
      <c r="N91" s="3408"/>
      <c r="O91" s="876"/>
      <c r="Q91" s="39"/>
      <c r="R91" s="81"/>
      <c r="S91" s="81"/>
      <c r="T91" s="81"/>
      <c r="U91" s="203"/>
      <c r="V91" s="81"/>
      <c r="W91" s="81"/>
      <c r="X91" s="81"/>
      <c r="Y91" s="81"/>
      <c r="Z91" s="81"/>
      <c r="AA91" s="81"/>
      <c r="AB91" s="81"/>
      <c r="AC91" s="81"/>
      <c r="AD91" s="81"/>
      <c r="AE91" s="81"/>
      <c r="AF91" s="81"/>
    </row>
    <row r="92" spans="2:32" hidden="1">
      <c r="B92" s="105"/>
      <c r="C92" s="943" t="s">
        <v>720</v>
      </c>
      <c r="D92" s="915"/>
      <c r="E92" s="2395"/>
      <c r="F92" s="3410"/>
      <c r="G92" s="3411"/>
      <c r="H92" s="3411"/>
      <c r="I92" s="3411"/>
      <c r="J92" s="3411"/>
      <c r="K92" s="3411"/>
      <c r="L92" s="3411"/>
      <c r="M92" s="3411"/>
      <c r="N92" s="3410"/>
      <c r="O92" s="876"/>
      <c r="Q92" s="39"/>
      <c r="R92" s="1068"/>
      <c r="S92" s="1068"/>
      <c r="T92" s="1068"/>
      <c r="U92" s="1068"/>
      <c r="V92" s="1068"/>
      <c r="W92" s="1068"/>
      <c r="X92" s="1068"/>
      <c r="Y92" s="1068"/>
      <c r="Z92" s="1068"/>
      <c r="AA92" s="1068"/>
      <c r="AB92" s="1068"/>
      <c r="AC92" s="1068"/>
      <c r="AD92" s="1068"/>
      <c r="AE92" s="1068"/>
      <c r="AF92" s="1068"/>
    </row>
    <row r="93" spans="2:32" hidden="1">
      <c r="B93" s="105"/>
      <c r="C93" s="947" t="s">
        <v>721</v>
      </c>
      <c r="D93" s="948"/>
      <c r="E93" s="2396"/>
      <c r="F93" s="3412"/>
      <c r="G93" s="3413"/>
      <c r="H93" s="3413"/>
      <c r="I93" s="3413"/>
      <c r="J93" s="3413"/>
      <c r="K93" s="3413"/>
      <c r="L93" s="3413"/>
      <c r="M93" s="3413"/>
      <c r="N93" s="3412"/>
      <c r="O93" s="876"/>
      <c r="Q93" s="39"/>
      <c r="R93" s="39"/>
      <c r="S93" s="39"/>
    </row>
    <row r="94" spans="2:32" hidden="1">
      <c r="B94" s="67"/>
      <c r="C94" s="943"/>
      <c r="D94" s="915"/>
      <c r="E94" s="2395"/>
      <c r="F94" s="3376"/>
      <c r="G94" s="2489"/>
      <c r="H94" s="2489"/>
      <c r="I94" s="2489"/>
      <c r="J94" s="2489"/>
      <c r="K94" s="2489"/>
      <c r="L94" s="2489"/>
      <c r="M94" s="2489"/>
      <c r="N94" s="3376"/>
      <c r="O94" s="67"/>
      <c r="Q94" s="39"/>
      <c r="R94" s="39"/>
      <c r="S94" s="39"/>
    </row>
    <row r="95" spans="2:32" hidden="1">
      <c r="B95" s="67"/>
      <c r="C95" s="3414" t="s">
        <v>2635</v>
      </c>
      <c r="D95" s="915"/>
      <c r="E95" s="2395"/>
      <c r="F95" s="3376"/>
      <c r="G95" s="2489"/>
      <c r="H95" s="2489"/>
      <c r="I95" s="2489"/>
      <c r="J95" s="2489"/>
      <c r="K95" s="2489"/>
      <c r="L95" s="2489"/>
      <c r="M95" s="2489"/>
      <c r="N95" s="3415" t="s">
        <v>2753</v>
      </c>
      <c r="O95" s="67"/>
      <c r="Q95" s="39"/>
      <c r="R95" s="39"/>
      <c r="S95" s="39"/>
    </row>
    <row r="96" spans="2:32" hidden="1">
      <c r="B96" s="47"/>
      <c r="C96" s="47"/>
      <c r="D96" s="67"/>
      <c r="E96" s="934"/>
      <c r="F96" s="51"/>
      <c r="G96" s="51"/>
      <c r="H96" s="51"/>
      <c r="I96" s="3416"/>
      <c r="J96" s="3416"/>
      <c r="K96" s="3417"/>
      <c r="L96" s="3417"/>
      <c r="M96" s="3417"/>
      <c r="N96" s="3417"/>
      <c r="O96" s="47"/>
      <c r="Q96" s="39"/>
      <c r="R96" s="39"/>
      <c r="S96" s="39"/>
    </row>
    <row r="97" spans="2:19" hidden="1">
      <c r="B97" s="47"/>
      <c r="C97" s="3418" t="s">
        <v>2635</v>
      </c>
      <c r="D97" s="1070"/>
      <c r="E97" s="971" t="s">
        <v>159</v>
      </c>
      <c r="F97" s="972">
        <v>2013</v>
      </c>
      <c r="G97" s="965">
        <v>2015</v>
      </c>
      <c r="H97" s="965">
        <v>2020</v>
      </c>
      <c r="I97" s="965">
        <v>2025</v>
      </c>
      <c r="J97" s="965">
        <v>2030</v>
      </c>
      <c r="K97" s="965">
        <v>2035</v>
      </c>
      <c r="L97" s="965">
        <v>2040</v>
      </c>
      <c r="M97" s="965">
        <v>2045</v>
      </c>
      <c r="N97" s="965">
        <v>2050</v>
      </c>
      <c r="O97" s="47"/>
      <c r="Q97" s="39"/>
      <c r="R97" s="39"/>
      <c r="S97" s="39"/>
    </row>
    <row r="98" spans="2:19" hidden="1">
      <c r="B98" s="47"/>
      <c r="C98" s="967" t="s">
        <v>719</v>
      </c>
      <c r="D98" s="1070"/>
      <c r="E98" s="2394"/>
      <c r="F98" s="3354"/>
      <c r="G98" s="3419"/>
      <c r="H98" s="3419"/>
      <c r="I98" s="3419"/>
      <c r="J98" s="3419"/>
      <c r="K98" s="3419"/>
      <c r="L98" s="3419"/>
      <c r="M98" s="3419"/>
      <c r="N98" s="3354"/>
      <c r="O98" s="47"/>
      <c r="Q98" s="39"/>
      <c r="R98" s="39"/>
      <c r="S98" s="39"/>
    </row>
    <row r="99" spans="2:19" hidden="1">
      <c r="B99" s="47"/>
      <c r="C99" s="67" t="s">
        <v>720</v>
      </c>
      <c r="D99" s="915"/>
      <c r="E99" s="2395"/>
      <c r="F99" s="3360"/>
      <c r="G99" s="3360"/>
      <c r="H99" s="3360"/>
      <c r="I99" s="3360"/>
      <c r="J99" s="3360"/>
      <c r="K99" s="3360"/>
      <c r="L99" s="3360"/>
      <c r="M99" s="3360"/>
      <c r="N99" s="3360"/>
      <c r="O99" s="47"/>
      <c r="Q99" s="39"/>
      <c r="R99" s="39"/>
      <c r="S99" s="39"/>
    </row>
    <row r="100" spans="2:19" hidden="1">
      <c r="B100" s="47"/>
      <c r="C100" s="969" t="s">
        <v>721</v>
      </c>
      <c r="D100" s="948"/>
      <c r="E100" s="2396"/>
      <c r="F100" s="3420"/>
      <c r="G100" s="3421"/>
      <c r="H100" s="3421"/>
      <c r="I100" s="3421"/>
      <c r="J100" s="3421"/>
      <c r="K100" s="3421"/>
      <c r="L100" s="3421"/>
      <c r="M100" s="3421"/>
      <c r="N100" s="3420"/>
      <c r="O100" s="47"/>
      <c r="Q100" s="39"/>
      <c r="R100" s="39"/>
      <c r="S100" s="39"/>
    </row>
    <row r="101" spans="2:19" hidden="1">
      <c r="B101" s="47"/>
      <c r="C101" s="47"/>
      <c r="D101" s="67"/>
      <c r="E101" s="934"/>
      <c r="F101" s="67"/>
      <c r="G101" s="67"/>
      <c r="H101" s="67"/>
      <c r="I101" s="3404"/>
      <c r="J101" s="3404"/>
      <c r="K101" s="47"/>
      <c r="L101" s="47"/>
      <c r="M101" s="47"/>
      <c r="N101" s="47"/>
      <c r="O101" s="47"/>
      <c r="Q101" s="39"/>
      <c r="R101" s="39"/>
      <c r="S101" s="39"/>
    </row>
    <row r="102" spans="2:19">
      <c r="Q102" s="39"/>
      <c r="R102" s="39"/>
      <c r="S102" s="39"/>
    </row>
    <row r="103" spans="2:19">
      <c r="Q103" s="39"/>
    </row>
    <row r="104" spans="2:19" ht="15">
      <c r="B104" s="869" t="s">
        <v>177</v>
      </c>
      <c r="C104" s="870"/>
      <c r="D104" s="870"/>
      <c r="E104" s="870"/>
      <c r="F104" s="870"/>
      <c r="G104" s="870"/>
      <c r="H104" s="870"/>
      <c r="I104" s="870"/>
      <c r="J104" s="870"/>
      <c r="K104" s="870"/>
      <c r="L104" s="870"/>
      <c r="M104" s="870"/>
      <c r="N104" s="870"/>
      <c r="O104" s="871"/>
      <c r="Q104" s="39"/>
    </row>
    <row r="105" spans="2:19">
      <c r="B105" s="105"/>
      <c r="C105" s="67"/>
      <c r="D105" s="67"/>
      <c r="E105" s="67"/>
      <c r="F105" s="67"/>
      <c r="G105" s="67"/>
      <c r="H105" s="67"/>
      <c r="I105" s="67"/>
      <c r="J105" s="67"/>
      <c r="K105" s="67"/>
      <c r="L105" s="67"/>
      <c r="M105" s="67"/>
      <c r="N105" s="67"/>
      <c r="O105" s="876"/>
      <c r="Q105" s="39"/>
    </row>
    <row r="106" spans="2:19">
      <c r="B106" s="105"/>
      <c r="C106" s="49" t="s">
        <v>2654</v>
      </c>
      <c r="D106" s="67"/>
      <c r="E106" s="51"/>
      <c r="F106" s="67"/>
      <c r="G106" s="67"/>
      <c r="H106" s="67"/>
      <c r="I106" s="67"/>
      <c r="J106" s="67"/>
      <c r="K106" s="67"/>
      <c r="L106" s="67"/>
      <c r="M106" s="67"/>
      <c r="N106" s="51" t="str">
        <f>Preferences.EnergyUnits</f>
        <v>TWh</v>
      </c>
      <c r="O106" s="876"/>
      <c r="Q106" s="39"/>
    </row>
    <row r="107" spans="2:19">
      <c r="B107" s="105"/>
      <c r="C107" s="67"/>
      <c r="D107" s="67"/>
      <c r="E107" s="67"/>
      <c r="F107" s="67"/>
      <c r="G107" s="67"/>
      <c r="H107" s="67"/>
      <c r="I107" s="67"/>
      <c r="J107" s="67"/>
      <c r="K107" s="67"/>
      <c r="L107" s="67"/>
      <c r="M107" s="67"/>
      <c r="N107" s="67"/>
      <c r="O107" s="876"/>
      <c r="Q107" s="39"/>
    </row>
    <row r="108" spans="2:19" ht="15.5">
      <c r="B108" s="55"/>
      <c r="C108" s="878" t="s">
        <v>131</v>
      </c>
      <c r="D108" s="878" t="s">
        <v>71</v>
      </c>
      <c r="E108" s="878" t="s">
        <v>30</v>
      </c>
      <c r="F108" s="87">
        <v>2013</v>
      </c>
      <c r="G108" s="87">
        <v>2015</v>
      </c>
      <c r="H108" s="87">
        <v>2020</v>
      </c>
      <c r="I108" s="87">
        <v>2025</v>
      </c>
      <c r="J108" s="87">
        <v>2030</v>
      </c>
      <c r="K108" s="87">
        <v>2035</v>
      </c>
      <c r="L108" s="87">
        <v>2040</v>
      </c>
      <c r="M108" s="87">
        <v>2045</v>
      </c>
      <c r="N108" s="87">
        <v>2050</v>
      </c>
      <c r="O108" s="876"/>
      <c r="Q108" s="39"/>
    </row>
    <row r="109" spans="2:19" ht="15.5">
      <c r="B109" s="966"/>
      <c r="C109" s="907" t="s">
        <v>438</v>
      </c>
      <c r="D109" s="908" t="s">
        <v>555</v>
      </c>
      <c r="E109" s="908"/>
      <c r="F109" s="3422">
        <f>F33</f>
        <v>0</v>
      </c>
      <c r="G109" s="3422">
        <f t="shared" ref="G109:N109" si="4">G33</f>
        <v>2.5</v>
      </c>
      <c r="H109" s="3422">
        <f t="shared" si="4"/>
        <v>2.5</v>
      </c>
      <c r="I109" s="3422">
        <f t="shared" si="4"/>
        <v>1.5</v>
      </c>
      <c r="J109" s="3422">
        <f t="shared" si="4"/>
        <v>1</v>
      </c>
      <c r="K109" s="3422">
        <f t="shared" si="4"/>
        <v>0</v>
      </c>
      <c r="L109" s="3422">
        <f t="shared" si="4"/>
        <v>0</v>
      </c>
      <c r="M109" s="3422">
        <f t="shared" si="4"/>
        <v>0</v>
      </c>
      <c r="N109" s="3422">
        <f t="shared" si="4"/>
        <v>0</v>
      </c>
      <c r="O109" s="884"/>
      <c r="Q109" s="39"/>
    </row>
    <row r="110" spans="2:19">
      <c r="B110" s="45"/>
      <c r="C110" s="65"/>
      <c r="D110" s="103"/>
      <c r="E110" s="103"/>
      <c r="F110" s="2493"/>
      <c r="G110" s="3376"/>
      <c r="H110" s="3376"/>
      <c r="I110" s="3376"/>
      <c r="J110" s="3376"/>
      <c r="K110" s="3376"/>
      <c r="L110" s="3376"/>
      <c r="M110" s="3376"/>
      <c r="N110" s="3376"/>
      <c r="O110" s="876"/>
      <c r="Q110" s="39"/>
    </row>
    <row r="111" spans="2:19">
      <c r="B111" s="45"/>
      <c r="C111" s="84" t="s">
        <v>2636</v>
      </c>
      <c r="D111" s="103"/>
      <c r="E111" s="103"/>
      <c r="F111" s="2493"/>
      <c r="G111" s="3376"/>
      <c r="H111" s="3376"/>
      <c r="I111" s="3376"/>
      <c r="J111" s="3376"/>
      <c r="K111" s="3376"/>
      <c r="L111" s="3376"/>
      <c r="M111" s="3376"/>
      <c r="N111" s="3376" t="str">
        <f>Preferences.PowerUnits&amp;"e"</f>
        <v>GWe</v>
      </c>
      <c r="O111" s="876"/>
      <c r="Q111" s="39"/>
    </row>
    <row r="112" spans="2:19">
      <c r="B112" s="105"/>
      <c r="C112" s="67"/>
      <c r="D112" s="67"/>
      <c r="E112" s="67"/>
      <c r="F112" s="67"/>
      <c r="G112" s="67"/>
      <c r="H112" s="67"/>
      <c r="I112" s="67"/>
      <c r="J112" s="67"/>
      <c r="K112" s="67"/>
      <c r="L112" s="67"/>
      <c r="M112" s="67"/>
      <c r="N112" s="67"/>
      <c r="O112" s="876"/>
      <c r="Q112" s="39"/>
    </row>
    <row r="113" spans="2:17" ht="15.5">
      <c r="B113" s="55"/>
      <c r="C113" s="878"/>
      <c r="D113" s="878" t="s">
        <v>71</v>
      </c>
      <c r="E113" s="878" t="s">
        <v>30</v>
      </c>
      <c r="F113" s="87">
        <v>2013</v>
      </c>
      <c r="G113" s="87">
        <v>2015</v>
      </c>
      <c r="H113" s="87">
        <v>2020</v>
      </c>
      <c r="I113" s="87">
        <v>2025</v>
      </c>
      <c r="J113" s="87">
        <v>2030</v>
      </c>
      <c r="K113" s="87">
        <v>2035</v>
      </c>
      <c r="L113" s="87">
        <v>2040</v>
      </c>
      <c r="M113" s="87">
        <v>2045</v>
      </c>
      <c r="N113" s="87">
        <v>2050</v>
      </c>
      <c r="O113" s="876"/>
      <c r="Q113" s="39"/>
    </row>
    <row r="114" spans="2:17" ht="15.5">
      <c r="B114" s="55"/>
      <c r="C114" s="914"/>
      <c r="D114" s="915" t="s">
        <v>2637</v>
      </c>
      <c r="E114" s="914"/>
      <c r="F114" s="1506">
        <f t="shared" ref="F114:N114" si="5">F15*Conversion.to.average.power</f>
        <v>4.5630846452201682E-2</v>
      </c>
      <c r="G114" s="1506">
        <f t="shared" ca="1" si="5"/>
        <v>4.0528333091495553E-16</v>
      </c>
      <c r="H114" s="1506">
        <f t="shared" ca="1" si="5"/>
        <v>0</v>
      </c>
      <c r="I114" s="1506">
        <f t="shared" ca="1" si="5"/>
        <v>4.0528333091495553E-16</v>
      </c>
      <c r="J114" s="1506">
        <f t="shared" ca="1" si="5"/>
        <v>0</v>
      </c>
      <c r="K114" s="1506">
        <f t="shared" ca="1" si="5"/>
        <v>0</v>
      </c>
      <c r="L114" s="1506">
        <f t="shared" ca="1" si="5"/>
        <v>0</v>
      </c>
      <c r="M114" s="1506">
        <f t="shared" ca="1" si="5"/>
        <v>0</v>
      </c>
      <c r="N114" s="1506">
        <f t="shared" ca="1" si="5"/>
        <v>0</v>
      </c>
      <c r="O114" s="876"/>
      <c r="Q114" s="39"/>
    </row>
    <row r="115" spans="2:17" ht="15.5">
      <c r="B115" s="55"/>
      <c r="C115" s="914"/>
      <c r="D115" s="915" t="s">
        <v>2638</v>
      </c>
      <c r="E115" s="914"/>
      <c r="F115" s="1506">
        <f t="shared" ref="F115:N115" si="6">-F109*Conversion.to.average.power</f>
        <v>0</v>
      </c>
      <c r="G115" s="1506">
        <f t="shared" si="6"/>
        <v>-0.28519279032626049</v>
      </c>
      <c r="H115" s="1506">
        <f t="shared" si="6"/>
        <v>-0.28519279032626049</v>
      </c>
      <c r="I115" s="1506">
        <f t="shared" si="6"/>
        <v>-0.1711156741957563</v>
      </c>
      <c r="J115" s="1506">
        <f t="shared" si="6"/>
        <v>-0.1140771161305042</v>
      </c>
      <c r="K115" s="1506">
        <f t="shared" si="6"/>
        <v>0</v>
      </c>
      <c r="L115" s="1506">
        <f t="shared" si="6"/>
        <v>0</v>
      </c>
      <c r="M115" s="1506">
        <f t="shared" si="6"/>
        <v>0</v>
      </c>
      <c r="N115" s="1506">
        <f t="shared" si="6"/>
        <v>0</v>
      </c>
      <c r="O115" s="876"/>
      <c r="Q115" s="39"/>
    </row>
    <row r="116" spans="2:17" ht="15.5">
      <c r="B116" s="55"/>
      <c r="C116" s="914"/>
      <c r="D116" s="915" t="s">
        <v>2639</v>
      </c>
      <c r="E116" s="914"/>
      <c r="F116" s="1506">
        <f t="shared" ref="F116:N116" ca="1" si="7">-F20</f>
        <v>-0.75</v>
      </c>
      <c r="G116" s="1506">
        <f t="shared" ca="1" si="7"/>
        <v>-0.75</v>
      </c>
      <c r="H116" s="1506">
        <f t="shared" ca="1" si="7"/>
        <v>-0.75</v>
      </c>
      <c r="I116" s="1506">
        <f t="shared" ca="1" si="7"/>
        <v>-1.4</v>
      </c>
      <c r="J116" s="1506">
        <f t="shared" ca="1" si="7"/>
        <v>-1.4</v>
      </c>
      <c r="K116" s="1506">
        <f t="shared" ca="1" si="7"/>
        <v>-1.4</v>
      </c>
      <c r="L116" s="1506">
        <f t="shared" ca="1" si="7"/>
        <v>-1.4</v>
      </c>
      <c r="M116" s="1506">
        <f t="shared" ca="1" si="7"/>
        <v>-1.4</v>
      </c>
      <c r="N116" s="1506">
        <f t="shared" ca="1" si="7"/>
        <v>-1.4</v>
      </c>
      <c r="O116" s="876"/>
      <c r="Q116" s="39"/>
    </row>
    <row r="117" spans="2:17" ht="15.5">
      <c r="B117" s="966"/>
      <c r="C117" s="907"/>
      <c r="D117" s="908" t="s">
        <v>2640</v>
      </c>
      <c r="E117" s="908"/>
      <c r="F117" s="3423">
        <f ca="1">MAX(SUM(F114:F116),0)</f>
        <v>0</v>
      </c>
      <c r="G117" s="3423">
        <f t="shared" ref="G117:N117" ca="1" si="8">MAX(SUM(G114:G116),0)</f>
        <v>0</v>
      </c>
      <c r="H117" s="3423">
        <f t="shared" ca="1" si="8"/>
        <v>0</v>
      </c>
      <c r="I117" s="3423">
        <f t="shared" ca="1" si="8"/>
        <v>0</v>
      </c>
      <c r="J117" s="3423">
        <f t="shared" ca="1" si="8"/>
        <v>0</v>
      </c>
      <c r="K117" s="3423">
        <f t="shared" ca="1" si="8"/>
        <v>0</v>
      </c>
      <c r="L117" s="3423">
        <f t="shared" ca="1" si="8"/>
        <v>0</v>
      </c>
      <c r="M117" s="3423">
        <f t="shared" ca="1" si="8"/>
        <v>0</v>
      </c>
      <c r="N117" s="3423">
        <f t="shared" ca="1" si="8"/>
        <v>0</v>
      </c>
      <c r="O117" s="884"/>
      <c r="Q117" s="39"/>
    </row>
    <row r="118" spans="2:17">
      <c r="B118" s="45"/>
      <c r="C118" s="65"/>
      <c r="D118" s="103"/>
      <c r="E118" s="103"/>
      <c r="F118" s="2493"/>
      <c r="G118" s="3376"/>
      <c r="H118" s="3376"/>
      <c r="I118" s="3376"/>
      <c r="J118" s="3376"/>
      <c r="K118" s="3376"/>
      <c r="L118" s="3376"/>
      <c r="M118" s="3376"/>
      <c r="N118" s="3376"/>
      <c r="O118" s="876"/>
      <c r="Q118" s="39"/>
    </row>
    <row r="119" spans="2:17">
      <c r="Q119" s="39"/>
    </row>
    <row r="120" spans="2:17">
      <c r="B120" s="354">
        <v>1</v>
      </c>
      <c r="C120" s="354" t="s">
        <v>2641</v>
      </c>
      <c r="E120" s="3348" t="str">
        <f>Preferences.EnergyUnits</f>
        <v>TWh</v>
      </c>
      <c r="F120" s="2460">
        <f>F109+F44</f>
        <v>2.5</v>
      </c>
      <c r="G120" s="2460">
        <f t="shared" ref="G120:N120" si="9">G109+G44</f>
        <v>2.5</v>
      </c>
      <c r="H120" s="2460">
        <f t="shared" si="9"/>
        <v>2.5</v>
      </c>
      <c r="I120" s="2460">
        <f t="shared" si="9"/>
        <v>1.5</v>
      </c>
      <c r="J120" s="2460">
        <f t="shared" si="9"/>
        <v>1</v>
      </c>
      <c r="K120" s="2460">
        <f t="shared" si="9"/>
        <v>0</v>
      </c>
      <c r="L120" s="2460">
        <f t="shared" si="9"/>
        <v>0</v>
      </c>
      <c r="M120" s="2460">
        <f t="shared" si="9"/>
        <v>0</v>
      </c>
      <c r="N120" s="2460">
        <f t="shared" si="9"/>
        <v>0</v>
      </c>
      <c r="Q120" s="39"/>
    </row>
    <row r="121" spans="2:17">
      <c r="C121" s="3348" t="s">
        <v>2655</v>
      </c>
      <c r="E121" s="3348" t="str">
        <f>Preferences.EnergyUnits</f>
        <v>TWh</v>
      </c>
      <c r="F121" s="2485"/>
      <c r="G121" s="2485">
        <f t="shared" ref="G121:N121" si="10">(G173-F173)/(G137-F137)</f>
        <v>0</v>
      </c>
      <c r="H121" s="2485">
        <f t="shared" si="10"/>
        <v>0</v>
      </c>
      <c r="I121" s="2485">
        <f t="shared" si="10"/>
        <v>-0.2</v>
      </c>
      <c r="J121" s="2485">
        <f t="shared" si="10"/>
        <v>-0.1</v>
      </c>
      <c r="K121" s="2485">
        <f t="shared" si="10"/>
        <v>-0.2</v>
      </c>
      <c r="L121" s="2485">
        <f t="shared" si="10"/>
        <v>0</v>
      </c>
      <c r="M121" s="2485">
        <f t="shared" si="10"/>
        <v>0</v>
      </c>
      <c r="N121" s="2485">
        <f t="shared" si="10"/>
        <v>0</v>
      </c>
      <c r="Q121" s="39"/>
    </row>
    <row r="122" spans="2:17">
      <c r="F122" s="2485"/>
      <c r="G122" s="2485"/>
      <c r="H122" s="2485"/>
      <c r="I122" s="2485"/>
      <c r="J122" s="2485"/>
      <c r="K122" s="2485"/>
      <c r="L122" s="2485"/>
      <c r="M122" s="2485"/>
      <c r="N122" s="2485"/>
      <c r="Q122" s="39"/>
    </row>
    <row r="123" spans="2:17">
      <c r="C123" s="354" t="s">
        <v>738</v>
      </c>
      <c r="F123" s="2460"/>
      <c r="G123" s="2460"/>
      <c r="H123" s="2460"/>
      <c r="I123" s="2460"/>
      <c r="J123" s="2460"/>
      <c r="K123" s="2460"/>
      <c r="L123" s="2460"/>
      <c r="M123" s="2460"/>
      <c r="N123" s="2460"/>
      <c r="Q123" s="39"/>
    </row>
    <row r="124" spans="2:17">
      <c r="C124" s="3348" t="s">
        <v>2642</v>
      </c>
      <c r="E124" s="3348" t="str">
        <f>Preferences.PowerUnits</f>
        <v>GW</v>
      </c>
      <c r="F124" s="2384">
        <f t="shared" ref="F124:N124" si="11">(F120*Conversion.to.average.power)/$F$49/(1-$F$50)</f>
        <v>0.3531799261006322</v>
      </c>
      <c r="G124" s="2485">
        <f t="shared" si="11"/>
        <v>0.3531799261006322</v>
      </c>
      <c r="H124" s="2485">
        <f t="shared" si="11"/>
        <v>0.3531799261006322</v>
      </c>
      <c r="I124" s="2485">
        <f t="shared" si="11"/>
        <v>0.21190795566037934</v>
      </c>
      <c r="J124" s="2485">
        <f t="shared" si="11"/>
        <v>0.14127197044025289</v>
      </c>
      <c r="K124" s="2485">
        <f t="shared" si="11"/>
        <v>0</v>
      </c>
      <c r="L124" s="2485">
        <f t="shared" si="11"/>
        <v>0</v>
      </c>
      <c r="M124" s="2485">
        <f t="shared" si="11"/>
        <v>0</v>
      </c>
      <c r="N124" s="2486">
        <f t="shared" si="11"/>
        <v>0</v>
      </c>
      <c r="Q124" s="39"/>
    </row>
    <row r="125" spans="2:17">
      <c r="F125" s="2485"/>
      <c r="G125" s="2485"/>
      <c r="H125" s="2485"/>
      <c r="I125" s="2485"/>
      <c r="J125" s="2485"/>
      <c r="K125" s="2485"/>
      <c r="L125" s="2485"/>
      <c r="M125" s="2485"/>
      <c r="N125" s="2485"/>
      <c r="Q125" s="39"/>
    </row>
    <row r="126" spans="2:17">
      <c r="F126" s="2485"/>
      <c r="G126" s="2485"/>
      <c r="H126" s="2485"/>
      <c r="I126" s="2485"/>
      <c r="J126" s="2485"/>
      <c r="K126" s="2485"/>
      <c r="L126" s="2485"/>
      <c r="M126" s="2485"/>
      <c r="N126" s="2485"/>
      <c r="Q126" s="39"/>
    </row>
    <row r="127" spans="2:17">
      <c r="C127" s="354" t="s">
        <v>2722</v>
      </c>
      <c r="E127" s="354" t="s">
        <v>2736</v>
      </c>
      <c r="F127" s="2526">
        <v>2013</v>
      </c>
      <c r="G127" s="2526">
        <v>2015</v>
      </c>
      <c r="H127" s="2526">
        <v>2020</v>
      </c>
      <c r="I127" s="2526">
        <v>2025</v>
      </c>
      <c r="J127" s="2526">
        <v>2030</v>
      </c>
      <c r="K127" s="2526">
        <v>2035</v>
      </c>
      <c r="L127" s="2526">
        <v>2040</v>
      </c>
      <c r="M127" s="2526">
        <v>2045</v>
      </c>
      <c r="N127" s="2526">
        <v>2050</v>
      </c>
      <c r="Q127" s="39"/>
    </row>
    <row r="128" spans="2:17" hidden="1">
      <c r="C128" s="3348" t="s">
        <v>168</v>
      </c>
      <c r="F128"/>
      <c r="G128"/>
      <c r="H128"/>
      <c r="I128"/>
      <c r="J128"/>
      <c r="K128"/>
      <c r="L128"/>
      <c r="M128"/>
      <c r="N128"/>
      <c r="Q128" s="39"/>
    </row>
    <row r="129" spans="2:17" hidden="1">
      <c r="C129" s="3348" t="s">
        <v>172</v>
      </c>
      <c r="F129"/>
      <c r="G129"/>
      <c r="H129"/>
      <c r="I129"/>
      <c r="J129"/>
      <c r="K129"/>
      <c r="L129"/>
      <c r="M129"/>
      <c r="N129"/>
      <c r="Q129" s="39"/>
    </row>
    <row r="130" spans="2:17" hidden="1">
      <c r="C130" s="3348" t="s">
        <v>291</v>
      </c>
      <c r="F130"/>
      <c r="G130"/>
      <c r="H130"/>
      <c r="I130"/>
      <c r="J130"/>
      <c r="K130"/>
      <c r="L130"/>
      <c r="M130"/>
      <c r="N130"/>
      <c r="Q130" s="39"/>
    </row>
    <row r="131" spans="2:17" hidden="1">
      <c r="F131" s="2485"/>
      <c r="G131" s="2485"/>
      <c r="H131" s="2485"/>
      <c r="I131" s="2485"/>
      <c r="J131" s="2485"/>
      <c r="K131" s="2485"/>
      <c r="L131" s="2485"/>
      <c r="M131" s="2485"/>
      <c r="N131" s="2485"/>
      <c r="Q131" s="39"/>
    </row>
    <row r="132" spans="2:17" hidden="1">
      <c r="C132" s="354" t="s">
        <v>292</v>
      </c>
      <c r="E132" s="354" t="s">
        <v>2736</v>
      </c>
      <c r="F132" s="2526">
        <v>2013</v>
      </c>
      <c r="G132" s="2526">
        <v>2015</v>
      </c>
      <c r="H132" s="2526">
        <v>2020</v>
      </c>
      <c r="I132" s="2526">
        <v>2025</v>
      </c>
      <c r="J132" s="2526">
        <v>2030</v>
      </c>
      <c r="K132" s="2526">
        <v>2035</v>
      </c>
      <c r="L132" s="2526">
        <v>2040</v>
      </c>
      <c r="M132" s="2526">
        <v>2045</v>
      </c>
      <c r="N132" s="2526">
        <v>2050</v>
      </c>
      <c r="Q132" s="39"/>
    </row>
    <row r="133" spans="2:17" hidden="1">
      <c r="C133" s="3348" t="s">
        <v>168</v>
      </c>
      <c r="F133"/>
      <c r="G133"/>
      <c r="H133"/>
      <c r="I133"/>
      <c r="J133"/>
      <c r="K133"/>
      <c r="L133"/>
      <c r="M133"/>
      <c r="N133"/>
      <c r="Q133" s="39"/>
    </row>
    <row r="134" spans="2:17" hidden="1">
      <c r="C134" s="3348" t="s">
        <v>172</v>
      </c>
      <c r="F134"/>
      <c r="G134"/>
      <c r="H134"/>
      <c r="I134"/>
      <c r="J134"/>
      <c r="K134"/>
      <c r="L134"/>
      <c r="M134"/>
      <c r="N134"/>
      <c r="Q134" s="39"/>
    </row>
    <row r="135" spans="2:17" hidden="1">
      <c r="C135" s="3348" t="s">
        <v>291</v>
      </c>
      <c r="F135"/>
      <c r="G135"/>
      <c r="H135"/>
      <c r="I135"/>
      <c r="J135"/>
      <c r="K135"/>
      <c r="L135"/>
      <c r="M135"/>
      <c r="N135"/>
      <c r="Q135" s="39"/>
    </row>
    <row r="136" spans="2:17" hidden="1">
      <c r="F136" s="2485"/>
      <c r="G136" s="2485"/>
      <c r="H136" s="2485"/>
      <c r="I136" s="2485"/>
      <c r="J136" s="2485"/>
      <c r="K136" s="2485"/>
      <c r="L136" s="2485"/>
      <c r="M136" s="2485"/>
      <c r="N136" s="2485"/>
      <c r="Q136" s="39"/>
    </row>
    <row r="137" spans="2:17" hidden="1">
      <c r="C137" s="354" t="s">
        <v>293</v>
      </c>
      <c r="E137" s="354" t="s">
        <v>2736</v>
      </c>
      <c r="F137" s="2526">
        <v>2013</v>
      </c>
      <c r="G137" s="2526">
        <v>2015</v>
      </c>
      <c r="H137" s="2526">
        <v>2020</v>
      </c>
      <c r="I137" s="2526">
        <v>2025</v>
      </c>
      <c r="J137" s="2526">
        <v>2030</v>
      </c>
      <c r="K137" s="2526">
        <v>2035</v>
      </c>
      <c r="L137" s="2526">
        <v>2040</v>
      </c>
      <c r="M137" s="2526">
        <v>2045</v>
      </c>
      <c r="N137" s="2526">
        <v>2050</v>
      </c>
      <c r="Q137" s="39"/>
    </row>
    <row r="138" spans="2:17" hidden="1">
      <c r="C138" s="3348" t="s">
        <v>168</v>
      </c>
      <c r="F138"/>
      <c r="G138"/>
      <c r="H138"/>
      <c r="I138"/>
      <c r="J138"/>
      <c r="K138"/>
      <c r="L138"/>
      <c r="M138"/>
      <c r="N138"/>
      <c r="Q138" s="39"/>
    </row>
    <row r="139" spans="2:17" hidden="1">
      <c r="C139" s="3348" t="s">
        <v>172</v>
      </c>
      <c r="F139"/>
      <c r="G139"/>
      <c r="H139"/>
      <c r="I139"/>
      <c r="J139"/>
      <c r="K139"/>
      <c r="L139"/>
      <c r="M139"/>
      <c r="N139"/>
      <c r="Q139" s="39"/>
    </row>
    <row r="140" spans="2:17" hidden="1">
      <c r="C140" s="3348" t="s">
        <v>291</v>
      </c>
      <c r="F140"/>
      <c r="G140"/>
      <c r="H140"/>
      <c r="I140"/>
      <c r="J140"/>
      <c r="K140"/>
      <c r="L140"/>
      <c r="M140"/>
      <c r="N140"/>
      <c r="Q140" s="39"/>
    </row>
    <row r="141" spans="2:17">
      <c r="Q141" s="39"/>
    </row>
    <row r="142" spans="2:17">
      <c r="B142" s="354">
        <v>2</v>
      </c>
      <c r="C142" s="354" t="s">
        <v>2643</v>
      </c>
      <c r="E142" s="3348" t="str">
        <f>Preferences.EnergyUnits</f>
        <v>TWh</v>
      </c>
      <c r="F142" s="2460">
        <f>F15</f>
        <v>0.4</v>
      </c>
      <c r="G142" s="2460">
        <f t="shared" ref="G142:N142" ca="1" si="12">G15</f>
        <v>3.5527136788005009E-15</v>
      </c>
      <c r="H142" s="2460">
        <f t="shared" ca="1" si="12"/>
        <v>0</v>
      </c>
      <c r="I142" s="2460">
        <f t="shared" ca="1" si="12"/>
        <v>3.5527136788005009E-15</v>
      </c>
      <c r="J142" s="2460">
        <f t="shared" ca="1" si="12"/>
        <v>0</v>
      </c>
      <c r="K142" s="2460">
        <f t="shared" ca="1" si="12"/>
        <v>0</v>
      </c>
      <c r="L142" s="2460">
        <f t="shared" ca="1" si="12"/>
        <v>0</v>
      </c>
      <c r="M142" s="2460">
        <f t="shared" ca="1" si="12"/>
        <v>0</v>
      </c>
      <c r="N142" s="2460">
        <f t="shared" ca="1" si="12"/>
        <v>0</v>
      </c>
      <c r="Q142" s="39"/>
    </row>
    <row r="143" spans="2:17">
      <c r="C143" s="354"/>
      <c r="F143" s="2460"/>
      <c r="G143" s="2460"/>
      <c r="H143" s="2460"/>
      <c r="I143" s="2460"/>
      <c r="J143" s="2460"/>
      <c r="K143" s="2460"/>
      <c r="L143" s="2460"/>
      <c r="M143" s="2460"/>
      <c r="N143" s="2460"/>
      <c r="Q143" s="39"/>
    </row>
    <row r="144" spans="2:17">
      <c r="C144" s="354" t="s">
        <v>738</v>
      </c>
      <c r="F144" s="2526">
        <v>2013</v>
      </c>
      <c r="G144" s="2526">
        <v>2015</v>
      </c>
      <c r="H144" s="2526">
        <v>2020</v>
      </c>
      <c r="I144" s="2526">
        <v>2025</v>
      </c>
      <c r="J144" s="2526">
        <v>2030</v>
      </c>
      <c r="K144" s="2526">
        <v>2035</v>
      </c>
      <c r="L144" s="2526">
        <v>2040</v>
      </c>
      <c r="M144" s="2526">
        <v>2045</v>
      </c>
      <c r="N144" s="2526">
        <v>2050</v>
      </c>
      <c r="Q144" s="39"/>
    </row>
    <row r="145" spans="3:17">
      <c r="C145" s="3348" t="s">
        <v>2644</v>
      </c>
      <c r="E145" s="3348" t="s">
        <v>277</v>
      </c>
      <c r="F145" s="2384">
        <f ca="1">F117</f>
        <v>0</v>
      </c>
      <c r="G145" s="2384">
        <f t="shared" ref="G145:N145" ca="1" si="13">G117</f>
        <v>0</v>
      </c>
      <c r="H145" s="2384">
        <f t="shared" ca="1" si="13"/>
        <v>0</v>
      </c>
      <c r="I145" s="2384">
        <f t="shared" ca="1" si="13"/>
        <v>0</v>
      </c>
      <c r="J145" s="2384">
        <f t="shared" ca="1" si="13"/>
        <v>0</v>
      </c>
      <c r="K145" s="2384">
        <f t="shared" ca="1" si="13"/>
        <v>0</v>
      </c>
      <c r="L145" s="2384">
        <f t="shared" ca="1" si="13"/>
        <v>0</v>
      </c>
      <c r="M145" s="2384">
        <f t="shared" ca="1" si="13"/>
        <v>0</v>
      </c>
      <c r="N145" s="2384">
        <f t="shared" ca="1" si="13"/>
        <v>0</v>
      </c>
      <c r="Q145" s="39"/>
    </row>
    <row r="146" spans="3:17">
      <c r="C146" s="2" t="s">
        <v>2645</v>
      </c>
      <c r="E146" s="2" t="s">
        <v>2646</v>
      </c>
      <c r="F146" s="2384"/>
      <c r="G146" s="2384">
        <f ca="1">F145/$E$53</f>
        <v>0</v>
      </c>
      <c r="H146" s="2384">
        <f t="shared" ref="H146:N146" ca="1" si="14">G145/$E$53</f>
        <v>0</v>
      </c>
      <c r="I146" s="2384">
        <f t="shared" ca="1" si="14"/>
        <v>0</v>
      </c>
      <c r="J146" s="2384">
        <f t="shared" ca="1" si="14"/>
        <v>0</v>
      </c>
      <c r="K146" s="2384">
        <f t="shared" ca="1" si="14"/>
        <v>0</v>
      </c>
      <c r="L146" s="2384">
        <f t="shared" ca="1" si="14"/>
        <v>0</v>
      </c>
      <c r="M146" s="2384">
        <f t="shared" ca="1" si="14"/>
        <v>0</v>
      </c>
      <c r="N146" s="2384">
        <f t="shared" ca="1" si="14"/>
        <v>0</v>
      </c>
      <c r="Q146" s="39"/>
    </row>
    <row r="147" spans="3:17">
      <c r="C147" s="3348" t="s">
        <v>2647</v>
      </c>
      <c r="E147" s="3348" t="s">
        <v>2646</v>
      </c>
      <c r="F147" s="2485"/>
      <c r="G147" s="2485">
        <f ca="1">MAX((G145-F145)/(G144-F144),0)</f>
        <v>0</v>
      </c>
      <c r="H147" s="2485">
        <f t="shared" ref="H147:N147" ca="1" si="15">MAX((H145-G145)/(H144-G144),0)</f>
        <v>0</v>
      </c>
      <c r="I147" s="2485">
        <f t="shared" ca="1" si="15"/>
        <v>0</v>
      </c>
      <c r="J147" s="2485">
        <f t="shared" ca="1" si="15"/>
        <v>0</v>
      </c>
      <c r="K147" s="2485">
        <f t="shared" ca="1" si="15"/>
        <v>0</v>
      </c>
      <c r="L147" s="2485">
        <f t="shared" ca="1" si="15"/>
        <v>0</v>
      </c>
      <c r="M147" s="2485">
        <f t="shared" ca="1" si="15"/>
        <v>0</v>
      </c>
      <c r="N147" s="2485">
        <f t="shared" ca="1" si="15"/>
        <v>0</v>
      </c>
      <c r="Q147" s="39"/>
    </row>
    <row r="148" spans="3:17">
      <c r="C148" s="3348" t="s">
        <v>2648</v>
      </c>
      <c r="E148" s="3348" t="s">
        <v>2646</v>
      </c>
      <c r="F148" s="2485"/>
      <c r="G148" s="2485">
        <f ca="1">SUM(G146:G147)</f>
        <v>0</v>
      </c>
      <c r="H148" s="2485">
        <f t="shared" ref="H148:N148" ca="1" si="16">SUM(H146:H147)</f>
        <v>0</v>
      </c>
      <c r="I148" s="2485">
        <f t="shared" ca="1" si="16"/>
        <v>0</v>
      </c>
      <c r="J148" s="2485">
        <f t="shared" ca="1" si="16"/>
        <v>0</v>
      </c>
      <c r="K148" s="2485">
        <f t="shared" ca="1" si="16"/>
        <v>0</v>
      </c>
      <c r="L148" s="2485">
        <f t="shared" ca="1" si="16"/>
        <v>0</v>
      </c>
      <c r="M148" s="2485">
        <f t="shared" ca="1" si="16"/>
        <v>0</v>
      </c>
      <c r="N148" s="2485">
        <f t="shared" ca="1" si="16"/>
        <v>0</v>
      </c>
      <c r="Q148" s="39"/>
    </row>
    <row r="149" spans="3:17">
      <c r="F149" s="2485"/>
      <c r="G149" s="2485"/>
      <c r="H149" s="2485"/>
      <c r="I149" s="2485"/>
      <c r="J149" s="2485"/>
      <c r="K149" s="2485"/>
      <c r="L149" s="2485"/>
      <c r="M149" s="2485"/>
      <c r="N149" s="2485"/>
      <c r="Q149" s="39"/>
    </row>
    <row r="150" spans="3:17">
      <c r="C150" s="354" t="s">
        <v>2722</v>
      </c>
      <c r="E150" s="354" t="s">
        <v>2736</v>
      </c>
      <c r="F150" s="2526">
        <v>2013</v>
      </c>
      <c r="G150" s="2526">
        <v>2015</v>
      </c>
      <c r="H150" s="2526">
        <v>2020</v>
      </c>
      <c r="I150" s="2526">
        <v>2025</v>
      </c>
      <c r="J150" s="2526">
        <v>2030</v>
      </c>
      <c r="K150" s="2526">
        <v>2035</v>
      </c>
      <c r="L150" s="2526">
        <v>2040</v>
      </c>
      <c r="M150" s="2526">
        <v>2045</v>
      </c>
      <c r="N150" s="2526">
        <v>2050</v>
      </c>
      <c r="Q150" s="39"/>
    </row>
    <row r="151" spans="3:17" hidden="1">
      <c r="C151" s="3348" t="s">
        <v>168</v>
      </c>
      <c r="F151"/>
      <c r="G151"/>
      <c r="H151"/>
      <c r="I151"/>
      <c r="J151"/>
      <c r="K151"/>
      <c r="L151"/>
      <c r="M151"/>
      <c r="N151"/>
      <c r="Q151" s="39"/>
    </row>
    <row r="152" spans="3:17" hidden="1">
      <c r="C152" s="3348" t="s">
        <v>172</v>
      </c>
      <c r="F152"/>
      <c r="G152"/>
      <c r="H152"/>
      <c r="I152"/>
      <c r="J152"/>
      <c r="K152"/>
      <c r="L152"/>
      <c r="M152"/>
      <c r="N152"/>
      <c r="Q152" s="39"/>
    </row>
    <row r="153" spans="3:17" hidden="1">
      <c r="C153" s="3348" t="s">
        <v>2649</v>
      </c>
      <c r="F153"/>
      <c r="G153"/>
      <c r="H153"/>
      <c r="I153"/>
      <c r="J153"/>
      <c r="K153"/>
      <c r="L153"/>
      <c r="M153"/>
      <c r="N153"/>
      <c r="Q153" s="39"/>
    </row>
    <row r="154" spans="3:17" hidden="1">
      <c r="C154" s="3348" t="s">
        <v>291</v>
      </c>
      <c r="F154"/>
      <c r="G154"/>
      <c r="H154"/>
      <c r="I154"/>
      <c r="J154"/>
      <c r="K154"/>
      <c r="L154"/>
      <c r="M154"/>
      <c r="N154"/>
      <c r="Q154" s="39"/>
    </row>
    <row r="155" spans="3:17" hidden="1">
      <c r="F155" s="2485"/>
      <c r="G155" s="2485"/>
      <c r="H155" s="2485"/>
      <c r="I155" s="2485"/>
      <c r="J155" s="2485"/>
      <c r="K155" s="2485"/>
      <c r="L155" s="2485"/>
      <c r="M155" s="2485"/>
      <c r="N155" s="2485"/>
      <c r="Q155" s="39"/>
    </row>
    <row r="156" spans="3:17" hidden="1">
      <c r="C156" s="354" t="s">
        <v>292</v>
      </c>
      <c r="E156" s="354" t="s">
        <v>2736</v>
      </c>
      <c r="F156" s="2526">
        <v>2013</v>
      </c>
      <c r="G156" s="2526">
        <v>2015</v>
      </c>
      <c r="H156" s="2526">
        <v>2020</v>
      </c>
      <c r="I156" s="2526">
        <v>2025</v>
      </c>
      <c r="J156" s="2526">
        <v>2030</v>
      </c>
      <c r="K156" s="2526">
        <v>2035</v>
      </c>
      <c r="L156" s="2526">
        <v>2040</v>
      </c>
      <c r="M156" s="2526">
        <v>2045</v>
      </c>
      <c r="N156" s="2526">
        <v>2050</v>
      </c>
      <c r="Q156" s="39"/>
    </row>
    <row r="157" spans="3:17" hidden="1">
      <c r="C157" s="3348" t="s">
        <v>168</v>
      </c>
      <c r="Q157" s="39"/>
    </row>
    <row r="158" spans="3:17" hidden="1">
      <c r="C158" s="3348" t="s">
        <v>172</v>
      </c>
      <c r="Q158" s="39"/>
    </row>
    <row r="159" spans="3:17" hidden="1">
      <c r="C159" s="3348" t="s">
        <v>2650</v>
      </c>
      <c r="Q159" s="39"/>
    </row>
    <row r="160" spans="3:17" hidden="1">
      <c r="C160" s="3348" t="s">
        <v>291</v>
      </c>
      <c r="Q160" s="39"/>
    </row>
    <row r="161" spans="1:22" hidden="1">
      <c r="F161" s="2485"/>
      <c r="G161" s="2485"/>
      <c r="H161" s="2485"/>
      <c r="I161" s="2485"/>
      <c r="J161" s="2485"/>
      <c r="K161" s="2485"/>
      <c r="L161" s="2485"/>
      <c r="M161" s="2485"/>
      <c r="N161" s="2485"/>
      <c r="Q161" s="39"/>
    </row>
    <row r="162" spans="1:22" hidden="1">
      <c r="C162" s="354" t="s">
        <v>293</v>
      </c>
      <c r="E162" s="354" t="s">
        <v>2736</v>
      </c>
      <c r="F162" s="2526">
        <v>2013</v>
      </c>
      <c r="G162" s="2526">
        <v>2015</v>
      </c>
      <c r="H162" s="2526">
        <v>2020</v>
      </c>
      <c r="I162" s="2526">
        <v>2025</v>
      </c>
      <c r="J162" s="2526">
        <v>2030</v>
      </c>
      <c r="K162" s="2526">
        <v>2035</v>
      </c>
      <c r="L162" s="2526">
        <v>2040</v>
      </c>
      <c r="M162" s="2526">
        <v>2045</v>
      </c>
      <c r="N162" s="2526">
        <v>2050</v>
      </c>
      <c r="Q162" s="39"/>
    </row>
    <row r="163" spans="1:22" hidden="1">
      <c r="C163" s="3348" t="s">
        <v>168</v>
      </c>
      <c r="Q163" s="39"/>
    </row>
    <row r="164" spans="1:22" hidden="1">
      <c r="A164" s="3348" t="s">
        <v>5</v>
      </c>
      <c r="C164" s="3348" t="s">
        <v>172</v>
      </c>
      <c r="Q164" s="39"/>
    </row>
    <row r="165" spans="1:22" hidden="1">
      <c r="C165" s="3348" t="s">
        <v>2650</v>
      </c>
      <c r="Q165" s="39"/>
    </row>
    <row r="166" spans="1:22" hidden="1">
      <c r="C166" s="3348" t="s">
        <v>291</v>
      </c>
      <c r="Q166" s="39"/>
    </row>
    <row r="167" spans="1:22">
      <c r="Q167" s="39"/>
    </row>
    <row r="168" spans="1:22" ht="23.5">
      <c r="A168" s="7"/>
      <c r="B168" s="502" t="s">
        <v>296</v>
      </c>
      <c r="C168" s="503"/>
      <c r="D168" s="503"/>
      <c r="E168" s="503"/>
      <c r="F168" s="503"/>
      <c r="G168" s="503"/>
      <c r="H168" s="503"/>
      <c r="I168" s="503"/>
      <c r="J168" s="503"/>
      <c r="K168" s="503"/>
      <c r="L168" s="503"/>
      <c r="M168" s="503"/>
      <c r="N168" s="503"/>
      <c r="O168" s="857"/>
      <c r="Q168" s="39"/>
    </row>
    <row r="169" spans="1:22">
      <c r="B169" s="505"/>
      <c r="C169" s="506"/>
      <c r="D169" s="506"/>
      <c r="E169" s="506"/>
      <c r="F169" s="506"/>
      <c r="G169" s="506"/>
      <c r="H169" s="506"/>
      <c r="I169" s="506"/>
      <c r="J169" s="506"/>
      <c r="K169" s="506"/>
      <c r="L169" s="506"/>
      <c r="M169" s="506"/>
      <c r="N169" s="506"/>
      <c r="O169" s="858"/>
      <c r="Q169" s="39"/>
    </row>
    <row r="170" spans="1:22">
      <c r="B170" s="505"/>
      <c r="C170" s="34" t="s">
        <v>746</v>
      </c>
      <c r="D170" s="506"/>
      <c r="E170" s="507"/>
      <c r="F170" s="506"/>
      <c r="G170" s="506"/>
      <c r="H170" s="506"/>
      <c r="I170" s="506"/>
      <c r="J170" s="506"/>
      <c r="K170" s="506"/>
      <c r="L170" s="506"/>
      <c r="M170" s="506"/>
      <c r="N170" s="507" t="str">
        <f>Preferences.EnergyUnits</f>
        <v>TWh</v>
      </c>
      <c r="O170" s="858"/>
      <c r="Q170" s="39"/>
    </row>
    <row r="171" spans="1:22">
      <c r="B171" s="505"/>
      <c r="C171" s="506"/>
      <c r="D171" s="506"/>
      <c r="E171" s="506"/>
      <c r="F171" s="506"/>
      <c r="G171" s="506"/>
      <c r="H171" s="506"/>
      <c r="I171" s="506"/>
      <c r="J171" s="506"/>
      <c r="K171" s="506"/>
      <c r="L171" s="506"/>
      <c r="M171" s="506"/>
      <c r="N171" s="506"/>
      <c r="O171" s="858"/>
      <c r="Q171" s="39"/>
    </row>
    <row r="172" spans="1:22" ht="15.5">
      <c r="A172" s="434"/>
      <c r="B172" s="15"/>
      <c r="C172" s="864" t="s">
        <v>28</v>
      </c>
      <c r="D172" s="864" t="s">
        <v>29</v>
      </c>
      <c r="E172" s="864" t="s">
        <v>30</v>
      </c>
      <c r="F172" s="864" t="s">
        <v>588</v>
      </c>
      <c r="G172" s="864" t="s">
        <v>132</v>
      </c>
      <c r="H172" s="864" t="s">
        <v>133</v>
      </c>
      <c r="I172" s="864" t="s">
        <v>134</v>
      </c>
      <c r="J172" s="864" t="s">
        <v>135</v>
      </c>
      <c r="K172" s="864" t="s">
        <v>136</v>
      </c>
      <c r="L172" s="864" t="s">
        <v>137</v>
      </c>
      <c r="M172" s="864" t="s">
        <v>138</v>
      </c>
      <c r="N172" s="864" t="s">
        <v>139</v>
      </c>
      <c r="O172" s="858"/>
      <c r="Q172" s="39"/>
    </row>
    <row r="173" spans="1:22" ht="15.5">
      <c r="A173" s="434"/>
      <c r="B173" s="15"/>
      <c r="C173" s="17" t="s">
        <v>96</v>
      </c>
      <c r="D173" s="2457" t="str">
        <f>INDEX(Vectors[Description], MATCH(VII.a.Outputs[Vector], Vectors[Code], 0))</f>
        <v>Electricity (supplied to grid)</v>
      </c>
      <c r="E173" s="17"/>
      <c r="F173" s="2491">
        <f>F$120</f>
        <v>2.5</v>
      </c>
      <c r="G173" s="2491">
        <f t="shared" ref="G173:N173" si="17">G$120</f>
        <v>2.5</v>
      </c>
      <c r="H173" s="2491">
        <f t="shared" si="17"/>
        <v>2.5</v>
      </c>
      <c r="I173" s="2491">
        <f t="shared" si="17"/>
        <v>1.5</v>
      </c>
      <c r="J173" s="2491">
        <f t="shared" si="17"/>
        <v>1</v>
      </c>
      <c r="K173" s="2491">
        <f t="shared" si="17"/>
        <v>0</v>
      </c>
      <c r="L173" s="2491">
        <f t="shared" si="17"/>
        <v>0</v>
      </c>
      <c r="M173" s="2491">
        <f t="shared" si="17"/>
        <v>0</v>
      </c>
      <c r="N173" s="2491">
        <f t="shared" si="17"/>
        <v>0</v>
      </c>
      <c r="O173" s="858"/>
      <c r="Q173" s="39"/>
    </row>
    <row r="174" spans="1:22" ht="15.5">
      <c r="A174" s="434"/>
      <c r="B174" s="15"/>
      <c r="C174" s="17" t="s">
        <v>431</v>
      </c>
      <c r="D174" s="2457" t="str">
        <f>INDEX(Vectors[Description], MATCH(VII.a.Outputs[Vector], Vectors[Code], 0))</f>
        <v>Electricity imports (exports in paranthesis)</v>
      </c>
      <c r="E174" s="17"/>
      <c r="F174" s="2491">
        <f t="shared" ref="F174:N174" si="18">-F$120</f>
        <v>-2.5</v>
      </c>
      <c r="G174" s="2491">
        <f t="shared" si="18"/>
        <v>-2.5</v>
      </c>
      <c r="H174" s="2491">
        <f t="shared" si="18"/>
        <v>-2.5</v>
      </c>
      <c r="I174" s="2491">
        <f t="shared" si="18"/>
        <v>-1.5</v>
      </c>
      <c r="J174" s="2491">
        <f t="shared" si="18"/>
        <v>-1</v>
      </c>
      <c r="K174" s="2491">
        <f t="shared" si="18"/>
        <v>0</v>
      </c>
      <c r="L174" s="2491">
        <f t="shared" si="18"/>
        <v>0</v>
      </c>
      <c r="M174" s="2491">
        <f t="shared" si="18"/>
        <v>0</v>
      </c>
      <c r="N174" s="2491">
        <f t="shared" si="18"/>
        <v>0</v>
      </c>
      <c r="O174" s="858"/>
      <c r="Q174" s="39"/>
      <c r="S174" s="1143"/>
      <c r="T174" s="1144"/>
      <c r="U174" s="1143"/>
      <c r="V174" s="1143"/>
    </row>
    <row r="175" spans="1:22" ht="15.5">
      <c r="A175" s="434"/>
      <c r="B175" s="15"/>
      <c r="C175" s="2432" t="s">
        <v>58</v>
      </c>
      <c r="D175" s="2432"/>
      <c r="E175" s="2432"/>
      <c r="F175" s="2435">
        <f>SUBTOTAL(109,VII.a.Outputs[2013])</f>
        <v>0</v>
      </c>
      <c r="G175" s="2435">
        <f>SUBTOTAL(109,VII.a.Outputs[2015])</f>
        <v>0</v>
      </c>
      <c r="H175" s="2435">
        <f>SUBTOTAL(109,VII.a.Outputs[2020])</f>
        <v>0</v>
      </c>
      <c r="I175" s="2435">
        <f>SUBTOTAL(109,VII.a.Outputs[2025])</f>
        <v>0</v>
      </c>
      <c r="J175" s="2435">
        <f>SUBTOTAL(109,VII.a.Outputs[2030])</f>
        <v>0</v>
      </c>
      <c r="K175" s="2435">
        <f>SUBTOTAL(109,VII.a.Outputs[2035])</f>
        <v>0</v>
      </c>
      <c r="L175" s="2435">
        <f>SUBTOTAL(109,VII.a.Outputs[2040])</f>
        <v>0</v>
      </c>
      <c r="M175" s="2435">
        <f>SUBTOTAL(109,VII.a.Outputs[2045])</f>
        <v>0</v>
      </c>
      <c r="N175" s="2435">
        <f>SUBTOTAL(109,VII.a.Outputs[2050])</f>
        <v>0</v>
      </c>
      <c r="O175" s="858"/>
      <c r="Q175" s="39"/>
      <c r="T175" s="6"/>
    </row>
    <row r="176" spans="1:22">
      <c r="B176" s="506"/>
      <c r="C176" s="2888"/>
      <c r="D176" s="2889"/>
      <c r="E176" s="2889"/>
      <c r="F176" s="2889"/>
      <c r="G176" s="2889"/>
      <c r="H176" s="2889"/>
      <c r="I176" s="2889"/>
      <c r="J176" s="2889"/>
      <c r="K176" s="2889"/>
      <c r="L176" s="2889"/>
      <c r="M176" s="2889"/>
      <c r="N176" s="2889"/>
      <c r="O176" s="506"/>
      <c r="Q176" s="39"/>
      <c r="T176" s="6"/>
    </row>
    <row r="177" spans="2:22">
      <c r="Q177" s="39"/>
    </row>
    <row r="178" spans="2:22" ht="15">
      <c r="B178" s="986" t="s">
        <v>310</v>
      </c>
      <c r="C178" s="987"/>
      <c r="D178" s="988"/>
      <c r="E178" s="988"/>
      <c r="F178" s="988"/>
      <c r="G178" s="988"/>
      <c r="H178" s="988"/>
      <c r="I178" s="988"/>
      <c r="J178" s="988"/>
      <c r="K178" s="988"/>
      <c r="L178" s="988"/>
      <c r="M178" s="988"/>
      <c r="N178" s="988"/>
      <c r="O178" s="989"/>
      <c r="Q178" s="39"/>
    </row>
    <row r="179" spans="2:22">
      <c r="B179" s="990"/>
      <c r="C179" s="991"/>
      <c r="D179" s="991"/>
      <c r="E179" s="991"/>
      <c r="F179" s="991"/>
      <c r="G179" s="991"/>
      <c r="H179" s="991"/>
      <c r="I179" s="991"/>
      <c r="J179" s="991"/>
      <c r="K179" s="991"/>
      <c r="L179" s="991"/>
      <c r="M179" s="991"/>
      <c r="N179" s="991"/>
      <c r="O179" s="992"/>
      <c r="Q179" s="39"/>
    </row>
    <row r="180" spans="2:22">
      <c r="B180" s="993"/>
      <c r="C180" s="479" t="s">
        <v>311</v>
      </c>
      <c r="D180" s="994"/>
      <c r="E180" s="995"/>
      <c r="F180" s="994"/>
      <c r="G180" s="994"/>
      <c r="H180" s="994"/>
      <c r="I180" s="994"/>
      <c r="J180" s="994"/>
      <c r="K180" s="994"/>
      <c r="L180" s="994"/>
      <c r="M180" s="994"/>
      <c r="N180" s="995"/>
      <c r="O180" s="996"/>
      <c r="Q180" s="39"/>
    </row>
    <row r="181" spans="2:22">
      <c r="B181" s="993"/>
      <c r="C181" s="994"/>
      <c r="D181" s="994"/>
      <c r="E181" s="994"/>
      <c r="F181" s="994"/>
      <c r="G181" s="994"/>
      <c r="H181" s="994"/>
      <c r="I181" s="994"/>
      <c r="J181" s="994"/>
      <c r="K181" s="994"/>
      <c r="L181" s="994"/>
      <c r="M181" s="994"/>
      <c r="N181" s="994"/>
      <c r="O181" s="996"/>
      <c r="Q181" s="39"/>
    </row>
    <row r="182" spans="2:22" ht="15.5">
      <c r="B182" s="483"/>
      <c r="C182" s="997" t="s">
        <v>28</v>
      </c>
      <c r="D182" s="997" t="s">
        <v>312</v>
      </c>
      <c r="E182" s="997" t="s">
        <v>30</v>
      </c>
      <c r="F182" s="997" t="s">
        <v>588</v>
      </c>
      <c r="G182" s="997" t="s">
        <v>132</v>
      </c>
      <c r="H182" s="997" t="s">
        <v>133</v>
      </c>
      <c r="I182" s="997" t="s">
        <v>134</v>
      </c>
      <c r="J182" s="997" t="s">
        <v>135</v>
      </c>
      <c r="K182" s="997" t="s">
        <v>136</v>
      </c>
      <c r="L182" s="997" t="s">
        <v>137</v>
      </c>
      <c r="M182" s="997" t="s">
        <v>138</v>
      </c>
      <c r="N182" s="997" t="s">
        <v>139</v>
      </c>
      <c r="O182" s="996"/>
      <c r="Q182" s="39"/>
    </row>
    <row r="183" spans="2:22" ht="15.5">
      <c r="B183" s="483"/>
      <c r="C183" s="998"/>
      <c r="D183" s="998"/>
      <c r="E183" s="3032" t="str">
        <f>Preferences.PowerUnits</f>
        <v>GW</v>
      </c>
      <c r="F183" s="2408"/>
      <c r="G183" s="2408"/>
      <c r="H183" s="2408"/>
      <c r="I183" s="2408">
        <f t="shared" ref="I183:N183" si="19">I125</f>
        <v>0</v>
      </c>
      <c r="J183" s="2408">
        <f t="shared" si="19"/>
        <v>0</v>
      </c>
      <c r="K183" s="2408">
        <f t="shared" si="19"/>
        <v>0</v>
      </c>
      <c r="L183" s="2408">
        <f t="shared" si="19"/>
        <v>0</v>
      </c>
      <c r="M183" s="2408">
        <f t="shared" si="19"/>
        <v>0</v>
      </c>
      <c r="N183" s="2408">
        <f t="shared" si="19"/>
        <v>0</v>
      </c>
      <c r="O183" s="996"/>
      <c r="Q183" s="39"/>
    </row>
    <row r="184" spans="2:22" ht="15.5">
      <c r="B184" s="483"/>
      <c r="C184" s="998" t="s">
        <v>1823</v>
      </c>
      <c r="D184" s="485" t="s">
        <v>1824</v>
      </c>
      <c r="E184" s="3032" t="str">
        <f>Preferences.PowerUnits</f>
        <v>GW</v>
      </c>
      <c r="F184" s="2408">
        <f t="shared" ref="F184:M184" ca="1" si="20">F145+F124</f>
        <v>0.3531799261006322</v>
      </c>
      <c r="G184" s="2408">
        <f t="shared" ca="1" si="20"/>
        <v>0.3531799261006322</v>
      </c>
      <c r="H184" s="2408">
        <f t="shared" ca="1" si="20"/>
        <v>0.3531799261006322</v>
      </c>
      <c r="I184" s="2408">
        <f t="shared" ca="1" si="20"/>
        <v>0.21190795566037934</v>
      </c>
      <c r="J184" s="2408">
        <f t="shared" ca="1" si="20"/>
        <v>0.14127197044025289</v>
      </c>
      <c r="K184" s="2408">
        <f t="shared" ca="1" si="20"/>
        <v>0</v>
      </c>
      <c r="L184" s="2408">
        <f t="shared" ca="1" si="20"/>
        <v>0</v>
      </c>
      <c r="M184" s="2408">
        <f t="shared" ca="1" si="20"/>
        <v>0</v>
      </c>
      <c r="N184" s="2408">
        <f ca="1">N145+N124</f>
        <v>0</v>
      </c>
      <c r="O184" s="996"/>
      <c r="Q184" s="39"/>
    </row>
    <row r="185" spans="2:22" ht="15.5">
      <c r="B185" s="488"/>
      <c r="C185" s="1001"/>
      <c r="D185" s="1001"/>
      <c r="E185" s="1001"/>
      <c r="F185" s="1001"/>
      <c r="G185" s="1001"/>
      <c r="H185" s="1001"/>
      <c r="I185" s="1001"/>
      <c r="J185" s="1001"/>
      <c r="K185" s="1001"/>
      <c r="L185" s="1001"/>
      <c r="M185" s="1001"/>
      <c r="N185" s="1001"/>
      <c r="O185" s="1002"/>
      <c r="Q185" s="39"/>
    </row>
    <row r="186" spans="2:22">
      <c r="Q186" s="39"/>
    </row>
    <row r="187" spans="2:22" ht="15">
      <c r="B187" s="986" t="s">
        <v>2720</v>
      </c>
      <c r="C187" s="988"/>
      <c r="D187" s="988"/>
      <c r="E187" s="988"/>
      <c r="F187" s="988"/>
      <c r="G187" s="988"/>
      <c r="H187" s="988"/>
      <c r="I187" s="988"/>
      <c r="J187" s="988"/>
      <c r="K187" s="988"/>
      <c r="L187" s="988"/>
      <c r="M187" s="988"/>
      <c r="N187" s="988"/>
      <c r="O187" s="989"/>
      <c r="Q187" s="39"/>
    </row>
    <row r="188" spans="2:22" hidden="1">
      <c r="B188" s="993"/>
      <c r="C188" s="994"/>
      <c r="D188" s="994"/>
      <c r="E188" s="994"/>
      <c r="F188" s="994"/>
      <c r="G188" s="994"/>
      <c r="H188" s="994"/>
      <c r="I188" s="994"/>
      <c r="J188" s="994"/>
      <c r="K188" s="994"/>
      <c r="L188" s="994"/>
      <c r="M188" s="994"/>
      <c r="N188" s="994"/>
      <c r="O188" s="996"/>
      <c r="Q188" s="39"/>
    </row>
    <row r="189" spans="2:22" hidden="1">
      <c r="B189" s="993"/>
      <c r="C189" s="491" t="s">
        <v>2651</v>
      </c>
      <c r="D189" s="1003"/>
      <c r="E189" s="1003"/>
      <c r="F189" s="1003"/>
      <c r="G189" s="1003"/>
      <c r="H189" s="1003"/>
      <c r="I189" s="1003"/>
      <c r="J189" s="1003"/>
      <c r="K189" s="1003"/>
      <c r="L189" s="1003"/>
      <c r="M189" s="1003"/>
      <c r="N189" s="1004" t="s">
        <v>2736</v>
      </c>
      <c r="O189" s="996"/>
      <c r="Q189" s="39"/>
    </row>
    <row r="190" spans="2:22" hidden="1">
      <c r="B190" s="993"/>
      <c r="C190" s="994"/>
      <c r="D190" s="994"/>
      <c r="E190" s="994"/>
      <c r="F190" s="994"/>
      <c r="G190" s="994"/>
      <c r="H190" s="994"/>
      <c r="I190" s="994"/>
      <c r="J190" s="994"/>
      <c r="K190" s="994"/>
      <c r="L190" s="994"/>
      <c r="M190" s="994"/>
      <c r="N190" s="994"/>
      <c r="O190" s="996"/>
      <c r="Q190" s="39"/>
      <c r="R190" s="39"/>
      <c r="S190" s="39"/>
      <c r="T190" s="39"/>
      <c r="U190" s="39"/>
      <c r="V190" s="39"/>
    </row>
    <row r="191" spans="2:22" ht="15.5" hidden="1">
      <c r="B191" s="483"/>
      <c r="C191" s="997" t="s">
        <v>28</v>
      </c>
      <c r="D191" s="997" t="s">
        <v>29</v>
      </c>
      <c r="E191" s="997" t="s">
        <v>30</v>
      </c>
      <c r="F191" s="997">
        <v>2013</v>
      </c>
      <c r="G191" s="997" t="s">
        <v>132</v>
      </c>
      <c r="H191" s="997" t="s">
        <v>133</v>
      </c>
      <c r="I191" s="997" t="s">
        <v>134</v>
      </c>
      <c r="J191" s="997" t="s">
        <v>135</v>
      </c>
      <c r="K191" s="997" t="s">
        <v>136</v>
      </c>
      <c r="L191" s="997" t="s">
        <v>137</v>
      </c>
      <c r="M191" s="997" t="s">
        <v>138</v>
      </c>
      <c r="N191" s="997" t="s">
        <v>139</v>
      </c>
      <c r="O191" s="1141"/>
      <c r="Q191" s="3425"/>
      <c r="R191" s="647"/>
      <c r="S191" s="201"/>
      <c r="T191" s="201"/>
      <c r="U191" s="39"/>
      <c r="V191" s="39"/>
    </row>
    <row r="192" spans="2:22" ht="15.5" hidden="1">
      <c r="B192" s="483"/>
      <c r="C192" s="998" t="s">
        <v>321</v>
      </c>
      <c r="D192" s="485" t="s">
        <v>322</v>
      </c>
      <c r="E192" s="485"/>
      <c r="F192" s="3424">
        <v>0</v>
      </c>
      <c r="G192" s="3424">
        <v>0</v>
      </c>
      <c r="H192" s="3424">
        <v>0</v>
      </c>
      <c r="I192" s="3424">
        <v>0</v>
      </c>
      <c r="J192" s="3424">
        <v>0</v>
      </c>
      <c r="K192" s="3424">
        <v>0</v>
      </c>
      <c r="L192" s="3424">
        <v>0</v>
      </c>
      <c r="M192" s="3424">
        <v>0</v>
      </c>
      <c r="N192" s="3424">
        <v>0</v>
      </c>
      <c r="O192" s="1141"/>
      <c r="Q192" s="3425"/>
      <c r="R192" s="647"/>
      <c r="S192" s="201"/>
      <c r="T192" s="201"/>
      <c r="U192" s="39"/>
      <c r="V192" s="39"/>
    </row>
    <row r="193" spans="2:32" ht="15.5" hidden="1">
      <c r="B193" s="483"/>
      <c r="C193" s="998" t="s">
        <v>328</v>
      </c>
      <c r="D193" s="485" t="s">
        <v>329</v>
      </c>
      <c r="E193" s="485"/>
      <c r="F193" s="3424">
        <v>0</v>
      </c>
      <c r="G193" s="3424">
        <v>0</v>
      </c>
      <c r="H193" s="3424">
        <v>0</v>
      </c>
      <c r="I193" s="3424">
        <v>0</v>
      </c>
      <c r="J193" s="3424">
        <v>0</v>
      </c>
      <c r="K193" s="3424">
        <v>0</v>
      </c>
      <c r="L193" s="3424">
        <v>0</v>
      </c>
      <c r="M193" s="3424">
        <v>0</v>
      </c>
      <c r="N193" s="3424">
        <v>0</v>
      </c>
      <c r="O193" s="1141"/>
      <c r="Q193" s="39"/>
      <c r="R193" s="39"/>
      <c r="S193" s="39"/>
      <c r="T193" s="39"/>
      <c r="U193" s="39"/>
      <c r="V193" s="39"/>
    </row>
    <row r="194" spans="2:32" ht="15.5" hidden="1">
      <c r="B194" s="483"/>
      <c r="C194" s="1003" t="s">
        <v>323</v>
      </c>
      <c r="D194" s="485" t="s">
        <v>324</v>
      </c>
      <c r="E194" s="1003"/>
      <c r="F194" s="3426">
        <v>0</v>
      </c>
      <c r="G194" s="3426">
        <v>0</v>
      </c>
      <c r="H194" s="3426">
        <v>0</v>
      </c>
      <c r="I194" s="3426">
        <v>0</v>
      </c>
      <c r="J194" s="3426">
        <v>0</v>
      </c>
      <c r="K194" s="3426">
        <v>0</v>
      </c>
      <c r="L194" s="3426">
        <v>0</v>
      </c>
      <c r="M194" s="3426">
        <v>0</v>
      </c>
      <c r="N194" s="3426">
        <v>0</v>
      </c>
      <c r="O194" s="1141"/>
      <c r="Q194" s="39"/>
      <c r="R194" s="39"/>
      <c r="S194" s="39"/>
      <c r="T194" s="39"/>
      <c r="U194" s="39"/>
      <c r="V194" s="39"/>
    </row>
    <row r="195" spans="2:32" hidden="1">
      <c r="B195" s="1003"/>
      <c r="C195" s="1003" t="s">
        <v>330</v>
      </c>
      <c r="D195" s="485" t="s">
        <v>331</v>
      </c>
      <c r="E195" s="1003"/>
      <c r="F195" s="3426">
        <v>0</v>
      </c>
      <c r="G195" s="3426">
        <v>0</v>
      </c>
      <c r="H195" s="3426">
        <v>0</v>
      </c>
      <c r="I195" s="3426">
        <v>0</v>
      </c>
      <c r="J195" s="3426">
        <v>0</v>
      </c>
      <c r="K195" s="3426">
        <v>0</v>
      </c>
      <c r="L195" s="3426">
        <v>0</v>
      </c>
      <c r="M195" s="3426">
        <v>0</v>
      </c>
      <c r="N195" s="3426">
        <v>0</v>
      </c>
      <c r="O195" s="1142"/>
      <c r="Q195" s="39"/>
    </row>
    <row r="196" spans="2:32" hidden="1">
      <c r="B196" s="1003"/>
      <c r="C196" s="998" t="s">
        <v>325</v>
      </c>
      <c r="D196" s="485" t="s">
        <v>326</v>
      </c>
      <c r="E196" s="485"/>
      <c r="F196" s="3424">
        <v>0</v>
      </c>
      <c r="G196" s="3424">
        <v>0</v>
      </c>
      <c r="H196" s="3424">
        <v>0</v>
      </c>
      <c r="I196" s="3424">
        <v>0</v>
      </c>
      <c r="J196" s="3424">
        <v>0</v>
      </c>
      <c r="K196" s="3424">
        <v>0</v>
      </c>
      <c r="L196" s="3424">
        <v>0</v>
      </c>
      <c r="M196" s="3424">
        <v>0</v>
      </c>
      <c r="N196" s="3424">
        <v>0</v>
      </c>
      <c r="O196" s="1142"/>
      <c r="Q196" s="39"/>
    </row>
    <row r="197" spans="2:32" hidden="1">
      <c r="B197" s="1003"/>
      <c r="C197" s="998" t="s">
        <v>332</v>
      </c>
      <c r="D197" s="485" t="s">
        <v>333</v>
      </c>
      <c r="E197" s="485"/>
      <c r="F197" s="3424">
        <v>0</v>
      </c>
      <c r="G197" s="3424">
        <v>0</v>
      </c>
      <c r="H197" s="3424">
        <v>0</v>
      </c>
      <c r="I197" s="3424">
        <v>0</v>
      </c>
      <c r="J197" s="3424">
        <v>0</v>
      </c>
      <c r="K197" s="3424">
        <v>0</v>
      </c>
      <c r="L197" s="3424">
        <v>0</v>
      </c>
      <c r="M197" s="3424">
        <v>0</v>
      </c>
      <c r="N197" s="3424">
        <v>0</v>
      </c>
      <c r="O197" s="1142"/>
      <c r="Q197" s="39"/>
    </row>
    <row r="198" spans="2:32" hidden="1">
      <c r="B198" s="494"/>
      <c r="C198" s="998"/>
      <c r="D198" s="485"/>
      <c r="E198" s="485"/>
      <c r="F198" s="3424"/>
      <c r="G198" s="3424"/>
      <c r="H198" s="3424"/>
      <c r="I198" s="3424"/>
      <c r="J198" s="3424"/>
      <c r="K198" s="3424"/>
      <c r="L198" s="3424"/>
      <c r="M198" s="3424"/>
      <c r="N198" s="3424"/>
      <c r="O198" s="1142"/>
      <c r="Q198" s="39"/>
    </row>
    <row r="199" spans="2:32" hidden="1">
      <c r="B199" s="993"/>
      <c r="C199" s="491" t="s">
        <v>2652</v>
      </c>
      <c r="D199" s="1003"/>
      <c r="E199" s="1003"/>
      <c r="F199" s="1003"/>
      <c r="G199" s="1003"/>
      <c r="H199" s="1003"/>
      <c r="I199" s="1003"/>
      <c r="J199" s="1003"/>
      <c r="K199" s="1003"/>
      <c r="L199" s="1003"/>
      <c r="M199" s="1003"/>
      <c r="N199" s="1004" t="s">
        <v>2736</v>
      </c>
      <c r="O199" s="996"/>
      <c r="Q199" s="39"/>
    </row>
    <row r="200" spans="2:32" hidden="1">
      <c r="B200" s="993"/>
      <c r="C200" s="994"/>
      <c r="D200" s="994"/>
      <c r="E200" s="994"/>
      <c r="F200" s="994"/>
      <c r="G200" s="994"/>
      <c r="H200" s="994"/>
      <c r="I200" s="994"/>
      <c r="J200" s="994"/>
      <c r="K200" s="994"/>
      <c r="L200" s="994"/>
      <c r="M200" s="994"/>
      <c r="N200" s="994"/>
      <c r="O200" s="996"/>
      <c r="Q200" s="39"/>
    </row>
    <row r="201" spans="2:32" ht="15.5" hidden="1">
      <c r="B201" s="483"/>
      <c r="C201" s="997" t="s">
        <v>28</v>
      </c>
      <c r="D201" s="997" t="s">
        <v>29</v>
      </c>
      <c r="E201" s="997" t="s">
        <v>30</v>
      </c>
      <c r="F201" s="997">
        <v>2013</v>
      </c>
      <c r="G201" s="997" t="s">
        <v>132</v>
      </c>
      <c r="H201" s="997" t="s">
        <v>133</v>
      </c>
      <c r="I201" s="997" t="s">
        <v>134</v>
      </c>
      <c r="J201" s="997" t="s">
        <v>135</v>
      </c>
      <c r="K201" s="997" t="s">
        <v>136</v>
      </c>
      <c r="L201" s="997" t="s">
        <v>137</v>
      </c>
      <c r="M201" s="997" t="s">
        <v>138</v>
      </c>
      <c r="N201" s="997" t="s">
        <v>139</v>
      </c>
      <c r="O201" s="1141"/>
      <c r="Q201" s="39"/>
    </row>
    <row r="202" spans="2:32" ht="15.5" hidden="1">
      <c r="B202" s="483"/>
      <c r="C202" s="998" t="s">
        <v>321</v>
      </c>
      <c r="D202" s="485" t="s">
        <v>322</v>
      </c>
      <c r="E202" s="485"/>
      <c r="F202" s="3424">
        <v>0</v>
      </c>
      <c r="G202" s="3424">
        <v>0</v>
      </c>
      <c r="H202" s="3424">
        <v>0</v>
      </c>
      <c r="I202" s="3424">
        <v>0</v>
      </c>
      <c r="J202" s="3424">
        <v>0</v>
      </c>
      <c r="K202" s="3424">
        <v>0</v>
      </c>
      <c r="L202" s="3424">
        <v>0</v>
      </c>
      <c r="M202" s="3424">
        <v>0</v>
      </c>
      <c r="N202" s="3424">
        <v>0</v>
      </c>
      <c r="O202" s="1141"/>
      <c r="Q202" s="39"/>
      <c r="R202" s="39"/>
      <c r="S202" s="39"/>
      <c r="T202" s="39"/>
      <c r="U202" s="39"/>
      <c r="V202" s="39"/>
      <c r="W202" s="39"/>
      <c r="X202" s="39"/>
      <c r="Y202" s="39"/>
      <c r="Z202" s="39"/>
      <c r="AA202" s="39"/>
      <c r="AB202" s="39"/>
      <c r="AC202" s="39"/>
      <c r="AD202" s="39"/>
      <c r="AE202" s="39"/>
      <c r="AF202" s="39"/>
    </row>
    <row r="203" spans="2:32" ht="15.5" hidden="1">
      <c r="B203" s="483"/>
      <c r="C203" s="998" t="s">
        <v>328</v>
      </c>
      <c r="D203" s="485" t="s">
        <v>329</v>
      </c>
      <c r="E203" s="485"/>
      <c r="F203" s="3424">
        <v>0</v>
      </c>
      <c r="G203" s="3424">
        <v>0</v>
      </c>
      <c r="H203" s="3424">
        <v>0</v>
      </c>
      <c r="I203" s="3424">
        <v>0</v>
      </c>
      <c r="J203" s="3424">
        <v>0</v>
      </c>
      <c r="K203" s="3424">
        <v>0</v>
      </c>
      <c r="L203" s="3424">
        <v>0</v>
      </c>
      <c r="M203" s="3424">
        <v>0</v>
      </c>
      <c r="N203" s="3424">
        <v>0</v>
      </c>
      <c r="O203" s="1141"/>
      <c r="Q203" s="39"/>
      <c r="R203" s="647"/>
      <c r="S203" s="201"/>
      <c r="T203" s="201"/>
      <c r="U203" s="3328"/>
      <c r="V203" s="3328"/>
      <c r="W203" s="3328"/>
      <c r="X203" s="3328"/>
      <c r="Y203" s="3328"/>
      <c r="Z203" s="3328"/>
      <c r="AA203" s="3328"/>
      <c r="AB203" s="3328"/>
      <c r="AC203" s="3328"/>
      <c r="AD203" s="3328"/>
      <c r="AE203" s="39"/>
      <c r="AF203" s="39"/>
    </row>
    <row r="204" spans="2:32" ht="15.5" hidden="1">
      <c r="B204" s="483"/>
      <c r="C204" s="998" t="s">
        <v>752</v>
      </c>
      <c r="D204" s="485" t="s">
        <v>753</v>
      </c>
      <c r="E204" s="485"/>
      <c r="F204" s="3424">
        <v>0</v>
      </c>
      <c r="G204" s="3424">
        <v>0</v>
      </c>
      <c r="H204" s="3424">
        <v>0</v>
      </c>
      <c r="I204" s="3424">
        <v>0</v>
      </c>
      <c r="J204" s="3424">
        <v>0</v>
      </c>
      <c r="K204" s="3424">
        <v>0</v>
      </c>
      <c r="L204" s="3424">
        <v>0</v>
      </c>
      <c r="M204" s="3424">
        <v>0</v>
      </c>
      <c r="N204" s="3424">
        <v>0</v>
      </c>
      <c r="O204" s="1141"/>
      <c r="Q204" s="39"/>
      <c r="R204" s="647"/>
      <c r="S204" s="201"/>
      <c r="T204" s="201"/>
      <c r="U204" s="3328"/>
      <c r="V204" s="3328"/>
      <c r="W204" s="3328"/>
      <c r="X204" s="3328"/>
      <c r="Y204" s="3328"/>
      <c r="Z204" s="3328"/>
      <c r="AA204" s="3328"/>
      <c r="AB204" s="3328"/>
      <c r="AC204" s="3328"/>
      <c r="AD204" s="3328"/>
      <c r="AE204" s="39"/>
      <c r="AF204" s="39"/>
    </row>
    <row r="205" spans="2:32" ht="15.5" hidden="1">
      <c r="B205" s="483"/>
      <c r="C205" s="998" t="s">
        <v>323</v>
      </c>
      <c r="D205" s="485" t="s">
        <v>324</v>
      </c>
      <c r="E205" s="485"/>
      <c r="F205" s="3424">
        <v>0</v>
      </c>
      <c r="G205" s="3424">
        <v>0</v>
      </c>
      <c r="H205" s="3424">
        <v>0</v>
      </c>
      <c r="I205" s="3424">
        <v>0</v>
      </c>
      <c r="J205" s="3424">
        <v>0</v>
      </c>
      <c r="K205" s="3424">
        <v>0</v>
      </c>
      <c r="L205" s="3424">
        <v>0</v>
      </c>
      <c r="M205" s="3424">
        <v>0</v>
      </c>
      <c r="N205" s="3424">
        <v>0</v>
      </c>
      <c r="O205" s="1141"/>
      <c r="Q205" s="39"/>
      <c r="R205" s="647"/>
      <c r="S205" s="201"/>
      <c r="T205" s="201"/>
      <c r="U205" s="3328"/>
      <c r="V205" s="3328"/>
      <c r="W205" s="3328"/>
      <c r="X205" s="3328"/>
      <c r="Y205" s="3328"/>
      <c r="Z205" s="3328"/>
      <c r="AA205" s="3328"/>
      <c r="AB205" s="3328"/>
      <c r="AC205" s="3328"/>
      <c r="AD205" s="3328"/>
      <c r="AE205" s="39"/>
      <c r="AF205" s="39"/>
    </row>
    <row r="206" spans="2:32" ht="15.5" hidden="1">
      <c r="B206" s="483"/>
      <c r="C206" s="998" t="s">
        <v>330</v>
      </c>
      <c r="D206" s="485" t="s">
        <v>331</v>
      </c>
      <c r="E206" s="485"/>
      <c r="F206" s="3424">
        <v>0</v>
      </c>
      <c r="G206" s="3424">
        <v>0</v>
      </c>
      <c r="H206" s="3424">
        <v>0</v>
      </c>
      <c r="I206" s="3424">
        <v>0</v>
      </c>
      <c r="J206" s="3424">
        <v>0</v>
      </c>
      <c r="K206" s="3424">
        <v>0</v>
      </c>
      <c r="L206" s="3424">
        <v>0</v>
      </c>
      <c r="M206" s="3424">
        <v>0</v>
      </c>
      <c r="N206" s="3424">
        <v>0</v>
      </c>
      <c r="O206" s="1141"/>
      <c r="Q206" s="39"/>
      <c r="R206" s="39"/>
      <c r="S206" s="39"/>
      <c r="T206" s="39"/>
      <c r="U206" s="39"/>
      <c r="V206" s="39"/>
      <c r="W206" s="39"/>
      <c r="X206" s="39"/>
      <c r="Y206" s="39"/>
      <c r="Z206" s="39"/>
      <c r="AA206" s="39"/>
      <c r="AB206" s="39"/>
      <c r="AC206" s="39"/>
      <c r="AD206" s="39"/>
      <c r="AE206" s="39"/>
      <c r="AF206" s="39"/>
    </row>
    <row r="207" spans="2:32" ht="15.5" hidden="1">
      <c r="B207" s="483"/>
      <c r="C207" s="998" t="s">
        <v>754</v>
      </c>
      <c r="D207" s="485" t="s">
        <v>755</v>
      </c>
      <c r="E207" s="485"/>
      <c r="F207" s="3424">
        <v>0</v>
      </c>
      <c r="G207" s="3424">
        <v>0</v>
      </c>
      <c r="H207" s="3424">
        <v>0</v>
      </c>
      <c r="I207" s="3424">
        <v>0</v>
      </c>
      <c r="J207" s="3424">
        <v>0</v>
      </c>
      <c r="K207" s="3424">
        <v>0</v>
      </c>
      <c r="L207" s="3424">
        <v>0</v>
      </c>
      <c r="M207" s="3424">
        <v>0</v>
      </c>
      <c r="N207" s="3424">
        <v>0</v>
      </c>
      <c r="O207" s="1141"/>
      <c r="Q207" s="39"/>
      <c r="R207" s="39"/>
      <c r="S207" s="39"/>
      <c r="T207" s="39"/>
      <c r="U207" s="39"/>
      <c r="V207" s="39"/>
      <c r="W207" s="39"/>
      <c r="X207" s="39"/>
      <c r="Y207" s="39"/>
      <c r="Z207" s="39"/>
      <c r="AA207" s="39"/>
      <c r="AB207" s="39"/>
      <c r="AC207" s="39"/>
      <c r="AD207" s="39"/>
      <c r="AE207" s="39"/>
      <c r="AF207" s="39"/>
    </row>
    <row r="208" spans="2:32" hidden="1">
      <c r="B208" s="494"/>
      <c r="C208" s="998" t="s">
        <v>325</v>
      </c>
      <c r="D208" s="485" t="s">
        <v>326</v>
      </c>
      <c r="E208" s="485"/>
      <c r="F208" s="2408">
        <v>0</v>
      </c>
      <c r="G208" s="2408">
        <v>0</v>
      </c>
      <c r="H208" s="2408">
        <v>0</v>
      </c>
      <c r="I208" s="2408">
        <v>0</v>
      </c>
      <c r="J208" s="2408">
        <v>0</v>
      </c>
      <c r="K208" s="2408">
        <v>0</v>
      </c>
      <c r="L208" s="2408">
        <v>0</v>
      </c>
      <c r="M208" s="2408">
        <v>0</v>
      </c>
      <c r="N208" s="2408">
        <v>0</v>
      </c>
      <c r="O208" s="1142"/>
      <c r="Q208" s="39"/>
      <c r="R208" s="39"/>
      <c r="S208" s="39"/>
      <c r="T208" s="39"/>
      <c r="U208" s="39"/>
      <c r="V208" s="39"/>
      <c r="W208" s="39"/>
      <c r="X208" s="39"/>
      <c r="Y208" s="39"/>
      <c r="Z208" s="39"/>
      <c r="AA208" s="39"/>
      <c r="AB208" s="39"/>
      <c r="AC208" s="39"/>
      <c r="AD208" s="39"/>
      <c r="AE208" s="39"/>
      <c r="AF208" s="39"/>
    </row>
    <row r="209" spans="2:15" hidden="1">
      <c r="B209" s="494"/>
      <c r="C209" s="998" t="s">
        <v>332</v>
      </c>
      <c r="D209" s="485" t="s">
        <v>333</v>
      </c>
      <c r="E209" s="485"/>
      <c r="F209" s="2408">
        <v>0</v>
      </c>
      <c r="G209" s="2408">
        <v>0</v>
      </c>
      <c r="H209" s="2408">
        <v>0</v>
      </c>
      <c r="I209" s="2408">
        <v>0</v>
      </c>
      <c r="J209" s="2408">
        <v>0</v>
      </c>
      <c r="K209" s="2408">
        <v>0</v>
      </c>
      <c r="L209" s="2408">
        <v>0</v>
      </c>
      <c r="M209" s="2408">
        <v>0</v>
      </c>
      <c r="N209" s="2408">
        <v>0</v>
      </c>
      <c r="O209" s="1142"/>
    </row>
    <row r="210" spans="2:15" hidden="1">
      <c r="B210" s="494"/>
      <c r="C210" s="998" t="s">
        <v>756</v>
      </c>
      <c r="D210" s="485" t="s">
        <v>757</v>
      </c>
      <c r="E210" s="485"/>
      <c r="F210" s="3424">
        <v>0</v>
      </c>
      <c r="G210" s="3424">
        <v>0</v>
      </c>
      <c r="H210" s="3424">
        <v>0</v>
      </c>
      <c r="I210" s="3424">
        <v>0</v>
      </c>
      <c r="J210" s="3424">
        <v>0</v>
      </c>
      <c r="K210" s="3424">
        <v>0</v>
      </c>
      <c r="L210" s="3424">
        <v>0</v>
      </c>
      <c r="M210" s="3424">
        <v>0</v>
      </c>
      <c r="N210" s="3424">
        <v>0</v>
      </c>
      <c r="O210" s="1142"/>
    </row>
    <row r="211" spans="2:15" hidden="1">
      <c r="B211" s="494"/>
      <c r="C211" s="998"/>
      <c r="D211" s="485"/>
      <c r="E211" s="485"/>
      <c r="F211" s="3424"/>
      <c r="G211" s="3424"/>
      <c r="H211" s="3424"/>
      <c r="I211" s="3424"/>
      <c r="J211" s="3424"/>
      <c r="K211" s="3424"/>
      <c r="L211" s="3424"/>
      <c r="M211" s="3424"/>
      <c r="N211" s="3424"/>
      <c r="O211" s="1142"/>
    </row>
    <row r="259" spans="19:20">
      <c r="S259" s="1068"/>
      <c r="T259" s="1068"/>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9"/>
  </sheetPr>
  <dimension ref="A1:AF259"/>
  <sheetViews>
    <sheetView showGridLines="0" zoomScale="80" zoomScaleNormal="80" workbookViewId="0">
      <selection activeCell="F23" sqref="F23"/>
    </sheetView>
  </sheetViews>
  <sheetFormatPr defaultColWidth="8.81640625" defaultRowHeight="14.5"/>
  <cols>
    <col min="1" max="1" width="7.7265625" style="3303" customWidth="1"/>
    <col min="2" max="2" width="5.81640625" style="3303" customWidth="1"/>
    <col min="3" max="3" width="20.453125" style="3303" customWidth="1"/>
    <col min="4" max="4" width="30.7265625" style="3303" customWidth="1"/>
    <col min="5" max="5" width="20.7265625" style="3303" customWidth="1"/>
    <col min="6" max="14" width="17.7265625" style="3303" customWidth="1"/>
    <col min="15" max="15" width="2" style="3303" customWidth="1"/>
    <col min="16" max="16" width="10.81640625" style="3303" customWidth="1"/>
    <col min="17" max="17" width="8.81640625" style="3303"/>
    <col min="18" max="26" width="5" style="3303" bestFit="1" customWidth="1"/>
    <col min="27" max="27" width="7.54296875" style="3303" bestFit="1" customWidth="1"/>
    <col min="28" max="16384" width="8.81640625" style="3303"/>
  </cols>
  <sheetData>
    <row r="1" spans="1:15" ht="20">
      <c r="A1" s="854" t="s">
        <v>562</v>
      </c>
      <c r="B1" s="854" t="s">
        <v>563</v>
      </c>
      <c r="C1" s="854"/>
      <c r="G1"/>
      <c r="H1"/>
    </row>
    <row r="2" spans="1:15" s="6" customFormat="1" ht="15">
      <c r="A2" s="855" t="s">
        <v>558</v>
      </c>
      <c r="B2" s="855" t="s">
        <v>559</v>
      </c>
      <c r="C2" s="855"/>
      <c r="E2" s="5"/>
      <c r="G2"/>
      <c r="H2"/>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2612</v>
      </c>
      <c r="D6" s="506"/>
      <c r="E6" s="507"/>
      <c r="F6" s="506"/>
      <c r="G6" s="506"/>
      <c r="H6" s="506"/>
      <c r="I6" s="506"/>
      <c r="J6" s="506"/>
      <c r="K6" s="506"/>
      <c r="L6" s="506"/>
      <c r="M6" s="506"/>
      <c r="N6" s="507" t="s">
        <v>27</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95</v>
      </c>
      <c r="D9" s="17" t="str">
        <f>INDEX(Vectors[Description], MATCH($C9, Vectors[Code], 0))</f>
        <v>Electricity (delivered to end user)</v>
      </c>
      <c r="E9" s="17"/>
      <c r="F9" s="2769">
        <f ca="1">INDEX(INDIRECT("'"&amp;VII.b.Inputs[#Headers]&amp;"'!Year.Matrix"), MATCH("Subtotal."&amp;$A$2, INDIRECT("'"&amp;VII.b.Inputs[#Headers]&amp;"'!Year.Modules"), 0), MATCH(VII.b.Inputs[Vector], INDIRECT("'"&amp;VII.b.Inputs[#Headers]&amp;"'!Year.Vectors"), 0))</f>
        <v>-24.085228740917636</v>
      </c>
      <c r="G9" s="2769">
        <f ca="1">INDEX(INDIRECT("'"&amp;VII.b.Inputs[#Headers]&amp;"'!Year.Matrix"), MATCH("Subtotal."&amp;$A$2, INDIRECT("'"&amp;VII.b.Inputs[#Headers]&amp;"'!Year.Modules"), 0), MATCH(VII.b.Inputs[Vector], INDIRECT("'"&amp;VII.b.Inputs[#Headers]&amp;"'!Year.Vectors"), 0))</f>
        <v>-24.807742245804533</v>
      </c>
      <c r="H9" s="2769">
        <f ca="1">INDEX(INDIRECT("'"&amp;VII.b.Inputs[#Headers]&amp;"'!Year.Matrix"), MATCH("Subtotal."&amp;$A$2, INDIRECT("'"&amp;VII.b.Inputs[#Headers]&amp;"'!Year.Modules"), 0), MATCH(VII.b.Inputs[Vector], INDIRECT("'"&amp;VII.b.Inputs[#Headers]&amp;"'!Year.Vectors"), 0))</f>
        <v>-26.30740220079149</v>
      </c>
      <c r="I9" s="2769">
        <f ca="1">INDEX(INDIRECT("'"&amp;VII.b.Inputs[#Headers]&amp;"'!Year.Matrix"), MATCH("Subtotal."&amp;$A$2, INDIRECT("'"&amp;VII.b.Inputs[#Headers]&amp;"'!Year.Modules"), 0), MATCH(VII.b.Inputs[Vector], INDIRECT("'"&amp;VII.b.Inputs[#Headers]&amp;"'!Year.Vectors"), 0))</f>
        <v>-28.05126163556999</v>
      </c>
      <c r="J9" s="2769">
        <f ca="1">INDEX(INDIRECT("'"&amp;VII.b.Inputs[#Headers]&amp;"'!Year.Matrix"), MATCH("Subtotal."&amp;$A$2, INDIRECT("'"&amp;VII.b.Inputs[#Headers]&amp;"'!Year.Modules"), 0), MATCH(VII.b.Inputs[Vector], INDIRECT("'"&amp;VII.b.Inputs[#Headers]&amp;"'!Year.Vectors"), 0))</f>
        <v>-29.851793568779225</v>
      </c>
      <c r="K9" s="2769">
        <f ca="1">INDEX(INDIRECT("'"&amp;VII.b.Inputs[#Headers]&amp;"'!Year.Matrix"), MATCH("Subtotal."&amp;$A$2, INDIRECT("'"&amp;VII.b.Inputs[#Headers]&amp;"'!Year.Modules"), 0), MATCH(VII.b.Inputs[Vector], INDIRECT("'"&amp;VII.b.Inputs[#Headers]&amp;"'!Year.Vectors"), 0))</f>
        <v>-31.822638676249472</v>
      </c>
      <c r="L9" s="2769">
        <f ca="1">INDEX(INDIRECT("'"&amp;VII.b.Inputs[#Headers]&amp;"'!Year.Matrix"), MATCH("Subtotal."&amp;$A$2, INDIRECT("'"&amp;VII.b.Inputs[#Headers]&amp;"'!Year.Modules"), 0), MATCH(VII.b.Inputs[Vector], INDIRECT("'"&amp;VII.b.Inputs[#Headers]&amp;"'!Year.Vectors"), 0))</f>
        <v>-33.941589309095043</v>
      </c>
      <c r="M9" s="2769">
        <f ca="1">INDEX(INDIRECT("'"&amp;VII.b.Inputs[#Headers]&amp;"'!Year.Matrix"), MATCH("Subtotal."&amp;$A$2, INDIRECT("'"&amp;VII.b.Inputs[#Headers]&amp;"'!Year.Modules"), 0), MATCH(VII.b.Inputs[Vector], INDIRECT("'"&amp;VII.b.Inputs[#Headers]&amp;"'!Year.Vectors"), 0))</f>
        <v>-36.157140965412331</v>
      </c>
      <c r="N9" s="2769">
        <f ca="1">INDEX(INDIRECT("'"&amp;VII.b.Inputs[#Headers]&amp;"'!Year.Matrix"), MATCH("Subtotal."&amp;$A$2, INDIRECT("'"&amp;VII.b.Inputs[#Headers]&amp;"'!Year.Modules"), 0), MATCH(VII.b.Inputs[Vector], INDIRECT("'"&amp;VII.b.Inputs[#Headers]&amp;"'!Year.Vectors"), 0))</f>
        <v>-38.382332773059083</v>
      </c>
      <c r="O9" s="866"/>
    </row>
    <row r="10" spans="1:15" s="6" customFormat="1" ht="15.5">
      <c r="A10" s="3"/>
      <c r="B10" s="19"/>
      <c r="C10" s="508"/>
      <c r="D10" s="508" t="s">
        <v>2613</v>
      </c>
      <c r="E10" s="508" t="str">
        <f>Preferences.PowerUnits</f>
        <v>GW</v>
      </c>
      <c r="F10" s="3350">
        <f t="array" aca="1" ref="F10:N10" ca="1">Peak_Electricity_Generation_Capacity</f>
        <v>8.3915813336518248</v>
      </c>
      <c r="G10" s="3350">
        <f ca="1"/>
        <v>8.8167894586278823</v>
      </c>
      <c r="H10" s="3350">
        <f ca="1"/>
        <v>9.0506620874734942</v>
      </c>
      <c r="I10" s="3350">
        <f ca="1"/>
        <v>8.4770506480965384</v>
      </c>
      <c r="J10" s="3350">
        <f ca="1"/>
        <v>9.2643564525192055</v>
      </c>
      <c r="K10" s="3350">
        <f ca="1"/>
        <v>10.384814485695554</v>
      </c>
      <c r="L10" s="3350">
        <f ca="1"/>
        <v>11.074017995921849</v>
      </c>
      <c r="M10" s="3350">
        <f ca="1"/>
        <v>11.793918935759287</v>
      </c>
      <c r="N10" s="3350">
        <f ca="1"/>
        <v>12.516753027333261</v>
      </c>
      <c r="O10" s="866"/>
    </row>
    <row r="11" spans="1:15">
      <c r="B11" s="1243"/>
      <c r="C11" s="860"/>
      <c r="D11" s="860"/>
      <c r="E11" s="860"/>
      <c r="F11" s="860"/>
      <c r="G11" s="860"/>
      <c r="H11" s="860"/>
      <c r="I11" s="860"/>
      <c r="J11" s="860"/>
      <c r="K11" s="860"/>
      <c r="L11" s="860"/>
      <c r="M11" s="860"/>
      <c r="N11" s="860"/>
      <c r="O11" s="861"/>
    </row>
    <row r="12" spans="1:15">
      <c r="E12" s="3802" t="s">
        <v>5</v>
      </c>
    </row>
    <row r="13" spans="1:15" s="6" customFormat="1" ht="23.5">
      <c r="A13" s="40"/>
      <c r="B13" s="869" t="s">
        <v>69</v>
      </c>
      <c r="C13" s="870"/>
      <c r="D13" s="870"/>
      <c r="E13" s="870"/>
      <c r="F13" s="870"/>
      <c r="G13" s="870"/>
      <c r="H13" s="870"/>
      <c r="I13" s="870"/>
      <c r="J13" s="870"/>
      <c r="K13" s="870"/>
      <c r="L13" s="870"/>
      <c r="M13" s="870"/>
      <c r="N13" s="870"/>
      <c r="O13" s="871"/>
    </row>
    <row r="14" spans="1:15">
      <c r="B14" s="105"/>
      <c r="C14" s="67"/>
      <c r="D14" s="67"/>
      <c r="E14" s="67"/>
      <c r="F14" s="67"/>
      <c r="G14" s="67"/>
      <c r="H14" s="67"/>
      <c r="I14" s="67"/>
      <c r="J14" s="67"/>
      <c r="K14" s="67"/>
      <c r="L14" s="67"/>
      <c r="M14" s="67"/>
      <c r="N14" s="67"/>
      <c r="O14" s="876"/>
    </row>
    <row r="15" spans="1:15">
      <c r="B15" s="105"/>
      <c r="C15" s="49" t="s">
        <v>2614</v>
      </c>
      <c r="D15" s="67"/>
      <c r="E15" s="51"/>
      <c r="F15" s="67"/>
      <c r="G15" s="67"/>
      <c r="H15" s="67"/>
      <c r="I15" s="67"/>
      <c r="J15" s="67"/>
      <c r="K15" s="67"/>
      <c r="L15" s="67"/>
      <c r="M15" s="67"/>
      <c r="N15" s="67"/>
      <c r="O15" s="876"/>
    </row>
    <row r="16" spans="1:15">
      <c r="B16" s="105"/>
      <c r="C16" s="67"/>
      <c r="D16" s="67"/>
      <c r="E16" s="67"/>
      <c r="F16" s="67"/>
      <c r="G16" s="67"/>
      <c r="H16" s="67"/>
      <c r="I16" s="67"/>
      <c r="J16" s="67"/>
      <c r="K16" s="67"/>
      <c r="L16" s="67"/>
      <c r="M16" s="67"/>
      <c r="N16" s="67"/>
      <c r="O16" s="876"/>
    </row>
    <row r="17" spans="1:32" ht="15.5">
      <c r="B17" s="55"/>
      <c r="C17" s="878" t="s">
        <v>28</v>
      </c>
      <c r="D17" s="878" t="s">
        <v>29</v>
      </c>
      <c r="E17" s="878" t="s">
        <v>30</v>
      </c>
      <c r="F17" s="87">
        <v>2013</v>
      </c>
      <c r="G17" s="87">
        <v>2015</v>
      </c>
      <c r="H17" s="87">
        <v>2020</v>
      </c>
      <c r="I17" s="87">
        <v>2025</v>
      </c>
      <c r="J17" s="87">
        <v>2030</v>
      </c>
      <c r="K17" s="87">
        <v>2035</v>
      </c>
      <c r="L17" s="87">
        <v>2040</v>
      </c>
      <c r="M17" s="87">
        <v>2045</v>
      </c>
      <c r="N17" s="87">
        <v>2050</v>
      </c>
      <c r="O17" s="876"/>
    </row>
    <row r="18" spans="1:32" s="6" customFormat="1" ht="15.5">
      <c r="B18" s="966"/>
      <c r="C18" s="907" t="s">
        <v>445</v>
      </c>
      <c r="D18" s="908" t="str">
        <f>INDEX(Vectors[Description], MATCH($C18, Vectors[Code], 0))</f>
        <v>Distribution losses and own use</v>
      </c>
      <c r="E18" s="908" t="s">
        <v>64</v>
      </c>
      <c r="F18" s="3803">
        <f>'Irl. Energy Balance 2013 (TWh)'!AK26/'Irl. Energy Balance 2013 (TWh)'!AK27</f>
        <v>0.12499271613778319</v>
      </c>
      <c r="G18" s="3803">
        <f>$F18</f>
        <v>0.12499271613778319</v>
      </c>
      <c r="H18" s="3803">
        <f t="shared" ref="H18:N18" si="0">$F18</f>
        <v>0.12499271613778319</v>
      </c>
      <c r="I18" s="3803">
        <f t="shared" si="0"/>
        <v>0.12499271613778319</v>
      </c>
      <c r="J18" s="3803">
        <f t="shared" si="0"/>
        <v>0.12499271613778319</v>
      </c>
      <c r="K18" s="3803">
        <f t="shared" si="0"/>
        <v>0.12499271613778319</v>
      </c>
      <c r="L18" s="3803">
        <f t="shared" si="0"/>
        <v>0.12499271613778319</v>
      </c>
      <c r="M18" s="3803">
        <f t="shared" si="0"/>
        <v>0.12499271613778319</v>
      </c>
      <c r="N18" s="3803">
        <f t="shared" si="0"/>
        <v>0.12499271613778319</v>
      </c>
      <c r="O18" s="884"/>
    </row>
    <row r="19" spans="1:32">
      <c r="B19" s="45"/>
      <c r="C19" s="67"/>
      <c r="D19" s="195"/>
      <c r="E19" s="67"/>
      <c r="F19" s="67"/>
      <c r="G19" s="67"/>
      <c r="H19" s="67"/>
      <c r="I19" s="67"/>
      <c r="J19" s="67"/>
      <c r="K19" s="67"/>
      <c r="L19" s="67"/>
      <c r="M19" s="67"/>
      <c r="N19" s="67"/>
      <c r="O19" s="876"/>
    </row>
    <row r="20" spans="1:32">
      <c r="B20" s="46"/>
      <c r="C20" s="49" t="s">
        <v>1147</v>
      </c>
      <c r="D20" s="1640" t="s">
        <v>1843</v>
      </c>
      <c r="E20" s="67"/>
      <c r="F20" s="67"/>
      <c r="G20" s="67"/>
      <c r="H20" s="67"/>
      <c r="I20" s="67"/>
      <c r="J20" s="67"/>
      <c r="K20" s="67"/>
      <c r="L20" s="67"/>
      <c r="M20" s="67"/>
      <c r="N20" s="67"/>
      <c r="O20" s="67"/>
    </row>
    <row r="21" spans="1:32">
      <c r="B21" s="46"/>
      <c r="C21" s="49"/>
      <c r="D21" s="195"/>
      <c r="E21" s="67"/>
      <c r="F21" s="67"/>
      <c r="G21" s="67"/>
      <c r="H21" s="67"/>
      <c r="I21" s="67"/>
      <c r="J21" s="67"/>
      <c r="K21" s="67"/>
      <c r="L21" s="67"/>
      <c r="M21" s="67"/>
      <c r="N21" s="67"/>
      <c r="O21" s="67"/>
    </row>
    <row r="22" spans="1:32">
      <c r="B22" s="46"/>
      <c r="C22" s="2867" t="s">
        <v>2615</v>
      </c>
      <c r="D22" s="3351">
        <v>20</v>
      </c>
      <c r="E22" s="67"/>
      <c r="F22" s="67"/>
      <c r="G22" s="67"/>
      <c r="H22" s="67"/>
      <c r="I22" s="67"/>
      <c r="J22" s="67"/>
      <c r="K22" s="67"/>
      <c r="L22" s="67"/>
      <c r="M22" s="67"/>
      <c r="N22" s="67"/>
      <c r="O22" s="67"/>
    </row>
    <row r="23" spans="1:32">
      <c r="B23" s="46"/>
      <c r="C23" s="1156" t="s">
        <v>2616</v>
      </c>
      <c r="D23" s="3352">
        <v>20</v>
      </c>
      <c r="E23" s="67"/>
      <c r="F23" s="67"/>
      <c r="G23" s="67"/>
      <c r="H23" s="67"/>
      <c r="I23" s="67"/>
      <c r="J23" s="67"/>
      <c r="K23" s="67"/>
      <c r="L23" s="67"/>
      <c r="M23" s="67"/>
      <c r="N23" s="67"/>
      <c r="O23" s="67"/>
    </row>
    <row r="24" spans="1:32" s="918" customFormat="1" ht="10.5">
      <c r="B24" s="1526"/>
      <c r="C24" s="1526"/>
      <c r="D24" s="1526"/>
      <c r="E24" s="1526"/>
      <c r="F24" s="1526"/>
      <c r="G24" s="1526"/>
      <c r="H24" s="1526"/>
      <c r="I24" s="1526"/>
      <c r="J24" s="1526"/>
      <c r="K24" s="1526"/>
      <c r="L24" s="1526"/>
      <c r="M24" s="1526"/>
      <c r="N24" s="1526"/>
      <c r="O24" s="1526"/>
    </row>
    <row r="25" spans="1:32">
      <c r="B25" s="1160"/>
      <c r="C25" s="920" t="s">
        <v>64</v>
      </c>
      <c r="D25" s="921" t="s">
        <v>2959</v>
      </c>
      <c r="E25" s="922"/>
      <c r="F25" s="922"/>
      <c r="G25" s="922"/>
      <c r="H25" s="922"/>
      <c r="I25" s="922"/>
      <c r="J25" s="922"/>
      <c r="K25" s="922"/>
      <c r="L25" s="922"/>
      <c r="M25" s="922"/>
      <c r="N25" s="922"/>
      <c r="O25" s="923"/>
    </row>
    <row r="26" spans="1:32" s="39" customFormat="1">
      <c r="B26" s="1163"/>
      <c r="C26" s="1065"/>
      <c r="D26" s="1065"/>
      <c r="E26" s="1065"/>
      <c r="F26" s="1065"/>
      <c r="G26" s="1065"/>
      <c r="H26" s="1065"/>
      <c r="I26" s="1065"/>
      <c r="J26" s="1065"/>
      <c r="K26" s="1065"/>
      <c r="L26" s="1065"/>
      <c r="M26" s="1065"/>
      <c r="N26" s="1065"/>
      <c r="O26" s="1100"/>
    </row>
    <row r="27" spans="1:32" s="6" customFormat="1" ht="23.5">
      <c r="A27" s="40"/>
      <c r="Q27" s="2500"/>
      <c r="R27" s="647"/>
      <c r="S27" s="647"/>
      <c r="T27" s="647"/>
      <c r="U27" s="647"/>
      <c r="V27" s="647"/>
      <c r="W27" s="647"/>
      <c r="X27" s="647"/>
      <c r="Y27" s="647"/>
      <c r="Z27" s="647"/>
      <c r="AA27" s="647"/>
      <c r="AB27" s="647"/>
      <c r="AC27" s="647"/>
      <c r="AD27" s="647"/>
      <c r="AE27" s="647"/>
      <c r="AF27" s="647"/>
    </row>
    <row r="28" spans="1:32" ht="15">
      <c r="B28" s="869" t="s">
        <v>2719</v>
      </c>
      <c r="C28" s="870"/>
      <c r="D28" s="870"/>
      <c r="E28" s="870"/>
      <c r="F28" s="870"/>
      <c r="G28" s="870"/>
      <c r="H28" s="870"/>
      <c r="I28" s="870"/>
      <c r="J28" s="870"/>
      <c r="K28" s="870"/>
      <c r="L28" s="870"/>
      <c r="M28" s="870"/>
      <c r="N28" s="870"/>
      <c r="O28" s="43"/>
      <c r="Q28" s="1068"/>
      <c r="R28" s="1068"/>
      <c r="S28" s="1068"/>
      <c r="T28" s="1068"/>
      <c r="U28" s="1068"/>
      <c r="V28" s="1068"/>
      <c r="W28" s="1068"/>
      <c r="X28" s="1068"/>
      <c r="Y28" s="1068"/>
      <c r="Z28" s="1068"/>
      <c r="AA28" s="1068"/>
      <c r="AB28" s="1068"/>
      <c r="AC28" s="1068"/>
      <c r="AD28" s="1068"/>
      <c r="AE28" s="1068"/>
      <c r="AF28" s="1068"/>
    </row>
    <row r="29" spans="1:32" hidden="1">
      <c r="B29" s="872"/>
      <c r="C29" s="873"/>
      <c r="D29" s="873"/>
      <c r="E29" s="873"/>
      <c r="F29" s="873"/>
      <c r="G29" s="873"/>
      <c r="H29" s="873"/>
      <c r="I29" s="873"/>
      <c r="J29" s="873"/>
      <c r="K29" s="873"/>
      <c r="L29" s="873"/>
      <c r="M29" s="873"/>
      <c r="N29" s="873"/>
      <c r="O29" s="47"/>
      <c r="Q29" s="1068"/>
      <c r="R29" s="202"/>
      <c r="S29" s="202"/>
      <c r="T29" s="1068"/>
      <c r="U29" s="1419"/>
      <c r="V29" s="1419"/>
      <c r="W29" s="1068"/>
      <c r="X29" s="1068"/>
      <c r="Y29" s="1068"/>
      <c r="Z29" s="1068"/>
      <c r="AA29" s="1068"/>
      <c r="AB29" s="1068"/>
      <c r="AC29" s="1068"/>
      <c r="AD29" s="1068"/>
      <c r="AE29" s="1068"/>
      <c r="AF29" s="1068"/>
    </row>
    <row r="30" spans="1:32" hidden="1">
      <c r="B30" s="105"/>
      <c r="C30" s="49" t="s">
        <v>2617</v>
      </c>
      <c r="D30" s="915"/>
      <c r="E30" s="932"/>
      <c r="F30" s="2489"/>
      <c r="G30" s="934"/>
      <c r="H30" s="934"/>
      <c r="I30" s="934"/>
      <c r="J30" s="934"/>
      <c r="K30" s="934"/>
      <c r="L30" s="934"/>
      <c r="M30" s="934"/>
      <c r="N30" s="935" t="s">
        <v>2754</v>
      </c>
      <c r="O30" s="47"/>
      <c r="P30" s="1068"/>
      <c r="Q30" s="1068"/>
      <c r="R30" s="202"/>
      <c r="S30" s="1068"/>
      <c r="T30" s="1068"/>
      <c r="U30" s="3353"/>
      <c r="V30" s="3353"/>
      <c r="W30" s="1068"/>
      <c r="X30" s="1068"/>
      <c r="Y30" s="1068"/>
      <c r="Z30" s="1068"/>
      <c r="AA30" s="1068"/>
      <c r="AB30" s="1068"/>
      <c r="AC30" s="1068"/>
      <c r="AD30" s="1068"/>
      <c r="AE30" s="1068"/>
      <c r="AF30" s="1068"/>
    </row>
    <row r="31" spans="1:32" hidden="1">
      <c r="B31" s="105"/>
      <c r="C31" s="937"/>
      <c r="D31" s="915"/>
      <c r="E31" s="932"/>
      <c r="F31" s="2489"/>
      <c r="G31" s="934"/>
      <c r="H31" s="934"/>
      <c r="I31" s="934"/>
      <c r="J31" s="934"/>
      <c r="K31" s="934"/>
      <c r="L31" s="934"/>
      <c r="M31" s="934"/>
      <c r="N31" s="67"/>
      <c r="O31" s="47"/>
      <c r="P31" s="1068"/>
      <c r="Q31" s="1068"/>
      <c r="R31" s="202"/>
      <c r="S31" s="1068"/>
      <c r="T31" s="1068"/>
      <c r="U31" s="3353"/>
      <c r="V31" s="3353"/>
      <c r="W31" s="1068"/>
      <c r="X31" s="1068"/>
      <c r="Y31" s="1068"/>
      <c r="Z31" s="1068"/>
      <c r="AA31" s="1068"/>
      <c r="AB31" s="1068"/>
      <c r="AC31" s="1068"/>
      <c r="AD31" s="1068"/>
      <c r="AE31" s="1068"/>
      <c r="AF31" s="1068"/>
    </row>
    <row r="32" spans="1:32" hidden="1">
      <c r="B32" s="105"/>
      <c r="C32" s="1170"/>
      <c r="D32" s="1070"/>
      <c r="E32" s="971" t="s">
        <v>159</v>
      </c>
      <c r="F32" s="3008">
        <v>2013</v>
      </c>
      <c r="G32" s="965">
        <v>2015</v>
      </c>
      <c r="H32" s="965">
        <v>2020</v>
      </c>
      <c r="I32" s="965">
        <v>2025</v>
      </c>
      <c r="J32" s="965">
        <v>2030</v>
      </c>
      <c r="K32" s="965">
        <v>2035</v>
      </c>
      <c r="L32" s="965">
        <v>2040</v>
      </c>
      <c r="M32" s="965">
        <v>2045</v>
      </c>
      <c r="N32" s="965">
        <v>2050</v>
      </c>
      <c r="O32" s="47"/>
      <c r="P32" s="1068"/>
      <c r="Q32" s="1068"/>
      <c r="R32" s="1068"/>
      <c r="S32" s="1068"/>
    </row>
    <row r="33" spans="2:32" hidden="1">
      <c r="B33" s="105"/>
      <c r="C33" s="967" t="s">
        <v>719</v>
      </c>
      <c r="D33" s="1070"/>
      <c r="E33" s="2394"/>
      <c r="F33" s="3354"/>
      <c r="G33" s="2397"/>
      <c r="H33" s="2397"/>
      <c r="I33" s="2397"/>
      <c r="J33" s="2397"/>
      <c r="K33" s="2397"/>
      <c r="L33" s="2397"/>
      <c r="M33" s="2397"/>
      <c r="N33" s="3354"/>
      <c r="O33" s="47"/>
      <c r="P33" s="1068"/>
      <c r="Q33" s="1068"/>
      <c r="R33" s="1068"/>
      <c r="S33" s="1068"/>
    </row>
    <row r="34" spans="2:32" hidden="1">
      <c r="B34" s="105"/>
      <c r="C34" s="943" t="s">
        <v>720</v>
      </c>
      <c r="D34" s="915"/>
      <c r="E34" s="2395"/>
      <c r="F34" s="2493"/>
      <c r="G34" s="2398"/>
      <c r="H34" s="2398"/>
      <c r="I34" s="2398"/>
      <c r="J34" s="2398"/>
      <c r="K34" s="2398"/>
      <c r="L34" s="2398"/>
      <c r="M34" s="2398"/>
      <c r="N34" s="2493"/>
      <c r="O34" s="47"/>
      <c r="P34" s="1068"/>
      <c r="Q34" s="1068"/>
      <c r="R34" s="1068"/>
      <c r="S34" s="1068"/>
    </row>
    <row r="35" spans="2:32" hidden="1">
      <c r="B35" s="105"/>
      <c r="C35" s="947" t="s">
        <v>721</v>
      </c>
      <c r="D35" s="948"/>
      <c r="E35" s="2396"/>
      <c r="F35" s="3355"/>
      <c r="G35" s="2399"/>
      <c r="H35" s="2399"/>
      <c r="I35" s="2399"/>
      <c r="J35" s="2399"/>
      <c r="K35" s="2399"/>
      <c r="L35" s="2399"/>
      <c r="M35" s="2399"/>
      <c r="N35" s="3355"/>
      <c r="O35" s="47"/>
      <c r="P35" s="1068"/>
      <c r="Q35" s="1068"/>
      <c r="R35" s="1068"/>
      <c r="S35" s="1068"/>
    </row>
    <row r="36" spans="2:32" hidden="1">
      <c r="B36" s="105"/>
      <c r="C36" s="937"/>
      <c r="D36" s="915"/>
      <c r="E36" s="932"/>
      <c r="F36" s="3356"/>
      <c r="G36" s="934"/>
      <c r="H36" s="934"/>
      <c r="I36" s="934"/>
      <c r="J36" s="934"/>
      <c r="K36" s="934"/>
      <c r="L36" s="934"/>
      <c r="M36" s="934"/>
      <c r="N36" s="67"/>
      <c r="O36" s="47"/>
      <c r="P36" s="1068"/>
      <c r="Q36" s="1068"/>
      <c r="R36" s="1068"/>
      <c r="S36" s="1068"/>
      <c r="T36" s="1068"/>
      <c r="U36" s="3353"/>
      <c r="V36" s="3353"/>
      <c r="W36" s="1068"/>
      <c r="X36" s="1068"/>
      <c r="Y36" s="1068"/>
      <c r="Z36" s="1068"/>
      <c r="AA36" s="1068"/>
      <c r="AB36" s="1068"/>
      <c r="AC36" s="1068"/>
      <c r="AD36" s="1068"/>
      <c r="AE36" s="1068"/>
      <c r="AF36" s="1068"/>
    </row>
    <row r="37" spans="2:32" hidden="1">
      <c r="B37" s="105"/>
      <c r="C37" s="49" t="s">
        <v>2618</v>
      </c>
      <c r="D37" s="915"/>
      <c r="E37" s="932"/>
      <c r="F37" s="3356"/>
      <c r="G37" s="934"/>
      <c r="H37" s="934"/>
      <c r="I37" s="934"/>
      <c r="J37" s="934"/>
      <c r="K37" s="934"/>
      <c r="L37" s="934"/>
      <c r="M37" s="934"/>
      <c r="N37" s="935" t="s">
        <v>2754</v>
      </c>
      <c r="O37" s="47"/>
      <c r="P37" s="1068"/>
      <c r="Q37" s="1068"/>
      <c r="R37" s="1068"/>
      <c r="S37" s="1068"/>
      <c r="T37" s="1068"/>
      <c r="U37" s="1068"/>
      <c r="V37" s="1068"/>
      <c r="W37" s="1068"/>
      <c r="X37" s="1068"/>
      <c r="Y37" s="1068"/>
      <c r="Z37" s="1068"/>
      <c r="AA37" s="1068"/>
      <c r="AB37" s="1068"/>
      <c r="AC37" s="1068"/>
      <c r="AD37" s="1068"/>
      <c r="AE37" s="1068"/>
      <c r="AF37" s="1068"/>
    </row>
    <row r="38" spans="2:32" ht="6" hidden="1" customHeight="1">
      <c r="B38" s="105"/>
      <c r="C38" s="937"/>
      <c r="D38" s="915"/>
      <c r="E38" s="932"/>
      <c r="F38" s="3356"/>
      <c r="G38" s="934"/>
      <c r="H38" s="934"/>
      <c r="I38" s="934"/>
      <c r="J38" s="934"/>
      <c r="K38" s="934"/>
      <c r="L38" s="934"/>
      <c r="M38" s="934"/>
      <c r="N38" s="67"/>
      <c r="O38" s="47"/>
      <c r="P38" s="1068"/>
      <c r="Q38" s="1068"/>
      <c r="R38" s="1068"/>
      <c r="S38" s="1068"/>
      <c r="T38" s="1068"/>
      <c r="U38" s="1068"/>
      <c r="V38" s="1068"/>
      <c r="W38" s="1068"/>
      <c r="X38" s="1068"/>
      <c r="Y38" s="1068"/>
      <c r="Z38" s="1068"/>
      <c r="AA38" s="1068"/>
      <c r="AB38" s="1068"/>
      <c r="AC38" s="1068"/>
      <c r="AD38" s="1068"/>
      <c r="AE38" s="1068"/>
      <c r="AF38" s="1068"/>
    </row>
    <row r="39" spans="2:32" hidden="1">
      <c r="B39" s="105"/>
      <c r="C39" s="1170"/>
      <c r="D39" s="1070"/>
      <c r="E39" s="971" t="s">
        <v>159</v>
      </c>
      <c r="F39" s="3008">
        <v>2013</v>
      </c>
      <c r="G39" s="965">
        <v>2015</v>
      </c>
      <c r="H39" s="965">
        <v>2020</v>
      </c>
      <c r="I39" s="965">
        <v>2025</v>
      </c>
      <c r="J39" s="965">
        <v>2030</v>
      </c>
      <c r="K39" s="965">
        <v>2035</v>
      </c>
      <c r="L39" s="965">
        <v>2040</v>
      </c>
      <c r="M39" s="965">
        <v>2045</v>
      </c>
      <c r="N39" s="965">
        <v>2050</v>
      </c>
      <c r="O39" s="47"/>
      <c r="P39" s="1068"/>
      <c r="Q39" s="1068"/>
      <c r="R39" s="1068"/>
      <c r="S39" s="1068"/>
      <c r="T39" s="1068"/>
      <c r="U39" s="1068"/>
      <c r="V39" s="1068"/>
      <c r="W39" s="1068"/>
      <c r="X39" s="1068"/>
      <c r="Y39" s="1068"/>
      <c r="Z39" s="1068"/>
      <c r="AA39" s="1068"/>
      <c r="AB39" s="1068"/>
      <c r="AC39" s="1068"/>
      <c r="AD39" s="1068"/>
      <c r="AE39" s="1068"/>
      <c r="AF39" s="1068"/>
    </row>
    <row r="40" spans="2:32" hidden="1">
      <c r="B40" s="105"/>
      <c r="C40" s="967" t="s">
        <v>719</v>
      </c>
      <c r="D40" s="1070"/>
      <c r="E40" s="2394"/>
      <c r="F40" s="3357"/>
      <c r="G40" s="3358"/>
      <c r="H40" s="3358"/>
      <c r="I40" s="3358"/>
      <c r="J40" s="3358"/>
      <c r="K40" s="3358"/>
      <c r="L40" s="3358"/>
      <c r="M40" s="3358"/>
      <c r="N40" s="3357"/>
      <c r="O40" s="47"/>
      <c r="P40" s="1068"/>
      <c r="Q40" s="202"/>
      <c r="R40" s="3359"/>
      <c r="S40" s="3359"/>
      <c r="T40" s="1219"/>
      <c r="U40" s="1219"/>
      <c r="V40" s="1219"/>
      <c r="W40" s="1219"/>
      <c r="X40" s="1219"/>
      <c r="Y40" s="1219"/>
      <c r="Z40" s="1219"/>
      <c r="AA40" s="2523"/>
      <c r="AB40" s="1068"/>
      <c r="AC40" s="1068"/>
      <c r="AD40" s="1068"/>
      <c r="AE40" s="1068"/>
      <c r="AF40" s="1068"/>
    </row>
    <row r="41" spans="2:32" hidden="1">
      <c r="B41" s="105"/>
      <c r="C41" s="943" t="s">
        <v>720</v>
      </c>
      <c r="D41" s="915"/>
      <c r="E41" s="2395"/>
      <c r="F41" s="3360"/>
      <c r="G41" s="3360"/>
      <c r="H41" s="3360"/>
      <c r="I41" s="3360"/>
      <c r="J41" s="3360"/>
      <c r="K41" s="3360"/>
      <c r="L41" s="3360"/>
      <c r="M41" s="3360"/>
      <c r="N41" s="3360"/>
      <c r="O41" s="47"/>
      <c r="P41" s="1068"/>
      <c r="Q41" s="2525"/>
      <c r="R41" s="3011"/>
      <c r="S41" s="3361"/>
      <c r="T41" s="1221"/>
      <c r="U41" s="1221"/>
      <c r="V41" s="1221"/>
      <c r="W41" s="1221"/>
      <c r="X41" s="1221"/>
      <c r="Y41" s="1221"/>
      <c r="Z41" s="1221"/>
      <c r="AA41" s="1221"/>
      <c r="AB41" s="1068"/>
      <c r="AC41" s="1068"/>
      <c r="AD41" s="1068"/>
      <c r="AE41" s="1068"/>
      <c r="AF41" s="1068"/>
    </row>
    <row r="42" spans="2:32" hidden="1" collapsed="1">
      <c r="B42" s="105"/>
      <c r="C42" s="947" t="s">
        <v>721</v>
      </c>
      <c r="D42" s="948"/>
      <c r="E42" s="2396"/>
      <c r="F42" s="3362"/>
      <c r="G42" s="2399"/>
      <c r="H42" s="2399"/>
      <c r="I42" s="2399"/>
      <c r="J42" s="2399"/>
      <c r="K42" s="2399"/>
      <c r="L42" s="2399"/>
      <c r="M42" s="2399"/>
      <c r="N42" s="3362"/>
      <c r="O42" s="47"/>
      <c r="P42" s="1068"/>
      <c r="Q42" s="2527"/>
      <c r="R42" s="3363"/>
      <c r="S42" s="3363"/>
      <c r="T42" s="3364"/>
      <c r="U42" s="3364"/>
      <c r="V42" s="3364"/>
      <c r="W42" s="3364"/>
      <c r="X42" s="3364"/>
      <c r="Y42" s="3364"/>
      <c r="Z42" s="3364"/>
      <c r="AA42" s="3363"/>
      <c r="AB42" s="1068"/>
      <c r="AC42" s="1068"/>
    </row>
    <row r="43" spans="2:32" hidden="1">
      <c r="B43" s="67"/>
      <c r="C43" s="943"/>
      <c r="D43" s="915"/>
      <c r="E43" s="2395"/>
      <c r="F43" s="3365"/>
      <c r="G43" s="2489"/>
      <c r="H43" s="2489"/>
      <c r="I43" s="2489"/>
      <c r="J43" s="2489"/>
      <c r="K43" s="2489"/>
      <c r="L43" s="2489"/>
      <c r="M43" s="2489"/>
      <c r="N43" s="2489"/>
      <c r="O43" s="47"/>
      <c r="P43" s="1068"/>
      <c r="Q43" s="2527"/>
      <c r="R43" s="3363"/>
      <c r="S43" s="3363"/>
      <c r="T43" s="3363"/>
      <c r="U43" s="3363"/>
      <c r="V43" s="3363"/>
      <c r="W43" s="3363"/>
      <c r="X43" s="3363"/>
      <c r="Y43" s="3363"/>
      <c r="Z43" s="3363"/>
      <c r="AA43" s="3363"/>
      <c r="AB43" s="1068"/>
      <c r="AC43" s="1068"/>
    </row>
    <row r="44" spans="2:32" hidden="1">
      <c r="B44" s="47"/>
      <c r="C44" s="49" t="s">
        <v>2619</v>
      </c>
      <c r="D44" s="915"/>
      <c r="E44" s="932"/>
      <c r="F44" s="2489"/>
      <c r="G44" s="934"/>
      <c r="H44" s="934"/>
      <c r="I44" s="934"/>
      <c r="J44" s="934"/>
      <c r="K44" s="934"/>
      <c r="L44" s="934"/>
      <c r="M44" s="934"/>
      <c r="N44" s="935" t="s">
        <v>2754</v>
      </c>
      <c r="O44" s="47"/>
      <c r="P44" s="1068"/>
      <c r="Q44" s="2527"/>
      <c r="R44" s="3366"/>
      <c r="S44" s="3366"/>
      <c r="T44" s="3367"/>
      <c r="U44" s="3367"/>
      <c r="V44" s="3367"/>
      <c r="W44" s="3367"/>
      <c r="X44" s="3367"/>
      <c r="Y44" s="3367"/>
      <c r="Z44" s="3367"/>
      <c r="AA44" s="3366"/>
      <c r="AB44" s="1068"/>
      <c r="AC44" s="1068"/>
    </row>
    <row r="45" spans="2:32" ht="6" hidden="1" customHeight="1">
      <c r="B45" s="47"/>
      <c r="C45" s="937"/>
      <c r="D45" s="915"/>
      <c r="E45" s="932"/>
      <c r="F45" s="2489"/>
      <c r="G45" s="934"/>
      <c r="H45" s="934"/>
      <c r="I45" s="934"/>
      <c r="J45" s="934"/>
      <c r="K45" s="934"/>
      <c r="L45" s="934"/>
      <c r="M45" s="934"/>
      <c r="N45" s="67"/>
      <c r="O45" s="47"/>
      <c r="P45" s="1068"/>
      <c r="Q45" s="1068"/>
      <c r="R45" s="1068"/>
      <c r="S45" s="1068"/>
      <c r="T45" s="1068"/>
      <c r="U45" s="1068"/>
      <c r="V45" s="1068"/>
      <c r="W45" s="1068"/>
      <c r="X45" s="1068"/>
      <c r="Y45" s="1068"/>
      <c r="Z45" s="1068"/>
      <c r="AA45" s="1068"/>
      <c r="AB45" s="1068"/>
      <c r="AC45" s="1068"/>
    </row>
    <row r="46" spans="2:32" hidden="1">
      <c r="B46" s="47"/>
      <c r="C46" s="1170"/>
      <c r="D46" s="1070"/>
      <c r="E46" s="971" t="s">
        <v>159</v>
      </c>
      <c r="F46" s="3008">
        <v>2013</v>
      </c>
      <c r="G46" s="965">
        <v>2015</v>
      </c>
      <c r="H46" s="965">
        <v>2020</v>
      </c>
      <c r="I46" s="965">
        <v>2025</v>
      </c>
      <c r="J46" s="965">
        <v>2030</v>
      </c>
      <c r="K46" s="965">
        <v>2035</v>
      </c>
      <c r="L46" s="965">
        <v>2040</v>
      </c>
      <c r="M46" s="965">
        <v>2045</v>
      </c>
      <c r="N46" s="965">
        <v>2050</v>
      </c>
      <c r="O46" s="47"/>
      <c r="P46" s="1068"/>
      <c r="Q46" s="1068"/>
      <c r="R46" s="1068"/>
      <c r="S46" s="1068"/>
      <c r="T46" s="1068"/>
      <c r="U46" s="1068"/>
      <c r="V46" s="1068"/>
      <c r="W46" s="1068"/>
      <c r="X46" s="1068"/>
      <c r="Y46" s="1068"/>
      <c r="Z46" s="1068"/>
      <c r="AA46" s="1068"/>
      <c r="AB46" s="1068"/>
      <c r="AC46" s="1068"/>
    </row>
    <row r="47" spans="2:32" hidden="1">
      <c r="B47" s="47"/>
      <c r="C47" s="967" t="s">
        <v>719</v>
      </c>
      <c r="D47" s="1070"/>
      <c r="E47" s="2394"/>
      <c r="F47" s="3368"/>
      <c r="G47" s="3369"/>
      <c r="H47" s="3369"/>
      <c r="I47" s="3369"/>
      <c r="J47" s="3369"/>
      <c r="K47" s="3369"/>
      <c r="L47" s="3369"/>
      <c r="M47" s="3369"/>
      <c r="N47" s="3368"/>
      <c r="O47" s="47"/>
      <c r="P47" s="1068"/>
      <c r="Q47" s="1068"/>
      <c r="R47" s="1068"/>
      <c r="S47" s="1068"/>
      <c r="T47" s="1068"/>
      <c r="U47" s="1068"/>
      <c r="V47" s="1068"/>
      <c r="W47" s="1164"/>
      <c r="X47" s="1164"/>
      <c r="Y47" s="1068"/>
      <c r="Z47" s="1068"/>
      <c r="AA47" s="1068"/>
      <c r="AB47" s="1068"/>
      <c r="AC47" s="1068"/>
    </row>
    <row r="48" spans="2:32" hidden="1">
      <c r="B48" s="47"/>
      <c r="C48" s="943" t="s">
        <v>720</v>
      </c>
      <c r="D48" s="915"/>
      <c r="E48" s="2395"/>
      <c r="F48" s="3370"/>
      <c r="G48" s="2489"/>
      <c r="H48" s="2489"/>
      <c r="I48" s="2489"/>
      <c r="J48" s="2489"/>
      <c r="K48" s="2489"/>
      <c r="L48" s="2489"/>
      <c r="M48" s="2489"/>
      <c r="N48" s="3370"/>
      <c r="O48" s="47"/>
      <c r="P48" s="1068"/>
      <c r="Q48" s="1068"/>
      <c r="R48" s="1068"/>
      <c r="S48" s="1068"/>
      <c r="T48" s="1068"/>
      <c r="U48" s="1068"/>
      <c r="V48" s="1068"/>
      <c r="W48" s="1164"/>
      <c r="X48" s="1164"/>
      <c r="Y48" s="1068"/>
      <c r="Z48" s="1068"/>
      <c r="AA48" s="1068"/>
      <c r="AB48" s="1068"/>
      <c r="AC48" s="1068"/>
    </row>
    <row r="49" spans="2:29" hidden="1">
      <c r="B49" s="47"/>
      <c r="C49" s="947" t="s">
        <v>721</v>
      </c>
      <c r="D49" s="948"/>
      <c r="E49" s="2396"/>
      <c r="F49" s="3355"/>
      <c r="G49" s="3371"/>
      <c r="H49" s="3371"/>
      <c r="I49" s="3371"/>
      <c r="J49" s="3371"/>
      <c r="K49" s="3371"/>
      <c r="L49" s="3371"/>
      <c r="M49" s="3371"/>
      <c r="N49" s="3355"/>
      <c r="O49" s="47"/>
      <c r="P49" s="1068"/>
      <c r="Q49" s="1068"/>
      <c r="R49" s="1068"/>
      <c r="S49" s="1068"/>
      <c r="T49" s="1068"/>
      <c r="U49" s="1068"/>
      <c r="V49" s="1068"/>
      <c r="W49" s="1164"/>
      <c r="X49" s="1164"/>
      <c r="Y49" s="1068"/>
      <c r="Z49" s="1068"/>
      <c r="AA49" s="1068"/>
      <c r="AB49" s="1068"/>
      <c r="AC49" s="1068"/>
    </row>
    <row r="50" spans="2:29" hidden="1">
      <c r="B50" s="47"/>
      <c r="C50" s="937"/>
      <c r="D50" s="915"/>
      <c r="E50" s="932"/>
      <c r="F50" s="2489"/>
      <c r="G50" s="934"/>
      <c r="H50" s="934"/>
      <c r="I50" s="934"/>
      <c r="J50" s="934"/>
      <c r="K50" s="934"/>
      <c r="L50" s="934"/>
      <c r="M50" s="934"/>
      <c r="N50" s="67"/>
      <c r="O50" s="47"/>
      <c r="P50" s="1068"/>
      <c r="Q50" s="1068"/>
      <c r="R50" s="1068"/>
      <c r="S50" s="1068"/>
      <c r="T50" s="1068"/>
      <c r="U50" s="1068"/>
      <c r="V50" s="1068"/>
      <c r="W50" s="1164"/>
      <c r="X50" s="1164"/>
      <c r="Y50" s="1068"/>
      <c r="Z50" s="1068"/>
      <c r="AA50" s="1068"/>
      <c r="AB50" s="1068"/>
      <c r="AC50" s="1068"/>
    </row>
    <row r="51" spans="2:29" hidden="1">
      <c r="B51" s="47"/>
      <c r="C51" s="49" t="s">
        <v>2620</v>
      </c>
      <c r="D51" s="915"/>
      <c r="E51" s="932"/>
      <c r="F51" s="2489"/>
      <c r="G51" s="934"/>
      <c r="H51" s="934"/>
      <c r="I51" s="934"/>
      <c r="J51" s="934"/>
      <c r="K51" s="934"/>
      <c r="L51" s="934"/>
      <c r="M51" s="934"/>
      <c r="N51" s="935" t="s">
        <v>2754</v>
      </c>
      <c r="O51" s="47"/>
      <c r="P51" s="1068"/>
      <c r="Q51" s="1068"/>
      <c r="R51" s="1068"/>
      <c r="S51" s="1068"/>
      <c r="W51" s="1410"/>
      <c r="X51" s="1410"/>
      <c r="Y51" s="39"/>
      <c r="Z51" s="39"/>
    </row>
    <row r="52" spans="2:29" hidden="1">
      <c r="B52" s="47"/>
      <c r="C52" s="937"/>
      <c r="D52" s="915"/>
      <c r="E52" s="932"/>
      <c r="F52" s="2489"/>
      <c r="G52" s="934"/>
      <c r="H52" s="934"/>
      <c r="I52" s="934"/>
      <c r="J52" s="934"/>
      <c r="K52" s="934"/>
      <c r="L52" s="934"/>
      <c r="M52" s="934"/>
      <c r="N52" s="67"/>
      <c r="O52" s="47"/>
      <c r="P52" s="1068"/>
      <c r="Q52" s="1068"/>
      <c r="R52" s="1068"/>
      <c r="S52" s="1068"/>
      <c r="W52" s="1410"/>
      <c r="X52" s="1410"/>
      <c r="Y52" s="39"/>
      <c r="Z52" s="39"/>
    </row>
    <row r="53" spans="2:29" hidden="1">
      <c r="B53" s="47"/>
      <c r="C53" s="1170"/>
      <c r="D53" s="1070"/>
      <c r="E53" s="971" t="s">
        <v>159</v>
      </c>
      <c r="F53" s="3008">
        <v>2013</v>
      </c>
      <c r="G53" s="965">
        <v>2015</v>
      </c>
      <c r="H53" s="965">
        <v>2020</v>
      </c>
      <c r="I53" s="965">
        <v>2025</v>
      </c>
      <c r="J53" s="965">
        <v>2030</v>
      </c>
      <c r="K53" s="965">
        <v>2035</v>
      </c>
      <c r="L53" s="965">
        <v>2040</v>
      </c>
      <c r="M53" s="965">
        <v>2045</v>
      </c>
      <c r="N53" s="965">
        <v>2050</v>
      </c>
      <c r="O53" s="47"/>
      <c r="P53" s="1068"/>
      <c r="Q53" s="1068"/>
      <c r="R53" s="1068"/>
      <c r="S53" s="1068"/>
      <c r="W53" s="1410"/>
      <c r="X53" s="1410"/>
      <c r="Y53" s="39"/>
      <c r="Z53" s="39"/>
    </row>
    <row r="54" spans="2:29" hidden="1">
      <c r="B54" s="47"/>
      <c r="C54" s="967" t="s">
        <v>719</v>
      </c>
      <c r="D54" s="1070"/>
      <c r="E54" s="2394"/>
      <c r="F54" s="3372"/>
      <c r="G54" s="3373"/>
      <c r="H54" s="3373"/>
      <c r="I54" s="3373"/>
      <c r="J54" s="3373"/>
      <c r="K54" s="3373"/>
      <c r="L54" s="3373"/>
      <c r="M54" s="3373"/>
      <c r="N54" s="3372"/>
      <c r="O54" s="47"/>
      <c r="P54" s="1068"/>
      <c r="Q54" s="1068"/>
      <c r="R54" s="1068"/>
      <c r="S54" s="1068"/>
      <c r="W54" s="1410"/>
      <c r="X54" s="1410"/>
      <c r="Y54" s="39"/>
      <c r="Z54" s="39"/>
    </row>
    <row r="55" spans="2:29" hidden="1">
      <c r="B55" s="47"/>
      <c r="C55" s="943" t="s">
        <v>720</v>
      </c>
      <c r="D55" s="915"/>
      <c r="E55" s="2395"/>
      <c r="F55" s="2939"/>
      <c r="G55" s="2939"/>
      <c r="H55" s="2939"/>
      <c r="I55" s="2939"/>
      <c r="J55" s="2939"/>
      <c r="K55" s="2939"/>
      <c r="L55" s="2939"/>
      <c r="M55" s="2939"/>
      <c r="N55" s="2939"/>
      <c r="O55" s="47"/>
      <c r="P55" s="1068"/>
      <c r="Q55" s="1068"/>
      <c r="R55" s="1068"/>
      <c r="S55" s="1068"/>
      <c r="W55" s="1410"/>
      <c r="X55" s="39"/>
      <c r="Y55" s="39"/>
      <c r="Z55" s="39"/>
    </row>
    <row r="56" spans="2:29" hidden="1">
      <c r="B56" s="47"/>
      <c r="C56" s="947" t="s">
        <v>721</v>
      </c>
      <c r="D56" s="948"/>
      <c r="E56" s="2396"/>
      <c r="F56" s="3374"/>
      <c r="G56" s="3375"/>
      <c r="H56" s="3375"/>
      <c r="I56" s="3375"/>
      <c r="J56" s="3375"/>
      <c r="K56" s="3375"/>
      <c r="L56" s="3375"/>
      <c r="M56" s="3375"/>
      <c r="N56" s="3374"/>
      <c r="O56" s="47"/>
      <c r="P56" s="1068"/>
      <c r="Q56" s="1068"/>
      <c r="R56" s="1068"/>
      <c r="S56" s="1068"/>
      <c r="W56" s="1410"/>
      <c r="X56" s="39"/>
      <c r="Y56" s="39"/>
      <c r="Z56" s="39"/>
    </row>
    <row r="57" spans="2:29" hidden="1">
      <c r="B57" s="47"/>
      <c r="C57" s="943"/>
      <c r="D57" s="915"/>
      <c r="E57" s="2395"/>
      <c r="F57" s="3376"/>
      <c r="G57" s="2489"/>
      <c r="H57" s="2489"/>
      <c r="I57" s="2489"/>
      <c r="J57" s="2489"/>
      <c r="K57" s="2489"/>
      <c r="L57" s="2489"/>
      <c r="M57" s="2489"/>
      <c r="N57" s="3376"/>
      <c r="O57" s="47"/>
      <c r="P57" s="1068"/>
      <c r="Q57" s="1068"/>
      <c r="R57" s="1068"/>
      <c r="S57" s="1068"/>
      <c r="W57" s="1410"/>
      <c r="X57" s="39"/>
      <c r="Y57" s="39"/>
      <c r="Z57" s="39"/>
    </row>
    <row r="58" spans="2:29" hidden="1">
      <c r="B58" s="47"/>
      <c r="C58" s="47"/>
      <c r="D58" s="3377"/>
      <c r="E58" s="47"/>
      <c r="F58" s="47"/>
      <c r="G58" s="47"/>
      <c r="H58" s="47"/>
      <c r="I58" s="47"/>
      <c r="J58" s="47"/>
      <c r="K58" s="47"/>
      <c r="L58" s="47"/>
      <c r="M58" s="47"/>
      <c r="N58" s="47"/>
      <c r="O58" s="47"/>
      <c r="W58" s="1164"/>
      <c r="X58" s="1068"/>
      <c r="Y58" s="39"/>
      <c r="Z58" s="39"/>
    </row>
    <row r="59" spans="2:29" hidden="1">
      <c r="B59" s="67"/>
      <c r="C59" s="47"/>
      <c r="D59" s="47"/>
      <c r="E59" s="47"/>
      <c r="F59" s="47"/>
      <c r="G59" s="47"/>
      <c r="H59" s="47"/>
      <c r="I59" s="47"/>
      <c r="J59" s="47"/>
      <c r="K59" s="47"/>
      <c r="L59" s="47"/>
      <c r="M59" s="47"/>
      <c r="N59" s="47"/>
      <c r="O59" s="47"/>
      <c r="W59" s="1164"/>
      <c r="X59" s="1068"/>
      <c r="Y59" s="39"/>
      <c r="Z59" s="39"/>
    </row>
    <row r="60" spans="2:29">
      <c r="B60" s="39"/>
      <c r="W60" s="1068"/>
      <c r="X60" s="1068"/>
      <c r="Y60" s="39"/>
      <c r="Z60" s="39"/>
    </row>
    <row r="61" spans="2:29">
      <c r="W61" s="1068"/>
      <c r="X61" s="1068"/>
      <c r="Y61" s="39"/>
      <c r="Z61" s="39"/>
    </row>
    <row r="62" spans="2:29" ht="15.5">
      <c r="B62" s="1101" t="s">
        <v>206</v>
      </c>
      <c r="W62" s="1068"/>
      <c r="X62" s="1068"/>
      <c r="Y62" s="39"/>
      <c r="Z62" s="39"/>
    </row>
    <row r="63" spans="2:29">
      <c r="B63" s="354">
        <v>1</v>
      </c>
      <c r="C63" s="3303" t="s">
        <v>2621</v>
      </c>
      <c r="W63" s="39"/>
      <c r="X63" s="39"/>
      <c r="Y63" s="39"/>
      <c r="Z63" s="39"/>
    </row>
    <row r="65" spans="2:14">
      <c r="C65" s="354" t="s">
        <v>2622</v>
      </c>
      <c r="E65" s="3303" t="str">
        <f>Preferences.EnergyUnits</f>
        <v>TWh</v>
      </c>
      <c r="F65" s="2460">
        <f ca="1">-VII.b.Inputs[2013]</f>
        <v>24.085228740917636</v>
      </c>
      <c r="G65" s="2460">
        <f ca="1">-VII.b.Inputs[2015]</f>
        <v>24.807742245804533</v>
      </c>
      <c r="H65" s="2460">
        <f ca="1">-VII.b.Inputs[2020]</f>
        <v>26.30740220079149</v>
      </c>
      <c r="I65" s="2460">
        <f ca="1">-VII.b.Inputs[2025]</f>
        <v>28.05126163556999</v>
      </c>
      <c r="J65" s="2460">
        <f ca="1">-VII.b.Inputs[2030]</f>
        <v>29.851793568779225</v>
      </c>
      <c r="K65" s="2460">
        <f ca="1">-VII.b.Inputs[2035]</f>
        <v>31.822638676249472</v>
      </c>
      <c r="L65" s="2460">
        <f ca="1">-VII.b.Inputs[2040]</f>
        <v>33.941589309095043</v>
      </c>
      <c r="M65" s="2460">
        <f ca="1">-VII.b.Inputs[2045]</f>
        <v>36.157140965412331</v>
      </c>
      <c r="N65" s="2460">
        <f ca="1">-VII.b.Inputs[2050]</f>
        <v>38.382332773059083</v>
      </c>
    </row>
    <row r="66" spans="2:14">
      <c r="C66" s="3303" t="s">
        <v>2623</v>
      </c>
      <c r="F66" s="3378">
        <f>(1-F$18)</f>
        <v>0.87500728386221682</v>
      </c>
      <c r="G66" s="3378">
        <f t="shared" ref="G66:N66" si="1">(1-G$18)</f>
        <v>0.87500728386221682</v>
      </c>
      <c r="H66" s="3378">
        <f t="shared" si="1"/>
        <v>0.87500728386221682</v>
      </c>
      <c r="I66" s="3378">
        <f t="shared" si="1"/>
        <v>0.87500728386221682</v>
      </c>
      <c r="J66" s="3378">
        <f t="shared" si="1"/>
        <v>0.87500728386221682</v>
      </c>
      <c r="K66" s="3378">
        <f t="shared" si="1"/>
        <v>0.87500728386221682</v>
      </c>
      <c r="L66" s="3378">
        <f t="shared" si="1"/>
        <v>0.87500728386221682</v>
      </c>
      <c r="M66" s="3378">
        <f t="shared" si="1"/>
        <v>0.87500728386221682</v>
      </c>
      <c r="N66" s="3378">
        <f t="shared" si="1"/>
        <v>0.87500728386221682</v>
      </c>
    </row>
    <row r="67" spans="2:14">
      <c r="C67" s="979" t="s">
        <v>2624</v>
      </c>
      <c r="F67" s="2460">
        <f ca="1">F65/F66</f>
        <v>27.525746568196819</v>
      </c>
      <c r="G67" s="2460">
        <f t="shared" ref="G67:N67" ca="1" si="2">G65/G66</f>
        <v>28.351469414408772</v>
      </c>
      <c r="H67" s="2460">
        <f t="shared" ca="1" si="2"/>
        <v>30.065352238752322</v>
      </c>
      <c r="I67" s="2460">
        <f t="shared" ca="1" si="2"/>
        <v>32.05831785965691</v>
      </c>
      <c r="J67" s="2460">
        <f t="shared" ca="1" si="2"/>
        <v>34.11605151104073</v>
      </c>
      <c r="K67" s="2460">
        <f t="shared" ca="1" si="2"/>
        <v>36.36842716987077</v>
      </c>
      <c r="L67" s="2460">
        <f t="shared" ca="1" si="2"/>
        <v>38.790064877265252</v>
      </c>
      <c r="M67" s="2460">
        <f t="shared" ca="1" si="2"/>
        <v>41.322102835324309</v>
      </c>
      <c r="N67" s="2460">
        <f t="shared" ca="1" si="2"/>
        <v>43.865158017476531</v>
      </c>
    </row>
    <row r="68" spans="2:14">
      <c r="C68" s="2943" t="s">
        <v>2625</v>
      </c>
      <c r="F68" s="3379">
        <f>F$18</f>
        <v>0.12499271613778319</v>
      </c>
      <c r="G68" s="3379">
        <f t="shared" ref="G68:N68" si="3">G$18</f>
        <v>0.12499271613778319</v>
      </c>
      <c r="H68" s="3379">
        <f t="shared" si="3"/>
        <v>0.12499271613778319</v>
      </c>
      <c r="I68" s="3379">
        <f t="shared" si="3"/>
        <v>0.12499271613778319</v>
      </c>
      <c r="J68" s="3379">
        <f t="shared" si="3"/>
        <v>0.12499271613778319</v>
      </c>
      <c r="K68" s="3379">
        <f t="shared" si="3"/>
        <v>0.12499271613778319</v>
      </c>
      <c r="L68" s="3379">
        <f t="shared" si="3"/>
        <v>0.12499271613778319</v>
      </c>
      <c r="M68" s="3379">
        <f t="shared" si="3"/>
        <v>0.12499271613778319</v>
      </c>
      <c r="N68" s="3379">
        <f t="shared" si="3"/>
        <v>0.12499271613778319</v>
      </c>
    </row>
    <row r="69" spans="2:14">
      <c r="C69" s="979" t="s">
        <v>2626</v>
      </c>
      <c r="F69" s="2384">
        <f ca="1">F67*F68</f>
        <v>3.440517827279185</v>
      </c>
      <c r="G69" s="2384">
        <f t="shared" ref="G69:N69" ca="1" si="4">G67*G68</f>
        <v>3.5437271686042378</v>
      </c>
      <c r="H69" s="2384">
        <f t="shared" ca="1" si="4"/>
        <v>3.7579500379608333</v>
      </c>
      <c r="I69" s="2384">
        <f t="shared" ca="1" si="4"/>
        <v>4.007056224086921</v>
      </c>
      <c r="J69" s="2384">
        <f t="shared" ca="1" si="4"/>
        <v>4.2642579422615032</v>
      </c>
      <c r="K69" s="2384">
        <f t="shared" ca="1" si="4"/>
        <v>4.5457884936212993</v>
      </c>
      <c r="L69" s="2384">
        <f t="shared" ca="1" si="4"/>
        <v>4.8484755681702092</v>
      </c>
      <c r="M69" s="2384">
        <f t="shared" ca="1" si="4"/>
        <v>5.164961869911977</v>
      </c>
      <c r="N69" s="2384">
        <f t="shared" ca="1" si="4"/>
        <v>5.482825244417449</v>
      </c>
    </row>
    <row r="70" spans="2:14">
      <c r="F70" s="2460"/>
    </row>
    <row r="71" spans="2:14">
      <c r="B71" s="354">
        <v>2</v>
      </c>
      <c r="C71" s="354" t="s">
        <v>2724</v>
      </c>
      <c r="F71" s="2460"/>
    </row>
    <row r="72" spans="2:14" hidden="1">
      <c r="C72" s="3303" t="s">
        <v>22</v>
      </c>
      <c r="F72" s="2460"/>
    </row>
    <row r="73" spans="2:14" hidden="1">
      <c r="C73" s="3303" t="s">
        <v>2323</v>
      </c>
      <c r="E73" s="3578" t="s">
        <v>2736</v>
      </c>
      <c r="F73" s="2485"/>
      <c r="G73" s="2485"/>
      <c r="H73" s="2485"/>
      <c r="I73" s="2485"/>
      <c r="J73" s="2485"/>
      <c r="K73" s="2485"/>
      <c r="L73" s="2485"/>
      <c r="M73" s="2485"/>
      <c r="N73" s="2485"/>
    </row>
    <row r="74" spans="2:14" hidden="1">
      <c r="C74" s="3303" t="s">
        <v>2324</v>
      </c>
      <c r="E74" s="3578" t="s">
        <v>2748</v>
      </c>
      <c r="F74" s="2485"/>
      <c r="G74" s="2485"/>
      <c r="H74" s="2485"/>
      <c r="I74" s="2485"/>
      <c r="J74" s="2485"/>
      <c r="K74" s="2485"/>
      <c r="L74" s="2485"/>
      <c r="M74" s="2485"/>
      <c r="N74" s="2485"/>
    </row>
    <row r="75" spans="2:14" hidden="1">
      <c r="C75" s="3303" t="s">
        <v>2325</v>
      </c>
      <c r="E75" s="3578" t="s">
        <v>2748</v>
      </c>
      <c r="F75" s="2460"/>
      <c r="G75" s="2091"/>
      <c r="H75" s="2091"/>
      <c r="I75" s="2091"/>
      <c r="J75" s="2091"/>
      <c r="K75" s="2091"/>
      <c r="L75" s="2091"/>
      <c r="M75" s="2091"/>
      <c r="N75" s="2091"/>
    </row>
    <row r="76" spans="2:14" hidden="1">
      <c r="C76" s="3303" t="s">
        <v>2326</v>
      </c>
      <c r="E76" s="3578" t="s">
        <v>2748</v>
      </c>
      <c r="F76" s="2460"/>
      <c r="G76" s="2091"/>
      <c r="H76" s="2091"/>
      <c r="I76" s="2091"/>
      <c r="J76" s="2091"/>
      <c r="K76" s="2091"/>
      <c r="L76" s="2091"/>
      <c r="M76" s="2091"/>
      <c r="N76" s="2091"/>
    </row>
    <row r="77" spans="2:14" hidden="1">
      <c r="F77" s="2460"/>
      <c r="G77" s="2091"/>
      <c r="H77" s="2091"/>
      <c r="I77" s="2091"/>
      <c r="J77" s="2091"/>
      <c r="K77" s="2091"/>
      <c r="L77" s="2091"/>
      <c r="M77" s="2091"/>
      <c r="N77" s="2091"/>
    </row>
    <row r="78" spans="2:14" hidden="1">
      <c r="C78" s="3303" t="s">
        <v>160</v>
      </c>
      <c r="F78" s="2460"/>
    </row>
    <row r="79" spans="2:14" hidden="1">
      <c r="C79" s="3303" t="s">
        <v>2323</v>
      </c>
      <c r="E79" s="3578" t="s">
        <v>2736</v>
      </c>
      <c r="F79" s="2485"/>
      <c r="G79" s="2485"/>
      <c r="H79" s="2485"/>
      <c r="I79" s="2485"/>
      <c r="J79" s="2485"/>
      <c r="K79" s="2485"/>
      <c r="L79" s="2485"/>
      <c r="M79" s="2485"/>
      <c r="N79" s="2485"/>
    </row>
    <row r="80" spans="2:14" hidden="1">
      <c r="C80" s="3303" t="s">
        <v>2324</v>
      </c>
      <c r="E80" s="3578" t="s">
        <v>2748</v>
      </c>
      <c r="F80" s="2485"/>
      <c r="G80" s="2485"/>
      <c r="H80" s="2485"/>
      <c r="I80" s="2485"/>
      <c r="J80" s="2485"/>
      <c r="K80" s="2485"/>
      <c r="L80" s="2485"/>
      <c r="M80" s="2485"/>
      <c r="N80" s="2485"/>
    </row>
    <row r="81" spans="2:22" hidden="1">
      <c r="C81" s="3303" t="s">
        <v>2325</v>
      </c>
      <c r="E81" s="3578" t="s">
        <v>2748</v>
      </c>
      <c r="F81" s="2460"/>
      <c r="G81" s="2091"/>
      <c r="H81" s="2091"/>
      <c r="I81" s="2091"/>
      <c r="J81" s="2091"/>
      <c r="K81" s="2091"/>
      <c r="L81" s="2091"/>
      <c r="M81" s="2091"/>
      <c r="N81" s="2091"/>
    </row>
    <row r="82" spans="2:22" hidden="1">
      <c r="C82" s="3303" t="s">
        <v>2326</v>
      </c>
      <c r="E82" s="3578" t="s">
        <v>2748</v>
      </c>
      <c r="F82" s="2460"/>
      <c r="G82" s="2091"/>
      <c r="H82" s="2091"/>
      <c r="I82" s="2091"/>
      <c r="J82" s="2091"/>
      <c r="K82" s="2091"/>
      <c r="L82" s="2091"/>
      <c r="M82" s="2091"/>
      <c r="N82" s="2091"/>
    </row>
    <row r="83" spans="2:22" hidden="1">
      <c r="F83" s="2460"/>
    </row>
    <row r="84" spans="2:22" hidden="1">
      <c r="C84" s="3303" t="s">
        <v>20</v>
      </c>
      <c r="F84" s="2460"/>
    </row>
    <row r="85" spans="2:22" hidden="1">
      <c r="C85" s="3303" t="s">
        <v>2323</v>
      </c>
      <c r="E85" s="3578" t="s">
        <v>2736</v>
      </c>
      <c r="F85" s="2485"/>
      <c r="G85" s="2485"/>
      <c r="H85" s="2485"/>
      <c r="I85" s="2485"/>
      <c r="J85" s="2485"/>
      <c r="K85" s="2485"/>
      <c r="L85" s="2485"/>
      <c r="M85" s="2485"/>
      <c r="N85" s="2485"/>
    </row>
    <row r="86" spans="2:22" hidden="1">
      <c r="C86" s="3303" t="s">
        <v>2324</v>
      </c>
      <c r="E86" s="3578" t="s">
        <v>2748</v>
      </c>
      <c r="F86" s="2485"/>
      <c r="G86" s="2485"/>
      <c r="H86" s="2485"/>
      <c r="I86" s="2485"/>
      <c r="J86" s="2485"/>
      <c r="K86" s="2485"/>
      <c r="L86" s="2485"/>
      <c r="M86" s="2485"/>
      <c r="N86" s="2485"/>
    </row>
    <row r="87" spans="2:22" hidden="1">
      <c r="C87" s="3303" t="s">
        <v>2325</v>
      </c>
      <c r="E87" s="3578" t="s">
        <v>2748</v>
      </c>
      <c r="F87" s="2460"/>
      <c r="G87" s="2091"/>
      <c r="H87" s="2091"/>
      <c r="I87" s="2091"/>
      <c r="J87" s="2091"/>
      <c r="K87" s="2091"/>
      <c r="L87" s="2091"/>
      <c r="M87" s="2091"/>
      <c r="N87" s="2091"/>
    </row>
    <row r="88" spans="2:22" hidden="1">
      <c r="C88" s="3303" t="s">
        <v>2326</v>
      </c>
      <c r="E88" s="3578" t="s">
        <v>2748</v>
      </c>
      <c r="F88" s="2460"/>
      <c r="G88" s="2091"/>
      <c r="H88" s="2091"/>
      <c r="I88" s="2091"/>
      <c r="J88" s="2091"/>
      <c r="K88" s="2091"/>
      <c r="L88" s="2091"/>
      <c r="M88" s="2091"/>
      <c r="N88" s="2091"/>
    </row>
    <row r="89" spans="2:22" hidden="1">
      <c r="F89" s="2460"/>
    </row>
    <row r="90" spans="2:22" hidden="1">
      <c r="B90" s="354">
        <v>3</v>
      </c>
      <c r="C90" s="354" t="s">
        <v>2627</v>
      </c>
      <c r="F90" s="2460"/>
      <c r="Q90" s="1068"/>
      <c r="R90" s="1068"/>
      <c r="S90" s="1068"/>
      <c r="T90" s="1068"/>
      <c r="U90" s="1068"/>
      <c r="V90" s="1068"/>
    </row>
    <row r="91" spans="2:22" hidden="1">
      <c r="Q91" s="1068"/>
      <c r="R91" s="1068"/>
      <c r="S91" s="1068"/>
      <c r="T91" s="1068"/>
      <c r="U91" s="1068"/>
      <c r="V91" s="1068"/>
    </row>
    <row r="92" spans="2:22" hidden="1">
      <c r="C92" s="3303" t="s">
        <v>22</v>
      </c>
      <c r="F92" s="2460"/>
      <c r="Q92" s="1068"/>
      <c r="R92" s="1068"/>
      <c r="S92" s="1068"/>
      <c r="T92" s="1068"/>
      <c r="U92" s="1068"/>
      <c r="V92" s="1068"/>
    </row>
    <row r="93" spans="2:22" hidden="1">
      <c r="C93" s="3303" t="s">
        <v>2323</v>
      </c>
      <c r="E93" s="3578" t="s">
        <v>2736</v>
      </c>
      <c r="F93" s="2485"/>
      <c r="G93" s="2485"/>
      <c r="H93" s="2485"/>
      <c r="I93" s="2485"/>
      <c r="J93" s="2485"/>
      <c r="K93" s="2485"/>
      <c r="L93" s="2485"/>
      <c r="M93" s="2485"/>
      <c r="N93" s="2485"/>
      <c r="Q93" s="1068"/>
      <c r="R93" s="1068"/>
      <c r="S93" s="1068"/>
      <c r="T93" s="1068"/>
      <c r="U93" s="1068"/>
      <c r="V93" s="1068"/>
    </row>
    <row r="94" spans="2:22" hidden="1">
      <c r="C94" s="3303" t="s">
        <v>2324</v>
      </c>
      <c r="E94" s="3578" t="s">
        <v>2748</v>
      </c>
      <c r="F94" s="2485"/>
      <c r="G94" s="2485"/>
      <c r="H94" s="2485"/>
      <c r="I94" s="2485"/>
      <c r="J94" s="2485"/>
      <c r="K94" s="2485"/>
      <c r="L94" s="2485"/>
      <c r="M94" s="2485"/>
      <c r="N94" s="2485"/>
      <c r="Q94" s="1068"/>
      <c r="R94" s="1068"/>
      <c r="S94" s="1068"/>
      <c r="T94" s="1068"/>
      <c r="U94" s="1068"/>
      <c r="V94" s="1068"/>
    </row>
    <row r="95" spans="2:22" hidden="1">
      <c r="C95" s="3303" t="s">
        <v>2325</v>
      </c>
      <c r="E95" s="3578" t="s">
        <v>2748</v>
      </c>
      <c r="F95" s="2460"/>
      <c r="G95" s="2091"/>
      <c r="H95" s="2091"/>
      <c r="I95" s="2091"/>
      <c r="J95" s="2091"/>
      <c r="K95" s="2091"/>
      <c r="L95" s="2091"/>
      <c r="M95" s="2091"/>
      <c r="N95" s="2091"/>
      <c r="Q95" s="1068"/>
      <c r="R95" s="1068"/>
      <c r="S95" s="1068"/>
      <c r="T95" s="1068"/>
      <c r="U95" s="1068"/>
      <c r="V95" s="1068"/>
    </row>
    <row r="96" spans="2:22" hidden="1">
      <c r="C96" s="3303" t="s">
        <v>2326</v>
      </c>
      <c r="E96" s="3578" t="s">
        <v>2748</v>
      </c>
      <c r="F96" s="2460"/>
      <c r="G96" s="2091"/>
      <c r="H96" s="2091"/>
      <c r="I96" s="2091"/>
      <c r="J96" s="2091"/>
      <c r="K96" s="2091"/>
      <c r="L96" s="2091"/>
      <c r="M96" s="2091"/>
      <c r="N96" s="2091"/>
      <c r="Q96" s="1068"/>
      <c r="R96" s="1068"/>
      <c r="S96" s="1068"/>
      <c r="T96" s="1068"/>
      <c r="U96" s="1068"/>
      <c r="V96" s="1068"/>
    </row>
    <row r="97" spans="1:22" hidden="1">
      <c r="Q97" s="1068"/>
      <c r="R97" s="1068"/>
      <c r="S97" s="647"/>
      <c r="T97" s="1068"/>
      <c r="U97" s="1068"/>
      <c r="V97" s="1068"/>
    </row>
    <row r="98" spans="1:22" hidden="1">
      <c r="C98" s="3303" t="s">
        <v>160</v>
      </c>
      <c r="F98" s="2460"/>
      <c r="Q98" s="1068"/>
      <c r="R98" s="1068"/>
      <c r="S98" s="647"/>
      <c r="T98" s="1068"/>
      <c r="U98" s="1068"/>
      <c r="V98" s="1068"/>
    </row>
    <row r="99" spans="1:22" hidden="1">
      <c r="C99" s="3303" t="s">
        <v>2323</v>
      </c>
      <c r="E99" s="3578" t="s">
        <v>2736</v>
      </c>
      <c r="F99" s="2485"/>
      <c r="G99" s="2485"/>
      <c r="H99" s="2485"/>
      <c r="I99" s="2485"/>
      <c r="J99" s="2485"/>
      <c r="K99" s="2485"/>
      <c r="L99" s="2485"/>
      <c r="M99" s="2485"/>
      <c r="N99" s="2485"/>
      <c r="Q99" s="1068"/>
      <c r="R99" s="1068"/>
      <c r="S99" s="647"/>
      <c r="T99" s="1068"/>
      <c r="U99" s="1068"/>
      <c r="V99" s="1068"/>
    </row>
    <row r="100" spans="1:22" hidden="1">
      <c r="C100" s="3303" t="s">
        <v>2324</v>
      </c>
      <c r="E100" s="3578" t="s">
        <v>2748</v>
      </c>
      <c r="F100" s="2485"/>
      <c r="G100" s="2485"/>
      <c r="H100" s="2485"/>
      <c r="I100" s="2485"/>
      <c r="J100" s="2485"/>
      <c r="K100" s="2485"/>
      <c r="L100" s="2485"/>
      <c r="M100" s="2485"/>
      <c r="N100" s="2485"/>
      <c r="Q100" s="1068"/>
      <c r="R100" s="1068"/>
      <c r="S100" s="647"/>
      <c r="T100" s="1068"/>
      <c r="U100" s="1068"/>
      <c r="V100" s="1068"/>
    </row>
    <row r="101" spans="1:22" hidden="1">
      <c r="C101" s="3303" t="s">
        <v>2325</v>
      </c>
      <c r="E101" s="3578" t="s">
        <v>2748</v>
      </c>
      <c r="F101" s="2460"/>
      <c r="G101" s="2091"/>
      <c r="H101" s="2091"/>
      <c r="I101" s="2091"/>
      <c r="J101" s="2091"/>
      <c r="K101" s="2091"/>
      <c r="L101" s="2091"/>
      <c r="M101" s="2091"/>
      <c r="N101" s="2091"/>
      <c r="Q101" s="1068"/>
      <c r="R101" s="1068"/>
      <c r="S101" s="647"/>
      <c r="T101" s="1068"/>
      <c r="U101" s="1068"/>
      <c r="V101" s="1068"/>
    </row>
    <row r="102" spans="1:22" hidden="1">
      <c r="C102" s="3303" t="s">
        <v>2326</v>
      </c>
      <c r="E102" s="3578" t="s">
        <v>2748</v>
      </c>
      <c r="F102" s="2460"/>
      <c r="G102" s="2091"/>
      <c r="H102" s="2091"/>
      <c r="I102" s="2091"/>
      <c r="J102" s="2091"/>
      <c r="K102" s="2091"/>
      <c r="L102" s="2091"/>
      <c r="M102" s="2091"/>
      <c r="N102" s="2091"/>
      <c r="Q102" s="1068"/>
      <c r="R102" s="1068"/>
      <c r="S102" s="647"/>
      <c r="T102" s="1068"/>
      <c r="U102" s="1068"/>
      <c r="V102" s="1068"/>
    </row>
    <row r="103" spans="1:22" hidden="1">
      <c r="Q103" s="1068"/>
      <c r="R103" s="1068"/>
      <c r="S103" s="647"/>
      <c r="T103" s="1068"/>
      <c r="U103" s="1068"/>
      <c r="V103" s="1068"/>
    </row>
    <row r="104" spans="1:22" hidden="1">
      <c r="C104" s="3303" t="s">
        <v>20</v>
      </c>
      <c r="F104" s="2460"/>
      <c r="Q104" s="1068"/>
      <c r="R104" s="1068"/>
      <c r="S104" s="647"/>
      <c r="T104" s="1068"/>
      <c r="U104" s="1068"/>
      <c r="V104" s="1068"/>
    </row>
    <row r="105" spans="1:22" hidden="1">
      <c r="C105" s="3303" t="s">
        <v>2323</v>
      </c>
      <c r="E105" s="3578" t="s">
        <v>2736</v>
      </c>
      <c r="F105" s="2485"/>
      <c r="G105" s="2485"/>
      <c r="H105" s="2485"/>
      <c r="I105" s="2485"/>
      <c r="J105" s="2485"/>
      <c r="K105" s="2485"/>
      <c r="L105" s="2485"/>
      <c r="M105" s="2485"/>
      <c r="N105" s="2485"/>
      <c r="Q105" s="1068"/>
      <c r="R105" s="1068"/>
      <c r="S105" s="1068"/>
      <c r="T105" s="1068"/>
      <c r="U105" s="1068"/>
      <c r="V105" s="1068"/>
    </row>
    <row r="106" spans="1:22" hidden="1">
      <c r="C106" s="3303" t="s">
        <v>2324</v>
      </c>
      <c r="E106" s="3578" t="s">
        <v>2748</v>
      </c>
      <c r="F106" s="2485"/>
      <c r="G106" s="2485"/>
      <c r="H106" s="2485"/>
      <c r="I106" s="2485"/>
      <c r="J106" s="2485"/>
      <c r="K106" s="2485"/>
      <c r="L106" s="2485"/>
      <c r="M106" s="2485"/>
      <c r="N106" s="2485"/>
      <c r="Q106" s="1068"/>
      <c r="R106" s="1068"/>
      <c r="S106" s="1068"/>
      <c r="T106" s="1068"/>
      <c r="U106" s="1068"/>
      <c r="V106" s="1068"/>
    </row>
    <row r="107" spans="1:22" hidden="1">
      <c r="C107" s="3303" t="s">
        <v>2325</v>
      </c>
      <c r="E107" s="3578" t="s">
        <v>2748</v>
      </c>
      <c r="F107" s="2460"/>
      <c r="G107" s="2091"/>
      <c r="H107" s="2091"/>
      <c r="I107" s="2091"/>
      <c r="J107" s="2091"/>
      <c r="K107" s="2091"/>
      <c r="L107" s="2091"/>
      <c r="M107" s="2091"/>
      <c r="N107" s="2091"/>
    </row>
    <row r="108" spans="1:22" hidden="1">
      <c r="C108" s="3303" t="s">
        <v>2326</v>
      </c>
      <c r="E108" s="3578" t="s">
        <v>2748</v>
      </c>
      <c r="F108" s="2460"/>
      <c r="G108" s="2091"/>
      <c r="H108" s="2091"/>
      <c r="I108" s="2091"/>
      <c r="J108" s="2091"/>
      <c r="K108" s="2091"/>
      <c r="L108" s="2091"/>
      <c r="M108" s="2091"/>
      <c r="N108" s="2091"/>
    </row>
    <row r="110" spans="1:22" ht="23.5">
      <c r="A110" s="7"/>
      <c r="B110" s="502" t="s">
        <v>296</v>
      </c>
      <c r="C110" s="503"/>
      <c r="D110" s="503"/>
      <c r="E110" s="503"/>
      <c r="F110" s="503"/>
      <c r="G110" s="503"/>
      <c r="H110" s="503"/>
      <c r="I110" s="503"/>
      <c r="J110" s="503"/>
      <c r="K110" s="503"/>
      <c r="L110" s="503"/>
      <c r="M110" s="503"/>
      <c r="N110" s="503"/>
      <c r="O110" s="857"/>
    </row>
    <row r="111" spans="1:22">
      <c r="B111" s="505"/>
      <c r="C111" s="506"/>
      <c r="D111" s="506"/>
      <c r="E111" s="506"/>
      <c r="F111" s="506"/>
      <c r="G111" s="506"/>
      <c r="H111" s="506"/>
      <c r="I111" s="506"/>
      <c r="J111" s="506"/>
      <c r="K111" s="506"/>
      <c r="L111" s="506"/>
      <c r="M111" s="506"/>
      <c r="N111" s="506"/>
      <c r="O111" s="858"/>
    </row>
    <row r="112" spans="1:22">
      <c r="B112" s="505"/>
      <c r="C112" s="34" t="s">
        <v>746</v>
      </c>
      <c r="D112" s="506"/>
      <c r="E112" s="507"/>
      <c r="F112" s="506"/>
      <c r="G112" s="506"/>
      <c r="H112" s="506"/>
      <c r="I112" s="506"/>
      <c r="J112" s="506"/>
      <c r="K112" s="506"/>
      <c r="L112" s="506"/>
      <c r="M112" s="506"/>
      <c r="N112" s="507" t="str">
        <f>Preferences.EnergyUnits</f>
        <v>TWh</v>
      </c>
      <c r="O112" s="858"/>
    </row>
    <row r="113" spans="1:18">
      <c r="B113" s="505"/>
      <c r="C113" s="506"/>
      <c r="D113" s="506"/>
      <c r="E113" s="506"/>
      <c r="F113" s="506"/>
      <c r="G113" s="506"/>
      <c r="H113" s="506"/>
      <c r="I113" s="506"/>
      <c r="J113" s="506"/>
      <c r="K113" s="506"/>
      <c r="L113" s="506"/>
      <c r="M113" s="506"/>
      <c r="N113" s="506"/>
      <c r="O113" s="858"/>
    </row>
    <row r="114" spans="1:18" ht="15.5">
      <c r="A114" s="434"/>
      <c r="B114" s="15"/>
      <c r="C114" s="864" t="s">
        <v>28</v>
      </c>
      <c r="D114" s="864" t="s">
        <v>29</v>
      </c>
      <c r="E114" s="864" t="s">
        <v>30</v>
      </c>
      <c r="F114" s="864" t="s">
        <v>588</v>
      </c>
      <c r="G114" s="864" t="s">
        <v>132</v>
      </c>
      <c r="H114" s="864" t="s">
        <v>133</v>
      </c>
      <c r="I114" s="864" t="s">
        <v>134</v>
      </c>
      <c r="J114" s="864" t="s">
        <v>135</v>
      </c>
      <c r="K114" s="864" t="s">
        <v>136</v>
      </c>
      <c r="L114" s="864" t="s">
        <v>137</v>
      </c>
      <c r="M114" s="864" t="s">
        <v>138</v>
      </c>
      <c r="N114" s="864" t="s">
        <v>139</v>
      </c>
      <c r="O114" s="858"/>
    </row>
    <row r="115" spans="1:18" ht="15.5">
      <c r="A115" s="434"/>
      <c r="B115" s="15"/>
      <c r="C115" s="17" t="s">
        <v>95</v>
      </c>
      <c r="D115" s="2457" t="str">
        <f>INDEX(Vectors[Description], MATCH(VII.b.Outputs[Vector], Vectors[Code], 0))</f>
        <v>Electricity (delivered to end user)</v>
      </c>
      <c r="E115" s="17"/>
      <c r="F115" s="2491">
        <v>0</v>
      </c>
      <c r="G115" s="2491">
        <v>0</v>
      </c>
      <c r="H115" s="2491">
        <v>0</v>
      </c>
      <c r="I115" s="2491">
        <v>0</v>
      </c>
      <c r="J115" s="2491">
        <v>0</v>
      </c>
      <c r="K115" s="2491">
        <v>0</v>
      </c>
      <c r="L115" s="2491">
        <v>0</v>
      </c>
      <c r="M115" s="2491">
        <v>0</v>
      </c>
      <c r="N115" s="2491">
        <v>0</v>
      </c>
      <c r="O115" s="858"/>
    </row>
    <row r="116" spans="1:18" ht="15.5">
      <c r="A116" s="434"/>
      <c r="B116" s="15"/>
      <c r="C116" s="17" t="s">
        <v>96</v>
      </c>
      <c r="D116" s="2457" t="str">
        <f>INDEX(Vectors[Description], MATCH(VII.b.Outputs[Vector], Vectors[Code], 0))</f>
        <v>Electricity (supplied to grid)</v>
      </c>
      <c r="E116" s="17"/>
      <c r="F116" s="2491">
        <f t="shared" ref="F116:N116" ca="1" si="5">-(F$67-F$65)</f>
        <v>-3.4405178272791836</v>
      </c>
      <c r="G116" s="2491">
        <f t="shared" ca="1" si="5"/>
        <v>-3.5437271686042386</v>
      </c>
      <c r="H116" s="2491">
        <f t="shared" ca="1" si="5"/>
        <v>-3.7579500379608319</v>
      </c>
      <c r="I116" s="2491">
        <f t="shared" ca="1" si="5"/>
        <v>-4.0070562240869201</v>
      </c>
      <c r="J116" s="2491">
        <f t="shared" ca="1" si="5"/>
        <v>-4.264257942261505</v>
      </c>
      <c r="K116" s="2491">
        <f t="shared" ca="1" si="5"/>
        <v>-4.5457884936212984</v>
      </c>
      <c r="L116" s="2491">
        <f t="shared" ca="1" si="5"/>
        <v>-4.8484755681702083</v>
      </c>
      <c r="M116" s="2491">
        <f t="shared" ca="1" si="5"/>
        <v>-5.164961869911977</v>
      </c>
      <c r="N116" s="2491">
        <f t="shared" ca="1" si="5"/>
        <v>-5.4828252444174481</v>
      </c>
      <c r="O116" s="858"/>
    </row>
    <row r="117" spans="1:18" ht="15.5">
      <c r="A117" s="434"/>
      <c r="B117" s="15"/>
      <c r="C117" s="17" t="s">
        <v>445</v>
      </c>
      <c r="D117" s="2457" t="str">
        <f>INDEX(Vectors[Description], MATCH(VII.b.Outputs[Vector], Vectors[Code], 0))</f>
        <v>Distribution losses and own use</v>
      </c>
      <c r="E117" s="17"/>
      <c r="F117" s="2491">
        <f t="shared" ref="F117:N117" ca="1" si="6">F$69</f>
        <v>3.440517827279185</v>
      </c>
      <c r="G117" s="2491">
        <f t="shared" ca="1" si="6"/>
        <v>3.5437271686042378</v>
      </c>
      <c r="H117" s="2491">
        <f t="shared" ca="1" si="6"/>
        <v>3.7579500379608333</v>
      </c>
      <c r="I117" s="2491">
        <f t="shared" ca="1" si="6"/>
        <v>4.007056224086921</v>
      </c>
      <c r="J117" s="2491">
        <f t="shared" ca="1" si="6"/>
        <v>4.2642579422615032</v>
      </c>
      <c r="K117" s="2491">
        <f t="shared" ca="1" si="6"/>
        <v>4.5457884936212993</v>
      </c>
      <c r="L117" s="2491">
        <f t="shared" ca="1" si="6"/>
        <v>4.8484755681702092</v>
      </c>
      <c r="M117" s="2491">
        <f t="shared" ca="1" si="6"/>
        <v>5.164961869911977</v>
      </c>
      <c r="N117" s="2491">
        <f t="shared" ca="1" si="6"/>
        <v>5.482825244417449</v>
      </c>
      <c r="O117" s="858"/>
    </row>
    <row r="118" spans="1:18" ht="15.5">
      <c r="A118" s="434"/>
      <c r="B118" s="15"/>
      <c r="C118" s="2432" t="s">
        <v>58</v>
      </c>
      <c r="D118" s="2432"/>
      <c r="E118" s="2432"/>
      <c r="F118" s="2435">
        <f ca="1">SUBTOTAL(109,VII.b.Outputs[2013])</f>
        <v>0</v>
      </c>
      <c r="G118" s="2435">
        <f ca="1">SUBTOTAL(109,VII.b.Outputs[2015])</f>
        <v>0</v>
      </c>
      <c r="H118" s="2435">
        <f ca="1">SUBTOTAL(109,VII.b.Outputs[2020])</f>
        <v>0</v>
      </c>
      <c r="I118" s="2435">
        <f ca="1">SUBTOTAL(109,VII.b.Outputs[2025])</f>
        <v>0</v>
      </c>
      <c r="J118" s="2435">
        <f ca="1">SUBTOTAL(109,VII.b.Outputs[2030])</f>
        <v>0</v>
      </c>
      <c r="K118" s="2435">
        <f ca="1">SUBTOTAL(109,VII.b.Outputs[2035])</f>
        <v>0</v>
      </c>
      <c r="L118" s="2435">
        <f ca="1">SUBTOTAL(109,VII.b.Outputs[2040])</f>
        <v>0</v>
      </c>
      <c r="M118" s="2435">
        <f ca="1">SUBTOTAL(109,VII.b.Outputs[2045])</f>
        <v>0</v>
      </c>
      <c r="N118" s="2435">
        <f ca="1">SUBTOTAL(109,VII.b.Outputs[2050])</f>
        <v>0</v>
      </c>
      <c r="O118" s="858"/>
    </row>
    <row r="119" spans="1:18">
      <c r="B119" s="506"/>
      <c r="C119" s="2888"/>
      <c r="D119" s="2889"/>
      <c r="E119" s="2889"/>
      <c r="F119" s="2889"/>
      <c r="G119" s="2889"/>
      <c r="H119" s="2889"/>
      <c r="I119" s="2889"/>
      <c r="J119" s="2889"/>
      <c r="K119" s="2889"/>
      <c r="L119" s="2889"/>
      <c r="M119" s="2889"/>
      <c r="N119" s="2889"/>
      <c r="O119" s="858"/>
      <c r="R119" s="3303" t="s">
        <v>5</v>
      </c>
    </row>
    <row r="121" spans="1:18" ht="15">
      <c r="B121" s="986" t="s">
        <v>310</v>
      </c>
      <c r="C121" s="987"/>
      <c r="D121" s="988"/>
      <c r="E121" s="988"/>
      <c r="F121" s="988"/>
      <c r="G121" s="988"/>
      <c r="H121" s="988"/>
      <c r="I121" s="988"/>
      <c r="J121" s="988"/>
      <c r="K121" s="988"/>
      <c r="L121" s="988"/>
      <c r="M121" s="988"/>
      <c r="N121" s="988"/>
      <c r="O121" s="989"/>
    </row>
    <row r="122" spans="1:18">
      <c r="B122" s="990"/>
      <c r="C122" s="991"/>
      <c r="D122" s="991"/>
      <c r="E122" s="991"/>
      <c r="F122" s="991"/>
      <c r="G122" s="991"/>
      <c r="H122" s="991"/>
      <c r="I122" s="991"/>
      <c r="J122" s="991"/>
      <c r="K122" s="991"/>
      <c r="L122" s="991"/>
      <c r="M122" s="991"/>
      <c r="N122" s="991"/>
      <c r="O122" s="992"/>
    </row>
    <row r="123" spans="1:18">
      <c r="B123" s="993"/>
      <c r="C123" s="479" t="s">
        <v>311</v>
      </c>
      <c r="D123" s="994"/>
      <c r="E123" s="995"/>
      <c r="F123" s="994"/>
      <c r="G123" s="994"/>
      <c r="H123" s="994"/>
      <c r="I123" s="994"/>
      <c r="J123" s="994"/>
      <c r="K123" s="994"/>
      <c r="L123" s="994"/>
      <c r="M123" s="994"/>
      <c r="N123" s="995"/>
      <c r="O123" s="996"/>
    </row>
    <row r="124" spans="1:18">
      <c r="B124" s="993"/>
      <c r="C124" s="994"/>
      <c r="D124" s="994"/>
      <c r="E124" s="994"/>
      <c r="F124" s="994"/>
      <c r="G124" s="994"/>
      <c r="H124" s="994"/>
      <c r="I124" s="994"/>
      <c r="J124" s="994"/>
      <c r="K124" s="994"/>
      <c r="L124" s="994"/>
      <c r="M124" s="994"/>
      <c r="N124" s="994"/>
      <c r="O124" s="996"/>
    </row>
    <row r="125" spans="1:18" ht="15.5">
      <c r="B125" s="483"/>
      <c r="C125" s="997" t="s">
        <v>28</v>
      </c>
      <c r="D125" s="997" t="s">
        <v>312</v>
      </c>
      <c r="E125" s="997" t="s">
        <v>30</v>
      </c>
      <c r="F125" s="997">
        <v>2013</v>
      </c>
      <c r="G125" s="997" t="s">
        <v>132</v>
      </c>
      <c r="H125" s="997" t="s">
        <v>133</v>
      </c>
      <c r="I125" s="997" t="s">
        <v>134</v>
      </c>
      <c r="J125" s="997" t="s">
        <v>135</v>
      </c>
      <c r="K125" s="997" t="s">
        <v>136</v>
      </c>
      <c r="L125" s="997" t="s">
        <v>137</v>
      </c>
      <c r="M125" s="997" t="s">
        <v>138</v>
      </c>
      <c r="N125" s="997" t="s">
        <v>139</v>
      </c>
      <c r="O125" s="996"/>
    </row>
    <row r="126" spans="1:18" ht="15.5">
      <c r="B126" s="483"/>
      <c r="C126" s="998"/>
      <c r="D126" s="485"/>
      <c r="E126" s="485"/>
      <c r="F126" s="2408"/>
      <c r="G126" s="2408"/>
      <c r="H126" s="2408"/>
      <c r="I126" s="2408"/>
      <c r="J126" s="2408"/>
      <c r="K126" s="2408"/>
      <c r="L126" s="2408"/>
      <c r="M126" s="2408"/>
      <c r="N126" s="2408"/>
      <c r="O126" s="996"/>
    </row>
    <row r="127" spans="1:18" ht="15.5">
      <c r="B127" s="483"/>
      <c r="C127" s="998"/>
      <c r="D127" s="485"/>
      <c r="E127" s="485"/>
      <c r="F127" s="2408"/>
      <c r="G127" s="2408"/>
      <c r="H127" s="2408"/>
      <c r="I127" s="2408"/>
      <c r="J127" s="2408"/>
      <c r="K127" s="2408"/>
      <c r="L127" s="2408"/>
      <c r="M127" s="2408"/>
      <c r="N127" s="2408"/>
      <c r="O127" s="996"/>
    </row>
    <row r="128" spans="1:18" ht="15.5">
      <c r="B128" s="488"/>
      <c r="C128" s="1001"/>
      <c r="D128" s="1001"/>
      <c r="E128" s="1001"/>
      <c r="F128" s="1001"/>
      <c r="G128" s="1001"/>
      <c r="H128" s="1001"/>
      <c r="I128" s="1001"/>
      <c r="J128" s="1001"/>
      <c r="K128" s="1001"/>
      <c r="L128" s="1001"/>
      <c r="M128" s="1001"/>
      <c r="N128" s="1001"/>
      <c r="O128" s="1002"/>
    </row>
    <row r="130" spans="2:15" ht="15">
      <c r="B130" s="986" t="s">
        <v>2720</v>
      </c>
      <c r="C130" s="988"/>
      <c r="D130" s="988"/>
      <c r="E130" s="988"/>
      <c r="F130" s="988"/>
      <c r="G130" s="988"/>
      <c r="H130" s="988"/>
      <c r="I130" s="988"/>
      <c r="J130" s="988"/>
      <c r="K130" s="988"/>
      <c r="L130" s="988"/>
      <c r="M130" s="988"/>
      <c r="N130" s="988"/>
      <c r="O130" s="989"/>
    </row>
    <row r="131" spans="2:15" hidden="1">
      <c r="B131" s="993"/>
      <c r="C131" s="994"/>
      <c r="D131" s="994"/>
      <c r="E131" s="994"/>
      <c r="F131" s="994"/>
      <c r="G131" s="994"/>
      <c r="H131" s="994"/>
      <c r="I131" s="994"/>
      <c r="J131" s="994"/>
      <c r="K131" s="994"/>
      <c r="L131" s="994"/>
      <c r="M131" s="994"/>
      <c r="N131" s="994"/>
      <c r="O131" s="996"/>
    </row>
    <row r="132" spans="2:15" hidden="1">
      <c r="B132" s="993"/>
      <c r="C132" s="491" t="s">
        <v>751</v>
      </c>
      <c r="D132" s="1003"/>
      <c r="E132" s="1003"/>
      <c r="F132" s="1003"/>
      <c r="G132" s="1003"/>
      <c r="H132" s="1003"/>
      <c r="I132" s="1003"/>
      <c r="J132" s="1003"/>
      <c r="K132" s="1003"/>
      <c r="L132" s="1003"/>
      <c r="M132" s="1003"/>
      <c r="N132" s="1004" t="s">
        <v>2736</v>
      </c>
      <c r="O132" s="996"/>
    </row>
    <row r="133" spans="2:15" hidden="1">
      <c r="B133" s="993"/>
      <c r="C133" s="994"/>
      <c r="D133" s="994"/>
      <c r="E133" s="994"/>
      <c r="F133" s="994"/>
      <c r="G133" s="994"/>
      <c r="H133" s="994"/>
      <c r="I133" s="994"/>
      <c r="J133" s="994"/>
      <c r="K133" s="994"/>
      <c r="L133" s="994"/>
      <c r="M133" s="994"/>
      <c r="N133" s="994"/>
      <c r="O133" s="996"/>
    </row>
    <row r="134" spans="2:15" ht="15.5" hidden="1">
      <c r="B134" s="483"/>
      <c r="C134" s="997" t="s">
        <v>28</v>
      </c>
      <c r="D134" s="997" t="s">
        <v>29</v>
      </c>
      <c r="E134" s="997" t="s">
        <v>30</v>
      </c>
      <c r="F134" s="997">
        <v>2013</v>
      </c>
      <c r="G134" s="997" t="s">
        <v>132</v>
      </c>
      <c r="H134" s="997" t="s">
        <v>133</v>
      </c>
      <c r="I134" s="997" t="s">
        <v>134</v>
      </c>
      <c r="J134" s="997" t="s">
        <v>135</v>
      </c>
      <c r="K134" s="997" t="s">
        <v>136</v>
      </c>
      <c r="L134" s="997" t="s">
        <v>137</v>
      </c>
      <c r="M134" s="997" t="s">
        <v>138</v>
      </c>
      <c r="N134" s="997" t="s">
        <v>139</v>
      </c>
      <c r="O134" s="1141"/>
    </row>
    <row r="135" spans="2:15" ht="15.5" hidden="1">
      <c r="B135" s="483"/>
      <c r="C135" s="998" t="s">
        <v>321</v>
      </c>
      <c r="D135" s="485" t="s">
        <v>322</v>
      </c>
      <c r="E135" s="485"/>
      <c r="F135" s="2410"/>
      <c r="G135" s="2410"/>
      <c r="H135" s="2410"/>
      <c r="I135" s="2410"/>
      <c r="J135" s="2410"/>
      <c r="K135" s="2410"/>
      <c r="L135" s="2410"/>
      <c r="M135" s="2410"/>
      <c r="N135" s="2410"/>
      <c r="O135" s="1141"/>
    </row>
    <row r="136" spans="2:15" ht="15.5" hidden="1">
      <c r="B136" s="483"/>
      <c r="C136" s="998" t="s">
        <v>328</v>
      </c>
      <c r="D136" s="485" t="s">
        <v>329</v>
      </c>
      <c r="E136" s="485"/>
      <c r="F136" s="2410"/>
      <c r="G136" s="2410"/>
      <c r="H136" s="2410"/>
      <c r="I136" s="2410"/>
      <c r="J136" s="2410"/>
      <c r="K136" s="2410"/>
      <c r="L136" s="2410"/>
      <c r="M136" s="2410"/>
      <c r="N136" s="2410"/>
      <c r="O136" s="1141"/>
    </row>
    <row r="137" spans="2:15" ht="15.5" hidden="1">
      <c r="B137" s="483"/>
      <c r="C137" s="998" t="s">
        <v>323</v>
      </c>
      <c r="D137" s="485" t="s">
        <v>324</v>
      </c>
      <c r="E137" s="485"/>
      <c r="F137" s="2410"/>
      <c r="G137" s="2410"/>
      <c r="H137" s="2410"/>
      <c r="I137" s="2410"/>
      <c r="J137" s="2410"/>
      <c r="K137" s="2410"/>
      <c r="L137" s="2410"/>
      <c r="M137" s="2410"/>
      <c r="N137" s="2410"/>
      <c r="O137" s="1141"/>
    </row>
    <row r="138" spans="2:15" hidden="1">
      <c r="B138" s="494"/>
      <c r="C138" s="998" t="s">
        <v>330</v>
      </c>
      <c r="D138" s="485" t="s">
        <v>331</v>
      </c>
      <c r="E138" s="2856"/>
      <c r="F138" s="3380"/>
      <c r="G138" s="3380"/>
      <c r="H138" s="3380"/>
      <c r="I138" s="3380"/>
      <c r="J138" s="3380"/>
      <c r="K138" s="3380"/>
      <c r="L138" s="3380"/>
      <c r="M138" s="3380"/>
      <c r="N138" s="3380"/>
      <c r="O138" s="1142"/>
    </row>
    <row r="139" spans="2:15" hidden="1">
      <c r="B139" s="494"/>
      <c r="C139" s="998" t="s">
        <v>325</v>
      </c>
      <c r="D139" s="485" t="s">
        <v>326</v>
      </c>
      <c r="E139" s="485"/>
      <c r="F139" s="2410"/>
      <c r="G139" s="2410"/>
      <c r="H139" s="2410"/>
      <c r="I139" s="2410"/>
      <c r="J139" s="2410"/>
      <c r="K139" s="2410"/>
      <c r="L139" s="2410"/>
      <c r="M139" s="2410"/>
      <c r="N139" s="2410"/>
      <c r="O139" s="1142"/>
    </row>
    <row r="140" spans="2:15" hidden="1">
      <c r="B140" s="494"/>
      <c r="C140" s="998" t="s">
        <v>332</v>
      </c>
      <c r="D140" s="485" t="s">
        <v>333</v>
      </c>
      <c r="E140" s="485"/>
      <c r="F140" s="2410"/>
      <c r="G140" s="2410"/>
      <c r="H140" s="2410"/>
      <c r="I140" s="2410"/>
      <c r="J140" s="2410"/>
      <c r="K140" s="2410"/>
      <c r="L140" s="2410"/>
      <c r="M140" s="2410"/>
      <c r="N140" s="2410"/>
      <c r="O140" s="1142"/>
    </row>
    <row r="141" spans="2:15" hidden="1">
      <c r="B141" s="1005"/>
      <c r="C141" s="1001"/>
      <c r="D141" s="1001"/>
      <c r="E141" s="1001"/>
      <c r="F141" s="1001"/>
      <c r="G141" s="1001"/>
      <c r="H141" s="1001"/>
      <c r="I141" s="1001"/>
      <c r="J141" s="1001"/>
      <c r="K141" s="1001"/>
      <c r="L141" s="1001"/>
      <c r="M141" s="1001"/>
      <c r="N141" s="1001"/>
      <c r="O141" s="1006"/>
    </row>
    <row r="259" spans="18:20">
      <c r="R259" s="2981"/>
      <c r="S259" s="2981"/>
      <c r="T259" s="2981"/>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9"/>
  </sheetPr>
  <dimension ref="A1:AK483"/>
  <sheetViews>
    <sheetView showGridLines="0" zoomScale="80" zoomScaleNormal="80" workbookViewId="0">
      <selection activeCell="N16" sqref="N16"/>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5" width="17.7265625" style="2858" customWidth="1"/>
    <col min="16" max="16" width="2" style="2858" customWidth="1"/>
    <col min="17" max="17" width="10.81640625" style="2858" customWidth="1"/>
    <col min="18" max="19" width="4.81640625" style="2858" customWidth="1"/>
    <col min="20" max="16384" width="8.81640625" style="2858"/>
  </cols>
  <sheetData>
    <row r="1" spans="1:18" ht="20">
      <c r="A1" s="854" t="s">
        <v>562</v>
      </c>
      <c r="B1" s="854" t="s">
        <v>563</v>
      </c>
      <c r="C1" s="854"/>
      <c r="G1"/>
      <c r="H1"/>
    </row>
    <row r="2" spans="1:18" s="6" customFormat="1" ht="15">
      <c r="A2" s="855" t="s">
        <v>560</v>
      </c>
      <c r="B2" s="855" t="s">
        <v>561</v>
      </c>
      <c r="C2" s="855"/>
      <c r="E2" s="5"/>
      <c r="P2" s="2858"/>
    </row>
    <row r="4" spans="1:18" ht="23.5">
      <c r="A4" s="7"/>
      <c r="B4" s="502" t="s">
        <v>6</v>
      </c>
      <c r="C4" s="503"/>
      <c r="D4" s="503"/>
      <c r="E4" s="503"/>
      <c r="F4" s="503"/>
      <c r="G4" s="503"/>
      <c r="H4" s="503"/>
      <c r="I4" s="503"/>
      <c r="J4" s="503"/>
      <c r="K4" s="503"/>
      <c r="L4" s="503"/>
      <c r="M4" s="503"/>
      <c r="N4" s="503"/>
      <c r="O4" s="503"/>
      <c r="R4" s="372"/>
    </row>
    <row r="5" spans="1:18">
      <c r="B5" s="505"/>
      <c r="C5" s="506"/>
      <c r="D5" s="506"/>
      <c r="E5" s="506"/>
      <c r="F5" s="506"/>
      <c r="G5" s="506"/>
      <c r="H5" s="506"/>
      <c r="I5" s="506"/>
      <c r="J5" s="506"/>
      <c r="K5" s="506"/>
      <c r="L5" s="506"/>
      <c r="M5" s="506"/>
      <c r="N5" s="506"/>
      <c r="O5" s="506"/>
    </row>
    <row r="6" spans="1:18">
      <c r="B6" s="505"/>
      <c r="C6" s="12"/>
      <c r="D6" s="506"/>
      <c r="E6" s="507"/>
      <c r="F6" s="506"/>
      <c r="G6" s="506"/>
      <c r="H6" s="506"/>
      <c r="I6" s="506"/>
      <c r="J6" s="506"/>
      <c r="K6" s="506"/>
      <c r="L6" s="506"/>
      <c r="M6" s="506"/>
      <c r="N6" s="506"/>
      <c r="O6" s="506"/>
    </row>
    <row r="7" spans="1:18" ht="15.5">
      <c r="B7" s="2193"/>
      <c r="C7" s="506"/>
      <c r="D7" s="16" t="s">
        <v>7</v>
      </c>
      <c r="E7" s="2947" t="s">
        <v>8</v>
      </c>
      <c r="F7" s="506"/>
      <c r="G7" s="506"/>
      <c r="H7" s="506"/>
      <c r="I7" s="506"/>
      <c r="J7" s="506"/>
      <c r="K7" s="506"/>
      <c r="L7" s="506"/>
      <c r="M7" s="506"/>
      <c r="N7" s="506"/>
      <c r="O7" s="506"/>
    </row>
    <row r="8" spans="1:18" ht="15.5">
      <c r="B8" s="2193"/>
      <c r="C8" s="506"/>
      <c r="D8" s="859" t="s">
        <v>2049</v>
      </c>
      <c r="E8" s="859">
        <f>VII.c.Scenario</f>
        <v>1</v>
      </c>
      <c r="F8" s="506"/>
      <c r="G8" s="506"/>
      <c r="H8" s="506"/>
      <c r="I8" s="506"/>
      <c r="J8" s="506"/>
      <c r="K8" s="506"/>
      <c r="L8" s="506"/>
      <c r="M8" s="506"/>
      <c r="N8" s="506"/>
      <c r="O8" s="506"/>
    </row>
    <row r="9" spans="1:18">
      <c r="B9" s="1243"/>
      <c r="C9" s="860"/>
      <c r="D9" s="860"/>
      <c r="E9" s="860"/>
      <c r="F9" s="860"/>
      <c r="G9" s="860"/>
      <c r="H9" s="860"/>
      <c r="I9" s="860"/>
      <c r="J9" s="860"/>
      <c r="K9" s="860"/>
      <c r="L9" s="860"/>
      <c r="M9" s="860"/>
      <c r="N9" s="860"/>
      <c r="O9" s="860"/>
    </row>
    <row r="11" spans="1:18" ht="23.5">
      <c r="A11" s="7"/>
      <c r="B11" s="502" t="s">
        <v>24</v>
      </c>
      <c r="C11" s="503"/>
      <c r="D11" s="503"/>
      <c r="E11" s="503"/>
      <c r="F11" s="503"/>
      <c r="G11" s="503"/>
      <c r="H11" s="503"/>
      <c r="I11" s="503"/>
      <c r="J11" s="503"/>
      <c r="K11" s="503"/>
      <c r="L11" s="503"/>
      <c r="M11" s="503"/>
      <c r="N11" s="503"/>
      <c r="O11" s="857"/>
    </row>
    <row r="12" spans="1:18">
      <c r="B12" s="505"/>
      <c r="C12" s="506"/>
      <c r="D12" s="506"/>
      <c r="E12" s="506"/>
      <c r="F12" s="506"/>
      <c r="G12" s="506"/>
      <c r="H12" s="506"/>
      <c r="I12" s="506"/>
      <c r="J12" s="506"/>
      <c r="K12" s="506"/>
      <c r="L12" s="506"/>
      <c r="M12" s="506"/>
      <c r="N12" s="506"/>
      <c r="O12" s="858"/>
    </row>
    <row r="13" spans="1:18">
      <c r="B13" s="505"/>
      <c r="C13" s="34" t="s">
        <v>2329</v>
      </c>
      <c r="D13" s="506"/>
      <c r="E13" s="506"/>
      <c r="F13" s="506"/>
      <c r="G13" s="506"/>
      <c r="H13" s="506"/>
      <c r="I13" s="506"/>
      <c r="J13" s="506"/>
      <c r="K13" s="506"/>
      <c r="L13" s="506"/>
      <c r="M13" s="507" t="s">
        <v>96</v>
      </c>
      <c r="N13" s="2948" t="str">
        <f>Preferences.PowerUnits&amp;"e"</f>
        <v>GWe</v>
      </c>
      <c r="O13" s="858" t="s">
        <v>3194</v>
      </c>
    </row>
    <row r="14" spans="1:18">
      <c r="B14" s="505"/>
      <c r="C14" s="506"/>
      <c r="D14" s="506"/>
      <c r="E14" s="507"/>
      <c r="F14" s="506"/>
      <c r="G14" s="506"/>
      <c r="H14" s="506"/>
      <c r="I14" s="506"/>
      <c r="J14" s="506"/>
      <c r="K14" s="506"/>
      <c r="L14" s="506"/>
      <c r="M14" s="506"/>
      <c r="N14" s="506"/>
      <c r="O14" s="858"/>
    </row>
    <row r="15" spans="1:18" ht="15.5">
      <c r="A15" s="2949"/>
      <c r="B15" s="2950"/>
      <c r="C15" s="2951" t="s">
        <v>130</v>
      </c>
      <c r="D15" s="2951" t="s">
        <v>29</v>
      </c>
      <c r="E15" s="2951" t="s">
        <v>30</v>
      </c>
      <c r="F15" s="2952">
        <v>2013</v>
      </c>
      <c r="G15" s="2952" t="s">
        <v>132</v>
      </c>
      <c r="H15" s="2952" t="s">
        <v>133</v>
      </c>
      <c r="I15" s="2952" t="s">
        <v>134</v>
      </c>
      <c r="J15" s="2952" t="s">
        <v>135</v>
      </c>
      <c r="K15" s="2952" t="s">
        <v>136</v>
      </c>
      <c r="L15" s="2952" t="s">
        <v>137</v>
      </c>
      <c r="M15" s="2952" t="s">
        <v>138</v>
      </c>
      <c r="N15" s="2952" t="s">
        <v>139</v>
      </c>
      <c r="O15" s="865"/>
    </row>
    <row r="16" spans="1:18" ht="15.5">
      <c r="A16" s="2949"/>
      <c r="B16" s="2950"/>
      <c r="C16" s="864" t="s">
        <v>511</v>
      </c>
      <c r="D16" s="2921" t="s">
        <v>512</v>
      </c>
      <c r="E16" s="864"/>
      <c r="F16" s="2953">
        <f t="shared" ref="F16:N20" ca="1" si="0">IFERROR(INDEX(INDIRECT($C16&amp;".Outputs["&amp;F$15&amp;"]"), MATCH($M$13, INDIRECT($C16&amp;".Outputs[Vector]"), 0)), 0)*Conversion.to.average.power</f>
        <v>0.504</v>
      </c>
      <c r="G16" s="2953">
        <f t="shared" ca="1" si="0"/>
        <v>0.63129999999999975</v>
      </c>
      <c r="H16" s="2953">
        <f t="shared" ca="1" si="0"/>
        <v>0.63129999999999975</v>
      </c>
      <c r="I16" s="2953">
        <f t="shared" ca="1" si="0"/>
        <v>0.38054999999999989</v>
      </c>
      <c r="J16" s="2953">
        <f t="shared" ca="1" si="0"/>
        <v>0.12979999999999994</v>
      </c>
      <c r="K16" s="2953">
        <f t="shared" ca="1" si="0"/>
        <v>4.4249999999999698E-3</v>
      </c>
      <c r="L16" s="2953">
        <f t="shared" ca="1" si="0"/>
        <v>4.4249999999999698E-3</v>
      </c>
      <c r="M16" s="2953">
        <f t="shared" ca="1" si="0"/>
        <v>4.4249999999999698E-3</v>
      </c>
      <c r="N16" s="2953">
        <f t="shared" ca="1" si="0"/>
        <v>4.4249999999999698E-3</v>
      </c>
      <c r="O16" s="866"/>
    </row>
    <row r="17" spans="1:19" ht="15.5">
      <c r="A17" s="2949"/>
      <c r="B17" s="2950"/>
      <c r="C17" s="864" t="s">
        <v>513</v>
      </c>
      <c r="D17" s="2921" t="s">
        <v>514</v>
      </c>
      <c r="E17" s="864"/>
      <c r="F17" s="2953">
        <f t="shared" ca="1" si="0"/>
        <v>9.4999999999999998E-3</v>
      </c>
      <c r="G17" s="2953">
        <f t="shared" ca="1" si="0"/>
        <v>9.4999999999999998E-3</v>
      </c>
      <c r="H17" s="2953">
        <f t="shared" ca="1" si="0"/>
        <v>0.01</v>
      </c>
      <c r="I17" s="2953">
        <f t="shared" ca="1" si="0"/>
        <v>0</v>
      </c>
      <c r="J17" s="2953">
        <f t="shared" ca="1" si="0"/>
        <v>0</v>
      </c>
      <c r="K17" s="2953">
        <f t="shared" ca="1" si="0"/>
        <v>0</v>
      </c>
      <c r="L17" s="2953">
        <f t="shared" ca="1" si="0"/>
        <v>0</v>
      </c>
      <c r="M17" s="2953">
        <f t="shared" ca="1" si="0"/>
        <v>0</v>
      </c>
      <c r="N17" s="2953">
        <f t="shared" ca="1" si="0"/>
        <v>0</v>
      </c>
      <c r="O17" s="866"/>
    </row>
    <row r="18" spans="1:19" ht="15.5">
      <c r="A18" s="2949"/>
      <c r="B18" s="2950"/>
      <c r="C18" s="2954" t="s">
        <v>612</v>
      </c>
      <c r="D18" s="2921" t="s">
        <v>390</v>
      </c>
      <c r="E18" s="864"/>
      <c r="F18" s="2953">
        <f t="shared" ca="1" si="0"/>
        <v>0</v>
      </c>
      <c r="G18" s="2953">
        <f t="shared" ca="1" si="0"/>
        <v>4.5205479452054784E-4</v>
      </c>
      <c r="H18" s="2953">
        <f t="shared" ca="1" si="0"/>
        <v>1.4849999999999998E-3</v>
      </c>
      <c r="I18" s="2953">
        <f t="shared" ca="1" si="0"/>
        <v>1.4849999999999998E-3</v>
      </c>
      <c r="J18" s="2953">
        <f t="shared" ca="1" si="0"/>
        <v>1.4849999999999998E-3</v>
      </c>
      <c r="K18" s="2953">
        <f t="shared" ca="1" si="0"/>
        <v>1.4849999999999998E-3</v>
      </c>
      <c r="L18" s="2953">
        <f t="shared" ca="1" si="0"/>
        <v>1.4849999999999998E-3</v>
      </c>
      <c r="M18" s="2953">
        <f t="shared" ca="1" si="0"/>
        <v>0</v>
      </c>
      <c r="N18" s="2953">
        <f t="shared" ca="1" si="0"/>
        <v>0</v>
      </c>
      <c r="O18" s="866"/>
    </row>
    <row r="19" spans="1:19" ht="15.5">
      <c r="A19" s="2949"/>
      <c r="B19" s="2950"/>
      <c r="C19" s="2954" t="s">
        <v>525</v>
      </c>
      <c r="D19" s="2921" t="s">
        <v>1461</v>
      </c>
      <c r="E19" s="864"/>
      <c r="F19" s="2953">
        <f t="shared" ca="1" si="0"/>
        <v>0</v>
      </c>
      <c r="G19" s="2953">
        <f t="shared" ca="1" si="0"/>
        <v>0</v>
      </c>
      <c r="H19" s="2953">
        <f t="shared" ca="1" si="0"/>
        <v>0</v>
      </c>
      <c r="I19" s="2953">
        <f t="shared" ca="1" si="0"/>
        <v>0</v>
      </c>
      <c r="J19" s="2953">
        <f t="shared" ca="1" si="0"/>
        <v>0</v>
      </c>
      <c r="K19" s="2953">
        <f t="shared" ca="1" si="0"/>
        <v>0</v>
      </c>
      <c r="L19" s="2953">
        <f t="shared" ca="1" si="0"/>
        <v>0</v>
      </c>
      <c r="M19" s="2953">
        <f t="shared" ca="1" si="0"/>
        <v>0</v>
      </c>
      <c r="N19" s="2953">
        <f t="shared" ca="1" si="0"/>
        <v>0</v>
      </c>
      <c r="O19" s="866"/>
    </row>
    <row r="20" spans="1:19" ht="15.5">
      <c r="A20" s="2949"/>
      <c r="B20" s="2950"/>
      <c r="C20" s="2955" t="s">
        <v>527</v>
      </c>
      <c r="D20" s="2962" t="s">
        <v>1463</v>
      </c>
      <c r="E20" s="2961"/>
      <c r="F20" s="2956">
        <f t="shared" ca="1" si="0"/>
        <v>0</v>
      </c>
      <c r="G20" s="2956">
        <f t="shared" ca="1" si="0"/>
        <v>0</v>
      </c>
      <c r="H20" s="2956">
        <f t="shared" ca="1" si="0"/>
        <v>0</v>
      </c>
      <c r="I20" s="2956">
        <f t="shared" ca="1" si="0"/>
        <v>0</v>
      </c>
      <c r="J20" s="2956">
        <f t="shared" ca="1" si="0"/>
        <v>0</v>
      </c>
      <c r="K20" s="2956">
        <f t="shared" ca="1" si="0"/>
        <v>0</v>
      </c>
      <c r="L20" s="2956">
        <f t="shared" ca="1" si="0"/>
        <v>0</v>
      </c>
      <c r="M20" s="2956">
        <f t="shared" ca="1" si="0"/>
        <v>0</v>
      </c>
      <c r="N20" s="2956">
        <f t="shared" ca="1" si="0"/>
        <v>0</v>
      </c>
      <c r="O20" s="866"/>
    </row>
    <row r="21" spans="1:19" ht="15.5">
      <c r="A21" s="2949"/>
      <c r="B21" s="2950"/>
      <c r="C21" s="864"/>
      <c r="D21" s="2921"/>
      <c r="E21" s="864"/>
      <c r="F21" s="22"/>
      <c r="G21" s="22"/>
      <c r="H21" s="22"/>
      <c r="I21" s="22"/>
      <c r="J21" s="22"/>
      <c r="K21" s="22"/>
      <c r="L21" s="22"/>
      <c r="M21" s="22"/>
      <c r="N21" s="22"/>
      <c r="O21" s="866"/>
    </row>
    <row r="22" spans="1:19" ht="15.5">
      <c r="A22" s="2949"/>
      <c r="B22" s="2950"/>
      <c r="C22" s="2957" t="s">
        <v>2954</v>
      </c>
      <c r="D22" s="2921"/>
      <c r="E22" s="864"/>
      <c r="F22" s="22"/>
      <c r="G22" s="22"/>
      <c r="H22" s="22"/>
      <c r="I22" s="22"/>
      <c r="J22" s="22"/>
      <c r="K22" s="22"/>
      <c r="L22" s="22"/>
      <c r="M22" s="2948" t="s">
        <v>315</v>
      </c>
      <c r="N22" s="2948" t="str">
        <f>Preferences.PowerUnits&amp;"e"</f>
        <v>GWe</v>
      </c>
      <c r="O22" s="866"/>
    </row>
    <row r="23" spans="1:19" ht="15.5">
      <c r="A23" s="2949"/>
      <c r="B23" s="2950"/>
      <c r="C23" s="864"/>
      <c r="D23" s="2921"/>
      <c r="E23" s="864"/>
      <c r="F23" s="22"/>
      <c r="G23" s="22"/>
      <c r="H23" s="22"/>
      <c r="I23" s="22"/>
      <c r="J23" s="22"/>
      <c r="K23" s="22"/>
      <c r="L23" s="22"/>
      <c r="M23" s="22"/>
      <c r="N23" s="22"/>
      <c r="O23" s="866"/>
    </row>
    <row r="24" spans="1:19" ht="15.5">
      <c r="A24" s="2949"/>
      <c r="B24" s="2950"/>
      <c r="C24" s="2958" t="s">
        <v>28</v>
      </c>
      <c r="D24" s="2958" t="s">
        <v>29</v>
      </c>
      <c r="E24" s="2958" t="s">
        <v>30</v>
      </c>
      <c r="F24" s="2959">
        <v>2013</v>
      </c>
      <c r="G24" s="2959">
        <v>2015</v>
      </c>
      <c r="H24" s="2959">
        <v>2020</v>
      </c>
      <c r="I24" s="2959">
        <v>2025</v>
      </c>
      <c r="J24" s="2959">
        <v>2030</v>
      </c>
      <c r="K24" s="2959">
        <v>2035</v>
      </c>
      <c r="L24" s="2959">
        <v>2040</v>
      </c>
      <c r="M24" s="2959">
        <v>2045</v>
      </c>
      <c r="N24" s="2959">
        <v>2050</v>
      </c>
      <c r="O24" s="866"/>
    </row>
    <row r="25" spans="1:19" ht="15.5">
      <c r="A25" s="2949"/>
      <c r="B25" s="2950"/>
      <c r="C25" s="864" t="s">
        <v>2</v>
      </c>
      <c r="D25" s="2921" t="s">
        <v>2330</v>
      </c>
      <c r="E25" s="864"/>
      <c r="F25" s="2960">
        <f ca="1">IFERROR(INDEX(INDIRECT($C25&amp;".Info["&amp;F$24&amp;"]"), MATCH($M$22, INDIRECT($C25&amp;".Info[Vector]"), 0)), 0)</f>
        <v>3.0264039699571149E-4</v>
      </c>
      <c r="G25" s="2960">
        <f t="shared" ref="G25:N26" ca="1" si="1">IFERROR(INDEX(INDIRECT($C25&amp;".Info["&amp;G$24&amp;"]"), MATCH($M$22, INDIRECT($C25&amp;".Info[Vector]"), 0)), 0)</f>
        <v>3.6677932971593372E-4</v>
      </c>
      <c r="H25" s="2960">
        <f t="shared" ca="1" si="1"/>
        <v>4.1569798171931541E-4</v>
      </c>
      <c r="I25" s="2960">
        <f t="shared" ca="1" si="1"/>
        <v>4.7433429546943058E-4</v>
      </c>
      <c r="J25" s="2960">
        <f t="shared" ca="1" si="1"/>
        <v>6.0182255591866582E-4</v>
      </c>
      <c r="K25" s="2960">
        <f t="shared" ca="1" si="1"/>
        <v>6.8076642937723046E-4</v>
      </c>
      <c r="L25" s="2960">
        <f t="shared" ca="1" si="1"/>
        <v>7.665646804149611E-4</v>
      </c>
      <c r="M25" s="2960">
        <f t="shared" ca="1" si="1"/>
        <v>8.5761342998665643E-4</v>
      </c>
      <c r="N25" s="2960">
        <f t="shared" ca="1" si="1"/>
        <v>9.5620427171447253E-4</v>
      </c>
      <c r="O25" s="866"/>
    </row>
    <row r="26" spans="1:19" ht="15.5">
      <c r="A26" s="2949"/>
      <c r="B26" s="2950"/>
      <c r="C26" s="2961" t="s">
        <v>456</v>
      </c>
      <c r="D26" s="2962" t="s">
        <v>2331</v>
      </c>
      <c r="E26" s="2961"/>
      <c r="F26" s="2956">
        <f ca="1">IFERROR(INDEX(INDIRECT($C26&amp;".Info["&amp;F$24&amp;"]"), MATCH($M$22, INDIRECT($C26&amp;".Info[Vector]"), 0)), 0)</f>
        <v>-0.11364298932745198</v>
      </c>
      <c r="G26" s="2956">
        <f t="shared" ca="1" si="1"/>
        <v>-0.13634056971953387</v>
      </c>
      <c r="H26" s="2956">
        <f t="shared" ca="1" si="1"/>
        <v>-0.17023859639148828</v>
      </c>
      <c r="I26" s="2956">
        <f t="shared" ca="1" si="1"/>
        <v>-0.19841811508478177</v>
      </c>
      <c r="J26" s="2956">
        <f t="shared" ca="1" si="1"/>
        <v>-0.22656961700567682</v>
      </c>
      <c r="K26" s="2956">
        <f t="shared" ca="1" si="1"/>
        <v>-0.25469310215417335</v>
      </c>
      <c r="L26" s="2956">
        <f t="shared" ca="1" si="1"/>
        <v>-0.2827885705302714</v>
      </c>
      <c r="M26" s="2956">
        <f t="shared" ca="1" si="1"/>
        <v>-0.31085602213397096</v>
      </c>
      <c r="N26" s="2956">
        <f t="shared" ca="1" si="1"/>
        <v>-0.33889545696527212</v>
      </c>
      <c r="O26" s="22"/>
    </row>
    <row r="27" spans="1:19" ht="15.5">
      <c r="A27" s="2949"/>
      <c r="B27" s="2950"/>
      <c r="C27" s="864"/>
      <c r="D27" s="2921"/>
      <c r="E27" s="864"/>
      <c r="F27" s="22"/>
      <c r="G27" s="22"/>
      <c r="H27" s="22"/>
      <c r="I27" s="22"/>
      <c r="J27" s="22"/>
      <c r="K27" s="22"/>
      <c r="L27" s="22"/>
      <c r="M27" s="22"/>
      <c r="N27" s="22"/>
      <c r="O27" s="866"/>
    </row>
    <row r="28" spans="1:19">
      <c r="B28" s="505"/>
      <c r="C28" s="34" t="s">
        <v>2332</v>
      </c>
      <c r="D28" s="506"/>
      <c r="E28" s="2963"/>
      <c r="F28" s="506"/>
      <c r="G28" s="506"/>
      <c r="H28" s="506"/>
      <c r="I28" s="506"/>
      <c r="J28" s="506"/>
      <c r="K28" s="506"/>
      <c r="L28" s="506"/>
      <c r="M28" s="506"/>
      <c r="N28" s="2963" t="s">
        <v>70</v>
      </c>
      <c r="O28" s="858"/>
    </row>
    <row r="29" spans="1:19">
      <c r="B29" s="505"/>
      <c r="C29" s="506"/>
      <c r="D29" s="506"/>
      <c r="E29" s="506"/>
      <c r="F29" s="506"/>
      <c r="G29" s="506"/>
      <c r="H29" s="506"/>
      <c r="I29" s="506"/>
      <c r="J29" s="506"/>
      <c r="K29" s="506"/>
      <c r="L29" s="506"/>
      <c r="M29" s="506"/>
      <c r="N29" s="506"/>
      <c r="O29" s="858"/>
    </row>
    <row r="30" spans="1:19" ht="15.5">
      <c r="B30" s="15"/>
      <c r="C30" s="2964"/>
      <c r="D30" s="2964" t="s">
        <v>71</v>
      </c>
      <c r="E30" s="2964" t="s">
        <v>30</v>
      </c>
      <c r="F30" s="2965">
        <v>2013</v>
      </c>
      <c r="G30" s="2965">
        <v>2015</v>
      </c>
      <c r="H30" s="2965">
        <v>2020</v>
      </c>
      <c r="I30" s="2965">
        <v>2025</v>
      </c>
      <c r="J30" s="2965">
        <v>2030</v>
      </c>
      <c r="K30" s="2965">
        <v>2035</v>
      </c>
      <c r="L30" s="2965">
        <v>2040</v>
      </c>
      <c r="M30" s="2965">
        <v>2045</v>
      </c>
      <c r="N30" s="2965">
        <v>2050</v>
      </c>
      <c r="O30" s="858"/>
    </row>
    <row r="31" spans="1:19" ht="15.5">
      <c r="B31" s="15"/>
      <c r="C31" s="2966"/>
      <c r="D31" s="2966" t="s">
        <v>76</v>
      </c>
      <c r="E31" s="2966"/>
      <c r="F31" s="3035">
        <v>9.3000000000000007</v>
      </c>
      <c r="G31" s="3033">
        <f>F31+(((H31-F31)/(H30-F30))*(G30-F30))</f>
        <v>9.6142857142857157</v>
      </c>
      <c r="H31" s="3033">
        <v>10.4</v>
      </c>
      <c r="I31" s="3033">
        <v>10.516666666666666</v>
      </c>
      <c r="J31" s="3033">
        <v>10.633333333333333</v>
      </c>
      <c r="K31" s="3033">
        <v>10.75</v>
      </c>
      <c r="L31" s="3033">
        <v>10.866666666666665</v>
      </c>
      <c r="M31" s="3033">
        <v>10.983333333333333</v>
      </c>
      <c r="N31" s="3033">
        <v>11.1</v>
      </c>
      <c r="O31" s="858"/>
      <c r="Q31" s="39"/>
      <c r="R31" s="39"/>
      <c r="S31" s="39"/>
    </row>
    <row r="32" spans="1:19" ht="15.5">
      <c r="B32" s="15"/>
      <c r="C32" s="864"/>
      <c r="D32" s="864"/>
      <c r="E32" s="864"/>
      <c r="F32" s="2967"/>
      <c r="G32" s="2967"/>
      <c r="H32" s="2967"/>
      <c r="I32" s="2967"/>
      <c r="J32" s="2967"/>
      <c r="K32" s="2967"/>
      <c r="L32" s="2967"/>
      <c r="M32" s="2967"/>
      <c r="N32" s="2967"/>
      <c r="O32" s="858"/>
      <c r="Q32" s="39"/>
      <c r="R32" s="39"/>
      <c r="S32" s="39"/>
    </row>
    <row r="33" spans="1:20" ht="15.5">
      <c r="A33" s="2949"/>
      <c r="B33" s="2950"/>
      <c r="C33" s="2957" t="s">
        <v>2333</v>
      </c>
      <c r="D33" s="2921"/>
      <c r="E33" s="864"/>
      <c r="F33" s="22"/>
      <c r="G33" s="22"/>
      <c r="H33" s="22"/>
      <c r="I33" s="22"/>
      <c r="J33" s="22"/>
      <c r="K33" s="2948" t="s">
        <v>317</v>
      </c>
      <c r="L33" s="22"/>
      <c r="M33" s="22"/>
      <c r="N33" s="2948" t="str">
        <f>Preferences.PowerUnits&amp;"e/degree drop in temperature"</f>
        <v>GWe/degree drop in temperature</v>
      </c>
      <c r="O33" s="866"/>
      <c r="Q33" s="39"/>
      <c r="R33" s="39"/>
      <c r="S33" s="39"/>
    </row>
    <row r="34" spans="1:20" ht="4.5" customHeight="1">
      <c r="A34" s="2949"/>
      <c r="B34" s="2950"/>
      <c r="C34" s="864"/>
      <c r="D34" s="2921"/>
      <c r="E34" s="864"/>
      <c r="F34" s="22"/>
      <c r="G34" s="22"/>
      <c r="H34" s="22"/>
      <c r="I34" s="22"/>
      <c r="J34" s="22"/>
      <c r="K34" s="22"/>
      <c r="L34" s="22"/>
      <c r="M34" s="22"/>
      <c r="N34" s="22"/>
      <c r="O34" s="866"/>
      <c r="Q34" s="39"/>
      <c r="R34" s="39"/>
      <c r="S34" s="39"/>
    </row>
    <row r="35" spans="1:20" ht="15.5">
      <c r="A35" s="2949"/>
      <c r="B35" s="2950"/>
      <c r="C35" s="2958" t="s">
        <v>28</v>
      </c>
      <c r="D35" s="2958" t="s">
        <v>29</v>
      </c>
      <c r="E35" s="2958" t="s">
        <v>30</v>
      </c>
      <c r="F35" s="2959">
        <v>2013</v>
      </c>
      <c r="G35" s="2959">
        <v>2015</v>
      </c>
      <c r="H35" s="2959">
        <v>2020</v>
      </c>
      <c r="I35" s="2959">
        <v>2025</v>
      </c>
      <c r="J35" s="2959">
        <v>2030</v>
      </c>
      <c r="K35" s="2959">
        <v>2035</v>
      </c>
      <c r="L35" s="2959">
        <v>2040</v>
      </c>
      <c r="M35" s="2959">
        <v>2045</v>
      </c>
      <c r="N35" s="2959">
        <v>2050</v>
      </c>
      <c r="O35" s="866"/>
      <c r="Q35" s="39"/>
      <c r="R35" s="39"/>
      <c r="S35" s="39"/>
    </row>
    <row r="36" spans="1:20" ht="15.5">
      <c r="A36" s="2949"/>
      <c r="B36" s="2950"/>
      <c r="C36" s="864" t="s">
        <v>2</v>
      </c>
      <c r="D36" s="2921" t="s">
        <v>2330</v>
      </c>
      <c r="E36" s="864"/>
      <c r="F36" s="4084">
        <f ca="1">IFERROR(INDEX(INDIRECT($C36&amp;".Info["&amp;F$35&amp;"]"), MATCH($K$33, INDIRECT($C36&amp;".Info[Vector]"), 0)), 0)</f>
        <v>1.5222553503179402E-2</v>
      </c>
      <c r="G36" s="2960">
        <f t="shared" ref="G36:N37" ca="1" si="2">IFERROR(INDEX(INDIRECT($C36&amp;".Info["&amp;G$35&amp;"]"), MATCH($K$33, INDIRECT($C36&amp;".Info[Vector]"), 0)), 0)</f>
        <v>1.7148491990215703E-2</v>
      </c>
      <c r="H36" s="2960">
        <f t="shared" ca="1" si="2"/>
        <v>2.1911115364146038E-2</v>
      </c>
      <c r="I36" s="2960">
        <f t="shared" ca="1" si="2"/>
        <v>2.7061665006469483E-2</v>
      </c>
      <c r="J36" s="2960">
        <f t="shared" ca="1" si="2"/>
        <v>3.2518578293259812E-2</v>
      </c>
      <c r="K36" s="2960">
        <f t="shared" ca="1" si="2"/>
        <v>3.8437531437645486E-2</v>
      </c>
      <c r="L36" s="2960">
        <f t="shared" ca="1" si="2"/>
        <v>4.4847067407363057E-2</v>
      </c>
      <c r="M36" s="2960">
        <f t="shared" ca="1" si="2"/>
        <v>5.1655161704508346E-2</v>
      </c>
      <c r="N36" s="2960">
        <f t="shared" ca="1" si="2"/>
        <v>5.8997803564781973E-2</v>
      </c>
      <c r="O36" s="866"/>
      <c r="Q36" s="39"/>
      <c r="R36" s="39"/>
      <c r="S36" s="39"/>
    </row>
    <row r="37" spans="1:20" ht="15.5">
      <c r="A37" s="2949"/>
      <c r="B37" s="2950"/>
      <c r="C37" s="2961" t="s">
        <v>456</v>
      </c>
      <c r="D37" s="2962" t="s">
        <v>2331</v>
      </c>
      <c r="E37" s="2961"/>
      <c r="F37" s="4083">
        <f ca="1">IFERROR(INDEX(INDIRECT($C37&amp;".Info["&amp;F$35&amp;"]"), MATCH($K$33, INDIRECT($C37&amp;".Info[Vector]"), 0)), 0)</f>
        <v>0.3037037037037037</v>
      </c>
      <c r="G37" s="2956">
        <f t="shared" ca="1" si="2"/>
        <v>0.29437619437619439</v>
      </c>
      <c r="H37" s="2956">
        <f t="shared" ca="1" si="2"/>
        <v>0.27105742105742109</v>
      </c>
      <c r="I37" s="2956">
        <f t="shared" ca="1" si="2"/>
        <v>0.24773864773864773</v>
      </c>
      <c r="J37" s="2956">
        <f t="shared" ca="1" si="2"/>
        <v>0.22441987441987438</v>
      </c>
      <c r="K37" s="2956">
        <f t="shared" ca="1" si="2"/>
        <v>0.20110110110110108</v>
      </c>
      <c r="L37" s="2956">
        <f t="shared" ca="1" si="2"/>
        <v>0.17778232778232778</v>
      </c>
      <c r="M37" s="2956">
        <f t="shared" ca="1" si="2"/>
        <v>0.15446355446355442</v>
      </c>
      <c r="N37" s="2956">
        <f t="shared" ca="1" si="2"/>
        <v>0.13114478114478115</v>
      </c>
      <c r="O37" s="22"/>
      <c r="Q37" s="39"/>
      <c r="R37" s="39"/>
      <c r="S37" s="39"/>
    </row>
    <row r="38" spans="1:20" ht="15.5">
      <c r="A38" s="2949"/>
      <c r="B38" s="2950"/>
      <c r="C38" s="864"/>
      <c r="D38" s="2921"/>
      <c r="E38" s="864"/>
      <c r="F38" s="22"/>
      <c r="G38" s="22"/>
      <c r="H38" s="22"/>
      <c r="I38" s="22"/>
      <c r="J38" s="22"/>
      <c r="K38" s="22"/>
      <c r="L38" s="22"/>
      <c r="M38" s="22"/>
      <c r="N38" s="22"/>
      <c r="O38" s="866"/>
      <c r="Q38" s="39"/>
      <c r="R38" s="39"/>
      <c r="S38" s="39"/>
    </row>
    <row r="39" spans="1:20" ht="15.5">
      <c r="A39" s="2949"/>
      <c r="B39" s="2950"/>
      <c r="C39" s="34" t="s">
        <v>2437</v>
      </c>
      <c r="D39" s="2921"/>
      <c r="E39" s="864"/>
      <c r="F39" s="1324"/>
      <c r="G39" s="1324"/>
      <c r="H39" s="1324"/>
      <c r="I39" s="1324"/>
      <c r="J39" s="1324"/>
      <c r="K39" s="1324"/>
      <c r="L39" s="1324"/>
      <c r="M39" s="1324"/>
      <c r="N39" s="2948" t="str">
        <f>Preferences.PowerUnits&amp;"e"</f>
        <v>GWe</v>
      </c>
      <c r="O39" s="866"/>
      <c r="Q39" s="39"/>
      <c r="R39" s="39"/>
      <c r="S39" s="39"/>
    </row>
    <row r="40" spans="1:20" ht="6" customHeight="1">
      <c r="A40" s="2949"/>
      <c r="B40" s="2950"/>
      <c r="C40" s="864"/>
      <c r="D40" s="2921"/>
      <c r="E40" s="864"/>
      <c r="F40" s="1324"/>
      <c r="G40" s="1324"/>
      <c r="H40" s="1324"/>
      <c r="I40" s="1324"/>
      <c r="J40" s="1324"/>
      <c r="K40" s="1324"/>
      <c r="L40" s="1324"/>
      <c r="M40" s="1324"/>
      <c r="N40" s="1324"/>
      <c r="O40" s="866"/>
    </row>
    <row r="41" spans="1:20" ht="15.5">
      <c r="A41" s="2949"/>
      <c r="B41" s="2950"/>
      <c r="C41" s="2958"/>
      <c r="D41" s="2958" t="s">
        <v>71</v>
      </c>
      <c r="E41" s="2958" t="s">
        <v>30</v>
      </c>
      <c r="F41" s="2968">
        <v>2013</v>
      </c>
      <c r="G41" s="2968">
        <v>2015</v>
      </c>
      <c r="H41" s="2968">
        <v>2020</v>
      </c>
      <c r="I41" s="2968">
        <v>2025</v>
      </c>
      <c r="J41" s="2968">
        <v>2030</v>
      </c>
      <c r="K41" s="2968">
        <v>2035</v>
      </c>
      <c r="L41" s="2968">
        <v>2040</v>
      </c>
      <c r="M41" s="2968">
        <v>2045</v>
      </c>
      <c r="N41" s="2968">
        <v>2050</v>
      </c>
      <c r="O41" s="866"/>
    </row>
    <row r="42" spans="1:20" ht="15.5">
      <c r="A42" s="2949"/>
      <c r="B42" s="2950"/>
      <c r="C42" s="2969" t="s">
        <v>577</v>
      </c>
      <c r="D42" s="859" t="s">
        <v>2334</v>
      </c>
      <c r="E42" s="859"/>
      <c r="F42" s="3790">
        <f t="shared" ref="F42:N42" ca="1" si="3">MAX(-INDIRECT(F41&amp;"!T103"),0)*Conversion.to.average.power</f>
        <v>0</v>
      </c>
      <c r="G42" s="2970">
        <f t="shared" ca="1" si="3"/>
        <v>4.0528333091495553E-16</v>
      </c>
      <c r="H42" s="2970">
        <f t="shared" ca="1" si="3"/>
        <v>0</v>
      </c>
      <c r="I42" s="2970">
        <f t="shared" ca="1" si="3"/>
        <v>4.0528333091495553E-16</v>
      </c>
      <c r="J42" s="2970">
        <f t="shared" ca="1" si="3"/>
        <v>0</v>
      </c>
      <c r="K42" s="2970">
        <f t="shared" ca="1" si="3"/>
        <v>0</v>
      </c>
      <c r="L42" s="2970">
        <f t="shared" ca="1" si="3"/>
        <v>0</v>
      </c>
      <c r="M42" s="2970">
        <f t="shared" ca="1" si="3"/>
        <v>0</v>
      </c>
      <c r="N42" s="2970">
        <f t="shared" ca="1" si="3"/>
        <v>0</v>
      </c>
      <c r="O42" s="866"/>
      <c r="R42" s="1180" t="s">
        <v>2335</v>
      </c>
      <c r="S42" s="1143"/>
      <c r="T42" s="1143"/>
    </row>
    <row r="43" spans="1:20" ht="15.5">
      <c r="A43" s="2949"/>
      <c r="B43" s="2950"/>
      <c r="C43" s="864"/>
      <c r="D43" s="2921"/>
      <c r="E43" s="864"/>
      <c r="F43" s="1324"/>
      <c r="G43" s="1324"/>
      <c r="H43" s="1324"/>
      <c r="I43" s="1324"/>
      <c r="J43" s="1324"/>
      <c r="K43" s="1324"/>
      <c r="L43" s="1324"/>
      <c r="M43" s="1324"/>
      <c r="N43" s="1324"/>
      <c r="O43" s="866"/>
    </row>
    <row r="44" spans="1:20" ht="15.5">
      <c r="A44" s="2949"/>
      <c r="B44" s="2950"/>
      <c r="C44" s="2957" t="s">
        <v>2336</v>
      </c>
      <c r="D44" s="2921"/>
      <c r="E44" s="864"/>
      <c r="F44" s="1324"/>
      <c r="G44" s="1324"/>
      <c r="H44" s="1324"/>
      <c r="I44" s="1324"/>
      <c r="J44" s="1324"/>
      <c r="K44" s="1324"/>
      <c r="L44" s="1324"/>
      <c r="M44" s="2967" t="s">
        <v>748</v>
      </c>
      <c r="N44" s="2948" t="str">
        <f>Preferences.PowerUnits&amp;"e"</f>
        <v>GWe</v>
      </c>
      <c r="O44" s="866"/>
    </row>
    <row r="45" spans="1:20" ht="5.25" customHeight="1">
      <c r="A45" s="2949"/>
      <c r="B45" s="2950"/>
      <c r="C45" s="2957"/>
      <c r="D45" s="2921"/>
      <c r="E45" s="864"/>
      <c r="F45" s="1324"/>
      <c r="G45" s="1324"/>
      <c r="H45" s="1324"/>
      <c r="I45" s="1324"/>
      <c r="J45" s="1324"/>
      <c r="K45" s="1324"/>
      <c r="L45" s="1324"/>
      <c r="M45" s="1324"/>
      <c r="N45" s="2967"/>
      <c r="O45" s="866"/>
    </row>
    <row r="46" spans="1:20" ht="15.5">
      <c r="A46" s="2949"/>
      <c r="B46" s="2950"/>
      <c r="C46" s="2958"/>
      <c r="D46" s="2958" t="s">
        <v>71</v>
      </c>
      <c r="E46" s="2958" t="s">
        <v>30</v>
      </c>
      <c r="F46" s="2968">
        <v>2013</v>
      </c>
      <c r="G46" s="2968">
        <v>2015</v>
      </c>
      <c r="H46" s="2968">
        <v>2020</v>
      </c>
      <c r="I46" s="2968">
        <v>2025</v>
      </c>
      <c r="J46" s="2968">
        <v>2030</v>
      </c>
      <c r="K46" s="2968">
        <v>2035</v>
      </c>
      <c r="L46" s="2968">
        <v>2040</v>
      </c>
      <c r="M46" s="2968">
        <v>2045</v>
      </c>
      <c r="N46" s="2968">
        <v>2050</v>
      </c>
      <c r="O46" s="866"/>
    </row>
    <row r="47" spans="1:20" ht="15.5">
      <c r="A47" s="2949"/>
      <c r="B47" s="2950"/>
      <c r="C47" s="2457" t="s">
        <v>2337</v>
      </c>
      <c r="D47" s="17" t="s">
        <v>2338</v>
      </c>
      <c r="E47" s="1009"/>
      <c r="F47" s="2953">
        <f ca="1">IFERROR(INDEX(INDIRECT($C47&amp;".Info["&amp;F$15&amp;"]"), MATCH($M$44, INDIRECT($C47&amp;".Info[Vector]"), 0)), 0)</f>
        <v>3.7307314609372622</v>
      </c>
      <c r="G47" s="2953">
        <f t="shared" ref="G47:N51" ca="1" si="4">IFERROR(INDEX(INDIRECT($C47&amp;".Info["&amp;G$15&amp;"]"), MATCH($M$44, INDIRECT($C47&amp;".Info[Vector]"), 0)), 0)</f>
        <v>3.8052509775073333</v>
      </c>
      <c r="H47" s="2971">
        <f t="shared" ca="1" si="4"/>
        <v>4.2113950606716246</v>
      </c>
      <c r="I47" s="2971">
        <f t="shared" ca="1" si="4"/>
        <v>5.7050506480965373</v>
      </c>
      <c r="J47" s="2971">
        <f t="shared" ca="1" si="4"/>
        <v>7.7123564525192059</v>
      </c>
      <c r="K47" s="2971">
        <f t="shared" ca="1" si="4"/>
        <v>10.264814485695553</v>
      </c>
      <c r="L47" s="2971">
        <f t="shared" ca="1" si="4"/>
        <v>10.984017995921848</v>
      </c>
      <c r="M47" s="2971">
        <f t="shared" ca="1" si="4"/>
        <v>11.728918935759285</v>
      </c>
      <c r="N47" s="2971">
        <f t="shared" ca="1" si="4"/>
        <v>12.50175302733326</v>
      </c>
      <c r="O47" s="866"/>
    </row>
    <row r="48" spans="1:20" ht="15.5">
      <c r="A48" s="2949"/>
      <c r="B48" s="2950"/>
      <c r="C48" s="2457" t="s">
        <v>2339</v>
      </c>
      <c r="D48" s="17" t="s">
        <v>1679</v>
      </c>
      <c r="E48" s="17"/>
      <c r="F48" s="2976">
        <f ca="1">IFERROR(INDEX(INDIRECT($C48&amp;".Info["&amp;F$15&amp;"]"), MATCH($M$44, INDIRECT($C48&amp;".Info[Vector]"), 0)), 0)</f>
        <v>1.1000000000000001</v>
      </c>
      <c r="G48" s="2976">
        <f t="shared" ca="1" si="4"/>
        <v>0.91600000000000004</v>
      </c>
      <c r="H48" s="2976">
        <f t="shared" ca="1" si="4"/>
        <v>0.32400000000000001</v>
      </c>
      <c r="I48" s="2976">
        <f t="shared" ca="1" si="4"/>
        <v>0.32400000000000001</v>
      </c>
      <c r="J48" s="2976">
        <f t="shared" ca="1" si="4"/>
        <v>0.32400000000000001</v>
      </c>
      <c r="K48" s="2976">
        <f t="shared" ca="1" si="4"/>
        <v>0</v>
      </c>
      <c r="L48" s="2976">
        <f t="shared" ca="1" si="4"/>
        <v>0</v>
      </c>
      <c r="M48" s="2976">
        <f t="shared" ca="1" si="4"/>
        <v>0</v>
      </c>
      <c r="N48" s="2976">
        <f t="shared" ca="1" si="4"/>
        <v>0</v>
      </c>
      <c r="O48" s="866"/>
    </row>
    <row r="49" spans="1:15" ht="15.5">
      <c r="A49" s="2949"/>
      <c r="B49" s="2950"/>
      <c r="C49" s="2457" t="s">
        <v>2340</v>
      </c>
      <c r="D49" s="17" t="s">
        <v>1714</v>
      </c>
      <c r="E49" s="17"/>
      <c r="F49" s="2976">
        <f ca="1">IFERROR(INDEX(INDIRECT($C49&amp;".Info["&amp;F$15&amp;"]"), MATCH($M$44, INDIRECT($C49&amp;".Info[Vector]"), 0)), 0)</f>
        <v>1.216</v>
      </c>
      <c r="G49" s="2976">
        <f t="shared" ca="1" si="4"/>
        <v>1.2009999999999998</v>
      </c>
      <c r="H49" s="2976">
        <f t="shared" ca="1" si="4"/>
        <v>0.91600000000000004</v>
      </c>
      <c r="I49" s="2976">
        <f t="shared" ca="1" si="4"/>
        <v>0.91600000000000004</v>
      </c>
      <c r="J49" s="2976">
        <f t="shared" ca="1" si="4"/>
        <v>0.63100000000000012</v>
      </c>
      <c r="K49" s="2976">
        <f t="shared" ca="1" si="4"/>
        <v>0</v>
      </c>
      <c r="L49" s="2976">
        <f t="shared" ca="1" si="4"/>
        <v>0</v>
      </c>
      <c r="M49" s="2976">
        <f t="shared" ca="1" si="4"/>
        <v>0</v>
      </c>
      <c r="N49" s="2976">
        <f t="shared" ca="1" si="4"/>
        <v>0</v>
      </c>
      <c r="O49" s="866"/>
    </row>
    <row r="50" spans="1:15" ht="15.5">
      <c r="A50" s="2949"/>
      <c r="B50" s="2950"/>
      <c r="C50" s="2457" t="s">
        <v>544</v>
      </c>
      <c r="D50" s="17" t="s">
        <v>2341</v>
      </c>
      <c r="E50" s="17"/>
      <c r="F50" s="2976">
        <f ca="1">IFERROR(INDEX(INDIRECT($C50&amp;".Info["&amp;F$15&amp;"]"), MATCH($M$44, INDIRECT($C50&amp;".Info[Vector]"), 0)), 0)</f>
        <v>0</v>
      </c>
      <c r="G50" s="2976">
        <f t="shared" ca="1" si="4"/>
        <v>0</v>
      </c>
      <c r="H50" s="2976">
        <f t="shared" ca="1" si="4"/>
        <v>0</v>
      </c>
      <c r="I50" s="2976">
        <f t="shared" ca="1" si="4"/>
        <v>0</v>
      </c>
      <c r="J50" s="2976">
        <f t="shared" ca="1" si="4"/>
        <v>0</v>
      </c>
      <c r="K50" s="2976">
        <f t="shared" ca="1" si="4"/>
        <v>0</v>
      </c>
      <c r="L50" s="2976">
        <f t="shared" ca="1" si="4"/>
        <v>0</v>
      </c>
      <c r="M50" s="2976">
        <f t="shared" ca="1" si="4"/>
        <v>0</v>
      </c>
      <c r="N50" s="2976">
        <f t="shared" ca="1" si="4"/>
        <v>0</v>
      </c>
      <c r="O50" s="866"/>
    </row>
    <row r="51" spans="1:15" ht="15.5">
      <c r="A51" s="2949"/>
      <c r="B51" s="2950"/>
      <c r="C51" s="2972" t="s">
        <v>539</v>
      </c>
      <c r="D51" s="508" t="s">
        <v>725</v>
      </c>
      <c r="E51" s="508"/>
      <c r="F51" s="3382">
        <f ca="1">IFERROR(INDEX(INDIRECT($C51&amp;".Info["&amp;F$15&amp;"]"), MATCH($M$44, INDIRECT($C51&amp;".Info[Vector]"), 0)), 0)</f>
        <v>0</v>
      </c>
      <c r="G51" s="3382">
        <f t="shared" ca="1" si="4"/>
        <v>0</v>
      </c>
      <c r="H51" s="3382">
        <f t="shared" ca="1" si="4"/>
        <v>0</v>
      </c>
      <c r="I51" s="3382">
        <f t="shared" ca="1" si="4"/>
        <v>0</v>
      </c>
      <c r="J51" s="3382">
        <f t="shared" ca="1" si="4"/>
        <v>0</v>
      </c>
      <c r="K51" s="3382">
        <f t="shared" ca="1" si="4"/>
        <v>0</v>
      </c>
      <c r="L51" s="3382">
        <f t="shared" ca="1" si="4"/>
        <v>0</v>
      </c>
      <c r="M51" s="3382">
        <f t="shared" ca="1" si="4"/>
        <v>0</v>
      </c>
      <c r="N51" s="3382">
        <f t="shared" ca="1" si="4"/>
        <v>0</v>
      </c>
      <c r="O51" s="866"/>
    </row>
    <row r="52" spans="1:15" ht="15.5">
      <c r="A52" s="2949"/>
      <c r="B52" s="2950"/>
      <c r="C52" s="2974"/>
      <c r="D52" s="2975" t="s">
        <v>58</v>
      </c>
      <c r="E52" s="2975"/>
      <c r="F52" s="3312">
        <f t="shared" ref="F52:N52" ca="1" si="5">SUM(F47:F51)</f>
        <v>6.046731460937262</v>
      </c>
      <c r="G52" s="3312">
        <f t="shared" ca="1" si="5"/>
        <v>5.9222509775073329</v>
      </c>
      <c r="H52" s="3312">
        <f t="shared" ca="1" si="5"/>
        <v>5.4513950606716248</v>
      </c>
      <c r="I52" s="3312">
        <f t="shared" ca="1" si="5"/>
        <v>6.9450506480965375</v>
      </c>
      <c r="J52" s="3312">
        <f t="shared" ca="1" si="5"/>
        <v>8.6673564525192059</v>
      </c>
      <c r="K52" s="3312">
        <f t="shared" ca="1" si="5"/>
        <v>10.264814485695553</v>
      </c>
      <c r="L52" s="3312">
        <f t="shared" ca="1" si="5"/>
        <v>10.984017995921848</v>
      </c>
      <c r="M52" s="3312">
        <f t="shared" ca="1" si="5"/>
        <v>11.728918935759285</v>
      </c>
      <c r="N52" s="3312">
        <f t="shared" ca="1" si="5"/>
        <v>12.50175302733326</v>
      </c>
      <c r="O52" s="866"/>
    </row>
    <row r="53" spans="1:15" ht="15.5">
      <c r="A53" s="2949"/>
      <c r="B53" s="2950"/>
      <c r="C53" s="864"/>
      <c r="D53" s="2921"/>
      <c r="E53" s="864"/>
      <c r="F53" s="1324"/>
      <c r="G53" s="1324"/>
      <c r="H53" s="1324"/>
      <c r="I53" s="1324"/>
      <c r="J53" s="1324"/>
      <c r="K53" s="1324"/>
      <c r="L53" s="1324"/>
      <c r="M53" s="1324"/>
      <c r="N53" s="1324"/>
      <c r="O53" s="866"/>
    </row>
    <row r="54" spans="1:15" ht="15.5">
      <c r="A54" s="2949"/>
      <c r="B54" s="2950"/>
      <c r="C54" s="2957" t="s">
        <v>2342</v>
      </c>
      <c r="D54" s="2921"/>
      <c r="E54" s="864"/>
      <c r="F54" s="1324"/>
      <c r="G54" s="1324"/>
      <c r="H54" s="1324"/>
      <c r="I54" s="1324"/>
      <c r="J54" s="1324"/>
      <c r="K54" s="1324"/>
      <c r="L54" s="1324"/>
      <c r="M54" s="2967" t="s">
        <v>750</v>
      </c>
      <c r="N54" s="2967" t="s">
        <v>42</v>
      </c>
      <c r="O54" s="866"/>
    </row>
    <row r="55" spans="1:15" ht="15.5">
      <c r="A55" s="2949"/>
      <c r="B55" s="2950"/>
      <c r="C55" s="2957"/>
      <c r="D55" s="2921"/>
      <c r="E55" s="864"/>
      <c r="F55" s="1324"/>
      <c r="G55" s="1324"/>
      <c r="H55" s="1324"/>
      <c r="I55" s="1324"/>
      <c r="J55" s="1324"/>
      <c r="K55" s="1324"/>
      <c r="L55" s="1324"/>
      <c r="M55" s="1324"/>
      <c r="N55" s="2967"/>
      <c r="O55" s="866"/>
    </row>
    <row r="56" spans="1:15" ht="15.5">
      <c r="A56" s="2949"/>
      <c r="B56" s="2950"/>
      <c r="C56" s="2958"/>
      <c r="D56" s="2958" t="s">
        <v>71</v>
      </c>
      <c r="E56" s="2958" t="s">
        <v>30</v>
      </c>
      <c r="F56" s="2968">
        <v>2013</v>
      </c>
      <c r="G56" s="2968">
        <v>2015</v>
      </c>
      <c r="H56" s="2968">
        <v>2020</v>
      </c>
      <c r="I56" s="2968">
        <v>2025</v>
      </c>
      <c r="J56" s="2968">
        <v>2030</v>
      </c>
      <c r="K56" s="2968">
        <v>2035</v>
      </c>
      <c r="L56" s="2968">
        <v>2040</v>
      </c>
      <c r="M56" s="2968">
        <v>2045</v>
      </c>
      <c r="N56" s="2968">
        <v>2050</v>
      </c>
      <c r="O56" s="866"/>
    </row>
    <row r="57" spans="1:15" ht="15.5">
      <c r="A57" s="2949"/>
      <c r="B57" s="2950"/>
      <c r="C57" s="2457" t="s">
        <v>2337</v>
      </c>
      <c r="D57" s="17" t="s">
        <v>2338</v>
      </c>
      <c r="E57" s="1009"/>
      <c r="F57" s="3576">
        <v>0.4</v>
      </c>
      <c r="G57" s="3576">
        <v>0.4</v>
      </c>
      <c r="H57" s="3576">
        <v>0.5</v>
      </c>
      <c r="I57" s="3576">
        <v>0.5</v>
      </c>
      <c r="J57" s="3576">
        <v>0.7</v>
      </c>
      <c r="K57" s="3576">
        <v>0.7</v>
      </c>
      <c r="L57" s="3576">
        <v>0.7</v>
      </c>
      <c r="M57" s="3576">
        <v>0.7</v>
      </c>
      <c r="N57" s="3576">
        <v>0.7</v>
      </c>
      <c r="O57" s="866"/>
    </row>
    <row r="58" spans="1:15" ht="15.5">
      <c r="A58" s="2949"/>
      <c r="B58" s="2950"/>
      <c r="C58" s="2457" t="s">
        <v>2339</v>
      </c>
      <c r="D58" s="17" t="s">
        <v>1679</v>
      </c>
      <c r="E58" s="17"/>
      <c r="F58" s="3576">
        <v>0</v>
      </c>
      <c r="G58" s="3576">
        <v>0</v>
      </c>
      <c r="H58" s="3576">
        <v>0</v>
      </c>
      <c r="I58" s="3576">
        <v>0</v>
      </c>
      <c r="J58" s="3576">
        <v>0</v>
      </c>
      <c r="K58" s="3576">
        <v>0</v>
      </c>
      <c r="L58" s="3576">
        <v>0</v>
      </c>
      <c r="M58" s="3576">
        <v>0</v>
      </c>
      <c r="N58" s="3576">
        <v>0</v>
      </c>
      <c r="O58" s="866"/>
    </row>
    <row r="59" spans="1:15" ht="15.5">
      <c r="A59" s="2949"/>
      <c r="B59" s="2950"/>
      <c r="C59" s="2457" t="s">
        <v>2340</v>
      </c>
      <c r="D59" s="17" t="s">
        <v>2697</v>
      </c>
      <c r="E59" s="17"/>
      <c r="F59" s="3576">
        <v>0.8</v>
      </c>
      <c r="G59" s="3576">
        <v>0.8</v>
      </c>
      <c r="H59" s="3576">
        <v>0.8</v>
      </c>
      <c r="I59" s="3576">
        <v>0.8</v>
      </c>
      <c r="J59" s="3576">
        <v>0.8</v>
      </c>
      <c r="K59" s="3576">
        <v>0.90000000000000013</v>
      </c>
      <c r="L59" s="3576">
        <v>0.90000000000000013</v>
      </c>
      <c r="M59" s="3576">
        <v>0.90000000000000013</v>
      </c>
      <c r="N59" s="3576">
        <v>0.90000000000000013</v>
      </c>
      <c r="O59" s="866"/>
    </row>
    <row r="60" spans="1:15" ht="15.5">
      <c r="A60" s="2949"/>
      <c r="B60" s="2950"/>
      <c r="C60" s="2457" t="s">
        <v>544</v>
      </c>
      <c r="D60" s="17" t="s">
        <v>2341</v>
      </c>
      <c r="E60" s="17"/>
      <c r="F60" s="3576">
        <v>0</v>
      </c>
      <c r="G60" s="3576">
        <v>0</v>
      </c>
      <c r="H60" s="3576">
        <v>0</v>
      </c>
      <c r="I60" s="3576">
        <v>0.85</v>
      </c>
      <c r="J60" s="3576">
        <v>0.85</v>
      </c>
      <c r="K60" s="3576">
        <v>0.85</v>
      </c>
      <c r="L60" s="3576">
        <v>0.85</v>
      </c>
      <c r="M60" s="3576">
        <v>0.85</v>
      </c>
      <c r="N60" s="3576">
        <v>0.85</v>
      </c>
      <c r="O60" s="866"/>
    </row>
    <row r="61" spans="1:15" ht="15.5">
      <c r="A61" s="2949"/>
      <c r="B61" s="2950"/>
      <c r="C61" s="2972" t="s">
        <v>539</v>
      </c>
      <c r="D61" s="508" t="s">
        <v>725</v>
      </c>
      <c r="E61" s="508"/>
      <c r="F61" s="3577"/>
      <c r="G61" s="3577"/>
      <c r="H61" s="3577"/>
      <c r="I61" s="3577"/>
      <c r="J61" s="3577"/>
      <c r="K61" s="3577">
        <v>0.8</v>
      </c>
      <c r="L61" s="3577">
        <v>0.8</v>
      </c>
      <c r="M61" s="3577">
        <v>0.8</v>
      </c>
      <c r="N61" s="3577">
        <v>0.8</v>
      </c>
      <c r="O61" s="866"/>
    </row>
    <row r="62" spans="1:15" ht="15.5">
      <c r="A62" s="2949"/>
      <c r="B62" s="2950"/>
      <c r="C62" s="2457"/>
      <c r="D62" s="17"/>
      <c r="E62" s="17"/>
      <c r="F62" s="2976"/>
      <c r="G62" s="2976"/>
      <c r="H62" s="2976"/>
      <c r="I62" s="2976"/>
      <c r="J62" s="2976"/>
      <c r="K62" s="2976"/>
      <c r="L62" s="2976"/>
      <c r="M62" s="2976"/>
      <c r="N62" s="2976"/>
      <c r="O62" s="866"/>
    </row>
    <row r="63" spans="1:15" ht="15.5">
      <c r="A63" s="2949"/>
      <c r="B63" s="2950"/>
      <c r="C63" s="2957" t="s">
        <v>2343</v>
      </c>
      <c r="D63" s="17"/>
      <c r="E63" s="17"/>
      <c r="F63" s="2976"/>
      <c r="G63" s="2976"/>
      <c r="H63" s="2976"/>
      <c r="I63" s="2976"/>
      <c r="J63" s="2976"/>
      <c r="K63" s="2976"/>
      <c r="L63" s="2976"/>
      <c r="M63" s="2967" t="s">
        <v>1233</v>
      </c>
      <c r="N63" s="2948" t="str">
        <f>Preferences.PowerUnits&amp;"e"</f>
        <v>GWe</v>
      </c>
      <c r="O63" s="866"/>
    </row>
    <row r="64" spans="1:15" ht="15.5">
      <c r="A64" s="2949"/>
      <c r="B64" s="2950"/>
      <c r="C64" s="2957"/>
      <c r="D64" s="17"/>
      <c r="E64" s="17"/>
      <c r="F64" s="2976"/>
      <c r="G64" s="2976"/>
      <c r="H64" s="2976"/>
      <c r="I64" s="2976"/>
      <c r="J64" s="2976"/>
      <c r="K64" s="2976"/>
      <c r="L64" s="2976"/>
      <c r="M64" s="2976"/>
      <c r="N64" s="2967"/>
      <c r="O64" s="866"/>
    </row>
    <row r="65" spans="1:28" ht="15.5">
      <c r="A65" s="2949"/>
      <c r="B65" s="2950"/>
      <c r="C65" s="2958"/>
      <c r="D65" s="2958" t="s">
        <v>71</v>
      </c>
      <c r="E65" s="2958" t="s">
        <v>30</v>
      </c>
      <c r="F65" s="2968">
        <v>2013</v>
      </c>
      <c r="G65" s="2968">
        <v>2015</v>
      </c>
      <c r="H65" s="2968">
        <v>2020</v>
      </c>
      <c r="I65" s="2968">
        <v>2025</v>
      </c>
      <c r="J65" s="2968">
        <v>2030</v>
      </c>
      <c r="K65" s="2968">
        <v>2035</v>
      </c>
      <c r="L65" s="2968">
        <v>2040</v>
      </c>
      <c r="M65" s="2968">
        <v>2045</v>
      </c>
      <c r="N65" s="2968">
        <v>2050</v>
      </c>
      <c r="O65" s="866"/>
    </row>
    <row r="66" spans="1:28" ht="15.5">
      <c r="A66" s="2949"/>
      <c r="B66" s="2950"/>
      <c r="C66" s="2457" t="s">
        <v>2344</v>
      </c>
      <c r="D66" s="1009" t="s">
        <v>1232</v>
      </c>
      <c r="E66" s="1009"/>
      <c r="F66" s="2971">
        <f ca="1">IFERROR(INDEX(INDIRECT($C66&amp;".Info["&amp;F$15&amp;"]"), MATCH($M$63, INDIRECT($C66&amp;".Info[Vector]"), 0)), 0)</f>
        <v>0</v>
      </c>
      <c r="G66" s="2971">
        <f t="shared" ref="G66:N67" ca="1" si="6">IFERROR(INDEX(INDIRECT($C66&amp;".Info["&amp;G$15&amp;"]"), MATCH($M$63, INDIRECT($C66&amp;".Info[Vector]"), 0)), 0)</f>
        <v>1.9777821075797632E-3</v>
      </c>
      <c r="H66" s="2971">
        <f t="shared" ca="1" si="6"/>
        <v>4.5399164534785687E-3</v>
      </c>
      <c r="I66" s="2953">
        <f t="shared" ca="1" si="6"/>
        <v>2.718752162482015E-2</v>
      </c>
      <c r="J66" s="2953">
        <f t="shared" ca="1" si="6"/>
        <v>5.1336511659995532E-2</v>
      </c>
      <c r="K66" s="2953">
        <f t="shared" ca="1" si="6"/>
        <v>8.0969761544051791E-2</v>
      </c>
      <c r="L66" s="2953">
        <f t="shared" ca="1" si="6"/>
        <v>0.11525169523406333</v>
      </c>
      <c r="M66" s="2953">
        <f t="shared" ca="1" si="6"/>
        <v>0.15069569126946619</v>
      </c>
      <c r="N66" s="2953">
        <f t="shared" ca="1" si="6"/>
        <v>0.1721913357842646</v>
      </c>
      <c r="O66" s="866"/>
    </row>
    <row r="67" spans="1:28" ht="15.5">
      <c r="A67" s="2949"/>
      <c r="B67" s="2950"/>
      <c r="C67" s="2457" t="s">
        <v>2345</v>
      </c>
      <c r="D67" s="508" t="s">
        <v>1235</v>
      </c>
      <c r="E67" s="508"/>
      <c r="F67" s="2973">
        <f ca="1">IFERROR(INDEX(INDIRECT($C67&amp;".Info["&amp;F$15&amp;"]"), MATCH($M$63, INDIRECT($C67&amp;".Info[Vector]"), 0)), 0)</f>
        <v>0</v>
      </c>
      <c r="G67" s="2973">
        <f t="shared" ca="1" si="6"/>
        <v>2.9376361791880244E-4</v>
      </c>
      <c r="H67" s="2973">
        <f t="shared" ca="1" si="6"/>
        <v>5.9332551654441847E-4</v>
      </c>
      <c r="I67" s="3313">
        <f t="shared" ca="1" si="6"/>
        <v>3.2844297627908211E-3</v>
      </c>
      <c r="J67" s="3313">
        <f t="shared" ca="1" si="6"/>
        <v>5.9917913794504613E-3</v>
      </c>
      <c r="K67" s="3313">
        <f t="shared" ca="1" si="6"/>
        <v>8.9864212101457772E-3</v>
      </c>
      <c r="L67" s="3313">
        <f t="shared" ca="1" si="6"/>
        <v>1.1905976324931537E-2</v>
      </c>
      <c r="M67" s="3313">
        <f t="shared" ca="1" si="6"/>
        <v>1.3257081165491368E-2</v>
      </c>
      <c r="N67" s="3313">
        <f t="shared" ca="1" si="6"/>
        <v>1.4058278638330713E-2</v>
      </c>
      <c r="O67" s="866"/>
    </row>
    <row r="68" spans="1:28" ht="15.5">
      <c r="A68" s="2949"/>
      <c r="B68" s="2950"/>
      <c r="C68" s="2974"/>
      <c r="D68" s="2975" t="s">
        <v>58</v>
      </c>
      <c r="E68" s="2975"/>
      <c r="F68" s="3312">
        <f t="shared" ref="F68:N68" ca="1" si="7">SUM(F66:F67)</f>
        <v>0</v>
      </c>
      <c r="G68" s="3312">
        <f t="shared" ca="1" si="7"/>
        <v>2.2715457254985656E-3</v>
      </c>
      <c r="H68" s="3312">
        <f t="shared" ca="1" si="7"/>
        <v>5.1332419700229875E-3</v>
      </c>
      <c r="I68" s="3312">
        <f t="shared" ca="1" si="7"/>
        <v>3.0471951387610972E-2</v>
      </c>
      <c r="J68" s="3312">
        <f t="shared" ca="1" si="7"/>
        <v>5.7328303039445992E-2</v>
      </c>
      <c r="K68" s="3312">
        <f t="shared" ca="1" si="7"/>
        <v>8.9956182754197561E-2</v>
      </c>
      <c r="L68" s="3312">
        <f t="shared" ca="1" si="7"/>
        <v>0.12715767155899485</v>
      </c>
      <c r="M68" s="3312">
        <f t="shared" ca="1" si="7"/>
        <v>0.16395277243495757</v>
      </c>
      <c r="N68" s="3312">
        <f t="shared" ca="1" si="7"/>
        <v>0.1862496144225953</v>
      </c>
      <c r="O68" s="866"/>
    </row>
    <row r="69" spans="1:28" ht="15.5">
      <c r="A69" s="2949"/>
      <c r="B69" s="2950"/>
      <c r="C69" s="2457"/>
      <c r="D69" s="17"/>
      <c r="E69" s="17"/>
      <c r="F69" s="2976"/>
      <c r="G69" s="2976"/>
      <c r="H69" s="2976"/>
      <c r="I69" s="2976"/>
      <c r="J69" s="2976"/>
      <c r="K69" s="2976"/>
      <c r="L69" s="2976"/>
      <c r="M69" s="2976"/>
      <c r="N69" s="2976"/>
      <c r="O69" s="866"/>
    </row>
    <row r="71" spans="1:28" s="6" customFormat="1" ht="23.5">
      <c r="A71" s="40"/>
      <c r="B71" s="869" t="s">
        <v>33</v>
      </c>
      <c r="C71" s="870"/>
      <c r="D71" s="870"/>
      <c r="E71" s="870"/>
      <c r="F71" s="870"/>
      <c r="G71" s="870"/>
      <c r="H71" s="870"/>
      <c r="I71" s="870"/>
      <c r="J71" s="870"/>
      <c r="K71" s="870"/>
      <c r="L71" s="870"/>
      <c r="M71" s="870"/>
      <c r="N71" s="870"/>
      <c r="O71" s="871"/>
      <c r="P71" s="2858"/>
      <c r="R71" s="2858"/>
      <c r="T71" s="2858"/>
      <c r="U71" s="2858"/>
      <c r="V71" s="2858"/>
      <c r="W71" s="2858"/>
      <c r="X71" s="2858"/>
      <c r="Y71" s="2858"/>
      <c r="Z71" s="2858"/>
      <c r="AA71" s="2858"/>
      <c r="AB71" s="2858"/>
    </row>
    <row r="72" spans="1:28">
      <c r="B72" s="105"/>
      <c r="C72" s="67"/>
      <c r="D72" s="67"/>
      <c r="E72" s="67"/>
      <c r="F72" s="67"/>
      <c r="G72" s="67"/>
      <c r="H72" s="67"/>
      <c r="I72" s="67"/>
      <c r="J72" s="67"/>
      <c r="K72" s="67"/>
      <c r="L72" s="67"/>
      <c r="M72" s="67"/>
      <c r="N72" s="67"/>
      <c r="O72" s="876"/>
    </row>
    <row r="73" spans="1:28">
      <c r="B73" s="105"/>
      <c r="C73" s="49" t="s">
        <v>2610</v>
      </c>
      <c r="D73" s="67"/>
      <c r="E73" s="50"/>
      <c r="F73" s="67"/>
      <c r="G73" s="67"/>
      <c r="H73" s="67"/>
      <c r="I73" s="67"/>
      <c r="J73" s="67"/>
      <c r="K73" s="67"/>
      <c r="L73" s="67"/>
      <c r="M73" s="67"/>
      <c r="N73" s="50" t="str">
        <f>Preferences.PowerUnits</f>
        <v>GW</v>
      </c>
      <c r="O73" s="876"/>
    </row>
    <row r="74" spans="1:28">
      <c r="B74" s="105"/>
      <c r="C74" s="67"/>
      <c r="D74" s="67"/>
      <c r="E74" s="67"/>
      <c r="F74" s="67"/>
      <c r="G74" s="67"/>
      <c r="H74" s="67"/>
      <c r="I74" s="67"/>
      <c r="J74" s="67"/>
      <c r="K74" s="67"/>
      <c r="L74" s="67"/>
      <c r="M74" s="67"/>
      <c r="N74" s="67"/>
      <c r="O74" s="876"/>
      <c r="T74" s="6"/>
      <c r="U74" s="6"/>
      <c r="V74" s="6"/>
      <c r="W74" s="6"/>
      <c r="X74" s="6"/>
      <c r="Y74" s="6"/>
      <c r="Z74" s="6"/>
      <c r="AA74" s="6"/>
      <c r="AB74" s="6"/>
    </row>
    <row r="75" spans="1:28" ht="15.5">
      <c r="B75" s="2203"/>
      <c r="C75" s="878" t="s">
        <v>8</v>
      </c>
      <c r="D75" s="878" t="s">
        <v>34</v>
      </c>
      <c r="E75" s="878" t="s">
        <v>30</v>
      </c>
      <c r="F75" s="87">
        <v>2013</v>
      </c>
      <c r="G75" s="87">
        <v>2015</v>
      </c>
      <c r="H75" s="87">
        <v>2020</v>
      </c>
      <c r="I75" s="87">
        <v>2025</v>
      </c>
      <c r="J75" s="87">
        <v>2030</v>
      </c>
      <c r="K75" s="87">
        <v>2035</v>
      </c>
      <c r="L75" s="87">
        <v>2040</v>
      </c>
      <c r="M75" s="87">
        <v>2045</v>
      </c>
      <c r="N75" s="87">
        <v>2050</v>
      </c>
      <c r="O75" s="876"/>
    </row>
    <row r="76" spans="1:28" ht="15.5">
      <c r="B76" s="2203"/>
      <c r="C76" s="65">
        <v>1</v>
      </c>
      <c r="D76" s="103"/>
      <c r="E76" s="103" t="s">
        <v>64</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76"/>
    </row>
    <row r="77" spans="1:28" ht="15.5">
      <c r="B77" s="2203"/>
      <c r="C77" s="65">
        <v>2</v>
      </c>
      <c r="D77" s="103"/>
      <c r="E77" s="103"/>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76" t="s">
        <v>5</v>
      </c>
    </row>
    <row r="78" spans="1:28" ht="15.5">
      <c r="B78" s="2203"/>
      <c r="C78" s="65">
        <v>3</v>
      </c>
      <c r="D78" s="103"/>
      <c r="E78" s="103" t="s">
        <v>66</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76" t="s">
        <v>5</v>
      </c>
    </row>
    <row r="79" spans="1:28" ht="15.5">
      <c r="B79" s="2203"/>
      <c r="C79" s="887">
        <v>4</v>
      </c>
      <c r="D79" s="888"/>
      <c r="E79" s="888" t="s">
        <v>105</v>
      </c>
      <c r="F79" s="1178">
        <f t="shared" si="8"/>
        <v>0.29199999999999998</v>
      </c>
      <c r="G79" s="898">
        <v>0.3</v>
      </c>
      <c r="H79" s="59">
        <f t="shared" si="10"/>
        <v>1.792</v>
      </c>
      <c r="I79" s="59">
        <f t="shared" si="10"/>
        <v>1.792</v>
      </c>
      <c r="J79" s="60">
        <f>(Unit.GW)*4</f>
        <v>4</v>
      </c>
      <c r="K79" s="60">
        <f>(Unit.GW)*4</f>
        <v>4</v>
      </c>
      <c r="L79" s="898">
        <f>(Unit.GW)*5</f>
        <v>5</v>
      </c>
      <c r="M79" s="898">
        <f>(Unit.GW)*5</f>
        <v>5</v>
      </c>
      <c r="N79" s="898">
        <f>(Unit.GW)*5</f>
        <v>5</v>
      </c>
      <c r="O79" s="876" t="s">
        <v>5</v>
      </c>
    </row>
    <row r="80" spans="1:28" ht="15.5">
      <c r="B80" s="55"/>
      <c r="C80" s="1015" t="s">
        <v>37</v>
      </c>
      <c r="D80" s="892"/>
      <c r="E80" s="892"/>
      <c r="F80" s="3315">
        <f>(INDEX(F76:F79,ROUNDDOWN($E$8,0))*(1-MOD($E$8,1)))+(INDEX(F76:F79,ROUNDUP($E$8,0))*MOD($E$8,1))</f>
        <v>0.29199999999999998</v>
      </c>
      <c r="G80" s="3316">
        <f t="shared" ref="G80:N80" si="11">(INDEX(G76:G79,ROUNDDOWN($E$8,0))*(1-MOD($E$8,1)))+(INDEX(G76:G79,ROUNDUP($E$8,0))*MOD($E$8,1))</f>
        <v>0.29199999999999998</v>
      </c>
      <c r="H80" s="3315">
        <f t="shared" si="11"/>
        <v>0.29199999999999998</v>
      </c>
      <c r="I80" s="3315">
        <f t="shared" si="11"/>
        <v>0.29199999999999998</v>
      </c>
      <c r="J80" s="3315">
        <f t="shared" si="11"/>
        <v>1.792</v>
      </c>
      <c r="K80" s="3315">
        <f t="shared" si="11"/>
        <v>1.792</v>
      </c>
      <c r="L80" s="3315">
        <f t="shared" si="11"/>
        <v>1.792</v>
      </c>
      <c r="M80" s="3315">
        <f>(INDEX(M76:M79,ROUNDDOWN($E$8,0))*(1-MOD($E$8,1)))+(INDEX(M76:M79,ROUNDUP($E$8,0))*MOD($E$8,1))</f>
        <v>1.792</v>
      </c>
      <c r="N80" s="3315">
        <f t="shared" si="11"/>
        <v>1.792</v>
      </c>
      <c r="O80" s="876"/>
    </row>
    <row r="81" spans="2:18" ht="15.5">
      <c r="B81" s="2203"/>
      <c r="C81" s="65"/>
      <c r="D81" s="103"/>
      <c r="E81" s="103"/>
      <c r="F81" s="59"/>
      <c r="G81" s="60"/>
      <c r="H81" s="60" t="s">
        <v>5</v>
      </c>
      <c r="I81" s="60"/>
      <c r="J81" s="60" t="s">
        <v>5</v>
      </c>
      <c r="K81" s="60"/>
      <c r="L81" s="60" t="s">
        <v>5</v>
      </c>
      <c r="M81" s="60"/>
      <c r="N81" s="60"/>
      <c r="O81" s="876"/>
    </row>
    <row r="82" spans="2:18" ht="15.5">
      <c r="B82" s="2203"/>
      <c r="C82" s="49" t="s">
        <v>3154</v>
      </c>
      <c r="D82" s="67"/>
      <c r="E82" s="50"/>
      <c r="F82" s="67"/>
      <c r="G82" s="67"/>
      <c r="H82" s="67"/>
      <c r="I82" s="67" t="s">
        <v>5</v>
      </c>
      <c r="J82" s="67" t="s">
        <v>5</v>
      </c>
      <c r="K82" s="67" t="s">
        <v>5</v>
      </c>
      <c r="L82" s="67" t="s">
        <v>5</v>
      </c>
      <c r="M82" s="67"/>
      <c r="N82" s="50" t="str">
        <f>Preferences.EnergyUnits</f>
        <v>TWh</v>
      </c>
      <c r="O82" s="876"/>
    </row>
    <row r="83" spans="2:18" ht="15.5">
      <c r="B83" s="2203"/>
      <c r="C83" s="67"/>
      <c r="D83" s="67"/>
      <c r="E83" s="67"/>
      <c r="F83" s="67"/>
      <c r="G83" s="67"/>
      <c r="H83" s="67"/>
      <c r="I83" s="67"/>
      <c r="J83" s="67"/>
      <c r="K83" s="67"/>
      <c r="L83" s="67"/>
      <c r="M83" s="67"/>
      <c r="N83" s="67"/>
      <c r="O83" s="876"/>
    </row>
    <row r="84" spans="2:18" ht="15.5">
      <c r="B84" s="2203"/>
      <c r="C84" s="878" t="s">
        <v>8</v>
      </c>
      <c r="D84" s="878" t="s">
        <v>34</v>
      </c>
      <c r="E84" s="878" t="s">
        <v>30</v>
      </c>
      <c r="F84" s="87">
        <v>2013</v>
      </c>
      <c r="G84" s="87">
        <v>2015</v>
      </c>
      <c r="H84" s="87">
        <v>2020</v>
      </c>
      <c r="I84" s="87">
        <v>2025</v>
      </c>
      <c r="J84" s="87">
        <v>2030</v>
      </c>
      <c r="K84" s="87">
        <v>2035</v>
      </c>
      <c r="L84" s="87">
        <v>2040</v>
      </c>
      <c r="M84" s="87">
        <v>2045</v>
      </c>
      <c r="N84" s="87">
        <v>2050</v>
      </c>
      <c r="O84" s="876"/>
    </row>
    <row r="85" spans="2:18" ht="15.5">
      <c r="B85" s="2203"/>
      <c r="C85" s="65">
        <v>1</v>
      </c>
      <c r="D85" s="103"/>
      <c r="E85" s="103" t="s">
        <v>64</v>
      </c>
      <c r="F85" s="1062">
        <f>(Unit.GWh)*1.59</f>
        <v>1.5900000000000001E-3</v>
      </c>
      <c r="G85" s="1062">
        <f>(Unit.GWh)*1.59</f>
        <v>1.5900000000000001E-3</v>
      </c>
      <c r="H85" s="1062">
        <f>(Unit.GWh)*1.59</f>
        <v>1.5900000000000001E-3</v>
      </c>
      <c r="I85" s="1062">
        <f>(Unit.GWh)*1.59</f>
        <v>1.5900000000000001E-3</v>
      </c>
      <c r="J85" s="1062">
        <f>(Unit.GWh)*7.59</f>
        <v>7.5900000000000004E-3</v>
      </c>
      <c r="K85" s="1062">
        <f>(Unit.GWh)*7.59</f>
        <v>7.5900000000000004E-3</v>
      </c>
      <c r="L85" s="1062">
        <f>(Unit.GWh)*7.59</f>
        <v>7.5900000000000004E-3</v>
      </c>
      <c r="M85" s="1062">
        <f>(Unit.GWh)*7.59</f>
        <v>7.5900000000000004E-3</v>
      </c>
      <c r="N85" s="1062">
        <f>(Unit.GWh)*7.59</f>
        <v>7.5900000000000004E-3</v>
      </c>
      <c r="O85" s="876"/>
    </row>
    <row r="86" spans="2:18" ht="15.5">
      <c r="B86" s="2203"/>
      <c r="C86" s="65">
        <v>2</v>
      </c>
      <c r="D86" s="103"/>
      <c r="E86" s="103" t="s">
        <v>66</v>
      </c>
      <c r="F86" s="1062">
        <f t="shared" ref="F86:G88" si="12">(Unit.GWh)*1.59</f>
        <v>1.5900000000000001E-3</v>
      </c>
      <c r="G86" s="1062">
        <f t="shared" si="12"/>
        <v>1.5900000000000001E-3</v>
      </c>
      <c r="H86" s="1062">
        <f>(Unit.GWh)*7.59</f>
        <v>7.5900000000000004E-3</v>
      </c>
      <c r="I86" s="1062">
        <f t="shared" ref="I86:N86" si="13">(Unit.GWh)*14.32</f>
        <v>1.4320000000000001E-2</v>
      </c>
      <c r="J86" s="1062">
        <f t="shared" si="13"/>
        <v>1.4320000000000001E-2</v>
      </c>
      <c r="K86" s="1062">
        <f t="shared" si="13"/>
        <v>1.4320000000000001E-2</v>
      </c>
      <c r="L86" s="1062">
        <f t="shared" si="13"/>
        <v>1.4320000000000001E-2</v>
      </c>
      <c r="M86" s="1062">
        <f t="shared" si="13"/>
        <v>1.4320000000000001E-2</v>
      </c>
      <c r="N86" s="1062">
        <f t="shared" si="13"/>
        <v>1.4320000000000001E-2</v>
      </c>
      <c r="O86" s="876" t="s">
        <v>5</v>
      </c>
    </row>
    <row r="87" spans="2:18" ht="15.5">
      <c r="B87" s="2203"/>
      <c r="C87" s="65">
        <v>3</v>
      </c>
      <c r="D87" s="103"/>
      <c r="E87" s="103" t="s">
        <v>66</v>
      </c>
      <c r="F87" s="1062">
        <f t="shared" si="12"/>
        <v>1.5900000000000001E-3</v>
      </c>
      <c r="G87" s="1062">
        <f t="shared" si="12"/>
        <v>1.5900000000000001E-3</v>
      </c>
      <c r="H87" s="1062">
        <f>(Unit.GWh)*7.59</f>
        <v>7.5900000000000004E-3</v>
      </c>
      <c r="I87" s="1062">
        <f>(Unit.GWh)*14.32</f>
        <v>1.4320000000000001E-2</v>
      </c>
      <c r="J87" s="1062">
        <f>(Unit.GWh)*14.32</f>
        <v>1.4320000000000001E-2</v>
      </c>
      <c r="K87" s="1062">
        <f>(Unit.GWh)*30</f>
        <v>0.03</v>
      </c>
      <c r="L87" s="1062">
        <f>(Unit.GWh)*30</f>
        <v>0.03</v>
      </c>
      <c r="M87" s="1062">
        <f>(Unit.GWh)*59</f>
        <v>5.9000000000000004E-2</v>
      </c>
      <c r="N87" s="1062">
        <f>(Unit.GWh)*59</f>
        <v>5.9000000000000004E-2</v>
      </c>
      <c r="O87" s="876"/>
    </row>
    <row r="88" spans="2:18" ht="15.5">
      <c r="B88" s="2203"/>
      <c r="C88" s="887">
        <v>4</v>
      </c>
      <c r="D88" s="888"/>
      <c r="E88" s="103" t="s">
        <v>66</v>
      </c>
      <c r="F88" s="1062">
        <f t="shared" si="12"/>
        <v>1.5900000000000001E-3</v>
      </c>
      <c r="G88" s="1062">
        <f t="shared" si="12"/>
        <v>1.5900000000000001E-3</v>
      </c>
      <c r="H88" s="1062">
        <f>(Unit.GWh)*7.59</f>
        <v>7.5900000000000004E-3</v>
      </c>
      <c r="I88" s="1062">
        <f>(Unit.GWh)*14.32</f>
        <v>1.4320000000000001E-2</v>
      </c>
      <c r="J88" s="1062">
        <f>(Unit.GWh)*59</f>
        <v>5.9000000000000004E-2</v>
      </c>
      <c r="K88" s="1062">
        <f>(Unit.GWh)*59</f>
        <v>5.9000000000000004E-2</v>
      </c>
      <c r="L88" s="1062">
        <f>(Unit.GWh)*70</f>
        <v>7.0000000000000007E-2</v>
      </c>
      <c r="M88" s="1062">
        <f>(Unit.GWh)*70</f>
        <v>7.0000000000000007E-2</v>
      </c>
      <c r="N88" s="1062">
        <f>(Unit.GWh)*70</f>
        <v>7.0000000000000007E-2</v>
      </c>
      <c r="O88" s="876"/>
      <c r="P88" s="3787" t="s">
        <v>5</v>
      </c>
    </row>
    <row r="89" spans="2:18" ht="15.5">
      <c r="B89" s="55"/>
      <c r="C89" s="1015" t="s">
        <v>37</v>
      </c>
      <c r="D89" s="892"/>
      <c r="E89" s="892"/>
      <c r="F89" s="3318">
        <f t="shared" ref="F89:N89" si="14">(INDEX(F85:F88,ROUNDDOWN($E$8,0))*(1-MOD($E$8,1)))+(INDEX(F85:F88,ROUNDUP($E$8,0))*MOD($E$8,1))</f>
        <v>1.5900000000000001E-3</v>
      </c>
      <c r="G89" s="3319">
        <f t="shared" si="14"/>
        <v>1.5900000000000001E-3</v>
      </c>
      <c r="H89" s="3318">
        <f t="shared" si="14"/>
        <v>1.5900000000000001E-3</v>
      </c>
      <c r="I89" s="3318">
        <f t="shared" si="14"/>
        <v>1.5900000000000001E-3</v>
      </c>
      <c r="J89" s="3318">
        <f t="shared" si="14"/>
        <v>7.5900000000000004E-3</v>
      </c>
      <c r="K89" s="3318">
        <f t="shared" si="14"/>
        <v>7.5900000000000004E-3</v>
      </c>
      <c r="L89" s="3318">
        <f t="shared" si="14"/>
        <v>7.5900000000000004E-3</v>
      </c>
      <c r="M89" s="3318">
        <f t="shared" si="14"/>
        <v>7.5900000000000004E-3</v>
      </c>
      <c r="N89" s="3318">
        <f t="shared" si="14"/>
        <v>7.5900000000000004E-3</v>
      </c>
      <c r="O89" s="876"/>
    </row>
    <row r="90" spans="2:18" ht="15.5">
      <c r="B90" s="2203"/>
      <c r="C90" s="65"/>
      <c r="D90" s="103"/>
      <c r="E90" s="103"/>
      <c r="F90" s="59"/>
      <c r="G90" s="60"/>
      <c r="H90" s="60" t="s">
        <v>5</v>
      </c>
      <c r="I90" s="60" t="s">
        <v>5</v>
      </c>
      <c r="J90" s="60" t="s">
        <v>5</v>
      </c>
      <c r="K90" s="60"/>
      <c r="L90" s="60"/>
      <c r="M90" s="60"/>
      <c r="N90" s="60"/>
      <c r="O90" s="876"/>
    </row>
    <row r="91" spans="2:18" ht="15.5">
      <c r="B91" s="2203"/>
      <c r="C91" s="49" t="s">
        <v>2346</v>
      </c>
      <c r="D91" s="67"/>
      <c r="E91" s="51" t="s">
        <v>5</v>
      </c>
      <c r="F91" s="67"/>
      <c r="G91" s="67"/>
      <c r="H91" s="67" t="s">
        <v>5</v>
      </c>
      <c r="I91" s="67"/>
      <c r="J91" s="67"/>
      <c r="K91" s="67"/>
      <c r="L91" s="67"/>
      <c r="M91" s="67"/>
      <c r="N91" s="50" t="str">
        <f>Preferences.PowerUnits</f>
        <v>GW</v>
      </c>
      <c r="O91" s="876"/>
      <c r="R91" s="2977"/>
    </row>
    <row r="92" spans="2:18" ht="15.5">
      <c r="B92" s="2203"/>
      <c r="C92" s="67"/>
      <c r="D92" s="67"/>
      <c r="E92" s="67"/>
      <c r="F92" s="67"/>
      <c r="G92" s="67"/>
      <c r="H92" s="67"/>
      <c r="I92" s="67"/>
      <c r="J92" s="67"/>
      <c r="K92" s="67"/>
      <c r="L92" s="67"/>
      <c r="M92" s="67"/>
      <c r="N92" s="67"/>
      <c r="O92" s="876"/>
    </row>
    <row r="93" spans="2:18" ht="15.5">
      <c r="B93" s="2203"/>
      <c r="C93" s="878" t="s">
        <v>8</v>
      </c>
      <c r="D93" s="878" t="s">
        <v>34</v>
      </c>
      <c r="E93" s="878" t="s">
        <v>30</v>
      </c>
      <c r="F93" s="87">
        <v>2013</v>
      </c>
      <c r="G93" s="87">
        <v>2015</v>
      </c>
      <c r="H93" s="87">
        <v>2020</v>
      </c>
      <c r="I93" s="87">
        <v>2025</v>
      </c>
      <c r="J93" s="87">
        <v>2030</v>
      </c>
      <c r="K93" s="87">
        <v>2035</v>
      </c>
      <c r="L93" s="87">
        <v>2040</v>
      </c>
      <c r="M93" s="87">
        <v>2045</v>
      </c>
      <c r="N93" s="87">
        <v>2050</v>
      </c>
      <c r="O93" s="876"/>
    </row>
    <row r="94" spans="2:18" ht="15.5">
      <c r="B94" s="2203"/>
      <c r="C94" s="65">
        <v>1</v>
      </c>
      <c r="D94" s="103"/>
      <c r="E94" s="103" t="s">
        <v>105</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76"/>
    </row>
    <row r="95" spans="2:18" ht="15.5">
      <c r="B95" s="2203"/>
      <c r="C95" s="65">
        <v>2</v>
      </c>
      <c r="D95" s="103"/>
      <c r="E95" s="103" t="s">
        <v>79</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76" t="s">
        <v>5</v>
      </c>
    </row>
    <row r="96" spans="2:18" ht="15.5">
      <c r="B96" s="2203"/>
      <c r="C96" s="65">
        <v>3</v>
      </c>
      <c r="D96" s="103"/>
      <c r="E96" s="103" t="s">
        <v>79</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76" t="s">
        <v>5</v>
      </c>
    </row>
    <row r="97" spans="2:15" ht="15.5">
      <c r="B97" s="2203"/>
      <c r="C97" s="887">
        <v>4</v>
      </c>
      <c r="D97" s="888"/>
      <c r="E97" s="888" t="s">
        <v>79</v>
      </c>
      <c r="F97" s="59">
        <f>(Unit.GW)*0.75</f>
        <v>0.75</v>
      </c>
      <c r="G97" s="59">
        <f>(Unit.GW)*0.75</f>
        <v>0.75</v>
      </c>
      <c r="H97" s="59">
        <f t="shared" si="16"/>
        <v>0.75</v>
      </c>
      <c r="I97" s="60">
        <f>(Unit.GW)*1.8</f>
        <v>1.8</v>
      </c>
      <c r="J97" s="60">
        <f>(Unit.GW)*2.8</f>
        <v>2.8</v>
      </c>
      <c r="K97" s="60">
        <f>(Unit.GW)*2.8</f>
        <v>2.8</v>
      </c>
      <c r="L97" s="898">
        <f>(Unit.GW)*3.8</f>
        <v>3.8</v>
      </c>
      <c r="M97" s="898">
        <f>(Unit.GW)*4.8</f>
        <v>4.8</v>
      </c>
      <c r="N97" s="898">
        <f>(Unit.GW)*4.8</f>
        <v>4.8</v>
      </c>
      <c r="O97" s="876"/>
    </row>
    <row r="98" spans="2:15" ht="15.5">
      <c r="B98" s="55"/>
      <c r="C98" s="1015" t="s">
        <v>37</v>
      </c>
      <c r="D98" s="892"/>
      <c r="E98" s="892"/>
      <c r="F98" s="3315">
        <f>(INDEX(F94:F97,ROUNDDOWN($E$8,0))*(1-MOD($E$8,1)))+(INDEX(F94:F97,ROUNDUP($E$8,0))*MOD($E$8,1))</f>
        <v>0.75</v>
      </c>
      <c r="G98" s="3316">
        <f t="shared" ref="G98:N98" si="18">(INDEX(G94:G97,ROUNDDOWN($E$8,0))*(1-MOD($E$8,1)))+(INDEX(G94:G97,ROUNDUP($E$8,0))*MOD($E$8,1))</f>
        <v>0.75</v>
      </c>
      <c r="H98" s="3315">
        <f t="shared" si="18"/>
        <v>0.75</v>
      </c>
      <c r="I98" s="3315">
        <f t="shared" si="18"/>
        <v>1.4</v>
      </c>
      <c r="J98" s="3315">
        <f t="shared" si="18"/>
        <v>1.4</v>
      </c>
      <c r="K98" s="3315">
        <f t="shared" si="18"/>
        <v>1.4</v>
      </c>
      <c r="L98" s="3315">
        <f t="shared" si="18"/>
        <v>1.4</v>
      </c>
      <c r="M98" s="3315">
        <f t="shared" si="18"/>
        <v>1.4</v>
      </c>
      <c r="N98" s="3315">
        <f t="shared" si="18"/>
        <v>1.4</v>
      </c>
      <c r="O98" s="876"/>
    </row>
    <row r="99" spans="2:15" ht="15.5">
      <c r="B99" s="2203"/>
      <c r="C99" s="65"/>
      <c r="D99" s="103"/>
      <c r="E99" s="103"/>
      <c r="F99" s="59"/>
      <c r="G99" s="60"/>
      <c r="H99" s="60"/>
      <c r="I99" s="60"/>
      <c r="J99" s="60"/>
      <c r="K99" s="60"/>
      <c r="L99" s="60"/>
      <c r="M99" s="60"/>
      <c r="N99" s="60"/>
      <c r="O99" s="876"/>
    </row>
    <row r="100" spans="2:15" ht="15.5">
      <c r="B100" s="2203"/>
      <c r="C100" s="84" t="s">
        <v>2347</v>
      </c>
      <c r="D100" s="103"/>
      <c r="E100" s="103"/>
      <c r="F100" s="60" t="s">
        <v>1698</v>
      </c>
      <c r="G100" s="3570" t="s">
        <v>63</v>
      </c>
      <c r="H100" s="60"/>
      <c r="I100" s="60" t="s">
        <v>5</v>
      </c>
      <c r="J100" s="60"/>
      <c r="K100" s="60"/>
      <c r="L100" s="60"/>
      <c r="M100" s="60"/>
      <c r="N100" s="60"/>
      <c r="O100" s="876"/>
    </row>
    <row r="101" spans="2:15" ht="15.5">
      <c r="B101" s="2203"/>
      <c r="C101" s="65"/>
      <c r="D101" s="103"/>
      <c r="E101" s="103"/>
      <c r="F101" s="59"/>
      <c r="G101" s="2263" t="s">
        <v>64</v>
      </c>
      <c r="H101" s="3847" t="s">
        <v>3200</v>
      </c>
      <c r="I101" s="3791"/>
      <c r="J101" s="60"/>
      <c r="K101" s="60"/>
      <c r="L101" s="60"/>
      <c r="M101" s="60"/>
      <c r="N101" s="60"/>
      <c r="O101" s="876"/>
    </row>
    <row r="102" spans="2:15" ht="15.5">
      <c r="B102" s="2203"/>
      <c r="C102" s="878" t="s">
        <v>8</v>
      </c>
      <c r="D102" s="878" t="s">
        <v>34</v>
      </c>
      <c r="E102" s="878" t="s">
        <v>30</v>
      </c>
      <c r="F102" s="87" t="s">
        <v>2348</v>
      </c>
      <c r="G102" s="2263" t="s">
        <v>66</v>
      </c>
      <c r="H102" s="3847" t="s">
        <v>3202</v>
      </c>
      <c r="I102" s="3791"/>
      <c r="J102" s="60"/>
      <c r="K102" s="60"/>
      <c r="L102" s="60"/>
      <c r="M102" s="60"/>
      <c r="N102" s="60"/>
      <c r="O102" s="876"/>
    </row>
    <row r="103" spans="2:15" ht="15.5">
      <c r="B103" s="2203"/>
      <c r="C103" s="65">
        <v>1</v>
      </c>
      <c r="D103" s="103"/>
      <c r="E103" s="103"/>
      <c r="F103" s="88">
        <v>0.75</v>
      </c>
      <c r="G103" s="2263"/>
      <c r="H103" s="3847" t="s">
        <v>3201</v>
      </c>
      <c r="I103" s="3791"/>
      <c r="J103" s="60"/>
      <c r="K103" s="60"/>
      <c r="L103" s="60"/>
      <c r="M103" s="60"/>
      <c r="N103" s="60"/>
      <c r="O103" s="876"/>
    </row>
    <row r="104" spans="2:15" ht="15.5">
      <c r="B104" s="2203"/>
      <c r="C104" s="65">
        <v>2</v>
      </c>
      <c r="D104" s="103"/>
      <c r="E104" s="103"/>
      <c r="F104" s="88">
        <v>0.75</v>
      </c>
      <c r="G104" s="2263" t="s">
        <v>105</v>
      </c>
      <c r="H104" s="3847" t="s">
        <v>3199</v>
      </c>
      <c r="I104" s="3791"/>
      <c r="J104" s="60"/>
      <c r="K104" s="60"/>
      <c r="L104" s="60"/>
      <c r="M104" s="60"/>
      <c r="N104" s="60"/>
      <c r="O104" s="876"/>
    </row>
    <row r="105" spans="2:15" ht="15.5">
      <c r="B105" s="2203"/>
      <c r="C105" s="65">
        <v>3</v>
      </c>
      <c r="D105" s="103"/>
      <c r="E105" s="103"/>
      <c r="F105" s="88">
        <v>0.75</v>
      </c>
      <c r="G105" s="2263" t="s">
        <v>79</v>
      </c>
      <c r="H105" s="3897" t="s">
        <v>3203</v>
      </c>
      <c r="I105" s="3791"/>
      <c r="J105" s="60"/>
      <c r="K105" s="60"/>
      <c r="L105" s="60"/>
      <c r="M105" s="60"/>
      <c r="N105" s="60"/>
      <c r="O105" s="876"/>
    </row>
    <row r="106" spans="2:15" ht="15.5">
      <c r="B106" s="2203"/>
      <c r="C106" s="887">
        <v>4</v>
      </c>
      <c r="D106" s="888"/>
      <c r="E106" s="888"/>
      <c r="F106" s="93">
        <v>0.75</v>
      </c>
      <c r="G106" s="2263" t="s">
        <v>155</v>
      </c>
      <c r="H106" s="3897" t="s">
        <v>3204</v>
      </c>
      <c r="I106" s="60"/>
      <c r="J106" s="60"/>
      <c r="K106" s="60"/>
      <c r="L106" s="60"/>
      <c r="M106" s="60"/>
      <c r="N106" s="60"/>
      <c r="O106" s="876"/>
    </row>
    <row r="107" spans="2:15" ht="15.5">
      <c r="B107" s="55"/>
      <c r="C107" s="1015" t="s">
        <v>37</v>
      </c>
      <c r="D107" s="892"/>
      <c r="E107" s="892"/>
      <c r="F107" s="97">
        <v>0.75</v>
      </c>
      <c r="G107" s="2263"/>
      <c r="H107" s="3897" t="s">
        <v>3205</v>
      </c>
      <c r="I107" s="60"/>
      <c r="J107" s="60"/>
      <c r="K107" s="60"/>
      <c r="L107" s="60"/>
      <c r="M107" s="60"/>
      <c r="N107" s="60"/>
      <c r="O107" s="876"/>
    </row>
    <row r="108" spans="2:15" ht="15.5">
      <c r="B108" s="2203"/>
      <c r="C108" s="65"/>
      <c r="D108" s="103"/>
      <c r="E108" s="103"/>
      <c r="F108" s="59"/>
      <c r="G108" s="60"/>
      <c r="H108" s="3897"/>
      <c r="I108" s="60"/>
      <c r="J108" s="60"/>
      <c r="K108" s="60"/>
      <c r="L108" s="60"/>
      <c r="M108" s="60"/>
      <c r="N108" s="60"/>
      <c r="O108" s="60"/>
    </row>
    <row r="109" spans="2:15" ht="15.5">
      <c r="B109" s="2203"/>
      <c r="C109" s="49" t="s">
        <v>2349</v>
      </c>
      <c r="D109" s="67"/>
      <c r="E109" s="67"/>
      <c r="F109" s="67"/>
      <c r="G109" s="67"/>
      <c r="H109" s="51" t="s">
        <v>2350</v>
      </c>
      <c r="I109" s="60"/>
      <c r="J109" s="3314"/>
      <c r="K109" s="60"/>
      <c r="L109" s="60"/>
      <c r="M109" s="60"/>
      <c r="N109" s="60"/>
      <c r="O109" s="60"/>
    </row>
    <row r="110" spans="2:15" ht="15.5">
      <c r="B110" s="2203"/>
      <c r="C110" s="281"/>
      <c r="D110" s="67"/>
      <c r="E110" s="67"/>
      <c r="F110" s="67"/>
      <c r="G110" s="67"/>
      <c r="H110" s="67"/>
      <c r="I110" s="60"/>
      <c r="J110" s="60"/>
      <c r="K110" s="60"/>
      <c r="L110" s="60"/>
      <c r="M110" s="60"/>
      <c r="N110" s="60"/>
      <c r="O110" s="60"/>
    </row>
    <row r="111" spans="2:15" ht="15.5">
      <c r="B111" s="2203"/>
      <c r="C111" s="878" t="s">
        <v>8</v>
      </c>
      <c r="D111" s="878" t="s">
        <v>71</v>
      </c>
      <c r="E111" s="878" t="s">
        <v>30</v>
      </c>
      <c r="F111" s="87"/>
      <c r="G111" s="1265" t="s">
        <v>1127</v>
      </c>
      <c r="H111" s="87" t="s">
        <v>1126</v>
      </c>
      <c r="I111" s="60"/>
      <c r="J111" s="60"/>
      <c r="K111" s="60"/>
      <c r="L111" s="60"/>
      <c r="M111" s="60"/>
      <c r="N111" s="60"/>
      <c r="O111" s="60"/>
    </row>
    <row r="112" spans="2:15" ht="15.5">
      <c r="B112" s="2203"/>
      <c r="C112" s="65">
        <v>1</v>
      </c>
      <c r="D112" s="103"/>
      <c r="E112" s="881"/>
      <c r="F112" s="59"/>
      <c r="G112" s="3320">
        <v>0</v>
      </c>
      <c r="H112" s="2569">
        <v>0</v>
      </c>
      <c r="I112" s="60"/>
      <c r="J112" s="60"/>
      <c r="K112" s="60"/>
      <c r="L112" s="60"/>
      <c r="M112" s="60"/>
      <c r="N112" s="60"/>
      <c r="O112" s="60"/>
    </row>
    <row r="113" spans="1:28" ht="15.5">
      <c r="B113" s="2203"/>
      <c r="C113" s="65">
        <v>2</v>
      </c>
      <c r="D113" s="103"/>
      <c r="E113" s="103"/>
      <c r="F113" s="59"/>
      <c r="G113" s="3321">
        <f>33%*75%</f>
        <v>0.2475</v>
      </c>
      <c r="H113" s="3322">
        <f>33%*90%</f>
        <v>0.29700000000000004</v>
      </c>
      <c r="I113" s="60"/>
      <c r="J113" s="60"/>
      <c r="K113" s="60"/>
      <c r="L113" s="60"/>
      <c r="M113" s="60"/>
      <c r="N113" s="60"/>
      <c r="O113" s="60"/>
    </row>
    <row r="114" spans="1:28" ht="15.5">
      <c r="B114" s="2203"/>
      <c r="C114" s="65">
        <v>3</v>
      </c>
      <c r="D114" s="103"/>
      <c r="E114" s="103"/>
      <c r="F114" s="59"/>
      <c r="G114" s="3321">
        <f>66%*75%</f>
        <v>0.495</v>
      </c>
      <c r="H114" s="3322">
        <f>66%*90%</f>
        <v>0.59400000000000008</v>
      </c>
      <c r="I114" s="60"/>
      <c r="J114" s="60"/>
      <c r="K114" s="60"/>
      <c r="L114" s="60"/>
      <c r="M114" s="60"/>
      <c r="N114" s="60"/>
      <c r="O114" s="60"/>
    </row>
    <row r="115" spans="1:28" ht="15.5">
      <c r="B115" s="2203"/>
      <c r="C115" s="887">
        <v>4</v>
      </c>
      <c r="D115" s="888"/>
      <c r="E115" s="888"/>
      <c r="F115" s="1013"/>
      <c r="G115" s="3323">
        <f>75%</f>
        <v>0.75</v>
      </c>
      <c r="H115" s="3324">
        <f>90%</f>
        <v>0.9</v>
      </c>
      <c r="I115" s="60"/>
      <c r="J115" s="60"/>
      <c r="K115" s="60"/>
      <c r="L115" s="60"/>
      <c r="M115" s="60"/>
      <c r="N115" s="60"/>
      <c r="O115" s="60"/>
    </row>
    <row r="116" spans="1:28" ht="15.5">
      <c r="B116" s="55"/>
      <c r="C116" s="1015" t="s">
        <v>37</v>
      </c>
      <c r="D116" s="892"/>
      <c r="E116" s="892"/>
      <c r="F116" s="79"/>
      <c r="G116" s="3325">
        <f>(INDEX(G112:G115,ROUNDDOWN($E$8,0))*(1-MOD($E$8,1)))+(INDEX(G112:G115,ROUNDUP($E$8,0))*MOD($E$8,1))</f>
        <v>0</v>
      </c>
      <c r="H116" s="3325">
        <f>(INDEX(H112:H115,ROUNDDOWN($E$8,0))*(1-MOD($E$8,1)))+(INDEX(H112:H115,ROUNDUP($E$8,0))*MOD($E$8,1))</f>
        <v>0</v>
      </c>
      <c r="I116" s="60"/>
      <c r="J116" s="60"/>
      <c r="K116" s="60"/>
      <c r="L116" s="60"/>
      <c r="M116" s="60"/>
      <c r="N116" s="60"/>
      <c r="O116" s="60"/>
    </row>
    <row r="117" spans="1:28" ht="15.5">
      <c r="B117" s="2203"/>
      <c r="C117" s="65"/>
      <c r="D117" s="103"/>
      <c r="E117" s="103"/>
      <c r="F117" s="59"/>
      <c r="G117" s="60"/>
      <c r="H117" s="60"/>
      <c r="I117" s="60"/>
      <c r="J117" s="60"/>
      <c r="K117" s="60"/>
      <c r="L117" s="60"/>
      <c r="M117" s="60"/>
      <c r="N117" s="60"/>
      <c r="O117" s="60"/>
    </row>
    <row r="119" spans="1:28" s="6" customFormat="1" ht="23.5">
      <c r="A119" s="40"/>
      <c r="B119" s="869" t="s">
        <v>69</v>
      </c>
      <c r="C119" s="870"/>
      <c r="D119" s="870"/>
      <c r="E119" s="870"/>
      <c r="F119" s="870"/>
      <c r="G119" s="870"/>
      <c r="H119" s="870"/>
      <c r="I119" s="870"/>
      <c r="J119" s="870"/>
      <c r="K119" s="870"/>
      <c r="L119" s="870"/>
      <c r="M119" s="870"/>
      <c r="N119" s="870"/>
      <c r="O119" s="871"/>
      <c r="P119" s="2858"/>
      <c r="T119" s="2858"/>
      <c r="U119" s="2858"/>
      <c r="V119" s="2858"/>
      <c r="W119" s="2858"/>
      <c r="X119" s="2858"/>
      <c r="Y119" s="2858"/>
      <c r="Z119" s="2858"/>
      <c r="AA119" s="2858"/>
      <c r="AB119" s="2858"/>
    </row>
    <row r="120" spans="1:28">
      <c r="B120" s="105"/>
      <c r="C120" s="67"/>
      <c r="D120" s="67"/>
      <c r="E120" s="67"/>
      <c r="F120" s="67"/>
      <c r="G120" s="67"/>
      <c r="H120" s="67"/>
      <c r="I120" s="67"/>
      <c r="J120" s="67"/>
      <c r="K120" s="67"/>
      <c r="L120" s="67"/>
      <c r="M120" s="67"/>
      <c r="N120" s="67"/>
      <c r="O120" s="876"/>
    </row>
    <row r="121" spans="1:28">
      <c r="B121" s="105"/>
      <c r="C121" s="49" t="s">
        <v>2955</v>
      </c>
      <c r="D121" s="67"/>
      <c r="E121" s="67"/>
      <c r="F121" s="67"/>
      <c r="G121" s="67"/>
      <c r="H121" s="67"/>
      <c r="I121" s="67"/>
      <c r="J121" s="67"/>
      <c r="K121" s="67"/>
      <c r="L121" s="67"/>
      <c r="M121" s="67"/>
      <c r="N121" s="50" t="str">
        <f>Preferences.EnergyUnits</f>
        <v>TWh</v>
      </c>
      <c r="O121" s="876"/>
    </row>
    <row r="122" spans="1:28">
      <c r="B122" s="105"/>
      <c r="C122" s="67"/>
      <c r="D122" s="67"/>
      <c r="E122" s="67"/>
      <c r="F122" s="67"/>
      <c r="G122" s="67"/>
      <c r="H122" s="67"/>
      <c r="I122" s="67"/>
      <c r="J122" s="67"/>
      <c r="K122" s="67"/>
      <c r="L122" s="67"/>
      <c r="M122" s="67"/>
      <c r="N122" s="67"/>
      <c r="O122" s="876"/>
      <c r="T122" s="6"/>
      <c r="U122" s="6"/>
      <c r="V122" s="6"/>
      <c r="W122" s="6"/>
      <c r="X122" s="6"/>
      <c r="Y122" s="6"/>
      <c r="Z122" s="6"/>
      <c r="AA122" s="6"/>
      <c r="AB122" s="6"/>
    </row>
    <row r="123" spans="1:28" ht="15.5">
      <c r="B123" s="2203"/>
      <c r="C123" s="878" t="s">
        <v>28</v>
      </c>
      <c r="D123" s="878" t="s">
        <v>29</v>
      </c>
      <c r="E123" s="878" t="s">
        <v>30</v>
      </c>
      <c r="F123" s="87">
        <v>2013</v>
      </c>
      <c r="G123" s="87">
        <v>2015</v>
      </c>
      <c r="H123" s="87">
        <v>2020</v>
      </c>
      <c r="I123" s="87">
        <v>2025</v>
      </c>
      <c r="J123" s="87">
        <v>2030</v>
      </c>
      <c r="K123" s="87">
        <v>2035</v>
      </c>
      <c r="L123" s="87">
        <v>2040</v>
      </c>
      <c r="M123" s="87">
        <v>2045</v>
      </c>
      <c r="N123" s="87">
        <v>2050</v>
      </c>
      <c r="O123" s="876"/>
    </row>
    <row r="124" spans="1:28" s="6" customFormat="1" ht="15.5">
      <c r="B124" s="2978"/>
      <c r="C124" s="901" t="s">
        <v>96</v>
      </c>
      <c r="D124" s="901" t="s">
        <v>2351</v>
      </c>
      <c r="E124" s="901" t="s">
        <v>64</v>
      </c>
      <c r="F124" s="2979">
        <f>'Irl. Energy Balance 2013 (TWh)'!AK19-'Irl. Energy Balance 2013 (TWh)'!AK12</f>
        <v>-0.24050481566786658</v>
      </c>
      <c r="G124" s="2979">
        <v>0</v>
      </c>
      <c r="H124" s="2979">
        <v>0</v>
      </c>
      <c r="I124" s="2979">
        <v>0</v>
      </c>
      <c r="J124" s="2979">
        <v>0</v>
      </c>
      <c r="K124" s="2979">
        <v>0</v>
      </c>
      <c r="L124" s="2979">
        <v>0</v>
      </c>
      <c r="M124" s="2979">
        <v>0</v>
      </c>
      <c r="N124" s="2979">
        <v>0</v>
      </c>
      <c r="O124" s="884"/>
      <c r="P124" s="2858"/>
      <c r="R124" s="2980"/>
      <c r="S124" s="2981"/>
      <c r="T124" s="2858"/>
      <c r="U124" s="2858"/>
      <c r="V124" s="2858"/>
      <c r="W124" s="2858"/>
      <c r="X124" s="2858"/>
      <c r="Y124" s="2858"/>
      <c r="Z124" s="2858"/>
      <c r="AA124" s="2858"/>
      <c r="AB124" s="2858"/>
    </row>
    <row r="125" spans="1:28" s="6" customFormat="1" ht="15.5">
      <c r="B125" s="2978"/>
      <c r="C125" s="915"/>
      <c r="D125" s="915"/>
      <c r="E125" s="915"/>
      <c r="F125" s="944"/>
      <c r="G125" s="944"/>
      <c r="H125" s="944"/>
      <c r="I125" s="944"/>
      <c r="J125" s="944"/>
      <c r="K125" s="944"/>
      <c r="L125" s="944"/>
      <c r="M125" s="944"/>
      <c r="N125" s="944"/>
      <c r="O125" s="884"/>
      <c r="P125" s="2858"/>
      <c r="R125" s="2980"/>
      <c r="S125" s="2981"/>
      <c r="T125" s="2858"/>
      <c r="U125" s="2858"/>
      <c r="V125" s="2858"/>
      <c r="W125" s="2858"/>
      <c r="X125" s="2858"/>
      <c r="Y125" s="2858"/>
      <c r="Z125" s="2858"/>
      <c r="AA125" s="2858"/>
      <c r="AB125" s="2858"/>
    </row>
    <row r="126" spans="1:28" s="6" customFormat="1" ht="15.5">
      <c r="B126" s="2978"/>
      <c r="C126" s="932" t="s">
        <v>64</v>
      </c>
      <c r="D126" s="915" t="s">
        <v>2352</v>
      </c>
      <c r="E126" s="915"/>
      <c r="F126" s="944"/>
      <c r="G126" s="944"/>
      <c r="H126" s="944"/>
      <c r="I126" s="944"/>
      <c r="J126" s="944"/>
      <c r="K126" s="944"/>
      <c r="L126" s="944"/>
      <c r="M126" s="944"/>
      <c r="N126" s="944"/>
      <c r="O126" s="884"/>
      <c r="P126" s="2858"/>
      <c r="R126" s="2980"/>
      <c r="S126" s="2981"/>
      <c r="T126" s="2858"/>
      <c r="U126" s="2858"/>
      <c r="V126" s="2858"/>
      <c r="W126" s="2858"/>
      <c r="X126" s="2858"/>
      <c r="Y126" s="2858"/>
      <c r="Z126" s="2858"/>
      <c r="AA126" s="2858"/>
      <c r="AB126" s="2858"/>
    </row>
    <row r="127" spans="1:28">
      <c r="B127" s="45"/>
      <c r="C127" s="67"/>
      <c r="D127" s="195"/>
      <c r="E127" s="67"/>
      <c r="F127" s="67"/>
      <c r="G127" s="67"/>
      <c r="H127" s="67"/>
      <c r="I127" s="67"/>
      <c r="J127" s="67"/>
      <c r="K127" s="67"/>
      <c r="L127" s="67"/>
      <c r="M127" s="67"/>
      <c r="N127" s="67"/>
      <c r="O127" s="876"/>
    </row>
    <row r="128" spans="1:28">
      <c r="B128" s="45"/>
      <c r="C128" s="49" t="s">
        <v>2353</v>
      </c>
      <c r="D128" s="195"/>
      <c r="E128" s="67"/>
      <c r="F128" s="67"/>
      <c r="G128" s="67"/>
      <c r="H128" s="67"/>
      <c r="I128" s="67"/>
      <c r="J128" s="67"/>
      <c r="K128" s="67"/>
      <c r="L128" s="67"/>
      <c r="M128" s="67"/>
      <c r="N128" s="67"/>
      <c r="O128" s="67"/>
    </row>
    <row r="129" spans="2:28">
      <c r="B129" s="45"/>
      <c r="C129" s="67"/>
      <c r="D129" s="195"/>
      <c r="E129" s="67"/>
      <c r="F129" s="67"/>
      <c r="G129" s="67"/>
      <c r="H129" s="67"/>
      <c r="I129" s="67"/>
      <c r="J129" s="67"/>
      <c r="K129" s="67"/>
      <c r="L129" s="67"/>
      <c r="M129" s="67"/>
      <c r="N129" s="67"/>
      <c r="O129" s="67"/>
      <c r="T129" s="6"/>
      <c r="U129" s="6"/>
      <c r="V129" s="6"/>
      <c r="W129" s="6"/>
      <c r="X129" s="6"/>
      <c r="Y129" s="6"/>
      <c r="Z129" s="6"/>
      <c r="AA129" s="6"/>
      <c r="AB129" s="6"/>
    </row>
    <row r="130" spans="2:28" ht="15.5">
      <c r="B130" s="2203"/>
      <c r="C130" s="878"/>
      <c r="D130" s="878" t="s">
        <v>29</v>
      </c>
      <c r="E130" s="878" t="s">
        <v>30</v>
      </c>
      <c r="F130" s="900" t="s">
        <v>1448</v>
      </c>
      <c r="G130" s="4338" t="s">
        <v>1447</v>
      </c>
      <c r="H130" s="4338"/>
      <c r="I130" s="2982"/>
      <c r="J130" s="2982"/>
      <c r="K130" s="67"/>
      <c r="L130" s="67"/>
      <c r="M130" s="67"/>
      <c r="N130" s="67"/>
      <c r="O130" s="67"/>
    </row>
    <row r="131" spans="2:28" ht="15.5">
      <c r="B131" s="2203"/>
      <c r="C131" s="2671"/>
      <c r="D131" s="2983" t="s">
        <v>2354</v>
      </c>
      <c r="E131" s="915"/>
      <c r="F131" s="933">
        <v>5</v>
      </c>
      <c r="G131" s="4339" t="s">
        <v>2355</v>
      </c>
      <c r="H131" s="4339"/>
      <c r="I131" s="67"/>
      <c r="J131" s="67"/>
      <c r="K131" s="67"/>
      <c r="L131" s="67"/>
      <c r="M131" s="67"/>
      <c r="N131" s="67"/>
      <c r="O131" s="67"/>
    </row>
    <row r="132" spans="2:28" ht="15.5">
      <c r="B132" s="2203"/>
      <c r="C132" s="915"/>
      <c r="D132" s="2983" t="s">
        <v>2356</v>
      </c>
      <c r="E132" s="915"/>
      <c r="F132" s="933">
        <v>1</v>
      </c>
      <c r="G132" s="4340" t="s">
        <v>2357</v>
      </c>
      <c r="H132" s="4340"/>
      <c r="I132" s="2795"/>
      <c r="J132" s="2795"/>
      <c r="K132" s="2795"/>
      <c r="L132" s="2984"/>
      <c r="M132" s="2985"/>
      <c r="N132" s="935"/>
      <c r="O132" s="67"/>
    </row>
    <row r="133" spans="2:28" ht="15.5">
      <c r="B133" s="2203"/>
      <c r="C133" s="915"/>
      <c r="D133" s="1216" t="s">
        <v>2358</v>
      </c>
      <c r="E133" s="915"/>
      <c r="F133" s="944">
        <v>-1.4</v>
      </c>
      <c r="G133" s="2986" t="s">
        <v>70</v>
      </c>
      <c r="H133" s="2983"/>
      <c r="I133" s="2795"/>
      <c r="J133" s="2795"/>
      <c r="K133" s="2795"/>
      <c r="L133" s="2987"/>
      <c r="M133" s="2987"/>
      <c r="N133" s="2987"/>
      <c r="O133" s="67"/>
    </row>
    <row r="134" spans="2:28" ht="15.5">
      <c r="B134" s="2203"/>
      <c r="C134" s="915"/>
      <c r="D134" s="2983" t="s">
        <v>512</v>
      </c>
      <c r="E134" s="915"/>
      <c r="F134" s="2795">
        <v>-0.83</v>
      </c>
      <c r="G134" s="2988" t="s">
        <v>2359</v>
      </c>
      <c r="H134" s="2983"/>
      <c r="I134" s="2795"/>
      <c r="J134" s="49"/>
      <c r="K134" s="2989"/>
      <c r="L134" s="1086"/>
      <c r="M134" s="1086"/>
      <c r="N134" s="1086"/>
      <c r="O134" s="67"/>
    </row>
    <row r="135" spans="2:28" ht="15.5">
      <c r="B135" s="2203"/>
      <c r="C135" s="915"/>
      <c r="D135" s="2983" t="s">
        <v>514</v>
      </c>
      <c r="E135" s="915"/>
      <c r="F135" s="2795">
        <v>-0.85</v>
      </c>
      <c r="G135" s="2988" t="s">
        <v>2359</v>
      </c>
      <c r="H135" s="2983"/>
      <c r="I135" s="2795"/>
      <c r="J135" s="2795"/>
      <c r="K135" s="2989"/>
      <c r="L135" s="1086"/>
      <c r="M135" s="1086"/>
      <c r="N135" s="1086"/>
      <c r="O135" s="67"/>
    </row>
    <row r="136" spans="2:28" ht="15.5">
      <c r="B136" s="2203"/>
      <c r="C136" s="2990"/>
      <c r="D136" s="915" t="s">
        <v>390</v>
      </c>
      <c r="E136" s="915"/>
      <c r="F136" s="2795">
        <v>-0.43</v>
      </c>
      <c r="G136" s="2988" t="s">
        <v>2359</v>
      </c>
      <c r="H136" s="2991"/>
      <c r="I136" s="2795"/>
      <c r="J136" s="2795"/>
      <c r="K136" s="2992"/>
      <c r="L136" s="1086"/>
      <c r="M136" s="1086"/>
      <c r="N136" s="1086"/>
      <c r="O136" s="67"/>
    </row>
    <row r="137" spans="2:28" ht="15.5">
      <c r="B137" s="2203"/>
      <c r="C137" s="2990"/>
      <c r="D137" s="915" t="s">
        <v>1461</v>
      </c>
      <c r="E137" s="915"/>
      <c r="F137" s="2795">
        <v>-0.8</v>
      </c>
      <c r="G137" s="2988" t="s">
        <v>2359</v>
      </c>
      <c r="H137" s="1057"/>
      <c r="I137" s="2795"/>
      <c r="J137" s="2795"/>
      <c r="K137" s="67"/>
      <c r="L137" s="67"/>
      <c r="M137" s="67"/>
      <c r="N137" s="67"/>
      <c r="O137" s="67"/>
    </row>
    <row r="138" spans="2:28" ht="15.5">
      <c r="B138" s="2203"/>
      <c r="C138" s="2990"/>
      <c r="D138" s="915" t="s">
        <v>1462</v>
      </c>
      <c r="E138" s="915"/>
      <c r="F138" s="2795">
        <v>-0.8</v>
      </c>
      <c r="G138" s="2988" t="s">
        <v>2359</v>
      </c>
      <c r="H138" s="1057"/>
      <c r="I138" s="2795"/>
      <c r="J138" s="2795"/>
      <c r="K138" s="67"/>
      <c r="L138" s="67"/>
      <c r="M138" s="67"/>
      <c r="N138" s="67"/>
      <c r="O138" s="67"/>
    </row>
    <row r="139" spans="2:28" ht="15.5">
      <c r="B139" s="2203"/>
      <c r="C139" s="2993"/>
      <c r="D139" s="948" t="s">
        <v>1463</v>
      </c>
      <c r="E139" s="948"/>
      <c r="F139" s="2798">
        <v>-0.83</v>
      </c>
      <c r="G139" s="2994" t="s">
        <v>2359</v>
      </c>
      <c r="H139" s="2995"/>
      <c r="I139" s="2795"/>
      <c r="J139" s="2795"/>
      <c r="K139" s="67"/>
      <c r="L139" s="67"/>
      <c r="M139" s="67"/>
      <c r="N139" s="67"/>
      <c r="O139" s="67"/>
    </row>
    <row r="140" spans="2:28" ht="15.5">
      <c r="B140" s="2203"/>
      <c r="C140" s="915"/>
      <c r="D140" s="915"/>
      <c r="E140" s="915"/>
      <c r="F140" s="933"/>
      <c r="G140" s="933"/>
      <c r="H140" s="2795"/>
      <c r="I140" s="2795"/>
      <c r="J140" s="2795"/>
      <c r="K140" s="67"/>
      <c r="L140" s="67"/>
      <c r="M140" s="67"/>
      <c r="N140" s="67"/>
      <c r="O140" s="67"/>
    </row>
    <row r="141" spans="2:28" ht="15.5">
      <c r="B141" s="2203"/>
      <c r="C141" s="2996" t="s">
        <v>2360</v>
      </c>
      <c r="D141" s="915"/>
      <c r="E141" s="915"/>
      <c r="F141" s="933"/>
      <c r="G141" s="933"/>
      <c r="H141" s="2795"/>
      <c r="I141" s="2795"/>
      <c r="J141" s="2795"/>
      <c r="K141" s="67"/>
      <c r="L141" s="67"/>
      <c r="M141" s="67"/>
      <c r="N141" s="67"/>
      <c r="O141" s="67"/>
    </row>
    <row r="142" spans="2:28" ht="15.5">
      <c r="B142" s="2203"/>
      <c r="C142" s="2996"/>
      <c r="D142" s="915"/>
      <c r="E142" s="915"/>
      <c r="F142" s="933"/>
      <c r="G142" s="933"/>
      <c r="H142" s="2795"/>
      <c r="I142" s="2795"/>
      <c r="J142" s="2795"/>
      <c r="K142" s="67"/>
      <c r="L142" s="67"/>
      <c r="M142" s="67"/>
      <c r="N142" s="67"/>
      <c r="O142" s="67"/>
    </row>
    <row r="143" spans="2:28" ht="15.5">
      <c r="B143" s="2203"/>
      <c r="C143" s="915"/>
      <c r="D143" s="878" t="s">
        <v>29</v>
      </c>
      <c r="E143" s="878" t="s">
        <v>30</v>
      </c>
      <c r="F143" s="900" t="s">
        <v>1448</v>
      </c>
      <c r="G143" s="878" t="s">
        <v>1447</v>
      </c>
      <c r="H143" s="900"/>
      <c r="I143" s="900"/>
      <c r="J143" s="2795"/>
      <c r="K143" s="67"/>
      <c r="L143" s="67"/>
      <c r="M143" s="67"/>
      <c r="N143" s="67"/>
      <c r="O143" s="67"/>
    </row>
    <row r="144" spans="2:28" ht="15.5">
      <c r="B144" s="2203"/>
      <c r="C144" s="915"/>
      <c r="D144" s="195" t="s">
        <v>1433</v>
      </c>
      <c r="E144" s="67" t="s">
        <v>2061</v>
      </c>
      <c r="F144" s="2997">
        <v>-0.1615</v>
      </c>
      <c r="G144" s="2985" t="s">
        <v>2361</v>
      </c>
      <c r="H144" s="67"/>
      <c r="I144" s="51"/>
      <c r="J144" s="2795"/>
      <c r="K144" s="67"/>
      <c r="L144" s="67"/>
      <c r="M144" s="67"/>
      <c r="N144" s="67"/>
      <c r="O144" s="67"/>
    </row>
    <row r="145" spans="2:28" ht="15.5">
      <c r="B145" s="2203"/>
      <c r="C145" s="915"/>
      <c r="D145" s="195" t="s">
        <v>2362</v>
      </c>
      <c r="E145" s="67" t="s">
        <v>2061</v>
      </c>
      <c r="F145" s="2997">
        <v>-0.1265</v>
      </c>
      <c r="G145" s="2985" t="s">
        <v>2361</v>
      </c>
      <c r="H145" s="67"/>
      <c r="I145" s="51"/>
      <c r="J145" s="2795"/>
      <c r="K145" s="67"/>
      <c r="L145" s="67"/>
      <c r="M145" s="67"/>
      <c r="N145" s="67"/>
      <c r="O145" s="67"/>
    </row>
    <row r="146" spans="2:28">
      <c r="B146" s="45"/>
      <c r="C146" s="67"/>
      <c r="D146" s="2998" t="s">
        <v>2363</v>
      </c>
      <c r="E146" s="969"/>
      <c r="F146" s="2999">
        <v>0.78328173374612997</v>
      </c>
      <c r="G146" s="3000" t="s">
        <v>2364</v>
      </c>
      <c r="H146" s="969"/>
      <c r="I146" s="3001"/>
      <c r="J146" s="67"/>
      <c r="K146" s="67"/>
      <c r="L146" s="67"/>
      <c r="M146" s="67"/>
      <c r="N146" s="67"/>
      <c r="O146" s="67"/>
    </row>
    <row r="147" spans="2:28">
      <c r="B147" s="45"/>
      <c r="C147" s="67"/>
      <c r="D147" s="195"/>
      <c r="E147" s="67"/>
      <c r="F147" s="3002"/>
      <c r="G147" s="67"/>
      <c r="H147" s="67"/>
      <c r="I147" s="51"/>
      <c r="J147" s="67"/>
      <c r="K147" s="67"/>
      <c r="L147" s="67"/>
      <c r="M147" s="67"/>
      <c r="N147" s="67"/>
      <c r="O147" s="67"/>
    </row>
    <row r="148" spans="2:28">
      <c r="B148" s="45"/>
      <c r="C148" s="920" t="s">
        <v>2061</v>
      </c>
      <c r="D148" s="3848" t="s">
        <v>2108</v>
      </c>
      <c r="E148" s="67"/>
      <c r="F148" s="3002"/>
      <c r="G148" s="67"/>
      <c r="H148" s="67"/>
      <c r="I148" s="51"/>
      <c r="J148" s="67"/>
      <c r="K148" s="67"/>
      <c r="L148" s="67"/>
      <c r="M148" s="67"/>
      <c r="N148" s="67"/>
      <c r="O148" s="67"/>
    </row>
    <row r="149" spans="2:28">
      <c r="B149" s="45"/>
      <c r="C149" s="67"/>
      <c r="D149" s="195"/>
      <c r="E149" s="67"/>
      <c r="F149" s="67"/>
      <c r="G149" s="67"/>
      <c r="H149" s="67"/>
      <c r="I149" s="67"/>
      <c r="J149" s="67"/>
      <c r="K149" s="67"/>
      <c r="L149" s="67"/>
      <c r="M149" s="67"/>
      <c r="N149" s="67"/>
      <c r="O149" s="67"/>
    </row>
    <row r="150" spans="2:28">
      <c r="B150" s="45"/>
      <c r="C150" s="49" t="s">
        <v>2365</v>
      </c>
      <c r="D150" s="195"/>
      <c r="E150" s="67"/>
      <c r="F150" s="67"/>
      <c r="G150" s="67"/>
      <c r="H150" s="67"/>
      <c r="I150" s="67"/>
      <c r="J150" s="67"/>
      <c r="K150" s="67"/>
      <c r="L150" s="67"/>
      <c r="M150" s="67"/>
      <c r="N150" s="67"/>
      <c r="O150" s="67"/>
    </row>
    <row r="151" spans="2:28">
      <c r="B151" s="45"/>
      <c r="C151" s="49"/>
      <c r="D151" s="195"/>
      <c r="E151" s="67"/>
      <c r="F151" s="67"/>
      <c r="G151" s="67"/>
      <c r="H151" s="67"/>
      <c r="I151" s="67"/>
      <c r="J151" s="67"/>
      <c r="K151" s="67"/>
      <c r="L151" s="67"/>
      <c r="M151" s="67"/>
      <c r="N151" s="67"/>
      <c r="O151" s="67"/>
    </row>
    <row r="152" spans="2:28">
      <c r="B152" s="45"/>
      <c r="C152" s="67"/>
      <c r="D152" s="878" t="s">
        <v>29</v>
      </c>
      <c r="E152" s="878" t="s">
        <v>30</v>
      </c>
      <c r="F152" s="900" t="s">
        <v>1448</v>
      </c>
      <c r="G152" s="900"/>
      <c r="H152" s="900"/>
      <c r="I152" s="900" t="s">
        <v>1447</v>
      </c>
      <c r="J152" s="67"/>
      <c r="K152" s="67"/>
      <c r="L152" s="67"/>
      <c r="M152" s="67"/>
      <c r="N152" s="67"/>
      <c r="O152" s="67"/>
    </row>
    <row r="153" spans="2:28">
      <c r="B153" s="45"/>
      <c r="C153" s="67"/>
      <c r="D153" s="195" t="s">
        <v>874</v>
      </c>
      <c r="E153" s="67"/>
      <c r="F153" s="1267">
        <v>1</v>
      </c>
      <c r="G153" s="67"/>
      <c r="H153" s="67"/>
      <c r="I153" s="51" t="s">
        <v>2366</v>
      </c>
      <c r="J153" s="67"/>
      <c r="K153" s="67"/>
      <c r="L153" s="67"/>
      <c r="M153" s="67"/>
      <c r="N153" s="67"/>
      <c r="O153" s="67"/>
    </row>
    <row r="154" spans="2:28">
      <c r="B154" s="45"/>
      <c r="C154" s="67"/>
      <c r="D154" s="195" t="s">
        <v>2367</v>
      </c>
      <c r="E154" s="67"/>
      <c r="F154" s="1267">
        <v>0.4</v>
      </c>
      <c r="G154" s="67"/>
      <c r="H154" s="67"/>
      <c r="I154" s="51" t="s">
        <v>2368</v>
      </c>
      <c r="J154" s="67"/>
      <c r="K154" s="67"/>
      <c r="L154" s="67"/>
      <c r="M154" s="67"/>
      <c r="N154" s="67"/>
      <c r="O154" s="67"/>
    </row>
    <row r="155" spans="2:28">
      <c r="B155" s="45"/>
      <c r="C155" s="67"/>
      <c r="D155" s="2998" t="s">
        <v>2369</v>
      </c>
      <c r="E155" s="969"/>
      <c r="F155" s="3004" t="s">
        <v>2370</v>
      </c>
      <c r="G155" s="969"/>
      <c r="H155" s="969"/>
      <c r="I155" s="3001"/>
      <c r="J155" s="67"/>
      <c r="K155" s="67"/>
      <c r="L155" s="67"/>
      <c r="M155" s="67"/>
      <c r="N155" s="67"/>
      <c r="O155" s="67"/>
    </row>
    <row r="156" spans="2:28">
      <c r="B156" s="45"/>
      <c r="C156" s="67"/>
      <c r="D156" s="195"/>
      <c r="E156" s="67"/>
      <c r="F156" s="67"/>
      <c r="G156" s="67"/>
      <c r="H156" s="67"/>
      <c r="I156" s="67" t="s">
        <v>5</v>
      </c>
      <c r="J156" s="67"/>
      <c r="K156" s="67"/>
      <c r="L156" s="67"/>
      <c r="M156" s="67"/>
      <c r="N156" s="67"/>
      <c r="O156" s="67"/>
      <c r="R156" s="1068"/>
      <c r="S156" s="1068"/>
    </row>
    <row r="157" spans="2:28">
      <c r="B157" s="45"/>
      <c r="C157" s="920"/>
      <c r="D157" s="3848" t="s">
        <v>3022</v>
      </c>
      <c r="E157" s="67"/>
      <c r="F157" s="67"/>
      <c r="G157" s="46"/>
      <c r="H157" s="67"/>
      <c r="I157" s="67"/>
      <c r="J157" s="67"/>
      <c r="K157" s="67"/>
      <c r="L157" s="67"/>
      <c r="M157" s="67"/>
      <c r="N157" s="67"/>
      <c r="O157" s="67"/>
      <c r="R157" s="1068"/>
      <c r="S157" s="1068"/>
    </row>
    <row r="158" spans="2:28" s="918" customFormat="1">
      <c r="B158" s="1160"/>
      <c r="C158" s="920"/>
      <c r="D158" s="3848"/>
      <c r="E158" s="67"/>
      <c r="F158" s="67"/>
      <c r="G158" s="46"/>
      <c r="H158" s="922"/>
      <c r="I158" s="922"/>
      <c r="J158" s="922"/>
      <c r="K158" s="922"/>
      <c r="L158" s="922"/>
      <c r="M158" s="922"/>
      <c r="N158" s="922"/>
      <c r="O158" s="922"/>
      <c r="P158" s="2858"/>
      <c r="R158" s="1162"/>
      <c r="S158" s="1162"/>
      <c r="T158" s="2858"/>
      <c r="U158" s="2858"/>
      <c r="V158" s="2858"/>
      <c r="W158" s="2858"/>
      <c r="X158" s="2858"/>
      <c r="Y158" s="2858"/>
      <c r="Z158" s="2858"/>
      <c r="AA158" s="2858"/>
      <c r="AB158" s="2858"/>
    </row>
    <row r="159" spans="2:28" s="918" customFormat="1">
      <c r="B159" s="1160"/>
      <c r="C159" s="1161"/>
      <c r="D159" s="3003"/>
      <c r="E159" s="67"/>
      <c r="F159" s="67"/>
      <c r="G159" s="46"/>
      <c r="H159" s="922"/>
      <c r="I159" s="922"/>
      <c r="J159" s="922"/>
      <c r="K159" s="922"/>
      <c r="L159" s="922"/>
      <c r="M159" s="922"/>
      <c r="N159" s="922"/>
      <c r="O159" s="922"/>
      <c r="P159" s="2858"/>
      <c r="R159" s="1162"/>
      <c r="S159" s="1162"/>
      <c r="T159" s="2858"/>
      <c r="U159" s="2858"/>
      <c r="V159" s="2858"/>
      <c r="W159" s="2858"/>
      <c r="X159" s="2858"/>
      <c r="Y159" s="2858"/>
      <c r="Z159" s="2858"/>
      <c r="AA159" s="2858"/>
      <c r="AB159" s="2858"/>
    </row>
    <row r="160" spans="2:28" ht="15.5">
      <c r="B160" s="2203"/>
      <c r="C160" s="49" t="s">
        <v>2371</v>
      </c>
      <c r="D160" s="67"/>
      <c r="E160" s="51"/>
      <c r="F160" s="67"/>
      <c r="G160" s="67"/>
      <c r="H160" s="60"/>
      <c r="I160" s="60"/>
      <c r="J160" s="60"/>
      <c r="K160" s="60"/>
      <c r="L160" s="60"/>
      <c r="M160" s="60"/>
      <c r="N160" s="60"/>
      <c r="O160" s="876"/>
      <c r="R160" s="2500"/>
      <c r="S160" s="3005"/>
    </row>
    <row r="161" spans="1:19" ht="15.5">
      <c r="B161" s="2203"/>
      <c r="C161" s="67"/>
      <c r="D161" s="67"/>
      <c r="E161" s="67"/>
      <c r="F161" s="67"/>
      <c r="G161" s="67"/>
      <c r="H161" s="60"/>
      <c r="I161" s="60"/>
      <c r="J161" s="60"/>
      <c r="K161" s="60"/>
      <c r="L161" s="60"/>
      <c r="M161" s="60"/>
      <c r="N161" s="60"/>
      <c r="O161" s="876"/>
      <c r="R161" s="1068"/>
      <c r="S161" s="1068"/>
    </row>
    <row r="162" spans="1:19" ht="15.5">
      <c r="B162" s="2203"/>
      <c r="C162" s="878"/>
      <c r="D162" s="878" t="s">
        <v>71</v>
      </c>
      <c r="E162" s="878" t="s">
        <v>30</v>
      </c>
      <c r="F162" s="879">
        <v>2013</v>
      </c>
      <c r="G162" s="87">
        <v>2015</v>
      </c>
      <c r="H162" s="87">
        <v>2020</v>
      </c>
      <c r="I162" s="87">
        <v>2025</v>
      </c>
      <c r="J162" s="87">
        <v>2030</v>
      </c>
      <c r="K162" s="87">
        <v>2035</v>
      </c>
      <c r="L162" s="87">
        <v>2040</v>
      </c>
      <c r="M162" s="87">
        <v>2045</v>
      </c>
      <c r="N162" s="87">
        <v>2050</v>
      </c>
      <c r="O162" s="876"/>
      <c r="R162" s="1068"/>
      <c r="S162" s="202"/>
    </row>
    <row r="163" spans="1:19" ht="15.5">
      <c r="B163" s="2203"/>
      <c r="C163" s="65" t="s">
        <v>547</v>
      </c>
      <c r="D163" s="103" t="s">
        <v>2338</v>
      </c>
      <c r="E163" s="1306"/>
      <c r="F163" s="1306">
        <v>0.9</v>
      </c>
      <c r="G163" s="3326">
        <f>$F163+(((G$162-$F$162)/($O$162-$F$162))*($O163-$F163))</f>
        <v>0.90089418777943375</v>
      </c>
      <c r="H163" s="3326">
        <f t="shared" ref="H163:N165" si="19">$F163+(((H$162-$F$162)/($O$162-$F$162))*($O163-$F163))</f>
        <v>0.90312965722801786</v>
      </c>
      <c r="I163" s="3326">
        <f t="shared" si="19"/>
        <v>0.90536512667660207</v>
      </c>
      <c r="J163" s="3326">
        <f t="shared" si="19"/>
        <v>0.90760059612518629</v>
      </c>
      <c r="K163" s="3326">
        <f t="shared" si="19"/>
        <v>0.9098360655737705</v>
      </c>
      <c r="L163" s="3326">
        <f t="shared" si="19"/>
        <v>0.91207153502235472</v>
      </c>
      <c r="M163" s="3326">
        <f t="shared" si="19"/>
        <v>0.91430700447093893</v>
      </c>
      <c r="N163" s="3326">
        <f t="shared" si="19"/>
        <v>0.91654247391952315</v>
      </c>
      <c r="O163" s="876"/>
      <c r="R163" s="1068"/>
      <c r="S163" s="1068"/>
    </row>
    <row r="164" spans="1:19" ht="15.5">
      <c r="B164" s="2203"/>
      <c r="C164" s="65" t="s">
        <v>547</v>
      </c>
      <c r="D164" s="103" t="s">
        <v>1679</v>
      </c>
      <c r="E164" s="1256"/>
      <c r="F164" s="1256">
        <v>0.8</v>
      </c>
      <c r="G164" s="2569">
        <f>$F164+(((G$162-$F$162)/($O$162-$F$162))*($O164-$F164))</f>
        <v>0.80079483358171888</v>
      </c>
      <c r="H164" s="2569">
        <f t="shared" si="19"/>
        <v>0.80278191753601591</v>
      </c>
      <c r="I164" s="2569">
        <f t="shared" si="19"/>
        <v>0.80476900149031305</v>
      </c>
      <c r="J164" s="2569">
        <f t="shared" si="19"/>
        <v>0.80675608544461008</v>
      </c>
      <c r="K164" s="2569">
        <f t="shared" si="19"/>
        <v>0.80874316939890711</v>
      </c>
      <c r="L164" s="2569">
        <f t="shared" si="19"/>
        <v>0.81073025335320426</v>
      </c>
      <c r="M164" s="2569">
        <f t="shared" si="19"/>
        <v>0.81271733730750129</v>
      </c>
      <c r="N164" s="2569">
        <f t="shared" si="19"/>
        <v>0.81470442126179832</v>
      </c>
      <c r="O164" s="876"/>
      <c r="R164" s="1068"/>
      <c r="S164" s="1068"/>
    </row>
    <row r="165" spans="1:19" ht="15.5">
      <c r="B165" s="2203"/>
      <c r="C165" s="65" t="s">
        <v>547</v>
      </c>
      <c r="D165" s="103" t="s">
        <v>1714</v>
      </c>
      <c r="E165" s="1256"/>
      <c r="F165" s="1256">
        <v>0.9</v>
      </c>
      <c r="G165" s="2569">
        <f>$F165+(((G$162-$F$162)/($O$162-$F$162))*($O165-$F165))</f>
        <v>0.90089418777943375</v>
      </c>
      <c r="H165" s="2569">
        <f t="shared" si="19"/>
        <v>0.90312965722801786</v>
      </c>
      <c r="I165" s="2569">
        <f t="shared" si="19"/>
        <v>0.90536512667660207</v>
      </c>
      <c r="J165" s="2569">
        <f t="shared" si="19"/>
        <v>0.90760059612518629</v>
      </c>
      <c r="K165" s="2569">
        <f t="shared" si="19"/>
        <v>0.9098360655737705</v>
      </c>
      <c r="L165" s="2569">
        <f t="shared" si="19"/>
        <v>0.91207153502235472</v>
      </c>
      <c r="M165" s="2569">
        <f t="shared" si="19"/>
        <v>0.91430700447093893</v>
      </c>
      <c r="N165" s="2569">
        <f t="shared" si="19"/>
        <v>0.91654247391952315</v>
      </c>
      <c r="O165" s="876"/>
      <c r="R165" s="1068"/>
      <c r="S165" s="1068"/>
    </row>
    <row r="166" spans="1:19" ht="15.5">
      <c r="B166" s="2203"/>
      <c r="C166" s="65" t="s">
        <v>544</v>
      </c>
      <c r="D166" s="103" t="s">
        <v>2341</v>
      </c>
      <c r="E166" s="1256"/>
      <c r="F166" s="1256"/>
      <c r="G166" s="3006"/>
      <c r="H166" s="3006"/>
      <c r="I166" s="3006">
        <v>0.77</v>
      </c>
      <c r="J166" s="3006">
        <v>0.9</v>
      </c>
      <c r="K166" s="3006">
        <v>0.9</v>
      </c>
      <c r="L166" s="3006">
        <v>0.9</v>
      </c>
      <c r="M166" s="3006">
        <v>0.9</v>
      </c>
      <c r="N166" s="3006">
        <v>0.9</v>
      </c>
      <c r="O166" s="876"/>
      <c r="R166" s="1068"/>
      <c r="S166" s="1068"/>
    </row>
    <row r="167" spans="1:19" ht="15.5">
      <c r="B167" s="2203"/>
      <c r="C167" s="917" t="s">
        <v>539</v>
      </c>
      <c r="D167" s="194" t="s">
        <v>725</v>
      </c>
      <c r="E167" s="1310"/>
      <c r="F167" s="1310"/>
      <c r="G167" s="142"/>
      <c r="H167" s="142"/>
      <c r="I167" s="142"/>
      <c r="J167" s="142"/>
      <c r="K167" s="142">
        <v>0.8476744186046512</v>
      </c>
      <c r="L167" s="142">
        <v>0.86511627906976751</v>
      </c>
      <c r="M167" s="142">
        <v>0.88255813953488371</v>
      </c>
      <c r="N167" s="142">
        <v>0.9</v>
      </c>
      <c r="O167" s="876"/>
      <c r="R167" s="1068"/>
      <c r="S167" s="1068"/>
    </row>
    <row r="168" spans="1:19" ht="15.5">
      <c r="B168" s="2203"/>
      <c r="C168" s="65"/>
      <c r="D168" s="103"/>
      <c r="E168" s="103"/>
      <c r="F168" s="103"/>
      <c r="G168" s="103"/>
      <c r="H168" s="103"/>
      <c r="I168" s="103"/>
      <c r="J168" s="103"/>
      <c r="K168" s="103"/>
      <c r="L168" s="103"/>
      <c r="M168" s="103"/>
      <c r="N168" s="103"/>
      <c r="O168" s="876"/>
      <c r="R168" s="1068"/>
      <c r="S168" s="1068"/>
    </row>
    <row r="169" spans="1:19" ht="15.5">
      <c r="B169" s="2203"/>
      <c r="C169" s="920"/>
      <c r="D169" s="921"/>
      <c r="E169" s="103"/>
      <c r="F169" s="103"/>
      <c r="G169" s="103"/>
      <c r="H169" s="103"/>
      <c r="I169" s="103"/>
      <c r="J169" s="103"/>
      <c r="K169" s="103"/>
      <c r="L169" s="103"/>
      <c r="M169" s="103"/>
      <c r="N169" s="103"/>
      <c r="O169" s="876"/>
      <c r="R169" s="1068"/>
      <c r="S169" s="1068"/>
    </row>
    <row r="170" spans="1:19">
      <c r="B170" s="1163"/>
      <c r="C170" s="1065"/>
      <c r="D170" s="1065"/>
      <c r="E170" s="1065"/>
      <c r="F170" s="1065"/>
      <c r="G170" s="1065"/>
      <c r="H170" s="1065"/>
      <c r="I170" s="1065"/>
      <c r="J170" s="1065"/>
      <c r="K170" s="1065"/>
      <c r="L170" s="1065"/>
      <c r="M170" s="1065"/>
      <c r="N170" s="1065"/>
      <c r="O170" s="1100"/>
      <c r="R170" s="1068"/>
      <c r="S170" s="1068"/>
    </row>
    <row r="171" spans="1:19">
      <c r="R171" s="1068"/>
      <c r="S171" s="1068"/>
    </row>
    <row r="172" spans="1:19" s="6" customFormat="1" ht="23.5">
      <c r="A172" s="40"/>
      <c r="B172" s="869" t="s">
        <v>2719</v>
      </c>
      <c r="C172" s="870"/>
      <c r="D172" s="870"/>
      <c r="E172" s="870"/>
      <c r="F172" s="870"/>
      <c r="G172" s="870"/>
      <c r="H172" s="870"/>
      <c r="I172" s="870"/>
      <c r="J172" s="870"/>
      <c r="K172" s="870"/>
      <c r="L172" s="870"/>
      <c r="M172" s="870"/>
      <c r="N172" s="870"/>
      <c r="O172" s="871"/>
      <c r="P172" s="2858"/>
      <c r="R172" s="1068"/>
      <c r="S172" s="1068"/>
    </row>
    <row r="173" spans="1:19" hidden="1">
      <c r="B173" s="872"/>
      <c r="C173" s="873"/>
      <c r="D173" s="873"/>
      <c r="E173" s="873"/>
      <c r="F173" s="873"/>
      <c r="G173" s="873"/>
      <c r="H173" s="873"/>
      <c r="I173" s="873"/>
      <c r="J173" s="873"/>
      <c r="K173" s="873"/>
      <c r="L173" s="873"/>
      <c r="M173" s="873"/>
      <c r="N173" s="873"/>
      <c r="O173" s="874"/>
      <c r="R173" s="1068"/>
      <c r="S173" s="1068"/>
    </row>
    <row r="174" spans="1:19" hidden="1">
      <c r="B174" s="105"/>
      <c r="C174" s="49" t="s">
        <v>168</v>
      </c>
      <c r="D174" s="915"/>
      <c r="E174" s="932"/>
      <c r="F174" s="933"/>
      <c r="G174" s="934"/>
      <c r="H174" s="934"/>
      <c r="I174" s="934"/>
      <c r="J174" s="934"/>
      <c r="K174" s="934"/>
      <c r="L174" s="934"/>
      <c r="M174" s="934"/>
      <c r="N174" s="47"/>
      <c r="O174" s="876"/>
      <c r="R174" s="1068"/>
      <c r="S174" s="1068"/>
    </row>
    <row r="175" spans="1:19" hidden="1">
      <c r="B175" s="105"/>
      <c r="C175" s="49"/>
      <c r="D175" s="915"/>
      <c r="E175" s="932"/>
      <c r="F175" s="933"/>
      <c r="G175" s="934"/>
      <c r="H175" s="934"/>
      <c r="I175" s="934"/>
      <c r="J175" s="934"/>
      <c r="K175" s="934"/>
      <c r="L175" s="934"/>
      <c r="M175" s="934"/>
      <c r="N175" s="935"/>
      <c r="O175" s="876"/>
      <c r="R175" s="1068"/>
      <c r="S175" s="1068"/>
    </row>
    <row r="176" spans="1:19" hidden="1">
      <c r="B176" s="105"/>
      <c r="C176" s="3007" t="s">
        <v>22</v>
      </c>
      <c r="D176" s="915"/>
      <c r="E176" s="932"/>
      <c r="F176" s="933"/>
      <c r="G176" s="934"/>
      <c r="H176" s="934"/>
      <c r="I176" s="934"/>
      <c r="J176" s="934"/>
      <c r="K176" s="934"/>
      <c r="L176" s="934"/>
      <c r="M176" s="934"/>
      <c r="N176" s="935" t="s">
        <v>2754</v>
      </c>
      <c r="O176" s="876"/>
      <c r="R176" s="1068"/>
      <c r="S176" s="1068"/>
    </row>
    <row r="177" spans="2:19" hidden="1">
      <c r="B177" s="105"/>
      <c r="C177" s="1170"/>
      <c r="D177" s="1070"/>
      <c r="E177" s="971" t="s">
        <v>159</v>
      </c>
      <c r="F177" s="3008">
        <v>2013</v>
      </c>
      <c r="G177" s="965">
        <v>2015</v>
      </c>
      <c r="H177" s="965">
        <v>2020</v>
      </c>
      <c r="I177" s="965">
        <v>2025</v>
      </c>
      <c r="J177" s="965">
        <v>2030</v>
      </c>
      <c r="K177" s="965">
        <v>2035</v>
      </c>
      <c r="L177" s="965">
        <v>2040</v>
      </c>
      <c r="M177" s="965">
        <v>2045</v>
      </c>
      <c r="N177" s="965">
        <v>2050</v>
      </c>
      <c r="O177" s="876"/>
      <c r="R177" s="1068"/>
      <c r="S177" s="1068"/>
    </row>
    <row r="178" spans="2:19" hidden="1">
      <c r="B178" s="105"/>
      <c r="C178" s="967" t="s">
        <v>2372</v>
      </c>
      <c r="D178" s="1070"/>
      <c r="E178" s="957"/>
      <c r="F178" s="973"/>
      <c r="G178" s="1071"/>
      <c r="H178" s="1071"/>
      <c r="I178" s="1071"/>
      <c r="J178" s="1071"/>
      <c r="K178" s="1071"/>
      <c r="L178" s="1071"/>
      <c r="M178" s="1071"/>
      <c r="N178" s="973"/>
      <c r="O178" s="876"/>
      <c r="R178" s="1068"/>
      <c r="S178" s="1068"/>
    </row>
    <row r="179" spans="2:19" hidden="1">
      <c r="B179" s="105"/>
      <c r="C179" s="943" t="s">
        <v>2373</v>
      </c>
      <c r="D179" s="915"/>
      <c r="E179" s="944"/>
      <c r="F179" s="350"/>
      <c r="G179" s="945"/>
      <c r="H179" s="945"/>
      <c r="I179" s="945"/>
      <c r="J179" s="945"/>
      <c r="K179" s="945"/>
      <c r="L179" s="945"/>
      <c r="M179" s="945"/>
      <c r="N179" s="160"/>
      <c r="O179" s="876"/>
      <c r="Q179" s="39"/>
      <c r="R179" s="39"/>
      <c r="S179" s="39"/>
    </row>
    <row r="180" spans="2:19" hidden="1">
      <c r="B180" s="105"/>
      <c r="C180" s="947" t="s">
        <v>2374</v>
      </c>
      <c r="D180" s="948"/>
      <c r="E180" s="949"/>
      <c r="F180" s="950"/>
      <c r="G180" s="950"/>
      <c r="H180" s="950"/>
      <c r="I180" s="950"/>
      <c r="J180" s="950"/>
      <c r="K180" s="950"/>
      <c r="L180" s="950"/>
      <c r="M180" s="950"/>
      <c r="N180" s="950"/>
      <c r="O180" s="876"/>
      <c r="Q180" s="39"/>
      <c r="R180" s="39"/>
      <c r="S180" s="39"/>
    </row>
    <row r="181" spans="2:19" hidden="1">
      <c r="B181" s="105"/>
      <c r="C181" s="943"/>
      <c r="D181" s="915"/>
      <c r="E181" s="944"/>
      <c r="F181" s="350"/>
      <c r="G181" s="945"/>
      <c r="H181" s="945"/>
      <c r="I181" s="945"/>
      <c r="J181" s="945"/>
      <c r="K181" s="945"/>
      <c r="L181" s="945"/>
      <c r="M181" s="945"/>
      <c r="N181" s="350"/>
      <c r="O181" s="876"/>
      <c r="Q181" s="39"/>
      <c r="R181" s="39"/>
      <c r="S181" s="39"/>
    </row>
    <row r="182" spans="2:19" hidden="1">
      <c r="B182" s="105"/>
      <c r="C182" s="3007" t="s">
        <v>160</v>
      </c>
      <c r="D182" s="915"/>
      <c r="E182" s="932"/>
      <c r="F182" s="933"/>
      <c r="G182" s="934"/>
      <c r="H182" s="934"/>
      <c r="I182" s="934"/>
      <c r="J182" s="934"/>
      <c r="K182" s="934"/>
      <c r="L182" s="934"/>
      <c r="M182" s="934"/>
      <c r="N182" s="935" t="s">
        <v>2754</v>
      </c>
      <c r="O182" s="876"/>
      <c r="Q182" s="39"/>
      <c r="R182" s="39"/>
      <c r="S182" s="39"/>
    </row>
    <row r="183" spans="2:19" hidden="1">
      <c r="B183" s="105"/>
      <c r="C183" s="1170"/>
      <c r="D183" s="1070"/>
      <c r="E183" s="971" t="s">
        <v>159</v>
      </c>
      <c r="F183" s="3008">
        <v>2013</v>
      </c>
      <c r="G183" s="965">
        <v>2015</v>
      </c>
      <c r="H183" s="965">
        <v>2020</v>
      </c>
      <c r="I183" s="965">
        <v>2025</v>
      </c>
      <c r="J183" s="965">
        <v>2030</v>
      </c>
      <c r="K183" s="965">
        <v>2035</v>
      </c>
      <c r="L183" s="965">
        <v>2040</v>
      </c>
      <c r="M183" s="965">
        <v>2045</v>
      </c>
      <c r="N183" s="965">
        <v>2050</v>
      </c>
      <c r="O183" s="876"/>
      <c r="Q183" s="39"/>
      <c r="R183" s="39"/>
      <c r="S183" s="39"/>
    </row>
    <row r="184" spans="2:19" hidden="1">
      <c r="B184" s="105"/>
      <c r="C184" s="967" t="s">
        <v>2372</v>
      </c>
      <c r="D184" s="1070"/>
      <c r="E184" s="957"/>
      <c r="F184" s="3009"/>
      <c r="G184" s="1071"/>
      <c r="H184" s="1071"/>
      <c r="I184" s="1071"/>
      <c r="J184" s="1071"/>
      <c r="K184" s="1071"/>
      <c r="L184" s="1071"/>
      <c r="M184" s="1071"/>
      <c r="N184" s="3009"/>
      <c r="O184" s="876"/>
      <c r="Q184" s="39"/>
      <c r="R184" s="39"/>
      <c r="S184" s="39"/>
    </row>
    <row r="185" spans="2:19" ht="15.5" hidden="1">
      <c r="B185" s="105"/>
      <c r="C185" s="943" t="s">
        <v>2373</v>
      </c>
      <c r="D185" s="915"/>
      <c r="E185" s="944"/>
      <c r="F185" s="160"/>
      <c r="G185" s="945"/>
      <c r="H185" s="945"/>
      <c r="I185" s="945"/>
      <c r="J185" s="945"/>
      <c r="K185" s="945"/>
      <c r="L185" s="945"/>
      <c r="M185" s="945"/>
      <c r="N185" s="160"/>
      <c r="O185" s="876"/>
      <c r="Q185" s="3010"/>
      <c r="R185" s="39"/>
      <c r="S185" s="39"/>
    </row>
    <row r="186" spans="2:19" hidden="1">
      <c r="B186" s="105"/>
      <c r="C186" s="947" t="s">
        <v>2374</v>
      </c>
      <c r="D186" s="948"/>
      <c r="E186" s="949"/>
      <c r="F186" s="950"/>
      <c r="G186" s="950"/>
      <c r="H186" s="950"/>
      <c r="I186" s="950"/>
      <c r="J186" s="950"/>
      <c r="K186" s="950"/>
      <c r="L186" s="950"/>
      <c r="M186" s="950"/>
      <c r="N186" s="950"/>
      <c r="O186" s="876"/>
      <c r="Q186" s="39"/>
      <c r="R186" s="39"/>
      <c r="S186" s="39"/>
    </row>
    <row r="187" spans="2:19" hidden="1">
      <c r="B187" s="105"/>
      <c r="C187" s="943"/>
      <c r="D187" s="915"/>
      <c r="E187" s="944"/>
      <c r="F187" s="350"/>
      <c r="G187" s="945"/>
      <c r="H187" s="945"/>
      <c r="I187" s="945"/>
      <c r="J187" s="945"/>
      <c r="K187" s="945"/>
      <c r="L187" s="945"/>
      <c r="M187" s="945"/>
      <c r="N187" s="350"/>
      <c r="O187" s="876"/>
      <c r="Q187" s="39"/>
      <c r="R187" s="39"/>
      <c r="S187" s="39"/>
    </row>
    <row r="188" spans="2:19" hidden="1">
      <c r="B188" s="105"/>
      <c r="C188" s="3007" t="s">
        <v>20</v>
      </c>
      <c r="D188" s="915"/>
      <c r="E188" s="932"/>
      <c r="F188" s="933"/>
      <c r="G188" s="934"/>
      <c r="H188" s="934"/>
      <c r="I188" s="934"/>
      <c r="J188" s="934"/>
      <c r="K188" s="934"/>
      <c r="L188" s="934"/>
      <c r="M188" s="934"/>
      <c r="N188" s="935" t="s">
        <v>2754</v>
      </c>
      <c r="O188" s="876"/>
      <c r="Q188" s="39"/>
      <c r="R188" s="39"/>
      <c r="S188" s="39"/>
    </row>
    <row r="189" spans="2:19" hidden="1">
      <c r="B189" s="105"/>
      <c r="C189" s="1170"/>
      <c r="D189" s="1070"/>
      <c r="E189" s="971" t="s">
        <v>159</v>
      </c>
      <c r="F189" s="3008">
        <v>2013</v>
      </c>
      <c r="G189" s="965">
        <v>2015</v>
      </c>
      <c r="H189" s="965">
        <v>2020</v>
      </c>
      <c r="I189" s="965">
        <v>2025</v>
      </c>
      <c r="J189" s="965">
        <v>2030</v>
      </c>
      <c r="K189" s="965">
        <v>2035</v>
      </c>
      <c r="L189" s="965">
        <v>2040</v>
      </c>
      <c r="M189" s="965">
        <v>2045</v>
      </c>
      <c r="N189" s="965">
        <v>2050</v>
      </c>
      <c r="O189" s="876"/>
      <c r="Q189" s="39"/>
      <c r="R189" s="39"/>
      <c r="S189" s="39"/>
    </row>
    <row r="190" spans="2:19" hidden="1">
      <c r="B190" s="105"/>
      <c r="C190" s="967" t="s">
        <v>2372</v>
      </c>
      <c r="D190" s="1070"/>
      <c r="E190" s="957"/>
      <c r="F190" s="973"/>
      <c r="G190" s="1071"/>
      <c r="H190" s="1071"/>
      <c r="I190" s="1071"/>
      <c r="J190" s="1071"/>
      <c r="K190" s="1071"/>
      <c r="L190" s="1071"/>
      <c r="M190" s="1071"/>
      <c r="N190" s="973"/>
      <c r="O190" s="876"/>
      <c r="Q190" s="39"/>
      <c r="R190" s="39"/>
      <c r="S190" s="39"/>
    </row>
    <row r="191" spans="2:19" hidden="1">
      <c r="B191" s="105"/>
      <c r="C191" s="943" t="s">
        <v>2373</v>
      </c>
      <c r="D191" s="915"/>
      <c r="E191" s="944"/>
      <c r="F191" s="160"/>
      <c r="G191" s="945"/>
      <c r="H191" s="945"/>
      <c r="I191" s="945"/>
      <c r="J191" s="945"/>
      <c r="K191" s="945"/>
      <c r="L191" s="945"/>
      <c r="M191" s="945"/>
      <c r="N191" s="160"/>
      <c r="O191" s="876"/>
      <c r="Q191" s="39"/>
      <c r="R191" s="39"/>
      <c r="S191" s="39"/>
    </row>
    <row r="192" spans="2:19" hidden="1">
      <c r="B192" s="105"/>
      <c r="C192" s="947" t="s">
        <v>2374</v>
      </c>
      <c r="D192" s="948"/>
      <c r="E192" s="949"/>
      <c r="F192" s="950"/>
      <c r="G192" s="950"/>
      <c r="H192" s="950"/>
      <c r="I192" s="950"/>
      <c r="J192" s="950"/>
      <c r="K192" s="950"/>
      <c r="L192" s="950"/>
      <c r="M192" s="950"/>
      <c r="N192" s="950"/>
      <c r="O192" s="876"/>
      <c r="Q192" s="39"/>
      <c r="R192" s="39"/>
      <c r="S192" s="39"/>
    </row>
    <row r="193" spans="2:19" hidden="1">
      <c r="B193" s="67"/>
      <c r="C193" s="943"/>
      <c r="D193" s="915"/>
      <c r="E193" s="944"/>
      <c r="F193" s="350"/>
      <c r="G193" s="945"/>
      <c r="H193" s="945"/>
      <c r="I193" s="945"/>
      <c r="J193" s="945"/>
      <c r="K193" s="945"/>
      <c r="L193" s="945"/>
      <c r="M193" s="945"/>
      <c r="N193" s="350"/>
      <c r="O193" s="876"/>
      <c r="Q193" s="39"/>
      <c r="R193" s="39"/>
      <c r="S193" s="39"/>
    </row>
    <row r="194" spans="2:19" hidden="1">
      <c r="B194" s="67"/>
      <c r="C194" s="146" t="s">
        <v>172</v>
      </c>
      <c r="D194" s="915"/>
      <c r="E194" s="944"/>
      <c r="F194" s="350"/>
      <c r="G194" s="945"/>
      <c r="H194" s="945"/>
      <c r="I194" s="945"/>
      <c r="J194" s="945"/>
      <c r="K194" s="945"/>
      <c r="L194" s="945"/>
      <c r="M194" s="945"/>
      <c r="N194" s="350"/>
      <c r="O194" s="876"/>
      <c r="Q194" s="39"/>
      <c r="R194" s="39"/>
      <c r="S194" s="39"/>
    </row>
    <row r="195" spans="2:19" hidden="1">
      <c r="B195" s="67"/>
      <c r="C195" s="146"/>
      <c r="D195" s="915"/>
      <c r="E195" s="944"/>
      <c r="F195" s="350"/>
      <c r="G195" s="945"/>
      <c r="H195" s="945"/>
      <c r="I195" s="945"/>
      <c r="J195" s="945"/>
      <c r="K195" s="945"/>
      <c r="L195" s="945"/>
      <c r="M195" s="945"/>
      <c r="N195" s="350"/>
      <c r="O195" s="876"/>
      <c r="Q195" s="39"/>
      <c r="R195" s="39"/>
      <c r="S195" s="39"/>
    </row>
    <row r="196" spans="2:19" hidden="1">
      <c r="B196" s="67"/>
      <c r="C196" s="3007" t="s">
        <v>22</v>
      </c>
      <c r="D196" s="915"/>
      <c r="E196" s="944"/>
      <c r="F196" s="350"/>
      <c r="G196" s="945"/>
      <c r="H196" s="945"/>
      <c r="I196" s="945"/>
      <c r="J196" s="945"/>
      <c r="K196" s="945"/>
      <c r="L196" s="945"/>
      <c r="M196" s="945"/>
      <c r="N196" s="935" t="s">
        <v>2754</v>
      </c>
      <c r="O196" s="876"/>
      <c r="Q196" s="39"/>
      <c r="R196" s="39"/>
      <c r="S196" s="39"/>
    </row>
    <row r="197" spans="2:19" hidden="1">
      <c r="B197" s="67"/>
      <c r="C197" s="1170"/>
      <c r="D197" s="1070"/>
      <c r="E197" s="971" t="s">
        <v>159</v>
      </c>
      <c r="F197" s="3008">
        <v>2013</v>
      </c>
      <c r="G197" s="965">
        <v>2015</v>
      </c>
      <c r="H197" s="965">
        <v>2020</v>
      </c>
      <c r="I197" s="965">
        <v>2025</v>
      </c>
      <c r="J197" s="965">
        <v>2030</v>
      </c>
      <c r="K197" s="965">
        <v>2035</v>
      </c>
      <c r="L197" s="965">
        <v>2040</v>
      </c>
      <c r="M197" s="965">
        <v>2045</v>
      </c>
      <c r="N197" s="965">
        <v>2050</v>
      </c>
      <c r="O197" s="67"/>
      <c r="Q197" s="39"/>
      <c r="R197" s="3011"/>
      <c r="S197" s="3011"/>
    </row>
    <row r="198" spans="2:19" hidden="1">
      <c r="B198" s="67"/>
      <c r="C198" s="967" t="s">
        <v>2372</v>
      </c>
      <c r="D198" s="1070"/>
      <c r="E198" s="957"/>
      <c r="F198" s="2716"/>
      <c r="G198" s="1071"/>
      <c r="H198" s="1071"/>
      <c r="I198" s="1071"/>
      <c r="J198" s="1071"/>
      <c r="K198" s="1071"/>
      <c r="L198" s="1071"/>
      <c r="M198" s="1071"/>
      <c r="N198" s="2716"/>
      <c r="O198" s="67"/>
      <c r="Q198" s="39"/>
      <c r="R198" s="2584"/>
      <c r="S198" s="3012"/>
    </row>
    <row r="199" spans="2:19" hidden="1">
      <c r="B199" s="67"/>
      <c r="C199" s="943" t="s">
        <v>2373</v>
      </c>
      <c r="D199" s="67"/>
      <c r="E199" s="944"/>
      <c r="F199" s="160"/>
      <c r="G199" s="945"/>
      <c r="H199" s="945"/>
      <c r="I199" s="945"/>
      <c r="J199" s="945"/>
      <c r="K199" s="945"/>
      <c r="L199" s="945"/>
      <c r="M199" s="945"/>
      <c r="N199" s="160"/>
      <c r="O199" s="67"/>
      <c r="Q199" s="39"/>
      <c r="R199" s="2584"/>
      <c r="S199" s="3012"/>
    </row>
    <row r="200" spans="2:19" hidden="1">
      <c r="B200" s="67"/>
      <c r="C200" s="947" t="s">
        <v>2374</v>
      </c>
      <c r="D200" s="948"/>
      <c r="E200" s="949"/>
      <c r="F200" s="950"/>
      <c r="G200" s="950"/>
      <c r="H200" s="950"/>
      <c r="I200" s="950"/>
      <c r="J200" s="950"/>
      <c r="K200" s="950"/>
      <c r="L200" s="950"/>
      <c r="M200" s="950"/>
      <c r="N200" s="950"/>
      <c r="O200" s="67"/>
      <c r="Q200" s="39"/>
      <c r="R200" s="2584"/>
      <c r="S200" s="3012"/>
    </row>
    <row r="201" spans="2:19" hidden="1">
      <c r="B201" s="67"/>
      <c r="C201" s="943"/>
      <c r="D201" s="915"/>
      <c r="E201" s="944"/>
      <c r="F201" s="67"/>
      <c r="G201" s="945"/>
      <c r="H201" s="945"/>
      <c r="I201" s="945"/>
      <c r="J201" s="945"/>
      <c r="K201" s="945"/>
      <c r="L201" s="945"/>
      <c r="M201" s="945"/>
      <c r="N201" s="350"/>
      <c r="O201" s="67"/>
      <c r="Q201" s="39"/>
      <c r="R201" s="39"/>
      <c r="S201" s="39"/>
    </row>
    <row r="202" spans="2:19" hidden="1">
      <c r="B202" s="67"/>
      <c r="C202" s="3007" t="s">
        <v>160</v>
      </c>
      <c r="D202" s="915"/>
      <c r="E202" s="944"/>
      <c r="F202" s="350"/>
      <c r="G202" s="945"/>
      <c r="H202" s="945"/>
      <c r="I202" s="945"/>
      <c r="J202" s="945"/>
      <c r="K202" s="945"/>
      <c r="L202" s="945"/>
      <c r="M202" s="945"/>
      <c r="N202" s="935" t="s">
        <v>2754</v>
      </c>
      <c r="O202" s="67"/>
      <c r="Q202" s="39"/>
      <c r="R202" s="39"/>
      <c r="S202" s="39"/>
    </row>
    <row r="203" spans="2:19" hidden="1">
      <c r="B203" s="105"/>
      <c r="C203" s="952"/>
      <c r="D203" s="953"/>
      <c r="E203" s="954" t="s">
        <v>159</v>
      </c>
      <c r="F203" s="3013">
        <v>2013</v>
      </c>
      <c r="G203" s="956">
        <v>2015</v>
      </c>
      <c r="H203" s="956">
        <v>2020</v>
      </c>
      <c r="I203" s="956">
        <v>2025</v>
      </c>
      <c r="J203" s="956">
        <v>2030</v>
      </c>
      <c r="K203" s="956">
        <v>2035</v>
      </c>
      <c r="L203" s="956">
        <v>2040</v>
      </c>
      <c r="M203" s="956">
        <v>2045</v>
      </c>
      <c r="N203" s="956">
        <v>2050</v>
      </c>
      <c r="O203" s="876"/>
      <c r="Q203" s="39"/>
      <c r="R203" s="39"/>
      <c r="S203" s="39"/>
    </row>
    <row r="204" spans="2:19" hidden="1">
      <c r="B204" s="67"/>
      <c r="C204" s="943" t="s">
        <v>2372</v>
      </c>
      <c r="D204" s="915"/>
      <c r="E204" s="957"/>
      <c r="F204" s="3009"/>
      <c r="G204" s="3009"/>
      <c r="H204" s="3009"/>
      <c r="I204" s="3009"/>
      <c r="J204" s="3009"/>
      <c r="K204" s="3009"/>
      <c r="L204" s="3009"/>
      <c r="M204" s="3009"/>
      <c r="N204" s="3009"/>
      <c r="O204" s="876"/>
      <c r="Q204" s="39"/>
      <c r="R204" s="39"/>
      <c r="S204" s="39"/>
    </row>
    <row r="205" spans="2:19" ht="15.5" hidden="1">
      <c r="B205" s="67"/>
      <c r="C205" s="943" t="s">
        <v>2373</v>
      </c>
      <c r="D205" s="67"/>
      <c r="E205" s="944"/>
      <c r="F205" s="160"/>
      <c r="G205" s="945"/>
      <c r="H205" s="945"/>
      <c r="I205" s="945"/>
      <c r="J205" s="945"/>
      <c r="K205" s="945"/>
      <c r="L205" s="945"/>
      <c r="M205" s="945"/>
      <c r="N205" s="160"/>
      <c r="O205" s="876"/>
      <c r="Q205" s="3010"/>
      <c r="R205" s="39"/>
      <c r="S205" s="39"/>
    </row>
    <row r="206" spans="2:19" hidden="1">
      <c r="B206" s="67"/>
      <c r="C206" s="947" t="s">
        <v>2374</v>
      </c>
      <c r="D206" s="948"/>
      <c r="E206" s="949"/>
      <c r="F206" s="352"/>
      <c r="G206" s="352"/>
      <c r="H206" s="352"/>
      <c r="I206" s="352"/>
      <c r="J206" s="352"/>
      <c r="K206" s="352"/>
      <c r="L206" s="352"/>
      <c r="M206" s="352"/>
      <c r="N206" s="352"/>
      <c r="O206" s="876"/>
      <c r="Q206" s="39"/>
      <c r="R206" s="39"/>
      <c r="S206" s="39"/>
    </row>
    <row r="207" spans="2:19" hidden="1">
      <c r="B207" s="67"/>
      <c r="C207" s="943"/>
      <c r="D207" s="915"/>
      <c r="E207" s="944"/>
      <c r="F207" s="350"/>
      <c r="G207" s="945"/>
      <c r="H207" s="945"/>
      <c r="I207" s="945"/>
      <c r="J207" s="945"/>
      <c r="K207" s="945"/>
      <c r="L207" s="945"/>
      <c r="M207" s="945"/>
      <c r="N207" s="350"/>
      <c r="O207" s="876"/>
      <c r="Q207" s="39"/>
      <c r="R207" s="39"/>
      <c r="S207" s="39"/>
    </row>
    <row r="208" spans="2:19" hidden="1">
      <c r="B208" s="67"/>
      <c r="C208" s="3007" t="s">
        <v>20</v>
      </c>
      <c r="D208" s="915"/>
      <c r="E208" s="944"/>
      <c r="F208" s="350"/>
      <c r="G208" s="945"/>
      <c r="H208" s="945"/>
      <c r="I208" s="945"/>
      <c r="J208" s="945"/>
      <c r="K208" s="945"/>
      <c r="L208" s="945"/>
      <c r="M208" s="945"/>
      <c r="N208" s="935" t="s">
        <v>2754</v>
      </c>
      <c r="O208" s="876"/>
      <c r="Q208" s="39"/>
      <c r="R208" s="39"/>
      <c r="S208" s="39"/>
    </row>
    <row r="209" spans="2:19" hidden="1">
      <c r="B209" s="67"/>
      <c r="C209" s="952"/>
      <c r="D209" s="1070"/>
      <c r="E209" s="971" t="s">
        <v>159</v>
      </c>
      <c r="F209" s="3008">
        <v>2013</v>
      </c>
      <c r="G209" s="956">
        <v>2015</v>
      </c>
      <c r="H209" s="956">
        <v>2020</v>
      </c>
      <c r="I209" s="956">
        <v>2025</v>
      </c>
      <c r="J209" s="956">
        <v>2030</v>
      </c>
      <c r="K209" s="956">
        <v>2035</v>
      </c>
      <c r="L209" s="956">
        <v>2040</v>
      </c>
      <c r="M209" s="956">
        <v>2045</v>
      </c>
      <c r="N209" s="956">
        <v>2050</v>
      </c>
      <c r="O209" s="876"/>
      <c r="Q209" s="39"/>
      <c r="R209" s="39"/>
      <c r="S209" s="39"/>
    </row>
    <row r="210" spans="2:19" hidden="1">
      <c r="B210" s="67"/>
      <c r="C210" s="943" t="s">
        <v>2372</v>
      </c>
      <c r="D210" s="1070"/>
      <c r="E210" s="957"/>
      <c r="F210" s="2716"/>
      <c r="G210" s="1071"/>
      <c r="H210" s="1071"/>
      <c r="I210" s="1071"/>
      <c r="J210" s="1071"/>
      <c r="K210" s="1071"/>
      <c r="L210" s="1071"/>
      <c r="M210" s="1071"/>
      <c r="N210" s="2716"/>
      <c r="O210" s="876"/>
      <c r="Q210" s="39"/>
      <c r="R210" s="39"/>
      <c r="S210" s="39"/>
    </row>
    <row r="211" spans="2:19" hidden="1">
      <c r="B211" s="67"/>
      <c r="C211" s="943" t="s">
        <v>2373</v>
      </c>
      <c r="D211" s="67"/>
      <c r="E211" s="944"/>
      <c r="F211" s="160"/>
      <c r="G211" s="945"/>
      <c r="H211" s="945"/>
      <c r="I211" s="945"/>
      <c r="J211" s="945"/>
      <c r="K211" s="945"/>
      <c r="L211" s="945"/>
      <c r="M211" s="945"/>
      <c r="N211" s="160"/>
      <c r="O211" s="876"/>
      <c r="Q211" s="39"/>
      <c r="R211" s="39"/>
      <c r="S211" s="39"/>
    </row>
    <row r="212" spans="2:19" hidden="1">
      <c r="B212" s="67"/>
      <c r="C212" s="947" t="s">
        <v>2374</v>
      </c>
      <c r="D212" s="948"/>
      <c r="E212" s="949"/>
      <c r="F212" s="950"/>
      <c r="G212" s="950"/>
      <c r="H212" s="950"/>
      <c r="I212" s="950"/>
      <c r="J212" s="950"/>
      <c r="K212" s="950"/>
      <c r="L212" s="950"/>
      <c r="M212" s="950"/>
      <c r="N212" s="950"/>
      <c r="O212" s="876"/>
      <c r="Q212" s="39"/>
      <c r="R212" s="39"/>
      <c r="S212" s="39"/>
    </row>
    <row r="213" spans="2:19" hidden="1">
      <c r="B213" s="67"/>
      <c r="C213" s="943"/>
      <c r="D213" s="915"/>
      <c r="E213" s="944"/>
      <c r="F213" s="350"/>
      <c r="G213" s="945"/>
      <c r="H213" s="945"/>
      <c r="I213" s="945"/>
      <c r="J213" s="945"/>
      <c r="K213" s="945"/>
      <c r="L213" s="945"/>
      <c r="M213" s="945"/>
      <c r="N213" s="350"/>
      <c r="O213" s="876"/>
      <c r="Q213" s="39"/>
      <c r="R213" s="39"/>
      <c r="S213" s="39"/>
    </row>
    <row r="214" spans="2:19">
      <c r="B214" s="1068"/>
      <c r="C214" s="2527"/>
      <c r="D214" s="512"/>
      <c r="E214" s="2528"/>
      <c r="F214" s="2584"/>
      <c r="G214" s="2529"/>
      <c r="H214" s="2529"/>
      <c r="I214" s="2529"/>
      <c r="J214" s="2529"/>
      <c r="K214" s="2529"/>
      <c r="L214" s="2529"/>
      <c r="M214" s="2529"/>
      <c r="N214" s="2584"/>
      <c r="O214" s="1068"/>
      <c r="Q214" s="39"/>
      <c r="R214" s="39"/>
      <c r="S214" s="39"/>
    </row>
    <row r="215" spans="2:19" ht="15">
      <c r="B215" s="2156" t="s">
        <v>177</v>
      </c>
      <c r="C215" s="3014"/>
      <c r="D215" s="2157"/>
      <c r="E215" s="2157"/>
      <c r="F215" s="2157"/>
      <c r="G215" s="2157"/>
      <c r="H215" s="2157"/>
      <c r="I215" s="2157"/>
      <c r="J215" s="2157"/>
      <c r="K215" s="2157"/>
      <c r="L215" s="2157"/>
      <c r="M215" s="2157"/>
      <c r="N215" s="2157"/>
      <c r="O215" s="2158"/>
      <c r="Q215" s="850"/>
      <c r="R215" s="39"/>
      <c r="S215" s="39"/>
    </row>
    <row r="216" spans="2:19" s="39" customFormat="1">
      <c r="B216" s="946"/>
      <c r="C216" s="1048"/>
      <c r="D216" s="1048"/>
      <c r="E216" s="1048"/>
      <c r="F216" s="1048"/>
      <c r="G216" s="1048"/>
      <c r="H216" s="1048"/>
      <c r="I216" s="1048"/>
      <c r="J216" s="1048"/>
      <c r="K216" s="1048"/>
      <c r="L216" s="1048"/>
      <c r="M216" s="1048"/>
      <c r="N216" s="1048"/>
      <c r="O216" s="1048"/>
      <c r="P216" s="2858"/>
      <c r="Q216" s="850"/>
    </row>
    <row r="217" spans="2:19" s="39" customFormat="1">
      <c r="B217" s="105"/>
      <c r="C217" s="49" t="s">
        <v>2375</v>
      </c>
      <c r="D217" s="67"/>
      <c r="E217" s="67"/>
      <c r="F217" s="67"/>
      <c r="G217" s="67"/>
      <c r="H217" s="67"/>
      <c r="I217" s="67"/>
      <c r="J217" s="67"/>
      <c r="K217" s="67"/>
      <c r="L217" s="67"/>
      <c r="M217" s="67"/>
      <c r="N217" s="51" t="str">
        <f>Preferences.PowerUnits&amp;"_e"</f>
        <v>GW_e</v>
      </c>
      <c r="O217" s="876"/>
      <c r="P217" s="2858"/>
    </row>
    <row r="218" spans="2:19" s="39" customFormat="1">
      <c r="B218" s="105"/>
      <c r="C218" s="49"/>
      <c r="D218" s="67"/>
      <c r="E218" s="67"/>
      <c r="F218" s="67"/>
      <c r="G218" s="67"/>
      <c r="H218" s="67"/>
      <c r="I218" s="67"/>
      <c r="J218" s="67"/>
      <c r="K218" s="67"/>
      <c r="L218" s="67"/>
      <c r="M218" s="67"/>
      <c r="N218" s="67"/>
      <c r="O218" s="876"/>
      <c r="P218" s="2858"/>
    </row>
    <row r="219" spans="2:19" s="39" customFormat="1">
      <c r="B219" s="105"/>
      <c r="C219" s="878" t="s">
        <v>8</v>
      </c>
      <c r="D219" s="878" t="s">
        <v>71</v>
      </c>
      <c r="E219" s="878" t="s">
        <v>30</v>
      </c>
      <c r="F219" s="879">
        <v>2013</v>
      </c>
      <c r="G219" s="87">
        <v>2015</v>
      </c>
      <c r="H219" s="87">
        <v>2020</v>
      </c>
      <c r="I219" s="87">
        <v>2025</v>
      </c>
      <c r="J219" s="87">
        <v>2030</v>
      </c>
      <c r="K219" s="87">
        <v>2035</v>
      </c>
      <c r="L219" s="87">
        <v>2040</v>
      </c>
      <c r="M219" s="87">
        <v>2045</v>
      </c>
      <c r="N219" s="87">
        <v>2050</v>
      </c>
      <c r="O219" s="876"/>
      <c r="P219" s="2858"/>
    </row>
    <row r="220" spans="2:19" s="39" customFormat="1">
      <c r="B220" s="105"/>
      <c r="C220" s="65" t="s">
        <v>547</v>
      </c>
      <c r="D220" s="103" t="s">
        <v>2338</v>
      </c>
      <c r="E220" s="1025"/>
      <c r="F220" s="2641">
        <f t="shared" ref="F220:N224" ca="1" si="20">MAX(F163-F57,0)*F47</f>
        <v>1.8653657304686311</v>
      </c>
      <c r="G220" s="2641">
        <f t="shared" ca="1" si="20"/>
        <v>1.906028097675432</v>
      </c>
      <c r="H220" s="2641">
        <f t="shared" ca="1" si="20"/>
        <v>1.6977382472603195</v>
      </c>
      <c r="I220" s="2641">
        <f t="shared" ca="1" si="20"/>
        <v>2.3126285786620837</v>
      </c>
      <c r="J220" s="2641">
        <f t="shared" ca="1" si="20"/>
        <v>1.6010897970729145</v>
      </c>
      <c r="K220" s="2641">
        <f t="shared" ca="1" si="20"/>
        <v>2.1539282855230018</v>
      </c>
      <c r="L220" s="2641">
        <f t="shared" ca="1" si="20"/>
        <v>2.3293975571083152</v>
      </c>
      <c r="M220" s="2641">
        <f t="shared" ca="1" si="20"/>
        <v>2.5135894828050458</v>
      </c>
      <c r="N220" s="2641">
        <f t="shared" ca="1" si="20"/>
        <v>2.7071605288696325</v>
      </c>
      <c r="O220" s="876"/>
      <c r="P220" s="2858"/>
    </row>
    <row r="221" spans="2:19" s="39" customFormat="1">
      <c r="B221" s="105"/>
      <c r="C221" s="65" t="s">
        <v>547</v>
      </c>
      <c r="D221" s="103" t="s">
        <v>1679</v>
      </c>
      <c r="E221" s="59"/>
      <c r="F221" s="2639">
        <f t="shared" ca="1" si="20"/>
        <v>0.88000000000000012</v>
      </c>
      <c r="G221" s="2639">
        <f ca="1">MAX(G164-G58,0)*G48</f>
        <v>0.73352806756085454</v>
      </c>
      <c r="H221" s="2639">
        <f t="shared" ca="1" si="20"/>
        <v>0.26010134128166917</v>
      </c>
      <c r="I221" s="2639">
        <f t="shared" ca="1" si="20"/>
        <v>0.26074515648286145</v>
      </c>
      <c r="J221" s="2639">
        <f t="shared" ca="1" si="20"/>
        <v>0.26138897168405367</v>
      </c>
      <c r="K221" s="2639">
        <f t="shared" ca="1" si="20"/>
        <v>0</v>
      </c>
      <c r="L221" s="2639">
        <f t="shared" ca="1" si="20"/>
        <v>0</v>
      </c>
      <c r="M221" s="2639">
        <f t="shared" ca="1" si="20"/>
        <v>0</v>
      </c>
      <c r="N221" s="2639">
        <f t="shared" ca="1" si="20"/>
        <v>0</v>
      </c>
      <c r="O221" s="876"/>
      <c r="P221" s="2858"/>
    </row>
    <row r="222" spans="2:19" s="39" customFormat="1">
      <c r="B222" s="105"/>
      <c r="C222" s="65" t="s">
        <v>547</v>
      </c>
      <c r="D222" s="103" t="s">
        <v>1714</v>
      </c>
      <c r="E222" s="59"/>
      <c r="F222" s="2639">
        <f t="shared" ca="1" si="20"/>
        <v>0.12159999999999997</v>
      </c>
      <c r="G222" s="2639">
        <f t="shared" ca="1" si="20"/>
        <v>0.12117391952309987</v>
      </c>
      <c r="H222" s="2639">
        <f t="shared" ca="1" si="20"/>
        <v>9.4466766020864318E-2</v>
      </c>
      <c r="I222" s="2639">
        <f t="shared" ca="1" si="20"/>
        <v>9.6514456035767457E-2</v>
      </c>
      <c r="J222" s="2639">
        <f t="shared" ca="1" si="20"/>
        <v>6.7895976154992529E-2</v>
      </c>
      <c r="K222" s="2639">
        <f t="shared" ca="1" si="20"/>
        <v>0</v>
      </c>
      <c r="L222" s="2639">
        <f t="shared" ca="1" si="20"/>
        <v>0</v>
      </c>
      <c r="M222" s="2639">
        <f t="shared" ca="1" si="20"/>
        <v>0</v>
      </c>
      <c r="N222" s="2639">
        <f t="shared" ca="1" si="20"/>
        <v>0</v>
      </c>
      <c r="O222" s="876"/>
      <c r="P222" s="2858"/>
    </row>
    <row r="223" spans="2:19" s="39" customFormat="1">
      <c r="B223" s="105"/>
      <c r="C223" s="65" t="s">
        <v>544</v>
      </c>
      <c r="D223" s="103" t="s">
        <v>2341</v>
      </c>
      <c r="E223" s="59"/>
      <c r="F223" s="2639">
        <f t="shared" ca="1" si="20"/>
        <v>0</v>
      </c>
      <c r="G223" s="2639">
        <f t="shared" ca="1" si="20"/>
        <v>0</v>
      </c>
      <c r="H223" s="2639">
        <f t="shared" ca="1" si="20"/>
        <v>0</v>
      </c>
      <c r="I223" s="2639">
        <f t="shared" ca="1" si="20"/>
        <v>0</v>
      </c>
      <c r="J223" s="2639">
        <f t="shared" ca="1" si="20"/>
        <v>0</v>
      </c>
      <c r="K223" s="2639">
        <f t="shared" ca="1" si="20"/>
        <v>0</v>
      </c>
      <c r="L223" s="2639">
        <f t="shared" ca="1" si="20"/>
        <v>0</v>
      </c>
      <c r="M223" s="2639">
        <f t="shared" ca="1" si="20"/>
        <v>0</v>
      </c>
      <c r="N223" s="2639">
        <f t="shared" ca="1" si="20"/>
        <v>0</v>
      </c>
      <c r="O223" s="876"/>
      <c r="P223" s="2858"/>
    </row>
    <row r="224" spans="2:19" s="39" customFormat="1">
      <c r="B224" s="105"/>
      <c r="C224" s="917" t="s">
        <v>539</v>
      </c>
      <c r="D224" s="194" t="s">
        <v>725</v>
      </c>
      <c r="E224" s="969"/>
      <c r="F224" s="2639">
        <f t="shared" ca="1" si="20"/>
        <v>0</v>
      </c>
      <c r="G224" s="2639">
        <f t="shared" ca="1" si="20"/>
        <v>0</v>
      </c>
      <c r="H224" s="2639">
        <f t="shared" ca="1" si="20"/>
        <v>0</v>
      </c>
      <c r="I224" s="2639">
        <f t="shared" ca="1" si="20"/>
        <v>0</v>
      </c>
      <c r="J224" s="2639">
        <f t="shared" ca="1" si="20"/>
        <v>0</v>
      </c>
      <c r="K224" s="2639">
        <f t="shared" ca="1" si="20"/>
        <v>0</v>
      </c>
      <c r="L224" s="2639">
        <f t="shared" ca="1" si="20"/>
        <v>0</v>
      </c>
      <c r="M224" s="2639">
        <f t="shared" ca="1" si="20"/>
        <v>0</v>
      </c>
      <c r="N224" s="2639">
        <f t="shared" ca="1" si="20"/>
        <v>0</v>
      </c>
      <c r="O224" s="876"/>
      <c r="P224" s="2858"/>
    </row>
    <row r="225" spans="2:16" s="39" customFormat="1">
      <c r="B225" s="105"/>
      <c r="C225" s="1094"/>
      <c r="D225" s="1094" t="s">
        <v>58</v>
      </c>
      <c r="E225" s="1094"/>
      <c r="F225" s="3015">
        <f ca="1">SUM(F220:F224)</f>
        <v>2.8669657304686309</v>
      </c>
      <c r="G225" s="3015">
        <f t="shared" ref="G225:N225" ca="1" si="21">SUM(G220:G224)</f>
        <v>2.7607300847593867</v>
      </c>
      <c r="H225" s="3015">
        <f t="shared" ca="1" si="21"/>
        <v>2.052306354562853</v>
      </c>
      <c r="I225" s="3015">
        <f t="shared" ca="1" si="21"/>
        <v>2.6698881911807124</v>
      </c>
      <c r="J225" s="3015">
        <f t="shared" ca="1" si="21"/>
        <v>1.9303747449119606</v>
      </c>
      <c r="K225" s="3015">
        <f t="shared" ca="1" si="21"/>
        <v>2.1539282855230018</v>
      </c>
      <c r="L225" s="3015">
        <f t="shared" ca="1" si="21"/>
        <v>2.3293975571083152</v>
      </c>
      <c r="M225" s="3015">
        <f t="shared" ca="1" si="21"/>
        <v>2.5135894828050458</v>
      </c>
      <c r="N225" s="3015">
        <f t="shared" ca="1" si="21"/>
        <v>2.7071605288696325</v>
      </c>
      <c r="O225" s="876"/>
      <c r="P225" s="2858"/>
    </row>
    <row r="226" spans="2:16" s="39" customFormat="1">
      <c r="B226" s="105"/>
      <c r="C226" s="67"/>
      <c r="D226" s="67"/>
      <c r="E226" s="67"/>
      <c r="F226" s="67"/>
      <c r="G226" s="67"/>
      <c r="H226" s="67"/>
      <c r="I226" s="67"/>
      <c r="J226" s="67"/>
      <c r="K226" s="67"/>
      <c r="L226" s="67"/>
      <c r="M226" s="67"/>
      <c r="N226" s="67"/>
      <c r="O226" s="876"/>
      <c r="P226" s="2858"/>
    </row>
    <row r="227" spans="2:16" s="39" customFormat="1" ht="15.5">
      <c r="B227" s="1101" t="s">
        <v>206</v>
      </c>
      <c r="C227" s="2858"/>
      <c r="D227" s="2858"/>
      <c r="E227" s="2858"/>
      <c r="F227" s="2858"/>
      <c r="G227" s="2858"/>
      <c r="H227" s="2858"/>
      <c r="I227" s="2858"/>
      <c r="J227" s="2858"/>
      <c r="K227" s="2858"/>
      <c r="L227" s="2858"/>
      <c r="M227" s="2858"/>
      <c r="N227" s="2858"/>
      <c r="O227" s="2858"/>
      <c r="P227" s="2858"/>
    </row>
    <row r="228" spans="2:16" s="39" customFormat="1">
      <c r="B228" s="2858"/>
      <c r="C228" s="2858"/>
      <c r="D228" s="2858"/>
      <c r="E228" s="2858"/>
      <c r="F228" s="2858"/>
      <c r="G228" s="2858"/>
      <c r="H228" s="2858"/>
      <c r="I228" s="2858"/>
      <c r="J228" s="2858"/>
      <c r="K228" s="2858"/>
      <c r="L228" s="2858"/>
      <c r="M228" s="2858"/>
      <c r="N228" s="2858"/>
      <c r="O228" s="2858"/>
      <c r="P228" s="2858"/>
    </row>
    <row r="229" spans="2:16" s="39" customFormat="1">
      <c r="B229" s="2858">
        <v>1</v>
      </c>
      <c r="C229" s="2858" t="s">
        <v>2376</v>
      </c>
      <c r="D229" s="2858"/>
      <c r="E229" s="2858"/>
      <c r="F229" s="2858"/>
      <c r="G229" s="2858"/>
      <c r="H229" s="2858"/>
      <c r="I229" s="2858"/>
      <c r="J229" s="2858"/>
      <c r="K229" s="2858"/>
      <c r="L229" s="2858"/>
      <c r="M229" s="2858"/>
      <c r="N229" s="2858"/>
      <c r="O229" s="2858"/>
      <c r="P229" s="2858"/>
    </row>
    <row r="230" spans="2:16" s="39" customFormat="1">
      <c r="B230" s="2858">
        <v>2</v>
      </c>
      <c r="C230" s="2858" t="s">
        <v>2377</v>
      </c>
      <c r="D230" s="2858"/>
      <c r="E230" s="2858"/>
      <c r="F230" s="2858"/>
      <c r="G230" s="2858"/>
      <c r="H230" s="2858"/>
      <c r="I230" s="2858"/>
      <c r="J230" s="2858"/>
      <c r="K230" s="2858"/>
      <c r="L230" s="2858"/>
      <c r="M230" s="2858"/>
      <c r="N230" s="2858"/>
      <c r="O230" s="2858"/>
      <c r="P230" s="2858"/>
    </row>
    <row r="231" spans="2:16" s="39" customFormat="1">
      <c r="B231" s="2858">
        <v>3</v>
      </c>
      <c r="C231" s="2858" t="s">
        <v>2378</v>
      </c>
      <c r="D231" s="2858"/>
      <c r="E231" s="2858"/>
      <c r="F231" s="2858"/>
      <c r="G231" s="2858"/>
      <c r="H231" s="2858"/>
      <c r="I231" s="2858"/>
      <c r="J231" s="2858"/>
      <c r="K231" s="2858"/>
      <c r="L231" s="2858"/>
      <c r="M231" s="2858"/>
      <c r="N231" s="2858"/>
      <c r="O231" s="2858"/>
      <c r="P231" s="2858"/>
    </row>
    <row r="232" spans="2:16" s="39" customFormat="1">
      <c r="B232" s="2858">
        <v>4</v>
      </c>
      <c r="C232" s="2858" t="s">
        <v>2379</v>
      </c>
      <c r="D232" s="2858"/>
      <c r="E232" s="2858"/>
      <c r="F232" s="2858"/>
      <c r="G232" s="2858"/>
      <c r="H232" s="2858"/>
      <c r="I232" s="2858"/>
      <c r="J232" s="2858"/>
      <c r="K232" s="2858"/>
      <c r="L232" s="2858"/>
      <c r="M232" s="2858"/>
      <c r="N232" s="2858"/>
      <c r="O232" s="2858"/>
      <c r="P232" s="2858"/>
    </row>
    <row r="233" spans="2:16" s="39" customFormat="1">
      <c r="B233" s="2858">
        <v>5</v>
      </c>
      <c r="C233" s="2858" t="s">
        <v>2380</v>
      </c>
      <c r="D233" s="2858"/>
      <c r="E233" s="2858"/>
      <c r="F233" s="2858"/>
      <c r="G233" s="2858"/>
      <c r="H233" s="2858"/>
      <c r="I233" s="2858"/>
      <c r="J233" s="2858"/>
      <c r="K233" s="2858"/>
      <c r="L233" s="2858"/>
      <c r="M233" s="2858"/>
      <c r="N233" s="2858"/>
      <c r="O233" s="2858"/>
      <c r="P233" s="2858"/>
    </row>
    <row r="234" spans="2:16" s="39" customFormat="1">
      <c r="B234" s="2858">
        <v>6</v>
      </c>
      <c r="C234" s="2858" t="s">
        <v>2381</v>
      </c>
      <c r="D234" s="2858"/>
      <c r="E234" s="2858"/>
      <c r="F234" s="2858"/>
      <c r="G234" s="2858"/>
      <c r="H234" s="2858"/>
      <c r="I234" s="2858"/>
      <c r="J234" s="2858"/>
      <c r="K234" s="2858"/>
      <c r="L234" s="2858"/>
      <c r="M234" s="2858"/>
      <c r="N234" s="2858"/>
      <c r="O234" s="2858"/>
      <c r="P234" s="2858"/>
    </row>
    <row r="235" spans="2:16" s="39" customFormat="1">
      <c r="B235" s="2858">
        <v>7</v>
      </c>
      <c r="C235" s="2858" t="s">
        <v>2382</v>
      </c>
      <c r="D235" s="2858"/>
      <c r="E235" s="2858"/>
      <c r="F235" s="2858"/>
      <c r="G235" s="2858"/>
      <c r="H235" s="2858"/>
      <c r="I235" s="2858"/>
      <c r="J235" s="2858"/>
      <c r="K235" s="2858"/>
      <c r="L235" s="2858"/>
      <c r="M235" s="2858"/>
      <c r="N235" s="2858"/>
      <c r="O235" s="2858"/>
      <c r="P235" s="2858"/>
    </row>
    <row r="236" spans="2:16" s="39" customFormat="1">
      <c r="B236" s="2858"/>
      <c r="C236" s="2858"/>
      <c r="D236" s="2858"/>
      <c r="E236" s="2858"/>
      <c r="F236" s="2858"/>
      <c r="G236" s="2858"/>
      <c r="H236" s="2858"/>
      <c r="I236" s="2858"/>
      <c r="J236" s="2858"/>
      <c r="K236" s="2858"/>
      <c r="L236" s="2858"/>
      <c r="M236" s="2858"/>
      <c r="N236" s="2858"/>
      <c r="O236" s="2858"/>
      <c r="P236" s="2858"/>
    </row>
    <row r="237" spans="2:16" s="39" customFormat="1">
      <c r="B237" s="354">
        <v>1</v>
      </c>
      <c r="C237" s="354" t="s">
        <v>2383</v>
      </c>
      <c r="D237" s="2858"/>
      <c r="E237" s="2858"/>
      <c r="F237" s="2858"/>
      <c r="G237" s="2858"/>
      <c r="H237" s="2858"/>
      <c r="I237" s="2858"/>
      <c r="J237" s="2858"/>
      <c r="K237" s="2858"/>
      <c r="L237" s="2858"/>
      <c r="M237" s="2858"/>
      <c r="N237" s="2858"/>
      <c r="O237" s="2858"/>
      <c r="P237" s="2858"/>
    </row>
    <row r="238" spans="2:16" s="39" customFormat="1">
      <c r="B238" s="2858"/>
      <c r="C238" s="2858"/>
      <c r="D238" s="2858"/>
      <c r="E238" s="2858"/>
      <c r="F238" s="2858"/>
      <c r="G238" s="2858"/>
      <c r="H238" s="2858"/>
      <c r="I238" s="2858"/>
      <c r="J238" s="2858"/>
      <c r="K238" s="2858"/>
      <c r="L238" s="2858"/>
      <c r="M238" s="2858"/>
      <c r="N238" s="2858"/>
      <c r="O238" s="2858"/>
      <c r="P238" s="2858"/>
    </row>
    <row r="239" spans="2:16" s="39" customFormat="1">
      <c r="B239" s="2858"/>
      <c r="C239" s="2858" t="s">
        <v>2384</v>
      </c>
      <c r="D239" s="2858"/>
      <c r="E239" s="2858"/>
      <c r="F239" s="2858"/>
      <c r="G239" s="2858"/>
      <c r="H239" s="2858"/>
      <c r="I239" s="2858"/>
      <c r="J239" s="2858"/>
      <c r="K239" s="2858"/>
      <c r="L239" s="2858"/>
      <c r="M239" s="2858"/>
      <c r="N239" s="373" t="str">
        <f>Preferences.PowerUnits&amp;"e"</f>
        <v>GWe</v>
      </c>
      <c r="O239" s="2858"/>
      <c r="P239" s="2858"/>
    </row>
    <row r="240" spans="2:16" s="39" customFormat="1">
      <c r="B240" s="2858"/>
      <c r="C240" s="2858"/>
      <c r="D240" s="2858"/>
      <c r="E240" s="2858"/>
      <c r="F240" s="2858"/>
      <c r="G240" s="2858"/>
      <c r="H240" s="2858"/>
      <c r="I240" s="2858"/>
      <c r="J240" s="2858"/>
      <c r="K240" s="2858"/>
      <c r="L240" s="2858"/>
      <c r="M240" s="2858"/>
      <c r="N240" s="2858"/>
      <c r="O240" s="2858"/>
      <c r="P240" s="2858"/>
    </row>
    <row r="241" spans="1:19" s="39" customFormat="1" ht="15.5">
      <c r="B241" s="2308"/>
      <c r="C241" s="3016"/>
      <c r="D241" s="3016" t="s">
        <v>29</v>
      </c>
      <c r="E241" s="3016" t="s">
        <v>30</v>
      </c>
      <c r="F241" s="3017">
        <v>2013</v>
      </c>
      <c r="G241" s="3017">
        <v>2015</v>
      </c>
      <c r="H241" s="3017">
        <v>2020</v>
      </c>
      <c r="I241" s="3017">
        <v>2025</v>
      </c>
      <c r="J241" s="3017">
        <v>2030</v>
      </c>
      <c r="K241" s="3017">
        <v>2035</v>
      </c>
      <c r="L241" s="3017">
        <v>2040</v>
      </c>
      <c r="M241" s="3017">
        <v>2045</v>
      </c>
      <c r="N241" s="3017">
        <v>2050</v>
      </c>
      <c r="O241" s="2858"/>
      <c r="P241" s="2858"/>
    </row>
    <row r="242" spans="1:19" s="39" customFormat="1" ht="15.5">
      <c r="B242" s="2308"/>
      <c r="C242" s="2542"/>
      <c r="D242" s="512" t="s">
        <v>2385</v>
      </c>
      <c r="E242" s="2542"/>
      <c r="F242" s="3327">
        <f t="shared" ref="F242:N242" ca="1" si="22">F42</f>
        <v>0</v>
      </c>
      <c r="G242" s="3327">
        <f t="shared" ca="1" si="22"/>
        <v>4.0528333091495553E-16</v>
      </c>
      <c r="H242" s="3327">
        <f t="shared" ca="1" si="22"/>
        <v>0</v>
      </c>
      <c r="I242" s="3327">
        <f t="shared" ca="1" si="22"/>
        <v>4.0528333091495553E-16</v>
      </c>
      <c r="J242" s="3327">
        <f t="shared" ca="1" si="22"/>
        <v>0</v>
      </c>
      <c r="K242" s="3327">
        <f t="shared" ca="1" si="22"/>
        <v>0</v>
      </c>
      <c r="L242" s="3327">
        <f t="shared" ca="1" si="22"/>
        <v>0</v>
      </c>
      <c r="M242" s="3327">
        <f t="shared" ca="1" si="22"/>
        <v>0</v>
      </c>
      <c r="N242" s="3327">
        <f t="shared" ca="1" si="22"/>
        <v>0</v>
      </c>
      <c r="O242" s="2858"/>
      <c r="P242" s="2858"/>
    </row>
    <row r="243" spans="1:19" s="39" customFormat="1" ht="15.5">
      <c r="B243" s="2308"/>
      <c r="C243" s="512"/>
      <c r="D243" s="3018" t="s">
        <v>2386</v>
      </c>
      <c r="E243" s="512"/>
      <c r="F243" s="3328">
        <f ca="1">F225</f>
        <v>2.8669657304686309</v>
      </c>
      <c r="G243" s="3328">
        <f t="shared" ref="G243:N243" ca="1" si="23">G225</f>
        <v>2.7607300847593867</v>
      </c>
      <c r="H243" s="3328">
        <f t="shared" ca="1" si="23"/>
        <v>2.052306354562853</v>
      </c>
      <c r="I243" s="3328">
        <f t="shared" ca="1" si="23"/>
        <v>2.6698881911807124</v>
      </c>
      <c r="J243" s="3328">
        <f t="shared" ca="1" si="23"/>
        <v>1.9303747449119606</v>
      </c>
      <c r="K243" s="3328">
        <f t="shared" ca="1" si="23"/>
        <v>2.1539282855230018</v>
      </c>
      <c r="L243" s="3328">
        <f t="shared" ca="1" si="23"/>
        <v>2.3293975571083152</v>
      </c>
      <c r="M243" s="3328">
        <f t="shared" ca="1" si="23"/>
        <v>2.5135894828050458</v>
      </c>
      <c r="N243" s="3328">
        <f t="shared" ca="1" si="23"/>
        <v>2.7071605288696325</v>
      </c>
      <c r="O243" s="2858"/>
      <c r="P243" s="2858"/>
      <c r="Q243" s="2771"/>
      <c r="R243" s="2771"/>
      <c r="S243" s="2771"/>
    </row>
    <row r="244" spans="1:19" s="39" customFormat="1" ht="15.5">
      <c r="B244" s="2308"/>
      <c r="C244" s="512"/>
      <c r="D244" s="3018" t="s">
        <v>2387</v>
      </c>
      <c r="E244" s="512"/>
      <c r="F244" s="3328">
        <f t="shared" ref="F244:N244" si="24">F98</f>
        <v>0.75</v>
      </c>
      <c r="G244" s="3328">
        <f t="shared" si="24"/>
        <v>0.75</v>
      </c>
      <c r="H244" s="3328">
        <f t="shared" si="24"/>
        <v>0.75</v>
      </c>
      <c r="I244" s="3328">
        <f t="shared" si="24"/>
        <v>1.4</v>
      </c>
      <c r="J244" s="3328">
        <f t="shared" si="24"/>
        <v>1.4</v>
      </c>
      <c r="K244" s="3328">
        <f t="shared" si="24"/>
        <v>1.4</v>
      </c>
      <c r="L244" s="3328">
        <f t="shared" si="24"/>
        <v>1.4</v>
      </c>
      <c r="M244" s="3328">
        <f t="shared" si="24"/>
        <v>1.4</v>
      </c>
      <c r="N244" s="3328">
        <f t="shared" si="24"/>
        <v>1.4</v>
      </c>
      <c r="O244" s="2858"/>
      <c r="P244" s="2858"/>
      <c r="Q244" s="2771"/>
      <c r="R244" s="2771"/>
      <c r="S244" s="2771"/>
    </row>
    <row r="245" spans="1:19" s="39" customFormat="1" ht="15.5">
      <c r="B245" s="2308"/>
      <c r="C245" s="512"/>
      <c r="D245" s="3018" t="s">
        <v>2388</v>
      </c>
      <c r="E245" s="512"/>
      <c r="F245" s="3328">
        <f t="shared" ref="F245:N245" ca="1" si="25">($G$116*F67)+($H$116*F66)</f>
        <v>0</v>
      </c>
      <c r="G245" s="3328">
        <f t="shared" ca="1" si="25"/>
        <v>0</v>
      </c>
      <c r="H245" s="3328">
        <f t="shared" ca="1" si="25"/>
        <v>0</v>
      </c>
      <c r="I245" s="3328">
        <f t="shared" ca="1" si="25"/>
        <v>0</v>
      </c>
      <c r="J245" s="3328">
        <f t="shared" ca="1" si="25"/>
        <v>0</v>
      </c>
      <c r="K245" s="3328">
        <f t="shared" ca="1" si="25"/>
        <v>0</v>
      </c>
      <c r="L245" s="3328">
        <f t="shared" ca="1" si="25"/>
        <v>0</v>
      </c>
      <c r="M245" s="3328">
        <f t="shared" ca="1" si="25"/>
        <v>0</v>
      </c>
      <c r="N245" s="3328">
        <f t="shared" ca="1" si="25"/>
        <v>0</v>
      </c>
      <c r="O245" s="2858"/>
      <c r="P245" s="2858"/>
      <c r="Q245" s="2771"/>
      <c r="R245" s="2771"/>
      <c r="S245" s="2771"/>
    </row>
    <row r="246" spans="1:19" s="39" customFormat="1" ht="15.5">
      <c r="B246" s="2308"/>
      <c r="C246" s="3019"/>
      <c r="D246" s="3020" t="s">
        <v>2389</v>
      </c>
      <c r="E246" s="3019"/>
      <c r="F246" s="3329">
        <f t="shared" ref="F246:N246" si="26">F80</f>
        <v>0.29199999999999998</v>
      </c>
      <c r="G246" s="3329">
        <f t="shared" si="26"/>
        <v>0.29199999999999998</v>
      </c>
      <c r="H246" s="3329">
        <f t="shared" si="26"/>
        <v>0.29199999999999998</v>
      </c>
      <c r="I246" s="3329">
        <f t="shared" si="26"/>
        <v>0.29199999999999998</v>
      </c>
      <c r="J246" s="3329">
        <f t="shared" si="26"/>
        <v>1.792</v>
      </c>
      <c r="K246" s="3329">
        <f t="shared" si="26"/>
        <v>1.792</v>
      </c>
      <c r="L246" s="3329">
        <f t="shared" si="26"/>
        <v>1.792</v>
      </c>
      <c r="M246" s="3329">
        <f t="shared" si="26"/>
        <v>1.792</v>
      </c>
      <c r="N246" s="3329">
        <f t="shared" si="26"/>
        <v>1.792</v>
      </c>
      <c r="O246" s="2858"/>
      <c r="P246" s="2858"/>
      <c r="Q246" s="2771"/>
      <c r="R246" s="2771"/>
      <c r="S246" s="2771"/>
    </row>
    <row r="247" spans="1:19" s="39" customFormat="1" ht="15.5">
      <c r="B247" s="2308"/>
      <c r="C247" s="1696"/>
      <c r="D247" s="1696" t="s">
        <v>2390</v>
      </c>
      <c r="E247" s="1696"/>
      <c r="F247" s="3021">
        <f ca="1">SUM(F242:F246)</f>
        <v>3.9089657304686307</v>
      </c>
      <c r="G247" s="3330">
        <f t="shared" ref="G247:N247" ca="1" si="27">SUM(G242:G246)</f>
        <v>3.802730084759387</v>
      </c>
      <c r="H247" s="3021">
        <f t="shared" ca="1" si="27"/>
        <v>3.0943063545628529</v>
      </c>
      <c r="I247" s="3021">
        <f t="shared" ca="1" si="27"/>
        <v>4.3618881911807126</v>
      </c>
      <c r="J247" s="3021">
        <f t="shared" ca="1" si="27"/>
        <v>5.1223747449119603</v>
      </c>
      <c r="K247" s="3021">
        <f t="shared" ca="1" si="27"/>
        <v>5.3459282855230015</v>
      </c>
      <c r="L247" s="3021">
        <f t="shared" ca="1" si="27"/>
        <v>5.5213975571083154</v>
      </c>
      <c r="M247" s="3021">
        <f t="shared" ca="1" si="27"/>
        <v>5.7055894828050455</v>
      </c>
      <c r="N247" s="3021">
        <f t="shared" ca="1" si="27"/>
        <v>5.8991605288696327</v>
      </c>
      <c r="O247" s="2858"/>
      <c r="P247" s="2858"/>
      <c r="Q247" s="2771"/>
      <c r="R247" s="2771"/>
      <c r="S247" s="2771"/>
    </row>
    <row r="248" spans="1:19" s="6" customFormat="1" ht="23.5">
      <c r="A248" s="40"/>
      <c r="B248" s="2858"/>
      <c r="C248" s="2858"/>
      <c r="D248" s="2858"/>
      <c r="E248" s="2858"/>
      <c r="F248" s="39"/>
      <c r="G248" s="39"/>
      <c r="H248" s="39"/>
      <c r="I248" s="39"/>
      <c r="J248" s="39"/>
      <c r="K248" s="39"/>
      <c r="L248" s="39"/>
      <c r="M248" s="39"/>
      <c r="N248" s="39"/>
      <c r="O248" s="2858"/>
      <c r="P248" s="2858"/>
      <c r="Q248" s="2771"/>
      <c r="R248" s="2771"/>
      <c r="S248" s="2771"/>
    </row>
    <row r="249" spans="1:19" s="6" customFormat="1" ht="23.5">
      <c r="A249" s="40"/>
      <c r="B249" s="2858"/>
      <c r="C249" s="2858" t="s">
        <v>2391</v>
      </c>
      <c r="D249" s="2858"/>
      <c r="E249" s="2858"/>
      <c r="F249" s="39"/>
      <c r="G249" s="39"/>
      <c r="H249" s="39"/>
      <c r="I249" s="39"/>
      <c r="J249" s="39"/>
      <c r="K249" s="39"/>
      <c r="L249" s="39"/>
      <c r="M249" s="39"/>
      <c r="N249" s="1599" t="str">
        <f>Preferences.EnergyUnits&amp;"e"</f>
        <v>TWhe</v>
      </c>
      <c r="O249" s="2858"/>
      <c r="P249" s="2858"/>
      <c r="Q249" s="2771"/>
      <c r="R249" s="2771"/>
      <c r="S249" s="2771"/>
    </row>
    <row r="250" spans="1:19">
      <c r="F250" s="39"/>
      <c r="G250" s="39"/>
      <c r="H250" s="39"/>
      <c r="I250" s="39"/>
      <c r="J250" s="39"/>
      <c r="K250" s="39"/>
      <c r="L250" s="39"/>
      <c r="M250" s="39"/>
      <c r="N250" s="39"/>
      <c r="Q250" s="2771"/>
      <c r="R250" s="2771"/>
      <c r="S250" s="2771"/>
    </row>
    <row r="251" spans="1:19" ht="15.5">
      <c r="B251" s="2308"/>
      <c r="C251" s="3016"/>
      <c r="D251" s="3016" t="s">
        <v>29</v>
      </c>
      <c r="E251" s="3016" t="s">
        <v>30</v>
      </c>
      <c r="F251" s="3022">
        <v>2013</v>
      </c>
      <c r="G251" s="3022">
        <v>2015</v>
      </c>
      <c r="H251" s="3022">
        <v>2020</v>
      </c>
      <c r="I251" s="3022">
        <v>2025</v>
      </c>
      <c r="J251" s="3022">
        <v>2030</v>
      </c>
      <c r="K251" s="3022">
        <v>2035</v>
      </c>
      <c r="L251" s="3022">
        <v>2040</v>
      </c>
      <c r="M251" s="3022">
        <v>2045</v>
      </c>
      <c r="N251" s="3022">
        <v>2050</v>
      </c>
      <c r="Q251" s="2771"/>
      <c r="R251" s="2771"/>
      <c r="S251" s="2771"/>
    </row>
    <row r="252" spans="1:19" ht="15.5">
      <c r="B252" s="2308"/>
      <c r="C252" s="2542"/>
      <c r="D252" s="512" t="s">
        <v>2385</v>
      </c>
      <c r="E252" s="2542"/>
      <c r="F252" s="3327">
        <f t="shared" ref="F252:N252" ca="1" si="28">F242*Conversion.to.energy.per.second*$F$131*Unit.day</f>
        <v>0</v>
      </c>
      <c r="G252" s="3331">
        <f t="shared" ca="1" si="28"/>
        <v>4.8633999709794653E-17</v>
      </c>
      <c r="H252" s="3327">
        <f t="shared" ca="1" si="28"/>
        <v>0</v>
      </c>
      <c r="I252" s="3327">
        <f t="shared" ca="1" si="28"/>
        <v>4.8633999709794653E-17</v>
      </c>
      <c r="J252" s="3327">
        <f t="shared" ca="1" si="28"/>
        <v>0</v>
      </c>
      <c r="K252" s="3327">
        <f t="shared" ca="1" si="28"/>
        <v>0</v>
      </c>
      <c r="L252" s="3327">
        <f t="shared" ca="1" si="28"/>
        <v>0</v>
      </c>
      <c r="M252" s="3327">
        <f t="shared" ca="1" si="28"/>
        <v>0</v>
      </c>
      <c r="N252" s="3327">
        <f t="shared" ca="1" si="28"/>
        <v>0</v>
      </c>
      <c r="Q252" s="2771"/>
      <c r="R252" s="2771"/>
      <c r="S252" s="2771"/>
    </row>
    <row r="253" spans="1:19" ht="15.5">
      <c r="B253" s="2308"/>
      <c r="C253" s="512"/>
      <c r="D253" s="3018" t="s">
        <v>2386</v>
      </c>
      <c r="E253" s="512"/>
      <c r="F253" s="3328">
        <f ca="1">F243*Conversion.to.energy.per.second*$F$131*Unit.day</f>
        <v>0.34403588765623566</v>
      </c>
      <c r="G253" s="3328">
        <f t="shared" ref="G253:N253" ca="1" si="29">G243*Conversion.to.energy.per.second*$F$131*Unit.day</f>
        <v>0.3312876101711264</v>
      </c>
      <c r="H253" s="3328">
        <f t="shared" ca="1" si="29"/>
        <v>0.24627676254754235</v>
      </c>
      <c r="I253" s="3328">
        <f t="shared" ca="1" si="29"/>
        <v>0.32038658294168543</v>
      </c>
      <c r="J253" s="3328">
        <f t="shared" ca="1" si="29"/>
        <v>0.23164496938943527</v>
      </c>
      <c r="K253" s="3328">
        <f t="shared" ca="1" si="29"/>
        <v>0.25847139426276017</v>
      </c>
      <c r="L253" s="3328">
        <f t="shared" ca="1" si="29"/>
        <v>0.27952770685299783</v>
      </c>
      <c r="M253" s="3328">
        <f t="shared" ca="1" si="29"/>
        <v>0.30163073793660544</v>
      </c>
      <c r="N253" s="3328">
        <f t="shared" ca="1" si="29"/>
        <v>0.3248592634643559</v>
      </c>
      <c r="Q253" s="2771"/>
      <c r="R253" s="2771"/>
      <c r="S253" s="2771"/>
    </row>
    <row r="254" spans="1:19" ht="15.5">
      <c r="B254" s="2308"/>
      <c r="C254" s="512"/>
      <c r="D254" s="3018" t="s">
        <v>2387</v>
      </c>
      <c r="E254" s="512"/>
      <c r="F254" s="3328">
        <f t="shared" ref="F254:N254" si="30">F244*$F$107*Conversion.to.energy.per.second*$F$131*Unit.day</f>
        <v>6.7499999999999991E-2</v>
      </c>
      <c r="G254" s="3328">
        <f t="shared" si="30"/>
        <v>6.7499999999999991E-2</v>
      </c>
      <c r="H254" s="3328">
        <f t="shared" si="30"/>
        <v>6.7499999999999991E-2</v>
      </c>
      <c r="I254" s="3328">
        <f t="shared" si="30"/>
        <v>0.12599999999999997</v>
      </c>
      <c r="J254" s="3328">
        <f t="shared" si="30"/>
        <v>0.12599999999999997</v>
      </c>
      <c r="K254" s="3328">
        <f t="shared" si="30"/>
        <v>0.12599999999999997</v>
      </c>
      <c r="L254" s="3328">
        <f t="shared" si="30"/>
        <v>0.12599999999999997</v>
      </c>
      <c r="M254" s="3328">
        <f t="shared" si="30"/>
        <v>0.12599999999999997</v>
      </c>
      <c r="N254" s="3328">
        <f t="shared" si="30"/>
        <v>0.12599999999999997</v>
      </c>
      <c r="Q254" s="2771"/>
      <c r="R254" s="2771"/>
      <c r="S254" s="2771"/>
    </row>
    <row r="255" spans="1:19" ht="15.5">
      <c r="B255" s="2308"/>
      <c r="C255" s="512"/>
      <c r="D255" s="3018" t="s">
        <v>2388</v>
      </c>
      <c r="E255" s="512"/>
      <c r="F255" s="3328">
        <f t="shared" ref="F255:N255" ca="1" si="31">F245*Conversion.to.energy.per.second*$F$131*Unit.day</f>
        <v>0</v>
      </c>
      <c r="G255" s="3332">
        <f t="shared" ca="1" si="31"/>
        <v>0</v>
      </c>
      <c r="H255" s="3328">
        <f t="shared" ca="1" si="31"/>
        <v>0</v>
      </c>
      <c r="I255" s="3328">
        <f t="shared" ca="1" si="31"/>
        <v>0</v>
      </c>
      <c r="J255" s="3328">
        <f t="shared" ca="1" si="31"/>
        <v>0</v>
      </c>
      <c r="K255" s="3328">
        <f t="shared" ca="1" si="31"/>
        <v>0</v>
      </c>
      <c r="L255" s="3328">
        <f t="shared" ca="1" si="31"/>
        <v>0</v>
      </c>
      <c r="M255" s="3328">
        <f t="shared" ca="1" si="31"/>
        <v>0</v>
      </c>
      <c r="N255" s="3328">
        <f t="shared" ca="1" si="31"/>
        <v>0</v>
      </c>
      <c r="Q255" s="2771"/>
      <c r="R255" s="2771"/>
      <c r="S255" s="2771"/>
    </row>
    <row r="256" spans="1:19" ht="15.5">
      <c r="B256" s="2308"/>
      <c r="C256" s="3019"/>
      <c r="D256" s="3020" t="s">
        <v>2389</v>
      </c>
      <c r="E256" s="3019"/>
      <c r="F256" s="3329">
        <f t="shared" ref="F256:N256" si="32">F89</f>
        <v>1.5900000000000001E-3</v>
      </c>
      <c r="G256" s="3329">
        <f t="shared" si="32"/>
        <v>1.5900000000000001E-3</v>
      </c>
      <c r="H256" s="3329">
        <f t="shared" si="32"/>
        <v>1.5900000000000001E-3</v>
      </c>
      <c r="I256" s="3329">
        <f t="shared" si="32"/>
        <v>1.5900000000000001E-3</v>
      </c>
      <c r="J256" s="3329">
        <f t="shared" si="32"/>
        <v>7.5900000000000004E-3</v>
      </c>
      <c r="K256" s="3329">
        <f t="shared" si="32"/>
        <v>7.5900000000000004E-3</v>
      </c>
      <c r="L256" s="3329">
        <f t="shared" si="32"/>
        <v>7.5900000000000004E-3</v>
      </c>
      <c r="M256" s="3329">
        <f t="shared" si="32"/>
        <v>7.5900000000000004E-3</v>
      </c>
      <c r="N256" s="3329">
        <f t="shared" si="32"/>
        <v>7.5900000000000004E-3</v>
      </c>
      <c r="Q256" s="2771"/>
      <c r="R256" s="2771"/>
      <c r="S256" s="2771"/>
    </row>
    <row r="257" spans="2:28" ht="15.5">
      <c r="B257" s="2308"/>
      <c r="C257" s="1696"/>
      <c r="D257" s="1696" t="s">
        <v>2392</v>
      </c>
      <c r="E257" s="1696"/>
      <c r="F257" s="3023">
        <f ca="1">SUM(F252:F256)</f>
        <v>0.41312588765623565</v>
      </c>
      <c r="G257" s="3333">
        <f t="shared" ref="G257:N257" ca="1" si="33">SUM(G252:G256)</f>
        <v>0.40037761017112644</v>
      </c>
      <c r="H257" s="3023">
        <f t="shared" ca="1" si="33"/>
        <v>0.31536676254754231</v>
      </c>
      <c r="I257" s="3023">
        <f t="shared" ca="1" si="33"/>
        <v>0.44797658294168541</v>
      </c>
      <c r="J257" s="3023">
        <f t="shared" ca="1" si="33"/>
        <v>0.36523496938943523</v>
      </c>
      <c r="K257" s="3023">
        <f t="shared" ca="1" si="33"/>
        <v>0.3920613942627601</v>
      </c>
      <c r="L257" s="3023">
        <f t="shared" ca="1" si="33"/>
        <v>0.41311770685299776</v>
      </c>
      <c r="M257" s="3023">
        <f t="shared" ca="1" si="33"/>
        <v>0.43522073793660543</v>
      </c>
      <c r="N257" s="3023">
        <f t="shared" ca="1" si="33"/>
        <v>0.45844926346435588</v>
      </c>
      <c r="Q257" s="2771"/>
      <c r="R257" s="2771"/>
      <c r="S257" s="2771"/>
    </row>
    <row r="258" spans="2:28">
      <c r="Q258" s="39"/>
      <c r="R258" s="39"/>
      <c r="S258" s="39"/>
    </row>
    <row r="259" spans="2:28">
      <c r="B259" s="354">
        <v>2</v>
      </c>
      <c r="C259" s="354" t="s">
        <v>2393</v>
      </c>
      <c r="Q259" s="39"/>
      <c r="R259" s="39"/>
      <c r="S259" s="39"/>
    </row>
    <row r="260" spans="2:28">
      <c r="Q260" s="39"/>
      <c r="R260" s="39"/>
      <c r="S260" s="39"/>
      <c r="T260" s="918"/>
      <c r="U260" s="918"/>
      <c r="V260" s="918"/>
      <c r="W260" s="918"/>
      <c r="X260" s="918"/>
      <c r="Y260" s="918"/>
      <c r="Z260" s="918"/>
      <c r="AA260" s="918"/>
      <c r="AB260" s="918"/>
    </row>
    <row r="261" spans="2:28">
      <c r="B261" s="2"/>
      <c r="C261" s="2858" t="s">
        <v>2394</v>
      </c>
      <c r="N261" s="373" t="str">
        <f>Preferences.PowerUnits&amp;"e"</f>
        <v>GWe</v>
      </c>
      <c r="Q261" s="39"/>
      <c r="R261" s="39"/>
      <c r="S261" s="39"/>
    </row>
    <row r="262" spans="2:28">
      <c r="Q262" s="39"/>
      <c r="R262" s="39"/>
      <c r="S262" s="1068"/>
    </row>
    <row r="263" spans="2:28">
      <c r="C263" s="3016"/>
      <c r="D263" s="3016" t="s">
        <v>29</v>
      </c>
      <c r="E263" s="3016" t="s">
        <v>30</v>
      </c>
      <c r="F263" s="3017">
        <v>2013</v>
      </c>
      <c r="G263" s="3017">
        <v>2015</v>
      </c>
      <c r="H263" s="3017">
        <v>2020</v>
      </c>
      <c r="I263" s="3017">
        <v>2025</v>
      </c>
      <c r="J263" s="3017">
        <v>2030</v>
      </c>
      <c r="K263" s="3017">
        <v>2035</v>
      </c>
      <c r="L263" s="3017">
        <v>2040</v>
      </c>
      <c r="M263" s="3017">
        <v>2045</v>
      </c>
      <c r="N263" s="3017">
        <v>2050</v>
      </c>
      <c r="Q263" s="39"/>
      <c r="R263" s="39"/>
      <c r="S263" s="39"/>
    </row>
    <row r="264" spans="2:28">
      <c r="C264" s="2858" t="s">
        <v>2</v>
      </c>
      <c r="D264" s="2858" t="s">
        <v>2330</v>
      </c>
      <c r="F264" s="2480">
        <f t="shared" ref="F264:N265" ca="1" si="34">F25</f>
        <v>3.0264039699571149E-4</v>
      </c>
      <c r="G264" s="2480">
        <f t="shared" ca="1" si="34"/>
        <v>3.6677932971593372E-4</v>
      </c>
      <c r="H264" s="2480">
        <f t="shared" ca="1" si="34"/>
        <v>4.1569798171931541E-4</v>
      </c>
      <c r="I264" s="2480">
        <f t="shared" ca="1" si="34"/>
        <v>4.7433429546943058E-4</v>
      </c>
      <c r="J264" s="2480">
        <f t="shared" ca="1" si="34"/>
        <v>6.0182255591866582E-4</v>
      </c>
      <c r="K264" s="2480">
        <f t="shared" ca="1" si="34"/>
        <v>6.8076642937723046E-4</v>
      </c>
      <c r="L264" s="2480">
        <f t="shared" ca="1" si="34"/>
        <v>7.665646804149611E-4</v>
      </c>
      <c r="M264" s="2480">
        <f t="shared" ca="1" si="34"/>
        <v>8.5761342998665643E-4</v>
      </c>
      <c r="N264" s="2480">
        <f t="shared" ca="1" si="34"/>
        <v>9.5620427171447253E-4</v>
      </c>
    </row>
    <row r="265" spans="2:28">
      <c r="C265" s="2858" t="s">
        <v>456</v>
      </c>
      <c r="D265" s="2858" t="s">
        <v>2331</v>
      </c>
      <c r="F265" s="2480">
        <f t="shared" ca="1" si="34"/>
        <v>-0.11364298932745198</v>
      </c>
      <c r="G265" s="2480">
        <f t="shared" ca="1" si="34"/>
        <v>-0.13634056971953387</v>
      </c>
      <c r="H265" s="2480">
        <f t="shared" ca="1" si="34"/>
        <v>-0.17023859639148828</v>
      </c>
      <c r="I265" s="2480">
        <f t="shared" ca="1" si="34"/>
        <v>-0.19841811508478177</v>
      </c>
      <c r="J265" s="2480">
        <f t="shared" ca="1" si="34"/>
        <v>-0.22656961700567682</v>
      </c>
      <c r="K265" s="2480">
        <f t="shared" ca="1" si="34"/>
        <v>-0.25469310215417335</v>
      </c>
      <c r="L265" s="2480">
        <f t="shared" ca="1" si="34"/>
        <v>-0.2827885705302714</v>
      </c>
      <c r="M265" s="2480">
        <f t="shared" ca="1" si="34"/>
        <v>-0.31085602213397096</v>
      </c>
      <c r="N265" s="2480">
        <f t="shared" ca="1" si="34"/>
        <v>-0.33889545696527212</v>
      </c>
    </row>
    <row r="266" spans="2:28">
      <c r="C266" s="1696"/>
      <c r="D266" s="1696" t="s">
        <v>2395</v>
      </c>
      <c r="E266" s="1696"/>
      <c r="F266" s="3021">
        <f ca="1">SUM(F264:F265)</f>
        <v>-0.11334034893045628</v>
      </c>
      <c r="G266" s="3021">
        <f t="shared" ref="G266:N266" ca="1" si="35">SUM(G264:G265)</f>
        <v>-0.13597379038981794</v>
      </c>
      <c r="H266" s="3021">
        <f t="shared" ca="1" si="35"/>
        <v>-0.16982289840976897</v>
      </c>
      <c r="I266" s="3021">
        <f t="shared" ca="1" si="35"/>
        <v>-0.19794378078931235</v>
      </c>
      <c r="J266" s="3021">
        <f t="shared" ca="1" si="35"/>
        <v>-0.22596779444975815</v>
      </c>
      <c r="K266" s="3021">
        <f t="shared" ca="1" si="35"/>
        <v>-0.25401233572479609</v>
      </c>
      <c r="L266" s="3021">
        <f t="shared" ca="1" si="35"/>
        <v>-0.28202200584985643</v>
      </c>
      <c r="M266" s="3021">
        <f t="shared" ca="1" si="35"/>
        <v>-0.30999840870398432</v>
      </c>
      <c r="N266" s="3021">
        <f t="shared" ca="1" si="35"/>
        <v>-0.33793925269355762</v>
      </c>
    </row>
    <row r="267" spans="2:28">
      <c r="F267" s="980"/>
      <c r="G267" s="980"/>
      <c r="H267" s="980"/>
      <c r="I267" s="980"/>
      <c r="J267" s="980"/>
      <c r="K267" s="980"/>
      <c r="L267" s="980"/>
      <c r="M267" s="980"/>
      <c r="N267" s="980"/>
    </row>
    <row r="268" spans="2:28">
      <c r="C268" s="2858" t="s">
        <v>2396</v>
      </c>
      <c r="F268" s="980"/>
      <c r="G268" s="980"/>
      <c r="H268" s="980"/>
      <c r="I268" s="980"/>
      <c r="J268" s="980"/>
      <c r="K268" s="980"/>
      <c r="L268" s="980"/>
      <c r="M268" s="980"/>
      <c r="N268" s="3024" t="s">
        <v>70</v>
      </c>
    </row>
    <row r="270" spans="2:28">
      <c r="C270" s="3016"/>
      <c r="D270" s="3016" t="s">
        <v>29</v>
      </c>
      <c r="E270" s="3016" t="s">
        <v>30</v>
      </c>
      <c r="F270" s="3017">
        <v>2013</v>
      </c>
      <c r="G270" s="3017">
        <v>2015</v>
      </c>
      <c r="H270" s="3017">
        <v>2020</v>
      </c>
      <c r="I270" s="3017">
        <v>2025</v>
      </c>
      <c r="J270" s="3017">
        <v>2030</v>
      </c>
      <c r="K270" s="3017">
        <v>2035</v>
      </c>
      <c r="L270" s="3017">
        <v>2040</v>
      </c>
      <c r="M270" s="3017">
        <v>2045</v>
      </c>
      <c r="N270" s="3017">
        <v>2050</v>
      </c>
    </row>
    <row r="271" spans="2:28">
      <c r="D271" s="2858" t="s">
        <v>2397</v>
      </c>
      <c r="F271" s="2480">
        <f t="shared" ref="F271:N271" si="36">F31</f>
        <v>9.3000000000000007</v>
      </c>
      <c r="G271" s="2480">
        <f t="shared" si="36"/>
        <v>9.6142857142857157</v>
      </c>
      <c r="H271" s="2480">
        <f t="shared" si="36"/>
        <v>10.4</v>
      </c>
      <c r="I271" s="2480">
        <f t="shared" si="36"/>
        <v>10.516666666666666</v>
      </c>
      <c r="J271" s="2480">
        <f t="shared" si="36"/>
        <v>10.633333333333333</v>
      </c>
      <c r="K271" s="2480">
        <f t="shared" si="36"/>
        <v>10.75</v>
      </c>
      <c r="L271" s="2480">
        <f t="shared" si="36"/>
        <v>10.866666666666665</v>
      </c>
      <c r="M271" s="2480">
        <f t="shared" si="36"/>
        <v>10.983333333333333</v>
      </c>
      <c r="N271" s="2480">
        <f t="shared" si="36"/>
        <v>11.1</v>
      </c>
    </row>
    <row r="272" spans="2:28">
      <c r="D272" s="2858" t="s">
        <v>2398</v>
      </c>
      <c r="F272" s="2480">
        <f>$F$133</f>
        <v>-1.4</v>
      </c>
      <c r="G272" s="2480">
        <f t="shared" ref="G272:N272" si="37">$F$133</f>
        <v>-1.4</v>
      </c>
      <c r="H272" s="2480">
        <f t="shared" si="37"/>
        <v>-1.4</v>
      </c>
      <c r="I272" s="2480">
        <f t="shared" si="37"/>
        <v>-1.4</v>
      </c>
      <c r="J272" s="2480">
        <f t="shared" si="37"/>
        <v>-1.4</v>
      </c>
      <c r="K272" s="2480">
        <f t="shared" si="37"/>
        <v>-1.4</v>
      </c>
      <c r="L272" s="2480">
        <f t="shared" si="37"/>
        <v>-1.4</v>
      </c>
      <c r="M272" s="2480">
        <f t="shared" si="37"/>
        <v>-1.4</v>
      </c>
      <c r="N272" s="2480">
        <f t="shared" si="37"/>
        <v>-1.4</v>
      </c>
    </row>
    <row r="273" spans="2:14">
      <c r="C273" s="1696"/>
      <c r="D273" s="1696" t="s">
        <v>2399</v>
      </c>
      <c r="E273" s="1696"/>
      <c r="F273" s="3021">
        <f>-(F272-F271)</f>
        <v>10.700000000000001</v>
      </c>
      <c r="G273" s="3021">
        <f t="shared" ref="G273:N273" si="38">-(G272-G271)</f>
        <v>11.014285714285716</v>
      </c>
      <c r="H273" s="3021">
        <f t="shared" si="38"/>
        <v>11.8</v>
      </c>
      <c r="I273" s="3021">
        <f t="shared" si="38"/>
        <v>11.916666666666666</v>
      </c>
      <c r="J273" s="3021">
        <f t="shared" si="38"/>
        <v>12.033333333333333</v>
      </c>
      <c r="K273" s="3021">
        <f t="shared" si="38"/>
        <v>12.15</v>
      </c>
      <c r="L273" s="3021">
        <f t="shared" si="38"/>
        <v>12.266666666666666</v>
      </c>
      <c r="M273" s="3021">
        <f t="shared" si="38"/>
        <v>12.383333333333333</v>
      </c>
      <c r="N273" s="3021">
        <f t="shared" si="38"/>
        <v>12.5</v>
      </c>
    </row>
    <row r="274" spans="2:14">
      <c r="F274" s="980"/>
      <c r="G274" s="980"/>
      <c r="H274" s="980"/>
      <c r="I274" s="980"/>
      <c r="J274" s="980"/>
      <c r="K274" s="980"/>
      <c r="L274" s="980"/>
      <c r="M274" s="980"/>
      <c r="N274" s="980"/>
    </row>
    <row r="275" spans="2:14">
      <c r="B275" s="354"/>
      <c r="C275" s="2858" t="s">
        <v>2400</v>
      </c>
      <c r="E275" s="373"/>
      <c r="F275" s="365"/>
      <c r="G275" s="365"/>
      <c r="H275" s="365"/>
      <c r="I275" s="365"/>
      <c r="J275" s="365"/>
      <c r="K275" s="365"/>
      <c r="L275" s="365"/>
      <c r="M275" s="365"/>
      <c r="N275" s="373" t="str">
        <f>Preferences.PowerUnits&amp;"e"</f>
        <v>GWe</v>
      </c>
    </row>
    <row r="276" spans="2:14">
      <c r="B276" s="354"/>
      <c r="C276" s="2"/>
      <c r="E276" s="373"/>
      <c r="F276" s="365"/>
      <c r="G276" s="365"/>
      <c r="H276" s="365"/>
      <c r="I276" s="365"/>
      <c r="J276" s="365"/>
      <c r="K276" s="365"/>
      <c r="L276" s="365"/>
      <c r="M276" s="365"/>
      <c r="N276" s="365"/>
    </row>
    <row r="277" spans="2:14">
      <c r="C277" s="3016"/>
      <c r="D277" s="3016" t="s">
        <v>29</v>
      </c>
      <c r="E277" s="3016" t="s">
        <v>30</v>
      </c>
      <c r="F277" s="3017">
        <v>2013</v>
      </c>
      <c r="G277" s="3017">
        <v>2015</v>
      </c>
      <c r="H277" s="3017">
        <v>2020</v>
      </c>
      <c r="I277" s="3017">
        <v>2025</v>
      </c>
      <c r="J277" s="3017">
        <v>2030</v>
      </c>
      <c r="K277" s="3017">
        <v>2035</v>
      </c>
      <c r="L277" s="3017">
        <v>2040</v>
      </c>
      <c r="M277" s="3017">
        <v>2045</v>
      </c>
      <c r="N277" s="3017">
        <v>2050</v>
      </c>
    </row>
    <row r="278" spans="2:14">
      <c r="C278" s="2858" t="s">
        <v>2</v>
      </c>
      <c r="D278" s="2858" t="s">
        <v>2330</v>
      </c>
      <c r="F278" s="2480">
        <f t="shared" ref="F278:N279" ca="1" si="39">F36*F$273</f>
        <v>0.16288132248401962</v>
      </c>
      <c r="G278" s="2480">
        <f t="shared" ca="1" si="39"/>
        <v>0.18887839034937584</v>
      </c>
      <c r="H278" s="2480">
        <f t="shared" ca="1" si="39"/>
        <v>0.25855116129692324</v>
      </c>
      <c r="I278" s="2480">
        <f t="shared" ca="1" si="39"/>
        <v>0.32248484132709465</v>
      </c>
      <c r="J278" s="2480">
        <f t="shared" ca="1" si="39"/>
        <v>0.39130689212889308</v>
      </c>
      <c r="K278" s="2480">
        <f t="shared" ca="1" si="39"/>
        <v>0.46701600696739265</v>
      </c>
      <c r="L278" s="2480">
        <f t="shared" ca="1" si="39"/>
        <v>0.55012402686365347</v>
      </c>
      <c r="M278" s="2480">
        <f t="shared" ca="1" si="39"/>
        <v>0.63966308577416164</v>
      </c>
      <c r="N278" s="2480">
        <f t="shared" ca="1" si="39"/>
        <v>0.73747254455977462</v>
      </c>
    </row>
    <row r="279" spans="2:14">
      <c r="C279" s="2858" t="s">
        <v>456</v>
      </c>
      <c r="D279" s="2858" t="s">
        <v>2331</v>
      </c>
      <c r="F279" s="2480">
        <f t="shared" ca="1" si="39"/>
        <v>3.2496296296296299</v>
      </c>
      <c r="G279" s="2480">
        <f t="shared" ca="1" si="39"/>
        <v>3.2423435123435129</v>
      </c>
      <c r="H279" s="2480">
        <f t="shared" ca="1" si="39"/>
        <v>3.198477568477569</v>
      </c>
      <c r="I279" s="2480">
        <f t="shared" ca="1" si="39"/>
        <v>2.9522188855522185</v>
      </c>
      <c r="J279" s="2480">
        <f t="shared" ca="1" si="39"/>
        <v>2.7005191555191548</v>
      </c>
      <c r="K279" s="2480">
        <f t="shared" ca="1" si="39"/>
        <v>2.443378378378378</v>
      </c>
      <c r="L279" s="2480">
        <f t="shared" ca="1" si="39"/>
        <v>2.1807965541298873</v>
      </c>
      <c r="M279" s="2480">
        <f t="shared" ca="1" si="39"/>
        <v>1.9127736827736821</v>
      </c>
      <c r="N279" s="2480">
        <f t="shared" ca="1" si="39"/>
        <v>1.6393097643097643</v>
      </c>
    </row>
    <row r="280" spans="2:14">
      <c r="C280" s="1696"/>
      <c r="D280" s="1696" t="s">
        <v>2395</v>
      </c>
      <c r="E280" s="1696"/>
      <c r="F280" s="3021">
        <f t="shared" ref="F280:N280" ca="1" si="40">SUM(F278:F279)</f>
        <v>3.4125109521136494</v>
      </c>
      <c r="G280" s="3021">
        <f t="shared" ca="1" si="40"/>
        <v>3.4312219026928887</v>
      </c>
      <c r="H280" s="3021">
        <f t="shared" ca="1" si="40"/>
        <v>3.4570287297744922</v>
      </c>
      <c r="I280" s="3021">
        <f t="shared" ca="1" si="40"/>
        <v>3.2747037268793129</v>
      </c>
      <c r="J280" s="3021">
        <f t="shared" ca="1" si="40"/>
        <v>3.0918260476480479</v>
      </c>
      <c r="K280" s="3021">
        <f t="shared" ca="1" si="40"/>
        <v>2.9103943853457706</v>
      </c>
      <c r="L280" s="3021">
        <f t="shared" ca="1" si="40"/>
        <v>2.7309205809935406</v>
      </c>
      <c r="M280" s="3021">
        <f t="shared" ca="1" si="40"/>
        <v>2.5524367685478437</v>
      </c>
      <c r="N280" s="3021">
        <f t="shared" ca="1" si="40"/>
        <v>2.3767823088695388</v>
      </c>
    </row>
    <row r="283" spans="2:14">
      <c r="C283" s="2858" t="s">
        <v>2401</v>
      </c>
      <c r="N283" s="373" t="str">
        <f>Preferences.PowerUnits&amp;"e"</f>
        <v>GWe</v>
      </c>
    </row>
    <row r="285" spans="2:14" ht="15.5">
      <c r="B285" s="2308"/>
      <c r="C285" s="3016" t="s">
        <v>130</v>
      </c>
      <c r="D285" s="3016" t="s">
        <v>29</v>
      </c>
      <c r="E285" s="3016" t="s">
        <v>30</v>
      </c>
      <c r="F285" s="3017">
        <v>2013</v>
      </c>
      <c r="G285" s="3017">
        <v>2015</v>
      </c>
      <c r="H285" s="3017">
        <v>2020</v>
      </c>
      <c r="I285" s="3017">
        <v>2025</v>
      </c>
      <c r="J285" s="3017">
        <v>2030</v>
      </c>
      <c r="K285" s="3017">
        <v>2035</v>
      </c>
      <c r="L285" s="3017">
        <v>2040</v>
      </c>
      <c r="M285" s="3017">
        <v>2045</v>
      </c>
      <c r="N285" s="3017">
        <v>2050</v>
      </c>
    </row>
    <row r="286" spans="2:14" ht="15.5">
      <c r="B286" s="2308"/>
      <c r="C286" s="512" t="s">
        <v>0</v>
      </c>
      <c r="D286" s="3018" t="s">
        <v>1</v>
      </c>
      <c r="E286" s="512"/>
      <c r="F286" s="3328">
        <f ca="1">-F266-F280</f>
        <v>-3.2991706031831933</v>
      </c>
      <c r="G286" s="3328">
        <f t="shared" ref="G286:N286" ca="1" si="41">-G266-G280</f>
        <v>-3.2952481123030708</v>
      </c>
      <c r="H286" s="3328">
        <f t="shared" ca="1" si="41"/>
        <v>-3.287205831364723</v>
      </c>
      <c r="I286" s="3328">
        <f t="shared" ca="1" si="41"/>
        <v>-3.0767599460900006</v>
      </c>
      <c r="J286" s="3328">
        <f t="shared" ca="1" si="41"/>
        <v>-2.8658582531982897</v>
      </c>
      <c r="K286" s="3328">
        <f t="shared" ca="1" si="41"/>
        <v>-2.6563820496209747</v>
      </c>
      <c r="L286" s="3328">
        <f t="shared" ca="1" si="41"/>
        <v>-2.448898575143684</v>
      </c>
      <c r="M286" s="3328">
        <f t="shared" ca="1" si="41"/>
        <v>-2.2424383598438595</v>
      </c>
      <c r="N286" s="3328">
        <f t="shared" ca="1" si="41"/>
        <v>-2.0388430561759812</v>
      </c>
    </row>
    <row r="287" spans="2:14" ht="15.5">
      <c r="B287" s="2308"/>
      <c r="C287" s="512" t="s">
        <v>511</v>
      </c>
      <c r="D287" s="3018" t="s">
        <v>512</v>
      </c>
      <c r="E287" s="512"/>
      <c r="F287" s="3328">
        <f t="shared" ref="F287:N287" ca="1" si="42">$F$134*F16</f>
        <v>-0.41831999999999997</v>
      </c>
      <c r="G287" s="3328">
        <f t="shared" ca="1" si="42"/>
        <v>-0.52397899999999975</v>
      </c>
      <c r="H287" s="3328">
        <f t="shared" ca="1" si="42"/>
        <v>-0.52397899999999975</v>
      </c>
      <c r="I287" s="3328">
        <f t="shared" ca="1" si="42"/>
        <v>-0.31585649999999987</v>
      </c>
      <c r="J287" s="3328">
        <f t="shared" ca="1" si="42"/>
        <v>-0.10773399999999994</v>
      </c>
      <c r="K287" s="3328">
        <f t="shared" ca="1" si="42"/>
        <v>-3.6727499999999746E-3</v>
      </c>
      <c r="L287" s="3328">
        <f t="shared" ca="1" si="42"/>
        <v>-3.6727499999999746E-3</v>
      </c>
      <c r="M287" s="3328">
        <f t="shared" ca="1" si="42"/>
        <v>-3.6727499999999746E-3</v>
      </c>
      <c r="N287" s="3328">
        <f t="shared" ca="1" si="42"/>
        <v>-3.6727499999999746E-3</v>
      </c>
    </row>
    <row r="288" spans="2:14" ht="15.5">
      <c r="B288" s="2308"/>
      <c r="C288" s="512" t="s">
        <v>513</v>
      </c>
      <c r="D288" s="3018" t="s">
        <v>514</v>
      </c>
      <c r="E288" s="512"/>
      <c r="F288" s="3328">
        <f t="shared" ref="F288:N288" ca="1" si="43">$F$135*F17</f>
        <v>-8.0749999999999988E-3</v>
      </c>
      <c r="G288" s="3328">
        <f t="shared" ca="1" si="43"/>
        <v>-8.0749999999999988E-3</v>
      </c>
      <c r="H288" s="3328">
        <f t="shared" ca="1" si="43"/>
        <v>-8.5000000000000006E-3</v>
      </c>
      <c r="I288" s="3328">
        <f t="shared" ca="1" si="43"/>
        <v>0</v>
      </c>
      <c r="J288" s="3328">
        <f t="shared" ca="1" si="43"/>
        <v>0</v>
      </c>
      <c r="K288" s="3328">
        <f t="shared" ca="1" si="43"/>
        <v>0</v>
      </c>
      <c r="L288" s="3328">
        <f t="shared" ca="1" si="43"/>
        <v>0</v>
      </c>
      <c r="M288" s="3328">
        <f t="shared" ca="1" si="43"/>
        <v>0</v>
      </c>
      <c r="N288" s="3328">
        <f t="shared" ca="1" si="43"/>
        <v>0</v>
      </c>
    </row>
    <row r="289" spans="2:17" ht="15.5">
      <c r="B289" s="2308"/>
      <c r="C289" s="512" t="s">
        <v>612</v>
      </c>
      <c r="D289" s="3018" t="s">
        <v>390</v>
      </c>
      <c r="E289" s="512"/>
      <c r="F289" s="3328">
        <f t="shared" ref="F289:N289" ca="1" si="44">$F$136*F18</f>
        <v>0</v>
      </c>
      <c r="G289" s="3328">
        <f t="shared" ca="1" si="44"/>
        <v>-1.9438356164383556E-4</v>
      </c>
      <c r="H289" s="3328">
        <f t="shared" ca="1" si="44"/>
        <v>-6.3854999999999988E-4</v>
      </c>
      <c r="I289" s="3328">
        <f t="shared" ca="1" si="44"/>
        <v>-6.3854999999999988E-4</v>
      </c>
      <c r="J289" s="3328">
        <f t="shared" ca="1" si="44"/>
        <v>-6.3854999999999988E-4</v>
      </c>
      <c r="K289" s="3328">
        <f t="shared" ca="1" si="44"/>
        <v>-6.3854999999999988E-4</v>
      </c>
      <c r="L289" s="3328">
        <f t="shared" ca="1" si="44"/>
        <v>-6.3854999999999988E-4</v>
      </c>
      <c r="M289" s="3328">
        <f t="shared" ca="1" si="44"/>
        <v>0</v>
      </c>
      <c r="N289" s="3328">
        <f t="shared" ca="1" si="44"/>
        <v>0</v>
      </c>
    </row>
    <row r="290" spans="2:17" ht="15.5">
      <c r="B290" s="2308"/>
      <c r="C290" s="512" t="s">
        <v>525</v>
      </c>
      <c r="D290" s="3018" t="s">
        <v>1461</v>
      </c>
      <c r="E290" s="512"/>
      <c r="F290" s="3328">
        <f t="shared" ref="F290:N290" ca="1" si="45">$F$137*F19</f>
        <v>0</v>
      </c>
      <c r="G290" s="3328">
        <f t="shared" ca="1" si="45"/>
        <v>0</v>
      </c>
      <c r="H290" s="3328">
        <f t="shared" ca="1" si="45"/>
        <v>0</v>
      </c>
      <c r="I290" s="3328">
        <f t="shared" ca="1" si="45"/>
        <v>0</v>
      </c>
      <c r="J290" s="3328">
        <f t="shared" ca="1" si="45"/>
        <v>0</v>
      </c>
      <c r="K290" s="3328">
        <f t="shared" ca="1" si="45"/>
        <v>0</v>
      </c>
      <c r="L290" s="3328">
        <f t="shared" ca="1" si="45"/>
        <v>0</v>
      </c>
      <c r="M290" s="3328">
        <f t="shared" ca="1" si="45"/>
        <v>0</v>
      </c>
      <c r="N290" s="3328">
        <f t="shared" ca="1" si="45"/>
        <v>0</v>
      </c>
    </row>
    <row r="291" spans="2:17">
      <c r="C291" s="2858" t="s">
        <v>527</v>
      </c>
      <c r="D291" s="2858" t="s">
        <v>1463</v>
      </c>
      <c r="F291" s="3328">
        <f t="shared" ref="F291:N291" ca="1" si="46">$F$139*F20</f>
        <v>0</v>
      </c>
      <c r="G291" s="3328">
        <f t="shared" ca="1" si="46"/>
        <v>0</v>
      </c>
      <c r="H291" s="3328">
        <f t="shared" ca="1" si="46"/>
        <v>0</v>
      </c>
      <c r="I291" s="3328">
        <f t="shared" ca="1" si="46"/>
        <v>0</v>
      </c>
      <c r="J291" s="3328">
        <f t="shared" ca="1" si="46"/>
        <v>0</v>
      </c>
      <c r="K291" s="3328">
        <f t="shared" ca="1" si="46"/>
        <v>0</v>
      </c>
      <c r="L291" s="3328">
        <f t="shared" ca="1" si="46"/>
        <v>0</v>
      </c>
      <c r="M291" s="3328">
        <f t="shared" ca="1" si="46"/>
        <v>0</v>
      </c>
      <c r="N291" s="3328">
        <f t="shared" ca="1" si="46"/>
        <v>0</v>
      </c>
    </row>
    <row r="292" spans="2:17" ht="15.5">
      <c r="B292" s="2308"/>
      <c r="C292" s="1696"/>
      <c r="D292" s="1696" t="s">
        <v>2402</v>
      </c>
      <c r="E292" s="1696"/>
      <c r="F292" s="3023">
        <f ca="1">MIN(SUM(F286:F291),0)</f>
        <v>-3.7255656031831932</v>
      </c>
      <c r="G292" s="3333">
        <f t="shared" ref="G292:N292" ca="1" si="47">MIN(SUM(G286:G291),0)</f>
        <v>-3.8274964958647142</v>
      </c>
      <c r="H292" s="3023">
        <f t="shared" ca="1" si="47"/>
        <v>-3.820323381364723</v>
      </c>
      <c r="I292" s="3023">
        <f t="shared" ca="1" si="47"/>
        <v>-3.3932549960900005</v>
      </c>
      <c r="J292" s="3023">
        <f t="shared" ca="1" si="47"/>
        <v>-2.9742308031982896</v>
      </c>
      <c r="K292" s="3023">
        <f t="shared" ca="1" si="47"/>
        <v>-2.6606933496209746</v>
      </c>
      <c r="L292" s="3023">
        <f t="shared" ca="1" si="47"/>
        <v>-2.4532098751436839</v>
      </c>
      <c r="M292" s="3023">
        <f t="shared" ca="1" si="47"/>
        <v>-2.2461111098438593</v>
      </c>
      <c r="N292" s="3023">
        <f t="shared" ca="1" si="47"/>
        <v>-2.0425158061759809</v>
      </c>
    </row>
    <row r="294" spans="2:17">
      <c r="C294" s="2858" t="s">
        <v>2403</v>
      </c>
      <c r="N294" s="1599" t="str">
        <f>Preferences.EnergyUnits&amp;"e"</f>
        <v>TWhe</v>
      </c>
    </row>
    <row r="296" spans="2:17" ht="15.5">
      <c r="B296" s="2308"/>
      <c r="C296" s="3016" t="s">
        <v>130</v>
      </c>
      <c r="D296" s="3016" t="s">
        <v>29</v>
      </c>
      <c r="E296" s="3016" t="s">
        <v>30</v>
      </c>
      <c r="F296" s="3017">
        <v>2013</v>
      </c>
      <c r="G296" s="3017">
        <v>2015</v>
      </c>
      <c r="H296" s="3017">
        <v>2020</v>
      </c>
      <c r="I296" s="3017">
        <v>2025</v>
      </c>
      <c r="J296" s="3017">
        <v>2030</v>
      </c>
      <c r="K296" s="3017">
        <v>2035</v>
      </c>
      <c r="L296" s="3017">
        <v>2040</v>
      </c>
      <c r="M296" s="3017">
        <v>2045</v>
      </c>
      <c r="N296" s="3017">
        <v>2050</v>
      </c>
    </row>
    <row r="297" spans="2:17" ht="15.5">
      <c r="B297" s="2308"/>
      <c r="C297" s="512" t="s">
        <v>0</v>
      </c>
      <c r="D297" s="3018" t="s">
        <v>1</v>
      </c>
      <c r="E297" s="512"/>
      <c r="F297" s="3328">
        <f t="shared" ref="F297:N299" ca="1" si="48">F286*Conversion.to.energy.per.second*$F$131*Unit.day</f>
        <v>-0.39590047238198323</v>
      </c>
      <c r="G297" s="3332">
        <f t="shared" ca="1" si="48"/>
        <v>-0.39542977347636848</v>
      </c>
      <c r="H297" s="3328">
        <f t="shared" ca="1" si="48"/>
        <v>-0.39446469976376669</v>
      </c>
      <c r="I297" s="3328">
        <f t="shared" ca="1" si="48"/>
        <v>-0.36921119353080006</v>
      </c>
      <c r="J297" s="3328">
        <f t="shared" ca="1" si="48"/>
        <v>-0.34390299038379474</v>
      </c>
      <c r="K297" s="3328">
        <f t="shared" ca="1" si="48"/>
        <v>-0.31876584595451696</v>
      </c>
      <c r="L297" s="3328">
        <f t="shared" ca="1" si="48"/>
        <v>-0.29386782901724207</v>
      </c>
      <c r="M297" s="3328">
        <f t="shared" ca="1" si="48"/>
        <v>-0.26909260318126316</v>
      </c>
      <c r="N297" s="3328">
        <f t="shared" ca="1" si="48"/>
        <v>-0.24466116674111768</v>
      </c>
    </row>
    <row r="298" spans="2:17" ht="15.5">
      <c r="B298" s="2308"/>
      <c r="C298" s="512" t="s">
        <v>511</v>
      </c>
      <c r="D298" s="3018" t="s">
        <v>512</v>
      </c>
      <c r="E298" s="512"/>
      <c r="F298" s="3328">
        <f t="shared" ca="1" si="48"/>
        <v>-5.019839999999999E-2</v>
      </c>
      <c r="G298" s="3332">
        <f t="shared" ca="1" si="48"/>
        <v>-6.2877479999999958E-2</v>
      </c>
      <c r="H298" s="3328">
        <f t="shared" ca="1" si="48"/>
        <v>-6.2877479999999958E-2</v>
      </c>
      <c r="I298" s="3328">
        <f t="shared" ca="1" si="48"/>
        <v>-3.7902779999999983E-2</v>
      </c>
      <c r="J298" s="3328">
        <f t="shared" ca="1" si="48"/>
        <v>-1.2928079999999991E-2</v>
      </c>
      <c r="K298" s="3328">
        <f t="shared" ca="1" si="48"/>
        <v>-4.4072999999999693E-4</v>
      </c>
      <c r="L298" s="3328">
        <f t="shared" ca="1" si="48"/>
        <v>-4.4072999999999693E-4</v>
      </c>
      <c r="M298" s="3328">
        <f t="shared" ca="1" si="48"/>
        <v>-4.4072999999999693E-4</v>
      </c>
      <c r="N298" s="3328">
        <f t="shared" ca="1" si="48"/>
        <v>-4.4072999999999693E-4</v>
      </c>
    </row>
    <row r="299" spans="2:17" ht="15.5">
      <c r="B299" s="2308"/>
      <c r="C299" s="512" t="s">
        <v>513</v>
      </c>
      <c r="D299" s="3018" t="s">
        <v>514</v>
      </c>
      <c r="E299" s="512"/>
      <c r="F299" s="3328">
        <f ca="1">F288*Conversion.to.energy.per.second*$F$131*Unit.day</f>
        <v>-9.6899999999999992E-4</v>
      </c>
      <c r="G299" s="3332">
        <f t="shared" ca="1" si="48"/>
        <v>-9.6899999999999992E-4</v>
      </c>
      <c r="H299" s="3328">
        <f t="shared" ref="H299:N302" ca="1" si="49">H288*Conversion.to.energy.per.second*$F$131*Unit.day</f>
        <v>-1.0200000000000001E-3</v>
      </c>
      <c r="I299" s="3328">
        <f t="shared" ca="1" si="49"/>
        <v>0</v>
      </c>
      <c r="J299" s="3328">
        <f t="shared" ca="1" si="49"/>
        <v>0</v>
      </c>
      <c r="K299" s="3328">
        <f t="shared" ca="1" si="49"/>
        <v>0</v>
      </c>
      <c r="L299" s="3328">
        <f t="shared" ca="1" si="49"/>
        <v>0</v>
      </c>
      <c r="M299" s="3328">
        <f t="shared" ca="1" si="49"/>
        <v>0</v>
      </c>
      <c r="N299" s="3328">
        <f t="shared" ca="1" si="49"/>
        <v>0</v>
      </c>
    </row>
    <row r="300" spans="2:17" ht="15.5">
      <c r="B300" s="2308"/>
      <c r="C300" s="512" t="s">
        <v>612</v>
      </c>
      <c r="D300" s="3018" t="s">
        <v>390</v>
      </c>
      <c r="E300" s="512"/>
      <c r="F300" s="3328">
        <f ca="1">F289*Conversion.to.energy.per.second*$F$131*Unit.day</f>
        <v>0</v>
      </c>
      <c r="G300" s="3332">
        <f ca="1">G289*Conversion.to.energy.per.second*$F$131*Unit.day</f>
        <v>-2.3326027397260269E-5</v>
      </c>
      <c r="H300" s="3328">
        <f t="shared" ca="1" si="49"/>
        <v>-7.6625999999999967E-5</v>
      </c>
      <c r="I300" s="3328">
        <f t="shared" ca="1" si="49"/>
        <v>-7.6625999999999967E-5</v>
      </c>
      <c r="J300" s="3328">
        <f t="shared" ca="1" si="49"/>
        <v>-7.6625999999999967E-5</v>
      </c>
      <c r="K300" s="3328">
        <f t="shared" ca="1" si="49"/>
        <v>-7.6625999999999967E-5</v>
      </c>
      <c r="L300" s="3328">
        <f t="shared" ca="1" si="49"/>
        <v>-7.6625999999999967E-5</v>
      </c>
      <c r="M300" s="3328">
        <f t="shared" ca="1" si="49"/>
        <v>0</v>
      </c>
      <c r="N300" s="3328">
        <f t="shared" ca="1" si="49"/>
        <v>0</v>
      </c>
    </row>
    <row r="301" spans="2:17" ht="15.5">
      <c r="B301" s="2308"/>
      <c r="C301" s="512" t="s">
        <v>525</v>
      </c>
      <c r="D301" s="3018" t="s">
        <v>1461</v>
      </c>
      <c r="E301" s="512"/>
      <c r="F301" s="3328">
        <f ca="1">F290*Conversion.to.energy.per.second*$F$131*Unit.day</f>
        <v>0</v>
      </c>
      <c r="G301" s="3332">
        <f ca="1">G290*Conversion.to.energy.per.second*$F$131*Unit.day</f>
        <v>0</v>
      </c>
      <c r="H301" s="3328">
        <f t="shared" ca="1" si="49"/>
        <v>0</v>
      </c>
      <c r="I301" s="3328">
        <f t="shared" ca="1" si="49"/>
        <v>0</v>
      </c>
      <c r="J301" s="3328">
        <f t="shared" ca="1" si="49"/>
        <v>0</v>
      </c>
      <c r="K301" s="3328">
        <f t="shared" ca="1" si="49"/>
        <v>0</v>
      </c>
      <c r="L301" s="3328">
        <f t="shared" ca="1" si="49"/>
        <v>0</v>
      </c>
      <c r="M301" s="3328">
        <f t="shared" ca="1" si="49"/>
        <v>0</v>
      </c>
      <c r="N301" s="3328">
        <f t="shared" ca="1" si="49"/>
        <v>0</v>
      </c>
    </row>
    <row r="302" spans="2:17" ht="15.5">
      <c r="B302" s="2308"/>
      <c r="C302" s="2858" t="s">
        <v>527</v>
      </c>
      <c r="D302" s="2858" t="s">
        <v>1463</v>
      </c>
      <c r="E302" s="512"/>
      <c r="F302" s="3328">
        <f ca="1">F291*Conversion.to.energy.per.second*$F$131*Unit.day</f>
        <v>0</v>
      </c>
      <c r="G302" s="3334">
        <f ca="1">G291*Conversion.to.energy.per.second*$F$131*Unit.day</f>
        <v>0</v>
      </c>
      <c r="H302" s="3328">
        <f t="shared" ca="1" si="49"/>
        <v>0</v>
      </c>
      <c r="I302" s="3328">
        <f t="shared" ca="1" si="49"/>
        <v>0</v>
      </c>
      <c r="J302" s="3328">
        <f t="shared" ca="1" si="49"/>
        <v>0</v>
      </c>
      <c r="K302" s="3328">
        <f t="shared" ca="1" si="49"/>
        <v>0</v>
      </c>
      <c r="L302" s="3328">
        <f t="shared" ca="1" si="49"/>
        <v>0</v>
      </c>
      <c r="M302" s="3328">
        <f t="shared" ca="1" si="49"/>
        <v>0</v>
      </c>
      <c r="N302" s="3328">
        <f t="shared" ca="1" si="49"/>
        <v>0</v>
      </c>
    </row>
    <row r="303" spans="2:17" ht="15.5">
      <c r="B303" s="2308"/>
      <c r="C303" s="1696"/>
      <c r="D303" s="1696" t="s">
        <v>2402</v>
      </c>
      <c r="E303" s="1696"/>
      <c r="F303" s="3023">
        <f ca="1">MIN(SUM(F297:F302),0)</f>
        <v>-0.4470678723819832</v>
      </c>
      <c r="G303" s="3333">
        <f t="shared" ref="G303:N303" ca="1" si="50">MIN(SUM(G297:G302),0)</f>
        <v>-0.45929957950376571</v>
      </c>
      <c r="H303" s="3023">
        <f t="shared" ca="1" si="50"/>
        <v>-0.45843880576376672</v>
      </c>
      <c r="I303" s="3023">
        <f t="shared" ca="1" si="50"/>
        <v>-0.40719059953080006</v>
      </c>
      <c r="J303" s="3023">
        <f t="shared" ca="1" si="50"/>
        <v>-0.35690769638379477</v>
      </c>
      <c r="K303" s="3023">
        <f t="shared" ca="1" si="50"/>
        <v>-0.31928320195451698</v>
      </c>
      <c r="L303" s="3023">
        <f t="shared" ca="1" si="50"/>
        <v>-0.29438518501724209</v>
      </c>
      <c r="M303" s="3023">
        <f t="shared" ca="1" si="50"/>
        <v>-0.26953333318126316</v>
      </c>
      <c r="N303" s="3023">
        <f t="shared" ca="1" si="50"/>
        <v>-0.24510189674111768</v>
      </c>
      <c r="Q303" s="2624"/>
    </row>
    <row r="305" spans="2:14">
      <c r="B305" s="354">
        <v>3</v>
      </c>
      <c r="C305" s="354" t="s">
        <v>2404</v>
      </c>
    </row>
    <row r="307" spans="2:14">
      <c r="C307" s="2858" t="s">
        <v>2405</v>
      </c>
      <c r="N307" s="373" t="str">
        <f>Preferences.PowerUnits&amp;"e"</f>
        <v>GWe</v>
      </c>
    </row>
    <row r="309" spans="2:14" ht="15.5">
      <c r="B309" s="2308"/>
      <c r="C309" s="3016"/>
      <c r="D309" s="3016" t="s">
        <v>29</v>
      </c>
      <c r="E309" s="3016" t="s">
        <v>30</v>
      </c>
      <c r="F309" s="3017">
        <v>2013</v>
      </c>
      <c r="G309" s="3017">
        <v>2015</v>
      </c>
      <c r="H309" s="3017">
        <v>2020</v>
      </c>
      <c r="I309" s="3017">
        <v>2025</v>
      </c>
      <c r="J309" s="3017">
        <v>2030</v>
      </c>
      <c r="K309" s="3017">
        <v>2035</v>
      </c>
      <c r="L309" s="3017">
        <v>2040</v>
      </c>
      <c r="M309" s="3017">
        <v>2045</v>
      </c>
      <c r="N309" s="3017">
        <v>2050</v>
      </c>
    </row>
    <row r="310" spans="2:14" ht="15.5">
      <c r="B310" s="2308"/>
      <c r="C310" s="512"/>
      <c r="D310" s="3018" t="s">
        <v>2406</v>
      </c>
      <c r="E310" s="512"/>
      <c r="F310" s="3328">
        <f ca="1">F292</f>
        <v>-3.7255656031831932</v>
      </c>
      <c r="G310" s="3332">
        <f t="shared" ref="G310:N310" ca="1" si="51">G292</f>
        <v>-3.8274964958647142</v>
      </c>
      <c r="H310" s="3328">
        <f t="shared" ca="1" si="51"/>
        <v>-3.820323381364723</v>
      </c>
      <c r="I310" s="3328">
        <f t="shared" ca="1" si="51"/>
        <v>-3.3932549960900005</v>
      </c>
      <c r="J310" s="3328">
        <f t="shared" ca="1" si="51"/>
        <v>-2.9742308031982896</v>
      </c>
      <c r="K310" s="3328">
        <f t="shared" ca="1" si="51"/>
        <v>-2.6606933496209746</v>
      </c>
      <c r="L310" s="3328">
        <f t="shared" ca="1" si="51"/>
        <v>-2.4532098751436839</v>
      </c>
      <c r="M310" s="3328">
        <f t="shared" ca="1" si="51"/>
        <v>-2.2461111098438593</v>
      </c>
      <c r="N310" s="3328">
        <f t="shared" ca="1" si="51"/>
        <v>-2.0425158061759809</v>
      </c>
    </row>
    <row r="311" spans="2:14" ht="15.5">
      <c r="B311" s="2308"/>
      <c r="C311" s="512"/>
      <c r="D311" s="3018" t="s">
        <v>2407</v>
      </c>
      <c r="E311" s="512"/>
      <c r="F311" s="3328">
        <f ca="1">F310+F336</f>
        <v>-3.7255656031831932</v>
      </c>
      <c r="G311" s="3328">
        <f t="shared" ref="G311:N315" ca="1" si="52">G310+G336</f>
        <v>-3.8274964958647137</v>
      </c>
      <c r="H311" s="3328">
        <f t="shared" ca="1" si="52"/>
        <v>-3.820323381364723</v>
      </c>
      <c r="I311" s="3328">
        <f t="shared" ca="1" si="52"/>
        <v>-3.39325499609</v>
      </c>
      <c r="J311" s="3328">
        <f t="shared" ca="1" si="52"/>
        <v>-2.9742308031982896</v>
      </c>
      <c r="K311" s="3328">
        <f t="shared" ca="1" si="52"/>
        <v>-2.6606933496209746</v>
      </c>
      <c r="L311" s="3328">
        <f t="shared" ca="1" si="52"/>
        <v>-2.4532098751436839</v>
      </c>
      <c r="M311" s="3328">
        <f t="shared" ca="1" si="52"/>
        <v>-2.2461111098438593</v>
      </c>
      <c r="N311" s="3328">
        <f t="shared" ca="1" si="52"/>
        <v>-2.0425158061759809</v>
      </c>
    </row>
    <row r="312" spans="2:14" ht="15.5">
      <c r="B312" s="2308"/>
      <c r="C312" s="512"/>
      <c r="D312" s="3018" t="s">
        <v>2408</v>
      </c>
      <c r="E312" s="512"/>
      <c r="F312" s="3328">
        <f ca="1">F311+F337</f>
        <v>-0.85859987271456228</v>
      </c>
      <c r="G312" s="3332">
        <f t="shared" ca="1" si="52"/>
        <v>-1.066766411105327</v>
      </c>
      <c r="H312" s="3328">
        <f t="shared" ca="1" si="52"/>
        <v>-1.76801702680187</v>
      </c>
      <c r="I312" s="3328">
        <f t="shared" ca="1" si="52"/>
        <v>-0.72336680490928762</v>
      </c>
      <c r="J312" s="3328">
        <f t="shared" ca="1" si="52"/>
        <v>-1.043856058286329</v>
      </c>
      <c r="K312" s="3328">
        <f t="shared" ca="1" si="52"/>
        <v>-0.50676506409797284</v>
      </c>
      <c r="L312" s="3328">
        <f t="shared" ca="1" si="52"/>
        <v>-0.12381231803536874</v>
      </c>
      <c r="M312" s="3328">
        <f t="shared" ca="1" si="52"/>
        <v>0</v>
      </c>
      <c r="N312" s="3328">
        <f t="shared" ca="1" si="52"/>
        <v>0</v>
      </c>
    </row>
    <row r="313" spans="2:14" ht="15.5">
      <c r="B313" s="2308"/>
      <c r="C313" s="512"/>
      <c r="D313" s="3018" t="s">
        <v>2409</v>
      </c>
      <c r="E313" s="512"/>
      <c r="F313" s="3328">
        <f ca="1">F312+F338</f>
        <v>-0.10859987271456228</v>
      </c>
      <c r="G313" s="3332">
        <f t="shared" ca="1" si="52"/>
        <v>-0.31676641110532699</v>
      </c>
      <c r="H313" s="3328">
        <f t="shared" ca="1" si="52"/>
        <v>-1.01801702680187</v>
      </c>
      <c r="I313" s="3328">
        <f t="shared" ca="1" si="52"/>
        <v>0</v>
      </c>
      <c r="J313" s="3328">
        <f t="shared" ca="1" si="52"/>
        <v>0</v>
      </c>
      <c r="K313" s="3328">
        <f t="shared" ca="1" si="52"/>
        <v>0</v>
      </c>
      <c r="L313" s="3328">
        <f t="shared" ca="1" si="52"/>
        <v>0</v>
      </c>
      <c r="M313" s="3328">
        <f t="shared" ca="1" si="52"/>
        <v>0</v>
      </c>
      <c r="N313" s="3328">
        <f t="shared" ca="1" si="52"/>
        <v>0</v>
      </c>
    </row>
    <row r="314" spans="2:14" ht="15.5">
      <c r="B314" s="2308"/>
      <c r="C314" s="512"/>
      <c r="D314" s="3018" t="s">
        <v>2410</v>
      </c>
      <c r="E314" s="512"/>
      <c r="F314" s="3328">
        <f ca="1">F313+F339</f>
        <v>-0.10859987271456228</v>
      </c>
      <c r="G314" s="3332">
        <f t="shared" ca="1" si="52"/>
        <v>-0.31676641110532699</v>
      </c>
      <c r="H314" s="3328">
        <f t="shared" ca="1" si="52"/>
        <v>-1.01801702680187</v>
      </c>
      <c r="I314" s="3328">
        <f t="shared" ca="1" si="52"/>
        <v>0</v>
      </c>
      <c r="J314" s="3328">
        <f t="shared" ca="1" si="52"/>
        <v>0</v>
      </c>
      <c r="K314" s="3328">
        <f t="shared" ca="1" si="52"/>
        <v>0</v>
      </c>
      <c r="L314" s="3328">
        <f t="shared" ca="1" si="52"/>
        <v>0</v>
      </c>
      <c r="M314" s="3328">
        <f t="shared" ca="1" si="52"/>
        <v>0</v>
      </c>
      <c r="N314" s="3328">
        <f t="shared" ca="1" si="52"/>
        <v>0</v>
      </c>
    </row>
    <row r="315" spans="2:14" ht="15.5">
      <c r="B315" s="2308"/>
      <c r="C315" s="3019"/>
      <c r="D315" s="3018" t="s">
        <v>2411</v>
      </c>
      <c r="E315" s="3019"/>
      <c r="F315" s="3328">
        <f ca="1">F314+F340</f>
        <v>0</v>
      </c>
      <c r="G315" s="3332">
        <f t="shared" ca="1" si="52"/>
        <v>-2.4766411105327013E-2</v>
      </c>
      <c r="H315" s="3328">
        <f t="shared" ca="1" si="52"/>
        <v>-0.72601702680186997</v>
      </c>
      <c r="I315" s="3328">
        <f t="shared" ca="1" si="52"/>
        <v>0</v>
      </c>
      <c r="J315" s="3328">
        <f t="shared" ca="1" si="52"/>
        <v>0</v>
      </c>
      <c r="K315" s="3328">
        <f t="shared" ca="1" si="52"/>
        <v>0</v>
      </c>
      <c r="L315" s="3328">
        <f t="shared" ca="1" si="52"/>
        <v>0</v>
      </c>
      <c r="M315" s="3328">
        <f t="shared" ca="1" si="52"/>
        <v>0</v>
      </c>
      <c r="N315" s="3328">
        <f t="shared" ca="1" si="52"/>
        <v>0</v>
      </c>
    </row>
    <row r="316" spans="2:14" ht="15.5">
      <c r="B316" s="2308"/>
      <c r="C316" s="1696"/>
      <c r="D316" s="1696" t="s">
        <v>2412</v>
      </c>
      <c r="E316" s="1696"/>
      <c r="F316" s="3023">
        <f ca="1">F315</f>
        <v>0</v>
      </c>
      <c r="G316" s="3333">
        <f t="shared" ref="G316:N316" ca="1" si="53">G315</f>
        <v>-2.4766411105327013E-2</v>
      </c>
      <c r="H316" s="3023">
        <f t="shared" ca="1" si="53"/>
        <v>-0.72601702680186997</v>
      </c>
      <c r="I316" s="3023">
        <f t="shared" ca="1" si="53"/>
        <v>0</v>
      </c>
      <c r="J316" s="3023">
        <f t="shared" ca="1" si="53"/>
        <v>0</v>
      </c>
      <c r="K316" s="3023">
        <f t="shared" ca="1" si="53"/>
        <v>0</v>
      </c>
      <c r="L316" s="3023">
        <f t="shared" ca="1" si="53"/>
        <v>0</v>
      </c>
      <c r="M316" s="3023">
        <f t="shared" ca="1" si="53"/>
        <v>0</v>
      </c>
      <c r="N316" s="3023">
        <f t="shared" ca="1" si="53"/>
        <v>0</v>
      </c>
    </row>
    <row r="317" spans="2:14">
      <c r="F317" s="3052"/>
      <c r="G317" s="3052"/>
      <c r="H317" s="3052"/>
      <c r="I317" s="3052"/>
      <c r="J317" s="3052"/>
      <c r="K317" s="3052"/>
      <c r="L317" s="3052"/>
      <c r="M317" s="3052"/>
      <c r="N317" s="3052"/>
    </row>
    <row r="318" spans="2:14">
      <c r="B318" s="354">
        <v>4</v>
      </c>
      <c r="C318" s="354" t="s">
        <v>2413</v>
      </c>
    </row>
    <row r="320" spans="2:14">
      <c r="C320" s="2858" t="s">
        <v>2414</v>
      </c>
      <c r="N320" s="1599" t="str">
        <f>Preferences.EnergyUnits&amp;"e"</f>
        <v>TWhe</v>
      </c>
    </row>
    <row r="322" spans="2:17" ht="15.5">
      <c r="B322" s="2308"/>
      <c r="C322" s="3016"/>
      <c r="D322" s="3016" t="s">
        <v>29</v>
      </c>
      <c r="E322" s="3016" t="s">
        <v>30</v>
      </c>
      <c r="F322" s="3017">
        <v>2013</v>
      </c>
      <c r="G322" s="3017">
        <v>2015</v>
      </c>
      <c r="H322" s="3017">
        <v>2020</v>
      </c>
      <c r="I322" s="3017">
        <v>2025</v>
      </c>
      <c r="J322" s="3017">
        <v>2030</v>
      </c>
      <c r="K322" s="3017">
        <v>2035</v>
      </c>
      <c r="L322" s="3017">
        <v>2040</v>
      </c>
      <c r="M322" s="3017">
        <v>2045</v>
      </c>
      <c r="N322" s="3017">
        <v>2050</v>
      </c>
    </row>
    <row r="323" spans="2:17" ht="15.5">
      <c r="B323" s="2308"/>
      <c r="C323" s="512"/>
      <c r="D323" s="3018" t="s">
        <v>2406</v>
      </c>
      <c r="E323" s="512"/>
      <c r="F323" s="3328">
        <f ca="1">F303</f>
        <v>-0.4470678723819832</v>
      </c>
      <c r="G323" s="3335">
        <f t="shared" ref="G323:N323" ca="1" si="54">G303</f>
        <v>-0.45929957950376571</v>
      </c>
      <c r="H323" s="3328">
        <f t="shared" ca="1" si="54"/>
        <v>-0.45843880576376672</v>
      </c>
      <c r="I323" s="3328">
        <f t="shared" ca="1" si="54"/>
        <v>-0.40719059953080006</v>
      </c>
      <c r="J323" s="3328">
        <f t="shared" ca="1" si="54"/>
        <v>-0.35690769638379477</v>
      </c>
      <c r="K323" s="3328">
        <f t="shared" ca="1" si="54"/>
        <v>-0.31928320195451698</v>
      </c>
      <c r="L323" s="3328">
        <f t="shared" ca="1" si="54"/>
        <v>-0.29438518501724209</v>
      </c>
      <c r="M323" s="3328">
        <f t="shared" ca="1" si="54"/>
        <v>-0.26953333318126316</v>
      </c>
      <c r="N323" s="3328">
        <f t="shared" ca="1" si="54"/>
        <v>-0.24510189674111768</v>
      </c>
    </row>
    <row r="324" spans="2:17" ht="15.5">
      <c r="B324" s="2308"/>
      <c r="C324" s="512"/>
      <c r="D324" s="3018" t="s">
        <v>2407</v>
      </c>
      <c r="E324" s="512"/>
      <c r="F324" s="3328">
        <f t="shared" ref="F324:N328" ca="1" si="55">F323+F346</f>
        <v>-0.4470678723819832</v>
      </c>
      <c r="G324" s="3332">
        <f t="shared" ca="1" si="55"/>
        <v>-0.45929957950376565</v>
      </c>
      <c r="H324" s="3328">
        <f t="shared" ca="1" si="55"/>
        <v>-0.45843880576376672</v>
      </c>
      <c r="I324" s="3328">
        <f t="shared" ca="1" si="55"/>
        <v>-0.4071905995308</v>
      </c>
      <c r="J324" s="3328">
        <f t="shared" ca="1" si="55"/>
        <v>-0.35690769638379477</v>
      </c>
      <c r="K324" s="3328">
        <f t="shared" ca="1" si="55"/>
        <v>-0.31928320195451698</v>
      </c>
      <c r="L324" s="3328">
        <f t="shared" ca="1" si="55"/>
        <v>-0.29438518501724209</v>
      </c>
      <c r="M324" s="3328">
        <f t="shared" ca="1" si="55"/>
        <v>-0.26953333318126316</v>
      </c>
      <c r="N324" s="3328">
        <f t="shared" ca="1" si="55"/>
        <v>-0.24510189674111768</v>
      </c>
    </row>
    <row r="325" spans="2:17" ht="15.5">
      <c r="B325" s="2308"/>
      <c r="C325" s="512"/>
      <c r="D325" s="3018" t="s">
        <v>2408</v>
      </c>
      <c r="E325" s="512"/>
      <c r="F325" s="3328">
        <f t="shared" ca="1" si="55"/>
        <v>-0.10303198472574754</v>
      </c>
      <c r="G325" s="3332">
        <f t="shared" ca="1" si="55"/>
        <v>-0.12801196933263925</v>
      </c>
      <c r="H325" s="3328">
        <f t="shared" ca="1" si="55"/>
        <v>-0.21216204321622437</v>
      </c>
      <c r="I325" s="3328">
        <f t="shared" ca="1" si="55"/>
        <v>-8.6804016589114574E-2</v>
      </c>
      <c r="J325" s="3328">
        <f t="shared" ca="1" si="55"/>
        <v>-0.1252627269943595</v>
      </c>
      <c r="K325" s="3328">
        <f t="shared" ca="1" si="55"/>
        <v>-6.0811807691756814E-2</v>
      </c>
      <c r="L325" s="3328">
        <f t="shared" ca="1" si="55"/>
        <v>-1.4857478164244264E-2</v>
      </c>
      <c r="M325" s="3328">
        <f t="shared" ca="1" si="55"/>
        <v>0</v>
      </c>
      <c r="N325" s="3328">
        <f t="shared" ca="1" si="55"/>
        <v>0</v>
      </c>
    </row>
    <row r="326" spans="2:17" ht="15.5">
      <c r="B326" s="2308"/>
      <c r="C326" s="512"/>
      <c r="D326" s="3018" t="s">
        <v>2409</v>
      </c>
      <c r="E326" s="512"/>
      <c r="F326" s="3328">
        <f t="shared" ca="1" si="55"/>
        <v>-3.5531984725747548E-2</v>
      </c>
      <c r="G326" s="3332">
        <f t="shared" ca="1" si="55"/>
        <v>-6.0511969332639262E-2</v>
      </c>
      <c r="H326" s="3328">
        <f t="shared" ca="1" si="55"/>
        <v>-0.14466204321622439</v>
      </c>
      <c r="I326" s="3328">
        <f t="shared" ca="1" si="55"/>
        <v>0</v>
      </c>
      <c r="J326" s="3328">
        <f t="shared" ca="1" si="55"/>
        <v>0</v>
      </c>
      <c r="K326" s="3328">
        <f t="shared" ca="1" si="55"/>
        <v>0</v>
      </c>
      <c r="L326" s="3328">
        <f t="shared" ca="1" si="55"/>
        <v>0</v>
      </c>
      <c r="M326" s="3328">
        <f t="shared" ca="1" si="55"/>
        <v>0</v>
      </c>
      <c r="N326" s="3328">
        <f t="shared" ca="1" si="55"/>
        <v>0</v>
      </c>
    </row>
    <row r="327" spans="2:17" ht="15.5">
      <c r="B327" s="2308"/>
      <c r="C327" s="512"/>
      <c r="D327" s="3018" t="s">
        <v>2410</v>
      </c>
      <c r="E327" s="512"/>
      <c r="F327" s="3328">
        <f t="shared" ca="1" si="55"/>
        <v>-3.5531984725747548E-2</v>
      </c>
      <c r="G327" s="3332">
        <f t="shared" ca="1" si="55"/>
        <v>-6.0511969332639262E-2</v>
      </c>
      <c r="H327" s="3328">
        <f t="shared" ca="1" si="55"/>
        <v>-0.14466204321622439</v>
      </c>
      <c r="I327" s="3328">
        <f t="shared" ca="1" si="55"/>
        <v>0</v>
      </c>
      <c r="J327" s="3328">
        <f t="shared" ca="1" si="55"/>
        <v>0</v>
      </c>
      <c r="K327" s="3328">
        <f t="shared" ca="1" si="55"/>
        <v>0</v>
      </c>
      <c r="L327" s="3328">
        <f t="shared" ca="1" si="55"/>
        <v>0</v>
      </c>
      <c r="M327" s="3328">
        <f t="shared" ca="1" si="55"/>
        <v>0</v>
      </c>
      <c r="N327" s="3328">
        <f t="shared" ca="1" si="55"/>
        <v>0</v>
      </c>
    </row>
    <row r="328" spans="2:17" ht="15.5">
      <c r="B328" s="2308"/>
      <c r="C328" s="3019"/>
      <c r="D328" s="3018" t="s">
        <v>2411</v>
      </c>
      <c r="E328" s="3019"/>
      <c r="F328" s="3329">
        <f t="shared" ca="1" si="55"/>
        <v>-3.3941984725747547E-2</v>
      </c>
      <c r="G328" s="3334">
        <f t="shared" ca="1" si="55"/>
        <v>-5.8921969332639261E-2</v>
      </c>
      <c r="H328" s="3329">
        <f t="shared" ca="1" si="55"/>
        <v>-0.14307204321622438</v>
      </c>
      <c r="I328" s="3329">
        <f t="shared" ca="1" si="55"/>
        <v>0</v>
      </c>
      <c r="J328" s="3329">
        <f t="shared" ca="1" si="55"/>
        <v>0</v>
      </c>
      <c r="K328" s="3329">
        <f t="shared" ca="1" si="55"/>
        <v>0</v>
      </c>
      <c r="L328" s="3329">
        <f t="shared" ca="1" si="55"/>
        <v>0</v>
      </c>
      <c r="M328" s="3329">
        <f t="shared" ca="1" si="55"/>
        <v>0</v>
      </c>
      <c r="N328" s="3329">
        <f t="shared" ca="1" si="55"/>
        <v>0</v>
      </c>
    </row>
    <row r="329" spans="2:17" ht="15.5">
      <c r="B329" s="2308"/>
      <c r="C329" s="1696"/>
      <c r="D329" s="1696" t="s">
        <v>2415</v>
      </c>
      <c r="E329" s="1696"/>
      <c r="F329" s="3023">
        <f t="shared" ref="F329:N329" ca="1" si="56">F328</f>
        <v>-3.3941984725747547E-2</v>
      </c>
      <c r="G329" s="3333">
        <f t="shared" ca="1" si="56"/>
        <v>-5.8921969332639261E-2</v>
      </c>
      <c r="H329" s="3023">
        <f t="shared" ca="1" si="56"/>
        <v>-0.14307204321622438</v>
      </c>
      <c r="I329" s="3023">
        <f t="shared" ca="1" si="56"/>
        <v>0</v>
      </c>
      <c r="J329" s="3023">
        <f t="shared" ca="1" si="56"/>
        <v>0</v>
      </c>
      <c r="K329" s="3023">
        <f t="shared" ca="1" si="56"/>
        <v>0</v>
      </c>
      <c r="L329" s="3023">
        <f t="shared" ca="1" si="56"/>
        <v>0</v>
      </c>
      <c r="M329" s="3023">
        <f t="shared" ca="1" si="56"/>
        <v>0</v>
      </c>
      <c r="N329" s="3023">
        <f t="shared" ca="1" si="56"/>
        <v>0</v>
      </c>
      <c r="Q329" s="2624"/>
    </row>
    <row r="331" spans="2:17">
      <c r="B331" s="354">
        <v>5</v>
      </c>
      <c r="C331" s="354" t="s">
        <v>2416</v>
      </c>
    </row>
    <row r="333" spans="2:17">
      <c r="C333" s="2858" t="s">
        <v>2417</v>
      </c>
      <c r="N333" s="373" t="str">
        <f>Preferences.PowerUnits&amp;"e"</f>
        <v>GWe</v>
      </c>
    </row>
    <row r="335" spans="2:17">
      <c r="C335" s="3016"/>
      <c r="D335" s="3016" t="s">
        <v>29</v>
      </c>
      <c r="E335" s="3016" t="s">
        <v>30</v>
      </c>
      <c r="F335" s="3017">
        <v>2013</v>
      </c>
      <c r="G335" s="3017">
        <v>2015</v>
      </c>
      <c r="H335" s="3017">
        <v>2020</v>
      </c>
      <c r="I335" s="3017">
        <v>2025</v>
      </c>
      <c r="J335" s="3017">
        <v>2030</v>
      </c>
      <c r="K335" s="3017">
        <v>2035</v>
      </c>
      <c r="L335" s="3017">
        <v>2040</v>
      </c>
      <c r="M335" s="3017">
        <v>2045</v>
      </c>
      <c r="N335" s="3017">
        <v>2050</v>
      </c>
    </row>
    <row r="336" spans="2:17">
      <c r="C336" s="2542"/>
      <c r="D336" s="512" t="s">
        <v>2385</v>
      </c>
      <c r="E336" s="2542"/>
      <c r="F336" s="3328">
        <f ca="1">MIN(ABS(F310),F242)</f>
        <v>0</v>
      </c>
      <c r="G336" s="3328">
        <f t="shared" ref="G336:N336" ca="1" si="57">MIN(ABS(G310),G242)</f>
        <v>4.0528333091495553E-16</v>
      </c>
      <c r="H336" s="3328">
        <f t="shared" ca="1" si="57"/>
        <v>0</v>
      </c>
      <c r="I336" s="3328">
        <f t="shared" ca="1" si="57"/>
        <v>4.0528333091495553E-16</v>
      </c>
      <c r="J336" s="3328">
        <f t="shared" ca="1" si="57"/>
        <v>0</v>
      </c>
      <c r="K336" s="3328">
        <f t="shared" ca="1" si="57"/>
        <v>0</v>
      </c>
      <c r="L336" s="3328">
        <f t="shared" ca="1" si="57"/>
        <v>0</v>
      </c>
      <c r="M336" s="3328">
        <f t="shared" ca="1" si="57"/>
        <v>0</v>
      </c>
      <c r="N336" s="3328">
        <f t="shared" ca="1" si="57"/>
        <v>0</v>
      </c>
    </row>
    <row r="337" spans="2:14" ht="15.5">
      <c r="B337" s="2308"/>
      <c r="C337" s="512"/>
      <c r="D337" s="3018" t="s">
        <v>2386</v>
      </c>
      <c r="E337" s="512"/>
      <c r="F337" s="3328">
        <f t="shared" ref="F337:N340" ca="1" si="58">MIN(ABS(F311),F243)</f>
        <v>2.8669657304686309</v>
      </c>
      <c r="G337" s="3336">
        <f t="shared" ca="1" si="58"/>
        <v>2.7607300847593867</v>
      </c>
      <c r="H337" s="3328">
        <f t="shared" ca="1" si="58"/>
        <v>2.052306354562853</v>
      </c>
      <c r="I337" s="3328">
        <f t="shared" ca="1" si="58"/>
        <v>2.6698881911807124</v>
      </c>
      <c r="J337" s="3328">
        <f t="shared" ca="1" si="58"/>
        <v>1.9303747449119606</v>
      </c>
      <c r="K337" s="3328">
        <f t="shared" ca="1" si="58"/>
        <v>2.1539282855230018</v>
      </c>
      <c r="L337" s="3328">
        <f t="shared" ca="1" si="58"/>
        <v>2.3293975571083152</v>
      </c>
      <c r="M337" s="3328">
        <f t="shared" ca="1" si="58"/>
        <v>2.2461111098438593</v>
      </c>
      <c r="N337" s="3328">
        <f t="shared" ca="1" si="58"/>
        <v>2.0425158061759809</v>
      </c>
    </row>
    <row r="338" spans="2:14" ht="15.5">
      <c r="B338" s="2308"/>
      <c r="C338" s="512"/>
      <c r="D338" s="3018" t="s">
        <v>2387</v>
      </c>
      <c r="E338" s="512"/>
      <c r="F338" s="3328">
        <f t="shared" ca="1" si="58"/>
        <v>0.75</v>
      </c>
      <c r="G338" s="3336">
        <f t="shared" ca="1" si="58"/>
        <v>0.75</v>
      </c>
      <c r="H338" s="3328">
        <f t="shared" ca="1" si="58"/>
        <v>0.75</v>
      </c>
      <c r="I338" s="3328">
        <f t="shared" ca="1" si="58"/>
        <v>0.72336680490928762</v>
      </c>
      <c r="J338" s="3328">
        <f t="shared" ca="1" si="58"/>
        <v>1.043856058286329</v>
      </c>
      <c r="K338" s="3328">
        <f t="shared" ca="1" si="58"/>
        <v>0.50676506409797284</v>
      </c>
      <c r="L338" s="3328">
        <f t="shared" ca="1" si="58"/>
        <v>0.12381231803536874</v>
      </c>
      <c r="M338" s="3328">
        <f t="shared" ca="1" si="58"/>
        <v>0</v>
      </c>
      <c r="N338" s="3328">
        <f t="shared" ca="1" si="58"/>
        <v>0</v>
      </c>
    </row>
    <row r="339" spans="2:14" ht="15.5">
      <c r="B339" s="2308"/>
      <c r="C339" s="512"/>
      <c r="D339" s="3018" t="s">
        <v>2388</v>
      </c>
      <c r="E339" s="512"/>
      <c r="F339" s="3328">
        <f t="shared" ca="1" si="58"/>
        <v>0</v>
      </c>
      <c r="G339" s="3336">
        <f t="shared" ca="1" si="58"/>
        <v>0</v>
      </c>
      <c r="H339" s="3328">
        <f t="shared" ca="1" si="58"/>
        <v>0</v>
      </c>
      <c r="I339" s="3328">
        <f t="shared" ca="1" si="58"/>
        <v>0</v>
      </c>
      <c r="J339" s="3328">
        <f t="shared" ca="1" si="58"/>
        <v>0</v>
      </c>
      <c r="K339" s="3328">
        <f t="shared" ca="1" si="58"/>
        <v>0</v>
      </c>
      <c r="L339" s="3328">
        <f t="shared" ca="1" si="58"/>
        <v>0</v>
      </c>
      <c r="M339" s="3328">
        <f t="shared" ca="1" si="58"/>
        <v>0</v>
      </c>
      <c r="N339" s="3328">
        <f t="shared" ca="1" si="58"/>
        <v>0</v>
      </c>
    </row>
    <row r="340" spans="2:14" ht="15.5">
      <c r="B340" s="2308"/>
      <c r="C340" s="3019"/>
      <c r="D340" s="3020" t="s">
        <v>2389</v>
      </c>
      <c r="E340" s="3019"/>
      <c r="F340" s="3328">
        <f t="shared" ca="1" si="58"/>
        <v>0.10859987271456228</v>
      </c>
      <c r="G340" s="3336">
        <f t="shared" ca="1" si="58"/>
        <v>0.29199999999999998</v>
      </c>
      <c r="H340" s="3328">
        <f t="shared" ca="1" si="58"/>
        <v>0.29199999999999998</v>
      </c>
      <c r="I340" s="3328">
        <f t="shared" ca="1" si="58"/>
        <v>0</v>
      </c>
      <c r="J340" s="3328">
        <f t="shared" ca="1" si="58"/>
        <v>0</v>
      </c>
      <c r="K340" s="3328">
        <f t="shared" ca="1" si="58"/>
        <v>0</v>
      </c>
      <c r="L340" s="3328">
        <f t="shared" ca="1" si="58"/>
        <v>0</v>
      </c>
      <c r="M340" s="3328">
        <f t="shared" ca="1" si="58"/>
        <v>0</v>
      </c>
      <c r="N340" s="3328">
        <f t="shared" ca="1" si="58"/>
        <v>0</v>
      </c>
    </row>
    <row r="341" spans="2:14" ht="15.5">
      <c r="B341" s="2308"/>
      <c r="C341" s="1696"/>
      <c r="D341" s="1696" t="s">
        <v>2418</v>
      </c>
      <c r="E341" s="1696"/>
      <c r="F341" s="3023">
        <f ca="1">SUM(F336:F340)</f>
        <v>3.7255656031831932</v>
      </c>
      <c r="G341" s="3333">
        <f t="shared" ref="G341:N341" ca="1" si="59">SUM(G336:G340)</f>
        <v>3.802730084759387</v>
      </c>
      <c r="H341" s="3023">
        <f t="shared" ca="1" si="59"/>
        <v>3.0943063545628529</v>
      </c>
      <c r="I341" s="3023">
        <f t="shared" ca="1" si="59"/>
        <v>3.3932549960900005</v>
      </c>
      <c r="J341" s="3023">
        <f t="shared" ca="1" si="59"/>
        <v>2.9742308031982896</v>
      </c>
      <c r="K341" s="3023">
        <f t="shared" ca="1" si="59"/>
        <v>2.6606933496209746</v>
      </c>
      <c r="L341" s="3023">
        <f t="shared" ca="1" si="59"/>
        <v>2.4532098751436839</v>
      </c>
      <c r="M341" s="3023">
        <f t="shared" ca="1" si="59"/>
        <v>2.2461111098438593</v>
      </c>
      <c r="N341" s="3023">
        <f t="shared" ca="1" si="59"/>
        <v>2.0425158061759809</v>
      </c>
    </row>
    <row r="342" spans="2:14">
      <c r="H342" s="3052" t="s">
        <v>5</v>
      </c>
    </row>
    <row r="343" spans="2:14">
      <c r="C343" s="2858" t="s">
        <v>2419</v>
      </c>
      <c r="N343" s="1599" t="str">
        <f>Preferences.EnergyUnits&amp;"e"</f>
        <v>TWhe</v>
      </c>
    </row>
    <row r="345" spans="2:14" ht="15.5">
      <c r="B345" s="2308"/>
      <c r="C345" s="3016"/>
      <c r="D345" s="3016" t="s">
        <v>29</v>
      </c>
      <c r="E345" s="3016" t="s">
        <v>30</v>
      </c>
      <c r="F345" s="3017">
        <v>2013</v>
      </c>
      <c r="G345" s="3017">
        <v>2015</v>
      </c>
      <c r="H345" s="3017">
        <v>2020</v>
      </c>
      <c r="I345" s="3017">
        <v>2025</v>
      </c>
      <c r="J345" s="3017">
        <v>2030</v>
      </c>
      <c r="K345" s="3017">
        <v>2035</v>
      </c>
      <c r="L345" s="3017">
        <v>2040</v>
      </c>
      <c r="M345" s="3017">
        <v>2045</v>
      </c>
      <c r="N345" s="3017">
        <v>2050</v>
      </c>
    </row>
    <row r="346" spans="2:14" ht="15.5">
      <c r="B346" s="2308"/>
      <c r="C346" s="2542"/>
      <c r="D346" s="512" t="s">
        <v>2385</v>
      </c>
      <c r="E346" s="2542"/>
      <c r="F346" s="3328">
        <f t="shared" ref="F346:N350" ca="1" si="60">MIN(ABS(F323),F252)</f>
        <v>0</v>
      </c>
      <c r="G346" s="3328">
        <f t="shared" ca="1" si="60"/>
        <v>4.8633999709794653E-17</v>
      </c>
      <c r="H346" s="3328">
        <f t="shared" ca="1" si="60"/>
        <v>0</v>
      </c>
      <c r="I346" s="3328">
        <f t="shared" ca="1" si="60"/>
        <v>4.8633999709794653E-17</v>
      </c>
      <c r="J346" s="3328">
        <f t="shared" ca="1" si="60"/>
        <v>0</v>
      </c>
      <c r="K346" s="3328">
        <f t="shared" ca="1" si="60"/>
        <v>0</v>
      </c>
      <c r="L346" s="3328">
        <f t="shared" ca="1" si="60"/>
        <v>0</v>
      </c>
      <c r="M346" s="3328">
        <f t="shared" ca="1" si="60"/>
        <v>0</v>
      </c>
      <c r="N346" s="3328">
        <f t="shared" ca="1" si="60"/>
        <v>0</v>
      </c>
    </row>
    <row r="347" spans="2:14" ht="15.5">
      <c r="B347" s="2308"/>
      <c r="C347" s="512"/>
      <c r="D347" s="3018" t="s">
        <v>2386</v>
      </c>
      <c r="E347" s="512"/>
      <c r="F347" s="3328">
        <f t="shared" ca="1" si="60"/>
        <v>0.34403588765623566</v>
      </c>
      <c r="G347" s="3328">
        <f t="shared" ca="1" si="60"/>
        <v>0.3312876101711264</v>
      </c>
      <c r="H347" s="3328">
        <f t="shared" ca="1" si="60"/>
        <v>0.24627676254754235</v>
      </c>
      <c r="I347" s="3328">
        <f t="shared" ca="1" si="60"/>
        <v>0.32038658294168543</v>
      </c>
      <c r="J347" s="3328">
        <f t="shared" ca="1" si="60"/>
        <v>0.23164496938943527</v>
      </c>
      <c r="K347" s="3328">
        <f t="shared" ca="1" si="60"/>
        <v>0.25847139426276017</v>
      </c>
      <c r="L347" s="3328">
        <f t="shared" ca="1" si="60"/>
        <v>0.27952770685299783</v>
      </c>
      <c r="M347" s="3328">
        <f t="shared" ca="1" si="60"/>
        <v>0.26953333318126316</v>
      </c>
      <c r="N347" s="3328">
        <f t="shared" ca="1" si="60"/>
        <v>0.24510189674111768</v>
      </c>
    </row>
    <row r="348" spans="2:14" ht="15.5">
      <c r="B348" s="2308"/>
      <c r="C348" s="512"/>
      <c r="D348" s="3018" t="s">
        <v>2387</v>
      </c>
      <c r="E348" s="512"/>
      <c r="F348" s="3328">
        <f t="shared" ca="1" si="60"/>
        <v>6.7499999999999991E-2</v>
      </c>
      <c r="G348" s="3328">
        <f t="shared" ca="1" si="60"/>
        <v>6.7499999999999991E-2</v>
      </c>
      <c r="H348" s="3328">
        <f t="shared" ca="1" si="60"/>
        <v>6.7499999999999991E-2</v>
      </c>
      <c r="I348" s="3328">
        <f t="shared" ca="1" si="60"/>
        <v>8.6804016589114574E-2</v>
      </c>
      <c r="J348" s="3328">
        <f t="shared" ca="1" si="60"/>
        <v>0.1252627269943595</v>
      </c>
      <c r="K348" s="3328">
        <f t="shared" ca="1" si="60"/>
        <v>6.0811807691756814E-2</v>
      </c>
      <c r="L348" s="3328">
        <f t="shared" ca="1" si="60"/>
        <v>1.4857478164244264E-2</v>
      </c>
      <c r="M348" s="3328">
        <f t="shared" ca="1" si="60"/>
        <v>0</v>
      </c>
      <c r="N348" s="3328">
        <f t="shared" ca="1" si="60"/>
        <v>0</v>
      </c>
    </row>
    <row r="349" spans="2:14" ht="15.5">
      <c r="B349" s="2308"/>
      <c r="C349" s="512"/>
      <c r="D349" s="3018" t="s">
        <v>2388</v>
      </c>
      <c r="E349" s="512"/>
      <c r="F349" s="3328">
        <f t="shared" ca="1" si="60"/>
        <v>0</v>
      </c>
      <c r="G349" s="3328">
        <f t="shared" ca="1" si="60"/>
        <v>0</v>
      </c>
      <c r="H349" s="3328">
        <f t="shared" ca="1" si="60"/>
        <v>0</v>
      </c>
      <c r="I349" s="3328">
        <f t="shared" ca="1" si="60"/>
        <v>0</v>
      </c>
      <c r="J349" s="3328">
        <f ca="1">MIN(ABS(J326),J255)</f>
        <v>0</v>
      </c>
      <c r="K349" s="3328">
        <f t="shared" ca="1" si="60"/>
        <v>0</v>
      </c>
      <c r="L349" s="3328">
        <f t="shared" ca="1" si="60"/>
        <v>0</v>
      </c>
      <c r="M349" s="3328">
        <f t="shared" ca="1" si="60"/>
        <v>0</v>
      </c>
      <c r="N349" s="3328">
        <f t="shared" ca="1" si="60"/>
        <v>0</v>
      </c>
    </row>
    <row r="350" spans="2:14" ht="15.5">
      <c r="B350" s="2308"/>
      <c r="C350" s="3019"/>
      <c r="D350" s="3020" t="s">
        <v>2389</v>
      </c>
      <c r="E350" s="3019"/>
      <c r="F350" s="3329">
        <f t="shared" ca="1" si="60"/>
        <v>1.5900000000000001E-3</v>
      </c>
      <c r="G350" s="3329">
        <f t="shared" ca="1" si="60"/>
        <v>1.5900000000000001E-3</v>
      </c>
      <c r="H350" s="3329">
        <f t="shared" ca="1" si="60"/>
        <v>1.5900000000000001E-3</v>
      </c>
      <c r="I350" s="3329">
        <f t="shared" ca="1" si="60"/>
        <v>0</v>
      </c>
      <c r="J350" s="3329">
        <f t="shared" ca="1" si="60"/>
        <v>0</v>
      </c>
      <c r="K350" s="3329">
        <f t="shared" ca="1" si="60"/>
        <v>0</v>
      </c>
      <c r="L350" s="3329">
        <f t="shared" ca="1" si="60"/>
        <v>0</v>
      </c>
      <c r="M350" s="3329">
        <f t="shared" ca="1" si="60"/>
        <v>0</v>
      </c>
      <c r="N350" s="3329">
        <f t="shared" ca="1" si="60"/>
        <v>0</v>
      </c>
    </row>
    <row r="351" spans="2:14" ht="15.5">
      <c r="B351" s="2308"/>
      <c r="C351" s="1696"/>
      <c r="D351" s="1696" t="s">
        <v>2420</v>
      </c>
      <c r="E351" s="1696"/>
      <c r="F351" s="3023">
        <f ca="1">SUM(F346:F350)</f>
        <v>0.41312588765623565</v>
      </c>
      <c r="G351" s="3333">
        <f t="shared" ref="G351:N351" ca="1" si="61">SUM(G346:G350)</f>
        <v>0.40037761017112644</v>
      </c>
      <c r="H351" s="3023">
        <f t="shared" ca="1" si="61"/>
        <v>0.31536676254754231</v>
      </c>
      <c r="I351" s="3023">
        <f t="shared" ca="1" si="61"/>
        <v>0.40719059953080006</v>
      </c>
      <c r="J351" s="3023">
        <f t="shared" ca="1" si="61"/>
        <v>0.35690769638379477</v>
      </c>
      <c r="K351" s="3023">
        <f t="shared" ca="1" si="61"/>
        <v>0.31928320195451698</v>
      </c>
      <c r="L351" s="3023">
        <f t="shared" ca="1" si="61"/>
        <v>0.29438518501724209</v>
      </c>
      <c r="M351" s="3023">
        <f t="shared" ca="1" si="61"/>
        <v>0.26953333318126316</v>
      </c>
      <c r="N351" s="3023">
        <f t="shared" ca="1" si="61"/>
        <v>0.24510189674111768</v>
      </c>
    </row>
    <row r="352" spans="2:14">
      <c r="C352" s="979"/>
      <c r="F352" s="357"/>
      <c r="G352" s="357"/>
      <c r="H352" s="357"/>
      <c r="I352" s="357"/>
      <c r="J352" s="357"/>
      <c r="K352" s="357"/>
      <c r="L352" s="357"/>
      <c r="M352" s="357"/>
      <c r="N352" s="357"/>
    </row>
    <row r="353" spans="3:14">
      <c r="C353" s="2858" t="s">
        <v>2417</v>
      </c>
      <c r="J353" s="3052" t="s">
        <v>5</v>
      </c>
      <c r="N353" s="373" t="s">
        <v>2421</v>
      </c>
    </row>
    <row r="354" spans="3:14">
      <c r="G354" s="3052" t="s">
        <v>5</v>
      </c>
    </row>
    <row r="355" spans="3:14">
      <c r="C355" s="3016"/>
      <c r="D355" s="3016" t="s">
        <v>29</v>
      </c>
      <c r="E355" s="3016" t="s">
        <v>30</v>
      </c>
      <c r="F355" s="3017">
        <v>2013</v>
      </c>
      <c r="G355" s="3017">
        <v>2015</v>
      </c>
      <c r="H355" s="3017">
        <v>2020</v>
      </c>
      <c r="I355" s="3017">
        <v>2025</v>
      </c>
      <c r="J355" s="3017">
        <v>2030</v>
      </c>
      <c r="K355" s="3017">
        <v>2035</v>
      </c>
      <c r="L355" s="3017">
        <v>2040</v>
      </c>
      <c r="M355" s="3017">
        <v>2045</v>
      </c>
      <c r="N355" s="3017">
        <v>2050</v>
      </c>
    </row>
    <row r="356" spans="3:14">
      <c r="C356" s="2542"/>
      <c r="D356" s="512" t="s">
        <v>2385</v>
      </c>
      <c r="E356" s="2542"/>
      <c r="F356" s="3337">
        <f t="shared" ref="F356:N361" ca="1" si="62">IF(F242=0,0,F336/F242)</f>
        <v>0</v>
      </c>
      <c r="G356" s="3337">
        <f t="shared" ca="1" si="62"/>
        <v>1</v>
      </c>
      <c r="H356" s="3337">
        <f t="shared" ca="1" si="62"/>
        <v>0</v>
      </c>
      <c r="I356" s="3337">
        <f t="shared" ca="1" si="62"/>
        <v>1</v>
      </c>
      <c r="J356" s="3337">
        <f t="shared" ca="1" si="62"/>
        <v>0</v>
      </c>
      <c r="K356" s="3337">
        <f t="shared" ca="1" si="62"/>
        <v>0</v>
      </c>
      <c r="L356" s="3337">
        <f t="shared" ca="1" si="62"/>
        <v>0</v>
      </c>
      <c r="M356" s="3337">
        <f t="shared" ca="1" si="62"/>
        <v>0</v>
      </c>
      <c r="N356" s="3337">
        <f t="shared" ca="1" si="62"/>
        <v>0</v>
      </c>
    </row>
    <row r="357" spans="3:14">
      <c r="C357" s="512"/>
      <c r="D357" s="3018" t="s">
        <v>2386</v>
      </c>
      <c r="E357" s="512"/>
      <c r="F357" s="3337">
        <f t="shared" ca="1" si="62"/>
        <v>1</v>
      </c>
      <c r="G357" s="3337">
        <f t="shared" ca="1" si="62"/>
        <v>1</v>
      </c>
      <c r="H357" s="3337">
        <f t="shared" ca="1" si="62"/>
        <v>1</v>
      </c>
      <c r="I357" s="3337">
        <f t="shared" ca="1" si="62"/>
        <v>1</v>
      </c>
      <c r="J357" s="3337">
        <f t="shared" ca="1" si="62"/>
        <v>1</v>
      </c>
      <c r="K357" s="3337">
        <f t="shared" ca="1" si="62"/>
        <v>1</v>
      </c>
      <c r="L357" s="3337">
        <f t="shared" ca="1" si="62"/>
        <v>1</v>
      </c>
      <c r="M357" s="3337">
        <f t="shared" ca="1" si="62"/>
        <v>0.89358708938315046</v>
      </c>
      <c r="N357" s="3337">
        <f t="shared" ca="1" si="62"/>
        <v>0.75448640167224501</v>
      </c>
    </row>
    <row r="358" spans="3:14">
      <c r="C358" s="512"/>
      <c r="D358" s="3018" t="s">
        <v>2387</v>
      </c>
      <c r="E358" s="512"/>
      <c r="F358" s="3337">
        <f t="shared" ca="1" si="62"/>
        <v>1</v>
      </c>
      <c r="G358" s="3337">
        <f t="shared" ca="1" si="62"/>
        <v>1</v>
      </c>
      <c r="H358" s="3337">
        <f t="shared" ca="1" si="62"/>
        <v>1</v>
      </c>
      <c r="I358" s="3337">
        <f t="shared" ca="1" si="62"/>
        <v>0.51669057493520543</v>
      </c>
      <c r="J358" s="3337">
        <f t="shared" ca="1" si="62"/>
        <v>0.74561147020452079</v>
      </c>
      <c r="K358" s="3337">
        <f t="shared" ca="1" si="62"/>
        <v>0.36197504578426631</v>
      </c>
      <c r="L358" s="3337">
        <f t="shared" ca="1" si="62"/>
        <v>8.843737002526339E-2</v>
      </c>
      <c r="M358" s="3337">
        <f t="shared" ca="1" si="62"/>
        <v>0</v>
      </c>
      <c r="N358" s="3337">
        <f t="shared" ca="1" si="62"/>
        <v>0</v>
      </c>
    </row>
    <row r="359" spans="3:14">
      <c r="C359" s="512"/>
      <c r="D359" s="3018" t="s">
        <v>2388</v>
      </c>
      <c r="E359" s="512"/>
      <c r="F359" s="3337">
        <f t="shared" ca="1" si="62"/>
        <v>0</v>
      </c>
      <c r="G359" s="3337">
        <f t="shared" ca="1" si="62"/>
        <v>0</v>
      </c>
      <c r="H359" s="3337">
        <f t="shared" ca="1" si="62"/>
        <v>0</v>
      </c>
      <c r="I359" s="3337">
        <f t="shared" ca="1" si="62"/>
        <v>0</v>
      </c>
      <c r="J359" s="3337">
        <f t="shared" ca="1" si="62"/>
        <v>0</v>
      </c>
      <c r="K359" s="3337">
        <f t="shared" ca="1" si="62"/>
        <v>0</v>
      </c>
      <c r="L359" s="3337">
        <f t="shared" ca="1" si="62"/>
        <v>0</v>
      </c>
      <c r="M359" s="3337">
        <f t="shared" ca="1" si="62"/>
        <v>0</v>
      </c>
      <c r="N359" s="3337">
        <f t="shared" ca="1" si="62"/>
        <v>0</v>
      </c>
    </row>
    <row r="360" spans="3:14">
      <c r="C360" s="3019"/>
      <c r="D360" s="3020" t="s">
        <v>2389</v>
      </c>
      <c r="E360" s="3019"/>
      <c r="F360" s="3337">
        <f t="shared" ca="1" si="62"/>
        <v>0.37191737231014482</v>
      </c>
      <c r="G360" s="3337">
        <f t="shared" ca="1" si="62"/>
        <v>1</v>
      </c>
      <c r="H360" s="3337">
        <f t="shared" ca="1" si="62"/>
        <v>1</v>
      </c>
      <c r="I360" s="3337">
        <f t="shared" ca="1" si="62"/>
        <v>0</v>
      </c>
      <c r="J360" s="3337">
        <f t="shared" ca="1" si="62"/>
        <v>0</v>
      </c>
      <c r="K360" s="3337">
        <f t="shared" ca="1" si="62"/>
        <v>0</v>
      </c>
      <c r="L360" s="3337">
        <f t="shared" ca="1" si="62"/>
        <v>0</v>
      </c>
      <c r="M360" s="3337">
        <f t="shared" ca="1" si="62"/>
        <v>0</v>
      </c>
      <c r="N360" s="3337">
        <f t="shared" ca="1" si="62"/>
        <v>0</v>
      </c>
    </row>
    <row r="361" spans="3:14">
      <c r="C361" s="1696"/>
      <c r="D361" s="1696" t="s">
        <v>2418</v>
      </c>
      <c r="E361" s="1696"/>
      <c r="F361" s="3340">
        <f t="shared" ca="1" si="62"/>
        <v>0.95308218594603789</v>
      </c>
      <c r="G361" s="3341">
        <f t="shared" ca="1" si="62"/>
        <v>1</v>
      </c>
      <c r="H361" s="3340">
        <f t="shared" ca="1" si="62"/>
        <v>1</v>
      </c>
      <c r="I361" s="3340">
        <f t="shared" ca="1" si="62"/>
        <v>0.77793259418038541</v>
      </c>
      <c r="J361" s="3340">
        <f t="shared" ca="1" si="62"/>
        <v>0.58063514508628722</v>
      </c>
      <c r="K361" s="3340">
        <f t="shared" ca="1" si="62"/>
        <v>0.49770464688541444</v>
      </c>
      <c r="L361" s="3340">
        <f t="shared" ca="1" si="62"/>
        <v>0.44430958824643796</v>
      </c>
      <c r="M361" s="3340">
        <f t="shared" ca="1" si="62"/>
        <v>0.39366854496156306</v>
      </c>
      <c r="N361" s="3340">
        <f t="shared" ca="1" si="62"/>
        <v>0.34623838361071985</v>
      </c>
    </row>
    <row r="363" spans="3:14">
      <c r="C363" s="2858" t="s">
        <v>2419</v>
      </c>
      <c r="N363" s="373" t="s">
        <v>2421</v>
      </c>
    </row>
    <row r="365" spans="3:14">
      <c r="C365" s="3016"/>
      <c r="D365" s="3016" t="s">
        <v>29</v>
      </c>
      <c r="E365" s="3016" t="s">
        <v>30</v>
      </c>
      <c r="F365" s="3017">
        <v>2013</v>
      </c>
      <c r="G365" s="3017">
        <v>2015</v>
      </c>
      <c r="H365" s="3017">
        <v>2020</v>
      </c>
      <c r="I365" s="3017">
        <v>2025</v>
      </c>
      <c r="J365" s="3017">
        <v>2030</v>
      </c>
      <c r="K365" s="3017">
        <v>2035</v>
      </c>
      <c r="L365" s="3017">
        <v>2040</v>
      </c>
      <c r="M365" s="3017">
        <v>2045</v>
      </c>
      <c r="N365" s="3017">
        <v>2050</v>
      </c>
    </row>
    <row r="366" spans="3:14">
      <c r="C366" s="2542"/>
      <c r="D366" s="512" t="s">
        <v>2385</v>
      </c>
      <c r="E366" s="2542"/>
      <c r="F366" s="3337">
        <f t="shared" ref="F366:N371" ca="1" si="63">IF(F252=0,0,F346/F252)</f>
        <v>0</v>
      </c>
      <c r="G366" s="3338">
        <f t="shared" ca="1" si="63"/>
        <v>1</v>
      </c>
      <c r="H366" s="3337">
        <f t="shared" ca="1" si="63"/>
        <v>0</v>
      </c>
      <c r="I366" s="3337">
        <f t="shared" ca="1" si="63"/>
        <v>1</v>
      </c>
      <c r="J366" s="3337">
        <f t="shared" ca="1" si="63"/>
        <v>0</v>
      </c>
      <c r="K366" s="3337">
        <f t="shared" ca="1" si="63"/>
        <v>0</v>
      </c>
      <c r="L366" s="3337">
        <f t="shared" ca="1" si="63"/>
        <v>0</v>
      </c>
      <c r="M366" s="3337">
        <f t="shared" ca="1" si="63"/>
        <v>0</v>
      </c>
      <c r="N366" s="3337">
        <f t="shared" ca="1" si="63"/>
        <v>0</v>
      </c>
    </row>
    <row r="367" spans="3:14">
      <c r="C367" s="512"/>
      <c r="D367" s="3018" t="s">
        <v>2386</v>
      </c>
      <c r="E367" s="512"/>
      <c r="F367" s="3337">
        <f t="shared" ca="1" si="63"/>
        <v>1</v>
      </c>
      <c r="G367" s="3338">
        <f t="shared" ca="1" si="63"/>
        <v>1</v>
      </c>
      <c r="H367" s="3337">
        <f t="shared" ca="1" si="63"/>
        <v>1</v>
      </c>
      <c r="I367" s="3337">
        <f t="shared" ca="1" si="63"/>
        <v>1</v>
      </c>
      <c r="J367" s="3337">
        <f t="shared" ca="1" si="63"/>
        <v>1</v>
      </c>
      <c r="K367" s="3337">
        <f t="shared" ca="1" si="63"/>
        <v>1</v>
      </c>
      <c r="L367" s="3337">
        <f t="shared" ca="1" si="63"/>
        <v>1</v>
      </c>
      <c r="M367" s="3337">
        <f t="shared" ca="1" si="63"/>
        <v>0.89358708938315068</v>
      </c>
      <c r="N367" s="3337">
        <f t="shared" ca="1" si="63"/>
        <v>0.75448640167224501</v>
      </c>
    </row>
    <row r="368" spans="3:14">
      <c r="C368" s="512"/>
      <c r="D368" s="3018" t="s">
        <v>2387</v>
      </c>
      <c r="E368" s="512"/>
      <c r="F368" s="3337">
        <f t="shared" ca="1" si="63"/>
        <v>1</v>
      </c>
      <c r="G368" s="3339">
        <f t="shared" ca="1" si="63"/>
        <v>1</v>
      </c>
      <c r="H368" s="3337">
        <f t="shared" ca="1" si="63"/>
        <v>1</v>
      </c>
      <c r="I368" s="3337">
        <f t="shared" ca="1" si="63"/>
        <v>0.68892076658027457</v>
      </c>
      <c r="J368" s="3337">
        <f t="shared" ca="1" si="63"/>
        <v>0.99414862693936135</v>
      </c>
      <c r="K368" s="3337">
        <f t="shared" ca="1" si="63"/>
        <v>0.48263339437902242</v>
      </c>
      <c r="L368" s="3337">
        <f t="shared" ca="1" si="63"/>
        <v>0.117916493367018</v>
      </c>
      <c r="M368" s="3337">
        <f t="shared" ca="1" si="63"/>
        <v>0</v>
      </c>
      <c r="N368" s="3337">
        <f t="shared" ca="1" si="63"/>
        <v>0</v>
      </c>
    </row>
    <row r="369" spans="2:14">
      <c r="C369" s="512"/>
      <c r="D369" s="3018" t="s">
        <v>2388</v>
      </c>
      <c r="E369" s="512"/>
      <c r="F369" s="3337">
        <f t="shared" ca="1" si="63"/>
        <v>0</v>
      </c>
      <c r="G369" s="3339">
        <f t="shared" ca="1" si="63"/>
        <v>0</v>
      </c>
      <c r="H369" s="3337">
        <f t="shared" ca="1" si="63"/>
        <v>0</v>
      </c>
      <c r="I369" s="3337">
        <f t="shared" ca="1" si="63"/>
        <v>0</v>
      </c>
      <c r="J369" s="3337">
        <f t="shared" ca="1" si="63"/>
        <v>0</v>
      </c>
      <c r="K369" s="3337">
        <f t="shared" ca="1" si="63"/>
        <v>0</v>
      </c>
      <c r="L369" s="3337">
        <f t="shared" ca="1" si="63"/>
        <v>0</v>
      </c>
      <c r="M369" s="3337">
        <f t="shared" ca="1" si="63"/>
        <v>0</v>
      </c>
      <c r="N369" s="3337">
        <f t="shared" ca="1" si="63"/>
        <v>0</v>
      </c>
    </row>
    <row r="370" spans="2:14">
      <c r="C370" s="3019"/>
      <c r="D370" s="3020" t="s">
        <v>2389</v>
      </c>
      <c r="E370" s="3019"/>
      <c r="F370" s="3337">
        <f t="shared" ca="1" si="63"/>
        <v>1</v>
      </c>
      <c r="G370" s="3339">
        <f t="shared" ca="1" si="63"/>
        <v>1</v>
      </c>
      <c r="H370" s="3337">
        <f t="shared" ca="1" si="63"/>
        <v>1</v>
      </c>
      <c r="I370" s="3337">
        <f t="shared" ca="1" si="63"/>
        <v>0</v>
      </c>
      <c r="J370" s="3337">
        <f t="shared" ca="1" si="63"/>
        <v>0</v>
      </c>
      <c r="K370" s="3337">
        <f t="shared" ca="1" si="63"/>
        <v>0</v>
      </c>
      <c r="L370" s="3337">
        <f t="shared" ca="1" si="63"/>
        <v>0</v>
      </c>
      <c r="M370" s="3337">
        <f t="shared" ca="1" si="63"/>
        <v>0</v>
      </c>
      <c r="N370" s="3337">
        <f t="shared" ca="1" si="63"/>
        <v>0</v>
      </c>
    </row>
    <row r="371" spans="2:14">
      <c r="C371" s="1696"/>
      <c r="D371" s="1696" t="s">
        <v>2420</v>
      </c>
      <c r="E371" s="1696"/>
      <c r="F371" s="3340">
        <f t="shared" ca="1" si="63"/>
        <v>1</v>
      </c>
      <c r="G371" s="3341">
        <f t="shared" ca="1" si="63"/>
        <v>1</v>
      </c>
      <c r="H371" s="3340">
        <f t="shared" ca="1" si="63"/>
        <v>1</v>
      </c>
      <c r="I371" s="3340">
        <f t="shared" ca="1" si="63"/>
        <v>0.90895509952091713</v>
      </c>
      <c r="J371" s="3340">
        <f t="shared" ca="1" si="63"/>
        <v>0.97720023080056873</v>
      </c>
      <c r="K371" s="3340">
        <f t="shared" ca="1" si="63"/>
        <v>0.81437041908934527</v>
      </c>
      <c r="L371" s="3340">
        <f t="shared" ca="1" si="63"/>
        <v>0.71259396567573174</v>
      </c>
      <c r="M371" s="3340">
        <f t="shared" ca="1" si="63"/>
        <v>0.61930259679060506</v>
      </c>
      <c r="N371" s="3340">
        <f t="shared" ca="1" si="63"/>
        <v>0.53463254557104156</v>
      </c>
    </row>
    <row r="373" spans="2:14">
      <c r="C373" s="2858" t="s">
        <v>2422</v>
      </c>
      <c r="N373" s="373" t="s">
        <v>2421</v>
      </c>
    </row>
    <row r="375" spans="2:14">
      <c r="C375" s="3016"/>
      <c r="D375" s="3016" t="s">
        <v>29</v>
      </c>
      <c r="E375" s="3016" t="s">
        <v>30</v>
      </c>
      <c r="F375" s="3017">
        <v>2013</v>
      </c>
      <c r="G375" s="3017">
        <v>2015</v>
      </c>
      <c r="H375" s="3017">
        <v>2020</v>
      </c>
      <c r="I375" s="3017">
        <v>2025</v>
      </c>
      <c r="J375" s="3017">
        <v>2030</v>
      </c>
      <c r="K375" s="3017">
        <v>2035</v>
      </c>
      <c r="L375" s="3017">
        <v>2040</v>
      </c>
      <c r="M375" s="3017">
        <v>2045</v>
      </c>
      <c r="N375" s="3017">
        <v>2050</v>
      </c>
    </row>
    <row r="376" spans="2:14">
      <c r="C376" s="2542"/>
      <c r="D376" s="512" t="s">
        <v>2385</v>
      </c>
      <c r="E376" s="512"/>
      <c r="F376" s="3337">
        <f ca="1">MAX(F366,F356)</f>
        <v>0</v>
      </c>
      <c r="G376" s="3338">
        <f t="shared" ref="G376:N377" ca="1" si="64">MAX(G366,G356)</f>
        <v>1</v>
      </c>
      <c r="H376" s="3337">
        <f t="shared" ca="1" si="64"/>
        <v>0</v>
      </c>
      <c r="I376" s="3337">
        <f t="shared" ca="1" si="64"/>
        <v>1</v>
      </c>
      <c r="J376" s="3337">
        <f t="shared" ca="1" si="64"/>
        <v>0</v>
      </c>
      <c r="K376" s="3337">
        <f t="shared" ca="1" si="64"/>
        <v>0</v>
      </c>
      <c r="L376" s="3337">
        <f t="shared" ca="1" si="64"/>
        <v>0</v>
      </c>
      <c r="M376" s="3337">
        <f t="shared" ca="1" si="64"/>
        <v>0</v>
      </c>
      <c r="N376" s="3337">
        <f t="shared" ca="1" si="64"/>
        <v>0</v>
      </c>
    </row>
    <row r="377" spans="2:14">
      <c r="C377" s="512"/>
      <c r="D377" s="3018" t="s">
        <v>2386</v>
      </c>
      <c r="E377" s="512"/>
      <c r="F377" s="3337">
        <f ca="1">MAX(F367,F357)</f>
        <v>1</v>
      </c>
      <c r="G377" s="3338">
        <f t="shared" ca="1" si="64"/>
        <v>1</v>
      </c>
      <c r="H377" s="3337">
        <f t="shared" ca="1" si="64"/>
        <v>1</v>
      </c>
      <c r="I377" s="3337">
        <f t="shared" ca="1" si="64"/>
        <v>1</v>
      </c>
      <c r="J377" s="3337">
        <f t="shared" ca="1" si="64"/>
        <v>1</v>
      </c>
      <c r="K377" s="3337">
        <f t="shared" ca="1" si="64"/>
        <v>1</v>
      </c>
      <c r="L377" s="3337">
        <f t="shared" ca="1" si="64"/>
        <v>1</v>
      </c>
      <c r="M377" s="3337">
        <f t="shared" ca="1" si="64"/>
        <v>0.89358708938315068</v>
      </c>
      <c r="N377" s="3337">
        <f t="shared" ca="1" si="64"/>
        <v>0.75448640167224501</v>
      </c>
    </row>
    <row r="378" spans="2:14">
      <c r="C378" s="512"/>
      <c r="D378" s="3018" t="s">
        <v>2387</v>
      </c>
      <c r="E378" s="512"/>
      <c r="F378" s="3337">
        <f t="shared" ref="F378:N381" ca="1" si="65">MAX(F368,F358)</f>
        <v>1</v>
      </c>
      <c r="G378" s="3339">
        <f t="shared" ca="1" si="65"/>
        <v>1</v>
      </c>
      <c r="H378" s="3337">
        <f t="shared" ca="1" si="65"/>
        <v>1</v>
      </c>
      <c r="I378" s="3337">
        <f t="shared" ca="1" si="65"/>
        <v>0.68892076658027457</v>
      </c>
      <c r="J378" s="3337">
        <f t="shared" ca="1" si="65"/>
        <v>0.99414862693936135</v>
      </c>
      <c r="K378" s="3337">
        <f t="shared" ca="1" si="65"/>
        <v>0.48263339437902242</v>
      </c>
      <c r="L378" s="3337">
        <f t="shared" ca="1" si="65"/>
        <v>0.117916493367018</v>
      </c>
      <c r="M378" s="3337">
        <f t="shared" ca="1" si="65"/>
        <v>0</v>
      </c>
      <c r="N378" s="3337">
        <f t="shared" ca="1" si="65"/>
        <v>0</v>
      </c>
    </row>
    <row r="379" spans="2:14">
      <c r="C379" s="512"/>
      <c r="D379" s="3018" t="s">
        <v>2388</v>
      </c>
      <c r="E379" s="512"/>
      <c r="F379" s="3337">
        <f t="shared" ca="1" si="65"/>
        <v>0</v>
      </c>
      <c r="G379" s="3339">
        <f t="shared" ca="1" si="65"/>
        <v>0</v>
      </c>
      <c r="H379" s="3337">
        <f t="shared" ca="1" si="65"/>
        <v>0</v>
      </c>
      <c r="I379" s="3337">
        <f t="shared" ca="1" si="65"/>
        <v>0</v>
      </c>
      <c r="J379" s="3337">
        <f t="shared" ca="1" si="65"/>
        <v>0</v>
      </c>
      <c r="K379" s="3337">
        <f t="shared" ca="1" si="65"/>
        <v>0</v>
      </c>
      <c r="L379" s="3337">
        <f t="shared" ca="1" si="65"/>
        <v>0</v>
      </c>
      <c r="M379" s="3337">
        <f t="shared" ca="1" si="65"/>
        <v>0</v>
      </c>
      <c r="N379" s="3337">
        <f t="shared" ca="1" si="65"/>
        <v>0</v>
      </c>
    </row>
    <row r="380" spans="2:14">
      <c r="C380" s="3019"/>
      <c r="D380" s="3020" t="s">
        <v>2389</v>
      </c>
      <c r="E380" s="3019"/>
      <c r="F380" s="3337">
        <f t="shared" ca="1" si="65"/>
        <v>1</v>
      </c>
      <c r="G380" s="3339">
        <f t="shared" ca="1" si="65"/>
        <v>1</v>
      </c>
      <c r="H380" s="3337">
        <f t="shared" ca="1" si="65"/>
        <v>1</v>
      </c>
      <c r="I380" s="3337">
        <f t="shared" ca="1" si="65"/>
        <v>0</v>
      </c>
      <c r="J380" s="3337">
        <f t="shared" ca="1" si="65"/>
        <v>0</v>
      </c>
      <c r="K380" s="3337">
        <f t="shared" ca="1" si="65"/>
        <v>0</v>
      </c>
      <c r="L380" s="3337">
        <f t="shared" ca="1" si="65"/>
        <v>0</v>
      </c>
      <c r="M380" s="3337">
        <f t="shared" ca="1" si="65"/>
        <v>0</v>
      </c>
      <c r="N380" s="3337">
        <f t="shared" ca="1" si="65"/>
        <v>0</v>
      </c>
    </row>
    <row r="381" spans="2:14">
      <c r="C381" s="1696"/>
      <c r="D381" s="1696" t="s">
        <v>2423</v>
      </c>
      <c r="E381" s="1696"/>
      <c r="F381" s="3340">
        <f t="shared" ca="1" si="65"/>
        <v>1</v>
      </c>
      <c r="G381" s="3341">
        <f t="shared" ca="1" si="65"/>
        <v>1</v>
      </c>
      <c r="H381" s="3340">
        <f t="shared" ca="1" si="65"/>
        <v>1</v>
      </c>
      <c r="I381" s="3340">
        <f t="shared" ca="1" si="65"/>
        <v>0.90895509952091713</v>
      </c>
      <c r="J381" s="3340">
        <f t="shared" ca="1" si="65"/>
        <v>0.97720023080056873</v>
      </c>
      <c r="K381" s="3340">
        <f t="shared" ca="1" si="65"/>
        <v>0.81437041908934527</v>
      </c>
      <c r="L381" s="3340">
        <f t="shared" ca="1" si="65"/>
        <v>0.71259396567573174</v>
      </c>
      <c r="M381" s="3340">
        <f t="shared" ca="1" si="65"/>
        <v>0.61930259679060506</v>
      </c>
      <c r="N381" s="3340">
        <f t="shared" ca="1" si="65"/>
        <v>0.53463254557104156</v>
      </c>
    </row>
    <row r="382" spans="2:14">
      <c r="C382" s="979"/>
      <c r="F382" s="357"/>
      <c r="G382" s="357"/>
      <c r="H382" s="357"/>
      <c r="I382" s="357"/>
      <c r="J382" s="357"/>
      <c r="K382" s="357"/>
      <c r="L382" s="357"/>
      <c r="M382" s="357"/>
      <c r="N382" s="357"/>
    </row>
    <row r="383" spans="2:14">
      <c r="B383" s="354">
        <v>6</v>
      </c>
      <c r="C383" s="354" t="s">
        <v>2424</v>
      </c>
    </row>
    <row r="385" spans="2:14" ht="15.5">
      <c r="B385" s="2308"/>
      <c r="C385" s="2542"/>
      <c r="D385" s="2542" t="s">
        <v>2425</v>
      </c>
      <c r="E385" s="2542"/>
      <c r="F385" s="3025">
        <v>2013</v>
      </c>
      <c r="G385" s="3025">
        <v>2015</v>
      </c>
      <c r="H385" s="3025">
        <v>2020</v>
      </c>
      <c r="I385" s="3025">
        <v>2025</v>
      </c>
      <c r="J385" s="3025">
        <v>2030</v>
      </c>
      <c r="K385" s="3025">
        <v>2035</v>
      </c>
      <c r="L385" s="3025">
        <v>2040</v>
      </c>
      <c r="M385" s="3025">
        <v>2045</v>
      </c>
      <c r="N385" s="3025">
        <v>2050</v>
      </c>
    </row>
    <row r="386" spans="2:14" ht="15.5">
      <c r="B386" s="2308"/>
      <c r="C386" s="2851"/>
      <c r="D386" s="2851" t="s">
        <v>2426</v>
      </c>
      <c r="E386" s="1322" t="str">
        <f>Preferences.EnergyUnits&amp;"e"</f>
        <v>TWhe</v>
      </c>
      <c r="F386" s="2487">
        <f t="shared" ref="F386:N386" ca="1" si="66">F329</f>
        <v>-3.3941984725747547E-2</v>
      </c>
      <c r="G386" s="2487">
        <f t="shared" ca="1" si="66"/>
        <v>-5.8921969332639261E-2</v>
      </c>
      <c r="H386" s="2486">
        <f t="shared" ca="1" si="66"/>
        <v>-0.14307204321622438</v>
      </c>
      <c r="I386" s="2486">
        <f t="shared" ca="1" si="66"/>
        <v>0</v>
      </c>
      <c r="J386" s="2486">
        <f t="shared" ca="1" si="66"/>
        <v>0</v>
      </c>
      <c r="K386" s="2486">
        <f t="shared" ca="1" si="66"/>
        <v>0</v>
      </c>
      <c r="L386" s="2486">
        <f t="shared" ca="1" si="66"/>
        <v>0</v>
      </c>
      <c r="M386" s="2486">
        <f t="shared" ca="1" si="66"/>
        <v>0</v>
      </c>
      <c r="N386" s="2486">
        <f t="shared" ca="1" si="66"/>
        <v>0</v>
      </c>
    </row>
    <row r="387" spans="2:14" ht="15.5">
      <c r="B387" s="2308"/>
      <c r="C387" s="373" t="s">
        <v>1887</v>
      </c>
      <c r="D387" s="2851" t="s">
        <v>2427</v>
      </c>
      <c r="E387" s="1322" t="str">
        <f>Preferences.PowerUnits&amp;"e"</f>
        <v>GWe</v>
      </c>
      <c r="F387" s="2384">
        <f t="shared" ref="F387:N387" ca="1" si="67">F386/(Conversion.to.energy.per.second*$F$131*Unit.day)</f>
        <v>-0.28284987271456291</v>
      </c>
      <c r="G387" s="2384">
        <f t="shared" ca="1" si="67"/>
        <v>-0.49101641110532723</v>
      </c>
      <c r="H387" s="2384">
        <f t="shared" ca="1" si="67"/>
        <v>-1.19226702680187</v>
      </c>
      <c r="I387" s="2384">
        <f t="shared" ca="1" si="67"/>
        <v>0</v>
      </c>
      <c r="J387" s="2384">
        <f t="shared" ca="1" si="67"/>
        <v>0</v>
      </c>
      <c r="K387" s="2384">
        <f t="shared" ca="1" si="67"/>
        <v>0</v>
      </c>
      <c r="L387" s="2384">
        <f t="shared" ca="1" si="67"/>
        <v>0</v>
      </c>
      <c r="M387" s="2384">
        <f t="shared" ca="1" si="67"/>
        <v>0</v>
      </c>
      <c r="N387" s="2384">
        <f t="shared" ca="1" si="67"/>
        <v>0</v>
      </c>
    </row>
    <row r="388" spans="2:14" ht="15.5">
      <c r="B388" s="2308"/>
      <c r="C388" s="1691" t="s">
        <v>669</v>
      </c>
      <c r="D388" s="2851" t="s">
        <v>2406</v>
      </c>
      <c r="E388" s="1322" t="str">
        <f>Preferences.PowerUnits&amp;"e"</f>
        <v>GWe</v>
      </c>
      <c r="F388" s="3026">
        <f t="shared" ref="F388:N388" ca="1" si="68">F316</f>
        <v>0</v>
      </c>
      <c r="G388" s="3026">
        <f t="shared" ca="1" si="68"/>
        <v>-2.4766411105327013E-2</v>
      </c>
      <c r="H388" s="3026">
        <f t="shared" ca="1" si="68"/>
        <v>-0.72601702680186997</v>
      </c>
      <c r="I388" s="3026">
        <f t="shared" ca="1" si="68"/>
        <v>0</v>
      </c>
      <c r="J388" s="3026">
        <f t="shared" ca="1" si="68"/>
        <v>0</v>
      </c>
      <c r="K388" s="3026">
        <f t="shared" ca="1" si="68"/>
        <v>0</v>
      </c>
      <c r="L388" s="3026">
        <f t="shared" ca="1" si="68"/>
        <v>0</v>
      </c>
      <c r="M388" s="3026">
        <f t="shared" ca="1" si="68"/>
        <v>0</v>
      </c>
      <c r="N388" s="3026">
        <f t="shared" ca="1" si="68"/>
        <v>0</v>
      </c>
    </row>
    <row r="389" spans="2:14" ht="15.5">
      <c r="B389" s="2308"/>
      <c r="C389" s="354"/>
      <c r="D389" s="3027" t="s">
        <v>2428</v>
      </c>
      <c r="E389" s="3028" t="str">
        <f>Preferences.PowerUnits&amp;"e"</f>
        <v>GWe</v>
      </c>
      <c r="F389" s="3029">
        <f ca="1">MIN(F387:F388)</f>
        <v>-0.28284987271456291</v>
      </c>
      <c r="G389" s="3029">
        <f t="shared" ref="G389:N389" ca="1" si="69">MIN(G387:G388)</f>
        <v>-0.49101641110532723</v>
      </c>
      <c r="H389" s="3029">
        <f t="shared" ca="1" si="69"/>
        <v>-1.19226702680187</v>
      </c>
      <c r="I389" s="3029">
        <f t="shared" ca="1" si="69"/>
        <v>0</v>
      </c>
      <c r="J389" s="3029">
        <f t="shared" ca="1" si="69"/>
        <v>0</v>
      </c>
      <c r="K389" s="3029">
        <f t="shared" ca="1" si="69"/>
        <v>0</v>
      </c>
      <c r="L389" s="3029">
        <f t="shared" ca="1" si="69"/>
        <v>0</v>
      </c>
      <c r="M389" s="3029">
        <f t="shared" ca="1" si="69"/>
        <v>0</v>
      </c>
      <c r="N389" s="3029">
        <f t="shared" ca="1" si="69"/>
        <v>0</v>
      </c>
    </row>
    <row r="390" spans="2:14" ht="15.5">
      <c r="B390" s="2308"/>
      <c r="C390" s="354"/>
      <c r="D390" s="1219" t="s">
        <v>608</v>
      </c>
      <c r="E390" s="2851" t="str">
        <f>Preferences.PowerUnits&amp;"capacity"</f>
        <v>GWcapacity</v>
      </c>
      <c r="F390" s="714">
        <f ca="1">-F389/$F$153</f>
        <v>0.28284987271456291</v>
      </c>
      <c r="G390" s="714">
        <f t="shared" ref="G390:N390" ca="1" si="70">-G389/$F$153</f>
        <v>0.49101641110532723</v>
      </c>
      <c r="H390" s="714">
        <f t="shared" ca="1" si="70"/>
        <v>1.19226702680187</v>
      </c>
      <c r="I390" s="714">
        <f t="shared" ca="1" si="70"/>
        <v>0</v>
      </c>
      <c r="J390" s="714">
        <f t="shared" ca="1" si="70"/>
        <v>0</v>
      </c>
      <c r="K390" s="714">
        <f t="shared" ca="1" si="70"/>
        <v>0</v>
      </c>
      <c r="L390" s="714">
        <f t="shared" ca="1" si="70"/>
        <v>0</v>
      </c>
      <c r="M390" s="714">
        <f t="shared" ca="1" si="70"/>
        <v>0</v>
      </c>
      <c r="N390" s="714">
        <f t="shared" ca="1" si="70"/>
        <v>0</v>
      </c>
    </row>
    <row r="391" spans="2:14">
      <c r="C391" s="354"/>
      <c r="D391" s="1219"/>
      <c r="E391" s="2851"/>
      <c r="F391" s="714"/>
      <c r="G391" s="714"/>
      <c r="H391" s="714"/>
      <c r="I391" s="714"/>
      <c r="J391" s="714"/>
      <c r="K391" s="714"/>
      <c r="L391" s="714"/>
      <c r="M391" s="714"/>
      <c r="N391" s="714"/>
    </row>
    <row r="392" spans="2:14">
      <c r="B392" s="354">
        <v>7</v>
      </c>
      <c r="C392" s="354" t="s">
        <v>2429</v>
      </c>
      <c r="D392" s="1219"/>
      <c r="E392" s="1322"/>
      <c r="F392" s="714"/>
      <c r="G392" s="714"/>
      <c r="H392" s="714"/>
      <c r="I392" s="714"/>
      <c r="J392" s="714"/>
      <c r="K392" s="714"/>
      <c r="L392" s="714"/>
      <c r="M392" s="714"/>
      <c r="N392" s="714"/>
    </row>
    <row r="393" spans="2:14">
      <c r="B393" s="354"/>
      <c r="C393" s="354"/>
      <c r="D393" s="1219"/>
      <c r="E393" s="1322"/>
      <c r="F393" s="714"/>
      <c r="G393" s="714"/>
      <c r="H393" s="714"/>
      <c r="I393" s="714"/>
      <c r="J393" s="714"/>
      <c r="K393" s="714"/>
      <c r="L393" s="714"/>
      <c r="M393" s="714"/>
      <c r="N393" s="714"/>
    </row>
    <row r="394" spans="2:14">
      <c r="B394" s="354"/>
      <c r="C394" s="354"/>
      <c r="D394" s="1219" t="s">
        <v>2430</v>
      </c>
      <c r="E394" s="714">
        <f ca="1">INDIRECT("EF."&amp;$F$155&amp;".CO2")+INDIRECT("EF."&amp;$F$155&amp;".CH4")+INDIRECT("EF."&amp;$F$155&amp;".N2O")</f>
        <v>0.2080332</v>
      </c>
      <c r="F394" s="1322" t="str">
        <f>"MtCO2e/"&amp;Preferences.EnergyUnits&amp;"th"</f>
        <v>MtCO2e/TWhth</v>
      </c>
      <c r="H394" s="714"/>
      <c r="I394" s="714"/>
      <c r="J394" s="714"/>
      <c r="K394" s="714"/>
      <c r="L394" s="714"/>
      <c r="M394" s="714"/>
      <c r="N394" s="714"/>
    </row>
    <row r="395" spans="2:14">
      <c r="B395" s="354"/>
      <c r="C395" s="354"/>
      <c r="D395" s="1219"/>
      <c r="E395" s="1322"/>
      <c r="F395" s="714"/>
      <c r="G395" s="714"/>
      <c r="H395" s="714"/>
      <c r="I395" s="714"/>
      <c r="J395" s="714"/>
      <c r="K395" s="714"/>
      <c r="L395" s="714"/>
      <c r="M395" s="714"/>
      <c r="N395" s="714"/>
    </row>
    <row r="396" spans="2:14" ht="15.5">
      <c r="B396" s="2308"/>
      <c r="C396" s="354"/>
      <c r="D396" s="2542" t="s">
        <v>2425</v>
      </c>
      <c r="E396" s="2542"/>
      <c r="F396" s="3025">
        <v>2013</v>
      </c>
      <c r="G396" s="3025">
        <v>2015</v>
      </c>
      <c r="H396" s="3025">
        <v>2020</v>
      </c>
      <c r="I396" s="3025">
        <v>2025</v>
      </c>
      <c r="J396" s="3025">
        <v>2030</v>
      </c>
      <c r="K396" s="3025">
        <v>2035</v>
      </c>
      <c r="L396" s="3025">
        <v>2040</v>
      </c>
      <c r="M396" s="3025">
        <v>2045</v>
      </c>
      <c r="N396" s="3025">
        <v>2050</v>
      </c>
    </row>
    <row r="397" spans="2:14" ht="15.5">
      <c r="B397" s="2308"/>
      <c r="C397" s="354"/>
      <c r="D397" s="2851" t="s">
        <v>2426</v>
      </c>
      <c r="E397" s="1322" t="str">
        <f>Preferences.EnergyUnits&amp;"e"</f>
        <v>TWhe</v>
      </c>
      <c r="F397" s="714">
        <f ca="1">F329</f>
        <v>-3.3941984725747547E-2</v>
      </c>
      <c r="G397" s="714">
        <f t="shared" ref="G397:N397" ca="1" si="71">G329</f>
        <v>-5.8921969332639261E-2</v>
      </c>
      <c r="H397" s="714">
        <f t="shared" ca="1" si="71"/>
        <v>-0.14307204321622438</v>
      </c>
      <c r="I397" s="714">
        <f t="shared" ca="1" si="71"/>
        <v>0</v>
      </c>
      <c r="J397" s="714">
        <f t="shared" ca="1" si="71"/>
        <v>0</v>
      </c>
      <c r="K397" s="714">
        <f t="shared" ca="1" si="71"/>
        <v>0</v>
      </c>
      <c r="L397" s="714">
        <f t="shared" ca="1" si="71"/>
        <v>0</v>
      </c>
      <c r="M397" s="714">
        <f t="shared" ca="1" si="71"/>
        <v>0</v>
      </c>
      <c r="N397" s="714">
        <f t="shared" ca="1" si="71"/>
        <v>0</v>
      </c>
    </row>
    <row r="398" spans="2:14" ht="15.5">
      <c r="B398" s="2308"/>
      <c r="C398" s="354"/>
      <c r="D398" s="3027" t="s">
        <v>2431</v>
      </c>
      <c r="E398" s="3028" t="str">
        <f>Preferences.EnergyUnits&amp;"th"</f>
        <v>TWhth</v>
      </c>
      <c r="F398" s="3880">
        <f ca="1">F397/$F$154</f>
        <v>-8.4854961814368857E-2</v>
      </c>
      <c r="G398" s="3880">
        <f t="shared" ref="G398:N398" ca="1" si="72">G397/$F$154</f>
        <v>-0.14730492333159814</v>
      </c>
      <c r="H398" s="3029">
        <f t="shared" ca="1" si="72"/>
        <v>-0.35768010804056094</v>
      </c>
      <c r="I398" s="3029">
        <f t="shared" ca="1" si="72"/>
        <v>0</v>
      </c>
      <c r="J398" s="3029">
        <f t="shared" ca="1" si="72"/>
        <v>0</v>
      </c>
      <c r="K398" s="3029">
        <f t="shared" ca="1" si="72"/>
        <v>0</v>
      </c>
      <c r="L398" s="3029">
        <f t="shared" ca="1" si="72"/>
        <v>0</v>
      </c>
      <c r="M398" s="3029">
        <f t="shared" ca="1" si="72"/>
        <v>0</v>
      </c>
      <c r="N398" s="3029">
        <f t="shared" ca="1" si="72"/>
        <v>0</v>
      </c>
    </row>
    <row r="399" spans="2:14" ht="15.5">
      <c r="B399" s="2308"/>
      <c r="C399" s="354"/>
      <c r="D399" s="1219" t="s">
        <v>2432</v>
      </c>
      <c r="E399" s="1322" t="s">
        <v>611</v>
      </c>
      <c r="F399" s="714">
        <f t="shared" ref="F399:N399" ca="1" si="73">$E$394*-F398</f>
        <v>1.7652649242120958E-2</v>
      </c>
      <c r="G399" s="714">
        <f t="shared" ca="1" si="73"/>
        <v>3.0644314576427023E-2</v>
      </c>
      <c r="H399" s="714">
        <f t="shared" ca="1" si="73"/>
        <v>7.4409337452023619E-2</v>
      </c>
      <c r="I399" s="714">
        <f t="shared" ca="1" si="73"/>
        <v>0</v>
      </c>
      <c r="J399" s="714">
        <f t="shared" ca="1" si="73"/>
        <v>0</v>
      </c>
      <c r="K399" s="714">
        <f t="shared" ca="1" si="73"/>
        <v>0</v>
      </c>
      <c r="L399" s="714">
        <f t="shared" ca="1" si="73"/>
        <v>0</v>
      </c>
      <c r="M399" s="714">
        <f t="shared" ca="1" si="73"/>
        <v>0</v>
      </c>
      <c r="N399" s="714">
        <f t="shared" ca="1" si="73"/>
        <v>0</v>
      </c>
    </row>
    <row r="400" spans="2:14">
      <c r="C400" s="354"/>
      <c r="D400" s="1219"/>
      <c r="E400" s="1322"/>
      <c r="F400" s="714"/>
      <c r="G400" s="714"/>
      <c r="H400" s="714"/>
      <c r="I400" s="714"/>
      <c r="J400" s="714"/>
      <c r="K400" s="714"/>
      <c r="L400" s="714"/>
      <c r="M400" s="714"/>
      <c r="N400" s="714"/>
    </row>
    <row r="401" spans="2:14" ht="15.5">
      <c r="B401" s="2308"/>
      <c r="C401" s="354"/>
      <c r="D401" s="3030" t="s">
        <v>610</v>
      </c>
      <c r="E401" s="3031" t="s">
        <v>611</v>
      </c>
      <c r="F401" s="3023">
        <f t="shared" ref="F401:N401" ca="1" si="74">F399*$F$132</f>
        <v>1.7652649242120958E-2</v>
      </c>
      <c r="G401" s="3023">
        <f t="shared" ca="1" si="74"/>
        <v>3.0644314576427023E-2</v>
      </c>
      <c r="H401" s="3023">
        <f t="shared" ca="1" si="74"/>
        <v>7.4409337452023619E-2</v>
      </c>
      <c r="I401" s="3023">
        <f t="shared" ca="1" si="74"/>
        <v>0</v>
      </c>
      <c r="J401" s="3023">
        <f t="shared" ca="1" si="74"/>
        <v>0</v>
      </c>
      <c r="K401" s="3023">
        <f t="shared" ca="1" si="74"/>
        <v>0</v>
      </c>
      <c r="L401" s="3023">
        <f t="shared" ca="1" si="74"/>
        <v>0</v>
      </c>
      <c r="M401" s="3023">
        <f t="shared" ca="1" si="74"/>
        <v>0</v>
      </c>
      <c r="N401" s="3023">
        <f t="shared" ca="1" si="74"/>
        <v>0</v>
      </c>
    </row>
    <row r="402" spans="2:14" ht="15.5">
      <c r="B402" s="2308"/>
      <c r="C402" s="354"/>
      <c r="D402" s="1219"/>
      <c r="E402" s="2851"/>
      <c r="F402" s="3026"/>
      <c r="G402" s="3026"/>
      <c r="H402" s="3026"/>
      <c r="I402" s="3026"/>
      <c r="J402" s="3026"/>
      <c r="K402" s="3026"/>
      <c r="L402" s="3026"/>
      <c r="M402" s="3026"/>
      <c r="N402" s="3026"/>
    </row>
    <row r="403" spans="2:14" ht="15.5">
      <c r="B403" s="353" t="s">
        <v>2433</v>
      </c>
      <c r="C403" s="354"/>
      <c r="D403" s="1219"/>
      <c r="E403" s="2851"/>
      <c r="F403" s="3026"/>
      <c r="G403" s="3026"/>
      <c r="H403" s="3026"/>
      <c r="I403" s="3026"/>
      <c r="J403" s="3026"/>
      <c r="K403" s="3026"/>
      <c r="L403" s="3026"/>
      <c r="M403" s="3026"/>
      <c r="N403" s="3026"/>
    </row>
    <row r="404" spans="2:14" ht="15.5">
      <c r="B404" s="353"/>
      <c r="C404" s="354" t="s">
        <v>2318</v>
      </c>
      <c r="D404" s="1219"/>
      <c r="E404" s="2851"/>
      <c r="F404" s="3026"/>
      <c r="G404" s="3026"/>
      <c r="H404" s="3026"/>
      <c r="I404" s="3026"/>
      <c r="J404" s="3026"/>
      <c r="K404" s="3026"/>
      <c r="L404" s="3026"/>
      <c r="M404" s="3026"/>
      <c r="N404" s="3026"/>
    </row>
    <row r="405" spans="2:14" ht="15.5">
      <c r="B405" s="353"/>
      <c r="C405" s="1219" t="s">
        <v>2351</v>
      </c>
      <c r="D405" s="1219"/>
      <c r="E405" s="2851" t="str">
        <f>Preferences.PowerUnits</f>
        <v>GW</v>
      </c>
      <c r="F405" s="3026">
        <f t="shared" ref="F405:N405" si="75">F80</f>
        <v>0.29199999999999998</v>
      </c>
      <c r="G405" s="3026">
        <f t="shared" si="75"/>
        <v>0.29199999999999998</v>
      </c>
      <c r="H405" s="3026">
        <f t="shared" si="75"/>
        <v>0.29199999999999998</v>
      </c>
      <c r="I405" s="3026">
        <f t="shared" si="75"/>
        <v>0.29199999999999998</v>
      </c>
      <c r="J405" s="3026">
        <f t="shared" si="75"/>
        <v>1.792</v>
      </c>
      <c r="K405" s="3026">
        <f t="shared" si="75"/>
        <v>1.792</v>
      </c>
      <c r="L405" s="3026">
        <f t="shared" si="75"/>
        <v>1.792</v>
      </c>
      <c r="M405" s="3026">
        <f t="shared" si="75"/>
        <v>1.792</v>
      </c>
      <c r="N405" s="3026">
        <f t="shared" si="75"/>
        <v>1.792</v>
      </c>
    </row>
    <row r="406" spans="2:14" ht="15.5">
      <c r="B406" s="353"/>
      <c r="C406" s="1219" t="s">
        <v>2373</v>
      </c>
      <c r="D406" s="1219"/>
      <c r="E406" s="2851" t="str">
        <f>Preferences.PowerUnits</f>
        <v>GW</v>
      </c>
      <c r="F406" s="3026">
        <f t="shared" ref="F406:N406" si="76">F98</f>
        <v>0.75</v>
      </c>
      <c r="G406" s="3026">
        <f t="shared" si="76"/>
        <v>0.75</v>
      </c>
      <c r="H406" s="3026">
        <f t="shared" si="76"/>
        <v>0.75</v>
      </c>
      <c r="I406" s="3026">
        <f t="shared" si="76"/>
        <v>1.4</v>
      </c>
      <c r="J406" s="3026">
        <f t="shared" si="76"/>
        <v>1.4</v>
      </c>
      <c r="K406" s="3026">
        <f t="shared" si="76"/>
        <v>1.4</v>
      </c>
      <c r="L406" s="3026">
        <f t="shared" si="76"/>
        <v>1.4</v>
      </c>
      <c r="M406" s="3026">
        <f t="shared" si="76"/>
        <v>1.4</v>
      </c>
      <c r="N406" s="3026">
        <f t="shared" si="76"/>
        <v>1.4</v>
      </c>
    </row>
    <row r="407" spans="2:14" ht="15.5">
      <c r="B407" s="353"/>
      <c r="C407" s="1219" t="s">
        <v>2434</v>
      </c>
      <c r="D407" s="1219"/>
      <c r="E407" s="2851" t="str">
        <f>Preferences.PowerUnits</f>
        <v>GW</v>
      </c>
      <c r="F407" s="3026">
        <f ca="1">F390</f>
        <v>0.28284987271456291</v>
      </c>
      <c r="G407" s="3026">
        <f t="shared" ref="G407:N407" ca="1" si="77">G390</f>
        <v>0.49101641110532723</v>
      </c>
      <c r="H407" s="3026">
        <f t="shared" ca="1" si="77"/>
        <v>1.19226702680187</v>
      </c>
      <c r="I407" s="3026">
        <f t="shared" ca="1" si="77"/>
        <v>0</v>
      </c>
      <c r="J407" s="3026">
        <f t="shared" ca="1" si="77"/>
        <v>0</v>
      </c>
      <c r="K407" s="3026">
        <f t="shared" ca="1" si="77"/>
        <v>0</v>
      </c>
      <c r="L407" s="3026">
        <f t="shared" ca="1" si="77"/>
        <v>0</v>
      </c>
      <c r="M407" s="3026">
        <f t="shared" ca="1" si="77"/>
        <v>0</v>
      </c>
      <c r="N407" s="3026">
        <f t="shared" ca="1" si="77"/>
        <v>0</v>
      </c>
    </row>
    <row r="408" spans="2:14" ht="15.5">
      <c r="B408" s="2308"/>
      <c r="C408" s="354"/>
      <c r="D408" s="1219"/>
      <c r="E408" s="2851"/>
      <c r="F408" s="3026"/>
      <c r="G408" s="3026"/>
      <c r="H408" s="3026"/>
      <c r="I408" s="3026"/>
      <c r="J408" s="3026"/>
      <c r="K408" s="3026"/>
      <c r="L408" s="3026"/>
      <c r="M408" s="3026"/>
      <c r="N408" s="3026"/>
    </row>
    <row r="409" spans="2:14" ht="15.5">
      <c r="B409" s="353"/>
      <c r="C409" s="354" t="s">
        <v>2435</v>
      </c>
      <c r="D409" s="1219"/>
      <c r="E409" s="2851"/>
      <c r="F409" s="3026"/>
      <c r="G409" s="3026"/>
      <c r="H409" s="3026"/>
      <c r="I409" s="3026"/>
      <c r="J409" s="3026"/>
      <c r="K409" s="3026"/>
      <c r="L409" s="3026"/>
      <c r="M409" s="3026"/>
      <c r="N409" s="3026"/>
    </row>
    <row r="410" spans="2:14" ht="15.5">
      <c r="B410" s="353"/>
      <c r="C410" s="1219" t="s">
        <v>2351</v>
      </c>
      <c r="D410" s="1219"/>
      <c r="E410" s="2851" t="str">
        <f>Preferences.PowerUnits</f>
        <v>GW</v>
      </c>
      <c r="F410" s="3026"/>
      <c r="G410" s="3026">
        <f>(INDEX($F$76:$O$79,MATCH($E$8,$C$76:$C$79,0),MATCH(G$396,$F$75:$O$75,0))-INDEX($F$76:$O$79,MATCH($E$8,$C$76:$C$79,0),MATCH(F$396,$F$75:$O$75,0)))/(G$396-F$396)</f>
        <v>0</v>
      </c>
      <c r="H410" s="3026">
        <f t="shared" ref="H410:N410" si="78">(INDEX($F$76:$O$79,MATCH($E$8,$C$76:$C$79,0),MATCH(H$396,$F$75:$O$75,0))-INDEX($F$76:$O$79,MATCH($E$8,$C$76:$C$79,0),MATCH(G$396,$F$75:$O$75,0)))/(H$396-G$396)</f>
        <v>0</v>
      </c>
      <c r="I410" s="3026">
        <f t="shared" si="78"/>
        <v>0</v>
      </c>
      <c r="J410" s="3026">
        <f t="shared" si="78"/>
        <v>0.3</v>
      </c>
      <c r="K410" s="3026">
        <f t="shared" si="78"/>
        <v>0</v>
      </c>
      <c r="L410" s="3026">
        <f t="shared" si="78"/>
        <v>0</v>
      </c>
      <c r="M410" s="3026">
        <f t="shared" si="78"/>
        <v>0</v>
      </c>
      <c r="N410" s="3026">
        <f t="shared" si="78"/>
        <v>0</v>
      </c>
    </row>
    <row r="411" spans="2:14" ht="15.5">
      <c r="B411" s="353"/>
      <c r="C411" s="1219" t="s">
        <v>2373</v>
      </c>
      <c r="D411" s="1219"/>
      <c r="E411" s="2851" t="str">
        <f>Preferences.PowerUnits</f>
        <v>GW</v>
      </c>
      <c r="F411" s="3026"/>
      <c r="G411" s="3026">
        <f t="shared" ref="G411:N411" si="79">(INDEX($F$94:$O$97,MATCH($E$8,$C$94:$C$97,0),MATCH(G$396,$F$93:$O$93,0))-INDEX($F$94:$O$97,MATCH($E$8,$C$94:$C$97,0),MATCH(F$396,$F$93:$O$93,0)))/(G$396-F$396)</f>
        <v>0</v>
      </c>
      <c r="H411" s="3026">
        <f t="shared" si="79"/>
        <v>0</v>
      </c>
      <c r="I411" s="3026">
        <f t="shared" si="79"/>
        <v>0.12999999999999998</v>
      </c>
      <c r="J411" s="3026">
        <f t="shared" si="79"/>
        <v>0</v>
      </c>
      <c r="K411" s="3026">
        <f t="shared" si="79"/>
        <v>0</v>
      </c>
      <c r="L411" s="3026">
        <f t="shared" si="79"/>
        <v>0</v>
      </c>
      <c r="M411" s="3026">
        <f t="shared" si="79"/>
        <v>0</v>
      </c>
      <c r="N411" s="3026">
        <f t="shared" si="79"/>
        <v>0</v>
      </c>
    </row>
    <row r="412" spans="2:14" ht="15.5">
      <c r="B412" s="353"/>
      <c r="C412" s="1219" t="s">
        <v>2434</v>
      </c>
      <c r="D412" s="1219"/>
      <c r="E412" s="2851" t="str">
        <f>Preferences.PowerUnits</f>
        <v>GW</v>
      </c>
      <c r="F412" s="3026"/>
      <c r="G412" s="3026">
        <f t="shared" ref="G412:N412" ca="1" si="80">MAX((G447-F447)/(G396-F396),0)</f>
        <v>0.20816653839076432</v>
      </c>
      <c r="H412" s="3026">
        <f t="shared" ca="1" si="80"/>
        <v>0.28050024627861714</v>
      </c>
      <c r="I412" s="3026">
        <f t="shared" ca="1" si="80"/>
        <v>0</v>
      </c>
      <c r="J412" s="3026">
        <f t="shared" ca="1" si="80"/>
        <v>0</v>
      </c>
      <c r="K412" s="3026">
        <f t="shared" ca="1" si="80"/>
        <v>0</v>
      </c>
      <c r="L412" s="3026">
        <f t="shared" ca="1" si="80"/>
        <v>0</v>
      </c>
      <c r="M412" s="3026">
        <f t="shared" ca="1" si="80"/>
        <v>0</v>
      </c>
      <c r="N412" s="3026">
        <f t="shared" ca="1" si="80"/>
        <v>0</v>
      </c>
    </row>
    <row r="413" spans="2:14" ht="15.5">
      <c r="B413" s="2308"/>
      <c r="C413" s="354"/>
      <c r="D413" s="1219"/>
      <c r="E413" s="2851"/>
      <c r="F413" s="3026"/>
      <c r="G413" s="3026"/>
      <c r="H413" s="3026"/>
      <c r="I413" s="3026"/>
      <c r="J413" s="3026"/>
      <c r="K413" s="3026"/>
      <c r="L413" s="3026"/>
      <c r="M413" s="3026"/>
      <c r="N413" s="3026"/>
    </row>
    <row r="414" spans="2:14">
      <c r="C414" s="354" t="s">
        <v>2725</v>
      </c>
      <c r="F414" s="357"/>
    </row>
    <row r="415" spans="2:14" hidden="1">
      <c r="C415" s="2858" t="s">
        <v>2324</v>
      </c>
      <c r="E415" s="3578" t="s">
        <v>2748</v>
      </c>
      <c r="F415" s="984"/>
      <c r="G415" s="984"/>
      <c r="H415" s="984"/>
      <c r="I415" s="984"/>
      <c r="J415" s="984"/>
      <c r="K415" s="984"/>
      <c r="L415" s="984"/>
      <c r="M415" s="984"/>
      <c r="N415" s="984"/>
    </row>
    <row r="416" spans="2:14" hidden="1">
      <c r="C416" s="2858" t="s">
        <v>2325</v>
      </c>
      <c r="E416" s="3578" t="s">
        <v>2748</v>
      </c>
      <c r="F416" s="984"/>
      <c r="G416" s="984"/>
      <c r="H416" s="984"/>
      <c r="I416" s="984"/>
      <c r="J416" s="984"/>
      <c r="K416" s="984"/>
      <c r="L416" s="984"/>
      <c r="M416" s="984"/>
      <c r="N416" s="984"/>
    </row>
    <row r="417" spans="2:15" hidden="1">
      <c r="C417" s="2858" t="s">
        <v>2326</v>
      </c>
      <c r="E417" s="3578" t="s">
        <v>2748</v>
      </c>
      <c r="F417" s="983"/>
      <c r="G417" s="983"/>
      <c r="H417" s="983"/>
      <c r="I417" s="983"/>
      <c r="J417" s="983"/>
      <c r="K417" s="983"/>
      <c r="L417" s="983"/>
      <c r="M417" s="983"/>
      <c r="N417" s="983"/>
    </row>
    <row r="418" spans="2:15" hidden="1"/>
    <row r="419" spans="2:15" hidden="1">
      <c r="C419" s="354" t="s">
        <v>160</v>
      </c>
      <c r="F419" s="357"/>
    </row>
    <row r="420" spans="2:15" hidden="1">
      <c r="C420" s="2858" t="s">
        <v>2324</v>
      </c>
      <c r="E420" s="3578" t="s">
        <v>2748</v>
      </c>
      <c r="F420" s="984"/>
      <c r="G420" s="984"/>
      <c r="H420" s="984"/>
      <c r="I420" s="984"/>
      <c r="J420" s="984"/>
      <c r="K420" s="984"/>
      <c r="L420" s="984"/>
      <c r="M420" s="984"/>
      <c r="N420" s="984"/>
    </row>
    <row r="421" spans="2:15" hidden="1">
      <c r="C421" s="2858" t="s">
        <v>2325</v>
      </c>
      <c r="E421" s="3578" t="s">
        <v>2748</v>
      </c>
      <c r="F421" s="984"/>
      <c r="G421" s="984"/>
      <c r="H421" s="984"/>
      <c r="I421" s="984"/>
      <c r="J421" s="984"/>
      <c r="K421" s="984"/>
      <c r="L421" s="984"/>
      <c r="M421" s="984"/>
      <c r="N421" s="984"/>
    </row>
    <row r="422" spans="2:15" hidden="1">
      <c r="C422" s="2858" t="s">
        <v>2326</v>
      </c>
      <c r="E422" s="3578" t="s">
        <v>2748</v>
      </c>
      <c r="F422" s="983"/>
      <c r="G422" s="983"/>
      <c r="H422" s="983"/>
      <c r="I422" s="983"/>
      <c r="J422" s="983"/>
      <c r="K422" s="983"/>
      <c r="L422" s="983"/>
      <c r="M422" s="983"/>
      <c r="N422" s="983"/>
    </row>
    <row r="423" spans="2:15" hidden="1">
      <c r="F423" s="357"/>
    </row>
    <row r="424" spans="2:15" hidden="1">
      <c r="C424" s="354" t="s">
        <v>20</v>
      </c>
      <c r="F424" s="357"/>
    </row>
    <row r="425" spans="2:15" hidden="1">
      <c r="C425" s="2858" t="s">
        <v>2324</v>
      </c>
      <c r="E425" s="3578" t="s">
        <v>2748</v>
      </c>
      <c r="F425" s="984"/>
      <c r="G425" s="984"/>
      <c r="H425" s="984"/>
      <c r="I425" s="984"/>
      <c r="J425" s="984"/>
      <c r="K425" s="984"/>
      <c r="L425" s="984"/>
      <c r="M425" s="984"/>
      <c r="N425" s="984"/>
    </row>
    <row r="426" spans="2:15" hidden="1">
      <c r="C426" s="2858" t="s">
        <v>2325</v>
      </c>
      <c r="E426" s="3578" t="s">
        <v>2748</v>
      </c>
      <c r="F426" s="984"/>
      <c r="G426" s="984"/>
      <c r="H426" s="984"/>
      <c r="I426" s="984"/>
      <c r="J426" s="984"/>
      <c r="K426" s="984"/>
      <c r="L426" s="984"/>
      <c r="M426" s="984"/>
      <c r="N426" s="984"/>
    </row>
    <row r="427" spans="2:15" hidden="1">
      <c r="C427" s="2858" t="s">
        <v>2326</v>
      </c>
      <c r="E427" s="3578" t="s">
        <v>2748</v>
      </c>
      <c r="F427" s="983"/>
      <c r="G427" s="983"/>
      <c r="H427" s="983"/>
      <c r="I427" s="983"/>
      <c r="J427" s="983"/>
      <c r="K427" s="983"/>
      <c r="L427" s="983"/>
      <c r="M427" s="983"/>
      <c r="N427" s="983"/>
    </row>
    <row r="429" spans="2:15" ht="15">
      <c r="B429" s="502" t="s">
        <v>296</v>
      </c>
      <c r="C429" s="503"/>
      <c r="D429" s="503"/>
      <c r="E429" s="503"/>
      <c r="F429" s="503"/>
      <c r="G429" s="503"/>
      <c r="H429" s="503"/>
      <c r="I429" s="503"/>
      <c r="J429" s="503"/>
      <c r="K429" s="503"/>
      <c r="L429" s="503"/>
      <c r="M429" s="503"/>
      <c r="N429" s="503"/>
      <c r="O429" s="857"/>
    </row>
    <row r="430" spans="2:15">
      <c r="B430" s="505"/>
      <c r="C430" s="506"/>
      <c r="D430" s="506"/>
      <c r="E430" s="506"/>
      <c r="F430" s="506"/>
      <c r="G430" s="506"/>
      <c r="H430" s="506"/>
      <c r="I430" s="506"/>
      <c r="J430" s="506"/>
      <c r="K430" s="506"/>
      <c r="L430" s="506"/>
      <c r="M430" s="506"/>
      <c r="N430" s="506"/>
      <c r="O430" s="858"/>
    </row>
    <row r="431" spans="2:15">
      <c r="B431" s="505"/>
      <c r="C431" s="34" t="s">
        <v>746</v>
      </c>
      <c r="D431" s="506"/>
      <c r="E431" s="506"/>
      <c r="F431" s="506"/>
      <c r="G431" s="506"/>
      <c r="H431" s="506"/>
      <c r="I431" s="506"/>
      <c r="J431" s="506"/>
      <c r="K431" s="506"/>
      <c r="L431" s="506"/>
      <c r="M431" s="506"/>
      <c r="N431" s="507" t="str">
        <f>Preferences.EnergyUnits</f>
        <v>TWh</v>
      </c>
      <c r="O431" s="858"/>
    </row>
    <row r="432" spans="2:15">
      <c r="B432" s="505"/>
      <c r="C432" s="506"/>
      <c r="D432" s="506"/>
      <c r="E432" s="506"/>
      <c r="F432" s="506"/>
      <c r="G432" s="506"/>
      <c r="H432" s="506"/>
      <c r="I432" s="506"/>
      <c r="J432" s="506"/>
      <c r="K432" s="506"/>
      <c r="L432" s="506"/>
      <c r="M432" s="506"/>
      <c r="N432" s="506"/>
      <c r="O432" s="858"/>
    </row>
    <row r="433" spans="2:37" ht="15.5">
      <c r="B433" s="15"/>
      <c r="C433" s="864" t="s">
        <v>28</v>
      </c>
      <c r="D433" s="864" t="s">
        <v>29</v>
      </c>
      <c r="E433" s="864" t="s">
        <v>30</v>
      </c>
      <c r="F433" s="864" t="s">
        <v>588</v>
      </c>
      <c r="G433" s="864" t="s">
        <v>132</v>
      </c>
      <c r="H433" s="864" t="s">
        <v>133</v>
      </c>
      <c r="I433" s="864" t="s">
        <v>134</v>
      </c>
      <c r="J433" s="864" t="s">
        <v>135</v>
      </c>
      <c r="K433" s="864" t="s">
        <v>136</v>
      </c>
      <c r="L433" s="864" t="s">
        <v>137</v>
      </c>
      <c r="M433" s="864" t="s">
        <v>138</v>
      </c>
      <c r="N433" s="864" t="s">
        <v>139</v>
      </c>
      <c r="O433" s="865"/>
    </row>
    <row r="434" spans="2:37">
      <c r="B434" s="2181"/>
      <c r="C434" s="17" t="s">
        <v>445</v>
      </c>
      <c r="D434" s="2922" t="str">
        <f>INDEX(Vectors[Description], MATCH(VII.c.Outputs[Vector], Vectors[Code], 0))</f>
        <v>Distribution losses and own use</v>
      </c>
      <c r="E434" s="18"/>
      <c r="F434" s="2491">
        <f ca="1">-F397</f>
        <v>3.3941984725747547E-2</v>
      </c>
      <c r="G434" s="2491">
        <f t="shared" ref="G434:N434" ca="1" si="81">-G397</f>
        <v>5.8921969332639261E-2</v>
      </c>
      <c r="H434" s="2491">
        <f t="shared" ca="1" si="81"/>
        <v>0.14307204321622438</v>
      </c>
      <c r="I434" s="2491">
        <f t="shared" ca="1" si="81"/>
        <v>0</v>
      </c>
      <c r="J434" s="2491">
        <f t="shared" ca="1" si="81"/>
        <v>0</v>
      </c>
      <c r="K434" s="2491">
        <f t="shared" ca="1" si="81"/>
        <v>0</v>
      </c>
      <c r="L434" s="2491">
        <f t="shared" ca="1" si="81"/>
        <v>0</v>
      </c>
      <c r="M434" s="2491">
        <f t="shared" ca="1" si="81"/>
        <v>0</v>
      </c>
      <c r="N434" s="2491">
        <f t="shared" ca="1" si="81"/>
        <v>0</v>
      </c>
      <c r="O434" s="2182"/>
      <c r="R434"/>
      <c r="S434"/>
      <c r="T434"/>
      <c r="U434"/>
      <c r="V434"/>
      <c r="W434"/>
      <c r="X434"/>
      <c r="Y434"/>
      <c r="Z434"/>
      <c r="AA434"/>
      <c r="AB434"/>
      <c r="AC434"/>
      <c r="AD434"/>
      <c r="AE434"/>
      <c r="AF434"/>
      <c r="AG434"/>
      <c r="AH434"/>
      <c r="AI434"/>
      <c r="AJ434"/>
      <c r="AK434"/>
    </row>
    <row r="435" spans="2:37">
      <c r="B435" s="2181"/>
      <c r="C435" s="17" t="s">
        <v>99</v>
      </c>
      <c r="D435" s="2922" t="str">
        <f>INDEX(Vectors[Description], MATCH(VII.c.Outputs[Vector], Vectors[Code], 0))</f>
        <v>Gaseous hydrocarbons</v>
      </c>
      <c r="E435" s="17"/>
      <c r="F435" s="2491">
        <f ca="1">F398</f>
        <v>-8.4854961814368857E-2</v>
      </c>
      <c r="G435" s="2491">
        <f t="shared" ref="G435:N435" ca="1" si="82">G398</f>
        <v>-0.14730492333159814</v>
      </c>
      <c r="H435" s="2491">
        <f t="shared" ca="1" si="82"/>
        <v>-0.35768010804056094</v>
      </c>
      <c r="I435" s="2491">
        <f t="shared" ca="1" si="82"/>
        <v>0</v>
      </c>
      <c r="J435" s="2491">
        <f t="shared" ca="1" si="82"/>
        <v>0</v>
      </c>
      <c r="K435" s="2491">
        <f t="shared" ca="1" si="82"/>
        <v>0</v>
      </c>
      <c r="L435" s="2491">
        <f t="shared" ca="1" si="82"/>
        <v>0</v>
      </c>
      <c r="M435" s="2491">
        <f t="shared" ca="1" si="82"/>
        <v>0</v>
      </c>
      <c r="N435" s="2491">
        <f t="shared" ca="1" si="82"/>
        <v>0</v>
      </c>
      <c r="O435" s="2182"/>
    </row>
    <row r="436" spans="2:37">
      <c r="B436" s="2181"/>
      <c r="C436" s="18" t="s">
        <v>103</v>
      </c>
      <c r="D436" s="2922" t="str">
        <f>INDEX(Vectors[Description], MATCH(VII.c.Outputs[Vector], Vectors[Code], 0))</f>
        <v>Conversion losses</v>
      </c>
      <c r="E436" s="18"/>
      <c r="F436" s="2491">
        <f ca="1">-(F398-F397)</f>
        <v>5.091297708862131E-2</v>
      </c>
      <c r="G436" s="2491">
        <f t="shared" ref="G436:N436" ca="1" si="83">-(G398-G397)</f>
        <v>8.8382953998958874E-2</v>
      </c>
      <c r="H436" s="2491">
        <f t="shared" ca="1" si="83"/>
        <v>0.21460806482433656</v>
      </c>
      <c r="I436" s="2491">
        <f t="shared" ca="1" si="83"/>
        <v>0</v>
      </c>
      <c r="J436" s="2491">
        <f t="shared" ca="1" si="83"/>
        <v>0</v>
      </c>
      <c r="K436" s="2491">
        <f t="shared" ca="1" si="83"/>
        <v>0</v>
      </c>
      <c r="L436" s="2491">
        <f t="shared" ca="1" si="83"/>
        <v>0</v>
      </c>
      <c r="M436" s="2491">
        <f t="shared" ca="1" si="83"/>
        <v>0</v>
      </c>
      <c r="N436" s="2491">
        <f t="shared" ca="1" si="83"/>
        <v>0</v>
      </c>
      <c r="O436" s="2182"/>
    </row>
    <row r="437" spans="2:37">
      <c r="B437" s="2181"/>
      <c r="C437" s="3343" t="s">
        <v>58</v>
      </c>
      <c r="D437" s="3342"/>
      <c r="E437" s="3342"/>
      <c r="F437" s="2435">
        <f ca="1">SUBTOTAL(109,VII.c.Outputs[2013])</f>
        <v>0</v>
      </c>
      <c r="G437" s="2435">
        <f ca="1">SUBTOTAL(109,VII.c.Outputs[2015])</f>
        <v>0</v>
      </c>
      <c r="H437" s="2435">
        <f ca="1">SUBTOTAL(109,VII.c.Outputs[2020])</f>
        <v>0</v>
      </c>
      <c r="I437" s="2435">
        <f ca="1">SUBTOTAL(109,VII.c.Outputs[2025])</f>
        <v>0</v>
      </c>
      <c r="J437" s="2435">
        <f ca="1">SUBTOTAL(109,VII.c.Outputs[2030])</f>
        <v>0</v>
      </c>
      <c r="K437" s="2435">
        <f ca="1">SUBTOTAL(109,VII.c.Outputs[2035])</f>
        <v>0</v>
      </c>
      <c r="L437" s="2435">
        <f ca="1">SUBTOTAL(109,VII.c.Outputs[2040])</f>
        <v>0</v>
      </c>
      <c r="M437" s="2435">
        <f ca="1">SUBTOTAL(109,VII.c.Outputs[2045])</f>
        <v>0</v>
      </c>
      <c r="N437" s="2435">
        <f ca="1">SUBTOTAL(109,VII.c.Outputs[2050])</f>
        <v>0</v>
      </c>
      <c r="O437" s="2182"/>
    </row>
    <row r="438" spans="2:37">
      <c r="B438" s="2182"/>
      <c r="C438" s="17"/>
      <c r="D438" s="17"/>
      <c r="E438" s="17"/>
      <c r="F438" s="22"/>
      <c r="G438" s="22"/>
      <c r="H438" s="22"/>
      <c r="I438" s="22"/>
      <c r="J438" s="22"/>
      <c r="K438" s="22"/>
      <c r="L438" s="22"/>
      <c r="M438" s="22"/>
      <c r="N438" s="22"/>
      <c r="O438" s="2182"/>
    </row>
    <row r="439" spans="2:37">
      <c r="S439" s="1143"/>
    </row>
    <row r="440" spans="2:37" ht="15">
      <c r="B440" s="986" t="s">
        <v>310</v>
      </c>
      <c r="C440" s="987"/>
      <c r="D440" s="988"/>
      <c r="E440" s="988"/>
      <c r="F440" s="988"/>
      <c r="G440" s="988"/>
      <c r="H440" s="988"/>
      <c r="I440" s="988"/>
      <c r="J440" s="988"/>
      <c r="K440" s="988"/>
      <c r="L440" s="988"/>
      <c r="M440" s="988"/>
      <c r="N440" s="988"/>
      <c r="O440" s="989"/>
    </row>
    <row r="441" spans="2:37">
      <c r="B441" s="990"/>
      <c r="C441" s="991"/>
      <c r="D441" s="991"/>
      <c r="E441" s="991"/>
      <c r="F441" s="991"/>
      <c r="G441" s="991"/>
      <c r="H441" s="991"/>
      <c r="I441" s="991"/>
      <c r="J441" s="991"/>
      <c r="K441" s="991"/>
      <c r="L441" s="991"/>
      <c r="M441" s="991"/>
      <c r="N441" s="991"/>
      <c r="O441" s="992"/>
    </row>
    <row r="442" spans="2:37">
      <c r="B442" s="993"/>
      <c r="C442" s="479" t="s">
        <v>311</v>
      </c>
      <c r="D442" s="994"/>
      <c r="E442" s="995"/>
      <c r="F442" s="994"/>
      <c r="G442" s="994"/>
      <c r="H442" s="994"/>
      <c r="I442" s="994"/>
      <c r="J442" s="994"/>
      <c r="K442" s="994"/>
      <c r="L442" s="994"/>
      <c r="M442" s="994"/>
      <c r="N442" s="995"/>
      <c r="O442" s="996"/>
    </row>
    <row r="443" spans="2:37">
      <c r="B443" s="993"/>
      <c r="C443" s="994"/>
      <c r="D443" s="994"/>
      <c r="E443" s="994"/>
      <c r="F443" s="994"/>
      <c r="G443" s="994"/>
      <c r="H443" s="994"/>
      <c r="I443" s="994"/>
      <c r="J443" s="994"/>
      <c r="K443" s="994"/>
      <c r="L443" s="994"/>
      <c r="M443" s="994"/>
      <c r="N443" s="994"/>
      <c r="O443" s="996"/>
    </row>
    <row r="444" spans="2:37" ht="15.5">
      <c r="B444" s="483"/>
      <c r="C444" s="997" t="s">
        <v>28</v>
      </c>
      <c r="D444" s="997" t="s">
        <v>312</v>
      </c>
      <c r="E444" s="997" t="s">
        <v>30</v>
      </c>
      <c r="F444" s="997" t="s">
        <v>588</v>
      </c>
      <c r="G444" s="997" t="s">
        <v>132</v>
      </c>
      <c r="H444" s="997" t="s">
        <v>133</v>
      </c>
      <c r="I444" s="997" t="s">
        <v>134</v>
      </c>
      <c r="J444" s="997" t="s">
        <v>135</v>
      </c>
      <c r="K444" s="997" t="s">
        <v>136</v>
      </c>
      <c r="L444" s="997" t="s">
        <v>137</v>
      </c>
      <c r="M444" s="997" t="s">
        <v>138</v>
      </c>
      <c r="N444" s="997" t="s">
        <v>139</v>
      </c>
      <c r="O444" s="996"/>
    </row>
    <row r="445" spans="2:37" s="3052" customFormat="1" ht="15.5">
      <c r="B445" s="483"/>
      <c r="C445" s="1377"/>
      <c r="D445" s="1377"/>
      <c r="E445" s="1377"/>
      <c r="F445" s="1377"/>
      <c r="G445" s="1377"/>
      <c r="H445" s="1377"/>
      <c r="I445" s="1377"/>
      <c r="J445" s="1377"/>
      <c r="K445" s="1377"/>
      <c r="L445" s="1377"/>
      <c r="M445" s="1377"/>
      <c r="N445" s="1377"/>
      <c r="O445" s="996"/>
    </row>
    <row r="446" spans="2:37" ht="15.5">
      <c r="B446" s="483"/>
      <c r="C446" s="998" t="s">
        <v>748</v>
      </c>
      <c r="D446" s="998" t="s">
        <v>2436</v>
      </c>
      <c r="E446" s="485" t="str">
        <f>Preferences.PowerUnits</f>
        <v>GW</v>
      </c>
      <c r="F446" s="2408">
        <f t="shared" ref="F446:N446" ca="1" si="84">F390</f>
        <v>0.28284987271456291</v>
      </c>
      <c r="G446" s="2408">
        <f t="shared" ca="1" si="84"/>
        <v>0.49101641110532723</v>
      </c>
      <c r="H446" s="2408">
        <f t="shared" ca="1" si="84"/>
        <v>1.19226702680187</v>
      </c>
      <c r="I446" s="2408">
        <f t="shared" ca="1" si="84"/>
        <v>0</v>
      </c>
      <c r="J446" s="2408">
        <f t="shared" ca="1" si="84"/>
        <v>0</v>
      </c>
      <c r="K446" s="2408">
        <f t="shared" ca="1" si="84"/>
        <v>0</v>
      </c>
      <c r="L446" s="2408">
        <f t="shared" ca="1" si="84"/>
        <v>0</v>
      </c>
      <c r="M446" s="2408">
        <f t="shared" ca="1" si="84"/>
        <v>0</v>
      </c>
      <c r="N446" s="2408">
        <f t="shared" ca="1" si="84"/>
        <v>0</v>
      </c>
      <c r="O446" s="996"/>
    </row>
    <row r="447" spans="2:37" ht="15.5">
      <c r="B447" s="483"/>
      <c r="C447" s="998" t="s">
        <v>313</v>
      </c>
      <c r="D447" s="998" t="s">
        <v>3133</v>
      </c>
      <c r="E447" s="998" t="s">
        <v>741</v>
      </c>
      <c r="F447" s="3344">
        <f t="shared" ref="F447:N447" ca="1" si="85">F446*2/Unit.GW</f>
        <v>0.56569974542912582</v>
      </c>
      <c r="G447" s="3344">
        <f t="shared" ca="1" si="85"/>
        <v>0.98203282221065447</v>
      </c>
      <c r="H447" s="3344">
        <f t="shared" ca="1" si="85"/>
        <v>2.38453405360374</v>
      </c>
      <c r="I447" s="3344">
        <f t="shared" ca="1" si="85"/>
        <v>0</v>
      </c>
      <c r="J447" s="3344">
        <f t="shared" ca="1" si="85"/>
        <v>0</v>
      </c>
      <c r="K447" s="3344">
        <f t="shared" ca="1" si="85"/>
        <v>0</v>
      </c>
      <c r="L447" s="3344">
        <f t="shared" ca="1" si="85"/>
        <v>0</v>
      </c>
      <c r="M447" s="3344">
        <f t="shared" ca="1" si="85"/>
        <v>0</v>
      </c>
      <c r="N447" s="3344">
        <f t="shared" ca="1" si="85"/>
        <v>0</v>
      </c>
      <c r="O447" s="996"/>
    </row>
    <row r="448" spans="2:37" ht="15.5">
      <c r="B448" s="483"/>
      <c r="C448" s="998" t="s">
        <v>1820</v>
      </c>
      <c r="D448" s="485" t="s">
        <v>607</v>
      </c>
      <c r="E448" s="485" t="s">
        <v>42</v>
      </c>
      <c r="F448" s="3345">
        <f ca="1">MAX(F371,F381)</f>
        <v>1</v>
      </c>
      <c r="G448" s="3345">
        <f t="shared" ref="G448:N448" ca="1" si="86">MAX(G371,G381)</f>
        <v>1</v>
      </c>
      <c r="H448" s="3345">
        <f t="shared" ca="1" si="86"/>
        <v>1</v>
      </c>
      <c r="I448" s="3345">
        <f t="shared" ca="1" si="86"/>
        <v>0.90895509952091713</v>
      </c>
      <c r="J448" s="3345">
        <f t="shared" ca="1" si="86"/>
        <v>0.97720023080056873</v>
      </c>
      <c r="K448" s="3345">
        <f t="shared" ca="1" si="86"/>
        <v>0.81437041908934527</v>
      </c>
      <c r="L448" s="3345">
        <f t="shared" ca="1" si="86"/>
        <v>0.71259396567573174</v>
      </c>
      <c r="M448" s="3345">
        <f t="shared" ca="1" si="86"/>
        <v>0.61930259679060506</v>
      </c>
      <c r="N448" s="3345">
        <f t="shared" ca="1" si="86"/>
        <v>0.53463254557104156</v>
      </c>
      <c r="O448" s="996"/>
    </row>
    <row r="449" spans="2:15" ht="15.5">
      <c r="B449" s="483"/>
      <c r="C449" s="998" t="s">
        <v>1823</v>
      </c>
      <c r="D449" s="485" t="s">
        <v>1824</v>
      </c>
      <c r="E449" s="485" t="str">
        <f>Preferences.PowerUnits</f>
        <v>GW</v>
      </c>
      <c r="F449" s="3346">
        <f t="shared" ref="F449:N449" si="87">F98</f>
        <v>0.75</v>
      </c>
      <c r="G449" s="3346">
        <f t="shared" si="87"/>
        <v>0.75</v>
      </c>
      <c r="H449" s="3346">
        <f t="shared" si="87"/>
        <v>0.75</v>
      </c>
      <c r="I449" s="3346">
        <f t="shared" si="87"/>
        <v>1.4</v>
      </c>
      <c r="J449" s="3346">
        <f t="shared" si="87"/>
        <v>1.4</v>
      </c>
      <c r="K449" s="3346">
        <f t="shared" si="87"/>
        <v>1.4</v>
      </c>
      <c r="L449" s="3346">
        <f t="shared" si="87"/>
        <v>1.4</v>
      </c>
      <c r="M449" s="3346">
        <f t="shared" si="87"/>
        <v>1.4</v>
      </c>
      <c r="N449" s="3346">
        <f t="shared" si="87"/>
        <v>1.4</v>
      </c>
      <c r="O449" s="996"/>
    </row>
    <row r="450" spans="2:15" ht="15.5">
      <c r="B450" s="488"/>
      <c r="C450" s="1001"/>
      <c r="D450" s="1001"/>
      <c r="E450" s="1001"/>
      <c r="F450" s="1001"/>
      <c r="G450" s="1001"/>
      <c r="H450" s="1001"/>
      <c r="I450" s="1001"/>
      <c r="J450" s="1001"/>
      <c r="K450" s="1001"/>
      <c r="L450" s="1001"/>
      <c r="M450" s="1001"/>
      <c r="N450" s="1001"/>
      <c r="O450" s="1002"/>
    </row>
    <row r="452" spans="2:15" ht="15">
      <c r="B452" s="1118" t="s">
        <v>300</v>
      </c>
      <c r="C452" s="1119"/>
      <c r="D452" s="1120"/>
      <c r="E452" s="1120"/>
      <c r="F452" s="1120"/>
      <c r="G452" s="1120"/>
      <c r="H452" s="1120"/>
      <c r="I452" s="1120"/>
      <c r="J452" s="1120"/>
      <c r="K452" s="1120"/>
      <c r="L452" s="1120"/>
      <c r="M452" s="1120"/>
      <c r="N452" s="1120"/>
      <c r="O452" s="1121"/>
    </row>
    <row r="453" spans="2:15">
      <c r="B453" s="1122"/>
      <c r="C453" s="1123"/>
      <c r="D453" s="1123"/>
      <c r="E453" s="1123"/>
      <c r="F453" s="1123"/>
      <c r="G453" s="1123"/>
      <c r="H453" s="1123"/>
      <c r="I453" s="1123"/>
      <c r="J453" s="1123"/>
      <c r="K453" s="1123"/>
      <c r="L453" s="1123"/>
      <c r="M453" s="1123"/>
      <c r="N453" s="1123"/>
      <c r="O453" s="1124"/>
    </row>
    <row r="454" spans="2:15">
      <c r="B454" s="1125"/>
      <c r="C454" s="453" t="s">
        <v>1308</v>
      </c>
      <c r="D454" s="1126"/>
      <c r="E454" s="1127"/>
      <c r="F454" s="1126"/>
      <c r="G454" s="1126"/>
      <c r="H454" s="1126"/>
      <c r="I454" s="1126"/>
      <c r="J454" s="1126"/>
      <c r="K454" s="1126"/>
      <c r="L454" s="1126"/>
      <c r="M454" s="1126"/>
      <c r="N454" s="1127" t="s">
        <v>251</v>
      </c>
      <c r="O454" s="1129"/>
    </row>
    <row r="455" spans="2:15">
      <c r="B455" s="1125"/>
      <c r="C455" s="1126"/>
      <c r="D455" s="1126"/>
      <c r="E455" s="1126"/>
      <c r="F455" s="1126"/>
      <c r="G455" s="1126"/>
      <c r="H455" s="1126"/>
      <c r="I455" s="1126"/>
      <c r="J455" s="1126"/>
      <c r="K455" s="1126"/>
      <c r="L455" s="1126"/>
      <c r="M455" s="1126"/>
      <c r="N455" s="1126"/>
      <c r="O455" s="1129"/>
    </row>
    <row r="456" spans="2:15" ht="15.5">
      <c r="B456" s="458"/>
      <c r="C456" s="1327" t="s">
        <v>302</v>
      </c>
      <c r="D456" s="1327" t="s">
        <v>303</v>
      </c>
      <c r="E456" s="1327" t="s">
        <v>30</v>
      </c>
      <c r="F456" s="1327" t="s">
        <v>588</v>
      </c>
      <c r="G456" s="1327" t="s">
        <v>132</v>
      </c>
      <c r="H456" s="1327" t="s">
        <v>133</v>
      </c>
      <c r="I456" s="1327" t="s">
        <v>134</v>
      </c>
      <c r="J456" s="1327" t="s">
        <v>135</v>
      </c>
      <c r="K456" s="1327" t="s">
        <v>136</v>
      </c>
      <c r="L456" s="1327" t="s">
        <v>137</v>
      </c>
      <c r="M456" s="1327" t="s">
        <v>138</v>
      </c>
      <c r="N456" s="1327" t="s">
        <v>139</v>
      </c>
      <c r="O456" s="1129"/>
    </row>
    <row r="457" spans="2:15" ht="15.5">
      <c r="B457" s="458"/>
      <c r="C457" s="1131" t="s">
        <v>250</v>
      </c>
      <c r="D457" s="1132" t="s">
        <v>304</v>
      </c>
      <c r="E457" s="1131"/>
      <c r="F457" s="2768">
        <f t="shared" ref="F457:N459" ca="1" si="88">INDIRECT("EF."&amp;$F$155&amp;"."&amp;$C457)*-F$398*$F$132</f>
        <v>1.737160960859177E-2</v>
      </c>
      <c r="G457" s="2768">
        <f t="shared" ca="1" si="88"/>
        <v>3.0156440670352769E-2</v>
      </c>
      <c r="H457" s="2768">
        <f t="shared" ca="1" si="88"/>
        <v>7.3224700934193282E-2</v>
      </c>
      <c r="I457" s="2768">
        <f t="shared" ca="1" si="88"/>
        <v>0</v>
      </c>
      <c r="J457" s="2768">
        <f t="shared" ca="1" si="88"/>
        <v>0</v>
      </c>
      <c r="K457" s="2768">
        <f t="shared" ca="1" si="88"/>
        <v>0</v>
      </c>
      <c r="L457" s="2768">
        <f t="shared" ca="1" si="88"/>
        <v>0</v>
      </c>
      <c r="M457" s="2768">
        <f t="shared" ca="1" si="88"/>
        <v>0</v>
      </c>
      <c r="N457" s="2768">
        <f t="shared" ca="1" si="88"/>
        <v>0</v>
      </c>
      <c r="O457" s="1129"/>
    </row>
    <row r="458" spans="2:15" ht="15.5">
      <c r="B458" s="458"/>
      <c r="C458" s="1131" t="s">
        <v>252</v>
      </c>
      <c r="D458" s="1132" t="s">
        <v>304</v>
      </c>
      <c r="E458" s="1131"/>
      <c r="F458" s="2768">
        <f t="shared" ca="1" si="88"/>
        <v>6.4150351131662863E-6</v>
      </c>
      <c r="G458" s="2768">
        <f t="shared" ca="1" si="88"/>
        <v>1.113625220386882E-5</v>
      </c>
      <c r="H458" s="2768">
        <f t="shared" ca="1" si="88"/>
        <v>2.7040616167866409E-5</v>
      </c>
      <c r="I458" s="2768">
        <f t="shared" ca="1" si="88"/>
        <v>0</v>
      </c>
      <c r="J458" s="2768">
        <f t="shared" ca="1" si="88"/>
        <v>0</v>
      </c>
      <c r="K458" s="2768">
        <f t="shared" ca="1" si="88"/>
        <v>0</v>
      </c>
      <c r="L458" s="2768">
        <f t="shared" ca="1" si="88"/>
        <v>0</v>
      </c>
      <c r="M458" s="2768">
        <f t="shared" ca="1" si="88"/>
        <v>0</v>
      </c>
      <c r="N458" s="2768">
        <f t="shared" ca="1" si="88"/>
        <v>0</v>
      </c>
      <c r="O458" s="1129"/>
    </row>
    <row r="459" spans="2:15" ht="15.5">
      <c r="B459" s="458"/>
      <c r="C459" s="1131" t="s">
        <v>253</v>
      </c>
      <c r="D459" s="1132" t="s">
        <v>304</v>
      </c>
      <c r="E459" s="1131"/>
      <c r="F459" s="2768">
        <f t="shared" ca="1" si="88"/>
        <v>2.7462459841602339E-4</v>
      </c>
      <c r="G459" s="2768">
        <f t="shared" ca="1" si="88"/>
        <v>4.7673765387038424E-4</v>
      </c>
      <c r="H459" s="2768">
        <f t="shared" ca="1" si="88"/>
        <v>1.1575959016624714E-3</v>
      </c>
      <c r="I459" s="2768">
        <f t="shared" ca="1" si="88"/>
        <v>0</v>
      </c>
      <c r="J459" s="2768">
        <f t="shared" ca="1" si="88"/>
        <v>0</v>
      </c>
      <c r="K459" s="2768">
        <f t="shared" ca="1" si="88"/>
        <v>0</v>
      </c>
      <c r="L459" s="2768">
        <f t="shared" ca="1" si="88"/>
        <v>0</v>
      </c>
      <c r="M459" s="2768">
        <f t="shared" ca="1" si="88"/>
        <v>0</v>
      </c>
      <c r="N459" s="2768">
        <f t="shared" ca="1" si="88"/>
        <v>0</v>
      </c>
      <c r="O459" s="1129"/>
    </row>
    <row r="460" spans="2:15" ht="15.5">
      <c r="B460" s="458"/>
      <c r="C460" s="2436" t="s">
        <v>58</v>
      </c>
      <c r="D460" s="2436"/>
      <c r="E460" s="2436"/>
      <c r="F460" s="2437">
        <f ca="1">SUBTOTAL(109,VII.c.Emissions[2013])</f>
        <v>1.7652649242120958E-2</v>
      </c>
      <c r="G460" s="2437">
        <f ca="1">SUBTOTAL(109,VII.c.Emissions[2015])</f>
        <v>3.064431457642702E-2</v>
      </c>
      <c r="H460" s="2437">
        <f ca="1">SUBTOTAL(109,VII.c.Emissions[2020])</f>
        <v>7.4409337452023633E-2</v>
      </c>
      <c r="I460" s="2437">
        <f ca="1">SUBTOTAL(109,VII.c.Emissions[2025])</f>
        <v>0</v>
      </c>
      <c r="J460" s="2437">
        <f ca="1">SUBTOTAL(109,VII.c.Emissions[2030])</f>
        <v>0</v>
      </c>
      <c r="K460" s="2437">
        <f ca="1">SUBTOTAL(109,VII.c.Emissions[2035])</f>
        <v>0</v>
      </c>
      <c r="L460" s="2437">
        <f ca="1">SUBTOTAL(109,VII.c.Emissions[2040])</f>
        <v>0</v>
      </c>
      <c r="M460" s="2437">
        <f ca="1">SUBTOTAL(109,VII.c.Emissions[2045])</f>
        <v>0</v>
      </c>
      <c r="N460" s="2437">
        <f ca="1">SUBTOTAL(109,VII.c.Emissions[2050])</f>
        <v>0</v>
      </c>
      <c r="O460" s="1129"/>
    </row>
    <row r="461" spans="2:15">
      <c r="B461" s="1126"/>
      <c r="C461" s="1140"/>
      <c r="D461" s="1140"/>
      <c r="E461" s="1140"/>
      <c r="F461" s="1140"/>
      <c r="G461" s="1140"/>
      <c r="H461" s="1140"/>
      <c r="I461" s="1140"/>
      <c r="J461" s="1140"/>
      <c r="K461" s="1140"/>
      <c r="L461" s="1140"/>
      <c r="M461" s="1140"/>
      <c r="N461" s="1140"/>
      <c r="O461" s="1126"/>
    </row>
    <row r="463" spans="2:15" ht="15">
      <c r="B463" s="986" t="s">
        <v>2720</v>
      </c>
      <c r="C463" s="988"/>
      <c r="D463" s="988"/>
      <c r="E463" s="988"/>
      <c r="F463" s="988"/>
      <c r="G463" s="988"/>
      <c r="H463" s="988"/>
      <c r="I463" s="988"/>
      <c r="J463" s="988"/>
      <c r="K463" s="988"/>
      <c r="L463" s="988"/>
      <c r="M463" s="988"/>
      <c r="N463" s="988"/>
      <c r="O463" s="989"/>
    </row>
    <row r="464" spans="2:15" hidden="1">
      <c r="B464" s="993"/>
      <c r="C464" s="994"/>
      <c r="D464" s="994"/>
      <c r="E464" s="994"/>
      <c r="F464" s="994"/>
      <c r="G464" s="994"/>
      <c r="H464" s="994"/>
      <c r="I464" s="994"/>
      <c r="J464" s="994"/>
      <c r="K464" s="994"/>
      <c r="L464" s="994"/>
      <c r="M464" s="994"/>
      <c r="N464" s="994"/>
      <c r="O464" s="996"/>
    </row>
    <row r="465" spans="2:17" hidden="1">
      <c r="B465" s="993"/>
      <c r="C465" s="491" t="s">
        <v>751</v>
      </c>
      <c r="D465" s="1003"/>
      <c r="E465" s="1003"/>
      <c r="F465" s="1003"/>
      <c r="G465" s="1003"/>
      <c r="H465" s="1003"/>
      <c r="I465" s="1003"/>
      <c r="J465" s="1003"/>
      <c r="K465" s="1003"/>
      <c r="L465" s="1003"/>
      <c r="M465" s="1003"/>
      <c r="N465" s="1004" t="s">
        <v>2736</v>
      </c>
      <c r="O465" s="996"/>
    </row>
    <row r="466" spans="2:17" hidden="1">
      <c r="B466" s="993"/>
      <c r="C466" s="994"/>
      <c r="D466" s="994"/>
      <c r="E466" s="994"/>
      <c r="F466" s="994"/>
      <c r="G466" s="994"/>
      <c r="H466" s="994"/>
      <c r="I466" s="994"/>
      <c r="J466" s="994"/>
      <c r="K466" s="994"/>
      <c r="L466" s="994"/>
      <c r="M466" s="994"/>
      <c r="N466" s="994"/>
      <c r="O466" s="996"/>
    </row>
    <row r="467" spans="2:17" ht="15.5" hidden="1">
      <c r="B467" s="483"/>
      <c r="C467" s="1377" t="s">
        <v>28</v>
      </c>
      <c r="D467" s="1377" t="s">
        <v>29</v>
      </c>
      <c r="E467" s="1377" t="s">
        <v>30</v>
      </c>
      <c r="F467" s="1377">
        <v>2013</v>
      </c>
      <c r="G467" s="1377" t="s">
        <v>132</v>
      </c>
      <c r="H467" s="1377" t="s">
        <v>133</v>
      </c>
      <c r="I467" s="1377" t="s">
        <v>134</v>
      </c>
      <c r="J467" s="1377" t="s">
        <v>135</v>
      </c>
      <c r="K467" s="1377" t="s">
        <v>136</v>
      </c>
      <c r="L467" s="1377" t="s">
        <v>137</v>
      </c>
      <c r="M467" s="1377" t="s">
        <v>138</v>
      </c>
      <c r="N467" s="1377" t="s">
        <v>139</v>
      </c>
      <c r="O467" s="1141"/>
    </row>
    <row r="468" spans="2:17" ht="15.5" hidden="1">
      <c r="B468" s="483"/>
      <c r="C468" s="998" t="s">
        <v>321</v>
      </c>
      <c r="D468" s="3032" t="s">
        <v>322</v>
      </c>
      <c r="E468" s="485"/>
      <c r="F468" s="486"/>
      <c r="G468" s="486"/>
      <c r="H468" s="486"/>
      <c r="I468" s="486"/>
      <c r="J468" s="486"/>
      <c r="K468" s="486"/>
      <c r="L468" s="486"/>
      <c r="M468" s="486"/>
      <c r="N468" s="486"/>
      <c r="O468" s="1141"/>
    </row>
    <row r="469" spans="2:17" hidden="1">
      <c r="B469" s="494"/>
      <c r="C469" s="998" t="s">
        <v>328</v>
      </c>
      <c r="D469" s="3032" t="s">
        <v>329</v>
      </c>
      <c r="E469" s="485"/>
      <c r="F469" s="486"/>
      <c r="G469" s="486"/>
      <c r="H469" s="486"/>
      <c r="I469" s="486"/>
      <c r="J469" s="486"/>
      <c r="K469" s="486"/>
      <c r="L469" s="486"/>
      <c r="M469" s="486"/>
      <c r="N469" s="486"/>
      <c r="O469" s="1142"/>
    </row>
    <row r="470" spans="2:17" ht="15.5" hidden="1">
      <c r="B470" s="483"/>
      <c r="C470" s="998" t="s">
        <v>323</v>
      </c>
      <c r="D470" s="3032" t="s">
        <v>324</v>
      </c>
      <c r="E470" s="485"/>
      <c r="F470" s="486"/>
      <c r="G470" s="486"/>
      <c r="H470" s="486"/>
      <c r="I470" s="486"/>
      <c r="J470" s="486"/>
      <c r="K470" s="486"/>
      <c r="L470" s="486"/>
      <c r="M470" s="486"/>
      <c r="N470" s="486"/>
      <c r="O470" s="1141"/>
      <c r="Q470" s="985"/>
    </row>
    <row r="471" spans="2:17" hidden="1">
      <c r="B471" s="494"/>
      <c r="C471" s="998" t="s">
        <v>330</v>
      </c>
      <c r="D471" s="3032" t="s">
        <v>331</v>
      </c>
      <c r="E471" s="485"/>
      <c r="F471" s="486"/>
      <c r="G471" s="486"/>
      <c r="H471" s="486"/>
      <c r="I471" s="486"/>
      <c r="J471" s="486"/>
      <c r="K471" s="486"/>
      <c r="L471" s="486"/>
      <c r="M471" s="486"/>
      <c r="N471" s="486"/>
      <c r="O471" s="1142"/>
    </row>
    <row r="472" spans="2:17" ht="15.5" hidden="1">
      <c r="B472" s="483"/>
      <c r="C472" s="998" t="s">
        <v>325</v>
      </c>
      <c r="D472" s="3032" t="s">
        <v>326</v>
      </c>
      <c r="E472" s="485"/>
      <c r="F472" s="486"/>
      <c r="G472" s="486"/>
      <c r="H472" s="486"/>
      <c r="I472" s="486"/>
      <c r="J472" s="486"/>
      <c r="K472" s="486"/>
      <c r="L472" s="486"/>
      <c r="M472" s="486"/>
      <c r="N472" s="486"/>
      <c r="O472" s="1141"/>
    </row>
    <row r="473" spans="2:17" ht="15.5" hidden="1">
      <c r="B473" s="483"/>
      <c r="C473" s="998" t="s">
        <v>332</v>
      </c>
      <c r="D473" s="3032" t="s">
        <v>333</v>
      </c>
      <c r="E473" s="485"/>
      <c r="F473" s="486"/>
      <c r="G473" s="486"/>
      <c r="H473" s="486"/>
      <c r="I473" s="486"/>
      <c r="J473" s="486"/>
      <c r="K473" s="486"/>
      <c r="L473" s="486"/>
      <c r="M473" s="486"/>
      <c r="N473" s="486"/>
      <c r="O473" s="1141"/>
    </row>
    <row r="474" spans="2:17" hidden="1">
      <c r="B474" s="1003"/>
      <c r="C474" s="1003"/>
      <c r="D474" s="1003"/>
      <c r="E474" s="1003"/>
      <c r="F474" s="1003"/>
      <c r="G474" s="1003"/>
      <c r="H474" s="1003"/>
      <c r="I474" s="1003"/>
      <c r="J474" s="1003"/>
      <c r="K474" s="1003"/>
      <c r="L474" s="1003"/>
      <c r="M474" s="1003"/>
      <c r="N474" s="1003"/>
      <c r="O474" s="1003"/>
    </row>
    <row r="483" spans="1:1" ht="23.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9"/>
  </sheetPr>
  <dimension ref="A1:AG258"/>
  <sheetViews>
    <sheetView showGridLines="0" zoomScale="80" zoomScaleNormal="80" workbookViewId="0">
      <selection activeCell="L30" sqref="L30"/>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4" width="17.7265625" style="3601" customWidth="1"/>
    <col min="15" max="15" width="2" style="3601" customWidth="1"/>
    <col min="16" max="16" width="10.81640625" style="3601" customWidth="1"/>
    <col min="17" max="17" width="8.81640625" style="3601"/>
    <col min="18" max="26" width="5" style="3601" bestFit="1" customWidth="1"/>
    <col min="27" max="27" width="9.81640625" style="3601" bestFit="1" customWidth="1"/>
    <col min="28" max="16384" width="8.81640625" style="3601"/>
  </cols>
  <sheetData>
    <row r="1" spans="1:16" ht="20">
      <c r="A1" s="854" t="s">
        <v>495</v>
      </c>
      <c r="B1" s="854" t="s">
        <v>496</v>
      </c>
      <c r="C1" s="854"/>
    </row>
    <row r="2" spans="1:16" s="6" customFormat="1" ht="15">
      <c r="A2" s="855" t="s">
        <v>493</v>
      </c>
      <c r="B2" s="855" t="s">
        <v>494</v>
      </c>
      <c r="C2" s="855"/>
      <c r="E2" s="5"/>
    </row>
    <row r="4" spans="1:16" ht="23.5">
      <c r="A4" s="7"/>
      <c r="B4" s="502" t="s">
        <v>24</v>
      </c>
      <c r="C4" s="503"/>
      <c r="D4" s="503"/>
      <c r="E4" s="503"/>
      <c r="F4" s="503"/>
      <c r="G4" s="503"/>
      <c r="H4" s="503"/>
      <c r="I4" s="503"/>
      <c r="J4" s="503"/>
      <c r="K4" s="503"/>
      <c r="L4" s="503"/>
      <c r="M4" s="503"/>
      <c r="N4" s="503"/>
      <c r="O4" s="857"/>
    </row>
    <row r="5" spans="1:16">
      <c r="B5" s="505"/>
      <c r="C5" s="506"/>
      <c r="D5" s="506"/>
      <c r="E5" s="506"/>
      <c r="F5" s="506"/>
      <c r="G5" s="506"/>
      <c r="H5" s="506"/>
      <c r="I5" s="506"/>
      <c r="J5" s="506"/>
      <c r="K5" s="506"/>
      <c r="L5" s="506"/>
      <c r="M5" s="506"/>
      <c r="N5" s="506"/>
      <c r="O5" s="858"/>
    </row>
    <row r="6" spans="1:16">
      <c r="B6" s="505"/>
      <c r="C6" s="34" t="s">
        <v>2612</v>
      </c>
      <c r="D6" s="506"/>
      <c r="E6" s="507"/>
      <c r="F6" s="506"/>
      <c r="G6" s="506"/>
      <c r="H6" s="506"/>
      <c r="I6" s="506"/>
      <c r="J6" s="506"/>
      <c r="K6" s="506"/>
      <c r="L6" s="506"/>
      <c r="M6" s="506"/>
      <c r="N6" s="507" t="str">
        <f>Preferences.EnergyUnits</f>
        <v>TWh</v>
      </c>
      <c r="O6" s="858"/>
    </row>
    <row r="7" spans="1:16">
      <c r="B7" s="505"/>
      <c r="C7" s="12"/>
      <c r="D7" s="506"/>
      <c r="E7" s="507"/>
      <c r="F7" s="506"/>
      <c r="G7" s="506"/>
      <c r="H7" s="506"/>
      <c r="I7" s="506"/>
      <c r="J7" s="506"/>
      <c r="K7" s="506"/>
      <c r="L7" s="506"/>
      <c r="M7" s="506"/>
      <c r="N7" s="506"/>
      <c r="O7" s="858"/>
    </row>
    <row r="8" spans="1:16"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6" s="6" customFormat="1" ht="15.5">
      <c r="A9" s="3"/>
      <c r="B9" s="19"/>
      <c r="C9" s="17" t="s">
        <v>426</v>
      </c>
      <c r="D9" s="17" t="s">
        <v>376</v>
      </c>
      <c r="E9" s="17"/>
      <c r="F9" s="2769">
        <f ca="1">INDEX(INDIRECT("'"&amp;VIII.a.Inputs[#Headers]&amp;"'!Year.Matrix"), MATCH("Subtotal."&amp;$A$2, INDIRECT("'"&amp;VIII.a.Inputs[#Headers]&amp;"'!Year.Modules"), 0), MATCH(VIII.a.Inputs[Vector], INDIRECT("'"&amp;VIII.a.Inputs[#Headers]&amp;"'!Year.Vectors"), 0))</f>
        <v>0</v>
      </c>
      <c r="G9" s="2769">
        <f ca="1">INDEX(INDIRECT("'"&amp;VIII.a.Inputs[#Headers]&amp;"'!Year.Matrix"), MATCH("Subtotal."&amp;$A$2, INDIRECT("'"&amp;VIII.a.Inputs[#Headers]&amp;"'!Year.Modules"), 0), MATCH(VIII.a.Inputs[Vector], INDIRECT("'"&amp;VIII.a.Inputs[#Headers]&amp;"'!Year.Vectors"), 0))</f>
        <v>0</v>
      </c>
      <c r="H9" s="2769">
        <f ca="1">INDEX(INDIRECT("'"&amp;VIII.a.Inputs[#Headers]&amp;"'!Year.Matrix"), MATCH("Subtotal."&amp;$A$2, INDIRECT("'"&amp;VIII.a.Inputs[#Headers]&amp;"'!Year.Modules"), 0), MATCH(VIII.a.Inputs[Vector], INDIRECT("'"&amp;VIII.a.Inputs[#Headers]&amp;"'!Year.Vectors"), 0))</f>
        <v>0</v>
      </c>
      <c r="I9" s="2769">
        <f ca="1">INDEX(INDIRECT("'"&amp;VIII.a.Inputs[#Headers]&amp;"'!Year.Matrix"), MATCH("Subtotal."&amp;$A$2, INDIRECT("'"&amp;VIII.a.Inputs[#Headers]&amp;"'!Year.Modules"), 0), MATCH(VIII.a.Inputs[Vector], INDIRECT("'"&amp;VIII.a.Inputs[#Headers]&amp;"'!Year.Vectors"), 0))</f>
        <v>0</v>
      </c>
      <c r="J9" s="2769">
        <f ca="1">INDEX(INDIRECT("'"&amp;VIII.a.Inputs[#Headers]&amp;"'!Year.Matrix"), MATCH("Subtotal."&amp;$A$2, INDIRECT("'"&amp;VIII.a.Inputs[#Headers]&amp;"'!Year.Modules"), 0), MATCH(VIII.a.Inputs[Vector], INDIRECT("'"&amp;VIII.a.Inputs[#Headers]&amp;"'!Year.Vectors"), 0))</f>
        <v>0</v>
      </c>
      <c r="K9" s="2769">
        <f ca="1">INDEX(INDIRECT("'"&amp;VIII.a.Inputs[#Headers]&amp;"'!Year.Matrix"), MATCH("Subtotal."&amp;$A$2, INDIRECT("'"&amp;VIII.a.Inputs[#Headers]&amp;"'!Year.Modules"), 0), MATCH(VIII.a.Inputs[Vector], INDIRECT("'"&amp;VIII.a.Inputs[#Headers]&amp;"'!Year.Vectors"), 0))</f>
        <v>0</v>
      </c>
      <c r="L9" s="2769">
        <f ca="1">INDEX(INDIRECT("'"&amp;VIII.a.Inputs[#Headers]&amp;"'!Year.Matrix"), MATCH("Subtotal."&amp;$A$2, INDIRECT("'"&amp;VIII.a.Inputs[#Headers]&amp;"'!Year.Modules"), 0), MATCH(VIII.a.Inputs[Vector], INDIRECT("'"&amp;VIII.a.Inputs[#Headers]&amp;"'!Year.Vectors"), 0))</f>
        <v>0</v>
      </c>
      <c r="M9" s="2769">
        <f ca="1">INDEX(INDIRECT("'"&amp;VIII.a.Inputs[#Headers]&amp;"'!Year.Matrix"), MATCH("Subtotal."&amp;$A$2, INDIRECT("'"&amp;VIII.a.Inputs[#Headers]&amp;"'!Year.Modules"), 0), MATCH(VIII.a.Inputs[Vector], INDIRECT("'"&amp;VIII.a.Inputs[#Headers]&amp;"'!Year.Vectors"), 0))</f>
        <v>0</v>
      </c>
      <c r="N9" s="2769">
        <f ca="1">INDEX(INDIRECT("'"&amp;VIII.a.Inputs[#Headers]&amp;"'!Year.Matrix"), MATCH("Subtotal."&amp;$A$2, INDIRECT("'"&amp;VIII.a.Inputs[#Headers]&amp;"'!Year.Modules"), 0), MATCH(VIII.a.Inputs[Vector], INDIRECT("'"&amp;VIII.a.Inputs[#Headers]&amp;"'!Year.Vectors"), 0))</f>
        <v>0</v>
      </c>
      <c r="O9" s="866"/>
      <c r="P9" s="6" t="s">
        <v>5</v>
      </c>
    </row>
    <row r="10" spans="1:16">
      <c r="B10" s="1243"/>
      <c r="C10" s="860"/>
      <c r="D10" s="860"/>
      <c r="E10" s="860"/>
      <c r="F10" s="860"/>
      <c r="G10" s="860"/>
      <c r="H10" s="860"/>
      <c r="I10" s="860"/>
      <c r="J10" s="860"/>
      <c r="K10" s="860"/>
      <c r="L10" s="860"/>
      <c r="M10" s="860"/>
      <c r="N10" s="860"/>
      <c r="O10" s="861"/>
    </row>
    <row r="12" spans="1:16" s="6" customFormat="1" ht="23.5">
      <c r="A12" s="40"/>
      <c r="B12" s="869" t="s">
        <v>69</v>
      </c>
      <c r="C12" s="870"/>
      <c r="D12" s="870"/>
      <c r="E12" s="870"/>
      <c r="F12" s="870"/>
      <c r="G12" s="870"/>
      <c r="H12" s="870"/>
      <c r="I12" s="870"/>
      <c r="J12" s="870"/>
      <c r="K12" s="870"/>
      <c r="L12" s="870"/>
      <c r="M12" s="870"/>
      <c r="N12" s="870"/>
      <c r="O12" s="871"/>
    </row>
    <row r="13" spans="1:16">
      <c r="B13" s="105"/>
      <c r="C13" s="67"/>
      <c r="D13" s="67"/>
      <c r="E13" s="67"/>
      <c r="F13" s="67"/>
      <c r="G13" s="67"/>
      <c r="H13" s="67"/>
      <c r="I13" s="67"/>
      <c r="J13" s="67"/>
      <c r="K13" s="67"/>
      <c r="L13" s="67"/>
      <c r="M13" s="67"/>
      <c r="N13" s="67"/>
      <c r="O13" s="876"/>
    </row>
    <row r="14" spans="1:16">
      <c r="B14" s="105"/>
      <c r="C14" s="49" t="s">
        <v>3025</v>
      </c>
      <c r="D14" s="67"/>
      <c r="E14" s="51"/>
      <c r="F14" s="67"/>
      <c r="G14" s="67"/>
      <c r="H14" s="67"/>
      <c r="I14" s="67"/>
      <c r="J14" s="67"/>
      <c r="K14" s="67"/>
      <c r="L14" s="67"/>
      <c r="M14" s="67"/>
      <c r="N14" s="67"/>
      <c r="O14" s="876"/>
    </row>
    <row r="15" spans="1:16">
      <c r="B15" s="105"/>
      <c r="C15" s="67"/>
      <c r="D15" s="67"/>
      <c r="E15" s="67"/>
      <c r="F15" s="67"/>
      <c r="G15" s="67"/>
      <c r="H15" s="67"/>
      <c r="I15" s="67"/>
      <c r="J15" s="67"/>
      <c r="K15" s="67"/>
      <c r="L15" s="67"/>
      <c r="M15" s="67"/>
      <c r="N15" s="67"/>
      <c r="O15" s="876"/>
    </row>
    <row r="16" spans="1:16" ht="15.5">
      <c r="B16" s="55"/>
      <c r="C16" s="878"/>
      <c r="D16" s="878" t="s">
        <v>71</v>
      </c>
      <c r="E16" s="878" t="s">
        <v>30</v>
      </c>
      <c r="F16" s="87">
        <v>2013</v>
      </c>
      <c r="G16" s="87">
        <v>2015</v>
      </c>
      <c r="H16" s="87">
        <v>2020</v>
      </c>
      <c r="I16" s="87">
        <v>2025</v>
      </c>
      <c r="J16" s="87">
        <v>2030</v>
      </c>
      <c r="K16" s="87">
        <v>2035</v>
      </c>
      <c r="L16" s="87">
        <v>2040</v>
      </c>
      <c r="M16" s="87">
        <v>2045</v>
      </c>
      <c r="N16" s="87">
        <v>2050</v>
      </c>
      <c r="O16" s="876"/>
    </row>
    <row r="17" spans="2:25" s="6" customFormat="1" ht="15.5">
      <c r="B17" s="966"/>
      <c r="C17" s="1083"/>
      <c r="D17" s="881" t="s">
        <v>2844</v>
      </c>
      <c r="E17" s="881"/>
      <c r="F17" s="3642"/>
      <c r="G17" s="3642">
        <v>0.72</v>
      </c>
      <c r="H17" s="3642">
        <v>0.72</v>
      </c>
      <c r="I17" s="3642">
        <v>0.72</v>
      </c>
      <c r="J17" s="3642">
        <v>0.72</v>
      </c>
      <c r="K17" s="3642">
        <v>0.72</v>
      </c>
      <c r="L17" s="3642">
        <v>0.72</v>
      </c>
      <c r="M17" s="3642">
        <v>0.72</v>
      </c>
      <c r="N17" s="3642">
        <v>0.72</v>
      </c>
      <c r="O17" s="884"/>
    </row>
    <row r="18" spans="2:25" s="6" customFormat="1" ht="15.5">
      <c r="B18" s="966"/>
      <c r="C18" s="65"/>
      <c r="D18" s="103" t="s">
        <v>2820</v>
      </c>
      <c r="E18" s="103"/>
      <c r="F18" s="2648"/>
      <c r="G18" s="2648">
        <v>0.68</v>
      </c>
      <c r="H18" s="2648">
        <v>0.68</v>
      </c>
      <c r="I18" s="2648">
        <v>0.69299999999999995</v>
      </c>
      <c r="J18" s="2648">
        <v>0.70629999999999993</v>
      </c>
      <c r="K18" s="2648">
        <v>0.72</v>
      </c>
      <c r="L18" s="2648">
        <v>0.72</v>
      </c>
      <c r="M18" s="2648">
        <v>0.72</v>
      </c>
      <c r="N18" s="2648">
        <v>0.72</v>
      </c>
      <c r="O18" s="884"/>
    </row>
    <row r="19" spans="2:25" s="6" customFormat="1" ht="15.5">
      <c r="B19" s="966"/>
      <c r="C19" s="917"/>
      <c r="D19" s="194" t="s">
        <v>2821</v>
      </c>
      <c r="E19" s="194"/>
      <c r="F19" s="2650"/>
      <c r="G19" s="2650">
        <v>0.65</v>
      </c>
      <c r="H19" s="2650">
        <v>0.65</v>
      </c>
      <c r="I19" s="2650">
        <v>0.66870000000000007</v>
      </c>
      <c r="J19" s="2650">
        <v>0.68799999999999994</v>
      </c>
      <c r="K19" s="2650">
        <v>0.70779999999999998</v>
      </c>
      <c r="L19" s="2650">
        <v>0.72829999999999995</v>
      </c>
      <c r="M19" s="2650">
        <v>0.74919999999999998</v>
      </c>
      <c r="N19" s="2650">
        <v>0.77</v>
      </c>
      <c r="O19" s="884"/>
    </row>
    <row r="20" spans="2:25" s="6" customFormat="1" ht="15.5">
      <c r="B20" s="966"/>
      <c r="C20" s="65"/>
      <c r="D20" s="103"/>
      <c r="E20" s="103"/>
      <c r="F20" s="2648"/>
      <c r="G20" s="2648"/>
      <c r="H20" s="2648"/>
      <c r="I20" s="2648"/>
      <c r="J20" s="2648"/>
      <c r="K20" s="2648"/>
      <c r="L20" s="2648"/>
      <c r="M20" s="2648"/>
      <c r="N20" s="2648"/>
      <c r="O20" s="884"/>
    </row>
    <row r="21" spans="2:25" s="6" customFormat="1" ht="15.5">
      <c r="B21" s="966"/>
      <c r="C21" s="49" t="s">
        <v>3026</v>
      </c>
      <c r="D21" s="103"/>
      <c r="E21" s="103"/>
      <c r="F21" s="2648"/>
      <c r="G21" s="2648"/>
      <c r="H21" s="2648"/>
      <c r="I21" s="2648"/>
      <c r="J21" s="2648"/>
      <c r="K21" s="2648"/>
      <c r="L21" s="2648"/>
      <c r="M21" s="2648"/>
      <c r="N21" s="2648"/>
      <c r="O21" s="884"/>
    </row>
    <row r="22" spans="2:25" s="6" customFormat="1" ht="15.5">
      <c r="B22" s="966"/>
      <c r="C22" s="878"/>
      <c r="D22" s="878" t="s">
        <v>71</v>
      </c>
      <c r="E22" s="878" t="s">
        <v>30</v>
      </c>
      <c r="F22" s="87">
        <v>2013</v>
      </c>
      <c r="G22" s="87">
        <v>2015</v>
      </c>
      <c r="H22" s="87">
        <v>2020</v>
      </c>
      <c r="I22" s="87">
        <v>2025</v>
      </c>
      <c r="J22" s="87">
        <v>2030</v>
      </c>
      <c r="K22" s="87">
        <v>2035</v>
      </c>
      <c r="L22" s="87">
        <v>2040</v>
      </c>
      <c r="M22" s="87">
        <v>2045</v>
      </c>
      <c r="N22" s="87">
        <v>2050</v>
      </c>
      <c r="O22" s="103"/>
      <c r="P22" s="1027"/>
      <c r="Q22" s="3643"/>
      <c r="R22" s="3643"/>
      <c r="S22" s="3643"/>
      <c r="T22" s="3643"/>
      <c r="U22" s="3643"/>
      <c r="V22" s="3643"/>
      <c r="W22" s="3643"/>
      <c r="X22" s="3643"/>
      <c r="Y22" s="1027"/>
    </row>
    <row r="23" spans="2:25" s="6" customFormat="1" ht="15.5">
      <c r="B23" s="966"/>
      <c r="C23" s="2671"/>
      <c r="D23" s="2671" t="s">
        <v>2819</v>
      </c>
      <c r="E23" s="915"/>
      <c r="F23" s="915"/>
      <c r="G23" s="3644">
        <v>0.61980000000000002</v>
      </c>
      <c r="H23" s="3644">
        <v>0.4</v>
      </c>
      <c r="I23" s="3644">
        <v>0.3357</v>
      </c>
      <c r="J23" s="3644">
        <v>0.27600000000000002</v>
      </c>
      <c r="K23" s="3644">
        <v>0.2263</v>
      </c>
      <c r="L23" s="3644">
        <v>0.1656</v>
      </c>
      <c r="M23" s="3644">
        <v>9.1400000000000009E-2</v>
      </c>
      <c r="N23" s="3644">
        <v>0</v>
      </c>
      <c r="O23" s="103"/>
      <c r="P23" s="1027"/>
      <c r="Q23" s="3645"/>
      <c r="R23" s="3645"/>
      <c r="S23" s="3645"/>
      <c r="T23" s="3645"/>
      <c r="U23" s="3645"/>
      <c r="V23" s="3645"/>
      <c r="W23" s="3645"/>
      <c r="X23" s="3645"/>
      <c r="Y23" s="1027"/>
    </row>
    <row r="24" spans="2:25" s="6" customFormat="1" ht="15.5">
      <c r="B24" s="966"/>
      <c r="C24" s="915"/>
      <c r="D24" s="915" t="s">
        <v>2820</v>
      </c>
      <c r="E24" s="915"/>
      <c r="F24" s="915"/>
      <c r="G24" s="3644">
        <v>0.2707</v>
      </c>
      <c r="H24" s="3644">
        <v>0.3</v>
      </c>
      <c r="I24" s="3644">
        <v>0.29770000000000002</v>
      </c>
      <c r="J24" s="3644">
        <v>0.27600000000000002</v>
      </c>
      <c r="K24" s="3644">
        <v>0.2263</v>
      </c>
      <c r="L24" s="3644">
        <v>0.1656</v>
      </c>
      <c r="M24" s="3644">
        <v>9.1400000000000009E-2</v>
      </c>
      <c r="N24" s="3644">
        <v>0</v>
      </c>
      <c r="O24" s="103"/>
      <c r="P24" s="1027"/>
      <c r="Q24" s="3645"/>
      <c r="R24" s="3645"/>
      <c r="S24" s="3645"/>
      <c r="T24" s="3645"/>
      <c r="U24" s="3645"/>
      <c r="V24" s="3645"/>
      <c r="W24" s="3645"/>
      <c r="X24" s="3645"/>
      <c r="Y24" s="1027"/>
    </row>
    <row r="25" spans="2:25" s="6" customFormat="1" ht="15.5">
      <c r="B25" s="966"/>
      <c r="C25" s="917"/>
      <c r="D25" s="194" t="s">
        <v>2821</v>
      </c>
      <c r="E25" s="194"/>
      <c r="F25" s="2650"/>
      <c r="G25" s="2650">
        <v>0.10949999999999999</v>
      </c>
      <c r="H25" s="2650">
        <v>0.3</v>
      </c>
      <c r="I25" s="2650">
        <v>0.36659999999999998</v>
      </c>
      <c r="J25" s="2650">
        <v>0.44789999999999996</v>
      </c>
      <c r="K25" s="2650">
        <v>0.54730000000000001</v>
      </c>
      <c r="L25" s="2650">
        <v>0.66879999999999995</v>
      </c>
      <c r="M25" s="2650">
        <v>0.81720000000000004</v>
      </c>
      <c r="N25" s="2650">
        <v>1</v>
      </c>
      <c r="O25" s="103"/>
      <c r="P25" s="1027"/>
      <c r="Q25" s="3645"/>
      <c r="R25" s="3645"/>
      <c r="S25" s="3645"/>
      <c r="T25" s="3645"/>
      <c r="U25" s="3645"/>
      <c r="V25" s="3645"/>
      <c r="W25" s="3645"/>
      <c r="X25" s="3645"/>
      <c r="Y25" s="1027"/>
    </row>
    <row r="26" spans="2:25" s="6" customFormat="1" ht="15.5">
      <c r="B26" s="966"/>
      <c r="C26" s="915"/>
      <c r="D26" s="915"/>
      <c r="E26" s="915"/>
      <c r="F26" s="915"/>
      <c r="G26" s="3644"/>
      <c r="H26" s="3644"/>
      <c r="I26" s="3644"/>
      <c r="J26" s="3644"/>
      <c r="K26" s="3644"/>
      <c r="L26" s="3644"/>
      <c r="M26" s="3644"/>
      <c r="N26" s="3644"/>
      <c r="O26" s="103"/>
      <c r="P26" s="1027"/>
      <c r="Q26" s="3645"/>
      <c r="R26" s="3645"/>
      <c r="S26" s="3645"/>
      <c r="T26" s="3645"/>
      <c r="U26" s="3645"/>
      <c r="V26" s="3645"/>
      <c r="W26" s="3645"/>
      <c r="X26" s="3645"/>
      <c r="Y26" s="1027"/>
    </row>
    <row r="27" spans="2:25">
      <c r="B27" s="105"/>
      <c r="C27" s="49" t="s">
        <v>779</v>
      </c>
      <c r="D27" s="67"/>
      <c r="E27" s="67"/>
      <c r="F27" s="67"/>
      <c r="G27" s="67"/>
      <c r="H27" s="67"/>
      <c r="I27" s="67"/>
      <c r="J27" s="67"/>
      <c r="K27" s="67"/>
      <c r="L27" s="67"/>
      <c r="M27" s="67"/>
      <c r="N27" s="67" t="str">
        <f>"kt per "&amp;Preferences.EnergyUnits</f>
        <v>kt per TWh</v>
      </c>
      <c r="O27" s="876"/>
    </row>
    <row r="28" spans="2:25">
      <c r="B28" s="105"/>
      <c r="C28" s="67"/>
      <c r="D28" s="67"/>
      <c r="E28" s="1352"/>
      <c r="F28" s="1353"/>
      <c r="G28" s="67"/>
      <c r="H28" s="67"/>
      <c r="I28" s="67"/>
      <c r="J28" s="67"/>
      <c r="K28" s="67"/>
      <c r="L28" s="67"/>
      <c r="M28" s="67"/>
      <c r="N28" s="67"/>
      <c r="O28" s="876"/>
    </row>
    <row r="29" spans="2:25">
      <c r="B29" s="105"/>
      <c r="C29" s="1354" t="s">
        <v>43</v>
      </c>
      <c r="D29" s="1354" t="s">
        <v>987</v>
      </c>
      <c r="E29" s="1355" t="s">
        <v>44</v>
      </c>
      <c r="F29" s="1356">
        <v>2013</v>
      </c>
      <c r="G29" s="1356" t="s">
        <v>132</v>
      </c>
      <c r="H29" s="1356" t="s">
        <v>133</v>
      </c>
      <c r="I29" s="1356" t="s">
        <v>134</v>
      </c>
      <c r="J29" s="1356" t="s">
        <v>135</v>
      </c>
      <c r="K29" s="1356" t="s">
        <v>136</v>
      </c>
      <c r="L29" s="1356" t="s">
        <v>137</v>
      </c>
      <c r="M29" s="1356" t="s">
        <v>138</v>
      </c>
      <c r="N29" s="1357" t="s">
        <v>139</v>
      </c>
      <c r="O29" s="876"/>
    </row>
    <row r="30" spans="2:25">
      <c r="B30" s="105"/>
      <c r="C30" s="1358" t="s">
        <v>493</v>
      </c>
      <c r="D30" s="1359" t="s">
        <v>2822</v>
      </c>
      <c r="E30" s="1360" t="s">
        <v>89</v>
      </c>
      <c r="F30" s="3646">
        <f>G30</f>
        <v>0</v>
      </c>
      <c r="G30" s="3646">
        <f t="shared" ref="G30:N30" si="0">0*(1/Unit.TWh)</f>
        <v>0</v>
      </c>
      <c r="H30" s="3646">
        <f t="shared" si="0"/>
        <v>0</v>
      </c>
      <c r="I30" s="3646">
        <f t="shared" si="0"/>
        <v>0</v>
      </c>
      <c r="J30" s="3646">
        <f t="shared" si="0"/>
        <v>0</v>
      </c>
      <c r="K30" s="3646">
        <f t="shared" si="0"/>
        <v>0</v>
      </c>
      <c r="L30" s="3646">
        <f t="shared" si="0"/>
        <v>0</v>
      </c>
      <c r="M30" s="3646">
        <f t="shared" si="0"/>
        <v>0</v>
      </c>
      <c r="N30" s="3646">
        <f t="shared" si="0"/>
        <v>0</v>
      </c>
      <c r="O30" s="876"/>
    </row>
    <row r="31" spans="2:25">
      <c r="B31" s="105"/>
      <c r="C31" s="67"/>
      <c r="D31" s="67"/>
      <c r="E31" s="67"/>
      <c r="F31" s="67"/>
      <c r="G31" s="67"/>
      <c r="H31" s="67"/>
      <c r="I31" s="67"/>
      <c r="J31" s="67"/>
      <c r="K31" s="67"/>
      <c r="L31" s="67"/>
      <c r="M31" s="67"/>
      <c r="N31" s="67"/>
      <c r="O31" s="876"/>
      <c r="P31" s="39"/>
      <c r="Q31" s="39"/>
      <c r="R31" s="39"/>
      <c r="S31" s="39"/>
    </row>
    <row r="32" spans="2:25">
      <c r="B32" s="105"/>
      <c r="C32" s="49" t="s">
        <v>781</v>
      </c>
      <c r="D32" s="67"/>
      <c r="E32" s="67"/>
      <c r="F32" s="67"/>
      <c r="G32" s="67"/>
      <c r="H32" s="67"/>
      <c r="I32" s="67"/>
      <c r="J32" s="67"/>
      <c r="K32" s="67"/>
      <c r="L32" s="67"/>
      <c r="M32" s="67"/>
      <c r="N32" s="67" t="str">
        <f>"kt per "&amp;Preferences.EnergyUnits</f>
        <v>kt per TWh</v>
      </c>
      <c r="O32" s="876"/>
      <c r="P32" s="39"/>
      <c r="Q32" s="39"/>
      <c r="R32" s="39"/>
      <c r="S32" s="39"/>
    </row>
    <row r="33" spans="2:32">
      <c r="B33" s="105"/>
      <c r="C33" s="67"/>
      <c r="D33" s="67"/>
      <c r="E33" s="1352"/>
      <c r="F33" s="1353"/>
      <c r="G33" s="67"/>
      <c r="H33" s="67"/>
      <c r="I33" s="67"/>
      <c r="J33" s="67"/>
      <c r="K33" s="67"/>
      <c r="L33" s="67"/>
      <c r="M33" s="67"/>
      <c r="N33" s="67"/>
      <c r="O33" s="876"/>
      <c r="P33" s="39"/>
      <c r="Q33" s="39"/>
      <c r="R33" s="39"/>
      <c r="S33" s="39"/>
    </row>
    <row r="34" spans="2:32">
      <c r="B34" s="105"/>
      <c r="C34" s="1354" t="s">
        <v>43</v>
      </c>
      <c r="D34" s="1354" t="s">
        <v>987</v>
      </c>
      <c r="E34" s="1355" t="s">
        <v>44</v>
      </c>
      <c r="F34" s="1356">
        <v>2013</v>
      </c>
      <c r="G34" s="1356" t="s">
        <v>132</v>
      </c>
      <c r="H34" s="1356" t="s">
        <v>133</v>
      </c>
      <c r="I34" s="1356" t="s">
        <v>134</v>
      </c>
      <c r="J34" s="1356" t="s">
        <v>135</v>
      </c>
      <c r="K34" s="1356" t="s">
        <v>136</v>
      </c>
      <c r="L34" s="1356" t="s">
        <v>137</v>
      </c>
      <c r="M34" s="1356" t="s">
        <v>138</v>
      </c>
      <c r="N34" s="1356" t="s">
        <v>139</v>
      </c>
      <c r="O34" s="876"/>
      <c r="P34" s="39"/>
      <c r="Q34" s="39"/>
      <c r="R34" s="39"/>
      <c r="S34" s="39"/>
    </row>
    <row r="35" spans="2:32">
      <c r="B35" s="105"/>
      <c r="C35" s="1358" t="s">
        <v>493</v>
      </c>
      <c r="D35" s="1359" t="s">
        <v>2822</v>
      </c>
      <c r="E35" s="1360" t="s">
        <v>89</v>
      </c>
      <c r="F35" s="3646">
        <f>G35</f>
        <v>0.56038112541444796</v>
      </c>
      <c r="G35" s="3646">
        <f t="shared" ref="G35:N35" si="1">0.560381125414448*(1/Unit.TWh)</f>
        <v>0.56038112541444796</v>
      </c>
      <c r="H35" s="3646">
        <f t="shared" si="1"/>
        <v>0.56038112541444796</v>
      </c>
      <c r="I35" s="3646">
        <f t="shared" si="1"/>
        <v>0.56038112541444796</v>
      </c>
      <c r="J35" s="3646">
        <f t="shared" si="1"/>
        <v>0.56038112541444796</v>
      </c>
      <c r="K35" s="3646">
        <f t="shared" si="1"/>
        <v>0.56038112541444796</v>
      </c>
      <c r="L35" s="3646">
        <f t="shared" si="1"/>
        <v>0.56038112541444796</v>
      </c>
      <c r="M35" s="3646">
        <f t="shared" si="1"/>
        <v>0.56038112541444796</v>
      </c>
      <c r="N35" s="3646">
        <f t="shared" si="1"/>
        <v>0.56038112541444796</v>
      </c>
      <c r="O35" s="876"/>
      <c r="P35" s="39"/>
      <c r="Q35" s="39"/>
      <c r="R35" s="39"/>
      <c r="S35" s="39"/>
    </row>
    <row r="36" spans="2:32">
      <c r="B36" s="105"/>
      <c r="C36" s="67"/>
      <c r="D36" s="67"/>
      <c r="E36" s="67"/>
      <c r="F36" s="67"/>
      <c r="G36" s="67"/>
      <c r="H36" s="67"/>
      <c r="I36" s="67"/>
      <c r="J36" s="67"/>
      <c r="K36" s="67"/>
      <c r="L36" s="67"/>
      <c r="M36" s="67"/>
      <c r="N36" s="67"/>
      <c r="O36" s="876"/>
      <c r="P36" s="39"/>
      <c r="Q36" s="39"/>
      <c r="R36" s="39"/>
      <c r="S36" s="39"/>
    </row>
    <row r="37" spans="2:32">
      <c r="B37" s="105"/>
      <c r="C37" s="49" t="s">
        <v>782</v>
      </c>
      <c r="D37" s="67"/>
      <c r="E37" s="67"/>
      <c r="F37" s="67"/>
      <c r="G37" s="67"/>
      <c r="H37" s="67"/>
      <c r="I37" s="67"/>
      <c r="J37" s="67"/>
      <c r="K37" s="67"/>
      <c r="L37" s="67"/>
      <c r="M37" s="67"/>
      <c r="N37" s="67" t="str">
        <f>"kt per "&amp;Preferences.EnergyUnits</f>
        <v>kt per TWh</v>
      </c>
      <c r="O37" s="876"/>
      <c r="P37" s="39"/>
      <c r="Q37" s="39"/>
      <c r="R37" s="39"/>
      <c r="S37" s="39"/>
    </row>
    <row r="38" spans="2:32">
      <c r="B38" s="105"/>
      <c r="C38" s="67"/>
      <c r="D38" s="67"/>
      <c r="E38" s="1352"/>
      <c r="F38" s="1353"/>
      <c r="G38" s="67"/>
      <c r="H38" s="67"/>
      <c r="I38" s="67"/>
      <c r="J38" s="67"/>
      <c r="K38" s="67"/>
      <c r="L38" s="67"/>
      <c r="M38" s="67"/>
      <c r="N38" s="67"/>
      <c r="O38" s="876"/>
      <c r="P38" s="39"/>
      <c r="Q38" s="39"/>
      <c r="R38" s="39"/>
      <c r="S38" s="39"/>
    </row>
    <row r="39" spans="2:32">
      <c r="B39" s="105"/>
      <c r="C39" s="1354" t="s">
        <v>43</v>
      </c>
      <c r="D39" s="1354" t="s">
        <v>987</v>
      </c>
      <c r="E39" s="1355" t="s">
        <v>44</v>
      </c>
      <c r="F39" s="1356">
        <v>2013</v>
      </c>
      <c r="G39" s="1356" t="s">
        <v>132</v>
      </c>
      <c r="H39" s="1356" t="s">
        <v>133</v>
      </c>
      <c r="I39" s="1356" t="s">
        <v>134</v>
      </c>
      <c r="J39" s="1356" t="s">
        <v>135</v>
      </c>
      <c r="K39" s="1356" t="s">
        <v>136</v>
      </c>
      <c r="L39" s="1356" t="s">
        <v>137</v>
      </c>
      <c r="M39" s="1356" t="s">
        <v>138</v>
      </c>
      <c r="N39" s="1357" t="s">
        <v>139</v>
      </c>
      <c r="O39" s="876"/>
      <c r="P39" s="39"/>
      <c r="Q39" s="39"/>
      <c r="R39" s="39"/>
      <c r="S39" s="39"/>
    </row>
    <row r="40" spans="2:32">
      <c r="B40" s="105"/>
      <c r="C40" s="1358" t="s">
        <v>493</v>
      </c>
      <c r="D40" s="1359" t="s">
        <v>2822</v>
      </c>
      <c r="E40" s="1360" t="s">
        <v>89</v>
      </c>
      <c r="F40" s="3646">
        <f>G40</f>
        <v>0</v>
      </c>
      <c r="G40" s="3646">
        <f t="shared" ref="G40:N40" si="2">0*(1/Unit.TWh)</f>
        <v>0</v>
      </c>
      <c r="H40" s="3646">
        <f t="shared" si="2"/>
        <v>0</v>
      </c>
      <c r="I40" s="3646">
        <f t="shared" si="2"/>
        <v>0</v>
      </c>
      <c r="J40" s="3646">
        <f t="shared" si="2"/>
        <v>0</v>
      </c>
      <c r="K40" s="3646">
        <f t="shared" si="2"/>
        <v>0</v>
      </c>
      <c r="L40" s="3646">
        <f t="shared" si="2"/>
        <v>0</v>
      </c>
      <c r="M40" s="3646">
        <f t="shared" si="2"/>
        <v>0</v>
      </c>
      <c r="N40" s="3646">
        <f t="shared" si="2"/>
        <v>0</v>
      </c>
      <c r="O40" s="876"/>
    </row>
    <row r="41" spans="2:32">
      <c r="B41" s="105"/>
      <c r="C41" s="67"/>
      <c r="D41" s="67"/>
      <c r="E41" s="67"/>
      <c r="F41" s="67"/>
      <c r="G41" s="67"/>
      <c r="H41" s="67"/>
      <c r="I41" s="67"/>
      <c r="J41" s="67"/>
      <c r="K41" s="67"/>
      <c r="L41" s="67"/>
      <c r="M41" s="67"/>
      <c r="N41" s="67"/>
      <c r="O41" s="876"/>
    </row>
    <row r="42" spans="2:32">
      <c r="B42" s="105"/>
      <c r="C42" s="49" t="s">
        <v>783</v>
      </c>
      <c r="D42" s="67"/>
      <c r="E42" s="67"/>
      <c r="F42" s="67"/>
      <c r="G42" s="67"/>
      <c r="H42" s="67"/>
      <c r="I42" s="67"/>
      <c r="J42" s="67"/>
      <c r="K42" s="67"/>
      <c r="L42" s="67"/>
      <c r="M42" s="67"/>
      <c r="N42" s="67" t="str">
        <f>"kt per "&amp;Preferences.EnergyUnits</f>
        <v>kt per TWh</v>
      </c>
      <c r="O42" s="876"/>
    </row>
    <row r="43" spans="2:32">
      <c r="B43" s="105"/>
      <c r="C43" s="67"/>
      <c r="D43" s="67"/>
      <c r="E43" s="1352"/>
      <c r="F43" s="1353"/>
      <c r="G43" s="67"/>
      <c r="H43" s="67"/>
      <c r="I43" s="67"/>
      <c r="J43" s="67"/>
      <c r="K43" s="67"/>
      <c r="L43" s="67"/>
      <c r="M43" s="67"/>
      <c r="N43" s="67"/>
      <c r="O43" s="876"/>
    </row>
    <row r="44" spans="2:32">
      <c r="B44" s="105"/>
      <c r="C44" s="1354" t="s">
        <v>43</v>
      </c>
      <c r="D44" s="1354" t="s">
        <v>987</v>
      </c>
      <c r="E44" s="1355" t="s">
        <v>44</v>
      </c>
      <c r="F44" s="1356">
        <v>2013</v>
      </c>
      <c r="G44" s="1356" t="s">
        <v>132</v>
      </c>
      <c r="H44" s="1356" t="s">
        <v>133</v>
      </c>
      <c r="I44" s="1356" t="s">
        <v>134</v>
      </c>
      <c r="J44" s="1356" t="s">
        <v>135</v>
      </c>
      <c r="K44" s="1356" t="s">
        <v>136</v>
      </c>
      <c r="L44" s="1356" t="s">
        <v>137</v>
      </c>
      <c r="M44" s="1356" t="s">
        <v>138</v>
      </c>
      <c r="N44" s="1357" t="s">
        <v>139</v>
      </c>
      <c r="O44" s="876"/>
    </row>
    <row r="45" spans="2:32">
      <c r="B45" s="105"/>
      <c r="C45" s="1358" t="s">
        <v>493</v>
      </c>
      <c r="D45" s="1359" t="s">
        <v>2822</v>
      </c>
      <c r="E45" s="1360" t="s">
        <v>89</v>
      </c>
      <c r="F45" s="3646">
        <f>G45</f>
        <v>8.0207196413967004E-3</v>
      </c>
      <c r="G45" s="3646">
        <f t="shared" ref="G45:N45" si="3">0.0080207196413967*(1/Unit.TWh)</f>
        <v>8.0207196413967004E-3</v>
      </c>
      <c r="H45" s="3646">
        <f t="shared" si="3"/>
        <v>8.0207196413967004E-3</v>
      </c>
      <c r="I45" s="3646">
        <f t="shared" si="3"/>
        <v>8.0207196413967004E-3</v>
      </c>
      <c r="J45" s="3646">
        <f t="shared" si="3"/>
        <v>8.0207196413967004E-3</v>
      </c>
      <c r="K45" s="3646">
        <f t="shared" si="3"/>
        <v>8.0207196413967004E-3</v>
      </c>
      <c r="L45" s="3646">
        <f t="shared" si="3"/>
        <v>8.0207196413967004E-3</v>
      </c>
      <c r="M45" s="3646">
        <f t="shared" si="3"/>
        <v>8.0207196413967004E-3</v>
      </c>
      <c r="N45" s="3646">
        <f t="shared" si="3"/>
        <v>8.0207196413967004E-3</v>
      </c>
      <c r="O45" s="876"/>
      <c r="AC45" s="39"/>
      <c r="AD45" s="39"/>
      <c r="AE45" s="39"/>
      <c r="AF45" s="39"/>
    </row>
    <row r="46" spans="2:32">
      <c r="B46" s="105"/>
      <c r="C46" s="1362"/>
      <c r="D46" s="189"/>
      <c r="E46" s="2441"/>
      <c r="F46" s="2430"/>
      <c r="G46" s="2430"/>
      <c r="H46" s="2430"/>
      <c r="I46" s="2430"/>
      <c r="J46" s="2430"/>
      <c r="K46" s="2430"/>
      <c r="L46" s="2430"/>
      <c r="M46" s="2430"/>
      <c r="N46" s="2430"/>
      <c r="O46" s="876"/>
      <c r="AC46" s="39"/>
      <c r="AD46" s="39"/>
      <c r="AE46" s="39"/>
      <c r="AF46" s="39"/>
    </row>
    <row r="47" spans="2:32">
      <c r="B47" s="47"/>
      <c r="C47" s="961" t="s">
        <v>3024</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49"/>
      <c r="I48" s="47"/>
      <c r="J48" s="47"/>
      <c r="K48" s="47"/>
      <c r="L48" s="47"/>
      <c r="M48" s="47"/>
      <c r="N48" s="47"/>
      <c r="O48" s="47"/>
      <c r="AC48" s="39"/>
      <c r="AD48" s="851"/>
      <c r="AE48" s="3647"/>
      <c r="AF48" s="39"/>
    </row>
    <row r="49" spans="2:33" ht="25">
      <c r="B49" s="47"/>
      <c r="C49" s="878" t="s">
        <v>2823</v>
      </c>
      <c r="D49" s="3648" t="s">
        <v>2824</v>
      </c>
      <c r="E49" s="3648" t="s">
        <v>2825</v>
      </c>
      <c r="F49" s="3649" t="s">
        <v>2826</v>
      </c>
      <c r="G49" s="47"/>
      <c r="H49" s="3849" t="s">
        <v>63</v>
      </c>
      <c r="I49" s="47"/>
      <c r="J49" s="47"/>
      <c r="K49" s="47"/>
      <c r="L49" s="47"/>
      <c r="M49" s="47"/>
      <c r="N49" s="47"/>
      <c r="O49" s="47"/>
      <c r="AC49" s="39"/>
      <c r="AD49" s="1068"/>
      <c r="AE49" s="2467"/>
      <c r="AF49" s="39"/>
    </row>
    <row r="50" spans="2:33">
      <c r="B50" s="47"/>
      <c r="C50" s="881" t="s">
        <v>2819</v>
      </c>
      <c r="D50" s="3682">
        <f>1*Unit.GW*Conversion.to.annual.energy</f>
        <v>8.766</v>
      </c>
      <c r="E50" s="3650">
        <f>(5/30)</f>
        <v>0.16666666666666666</v>
      </c>
      <c r="F50" s="3651">
        <v>1</v>
      </c>
      <c r="G50" s="47"/>
      <c r="H50" s="3417" t="s">
        <v>64</v>
      </c>
      <c r="I50" s="47" t="s">
        <v>3023</v>
      </c>
      <c r="J50" s="47"/>
      <c r="K50" s="47"/>
      <c r="L50" s="47"/>
      <c r="M50" s="47"/>
      <c r="N50" s="47"/>
      <c r="O50" s="47"/>
      <c r="AC50" s="39"/>
      <c r="AD50" s="1068"/>
      <c r="AE50" s="2467"/>
      <c r="AF50" s="39"/>
    </row>
    <row r="51" spans="2:33" ht="15.75" customHeight="1">
      <c r="B51" s="47"/>
      <c r="C51" s="103" t="s">
        <v>2820</v>
      </c>
      <c r="D51" s="3652">
        <f>4*Unit.MW*Conversion.to.annual.energy</f>
        <v>3.5063999999999998E-2</v>
      </c>
      <c r="E51" s="3613">
        <f>5/(22.5)</f>
        <v>0.22222222222222221</v>
      </c>
      <c r="F51" s="3653">
        <v>0</v>
      </c>
      <c r="G51" s="47"/>
      <c r="H51" s="47"/>
      <c r="I51" s="47"/>
      <c r="J51" s="47"/>
      <c r="K51" s="47"/>
      <c r="L51" s="47"/>
      <c r="M51" s="47"/>
      <c r="N51" s="47"/>
      <c r="O51" s="47"/>
      <c r="AC51" s="39"/>
      <c r="AD51" s="1068"/>
      <c r="AE51" s="2467"/>
      <c r="AF51" s="39"/>
    </row>
    <row r="52" spans="2:33">
      <c r="B52" s="47"/>
      <c r="C52" s="1495" t="s">
        <v>2821</v>
      </c>
      <c r="D52" s="3654">
        <f>D51</f>
        <v>3.5063999999999998E-2</v>
      </c>
      <c r="E52" s="3655">
        <f>5/(20)</f>
        <v>0.25</v>
      </c>
      <c r="F52" s="3656">
        <v>0.5</v>
      </c>
      <c r="G52" s="47"/>
      <c r="H52" s="47"/>
      <c r="I52" s="47"/>
      <c r="J52" s="47"/>
      <c r="K52" s="47"/>
      <c r="L52" s="47"/>
      <c r="M52" s="47"/>
      <c r="N52" s="47"/>
      <c r="O52" s="47"/>
      <c r="AC52" s="39"/>
      <c r="AD52" s="1068"/>
      <c r="AE52" s="2467"/>
      <c r="AF52" s="39"/>
    </row>
    <row r="53" spans="2:33">
      <c r="B53" s="47"/>
      <c r="C53" s="103" t="s">
        <v>2827</v>
      </c>
      <c r="D53" s="3652">
        <f>D51</f>
        <v>3.5063999999999998E-2</v>
      </c>
      <c r="E53" s="3613">
        <f>5/30</f>
        <v>0.16666666666666666</v>
      </c>
      <c r="F53" s="3657" t="s">
        <v>1696</v>
      </c>
      <c r="G53" s="47"/>
      <c r="H53" s="47"/>
      <c r="I53" s="47"/>
      <c r="J53" s="47"/>
      <c r="K53" s="47"/>
      <c r="L53" s="47"/>
      <c r="M53" s="47"/>
      <c r="N53" s="47"/>
      <c r="O53" s="47"/>
      <c r="AC53" s="39"/>
      <c r="AD53" s="1068"/>
      <c r="AE53" s="2467"/>
      <c r="AF53" s="39"/>
    </row>
    <row r="54" spans="2:33">
      <c r="B54" s="47"/>
      <c r="C54" s="194" t="s">
        <v>2828</v>
      </c>
      <c r="D54" s="3658">
        <f>D52</f>
        <v>3.5063999999999998E-2</v>
      </c>
      <c r="E54" s="3659">
        <f>5/50</f>
        <v>0.1</v>
      </c>
      <c r="F54" s="3660" t="s">
        <v>1696</v>
      </c>
      <c r="G54" s="47"/>
      <c r="H54" s="47"/>
      <c r="I54" s="47"/>
      <c r="J54" s="47"/>
      <c r="K54" s="47"/>
      <c r="L54" s="47"/>
      <c r="M54" s="47"/>
      <c r="N54" s="47"/>
      <c r="O54" s="47"/>
      <c r="AC54" s="39"/>
      <c r="AD54" s="1068"/>
      <c r="AE54" s="2467"/>
      <c r="AF54" s="39"/>
    </row>
    <row r="55" spans="2:33">
      <c r="B55" s="47"/>
      <c r="C55" s="103"/>
      <c r="D55" s="103"/>
      <c r="E55" s="3652"/>
      <c r="F55" s="3613"/>
      <c r="G55" s="47"/>
      <c r="H55" s="47"/>
      <c r="I55" s="47"/>
      <c r="J55" s="47"/>
      <c r="K55" s="47"/>
      <c r="L55" s="47"/>
      <c r="M55" s="47"/>
      <c r="N55" s="47"/>
      <c r="O55" s="47"/>
      <c r="P55" s="1068"/>
      <c r="Q55" s="1068"/>
      <c r="R55" s="1068"/>
      <c r="S55" s="1068"/>
      <c r="T55" s="1068"/>
      <c r="U55" s="1068"/>
      <c r="V55" s="1068"/>
      <c r="W55" s="1068"/>
      <c r="X55" s="1068"/>
      <c r="Y55" s="1068"/>
      <c r="Z55" s="1068"/>
      <c r="AA55" s="1068"/>
      <c r="AB55" s="1068"/>
      <c r="AC55" s="1068"/>
      <c r="AD55" s="1068"/>
      <c r="AE55" s="1068"/>
      <c r="AF55" s="1068"/>
      <c r="AG55" s="1068"/>
    </row>
    <row r="56" spans="2:33">
      <c r="B56" s="81"/>
      <c r="C56" s="1068"/>
      <c r="D56" s="1420"/>
      <c r="E56" s="1068"/>
      <c r="F56" s="1068"/>
      <c r="G56" s="1068"/>
      <c r="H56" s="1068"/>
      <c r="I56" s="1068"/>
      <c r="J56" s="1068"/>
      <c r="K56" s="1068"/>
      <c r="L56" s="1068"/>
      <c r="M56" s="1068"/>
      <c r="N56" s="1068"/>
      <c r="O56" s="1068"/>
      <c r="P56" s="1068"/>
      <c r="Q56" s="1068"/>
      <c r="R56" s="1068"/>
      <c r="S56" s="1068"/>
      <c r="T56" s="1068"/>
      <c r="U56" s="1068"/>
      <c r="V56" s="1068"/>
      <c r="W56" s="1068"/>
      <c r="X56" s="1068"/>
      <c r="Y56" s="1068"/>
      <c r="Z56" s="1068"/>
      <c r="AA56" s="1068"/>
      <c r="AB56" s="1068"/>
      <c r="AC56" s="1068"/>
      <c r="AD56" s="1068"/>
      <c r="AE56" s="1068"/>
      <c r="AF56" s="1068"/>
      <c r="AG56" s="1068"/>
    </row>
    <row r="57" spans="2:33" ht="15">
      <c r="B57" s="869" t="s">
        <v>2719</v>
      </c>
      <c r="C57" s="870"/>
      <c r="D57" s="870"/>
      <c r="E57" s="870"/>
      <c r="F57" s="870"/>
      <c r="G57" s="870"/>
      <c r="H57" s="870"/>
      <c r="I57" s="870"/>
      <c r="J57" s="870"/>
      <c r="K57" s="870"/>
      <c r="L57" s="870"/>
      <c r="M57" s="870"/>
      <c r="N57" s="870"/>
      <c r="O57" s="870"/>
      <c r="P57" s="1068"/>
      <c r="Q57" s="2500"/>
      <c r="R57" s="647"/>
      <c r="S57" s="647"/>
      <c r="T57" s="647"/>
      <c r="U57" s="647"/>
      <c r="V57" s="647"/>
      <c r="W57" s="647"/>
      <c r="X57" s="647"/>
      <c r="Y57" s="647"/>
      <c r="Z57" s="647"/>
      <c r="AA57" s="647"/>
      <c r="AB57" s="647"/>
      <c r="AC57" s="647"/>
      <c r="AD57" s="1068"/>
      <c r="AE57" s="1068"/>
      <c r="AF57" s="1068"/>
      <c r="AG57" s="1068"/>
    </row>
    <row r="58" spans="2:33" ht="6.75" hidden="1" customHeight="1">
      <c r="B58" s="872"/>
      <c r="C58" s="873"/>
      <c r="D58" s="873"/>
      <c r="E58" s="873"/>
      <c r="F58" s="873"/>
      <c r="G58" s="873"/>
      <c r="H58" s="873"/>
      <c r="I58" s="873"/>
      <c r="J58" s="873"/>
      <c r="K58" s="873"/>
      <c r="L58" s="873"/>
      <c r="M58" s="873"/>
      <c r="N58" s="873"/>
      <c r="O58" s="873"/>
      <c r="P58" s="1068"/>
      <c r="Q58" s="1068"/>
      <c r="R58" s="1068"/>
      <c r="S58" s="1068"/>
      <c r="T58" s="1068"/>
      <c r="U58" s="1068"/>
      <c r="V58" s="1068"/>
      <c r="W58" s="1068"/>
      <c r="X58" s="1068"/>
      <c r="Y58" s="1068"/>
      <c r="Z58" s="1068"/>
      <c r="AA58" s="1068"/>
      <c r="AB58" s="1068"/>
      <c r="AC58" s="1068"/>
      <c r="AD58" s="1068"/>
      <c r="AE58" s="1068"/>
      <c r="AF58" s="1068"/>
      <c r="AG58" s="1068"/>
    </row>
    <row r="59" spans="2:33" hidden="1">
      <c r="B59" s="105"/>
      <c r="C59" s="49" t="s">
        <v>168</v>
      </c>
      <c r="D59" s="915"/>
      <c r="E59" s="932"/>
      <c r="F59" s="2489"/>
      <c r="G59" s="934"/>
      <c r="H59" s="934"/>
      <c r="I59" s="934"/>
      <c r="J59" s="934"/>
      <c r="K59" s="934"/>
      <c r="L59" s="934"/>
      <c r="M59" s="934"/>
      <c r="N59" s="47"/>
      <c r="O59" s="67"/>
      <c r="P59" s="1068"/>
      <c r="Q59" s="2570"/>
      <c r="R59" s="202"/>
      <c r="S59" s="1420"/>
      <c r="T59" s="1068"/>
      <c r="U59" s="3602"/>
      <c r="V59" s="2466"/>
      <c r="W59" s="4335"/>
      <c r="X59" s="4335"/>
      <c r="Y59" s="4335"/>
      <c r="Z59" s="4335"/>
      <c r="AA59" s="202"/>
      <c r="AB59" s="1068"/>
      <c r="AC59" s="1068"/>
      <c r="AD59" s="1068"/>
      <c r="AE59" s="1068"/>
      <c r="AF59" s="1068"/>
      <c r="AG59" s="1068"/>
    </row>
    <row r="60" spans="2:33" ht="6.75" hidden="1" customHeight="1">
      <c r="B60" s="105"/>
      <c r="C60" s="49"/>
      <c r="D60" s="915"/>
      <c r="E60" s="932"/>
      <c r="F60" s="2489"/>
      <c r="G60" s="934"/>
      <c r="H60" s="934"/>
      <c r="I60" s="934"/>
      <c r="J60" s="934"/>
      <c r="K60" s="934"/>
      <c r="L60" s="934"/>
      <c r="M60" s="934"/>
      <c r="N60" s="935"/>
      <c r="O60" s="67"/>
      <c r="P60" s="1068"/>
      <c r="Q60" s="2570"/>
      <c r="R60" s="1068"/>
      <c r="S60" s="1420"/>
      <c r="T60" s="1068"/>
      <c r="U60" s="1068"/>
      <c r="V60" s="1068"/>
      <c r="W60" s="1068"/>
      <c r="X60" s="1068"/>
      <c r="Y60" s="1068"/>
      <c r="Z60" s="1068"/>
      <c r="AA60" s="1068"/>
      <c r="AB60" s="1068"/>
      <c r="AC60" s="1068"/>
      <c r="AD60" s="2588"/>
      <c r="AE60" s="81"/>
      <c r="AF60" s="1068"/>
      <c r="AG60" s="1068"/>
    </row>
    <row r="61" spans="2:33" ht="12.75" hidden="1" customHeight="1">
      <c r="B61" s="105"/>
      <c r="C61" s="3007" t="s">
        <v>22</v>
      </c>
      <c r="D61" s="915"/>
      <c r="E61" s="932"/>
      <c r="F61" s="2489"/>
      <c r="G61" s="934"/>
      <c r="H61" s="934"/>
      <c r="I61" s="934"/>
      <c r="J61" s="934"/>
      <c r="K61" s="934"/>
      <c r="L61" s="934"/>
      <c r="M61" s="934"/>
      <c r="N61" s="935" t="s">
        <v>2740</v>
      </c>
      <c r="O61" s="67"/>
      <c r="P61" s="1068"/>
      <c r="Q61" s="2572"/>
      <c r="R61" s="2542"/>
      <c r="S61" s="2542"/>
      <c r="T61" s="528"/>
      <c r="U61" s="528"/>
      <c r="V61" s="1068"/>
      <c r="W61" s="2824"/>
      <c r="X61" s="2824"/>
      <c r="Y61" s="2824"/>
      <c r="Z61" s="2824"/>
      <c r="AA61" s="2824"/>
      <c r="AB61" s="2824"/>
      <c r="AC61" s="2824"/>
      <c r="AD61" s="2588"/>
      <c r="AE61" s="81"/>
      <c r="AF61" s="1068"/>
      <c r="AG61" s="1068"/>
    </row>
    <row r="62" spans="2:33" s="39" customFormat="1" ht="12" hidden="1" customHeight="1">
      <c r="B62" s="105"/>
      <c r="C62" s="1170"/>
      <c r="D62" s="1070"/>
      <c r="E62" s="971" t="s">
        <v>159</v>
      </c>
      <c r="F62" s="3008">
        <v>2013</v>
      </c>
      <c r="G62" s="965">
        <v>2015</v>
      </c>
      <c r="H62" s="965">
        <v>2020</v>
      </c>
      <c r="I62" s="965">
        <v>2025</v>
      </c>
      <c r="J62" s="965">
        <v>2030</v>
      </c>
      <c r="K62" s="965">
        <v>2035</v>
      </c>
      <c r="L62" s="965">
        <v>2040</v>
      </c>
      <c r="M62" s="965">
        <v>2045</v>
      </c>
      <c r="N62" s="965">
        <v>2050</v>
      </c>
      <c r="O62" s="67"/>
      <c r="P62" s="1068"/>
      <c r="Q62" s="2572"/>
      <c r="R62" s="647"/>
      <c r="S62" s="647"/>
      <c r="T62" s="1068"/>
      <c r="U62" s="1068"/>
      <c r="V62" s="1068"/>
      <c r="W62" s="3353"/>
      <c r="X62" s="3353"/>
      <c r="Y62" s="3353"/>
      <c r="Z62" s="3353"/>
      <c r="AA62" s="3139"/>
      <c r="AB62" s="3139"/>
      <c r="AC62" s="3139"/>
      <c r="AD62" s="2588"/>
      <c r="AE62" s="81"/>
      <c r="AF62" s="1068"/>
      <c r="AG62" s="1068"/>
    </row>
    <row r="63" spans="2:33" s="39" customFormat="1" ht="12" hidden="1" customHeight="1">
      <c r="B63" s="105"/>
      <c r="C63" s="968" t="s">
        <v>2819</v>
      </c>
      <c r="D63" s="1070"/>
      <c r="E63" s="2394"/>
      <c r="F63" s="3368"/>
      <c r="G63" s="3369"/>
      <c r="H63" s="3369"/>
      <c r="I63" s="3369"/>
      <c r="J63" s="3369"/>
      <c r="K63" s="3369"/>
      <c r="L63" s="3369"/>
      <c r="M63" s="3369"/>
      <c r="N63" s="3368"/>
      <c r="O63" s="67"/>
      <c r="P63" s="1068"/>
      <c r="Q63" s="2572"/>
      <c r="R63" s="647"/>
      <c r="S63" s="647"/>
      <c r="T63" s="1068"/>
      <c r="U63" s="1068"/>
      <c r="V63" s="1068"/>
      <c r="W63" s="3353"/>
      <c r="X63" s="3353"/>
      <c r="Y63" s="3353"/>
      <c r="Z63" s="3353"/>
      <c r="AA63" s="3139"/>
      <c r="AB63" s="3139"/>
      <c r="AC63" s="3139"/>
      <c r="AD63" s="2588"/>
      <c r="AE63" s="81"/>
      <c r="AF63" s="1068"/>
      <c r="AG63" s="1068"/>
    </row>
    <row r="64" spans="2:33" s="39" customFormat="1" ht="12" hidden="1" customHeight="1">
      <c r="B64" s="105"/>
      <c r="C64" s="103" t="s">
        <v>2820</v>
      </c>
      <c r="D64" s="915"/>
      <c r="E64" s="2395"/>
      <c r="F64" s="3370"/>
      <c r="G64" s="2489"/>
      <c r="H64" s="2489"/>
      <c r="I64" s="2489"/>
      <c r="J64" s="2489"/>
      <c r="K64" s="2489"/>
      <c r="L64" s="2489"/>
      <c r="M64" s="2489"/>
      <c r="N64" s="3370"/>
      <c r="O64" s="67"/>
      <c r="P64" s="1068"/>
      <c r="Q64" s="2572"/>
      <c r="R64" s="647"/>
      <c r="S64" s="647"/>
      <c r="T64" s="1068"/>
      <c r="U64" s="1068"/>
      <c r="V64" s="1068"/>
      <c r="W64" s="3353"/>
      <c r="X64" s="3353"/>
      <c r="Y64" s="3353"/>
      <c r="Z64" s="3353"/>
      <c r="AA64" s="3139"/>
      <c r="AB64" s="3139"/>
      <c r="AC64" s="3139"/>
      <c r="AD64" s="2588"/>
      <c r="AE64" s="81"/>
      <c r="AF64" s="1068"/>
      <c r="AG64" s="1068"/>
    </row>
    <row r="65" spans="2:33" s="39" customFormat="1" ht="12" hidden="1" customHeight="1">
      <c r="B65" s="105"/>
      <c r="C65" s="103" t="s">
        <v>2821</v>
      </c>
      <c r="D65" s="915"/>
      <c r="E65" s="2395"/>
      <c r="F65" s="3370"/>
      <c r="G65" s="2489"/>
      <c r="H65" s="2489"/>
      <c r="I65" s="2489"/>
      <c r="J65" s="2489"/>
      <c r="K65" s="2489"/>
      <c r="L65" s="2489"/>
      <c r="M65" s="2489"/>
      <c r="N65" s="3370"/>
      <c r="O65" s="67"/>
      <c r="P65" s="1068"/>
      <c r="Q65" s="2572"/>
      <c r="R65" s="647"/>
      <c r="S65" s="647"/>
      <c r="T65" s="1068"/>
      <c r="U65" s="1068"/>
      <c r="V65" s="1068"/>
      <c r="W65" s="3353"/>
      <c r="X65" s="3353"/>
      <c r="Y65" s="3353"/>
      <c r="Z65" s="3353"/>
      <c r="AA65" s="3139"/>
      <c r="AB65" s="3139"/>
      <c r="AC65" s="3139"/>
      <c r="AD65" s="2588"/>
      <c r="AE65" s="81"/>
      <c r="AF65" s="1068"/>
      <c r="AG65" s="1068"/>
    </row>
    <row r="66" spans="2:33" s="39" customFormat="1" ht="12" hidden="1" customHeight="1">
      <c r="B66" s="105"/>
      <c r="C66" s="103" t="s">
        <v>2827</v>
      </c>
      <c r="D66" s="67"/>
      <c r="E66" s="2395"/>
      <c r="F66" s="3370"/>
      <c r="G66" s="3370"/>
      <c r="H66" s="3370"/>
      <c r="I66" s="3370"/>
      <c r="J66" s="3370"/>
      <c r="K66" s="3370"/>
      <c r="L66" s="3370"/>
      <c r="M66" s="3370"/>
      <c r="N66" s="3370"/>
      <c r="O66" s="47"/>
      <c r="P66" s="1068"/>
      <c r="Q66" s="2522"/>
      <c r="R66" s="3481"/>
      <c r="S66" s="3481"/>
      <c r="T66" s="1219"/>
      <c r="U66" s="1219"/>
      <c r="V66" s="1219"/>
      <c r="W66" s="1219"/>
      <c r="X66" s="1219"/>
      <c r="Y66" s="1219"/>
      <c r="Z66" s="1219"/>
      <c r="AA66" s="2523"/>
      <c r="AB66" s="3139"/>
      <c r="AC66" s="3139"/>
      <c r="AD66" s="2588"/>
      <c r="AE66" s="81"/>
      <c r="AF66" s="1068"/>
      <c r="AG66" s="1068"/>
    </row>
    <row r="67" spans="2:33" s="39" customFormat="1" ht="12" hidden="1" customHeight="1">
      <c r="B67" s="105"/>
      <c r="C67" s="194" t="s">
        <v>2828</v>
      </c>
      <c r="D67" s="969"/>
      <c r="E67" s="2396"/>
      <c r="F67" s="3355"/>
      <c r="G67" s="3355"/>
      <c r="H67" s="3355"/>
      <c r="I67" s="3355"/>
      <c r="J67" s="3355"/>
      <c r="K67" s="3355"/>
      <c r="L67" s="3355"/>
      <c r="M67" s="3355"/>
      <c r="N67" s="3355"/>
      <c r="O67" s="47"/>
      <c r="P67" s="1068"/>
      <c r="Q67" s="1068"/>
      <c r="R67" s="3011"/>
      <c r="S67" s="3361"/>
      <c r="T67" s="1221"/>
      <c r="U67" s="1221"/>
      <c r="V67" s="1221"/>
      <c r="W67" s="1221"/>
      <c r="X67" s="1221"/>
      <c r="Y67" s="1221"/>
      <c r="Z67" s="1221"/>
      <c r="AA67" s="1221"/>
      <c r="AB67" s="3139"/>
      <c r="AC67" s="3139"/>
      <c r="AD67" s="2588"/>
      <c r="AE67" s="81"/>
      <c r="AF67" s="1068"/>
      <c r="AG67" s="1068"/>
    </row>
    <row r="68" spans="2:33" s="39" customFormat="1" ht="12" hidden="1" customHeight="1">
      <c r="B68" s="47"/>
      <c r="C68" s="943"/>
      <c r="D68" s="915"/>
      <c r="E68" s="2395"/>
      <c r="F68" s="3370"/>
      <c r="G68" s="2398"/>
      <c r="H68" s="2398"/>
      <c r="I68" s="2398"/>
      <c r="J68" s="2398"/>
      <c r="K68" s="2398"/>
      <c r="L68" s="2398"/>
      <c r="M68" s="2398"/>
      <c r="N68" s="3370"/>
      <c r="O68" s="67"/>
      <c r="P68" s="1068"/>
      <c r="Q68" s="1068"/>
      <c r="R68" s="3363"/>
      <c r="S68" s="3363"/>
      <c r="T68" s="3363"/>
      <c r="U68" s="3363"/>
      <c r="V68" s="3363"/>
      <c r="W68" s="3363"/>
      <c r="X68" s="3363"/>
      <c r="Y68" s="3363"/>
      <c r="Z68" s="3363"/>
      <c r="AA68" s="3363"/>
      <c r="AB68" s="2585"/>
      <c r="AC68" s="2585"/>
      <c r="AD68" s="2588"/>
      <c r="AE68" s="81"/>
      <c r="AF68" s="1068"/>
      <c r="AG68" s="1068"/>
    </row>
    <row r="69" spans="2:33" s="39" customFormat="1" ht="12" hidden="1" customHeight="1">
      <c r="B69" s="47"/>
      <c r="C69" s="3007" t="s">
        <v>160</v>
      </c>
      <c r="D69" s="915"/>
      <c r="E69" s="932"/>
      <c r="F69" s="2489"/>
      <c r="G69" s="934"/>
      <c r="H69" s="934"/>
      <c r="I69" s="934"/>
      <c r="J69" s="934"/>
      <c r="K69" s="934"/>
      <c r="L69" s="934"/>
      <c r="M69" s="934"/>
      <c r="N69" s="935" t="s">
        <v>2740</v>
      </c>
      <c r="O69" s="67"/>
      <c r="P69" s="1068"/>
      <c r="Q69" s="1068"/>
      <c r="R69" s="3363"/>
      <c r="S69" s="3363"/>
      <c r="T69" s="3363"/>
      <c r="U69" s="3363"/>
      <c r="V69" s="3363"/>
      <c r="W69" s="3363"/>
      <c r="X69" s="3363"/>
      <c r="Y69" s="3363"/>
      <c r="Z69" s="3363"/>
      <c r="AA69" s="3363"/>
      <c r="AB69" s="2585"/>
      <c r="AC69" s="2585"/>
      <c r="AD69" s="2588"/>
      <c r="AE69" s="81"/>
      <c r="AF69" s="1068"/>
      <c r="AG69" s="1068"/>
    </row>
    <row r="70" spans="2:33" s="39" customFormat="1" ht="12" hidden="1" customHeight="1">
      <c r="B70" s="47"/>
      <c r="C70" s="1170"/>
      <c r="D70" s="1070"/>
      <c r="E70" s="971" t="s">
        <v>159</v>
      </c>
      <c r="F70" s="3008">
        <v>2013</v>
      </c>
      <c r="G70" s="965">
        <v>2015</v>
      </c>
      <c r="H70" s="965">
        <v>2020</v>
      </c>
      <c r="I70" s="965">
        <v>2025</v>
      </c>
      <c r="J70" s="965">
        <v>2030</v>
      </c>
      <c r="K70" s="965">
        <v>2035</v>
      </c>
      <c r="L70" s="965">
        <v>2040</v>
      </c>
      <c r="M70" s="965">
        <v>2045</v>
      </c>
      <c r="N70" s="965">
        <v>2050</v>
      </c>
      <c r="O70" s="67"/>
      <c r="P70" s="1068"/>
      <c r="Q70" s="1068"/>
      <c r="R70" s="3363"/>
      <c r="S70" s="3363"/>
      <c r="T70" s="3363"/>
      <c r="U70" s="3363"/>
      <c r="V70" s="3363"/>
      <c r="W70" s="3363"/>
      <c r="X70" s="3363"/>
      <c r="Y70" s="3363"/>
      <c r="Z70" s="3363"/>
      <c r="AA70" s="3363"/>
      <c r="AB70" s="2585"/>
      <c r="AC70" s="2585"/>
      <c r="AD70" s="2588"/>
      <c r="AE70" s="81"/>
      <c r="AF70" s="1068"/>
      <c r="AG70" s="1068"/>
    </row>
    <row r="71" spans="2:33" s="39" customFormat="1" ht="12" hidden="1" customHeight="1">
      <c r="B71" s="47"/>
      <c r="C71" s="968" t="s">
        <v>2819</v>
      </c>
      <c r="D71" s="1070"/>
      <c r="E71" s="2394"/>
      <c r="F71" s="3368"/>
      <c r="G71" s="3369"/>
      <c r="H71" s="3369"/>
      <c r="I71" s="3369"/>
      <c r="J71" s="3369"/>
      <c r="K71" s="3369"/>
      <c r="L71" s="3369"/>
      <c r="M71" s="3369"/>
      <c r="N71" s="3368"/>
      <c r="O71" s="67"/>
      <c r="P71" s="1068"/>
      <c r="Q71" s="1068"/>
      <c r="R71" s="1068"/>
      <c r="S71" s="1068"/>
      <c r="T71" s="1068"/>
      <c r="U71" s="1068"/>
      <c r="V71" s="1068"/>
      <c r="W71" s="1068"/>
      <c r="X71" s="1068"/>
      <c r="Y71" s="1068"/>
      <c r="Z71" s="1068"/>
      <c r="AA71" s="2523"/>
      <c r="AB71" s="2585"/>
      <c r="AC71" s="2585"/>
      <c r="AD71" s="2588"/>
      <c r="AE71" s="81"/>
      <c r="AF71" s="1068"/>
      <c r="AG71" s="1068"/>
    </row>
    <row r="72" spans="2:33" s="39" customFormat="1" ht="12" hidden="1" customHeight="1">
      <c r="B72" s="47"/>
      <c r="C72" s="103" t="s">
        <v>2820</v>
      </c>
      <c r="D72" s="915"/>
      <c r="E72" s="2395"/>
      <c r="F72" s="3370"/>
      <c r="G72" s="2489"/>
      <c r="H72" s="2489"/>
      <c r="I72" s="2489"/>
      <c r="J72" s="2489"/>
      <c r="K72" s="2489"/>
      <c r="L72" s="2489"/>
      <c r="M72" s="2489"/>
      <c r="N72" s="3370"/>
      <c r="O72" s="67"/>
      <c r="P72" s="1068"/>
      <c r="Q72" s="1068"/>
      <c r="R72" s="3011"/>
      <c r="S72" s="3361"/>
      <c r="T72" s="1221"/>
      <c r="U72" s="1221"/>
      <c r="V72" s="1221"/>
      <c r="W72" s="1221"/>
      <c r="X72" s="1221"/>
      <c r="Y72" s="1221"/>
      <c r="Z72" s="1221"/>
      <c r="AA72" s="1221"/>
      <c r="AB72" s="2585"/>
      <c r="AC72" s="2585"/>
      <c r="AD72" s="2588"/>
      <c r="AE72" s="81"/>
      <c r="AF72" s="1068"/>
      <c r="AG72" s="1068"/>
    </row>
    <row r="73" spans="2:33" s="39" customFormat="1" ht="12" hidden="1" customHeight="1">
      <c r="B73" s="47"/>
      <c r="C73" s="103" t="s">
        <v>2821</v>
      </c>
      <c r="D73" s="915"/>
      <c r="E73" s="2395"/>
      <c r="F73" s="3370"/>
      <c r="G73" s="2489"/>
      <c r="H73" s="2489"/>
      <c r="I73" s="2489"/>
      <c r="J73" s="2489"/>
      <c r="K73" s="2489"/>
      <c r="L73" s="2489"/>
      <c r="M73" s="2489"/>
      <c r="N73" s="3370"/>
      <c r="O73" s="67"/>
      <c r="P73" s="1068"/>
      <c r="Q73" s="3363"/>
      <c r="R73" s="3363"/>
      <c r="S73" s="3363"/>
      <c r="T73" s="3363"/>
      <c r="U73" s="3363"/>
      <c r="V73" s="3363"/>
      <c r="W73" s="3363"/>
      <c r="X73" s="3363"/>
      <c r="Y73" s="3363"/>
      <c r="Z73" s="3363"/>
      <c r="AA73" s="3363"/>
      <c r="AB73" s="2585"/>
      <c r="AC73" s="2585"/>
      <c r="AD73" s="2588"/>
      <c r="AE73" s="81"/>
      <c r="AF73" s="1068"/>
      <c r="AG73" s="1068"/>
    </row>
    <row r="74" spans="2:33" s="39" customFormat="1" ht="12" hidden="1" customHeight="1">
      <c r="B74" s="47"/>
      <c r="C74" s="103" t="s">
        <v>2827</v>
      </c>
      <c r="D74" s="67"/>
      <c r="E74" s="2395"/>
      <c r="F74" s="3370"/>
      <c r="G74" s="3370"/>
      <c r="H74" s="3370"/>
      <c r="I74" s="3370"/>
      <c r="J74" s="3370"/>
      <c r="K74" s="3370"/>
      <c r="L74" s="3370"/>
      <c r="M74" s="3370"/>
      <c r="N74" s="3370"/>
      <c r="O74" s="67"/>
      <c r="P74" s="1068"/>
      <c r="Q74" s="3363"/>
      <c r="R74" s="3363"/>
      <c r="S74" s="3363"/>
      <c r="T74" s="3363"/>
      <c r="U74" s="3363"/>
      <c r="V74" s="3363"/>
      <c r="W74" s="3363"/>
      <c r="X74" s="3363"/>
      <c r="Y74" s="3363"/>
      <c r="Z74" s="3363"/>
      <c r="AA74" s="3363"/>
      <c r="AB74" s="2585"/>
      <c r="AC74" s="2585"/>
      <c r="AD74" s="2588"/>
      <c r="AE74" s="81"/>
      <c r="AF74" s="1068"/>
      <c r="AG74" s="1068"/>
    </row>
    <row r="75" spans="2:33" s="39" customFormat="1" ht="12" hidden="1" customHeight="1">
      <c r="B75" s="47"/>
      <c r="C75" s="194" t="s">
        <v>2828</v>
      </c>
      <c r="D75" s="969"/>
      <c r="E75" s="2396"/>
      <c r="F75" s="3355"/>
      <c r="G75" s="3355"/>
      <c r="H75" s="3355"/>
      <c r="I75" s="3355"/>
      <c r="J75" s="3355"/>
      <c r="K75" s="3355"/>
      <c r="L75" s="3355"/>
      <c r="M75" s="3355"/>
      <c r="N75" s="3355"/>
      <c r="O75" s="67"/>
      <c r="P75" s="1068"/>
      <c r="Q75" s="3363"/>
      <c r="R75" s="3363"/>
      <c r="S75" s="3363"/>
      <c r="T75" s="3363"/>
      <c r="U75" s="3363"/>
      <c r="V75" s="3363"/>
      <c r="W75" s="3363"/>
      <c r="X75" s="3363"/>
      <c r="Y75" s="3363"/>
      <c r="Z75" s="3363"/>
      <c r="AA75" s="3363"/>
      <c r="AB75" s="2585"/>
      <c r="AC75" s="2585"/>
      <c r="AD75" s="2588"/>
      <c r="AE75" s="81"/>
      <c r="AF75" s="1068"/>
      <c r="AG75" s="1068"/>
    </row>
    <row r="76" spans="2:33" s="39" customFormat="1" ht="12" hidden="1" customHeight="1">
      <c r="B76" s="47"/>
      <c r="C76" s="47"/>
      <c r="D76" s="47"/>
      <c r="E76" s="47"/>
      <c r="F76" s="47"/>
      <c r="G76" s="47"/>
      <c r="H76" s="47"/>
      <c r="I76" s="47"/>
      <c r="J76" s="47"/>
      <c r="K76" s="47"/>
      <c r="L76" s="47"/>
      <c r="M76" s="47"/>
      <c r="N76" s="47"/>
      <c r="O76" s="67"/>
      <c r="P76" s="1068"/>
      <c r="Q76" s="1068"/>
      <c r="R76" s="2747"/>
      <c r="S76" s="1219"/>
      <c r="T76" s="1068"/>
      <c r="U76" s="1068"/>
      <c r="V76" s="1068"/>
      <c r="W76" s="647"/>
      <c r="X76" s="2585"/>
      <c r="Y76" s="2586"/>
      <c r="Z76" s="2587"/>
      <c r="AA76" s="2587"/>
      <c r="AB76" s="2585"/>
      <c r="AC76" s="2585"/>
      <c r="AD76" s="2588"/>
      <c r="AE76" s="81"/>
      <c r="AF76" s="1068"/>
      <c r="AG76" s="1068"/>
    </row>
    <row r="77" spans="2:33" s="39" customFormat="1" ht="12" hidden="1" customHeight="1">
      <c r="B77" s="47"/>
      <c r="C77" s="3007" t="s">
        <v>20</v>
      </c>
      <c r="D77" s="915"/>
      <c r="E77" s="932"/>
      <c r="F77" s="2489"/>
      <c r="G77" s="934"/>
      <c r="H77" s="934"/>
      <c r="I77" s="934"/>
      <c r="J77" s="934"/>
      <c r="K77" s="934"/>
      <c r="L77" s="934"/>
      <c r="M77" s="934"/>
      <c r="N77" s="935" t="s">
        <v>2740</v>
      </c>
      <c r="O77" s="67"/>
      <c r="P77" s="1068"/>
      <c r="Q77" s="1068"/>
      <c r="R77" s="2747"/>
      <c r="S77" s="1219"/>
      <c r="T77" s="1068"/>
      <c r="U77" s="1068"/>
      <c r="V77" s="1068"/>
      <c r="W77" s="647"/>
      <c r="X77" s="2585"/>
      <c r="Y77" s="2586"/>
      <c r="Z77" s="2587"/>
      <c r="AA77" s="2587"/>
      <c r="AB77" s="2585"/>
      <c r="AC77" s="2585"/>
      <c r="AD77" s="2588"/>
      <c r="AE77" s="81"/>
      <c r="AF77" s="1068"/>
      <c r="AG77" s="1068"/>
    </row>
    <row r="78" spans="2:33" s="39" customFormat="1" ht="12" hidden="1" customHeight="1">
      <c r="B78" s="47"/>
      <c r="C78" s="1170"/>
      <c r="D78" s="1070"/>
      <c r="E78" s="971" t="s">
        <v>159</v>
      </c>
      <c r="F78" s="3008">
        <v>2013</v>
      </c>
      <c r="G78" s="965">
        <v>2015</v>
      </c>
      <c r="H78" s="965">
        <v>2020</v>
      </c>
      <c r="I78" s="965">
        <v>2025</v>
      </c>
      <c r="J78" s="965">
        <v>2030</v>
      </c>
      <c r="K78" s="965">
        <v>2035</v>
      </c>
      <c r="L78" s="965">
        <v>2040</v>
      </c>
      <c r="M78" s="965">
        <v>2045</v>
      </c>
      <c r="N78" s="965">
        <v>2050</v>
      </c>
      <c r="O78" s="67"/>
      <c r="P78" s="1068"/>
      <c r="Q78" s="1068"/>
      <c r="R78" s="2747"/>
      <c r="S78" s="1219"/>
      <c r="T78" s="1068"/>
      <c r="U78" s="1068"/>
      <c r="V78" s="1068"/>
      <c r="W78" s="647"/>
      <c r="X78" s="2585"/>
      <c r="Y78" s="2586"/>
      <c r="Z78" s="2587"/>
      <c r="AA78" s="2587"/>
      <c r="AB78" s="2585"/>
      <c r="AC78" s="2585"/>
      <c r="AD78" s="2588"/>
      <c r="AE78" s="81"/>
      <c r="AF78" s="1068"/>
      <c r="AG78" s="1068"/>
    </row>
    <row r="79" spans="2:33" s="39" customFormat="1" ht="12" hidden="1" customHeight="1">
      <c r="B79" s="47"/>
      <c r="C79" s="968" t="s">
        <v>2819</v>
      </c>
      <c r="D79" s="1070"/>
      <c r="E79" s="2394"/>
      <c r="F79" s="3368"/>
      <c r="G79" s="3369"/>
      <c r="H79" s="3369"/>
      <c r="I79" s="3369"/>
      <c r="J79" s="3369"/>
      <c r="K79" s="3369"/>
      <c r="L79" s="3369"/>
      <c r="M79" s="3369"/>
      <c r="N79" s="3368"/>
      <c r="O79" s="67"/>
      <c r="P79" s="1068"/>
      <c r="Q79" s="1068"/>
      <c r="R79" s="1068"/>
      <c r="S79" s="1219"/>
      <c r="T79" s="1068"/>
      <c r="U79" s="1068"/>
      <c r="V79" s="1068"/>
      <c r="W79" s="647"/>
      <c r="X79" s="2585"/>
      <c r="Y79" s="2586"/>
      <c r="Z79" s="2587"/>
      <c r="AA79" s="2587"/>
      <c r="AB79" s="2585"/>
      <c r="AC79" s="2585"/>
      <c r="AD79" s="647"/>
      <c r="AE79" s="647"/>
      <c r="AF79" s="647"/>
      <c r="AG79" s="647"/>
    </row>
    <row r="80" spans="2:33" s="39" customFormat="1" ht="12" hidden="1" customHeight="1">
      <c r="B80" s="47"/>
      <c r="C80" s="103" t="s">
        <v>2820</v>
      </c>
      <c r="D80" s="915"/>
      <c r="E80" s="2395"/>
      <c r="F80" s="3370"/>
      <c r="G80" s="2489"/>
      <c r="H80" s="2489"/>
      <c r="I80" s="2489"/>
      <c r="J80" s="2489"/>
      <c r="K80" s="2489"/>
      <c r="L80" s="2489"/>
      <c r="M80" s="2489"/>
      <c r="N80" s="3370"/>
      <c r="O80" s="67"/>
      <c r="P80" s="1068"/>
      <c r="Q80" s="1068"/>
      <c r="R80" s="1068"/>
      <c r="S80" s="1219"/>
      <c r="T80" s="1068"/>
      <c r="U80" s="1068"/>
      <c r="V80" s="1068"/>
      <c r="W80" s="647"/>
      <c r="X80" s="2585"/>
      <c r="Y80" s="2586"/>
      <c r="Z80" s="2587"/>
      <c r="AA80" s="2587"/>
      <c r="AB80" s="2585"/>
      <c r="AC80" s="2585"/>
      <c r="AD80" s="1068"/>
      <c r="AE80" s="1068"/>
      <c r="AF80" s="1068"/>
      <c r="AG80" s="1068"/>
    </row>
    <row r="81" spans="2:33" s="39" customFormat="1" ht="12" hidden="1" customHeight="1">
      <c r="B81" s="47"/>
      <c r="C81" s="103" t="s">
        <v>2821</v>
      </c>
      <c r="D81" s="915"/>
      <c r="E81" s="2395"/>
      <c r="F81" s="3370"/>
      <c r="G81" s="2489"/>
      <c r="H81" s="2489"/>
      <c r="I81" s="2489"/>
      <c r="J81" s="2489"/>
      <c r="K81" s="2489"/>
      <c r="L81" s="2489"/>
      <c r="M81" s="2489"/>
      <c r="N81" s="3370"/>
      <c r="O81" s="67"/>
      <c r="P81" s="1068"/>
      <c r="Q81" s="1068"/>
      <c r="R81" s="1068"/>
      <c r="S81" s="1219"/>
      <c r="T81" s="1068"/>
      <c r="U81" s="1068"/>
      <c r="V81" s="1068"/>
      <c r="W81" s="647"/>
      <c r="X81" s="2585"/>
      <c r="Y81" s="2586"/>
      <c r="Z81" s="2587"/>
      <c r="AA81" s="2587"/>
      <c r="AB81" s="2585"/>
      <c r="AC81" s="2585"/>
      <c r="AD81" s="1219"/>
      <c r="AE81" s="1219"/>
      <c r="AF81" s="1068"/>
      <c r="AG81" s="1068"/>
    </row>
    <row r="82" spans="2:33" s="39" customFormat="1" ht="12" hidden="1" customHeight="1">
      <c r="B82" s="47"/>
      <c r="C82" s="103" t="s">
        <v>2827</v>
      </c>
      <c r="D82" s="67"/>
      <c r="E82" s="2395"/>
      <c r="F82" s="3370"/>
      <c r="G82" s="3370"/>
      <c r="H82" s="3370"/>
      <c r="I82" s="3370"/>
      <c r="J82" s="3370"/>
      <c r="K82" s="3370"/>
      <c r="L82" s="3370"/>
      <c r="M82" s="3370"/>
      <c r="N82" s="3370"/>
      <c r="O82" s="67"/>
      <c r="P82" s="1068"/>
      <c r="Q82" s="1068"/>
      <c r="R82" s="2747"/>
      <c r="S82" s="1219"/>
      <c r="T82" s="1068"/>
      <c r="U82" s="1068"/>
      <c r="V82" s="1068"/>
      <c r="W82" s="647"/>
      <c r="X82" s="2585"/>
      <c r="Y82" s="2586"/>
      <c r="Z82" s="2587"/>
      <c r="AA82" s="2587"/>
      <c r="AB82" s="2585"/>
      <c r="AC82" s="2585"/>
      <c r="AD82" s="1219"/>
      <c r="AE82" s="1219"/>
      <c r="AF82" s="2523"/>
      <c r="AG82" s="1068"/>
    </row>
    <row r="83" spans="2:33" s="39" customFormat="1" ht="12" hidden="1" customHeight="1">
      <c r="B83" s="47"/>
      <c r="C83" s="194" t="s">
        <v>2828</v>
      </c>
      <c r="D83" s="969"/>
      <c r="E83" s="2396"/>
      <c r="F83" s="3355"/>
      <c r="G83" s="3355"/>
      <c r="H83" s="3355"/>
      <c r="I83" s="3355"/>
      <c r="J83" s="3355"/>
      <c r="K83" s="3355"/>
      <c r="L83" s="3355"/>
      <c r="M83" s="3355"/>
      <c r="N83" s="3355"/>
      <c r="O83" s="47"/>
      <c r="P83" s="1068"/>
      <c r="Q83" s="1068"/>
      <c r="R83" s="2747"/>
      <c r="S83" s="1219"/>
      <c r="T83" s="1068"/>
      <c r="U83" s="1068"/>
      <c r="V83" s="1068"/>
      <c r="W83" s="647"/>
      <c r="X83" s="2585"/>
      <c r="Y83" s="2586"/>
      <c r="Z83" s="2587"/>
      <c r="AA83" s="2587"/>
      <c r="AB83" s="2585"/>
      <c r="AC83" s="2585"/>
      <c r="AD83" s="1219"/>
      <c r="AE83" s="1219"/>
      <c r="AF83" s="2523"/>
      <c r="AG83" s="1068"/>
    </row>
    <row r="84" spans="2:33" s="39" customFormat="1" ht="12" hidden="1" customHeight="1">
      <c r="B84" s="47"/>
      <c r="C84" s="47"/>
      <c r="D84" s="47"/>
      <c r="E84" s="47"/>
      <c r="F84" s="47"/>
      <c r="G84" s="47"/>
      <c r="H84" s="47"/>
      <c r="I84" s="47"/>
      <c r="J84" s="47"/>
      <c r="K84" s="47"/>
      <c r="L84" s="47"/>
      <c r="M84" s="47"/>
      <c r="N84" s="47"/>
      <c r="O84" s="47"/>
      <c r="P84" s="1068"/>
      <c r="Q84" s="1068"/>
      <c r="R84" s="2747"/>
      <c r="S84" s="3468"/>
      <c r="T84" s="2586"/>
      <c r="U84" s="2587"/>
      <c r="V84" s="2587"/>
      <c r="W84" s="2585"/>
      <c r="X84" s="2585"/>
      <c r="Y84" s="2586"/>
      <c r="Z84" s="2587"/>
      <c r="AA84" s="2587"/>
      <c r="AB84" s="2585"/>
      <c r="AC84" s="2585"/>
      <c r="AD84" s="1219"/>
      <c r="AE84" s="1219"/>
      <c r="AF84" s="2523"/>
      <c r="AG84" s="1068"/>
    </row>
    <row r="85" spans="2:33" s="39" customFormat="1" ht="12" hidden="1" customHeight="1">
      <c r="B85" s="47"/>
      <c r="C85" s="146" t="s">
        <v>172</v>
      </c>
      <c r="D85" s="915"/>
      <c r="E85" s="2395"/>
      <c r="F85" s="3370"/>
      <c r="G85" s="2398"/>
      <c r="H85" s="2398"/>
      <c r="I85" s="2398"/>
      <c r="J85" s="2398"/>
      <c r="K85" s="2398"/>
      <c r="L85" s="2398"/>
      <c r="M85" s="2398"/>
      <c r="N85" s="3370"/>
      <c r="O85" s="67"/>
      <c r="P85" s="1068"/>
      <c r="Q85" s="1068"/>
      <c r="R85" s="2747"/>
      <c r="S85" s="3468"/>
      <c r="T85" s="2586"/>
      <c r="U85" s="2587"/>
      <c r="V85" s="2587"/>
      <c r="W85" s="2585"/>
      <c r="X85" s="2585"/>
      <c r="Y85" s="2586"/>
      <c r="Z85" s="2587"/>
      <c r="AA85" s="2587"/>
      <c r="AB85" s="2585"/>
      <c r="AC85" s="2585"/>
      <c r="AD85" s="1219"/>
      <c r="AE85" s="1219"/>
      <c r="AF85" s="2523"/>
      <c r="AG85" s="1068"/>
    </row>
    <row r="86" spans="2:33" s="39" customFormat="1" ht="3.75" hidden="1" customHeight="1">
      <c r="B86" s="47"/>
      <c r="C86" s="146"/>
      <c r="D86" s="915"/>
      <c r="E86" s="2395"/>
      <c r="F86" s="3370"/>
      <c r="G86" s="2398"/>
      <c r="H86" s="2398"/>
      <c r="I86" s="2398"/>
      <c r="J86" s="2398"/>
      <c r="K86" s="2398"/>
      <c r="L86" s="2398"/>
      <c r="M86" s="2398"/>
      <c r="N86" s="3370"/>
      <c r="O86" s="67"/>
      <c r="P86" s="1068"/>
      <c r="Q86" s="1068"/>
      <c r="R86" s="2747"/>
      <c r="S86" s="1068"/>
      <c r="T86" s="2586"/>
      <c r="U86" s="2587"/>
      <c r="V86" s="2587"/>
      <c r="W86" s="2585"/>
      <c r="X86" s="2585"/>
      <c r="Y86" s="2586"/>
      <c r="Z86" s="2587"/>
      <c r="AA86" s="2587"/>
      <c r="AB86" s="2585"/>
      <c r="AC86" s="2585"/>
      <c r="AD86" s="1219"/>
      <c r="AE86" s="1219"/>
      <c r="AF86" s="2523"/>
      <c r="AG86" s="1068"/>
    </row>
    <row r="87" spans="2:33" s="39" customFormat="1" ht="12" hidden="1" customHeight="1">
      <c r="B87" s="47"/>
      <c r="C87" s="3007" t="s">
        <v>22</v>
      </c>
      <c r="D87" s="915"/>
      <c r="E87" s="2395"/>
      <c r="F87" s="3370"/>
      <c r="G87" s="2398"/>
      <c r="H87" s="2398"/>
      <c r="I87" s="2398"/>
      <c r="J87" s="2398"/>
      <c r="K87" s="2398"/>
      <c r="L87" s="2398"/>
      <c r="M87" s="2398"/>
      <c r="N87" s="935" t="s">
        <v>2740</v>
      </c>
      <c r="O87" s="67"/>
      <c r="P87" s="1068"/>
      <c r="Q87" s="1068"/>
      <c r="R87" s="2747"/>
      <c r="S87" s="1068"/>
      <c r="T87" s="647"/>
      <c r="U87" s="647"/>
      <c r="V87" s="647"/>
      <c r="W87" s="647"/>
      <c r="X87" s="647"/>
      <c r="Y87" s="647"/>
      <c r="Z87" s="647"/>
      <c r="AA87" s="647"/>
      <c r="AB87" s="647"/>
      <c r="AC87" s="647"/>
      <c r="AD87" s="1219"/>
      <c r="AE87" s="1219"/>
      <c r="AF87" s="2523"/>
      <c r="AG87" s="1068"/>
    </row>
    <row r="88" spans="2:33" s="39" customFormat="1" ht="12" hidden="1" customHeight="1">
      <c r="B88" s="47"/>
      <c r="C88" s="1170"/>
      <c r="D88" s="1070"/>
      <c r="E88" s="971" t="s">
        <v>159</v>
      </c>
      <c r="F88" s="3008">
        <v>2013</v>
      </c>
      <c r="G88" s="965">
        <v>2015</v>
      </c>
      <c r="H88" s="965">
        <v>2020</v>
      </c>
      <c r="I88" s="965">
        <v>2025</v>
      </c>
      <c r="J88" s="965">
        <v>2030</v>
      </c>
      <c r="K88" s="965">
        <v>2035</v>
      </c>
      <c r="L88" s="965">
        <v>2040</v>
      </c>
      <c r="M88" s="965">
        <v>2045</v>
      </c>
      <c r="N88" s="965">
        <v>2050</v>
      </c>
      <c r="O88" s="67"/>
      <c r="P88" s="1068"/>
      <c r="Q88" s="1068"/>
      <c r="R88" s="2747"/>
      <c r="S88" s="2747"/>
      <c r="T88" s="1068"/>
      <c r="U88" s="1068"/>
      <c r="V88" s="1068"/>
      <c r="W88" s="1068"/>
      <c r="X88" s="1068"/>
      <c r="Y88" s="1068"/>
      <c r="Z88" s="1068"/>
      <c r="AA88" s="1068"/>
      <c r="AB88" s="1068"/>
      <c r="AC88" s="1068"/>
      <c r="AD88" s="1221"/>
      <c r="AE88" s="1221"/>
      <c r="AF88" s="1221"/>
      <c r="AG88" s="1068"/>
    </row>
    <row r="89" spans="2:33" s="39" customFormat="1" ht="12" hidden="1" customHeight="1">
      <c r="B89" s="47"/>
      <c r="C89" s="968" t="s">
        <v>2819</v>
      </c>
      <c r="D89" s="1070"/>
      <c r="E89" s="2394"/>
      <c r="F89" s="3368"/>
      <c r="G89" s="3369"/>
      <c r="H89" s="3369"/>
      <c r="I89" s="3369"/>
      <c r="J89" s="3369"/>
      <c r="K89" s="3369"/>
      <c r="L89" s="3369"/>
      <c r="M89" s="3369"/>
      <c r="N89" s="3368"/>
      <c r="O89" s="67"/>
      <c r="P89" s="1068"/>
      <c r="Q89" s="1068"/>
      <c r="R89" s="2747"/>
      <c r="S89" s="2747"/>
      <c r="T89" s="202"/>
      <c r="U89" s="512"/>
      <c r="V89" s="2522"/>
      <c r="W89" s="3481"/>
      <c r="X89" s="3481"/>
      <c r="Y89" s="1219"/>
      <c r="Z89" s="1219"/>
      <c r="AA89" s="1219"/>
      <c r="AB89" s="1219"/>
      <c r="AC89" s="1219"/>
      <c r="AD89" s="3367"/>
      <c r="AE89" s="3367"/>
      <c r="AF89" s="3353"/>
      <c r="AG89" s="1068"/>
    </row>
    <row r="90" spans="2:33" s="39" customFormat="1" ht="12" hidden="1" customHeight="1">
      <c r="B90" s="47"/>
      <c r="C90" s="103" t="s">
        <v>2820</v>
      </c>
      <c r="D90" s="67"/>
      <c r="E90" s="2395"/>
      <c r="F90" s="3370"/>
      <c r="G90" s="2489"/>
      <c r="H90" s="2489"/>
      <c r="I90" s="2489"/>
      <c r="J90" s="2489"/>
      <c r="K90" s="2489"/>
      <c r="L90" s="2489"/>
      <c r="M90" s="2489"/>
      <c r="N90" s="3370"/>
      <c r="O90" s="67"/>
      <c r="P90" s="1068"/>
      <c r="Q90" s="1068"/>
      <c r="R90" s="2747"/>
      <c r="S90" s="2747"/>
      <c r="T90" s="202"/>
      <c r="U90" s="512"/>
      <c r="V90" s="2522"/>
      <c r="W90" s="3481"/>
      <c r="X90" s="3481"/>
      <c r="Y90" s="1219"/>
      <c r="Z90" s="1219"/>
      <c r="AA90" s="1219"/>
      <c r="AB90" s="1219"/>
      <c r="AC90" s="1219"/>
      <c r="AD90" s="3367"/>
      <c r="AE90" s="3367"/>
      <c r="AF90" s="3401"/>
      <c r="AG90" s="1068"/>
    </row>
    <row r="91" spans="2:33" s="1068" customFormat="1" ht="12" hidden="1" customHeight="1">
      <c r="B91" s="47"/>
      <c r="C91" s="103" t="s">
        <v>2821</v>
      </c>
      <c r="D91" s="915"/>
      <c r="E91" s="2395"/>
      <c r="F91" s="3370"/>
      <c r="G91" s="2489"/>
      <c r="H91" s="2489"/>
      <c r="I91" s="2489"/>
      <c r="J91" s="2489"/>
      <c r="K91" s="2489"/>
      <c r="L91" s="2489"/>
      <c r="M91" s="2489"/>
      <c r="N91" s="3370"/>
      <c r="O91" s="67"/>
      <c r="R91" s="2747"/>
      <c r="T91" s="202"/>
      <c r="U91" s="512"/>
      <c r="V91" s="2522"/>
      <c r="W91" s="3481"/>
      <c r="X91" s="3481"/>
      <c r="Y91" s="1219"/>
      <c r="Z91" s="1219"/>
      <c r="AA91" s="1219"/>
      <c r="AB91" s="1219"/>
      <c r="AC91" s="1219"/>
      <c r="AD91" s="3367"/>
      <c r="AE91" s="3367"/>
      <c r="AF91" s="3401"/>
    </row>
    <row r="92" spans="2:33" s="1068" customFormat="1" ht="12" hidden="1" customHeight="1">
      <c r="B92" s="47"/>
      <c r="C92" s="103" t="s">
        <v>2827</v>
      </c>
      <c r="D92" s="915"/>
      <c r="E92" s="2395"/>
      <c r="F92" s="3370"/>
      <c r="G92" s="3370"/>
      <c r="H92" s="3370"/>
      <c r="I92" s="3370"/>
      <c r="J92" s="3370"/>
      <c r="K92" s="3370"/>
      <c r="L92" s="3370"/>
      <c r="M92" s="3370"/>
      <c r="N92" s="3370"/>
      <c r="O92" s="67"/>
      <c r="R92" s="2747"/>
      <c r="T92" s="202"/>
      <c r="U92" s="512"/>
      <c r="V92" s="2522"/>
      <c r="W92" s="3481"/>
      <c r="X92" s="3481"/>
      <c r="Y92" s="1219"/>
      <c r="Z92" s="1219"/>
      <c r="AA92" s="1219"/>
      <c r="AB92" s="1219"/>
      <c r="AC92" s="1219"/>
      <c r="AD92" s="3367"/>
      <c r="AE92" s="3367"/>
      <c r="AF92" s="3401"/>
    </row>
    <row r="93" spans="2:33" s="1068" customFormat="1" ht="12" hidden="1" customHeight="1">
      <c r="B93" s="47"/>
      <c r="C93" s="194" t="s">
        <v>2828</v>
      </c>
      <c r="D93" s="969"/>
      <c r="E93" s="2396"/>
      <c r="F93" s="3355"/>
      <c r="G93" s="3355"/>
      <c r="H93" s="3355"/>
      <c r="I93" s="3355"/>
      <c r="J93" s="3355"/>
      <c r="K93" s="3355"/>
      <c r="L93" s="3355"/>
      <c r="M93" s="3355"/>
      <c r="N93" s="3355"/>
      <c r="O93" s="47"/>
      <c r="R93" s="2747"/>
      <c r="T93" s="202"/>
      <c r="U93" s="512"/>
      <c r="V93" s="2522"/>
      <c r="W93" s="3481"/>
      <c r="X93" s="3481"/>
      <c r="Y93" s="1219"/>
      <c r="Z93" s="1219"/>
      <c r="AA93" s="1219"/>
      <c r="AB93" s="1219"/>
      <c r="AC93" s="1219"/>
      <c r="AD93" s="3367"/>
      <c r="AE93" s="3367"/>
      <c r="AF93" s="3401"/>
    </row>
    <row r="94" spans="2:33" s="1068" customFormat="1" ht="12" hidden="1" customHeight="1">
      <c r="B94" s="47"/>
      <c r="C94" s="47"/>
      <c r="D94" s="47"/>
      <c r="E94" s="47"/>
      <c r="F94" s="47"/>
      <c r="G94" s="47"/>
      <c r="H94" s="47"/>
      <c r="I94" s="47"/>
      <c r="J94" s="47"/>
      <c r="K94" s="47"/>
      <c r="L94" s="47"/>
      <c r="M94" s="47"/>
      <c r="N94" s="47"/>
      <c r="O94" s="47"/>
      <c r="R94" s="2747"/>
      <c r="T94" s="202"/>
      <c r="U94" s="512"/>
      <c r="V94" s="2522"/>
      <c r="W94" s="3481"/>
      <c r="X94" s="3481"/>
      <c r="Y94" s="1219"/>
      <c r="Z94" s="1219"/>
      <c r="AA94" s="1219"/>
      <c r="AB94" s="1219"/>
      <c r="AC94" s="1219"/>
      <c r="AD94" s="3367"/>
      <c r="AE94" s="3367"/>
      <c r="AF94" s="3401"/>
    </row>
    <row r="95" spans="2:33" s="1068" customFormat="1" ht="12" hidden="1" customHeight="1">
      <c r="B95" s="47"/>
      <c r="C95" s="3007" t="s">
        <v>160</v>
      </c>
      <c r="D95" s="915"/>
      <c r="E95" s="2395"/>
      <c r="F95" s="3370"/>
      <c r="G95" s="2398"/>
      <c r="H95" s="2398"/>
      <c r="I95" s="2398"/>
      <c r="J95" s="2398"/>
      <c r="K95" s="2398"/>
      <c r="L95" s="2398"/>
      <c r="M95" s="2398"/>
      <c r="N95" s="935" t="s">
        <v>2740</v>
      </c>
      <c r="O95" s="67"/>
      <c r="R95" s="2747"/>
      <c r="T95" s="2511"/>
      <c r="U95" s="512"/>
      <c r="V95" s="2522"/>
      <c r="W95" s="3481"/>
      <c r="X95" s="3481"/>
      <c r="Y95" s="1219"/>
      <c r="Z95" s="1219"/>
      <c r="AA95" s="1219"/>
      <c r="AB95" s="1219"/>
      <c r="AC95" s="1219"/>
      <c r="AD95" s="3367"/>
      <c r="AE95" s="3367"/>
      <c r="AF95" s="3401"/>
    </row>
    <row r="96" spans="2:33" s="1068" customFormat="1" ht="12" hidden="1" customHeight="1">
      <c r="B96" s="47"/>
      <c r="C96" s="1170"/>
      <c r="D96" s="953"/>
      <c r="E96" s="954" t="s">
        <v>159</v>
      </c>
      <c r="F96" s="3013">
        <v>2013</v>
      </c>
      <c r="G96" s="956">
        <v>2015</v>
      </c>
      <c r="H96" s="956">
        <v>2020</v>
      </c>
      <c r="I96" s="956">
        <v>2025</v>
      </c>
      <c r="J96" s="956">
        <v>2030</v>
      </c>
      <c r="K96" s="956">
        <v>2035</v>
      </c>
      <c r="L96" s="956">
        <v>2040</v>
      </c>
      <c r="M96" s="956">
        <v>2045</v>
      </c>
      <c r="N96" s="956">
        <v>2050</v>
      </c>
      <c r="O96" s="67"/>
      <c r="R96" s="2747"/>
      <c r="T96" s="2525"/>
      <c r="U96" s="512"/>
      <c r="V96" s="2522"/>
      <c r="W96" s="3011"/>
      <c r="X96" s="3361"/>
      <c r="Y96" s="1221"/>
      <c r="Z96" s="1221"/>
      <c r="AA96" s="1221"/>
      <c r="AB96" s="1221"/>
      <c r="AC96" s="1221"/>
      <c r="AD96" s="3367"/>
      <c r="AE96" s="3367"/>
      <c r="AF96" s="3401"/>
    </row>
    <row r="97" spans="1:33" s="1068" customFormat="1" ht="12" hidden="1" customHeight="1">
      <c r="B97" s="47"/>
      <c r="C97" s="968" t="s">
        <v>2819</v>
      </c>
      <c r="D97" s="1070"/>
      <c r="E97" s="2394"/>
      <c r="F97" s="3368"/>
      <c r="G97" s="3369"/>
      <c r="H97" s="3369"/>
      <c r="I97" s="3369"/>
      <c r="J97" s="3369"/>
      <c r="K97" s="3369"/>
      <c r="L97" s="3369"/>
      <c r="M97" s="3369"/>
      <c r="N97" s="3368"/>
      <c r="O97" s="67"/>
      <c r="R97" s="202"/>
      <c r="T97" s="2527"/>
      <c r="U97" s="512"/>
      <c r="V97" s="3327"/>
      <c r="W97" s="3353"/>
      <c r="X97" s="3353"/>
      <c r="Y97" s="3367"/>
      <c r="Z97" s="3367"/>
      <c r="AA97" s="3367"/>
      <c r="AB97" s="3367"/>
      <c r="AC97" s="3367"/>
      <c r="AD97" s="3367"/>
      <c r="AE97" s="3367"/>
      <c r="AF97" s="3401"/>
    </row>
    <row r="98" spans="1:33" s="1068" customFormat="1" ht="12" hidden="1" customHeight="1">
      <c r="B98" s="47"/>
      <c r="C98" s="103" t="s">
        <v>2820</v>
      </c>
      <c r="D98" s="67"/>
      <c r="E98" s="2395"/>
      <c r="F98" s="3370"/>
      <c r="G98" s="2489"/>
      <c r="H98" s="2489"/>
      <c r="I98" s="2489"/>
      <c r="J98" s="2489"/>
      <c r="K98" s="2489"/>
      <c r="L98" s="2489"/>
      <c r="M98" s="2489"/>
      <c r="N98" s="3370"/>
      <c r="O98" s="67"/>
      <c r="R98" s="202"/>
      <c r="T98" s="2527"/>
      <c r="U98" s="512"/>
      <c r="V98" s="3327"/>
      <c r="W98" s="3353"/>
      <c r="X98" s="3401"/>
      <c r="Y98" s="3367"/>
      <c r="Z98" s="3367"/>
      <c r="AA98" s="3367"/>
      <c r="AB98" s="3367"/>
      <c r="AC98" s="3367"/>
      <c r="AD98" s="3367"/>
      <c r="AE98" s="3367"/>
      <c r="AF98" s="3401"/>
    </row>
    <row r="99" spans="1:33" s="1068" customFormat="1" ht="12" hidden="1" customHeight="1">
      <c r="A99" s="1697"/>
      <c r="B99" s="47"/>
      <c r="C99" s="103" t="s">
        <v>2821</v>
      </c>
      <c r="D99" s="915"/>
      <c r="E99" s="2395"/>
      <c r="F99" s="3370"/>
      <c r="G99" s="2489"/>
      <c r="H99" s="2489"/>
      <c r="I99" s="2489"/>
      <c r="J99" s="2489"/>
      <c r="K99" s="2489"/>
      <c r="L99" s="2489"/>
      <c r="M99" s="2489"/>
      <c r="N99" s="3370"/>
      <c r="O99" s="67"/>
      <c r="R99" s="202"/>
      <c r="T99" s="2527"/>
      <c r="U99" s="512"/>
      <c r="V99" s="3327"/>
      <c r="W99" s="3353"/>
      <c r="X99" s="3401"/>
      <c r="Y99" s="3367"/>
      <c r="Z99" s="3367"/>
      <c r="AA99" s="3367"/>
      <c r="AB99" s="3367"/>
      <c r="AC99" s="3367"/>
      <c r="AD99" s="3367"/>
      <c r="AE99" s="3367"/>
      <c r="AF99" s="3401"/>
    </row>
    <row r="100" spans="1:33" s="1068" customFormat="1" ht="12" hidden="1" customHeight="1">
      <c r="A100" s="1697"/>
      <c r="B100" s="47"/>
      <c r="C100" s="103" t="s">
        <v>2827</v>
      </c>
      <c r="D100" s="915"/>
      <c r="E100" s="2395"/>
      <c r="F100" s="3370"/>
      <c r="G100" s="3370"/>
      <c r="H100" s="3370"/>
      <c r="I100" s="3370"/>
      <c r="J100" s="3370"/>
      <c r="K100" s="3370"/>
      <c r="L100" s="3370"/>
      <c r="M100" s="3370"/>
      <c r="N100" s="3370"/>
      <c r="O100" s="67"/>
      <c r="R100" s="202"/>
      <c r="T100" s="2527"/>
      <c r="U100" s="512"/>
      <c r="V100" s="3327"/>
      <c r="W100" s="3353"/>
      <c r="X100" s="3401"/>
      <c r="Y100" s="3367"/>
      <c r="Z100" s="3367"/>
      <c r="AA100" s="3367"/>
      <c r="AB100" s="3367"/>
      <c r="AC100" s="3367"/>
      <c r="AD100" s="3367"/>
      <c r="AE100" s="3367"/>
      <c r="AF100" s="3401"/>
    </row>
    <row r="101" spans="1:33" s="1068" customFormat="1" ht="12" hidden="1" customHeight="1">
      <c r="A101" s="1697"/>
      <c r="B101" s="67"/>
      <c r="C101" s="194" t="s">
        <v>2828</v>
      </c>
      <c r="D101" s="969"/>
      <c r="E101" s="2396"/>
      <c r="F101" s="3355"/>
      <c r="G101" s="3355"/>
      <c r="H101" s="3355"/>
      <c r="I101" s="3355"/>
      <c r="J101" s="3355"/>
      <c r="K101" s="3355"/>
      <c r="L101" s="3355"/>
      <c r="M101" s="3355"/>
      <c r="N101" s="3355"/>
      <c r="O101" s="3370"/>
      <c r="R101" s="202"/>
      <c r="T101" s="2527"/>
      <c r="U101" s="512"/>
      <c r="V101" s="3327"/>
      <c r="W101" s="3353"/>
      <c r="X101" s="3401"/>
      <c r="Y101" s="3367"/>
      <c r="Z101" s="3367"/>
      <c r="AA101" s="3367"/>
      <c r="AB101" s="3367"/>
      <c r="AC101" s="3367"/>
      <c r="AD101" s="3367"/>
      <c r="AE101" s="3367"/>
      <c r="AF101" s="3401"/>
    </row>
    <row r="102" spans="1:33" s="1068" customFormat="1" ht="12" hidden="1" customHeight="1">
      <c r="A102" s="1697"/>
      <c r="B102" s="67"/>
      <c r="C102" s="67"/>
      <c r="D102" s="67"/>
      <c r="E102" s="67"/>
      <c r="F102" s="67"/>
      <c r="G102" s="67"/>
      <c r="H102" s="67"/>
      <c r="I102" s="67"/>
      <c r="J102" s="67"/>
      <c r="K102" s="67"/>
      <c r="L102" s="67"/>
      <c r="M102" s="67"/>
      <c r="N102" s="67"/>
      <c r="O102" s="67"/>
      <c r="R102" s="202"/>
      <c r="T102" s="2527"/>
      <c r="U102" s="512"/>
      <c r="V102" s="3327"/>
      <c r="W102" s="3353"/>
      <c r="X102" s="3401"/>
      <c r="Y102" s="3367"/>
      <c r="Z102" s="3367"/>
      <c r="AA102" s="3367"/>
      <c r="AB102" s="3367"/>
      <c r="AC102" s="3367"/>
      <c r="AD102" s="3367"/>
      <c r="AE102" s="3367"/>
      <c r="AF102" s="3401"/>
    </row>
    <row r="103" spans="1:33" s="39" customFormat="1" ht="12" hidden="1" customHeight="1">
      <c r="A103" s="3661"/>
      <c r="B103" s="47"/>
      <c r="C103" s="3007" t="s">
        <v>20</v>
      </c>
      <c r="D103" s="915"/>
      <c r="E103" s="2395"/>
      <c r="F103" s="3370"/>
      <c r="G103" s="2398"/>
      <c r="H103" s="2398"/>
      <c r="I103" s="2398"/>
      <c r="J103" s="2398"/>
      <c r="K103" s="2398"/>
      <c r="L103" s="2398"/>
      <c r="M103" s="2398"/>
      <c r="N103" s="935" t="s">
        <v>2740</v>
      </c>
      <c r="O103" s="876"/>
      <c r="P103" s="1068"/>
      <c r="Q103" s="1068"/>
      <c r="R103" s="202"/>
      <c r="S103" s="1068"/>
      <c r="T103" s="2527"/>
      <c r="U103" s="512"/>
      <c r="V103" s="3327"/>
      <c r="W103" s="3353"/>
      <c r="X103" s="3401"/>
      <c r="Y103" s="3367"/>
      <c r="Z103" s="3367"/>
      <c r="AA103" s="3367"/>
      <c r="AB103" s="3367"/>
      <c r="AC103" s="3367"/>
      <c r="AD103" s="1219"/>
      <c r="AE103" s="1219"/>
      <c r="AF103" s="2523"/>
      <c r="AG103" s="1068"/>
    </row>
    <row r="104" spans="1:33" ht="12" hidden="1" customHeight="1" collapsed="1">
      <c r="B104" s="47"/>
      <c r="C104" s="1170"/>
      <c r="D104" s="1070"/>
      <c r="E104" s="971" t="s">
        <v>159</v>
      </c>
      <c r="F104" s="3008">
        <v>2013</v>
      </c>
      <c r="G104" s="965">
        <v>2015</v>
      </c>
      <c r="H104" s="965">
        <v>2020</v>
      </c>
      <c r="I104" s="965">
        <v>2025</v>
      </c>
      <c r="J104" s="965">
        <v>2030</v>
      </c>
      <c r="K104" s="965">
        <v>2035</v>
      </c>
      <c r="L104" s="965">
        <v>2040</v>
      </c>
      <c r="M104" s="965">
        <v>2045</v>
      </c>
      <c r="N104" s="965">
        <v>2050</v>
      </c>
      <c r="O104" s="876"/>
      <c r="P104" s="1068"/>
      <c r="Q104" s="1068"/>
      <c r="R104" s="202"/>
      <c r="S104" s="1068"/>
      <c r="T104" s="2527"/>
      <c r="U104" s="512"/>
      <c r="V104" s="3327"/>
      <c r="W104" s="3353"/>
      <c r="X104" s="3401"/>
      <c r="Y104" s="3367"/>
      <c r="Z104" s="3367"/>
      <c r="AA104" s="3367"/>
      <c r="AB104" s="3367"/>
      <c r="AC104" s="3367"/>
      <c r="AD104" s="3367"/>
      <c r="AE104" s="3367"/>
      <c r="AF104" s="3353"/>
      <c r="AG104" s="1068"/>
    </row>
    <row r="105" spans="1:33" ht="12" hidden="1" customHeight="1">
      <c r="B105" s="67"/>
      <c r="C105" s="968" t="s">
        <v>2819</v>
      </c>
      <c r="D105" s="1070"/>
      <c r="E105" s="2394"/>
      <c r="F105" s="3368"/>
      <c r="G105" s="3369"/>
      <c r="H105" s="3369"/>
      <c r="I105" s="3369"/>
      <c r="J105" s="3369"/>
      <c r="K105" s="3369"/>
      <c r="L105" s="3369"/>
      <c r="M105" s="3369"/>
      <c r="N105" s="3368"/>
      <c r="O105" s="876"/>
      <c r="P105" s="1068"/>
      <c r="Q105" s="1068"/>
      <c r="R105" s="202"/>
      <c r="S105" s="1068"/>
      <c r="T105" s="2527"/>
      <c r="U105" s="512"/>
      <c r="V105" s="3327"/>
      <c r="W105" s="3353"/>
      <c r="X105" s="3401"/>
      <c r="Y105" s="3367"/>
      <c r="Z105" s="3367"/>
      <c r="AA105" s="3367"/>
      <c r="AB105" s="3367"/>
      <c r="AC105" s="3367"/>
      <c r="AD105" s="1219"/>
      <c r="AE105" s="1219"/>
      <c r="AF105" s="2523"/>
      <c r="AG105" s="1068"/>
    </row>
    <row r="106" spans="1:33" ht="12" hidden="1" customHeight="1">
      <c r="B106" s="67"/>
      <c r="C106" s="103" t="s">
        <v>2820</v>
      </c>
      <c r="D106" s="67"/>
      <c r="E106" s="2395"/>
      <c r="F106" s="3370"/>
      <c r="G106" s="2489"/>
      <c r="H106" s="2489"/>
      <c r="I106" s="2489"/>
      <c r="J106" s="2489"/>
      <c r="K106" s="2489"/>
      <c r="L106" s="2489"/>
      <c r="M106" s="2489"/>
      <c r="N106" s="3370"/>
      <c r="O106" s="876"/>
      <c r="P106" s="1068"/>
      <c r="Q106" s="1068"/>
      <c r="R106" s="202"/>
      <c r="S106" s="1068"/>
      <c r="T106" s="2527"/>
      <c r="U106" s="512"/>
      <c r="V106" s="3327"/>
      <c r="W106" s="3353"/>
      <c r="X106" s="3401"/>
      <c r="Y106" s="3367"/>
      <c r="Z106" s="3367"/>
      <c r="AA106" s="3367"/>
      <c r="AB106" s="3367"/>
      <c r="AC106" s="3367"/>
      <c r="AD106" s="1221"/>
      <c r="AE106" s="1221"/>
      <c r="AF106" s="1221"/>
      <c r="AG106" s="1068"/>
    </row>
    <row r="107" spans="1:33" ht="12" hidden="1" customHeight="1">
      <c r="B107" s="67"/>
      <c r="C107" s="103" t="s">
        <v>2821</v>
      </c>
      <c r="D107" s="915"/>
      <c r="E107" s="2395"/>
      <c r="F107" s="3370"/>
      <c r="G107" s="2489"/>
      <c r="H107" s="2489"/>
      <c r="I107" s="2489"/>
      <c r="J107" s="2489"/>
      <c r="K107" s="2489"/>
      <c r="L107" s="2489"/>
      <c r="M107" s="2489"/>
      <c r="N107" s="3370"/>
      <c r="O107" s="67"/>
      <c r="P107" s="1697"/>
      <c r="Q107" s="1068"/>
      <c r="R107" s="202"/>
      <c r="S107" s="1068"/>
      <c r="T107" s="2527"/>
      <c r="U107" s="512"/>
      <c r="V107" s="3327"/>
      <c r="W107" s="3353"/>
      <c r="X107" s="3401"/>
      <c r="Y107" s="3367"/>
      <c r="Z107" s="3367"/>
      <c r="AA107" s="3367"/>
      <c r="AB107" s="3367"/>
      <c r="AC107" s="3367"/>
      <c r="AD107" s="3367"/>
      <c r="AE107" s="3367"/>
      <c r="AF107" s="3353"/>
      <c r="AG107" s="1068"/>
    </row>
    <row r="108" spans="1:33" ht="12" hidden="1" customHeight="1">
      <c r="B108" s="67"/>
      <c r="C108" s="103" t="s">
        <v>2827</v>
      </c>
      <c r="D108" s="915"/>
      <c r="E108" s="2395"/>
      <c r="F108" s="3370"/>
      <c r="G108" s="3370"/>
      <c r="H108" s="3370"/>
      <c r="I108" s="3370"/>
      <c r="J108" s="3370"/>
      <c r="K108" s="3370"/>
      <c r="L108" s="3370"/>
      <c r="M108" s="3370"/>
      <c r="N108" s="3370"/>
      <c r="O108" s="67"/>
      <c r="P108" s="1697"/>
      <c r="Q108" s="1068"/>
      <c r="R108" s="202"/>
      <c r="S108" s="1068"/>
      <c r="T108" s="2527"/>
      <c r="U108" s="512"/>
      <c r="V108" s="3327"/>
      <c r="W108" s="3353"/>
      <c r="X108" s="3401"/>
      <c r="Y108" s="3367"/>
      <c r="Z108" s="3367"/>
      <c r="AA108" s="3367"/>
      <c r="AB108" s="3367"/>
      <c r="AC108" s="3367"/>
      <c r="AD108" s="3367"/>
      <c r="AE108" s="3367"/>
      <c r="AF108" s="3401"/>
      <c r="AG108" s="1068"/>
    </row>
    <row r="109" spans="1:33" ht="12" hidden="1" customHeight="1">
      <c r="B109" s="80"/>
      <c r="C109" s="194" t="s">
        <v>2828</v>
      </c>
      <c r="D109" s="3662"/>
      <c r="E109" s="2396"/>
      <c r="F109" s="3355"/>
      <c r="G109" s="3355"/>
      <c r="H109" s="3355"/>
      <c r="I109" s="3355"/>
      <c r="J109" s="3355"/>
      <c r="K109" s="3355"/>
      <c r="L109" s="3355"/>
      <c r="M109" s="3355"/>
      <c r="N109" s="3355"/>
      <c r="O109" s="80"/>
      <c r="P109" s="1697"/>
      <c r="Q109" s="1068"/>
      <c r="R109" s="202"/>
      <c r="S109" s="1068"/>
      <c r="T109" s="2527"/>
      <c r="U109" s="512"/>
      <c r="V109" s="3327"/>
      <c r="W109" s="3353"/>
      <c r="X109" s="3401"/>
      <c r="Y109" s="3367"/>
      <c r="Z109" s="3367"/>
      <c r="AA109" s="3367"/>
      <c r="AB109" s="3367"/>
      <c r="AC109" s="3367"/>
      <c r="AD109" s="3367"/>
      <c r="AE109" s="3367"/>
      <c r="AF109" s="3353"/>
      <c r="AG109" s="1068"/>
    </row>
    <row r="110" spans="1:33" ht="12" hidden="1" customHeight="1">
      <c r="B110" s="80"/>
      <c r="C110" s="3663"/>
      <c r="D110" s="3664"/>
      <c r="E110" s="3665"/>
      <c r="F110" s="3666"/>
      <c r="G110" s="3667"/>
      <c r="H110" s="3667"/>
      <c r="I110" s="3667"/>
      <c r="J110" s="3667"/>
      <c r="K110" s="3667"/>
      <c r="L110" s="3667"/>
      <c r="M110" s="3667"/>
      <c r="N110" s="3666"/>
      <c r="O110" s="80"/>
      <c r="P110" s="1697"/>
      <c r="Q110" s="1068"/>
      <c r="R110" s="202"/>
      <c r="S110" s="1068"/>
      <c r="T110" s="2527"/>
      <c r="U110" s="512"/>
      <c r="V110" s="3327"/>
      <c r="W110" s="3353"/>
      <c r="X110" s="3401"/>
      <c r="Y110" s="3367"/>
      <c r="Z110" s="3367"/>
      <c r="AA110" s="3367"/>
      <c r="AB110" s="3367"/>
      <c r="AC110" s="3367"/>
      <c r="AD110" s="3367"/>
      <c r="AE110" s="3367"/>
      <c r="AF110" s="3353"/>
      <c r="AG110" s="1068"/>
    </row>
    <row r="111" spans="1:33">
      <c r="B111" s="3661"/>
      <c r="C111" s="3661"/>
      <c r="D111" s="3661"/>
      <c r="E111" s="3661"/>
      <c r="F111" s="3661"/>
      <c r="G111" s="3661"/>
      <c r="H111" s="3661"/>
      <c r="I111" s="3661"/>
      <c r="J111" s="3661"/>
      <c r="K111" s="3661"/>
      <c r="L111" s="3661"/>
      <c r="M111" s="3661"/>
      <c r="N111" s="3661"/>
      <c r="O111" s="3661"/>
      <c r="P111" s="3661"/>
      <c r="Q111" s="1177"/>
      <c r="R111" s="2747"/>
      <c r="S111" s="1068"/>
      <c r="T111" s="202"/>
      <c r="U111" s="512"/>
      <c r="V111" s="2522"/>
      <c r="W111" s="3481"/>
      <c r="X111" s="3481"/>
      <c r="Y111" s="1219"/>
      <c r="Z111" s="1219"/>
      <c r="AA111" s="1219"/>
      <c r="AB111" s="1219"/>
      <c r="AC111" s="1219"/>
      <c r="AD111" s="1219"/>
      <c r="AE111" s="1219"/>
      <c r="AF111" s="2523"/>
      <c r="AG111" s="1068"/>
    </row>
    <row r="112" spans="1:33" ht="15.5">
      <c r="B112" s="1101" t="s">
        <v>206</v>
      </c>
      <c r="S112" s="1068"/>
      <c r="T112" s="2527"/>
      <c r="U112" s="512"/>
      <c r="V112" s="3327"/>
      <c r="W112" s="3353"/>
      <c r="X112" s="3353"/>
      <c r="Y112" s="3367"/>
      <c r="Z112" s="3367"/>
      <c r="AA112" s="3367"/>
      <c r="AB112" s="3367"/>
      <c r="AC112" s="3367"/>
      <c r="AD112" s="1221"/>
      <c r="AE112" s="1221"/>
      <c r="AF112" s="1221"/>
      <c r="AG112" s="1068"/>
    </row>
    <row r="113" spans="2:33">
      <c r="B113" s="354">
        <v>1</v>
      </c>
      <c r="C113" s="3601" t="s">
        <v>2829</v>
      </c>
      <c r="E113" s="3601" t="s">
        <v>5</v>
      </c>
      <c r="S113" s="1068"/>
      <c r="T113" s="2511"/>
      <c r="U113" s="512"/>
      <c r="V113" s="2522"/>
      <c r="W113" s="3481"/>
      <c r="X113" s="3481"/>
      <c r="Y113" s="1219"/>
      <c r="Z113" s="1219"/>
      <c r="AA113" s="1219"/>
      <c r="AB113" s="1219"/>
      <c r="AC113" s="1219"/>
      <c r="AD113" s="3367"/>
      <c r="AE113" s="3367"/>
      <c r="AF113" s="3353"/>
      <c r="AG113" s="1068"/>
    </row>
    <row r="114" spans="2:33">
      <c r="B114" s="354">
        <v>2</v>
      </c>
      <c r="C114" s="3601" t="s">
        <v>1713</v>
      </c>
      <c r="S114" s="1068"/>
      <c r="T114" s="2525"/>
      <c r="U114" s="512"/>
      <c r="V114" s="2522"/>
      <c r="W114" s="3011"/>
      <c r="X114" s="3361"/>
      <c r="Y114" s="1221"/>
      <c r="Z114" s="1221"/>
      <c r="AA114" s="1221"/>
      <c r="AB114" s="1221"/>
      <c r="AC114" s="1221"/>
      <c r="AD114" s="3367"/>
      <c r="AE114" s="3367"/>
      <c r="AF114" s="3401"/>
      <c r="AG114" s="1068"/>
    </row>
    <row r="115" spans="2:33">
      <c r="F115" s="3601">
        <v>2013</v>
      </c>
      <c r="G115" s="3601">
        <v>2015</v>
      </c>
      <c r="H115" s="3601">
        <v>2020</v>
      </c>
      <c r="I115" s="3601">
        <v>2025</v>
      </c>
      <c r="J115" s="3601">
        <v>2030</v>
      </c>
      <c r="K115" s="3601">
        <v>2035</v>
      </c>
      <c r="L115" s="3601">
        <v>2040</v>
      </c>
      <c r="M115" s="3601">
        <v>2045</v>
      </c>
      <c r="N115" s="3601">
        <v>2050</v>
      </c>
      <c r="S115" s="1068"/>
      <c r="T115" s="2527"/>
      <c r="U115" s="512"/>
      <c r="V115" s="3327"/>
      <c r="W115" s="3353"/>
      <c r="X115" s="3353"/>
      <c r="Y115" s="3367"/>
      <c r="Z115" s="3367"/>
      <c r="AA115" s="3367"/>
      <c r="AB115" s="3367"/>
      <c r="AC115" s="3367"/>
      <c r="AD115" s="3367"/>
      <c r="AE115" s="3367"/>
      <c r="AF115" s="3353"/>
      <c r="AG115" s="1068"/>
    </row>
    <row r="116" spans="2:33">
      <c r="C116" s="354" t="s">
        <v>2830</v>
      </c>
      <c r="E116" s="3801" t="str">
        <f>Preferences.EnergyUnits</f>
        <v>TWh</v>
      </c>
      <c r="F116" s="2460">
        <f ca="1">-VIII.a.Inputs[2013]</f>
        <v>0</v>
      </c>
      <c r="G116" s="2460">
        <f ca="1">-VIII.a.Inputs[2015]</f>
        <v>0</v>
      </c>
      <c r="H116" s="2460">
        <f ca="1">-VIII.a.Inputs[2020]</f>
        <v>0</v>
      </c>
      <c r="I116" s="2460">
        <f ca="1">-VIII.a.Inputs[2025]</f>
        <v>0</v>
      </c>
      <c r="J116" s="2460">
        <f ca="1">-VIII.a.Inputs[2030]</f>
        <v>0</v>
      </c>
      <c r="K116" s="2460">
        <f ca="1">-VIII.a.Inputs[2035]</f>
        <v>0</v>
      </c>
      <c r="L116" s="2460">
        <f ca="1">-VIII.a.Inputs[2040]</f>
        <v>0</v>
      </c>
      <c r="M116" s="2460">
        <f ca="1">-VIII.a.Inputs[2045]</f>
        <v>0</v>
      </c>
      <c r="N116" s="2460">
        <f ca="1">-VIII.a.Inputs[2050]</f>
        <v>0</v>
      </c>
      <c r="S116" s="1068"/>
      <c r="T116" s="2527"/>
      <c r="U116" s="512"/>
      <c r="V116" s="3327"/>
      <c r="W116" s="3353"/>
      <c r="X116" s="3401"/>
      <c r="Y116" s="3367"/>
      <c r="Z116" s="3367"/>
      <c r="AA116" s="3367"/>
      <c r="AB116" s="3367"/>
      <c r="AC116" s="3367"/>
      <c r="AD116" s="3367"/>
      <c r="AE116" s="3367"/>
      <c r="AF116" s="3353"/>
      <c r="AG116" s="1068"/>
    </row>
    <row r="117" spans="2:33">
      <c r="C117" s="3601" t="s">
        <v>2831</v>
      </c>
      <c r="G117" s="409">
        <f t="shared" ref="G117:N118" ca="1" si="4">G$116*G23</f>
        <v>0</v>
      </c>
      <c r="H117" s="409">
        <f t="shared" ca="1" si="4"/>
        <v>0</v>
      </c>
      <c r="I117" s="409">
        <f t="shared" ca="1" si="4"/>
        <v>0</v>
      </c>
      <c r="J117" s="409">
        <f t="shared" ca="1" si="4"/>
        <v>0</v>
      </c>
      <c r="K117" s="409">
        <f t="shared" ca="1" si="4"/>
        <v>0</v>
      </c>
      <c r="L117" s="409">
        <f t="shared" ca="1" si="4"/>
        <v>0</v>
      </c>
      <c r="M117" s="409">
        <f t="shared" ca="1" si="4"/>
        <v>0</v>
      </c>
      <c r="N117" s="409">
        <f t="shared" ca="1" si="4"/>
        <v>0</v>
      </c>
      <c r="S117" s="1068"/>
      <c r="T117" s="2527"/>
      <c r="U117" s="512"/>
      <c r="V117" s="3327"/>
      <c r="W117" s="3353"/>
      <c r="X117" s="3353"/>
      <c r="Y117" s="3367"/>
      <c r="Z117" s="3367"/>
      <c r="AA117" s="3367"/>
      <c r="AB117" s="3367"/>
      <c r="AC117" s="3367"/>
      <c r="AD117" s="3367"/>
      <c r="AE117" s="3367"/>
      <c r="AF117" s="3353"/>
      <c r="AG117" s="1068"/>
    </row>
    <row r="118" spans="2:33">
      <c r="C118" s="3601" t="s">
        <v>2832</v>
      </c>
      <c r="G118" s="409">
        <f t="shared" ca="1" si="4"/>
        <v>0</v>
      </c>
      <c r="H118" s="409">
        <f t="shared" ca="1" si="4"/>
        <v>0</v>
      </c>
      <c r="I118" s="409">
        <f t="shared" ca="1" si="4"/>
        <v>0</v>
      </c>
      <c r="J118" s="409">
        <f t="shared" ca="1" si="4"/>
        <v>0</v>
      </c>
      <c r="K118" s="409">
        <f t="shared" ca="1" si="4"/>
        <v>0</v>
      </c>
      <c r="L118" s="409">
        <f t="shared" ca="1" si="4"/>
        <v>0</v>
      </c>
      <c r="M118" s="409">
        <f t="shared" ca="1" si="4"/>
        <v>0</v>
      </c>
      <c r="N118" s="409">
        <f t="shared" ca="1" si="4"/>
        <v>0</v>
      </c>
      <c r="S118" s="1068"/>
      <c r="T118" s="2527"/>
      <c r="U118" s="512"/>
      <c r="V118" s="3327"/>
      <c r="W118" s="3353"/>
      <c r="X118" s="3353"/>
      <c r="Y118" s="3367"/>
      <c r="Z118" s="3367"/>
      <c r="AA118" s="3367"/>
      <c r="AB118" s="3367"/>
      <c r="AC118" s="3367"/>
      <c r="AD118" s="3367"/>
      <c r="AE118" s="3367"/>
      <c r="AF118" s="3353"/>
      <c r="AG118" s="1068"/>
    </row>
    <row r="119" spans="2:33">
      <c r="C119" s="3601" t="s">
        <v>2833</v>
      </c>
      <c r="G119" s="409">
        <f t="shared" ref="G119:N119" ca="1" si="5">G116*G25</f>
        <v>0</v>
      </c>
      <c r="H119" s="409">
        <f t="shared" ca="1" si="5"/>
        <v>0</v>
      </c>
      <c r="I119" s="409">
        <f t="shared" ca="1" si="5"/>
        <v>0</v>
      </c>
      <c r="J119" s="409">
        <f t="shared" ca="1" si="5"/>
        <v>0</v>
      </c>
      <c r="K119" s="409">
        <f t="shared" ca="1" si="5"/>
        <v>0</v>
      </c>
      <c r="L119" s="409">
        <f t="shared" ca="1" si="5"/>
        <v>0</v>
      </c>
      <c r="M119" s="409">
        <f t="shared" ca="1" si="5"/>
        <v>0</v>
      </c>
      <c r="N119" s="409">
        <f t="shared" ca="1" si="5"/>
        <v>0</v>
      </c>
      <c r="S119" s="1068"/>
      <c r="T119" s="2511"/>
      <c r="U119" s="512"/>
      <c r="V119" s="2522"/>
      <c r="W119" s="3481"/>
      <c r="X119" s="3481"/>
      <c r="Y119" s="1219"/>
      <c r="Z119" s="1219"/>
      <c r="AA119" s="1219"/>
      <c r="AB119" s="1219"/>
      <c r="AC119" s="1219"/>
      <c r="AD119" s="3367"/>
      <c r="AE119" s="3367"/>
      <c r="AF119" s="2523"/>
      <c r="AG119" s="1068"/>
    </row>
    <row r="120" spans="2:33">
      <c r="S120" s="1068"/>
      <c r="T120" s="2525"/>
      <c r="U120" s="512"/>
      <c r="V120" s="2522"/>
      <c r="W120" s="3011"/>
      <c r="X120" s="3361"/>
      <c r="Y120" s="1221"/>
      <c r="Z120" s="1221"/>
      <c r="AA120" s="1221"/>
      <c r="AB120" s="1221"/>
      <c r="AC120" s="1221"/>
      <c r="AD120" s="1221"/>
      <c r="AE120" s="1221"/>
      <c r="AF120" s="1221"/>
      <c r="AG120" s="1068"/>
    </row>
    <row r="121" spans="2:33">
      <c r="B121" s="3668"/>
      <c r="C121" s="3669" t="s">
        <v>93</v>
      </c>
      <c r="F121" s="3378"/>
      <c r="G121" s="3378"/>
      <c r="H121" s="3378"/>
      <c r="I121" s="3378"/>
      <c r="J121" s="3378"/>
      <c r="K121" s="3378"/>
      <c r="L121" s="3378"/>
      <c r="M121" s="3378"/>
      <c r="N121" s="3378"/>
      <c r="S121" s="1068"/>
      <c r="T121" s="2527"/>
      <c r="U121" s="512"/>
      <c r="V121" s="3327"/>
      <c r="W121" s="3353"/>
      <c r="X121" s="3353"/>
      <c r="Y121" s="3367"/>
      <c r="Z121" s="3367"/>
      <c r="AA121" s="3367"/>
      <c r="AB121" s="3367"/>
      <c r="AC121" s="3367"/>
      <c r="AD121" s="3367"/>
      <c r="AE121" s="3367"/>
      <c r="AF121" s="3670"/>
      <c r="AG121" s="1068"/>
    </row>
    <row r="122" spans="2:33">
      <c r="B122" s="3668"/>
      <c r="C122" s="3601" t="s">
        <v>2831</v>
      </c>
      <c r="F122" s="3378"/>
      <c r="G122" s="3671">
        <f t="shared" ref="G122:N123" ca="1" si="6">(G117/G17)-G117</f>
        <v>0</v>
      </c>
      <c r="H122" s="3671">
        <f t="shared" ca="1" si="6"/>
        <v>0</v>
      </c>
      <c r="I122" s="3671">
        <f t="shared" ca="1" si="6"/>
        <v>0</v>
      </c>
      <c r="J122" s="3671">
        <f t="shared" ca="1" si="6"/>
        <v>0</v>
      </c>
      <c r="K122" s="3671">
        <f t="shared" ca="1" si="6"/>
        <v>0</v>
      </c>
      <c r="L122" s="3671">
        <f t="shared" ca="1" si="6"/>
        <v>0</v>
      </c>
      <c r="M122" s="3671">
        <f t="shared" ca="1" si="6"/>
        <v>0</v>
      </c>
      <c r="N122" s="3671">
        <f t="shared" ca="1" si="6"/>
        <v>0</v>
      </c>
      <c r="S122" s="1068"/>
      <c r="T122" s="2527"/>
      <c r="U122" s="512"/>
      <c r="V122" s="3327"/>
      <c r="W122" s="3401"/>
      <c r="X122" s="3401"/>
      <c r="Y122" s="3367"/>
      <c r="Z122" s="3367"/>
      <c r="AA122" s="3367"/>
      <c r="AB122" s="3367"/>
      <c r="AC122" s="3367"/>
      <c r="AD122" s="3367"/>
      <c r="AE122" s="3367"/>
      <c r="AF122" s="3401"/>
      <c r="AG122" s="1068"/>
    </row>
    <row r="123" spans="2:33">
      <c r="B123" s="3668"/>
      <c r="C123" s="3601" t="s">
        <v>2832</v>
      </c>
      <c r="F123" s="3378"/>
      <c r="G123" s="3671">
        <f t="shared" ca="1" si="6"/>
        <v>0</v>
      </c>
      <c r="H123" s="3671">
        <f t="shared" ca="1" si="6"/>
        <v>0</v>
      </c>
      <c r="I123" s="3671">
        <f t="shared" ca="1" si="6"/>
        <v>0</v>
      </c>
      <c r="J123" s="3671">
        <f t="shared" ca="1" si="6"/>
        <v>0</v>
      </c>
      <c r="K123" s="3671">
        <f t="shared" ca="1" si="6"/>
        <v>0</v>
      </c>
      <c r="L123" s="3671">
        <f t="shared" ca="1" si="6"/>
        <v>0</v>
      </c>
      <c r="M123" s="3671">
        <f t="shared" ca="1" si="6"/>
        <v>0</v>
      </c>
      <c r="N123" s="3671">
        <f t="shared" ca="1" si="6"/>
        <v>0</v>
      </c>
      <c r="S123" s="1068"/>
      <c r="T123" s="2527"/>
      <c r="U123" s="512"/>
      <c r="V123" s="3327"/>
      <c r="W123" s="3353"/>
      <c r="X123" s="3353"/>
      <c r="Y123" s="3367"/>
      <c r="Z123" s="3367"/>
      <c r="AA123" s="3367"/>
      <c r="AB123" s="3367"/>
      <c r="AC123" s="3367"/>
      <c r="AD123" s="3367"/>
      <c r="AE123" s="3367"/>
      <c r="AF123" s="3353"/>
      <c r="AG123" s="1068"/>
    </row>
    <row r="124" spans="2:33">
      <c r="B124" s="979"/>
      <c r="C124" s="3601" t="s">
        <v>2833</v>
      </c>
      <c r="G124" s="3671">
        <f t="shared" ref="G124:N124" ca="1" si="7">G128-G119</f>
        <v>0</v>
      </c>
      <c r="H124" s="3671">
        <f t="shared" ca="1" si="7"/>
        <v>0</v>
      </c>
      <c r="I124" s="3671">
        <f t="shared" ca="1" si="7"/>
        <v>0</v>
      </c>
      <c r="J124" s="3671">
        <f t="shared" ca="1" si="7"/>
        <v>0</v>
      </c>
      <c r="K124" s="3671">
        <f t="shared" ca="1" si="7"/>
        <v>0</v>
      </c>
      <c r="L124" s="3671">
        <f t="shared" ca="1" si="7"/>
        <v>0</v>
      </c>
      <c r="M124" s="3671">
        <f t="shared" ca="1" si="7"/>
        <v>0</v>
      </c>
      <c r="N124" s="3671">
        <f t="shared" ca="1" si="7"/>
        <v>0</v>
      </c>
      <c r="S124" s="1068"/>
      <c r="T124" s="2527"/>
      <c r="U124" s="512"/>
      <c r="V124" s="3327"/>
      <c r="W124" s="3353"/>
      <c r="X124" s="3353"/>
      <c r="Y124" s="3367"/>
      <c r="Z124" s="3367"/>
      <c r="AA124" s="3367"/>
      <c r="AB124" s="3367"/>
      <c r="AC124" s="3367"/>
      <c r="AD124" s="3367"/>
      <c r="AE124" s="3367"/>
      <c r="AF124" s="3353"/>
      <c r="AG124" s="1068"/>
    </row>
    <row r="125" spans="2:33">
      <c r="B125" s="979"/>
      <c r="S125" s="1068"/>
      <c r="T125" s="2509"/>
      <c r="U125" s="512"/>
      <c r="V125" s="3327"/>
      <c r="W125" s="3353"/>
      <c r="X125" s="3353"/>
      <c r="Y125" s="3367"/>
      <c r="Z125" s="3367"/>
      <c r="AA125" s="3367"/>
      <c r="AB125" s="3367"/>
      <c r="AC125" s="3367"/>
      <c r="AD125" s="3367"/>
      <c r="AE125" s="3367"/>
      <c r="AF125" s="2523"/>
      <c r="AG125" s="1068"/>
    </row>
    <row r="126" spans="2:33">
      <c r="B126" s="979"/>
      <c r="C126" s="354" t="s">
        <v>2834</v>
      </c>
      <c r="S126" s="1068"/>
      <c r="T126" s="2509"/>
      <c r="U126" s="512"/>
      <c r="V126" s="3327"/>
      <c r="W126" s="3353"/>
      <c r="X126" s="3353"/>
      <c r="Y126" s="3367"/>
      <c r="Z126" s="3367"/>
      <c r="AA126" s="3367"/>
      <c r="AB126" s="3367"/>
      <c r="AC126" s="3367"/>
      <c r="AD126" s="1221"/>
      <c r="AE126" s="1221"/>
      <c r="AF126" s="1221"/>
      <c r="AG126" s="1068"/>
    </row>
    <row r="127" spans="2:33">
      <c r="C127" s="3601" t="s">
        <v>2835</v>
      </c>
      <c r="E127" s="3601" t="s">
        <v>99</v>
      </c>
      <c r="F127" s="3379"/>
      <c r="G127" s="3672">
        <f t="shared" ref="G127:N127" ca="1" si="8">(G117/G17)+(G118/G18)</f>
        <v>0</v>
      </c>
      <c r="H127" s="3672">
        <f t="shared" ca="1" si="8"/>
        <v>0</v>
      </c>
      <c r="I127" s="3672">
        <f t="shared" ca="1" si="8"/>
        <v>0</v>
      </c>
      <c r="J127" s="3672">
        <f t="shared" ca="1" si="8"/>
        <v>0</v>
      </c>
      <c r="K127" s="3672">
        <f t="shared" ca="1" si="8"/>
        <v>0</v>
      </c>
      <c r="L127" s="3672">
        <f t="shared" ca="1" si="8"/>
        <v>0</v>
      </c>
      <c r="M127" s="3672">
        <f t="shared" ca="1" si="8"/>
        <v>0</v>
      </c>
      <c r="N127" s="3672">
        <f t="shared" ca="1" si="8"/>
        <v>0</v>
      </c>
      <c r="S127" s="1068"/>
      <c r="T127" s="2511"/>
      <c r="U127" s="512"/>
      <c r="V127" s="3327"/>
      <c r="W127" s="3353"/>
      <c r="X127" s="3353"/>
      <c r="Y127" s="3367"/>
      <c r="Z127" s="3367"/>
      <c r="AA127" s="3367"/>
      <c r="AB127" s="3367"/>
      <c r="AC127" s="3367"/>
      <c r="AD127" s="3367"/>
      <c r="AE127" s="3367"/>
      <c r="AF127" s="3670"/>
      <c r="AG127" s="1068"/>
    </row>
    <row r="128" spans="2:33">
      <c r="C128" s="2" t="s">
        <v>2836</v>
      </c>
      <c r="E128" s="3601" t="s">
        <v>95</v>
      </c>
      <c r="F128" s="2460"/>
      <c r="G128" s="2384">
        <f t="shared" ref="G128:N128" ca="1" si="9">G119/G19</f>
        <v>0</v>
      </c>
      <c r="H128" s="2384">
        <f t="shared" ca="1" si="9"/>
        <v>0</v>
      </c>
      <c r="I128" s="2384">
        <f t="shared" ca="1" si="9"/>
        <v>0</v>
      </c>
      <c r="J128" s="2384">
        <f t="shared" ca="1" si="9"/>
        <v>0</v>
      </c>
      <c r="K128" s="2384">
        <f t="shared" ca="1" si="9"/>
        <v>0</v>
      </c>
      <c r="L128" s="2384">
        <f t="shared" ca="1" si="9"/>
        <v>0</v>
      </c>
      <c r="M128" s="2384">
        <f t="shared" ca="1" si="9"/>
        <v>0</v>
      </c>
      <c r="N128" s="2384">
        <f t="shared" ca="1" si="9"/>
        <v>0</v>
      </c>
      <c r="S128" s="1068"/>
      <c r="T128" s="2525"/>
      <c r="U128" s="512"/>
      <c r="V128" s="2522"/>
      <c r="W128" s="3011"/>
      <c r="X128" s="3361"/>
      <c r="Y128" s="1221"/>
      <c r="Z128" s="1221"/>
      <c r="AA128" s="1221"/>
      <c r="AB128" s="1221"/>
      <c r="AC128" s="1221"/>
      <c r="AD128" s="3367"/>
      <c r="AE128" s="3367"/>
      <c r="AF128" s="3401"/>
      <c r="AG128" s="1068"/>
    </row>
    <row r="129" spans="2:33">
      <c r="C129" s="2"/>
      <c r="F129" s="2460"/>
      <c r="G129" s="2384"/>
      <c r="H129" s="2384"/>
      <c r="I129" s="2384"/>
      <c r="J129" s="2384"/>
      <c r="K129" s="2384"/>
      <c r="L129" s="2384"/>
      <c r="M129" s="2384"/>
      <c r="N129" s="2384"/>
      <c r="S129" s="1068"/>
      <c r="T129" s="2527"/>
      <c r="U129" s="512"/>
      <c r="V129" s="3327"/>
      <c r="W129" s="3670"/>
      <c r="X129" s="3670"/>
      <c r="Y129" s="3367"/>
      <c r="Z129" s="3367"/>
      <c r="AA129" s="3367"/>
      <c r="AB129" s="3367"/>
      <c r="AC129" s="3367"/>
      <c r="AD129" s="3367"/>
      <c r="AE129" s="3367"/>
      <c r="AF129" s="3353"/>
      <c r="AG129" s="1068"/>
    </row>
    <row r="130" spans="2:33">
      <c r="C130" s="372" t="s">
        <v>824</v>
      </c>
      <c r="D130" s="1108"/>
      <c r="E130" s="6"/>
      <c r="F130" s="6"/>
      <c r="G130" s="3104"/>
      <c r="H130" s="3104"/>
      <c r="I130" s="3104"/>
      <c r="J130" s="3104"/>
      <c r="K130" s="3104"/>
      <c r="L130" s="3104"/>
      <c r="M130" s="3104"/>
      <c r="N130" s="3104"/>
      <c r="O130" s="3104"/>
      <c r="S130" s="1068"/>
      <c r="T130" s="2527"/>
      <c r="U130" s="1068"/>
      <c r="V130" s="3327"/>
      <c r="W130" s="3401"/>
      <c r="X130" s="3401"/>
      <c r="Y130" s="3367"/>
      <c r="Z130" s="3367"/>
      <c r="AA130" s="3367"/>
      <c r="AB130" s="3367"/>
      <c r="AC130" s="3367"/>
      <c r="AD130" s="3367"/>
      <c r="AE130" s="3367"/>
      <c r="AF130" s="3353"/>
      <c r="AG130" s="1068"/>
    </row>
    <row r="131" spans="2:33">
      <c r="C131" s="6"/>
      <c r="D131" s="4" t="s">
        <v>250</v>
      </c>
      <c r="E131" s="6"/>
      <c r="F131" s="6" t="s">
        <v>251</v>
      </c>
      <c r="G131" s="2414">
        <f ca="1">(G$127)*INDEX(EF[CO2], MATCH("V.05", EF[Vector], 0))</f>
        <v>0</v>
      </c>
      <c r="H131" s="2414">
        <f ca="1">(H$127)*INDEX(EF[CO2], MATCH("V.05", EF[Vector], 0))</f>
        <v>0</v>
      </c>
      <c r="I131" s="2414">
        <f ca="1">(I$127)*INDEX(EF[CO2], MATCH("V.05", EF[Vector], 0))</f>
        <v>0</v>
      </c>
      <c r="J131" s="2414">
        <f ca="1">(J$127)*INDEX(EF[CO2], MATCH("V.05", EF[Vector], 0))</f>
        <v>0</v>
      </c>
      <c r="K131" s="2414">
        <f ca="1">(K$127)*INDEX(EF[CO2], MATCH("V.05", EF[Vector], 0))</f>
        <v>0</v>
      </c>
      <c r="L131" s="2414">
        <f ca="1">(L$127)*INDEX(EF[CO2], MATCH("V.05", EF[Vector], 0))</f>
        <v>0</v>
      </c>
      <c r="M131" s="2414">
        <f ca="1">(M$127)*INDEX(EF[CO2], MATCH("V.05", EF[Vector], 0))</f>
        <v>0</v>
      </c>
      <c r="N131" s="2414">
        <f ca="1">(N$127)*INDEX(EF[CO2], MATCH("V.05", EF[Vector], 0))</f>
        <v>0</v>
      </c>
      <c r="O131" s="2414">
        <v>0</v>
      </c>
      <c r="S131" s="1068"/>
      <c r="T131" s="2527"/>
      <c r="U131" s="512"/>
      <c r="V131" s="3327"/>
      <c r="W131" s="3353"/>
      <c r="X131" s="3353"/>
      <c r="Y131" s="3367"/>
      <c r="Z131" s="3367"/>
      <c r="AA131" s="3367"/>
      <c r="AB131" s="3367"/>
      <c r="AC131" s="3367"/>
      <c r="AD131" s="3367"/>
      <c r="AE131" s="3367"/>
      <c r="AF131" s="2523"/>
      <c r="AG131" s="1068"/>
    </row>
    <row r="132" spans="2:33">
      <c r="C132" s="6"/>
      <c r="D132" s="4" t="s">
        <v>252</v>
      </c>
      <c r="E132" s="6"/>
      <c r="F132" s="6" t="s">
        <v>251</v>
      </c>
      <c r="G132" s="2414">
        <f ca="1">G$127*INDEX(EF[CH4], MATCH("V.05", EF[Vector], 0))</f>
        <v>0</v>
      </c>
      <c r="H132" s="2414">
        <f ca="1">H$127*INDEX(EF[CH4], MATCH("V.05", EF[Vector], 0))</f>
        <v>0</v>
      </c>
      <c r="I132" s="2414">
        <f ca="1">I$127*INDEX(EF[CH4], MATCH("V.05", EF[Vector], 0))</f>
        <v>0</v>
      </c>
      <c r="J132" s="2414">
        <f ca="1">J$127*INDEX(EF[CH4], MATCH("V.05", EF[Vector], 0))</f>
        <v>0</v>
      </c>
      <c r="K132" s="2414">
        <f ca="1">K$127*INDEX(EF[CH4], MATCH("V.05", EF[Vector], 0))</f>
        <v>0</v>
      </c>
      <c r="L132" s="2414">
        <f ca="1">L$127*INDEX(EF[CH4], MATCH("V.05", EF[Vector], 0))</f>
        <v>0</v>
      </c>
      <c r="M132" s="2414">
        <f ca="1">M$127*INDEX(EF[CH4], MATCH("V.05", EF[Vector], 0))</f>
        <v>0</v>
      </c>
      <c r="N132" s="2414">
        <f ca="1">N$127*INDEX(EF[CH4], MATCH("V.05", EF[Vector], 0))</f>
        <v>0</v>
      </c>
      <c r="O132" s="2414">
        <v>0</v>
      </c>
      <c r="S132" s="1068"/>
      <c r="T132" s="2527"/>
      <c r="U132" s="512"/>
      <c r="V132" s="3327"/>
      <c r="W132" s="1068"/>
      <c r="X132" s="3353"/>
      <c r="Y132" s="3367"/>
      <c r="Z132" s="3367"/>
      <c r="AA132" s="3367"/>
      <c r="AB132" s="3367"/>
      <c r="AC132" s="3367"/>
      <c r="AD132" s="1221"/>
      <c r="AE132" s="1221"/>
      <c r="AF132" s="1221"/>
      <c r="AG132" s="1068"/>
    </row>
    <row r="133" spans="2:33">
      <c r="C133" s="6"/>
      <c r="D133" s="4" t="s">
        <v>253</v>
      </c>
      <c r="E133" s="6"/>
      <c r="F133" s="6" t="s">
        <v>251</v>
      </c>
      <c r="G133" s="2414">
        <f ca="1">G$127*INDEX(EF[N2O], MATCH("V.05", EF[Vector], 0))</f>
        <v>0</v>
      </c>
      <c r="H133" s="2414">
        <f ca="1">H$127*INDEX(EF[N2O], MATCH("V.05", EF[Vector], 0))</f>
        <v>0</v>
      </c>
      <c r="I133" s="2414">
        <f ca="1">I$127*INDEX(EF[N2O], MATCH("V.05", EF[Vector], 0))</f>
        <v>0</v>
      </c>
      <c r="J133" s="2414">
        <f ca="1">J$127*INDEX(EF[N2O], MATCH("V.05", EF[Vector], 0))</f>
        <v>0</v>
      </c>
      <c r="K133" s="2414">
        <f ca="1">K$127*INDEX(EF[N2O], MATCH("V.05", EF[Vector], 0))</f>
        <v>0</v>
      </c>
      <c r="L133" s="2414">
        <f ca="1">L$127*INDEX(EF[N2O], MATCH("V.05", EF[Vector], 0))</f>
        <v>0</v>
      </c>
      <c r="M133" s="2414">
        <f ca="1">M$127*INDEX(EF[N2O], MATCH("V.05", EF[Vector], 0))</f>
        <v>0</v>
      </c>
      <c r="N133" s="2414">
        <f ca="1">N$127*INDEX(EF[N2O], MATCH("V.05", EF[Vector], 0))</f>
        <v>0</v>
      </c>
      <c r="O133" s="2414">
        <v>0</v>
      </c>
      <c r="S133" s="1068"/>
      <c r="T133" s="2511"/>
      <c r="U133" s="512"/>
      <c r="V133" s="3327"/>
      <c r="W133" s="3353"/>
      <c r="X133" s="3353"/>
      <c r="Y133" s="3367"/>
      <c r="Z133" s="3367"/>
      <c r="AA133" s="3367"/>
      <c r="AB133" s="3367"/>
      <c r="AC133" s="3367"/>
      <c r="AD133" s="3367"/>
      <c r="AE133" s="3367"/>
      <c r="AF133" s="3670"/>
      <c r="AG133" s="1068"/>
    </row>
    <row r="134" spans="2:33">
      <c r="C134" s="2"/>
      <c r="F134" s="2460"/>
      <c r="G134" s="2384"/>
      <c r="H134" s="2384"/>
      <c r="I134" s="2384"/>
      <c r="J134" s="2384"/>
      <c r="K134" s="2384"/>
      <c r="L134" s="2384"/>
      <c r="M134" s="2384"/>
      <c r="N134" s="2384"/>
      <c r="S134" s="1068"/>
      <c r="T134" s="2525"/>
      <c r="U134" s="512"/>
      <c r="V134" s="2522"/>
      <c r="W134" s="3011"/>
      <c r="X134" s="3361"/>
      <c r="Y134" s="1221"/>
      <c r="Z134" s="1221"/>
      <c r="AA134" s="1221"/>
      <c r="AB134" s="1221"/>
      <c r="AC134" s="1221"/>
      <c r="AD134" s="3367"/>
      <c r="AE134" s="3367"/>
      <c r="AF134" s="3401"/>
      <c r="AG134" s="1068"/>
    </row>
    <row r="135" spans="2:33">
      <c r="B135" s="354">
        <v>2</v>
      </c>
      <c r="C135" s="354" t="s">
        <v>2837</v>
      </c>
      <c r="F135" s="2460"/>
      <c r="G135" s="2384"/>
      <c r="H135" s="2384"/>
      <c r="I135" s="2384"/>
      <c r="J135" s="2384"/>
      <c r="K135" s="2384"/>
      <c r="L135" s="2384"/>
      <c r="M135" s="2384"/>
      <c r="N135" s="2384"/>
      <c r="S135" s="1068"/>
      <c r="T135" s="2527"/>
      <c r="U135" s="512"/>
      <c r="V135" s="3327"/>
      <c r="W135" s="3670"/>
      <c r="X135" s="3670"/>
      <c r="Y135" s="3367"/>
      <c r="Z135" s="3367"/>
      <c r="AA135" s="3367"/>
      <c r="AB135" s="3367"/>
      <c r="AC135" s="3367"/>
      <c r="AD135" s="3367"/>
      <c r="AE135" s="3367"/>
      <c r="AF135" s="3353"/>
      <c r="AG135" s="1068"/>
    </row>
    <row r="136" spans="2:33">
      <c r="F136" s="2460"/>
      <c r="G136" s="2384"/>
      <c r="H136" s="2384"/>
      <c r="I136" s="2384"/>
      <c r="J136" s="2384"/>
      <c r="K136" s="2384"/>
      <c r="L136" s="2384"/>
      <c r="M136" s="2384"/>
      <c r="N136" s="2384"/>
      <c r="S136" s="1068"/>
      <c r="T136" s="2527"/>
      <c r="U136" s="1068"/>
      <c r="V136" s="3327"/>
      <c r="W136" s="3401"/>
      <c r="X136" s="3401"/>
      <c r="Y136" s="3367"/>
      <c r="Z136" s="3367"/>
      <c r="AA136" s="3367"/>
      <c r="AB136" s="3367"/>
      <c r="AC136" s="3367"/>
      <c r="AD136" s="3367"/>
      <c r="AE136" s="3367"/>
      <c r="AF136" s="3353"/>
      <c r="AG136" s="1068"/>
    </row>
    <row r="137" spans="2:33">
      <c r="C137" s="3601" t="s">
        <v>2831</v>
      </c>
      <c r="E137" s="3601" t="s">
        <v>277</v>
      </c>
      <c r="F137" s="2460"/>
      <c r="G137" s="2384">
        <f t="shared" ref="G137:N137" ca="1" si="10">(G117/G17)/((1/Unit.W)*Unit.year*Unit.J)</f>
        <v>0</v>
      </c>
      <c r="H137" s="2384">
        <f t="shared" ca="1" si="10"/>
        <v>0</v>
      </c>
      <c r="I137" s="2384">
        <f t="shared" ca="1" si="10"/>
        <v>0</v>
      </c>
      <c r="J137" s="2384">
        <f t="shared" ca="1" si="10"/>
        <v>0</v>
      </c>
      <c r="K137" s="2384">
        <f t="shared" ca="1" si="10"/>
        <v>0</v>
      </c>
      <c r="L137" s="2384">
        <f t="shared" ca="1" si="10"/>
        <v>0</v>
      </c>
      <c r="M137" s="2384">
        <f t="shared" ca="1" si="10"/>
        <v>0</v>
      </c>
      <c r="N137" s="2384">
        <f t="shared" ca="1" si="10"/>
        <v>0</v>
      </c>
      <c r="S137" s="1068"/>
      <c r="T137" s="2527"/>
      <c r="U137" s="512"/>
      <c r="V137" s="3327"/>
      <c r="W137" s="3353"/>
      <c r="X137" s="3353"/>
      <c r="Y137" s="3367"/>
      <c r="Z137" s="3367"/>
      <c r="AA137" s="3367"/>
      <c r="AB137" s="3367"/>
      <c r="AC137" s="3367"/>
      <c r="AD137" s="3367"/>
      <c r="AE137" s="3367"/>
      <c r="AF137" s="3353"/>
      <c r="AG137" s="1068"/>
    </row>
    <row r="138" spans="2:33">
      <c r="C138" s="3601" t="s">
        <v>2832</v>
      </c>
      <c r="E138" s="3601" t="s">
        <v>277</v>
      </c>
      <c r="F138" s="2460"/>
      <c r="G138" s="2384">
        <f t="shared" ref="G138:N138" ca="1" si="11">(G118/G18)/((1/Unit.W)*Unit.year*Unit.J)</f>
        <v>0</v>
      </c>
      <c r="H138" s="2384">
        <f t="shared" ca="1" si="11"/>
        <v>0</v>
      </c>
      <c r="I138" s="2384">
        <f t="shared" ca="1" si="11"/>
        <v>0</v>
      </c>
      <c r="J138" s="2384">
        <f t="shared" ca="1" si="11"/>
        <v>0</v>
      </c>
      <c r="K138" s="2384">
        <f t="shared" ca="1" si="11"/>
        <v>0</v>
      </c>
      <c r="L138" s="2384">
        <f t="shared" ca="1" si="11"/>
        <v>0</v>
      </c>
      <c r="M138" s="2384">
        <f t="shared" ca="1" si="11"/>
        <v>0</v>
      </c>
      <c r="N138" s="2384">
        <f t="shared" ca="1" si="11"/>
        <v>0</v>
      </c>
      <c r="S138" s="1068"/>
      <c r="T138" s="2527"/>
      <c r="U138" s="512"/>
      <c r="V138" s="3327"/>
      <c r="W138" s="3353"/>
      <c r="X138" s="3353"/>
      <c r="Y138" s="3367"/>
      <c r="Z138" s="3367"/>
      <c r="AA138" s="3367"/>
      <c r="AB138" s="3367"/>
      <c r="AC138" s="3367"/>
      <c r="AD138" s="3367"/>
      <c r="AE138" s="3367"/>
      <c r="AF138" s="3353"/>
      <c r="AG138" s="1068"/>
    </row>
    <row r="139" spans="2:33">
      <c r="C139" s="3601" t="s">
        <v>2833</v>
      </c>
      <c r="E139" s="3601" t="s">
        <v>277</v>
      </c>
      <c r="G139" s="2384">
        <f t="shared" ref="G139:N139" ca="1" si="12">(G119/G19)/((1/Unit.W)*Unit.year*Unit.J)</f>
        <v>0</v>
      </c>
      <c r="H139" s="2384">
        <f t="shared" ca="1" si="12"/>
        <v>0</v>
      </c>
      <c r="I139" s="2384">
        <f t="shared" ca="1" si="12"/>
        <v>0</v>
      </c>
      <c r="J139" s="2384">
        <f t="shared" ca="1" si="12"/>
        <v>0</v>
      </c>
      <c r="K139" s="2384">
        <f t="shared" ca="1" si="12"/>
        <v>0</v>
      </c>
      <c r="L139" s="2384">
        <f t="shared" ca="1" si="12"/>
        <v>0</v>
      </c>
      <c r="M139" s="2384">
        <f t="shared" ca="1" si="12"/>
        <v>0</v>
      </c>
      <c r="N139" s="2384">
        <f t="shared" ca="1" si="12"/>
        <v>0</v>
      </c>
      <c r="S139" s="1068"/>
      <c r="T139" s="2511"/>
      <c r="U139" s="512"/>
      <c r="V139" s="3327"/>
      <c r="W139" s="3353"/>
      <c r="X139" s="3353"/>
      <c r="Y139" s="3367"/>
      <c r="Z139" s="3367"/>
      <c r="AA139" s="3367"/>
      <c r="AB139" s="3367"/>
      <c r="AC139" s="3367"/>
      <c r="AD139" s="3367"/>
      <c r="AE139" s="3367"/>
      <c r="AF139" s="2523"/>
      <c r="AG139" s="1068"/>
    </row>
    <row r="140" spans="2:33">
      <c r="G140" s="2384"/>
      <c r="H140" s="2384"/>
      <c r="I140" s="2384"/>
      <c r="J140" s="2384"/>
      <c r="K140" s="2384"/>
      <c r="L140" s="2384"/>
      <c r="M140" s="2384"/>
      <c r="N140" s="2384"/>
      <c r="S140" s="1068"/>
      <c r="T140" s="2525"/>
      <c r="U140" s="512"/>
      <c r="V140" s="2522"/>
      <c r="W140" s="3011"/>
      <c r="X140" s="3361"/>
      <c r="Y140" s="1221"/>
      <c r="Z140" s="1221"/>
      <c r="AA140" s="1221"/>
      <c r="AB140" s="1221"/>
      <c r="AC140" s="1221"/>
      <c r="AD140" s="1221"/>
      <c r="AE140" s="1221"/>
      <c r="AF140" s="1221"/>
      <c r="AG140" s="1068"/>
    </row>
    <row r="141" spans="2:33">
      <c r="C141" s="3601" t="s">
        <v>2838</v>
      </c>
      <c r="E141" s="3601" t="s">
        <v>741</v>
      </c>
      <c r="F141" s="3601">
        <v>2013</v>
      </c>
      <c r="G141" s="3601">
        <v>2015</v>
      </c>
      <c r="H141" s="3601">
        <v>2020</v>
      </c>
      <c r="I141" s="3601">
        <v>2025</v>
      </c>
      <c r="J141" s="3601">
        <v>2030</v>
      </c>
      <c r="K141" s="3601">
        <v>2035</v>
      </c>
      <c r="L141" s="3601">
        <v>2040</v>
      </c>
      <c r="M141" s="3601">
        <v>2045</v>
      </c>
      <c r="N141" s="3601">
        <v>2050</v>
      </c>
      <c r="S141" s="1068"/>
      <c r="T141" s="2527"/>
      <c r="U141" s="512"/>
      <c r="V141" s="3327"/>
      <c r="W141" s="3670"/>
      <c r="X141" s="3670"/>
      <c r="Y141" s="3367"/>
      <c r="Z141" s="3367"/>
      <c r="AA141" s="3367"/>
      <c r="AB141" s="3367"/>
      <c r="AC141" s="3367"/>
      <c r="AD141" s="3367"/>
      <c r="AE141" s="3367"/>
      <c r="AF141" s="3670"/>
      <c r="AG141" s="1068"/>
    </row>
    <row r="142" spans="2:33">
      <c r="C142" s="3601" t="s">
        <v>2819</v>
      </c>
      <c r="F142" s="3601">
        <f>F117/$D$50</f>
        <v>0</v>
      </c>
      <c r="G142" s="2091">
        <f t="shared" ref="G142:N142" ca="1" si="13">G117/$D$50</f>
        <v>0</v>
      </c>
      <c r="H142" s="2091">
        <f t="shared" ca="1" si="13"/>
        <v>0</v>
      </c>
      <c r="I142" s="2091">
        <f t="shared" ca="1" si="13"/>
        <v>0</v>
      </c>
      <c r="J142" s="2091">
        <f t="shared" ca="1" si="13"/>
        <v>0</v>
      </c>
      <c r="K142" s="2091">
        <f t="shared" ca="1" si="13"/>
        <v>0</v>
      </c>
      <c r="L142" s="2091">
        <f t="shared" ca="1" si="13"/>
        <v>0</v>
      </c>
      <c r="M142" s="2091">
        <f t="shared" ca="1" si="13"/>
        <v>0</v>
      </c>
      <c r="N142" s="2091">
        <f t="shared" ca="1" si="13"/>
        <v>0</v>
      </c>
      <c r="S142" s="1068"/>
      <c r="T142" s="2527"/>
      <c r="U142" s="1068"/>
      <c r="V142" s="3327"/>
      <c r="W142" s="3401"/>
      <c r="X142" s="3401"/>
      <c r="Y142" s="3367"/>
      <c r="Z142" s="3367"/>
      <c r="AA142" s="3367"/>
      <c r="AB142" s="3367"/>
      <c r="AC142" s="3367"/>
      <c r="AD142" s="3367"/>
      <c r="AE142" s="3367"/>
      <c r="AF142" s="3401"/>
      <c r="AG142" s="1068"/>
    </row>
    <row r="143" spans="2:33">
      <c r="C143" s="3601" t="s">
        <v>2820</v>
      </c>
      <c r="F143" s="3601">
        <f t="shared" ref="F143:N143" si="14">F118/$D$51</f>
        <v>0</v>
      </c>
      <c r="G143" s="2091">
        <f t="shared" ca="1" si="14"/>
        <v>0</v>
      </c>
      <c r="H143" s="2091">
        <f t="shared" ca="1" si="14"/>
        <v>0</v>
      </c>
      <c r="I143" s="2091">
        <f t="shared" ca="1" si="14"/>
        <v>0</v>
      </c>
      <c r="J143" s="2091">
        <f t="shared" ca="1" si="14"/>
        <v>0</v>
      </c>
      <c r="K143" s="2091">
        <f t="shared" ca="1" si="14"/>
        <v>0</v>
      </c>
      <c r="L143" s="2091">
        <f t="shared" ca="1" si="14"/>
        <v>0</v>
      </c>
      <c r="M143" s="2091">
        <f t="shared" ca="1" si="14"/>
        <v>0</v>
      </c>
      <c r="N143" s="2091">
        <f t="shared" ca="1" si="14"/>
        <v>0</v>
      </c>
      <c r="S143" s="1068"/>
      <c r="T143" s="2527"/>
      <c r="U143" s="512"/>
      <c r="V143" s="3327"/>
      <c r="W143" s="3353"/>
      <c r="X143" s="3353"/>
      <c r="Y143" s="3367"/>
      <c r="Z143" s="3367"/>
      <c r="AA143" s="3367"/>
      <c r="AB143" s="3367"/>
      <c r="AC143" s="3367"/>
      <c r="AD143" s="3367"/>
      <c r="AE143" s="3367"/>
      <c r="AF143" s="3353"/>
      <c r="AG143" s="1068"/>
    </row>
    <row r="144" spans="2:33">
      <c r="C144" s="3601" t="s">
        <v>2821</v>
      </c>
      <c r="F144" s="3601">
        <f t="shared" ref="F144:N144" si="15">F119/$D$52</f>
        <v>0</v>
      </c>
      <c r="G144" s="2091">
        <f t="shared" ca="1" si="15"/>
        <v>0</v>
      </c>
      <c r="H144" s="2091">
        <f t="shared" ca="1" si="15"/>
        <v>0</v>
      </c>
      <c r="I144" s="2091">
        <f t="shared" ca="1" si="15"/>
        <v>0</v>
      </c>
      <c r="J144" s="2091">
        <f t="shared" ca="1" si="15"/>
        <v>0</v>
      </c>
      <c r="K144" s="2091">
        <f t="shared" ca="1" si="15"/>
        <v>0</v>
      </c>
      <c r="L144" s="2091">
        <f t="shared" ca="1" si="15"/>
        <v>0</v>
      </c>
      <c r="M144" s="2091">
        <f t="shared" ca="1" si="15"/>
        <v>0</v>
      </c>
      <c r="N144" s="2091">
        <f t="shared" ca="1" si="15"/>
        <v>0</v>
      </c>
      <c r="S144" s="1068"/>
      <c r="T144" s="2527"/>
      <c r="U144" s="512"/>
      <c r="V144" s="3327"/>
      <c r="W144" s="3353"/>
      <c r="X144" s="3353"/>
      <c r="Y144" s="3367"/>
      <c r="Z144" s="3367"/>
      <c r="AA144" s="3367"/>
      <c r="AB144" s="3367"/>
      <c r="AC144" s="3367"/>
      <c r="AD144" s="3367"/>
      <c r="AE144" s="3367"/>
      <c r="AF144" s="3353"/>
      <c r="AG144" s="1068"/>
    </row>
    <row r="145" spans="2:33">
      <c r="C145" s="3601" t="s">
        <v>2827</v>
      </c>
      <c r="F145" s="3601">
        <f t="shared" ref="F145:N145" ca="1" si="16">F116/$D$53</f>
        <v>0</v>
      </c>
      <c r="G145" s="2091">
        <f t="shared" ca="1" si="16"/>
        <v>0</v>
      </c>
      <c r="H145" s="2091">
        <f t="shared" ca="1" si="16"/>
        <v>0</v>
      </c>
      <c r="I145" s="2091">
        <f t="shared" ca="1" si="16"/>
        <v>0</v>
      </c>
      <c r="J145" s="2091">
        <f t="shared" ca="1" si="16"/>
        <v>0</v>
      </c>
      <c r="K145" s="2091">
        <f t="shared" ca="1" si="16"/>
        <v>0</v>
      </c>
      <c r="L145" s="2091">
        <f t="shared" ca="1" si="16"/>
        <v>0</v>
      </c>
      <c r="M145" s="2091">
        <f t="shared" ca="1" si="16"/>
        <v>0</v>
      </c>
      <c r="N145" s="2091">
        <f t="shared" ca="1" si="16"/>
        <v>0</v>
      </c>
      <c r="S145" s="1068"/>
      <c r="T145" s="2527"/>
      <c r="U145" s="512"/>
      <c r="V145" s="3327"/>
      <c r="W145" s="3353"/>
      <c r="X145" s="3353"/>
      <c r="Y145" s="3367"/>
      <c r="Z145" s="3367"/>
      <c r="AA145" s="3367"/>
      <c r="AB145" s="3367"/>
      <c r="AC145" s="3367"/>
      <c r="AD145" s="3367"/>
      <c r="AE145" s="3367"/>
      <c r="AF145" s="2523"/>
      <c r="AG145" s="1068"/>
    </row>
    <row r="146" spans="2:33">
      <c r="C146" s="3601" t="s">
        <v>2828</v>
      </c>
      <c r="F146" s="3601">
        <f t="shared" ref="F146:N146" si="17">SUMPRODUCT(F117:F119,$F$50:$F$52)/$D$54</f>
        <v>0</v>
      </c>
      <c r="G146" s="2091">
        <f t="shared" ca="1" si="17"/>
        <v>0</v>
      </c>
      <c r="H146" s="2091">
        <f t="shared" ca="1" si="17"/>
        <v>0</v>
      </c>
      <c r="I146" s="2091">
        <f t="shared" ca="1" si="17"/>
        <v>0</v>
      </c>
      <c r="J146" s="2091">
        <f t="shared" ca="1" si="17"/>
        <v>0</v>
      </c>
      <c r="K146" s="2091">
        <f t="shared" ca="1" si="17"/>
        <v>0</v>
      </c>
      <c r="L146" s="2091">
        <f t="shared" ca="1" si="17"/>
        <v>0</v>
      </c>
      <c r="M146" s="2091">
        <f t="shared" ca="1" si="17"/>
        <v>0</v>
      </c>
      <c r="N146" s="2091">
        <f t="shared" ca="1" si="17"/>
        <v>0</v>
      </c>
      <c r="S146" s="1068"/>
      <c r="T146" s="2527"/>
      <c r="U146" s="512"/>
      <c r="V146" s="3327"/>
      <c r="W146" s="1068"/>
      <c r="X146" s="3353"/>
      <c r="Y146" s="3367"/>
      <c r="Z146" s="3367"/>
      <c r="AA146" s="3367"/>
      <c r="AB146" s="3367"/>
      <c r="AC146" s="3367"/>
      <c r="AD146" s="1221"/>
      <c r="AE146" s="1221"/>
      <c r="AF146" s="1221"/>
      <c r="AG146" s="1068"/>
    </row>
    <row r="147" spans="2:33">
      <c r="G147" s="2384"/>
      <c r="H147" s="2384"/>
      <c r="I147" s="2384"/>
      <c r="J147" s="2384"/>
      <c r="K147" s="2384"/>
      <c r="L147" s="2384"/>
      <c r="M147" s="2384"/>
      <c r="N147" s="2384"/>
      <c r="S147" s="1068"/>
      <c r="T147" s="2511"/>
      <c r="U147" s="512"/>
      <c r="V147" s="3327"/>
      <c r="W147" s="3353"/>
      <c r="X147" s="3353"/>
      <c r="Y147" s="3367"/>
      <c r="Z147" s="3367"/>
      <c r="AA147" s="3367"/>
      <c r="AB147" s="3367"/>
      <c r="AC147" s="3367"/>
      <c r="AD147" s="3367"/>
      <c r="AE147" s="3367"/>
      <c r="AF147" s="3670"/>
      <c r="AG147" s="1068"/>
    </row>
    <row r="148" spans="2:33">
      <c r="C148" s="3601" t="s">
        <v>2839</v>
      </c>
      <c r="E148" s="3601" t="s">
        <v>743</v>
      </c>
      <c r="F148" s="3601">
        <v>2013</v>
      </c>
      <c r="G148" s="3601">
        <v>2015</v>
      </c>
      <c r="H148" s="3601">
        <v>2020</v>
      </c>
      <c r="I148" s="3601">
        <v>2025</v>
      </c>
      <c r="J148" s="3601">
        <v>2030</v>
      </c>
      <c r="K148" s="3601">
        <v>2035</v>
      </c>
      <c r="L148" s="3601">
        <v>2040</v>
      </c>
      <c r="M148" s="3601">
        <v>2045</v>
      </c>
      <c r="N148" s="3601">
        <v>2050</v>
      </c>
      <c r="S148" s="1068"/>
      <c r="T148" s="2525"/>
      <c r="U148" s="512"/>
      <c r="V148" s="2522"/>
      <c r="W148" s="3011"/>
      <c r="X148" s="3361"/>
      <c r="Y148" s="1221"/>
      <c r="Z148" s="1221"/>
      <c r="AA148" s="1221"/>
      <c r="AB148" s="1221"/>
      <c r="AC148" s="1221"/>
      <c r="AD148" s="3367"/>
      <c r="AE148" s="3367"/>
      <c r="AF148" s="3401"/>
      <c r="AG148" s="1068"/>
    </row>
    <row r="149" spans="2:33">
      <c r="C149" s="3601" t="s">
        <v>2819</v>
      </c>
      <c r="G149" s="2091">
        <f ca="1">MAX(((G142-F142)+(F142*$E50))/3,0)</f>
        <v>0</v>
      </c>
      <c r="H149" s="2091">
        <f t="shared" ref="H149:N153" ca="1" si="18">MAX(((H142-G142)+(G142*$E50))/5,0)</f>
        <v>0</v>
      </c>
      <c r="I149" s="2091">
        <f t="shared" ca="1" si="18"/>
        <v>0</v>
      </c>
      <c r="J149" s="2091">
        <f t="shared" ca="1" si="18"/>
        <v>0</v>
      </c>
      <c r="K149" s="2091">
        <f t="shared" ca="1" si="18"/>
        <v>0</v>
      </c>
      <c r="L149" s="2091">
        <f t="shared" ca="1" si="18"/>
        <v>0</v>
      </c>
      <c r="M149" s="2091">
        <f t="shared" ca="1" si="18"/>
        <v>0</v>
      </c>
      <c r="N149" s="2091">
        <f t="shared" ca="1" si="18"/>
        <v>0</v>
      </c>
      <c r="S149" s="1068"/>
      <c r="T149" s="2527"/>
      <c r="U149" s="512"/>
      <c r="V149" s="3327"/>
      <c r="W149" s="3670"/>
      <c r="X149" s="3670"/>
      <c r="Y149" s="3367"/>
      <c r="Z149" s="3367"/>
      <c r="AA149" s="3367"/>
      <c r="AB149" s="3367"/>
      <c r="AC149" s="3367"/>
      <c r="AD149" s="3367"/>
      <c r="AE149" s="3367"/>
      <c r="AF149" s="3353"/>
      <c r="AG149" s="1068"/>
    </row>
    <row r="150" spans="2:33">
      <c r="C150" s="3601" t="s">
        <v>2820</v>
      </c>
      <c r="G150" s="2091">
        <f ca="1">MAX(((G143-F143)+(F143*$E51))/3,0)</f>
        <v>0</v>
      </c>
      <c r="H150" s="2091">
        <f t="shared" ca="1" si="18"/>
        <v>0</v>
      </c>
      <c r="I150" s="2091">
        <f t="shared" ca="1" si="18"/>
        <v>0</v>
      </c>
      <c r="J150" s="2091">
        <f t="shared" ca="1" si="18"/>
        <v>0</v>
      </c>
      <c r="K150" s="2091">
        <f t="shared" ca="1" si="18"/>
        <v>0</v>
      </c>
      <c r="L150" s="2091">
        <f t="shared" ca="1" si="18"/>
        <v>0</v>
      </c>
      <c r="M150" s="2091">
        <f t="shared" ca="1" si="18"/>
        <v>0</v>
      </c>
      <c r="N150" s="2091">
        <f t="shared" ca="1" si="18"/>
        <v>0</v>
      </c>
      <c r="R150" s="985"/>
      <c r="S150" s="1068"/>
      <c r="T150" s="2527"/>
      <c r="U150" s="1068"/>
      <c r="V150" s="3327"/>
      <c r="W150" s="3401"/>
      <c r="X150" s="3401"/>
      <c r="Y150" s="3367"/>
      <c r="Z150" s="3367"/>
      <c r="AA150" s="3367"/>
      <c r="AB150" s="3367"/>
      <c r="AC150" s="3367"/>
      <c r="AD150" s="3367"/>
      <c r="AE150" s="3367"/>
      <c r="AF150" s="3353"/>
      <c r="AG150" s="1068"/>
    </row>
    <row r="151" spans="2:33">
      <c r="C151" s="3601" t="s">
        <v>2821</v>
      </c>
      <c r="G151" s="2091">
        <f ca="1">MAX(((G144-F144)+(F144*$E52))/3,0)</f>
        <v>0</v>
      </c>
      <c r="H151" s="2091">
        <f t="shared" ca="1" si="18"/>
        <v>0</v>
      </c>
      <c r="I151" s="2091">
        <f t="shared" ca="1" si="18"/>
        <v>0</v>
      </c>
      <c r="J151" s="2091">
        <f t="shared" ca="1" si="18"/>
        <v>0</v>
      </c>
      <c r="K151" s="2091">
        <f t="shared" ca="1" si="18"/>
        <v>0</v>
      </c>
      <c r="L151" s="2091">
        <f t="shared" ca="1" si="18"/>
        <v>0</v>
      </c>
      <c r="M151" s="2091">
        <f t="shared" ca="1" si="18"/>
        <v>0</v>
      </c>
      <c r="N151" s="2091">
        <f t="shared" ca="1" si="18"/>
        <v>0</v>
      </c>
      <c r="S151" s="1068"/>
      <c r="T151" s="2527"/>
      <c r="U151" s="512"/>
      <c r="V151" s="3327"/>
      <c r="W151" s="3353"/>
      <c r="X151" s="3353"/>
      <c r="Y151" s="3367"/>
      <c r="Z151" s="3367"/>
      <c r="AA151" s="3367"/>
      <c r="AB151" s="3367"/>
      <c r="AC151" s="3367"/>
    </row>
    <row r="152" spans="2:33">
      <c r="C152" s="3601" t="s">
        <v>2827</v>
      </c>
      <c r="G152" s="2091">
        <f ca="1">MAX(((G145-F145)+(F145*$E53))/3,0)</f>
        <v>0</v>
      </c>
      <c r="H152" s="2091">
        <f t="shared" ca="1" si="18"/>
        <v>0</v>
      </c>
      <c r="I152" s="2091">
        <f t="shared" ca="1" si="18"/>
        <v>0</v>
      </c>
      <c r="J152" s="2091">
        <f t="shared" ca="1" si="18"/>
        <v>0</v>
      </c>
      <c r="K152" s="2091">
        <f t="shared" ca="1" si="18"/>
        <v>0</v>
      </c>
      <c r="L152" s="2091">
        <f t="shared" ca="1" si="18"/>
        <v>0</v>
      </c>
      <c r="M152" s="2091">
        <f t="shared" ca="1" si="18"/>
        <v>0</v>
      </c>
      <c r="N152" s="2091">
        <f t="shared" ca="1" si="18"/>
        <v>0</v>
      </c>
      <c r="S152" s="1068"/>
      <c r="T152" s="2527"/>
      <c r="U152" s="512"/>
      <c r="V152" s="3327"/>
      <c r="W152" s="3353"/>
      <c r="X152" s="3353"/>
      <c r="Y152" s="3367"/>
      <c r="Z152" s="3367"/>
      <c r="AA152" s="3367"/>
      <c r="AB152" s="3367"/>
      <c r="AC152" s="3367"/>
    </row>
    <row r="153" spans="2:33">
      <c r="C153" s="3601" t="s">
        <v>2828</v>
      </c>
      <c r="G153" s="2091">
        <f ca="1">MAX(((G146-F146)+(F146*$E54))/3,0)</f>
        <v>0</v>
      </c>
      <c r="H153" s="2091">
        <f t="shared" ca="1" si="18"/>
        <v>0</v>
      </c>
      <c r="I153" s="2091">
        <f t="shared" ca="1" si="18"/>
        <v>0</v>
      </c>
      <c r="J153" s="2091">
        <f t="shared" ca="1" si="18"/>
        <v>0</v>
      </c>
      <c r="K153" s="2091">
        <f t="shared" ca="1" si="18"/>
        <v>0</v>
      </c>
      <c r="L153" s="2091">
        <f t="shared" ca="1" si="18"/>
        <v>0</v>
      </c>
      <c r="M153" s="2091">
        <f t="shared" ca="1" si="18"/>
        <v>0</v>
      </c>
      <c r="N153" s="2091">
        <f t="shared" ca="1" si="18"/>
        <v>0</v>
      </c>
      <c r="S153" s="1068"/>
      <c r="T153" s="2511"/>
      <c r="U153" s="512"/>
      <c r="V153" s="3327"/>
      <c r="W153" s="3353"/>
      <c r="X153" s="3353"/>
      <c r="Y153" s="3367"/>
      <c r="Z153" s="3367"/>
      <c r="AA153" s="3367"/>
      <c r="AB153" s="3367"/>
      <c r="AC153" s="3367"/>
    </row>
    <row r="154" spans="2:33">
      <c r="G154" s="2384"/>
      <c r="H154" s="2384"/>
      <c r="I154" s="2384"/>
      <c r="J154" s="2384"/>
      <c r="K154" s="2384"/>
      <c r="L154" s="2384"/>
      <c r="M154" s="2384"/>
      <c r="N154" s="2384"/>
      <c r="S154" s="1068"/>
      <c r="T154" s="2525"/>
      <c r="U154" s="512"/>
      <c r="V154" s="2522"/>
      <c r="W154" s="3011"/>
      <c r="X154" s="3361"/>
      <c r="Y154" s="1221"/>
      <c r="Z154" s="1221"/>
      <c r="AA154" s="1221"/>
      <c r="AB154" s="1221"/>
      <c r="AC154" s="1221"/>
    </row>
    <row r="155" spans="2:33">
      <c r="B155" s="354">
        <v>3</v>
      </c>
      <c r="C155" s="354" t="s">
        <v>2718</v>
      </c>
      <c r="G155" s="2384"/>
      <c r="H155" s="2384"/>
      <c r="I155" s="2384"/>
      <c r="J155" s="2384"/>
      <c r="K155" s="2384"/>
      <c r="L155" s="2384"/>
      <c r="M155" s="2384"/>
      <c r="N155" s="2384"/>
      <c r="S155" s="1068"/>
      <c r="T155" s="2527"/>
      <c r="U155" s="512"/>
      <c r="V155" s="3327"/>
      <c r="W155" s="3670"/>
      <c r="X155" s="3670"/>
      <c r="Y155" s="3367"/>
      <c r="Z155" s="3367"/>
      <c r="AA155" s="3367"/>
      <c r="AB155" s="3367"/>
      <c r="AC155" s="3367"/>
    </row>
    <row r="156" spans="2:33" hidden="1">
      <c r="G156" s="2384"/>
      <c r="H156" s="2384"/>
      <c r="I156" s="2384"/>
      <c r="J156" s="2384"/>
      <c r="K156" s="2384"/>
      <c r="L156" s="2384"/>
      <c r="M156" s="2384"/>
      <c r="N156" s="2384"/>
      <c r="S156" s="1068"/>
      <c r="T156" s="2527"/>
      <c r="U156" s="1068"/>
      <c r="V156" s="3327"/>
      <c r="W156" s="3401"/>
      <c r="X156" s="3401"/>
      <c r="Y156" s="3367"/>
      <c r="Z156" s="3367"/>
      <c r="AA156" s="3367"/>
      <c r="AB156" s="3367"/>
      <c r="AC156" s="3367"/>
    </row>
    <row r="157" spans="2:33" hidden="1">
      <c r="C157" s="3601" t="s">
        <v>2840</v>
      </c>
      <c r="E157" s="3601" t="s">
        <v>2736</v>
      </c>
      <c r="F157" s="3601">
        <v>2013</v>
      </c>
      <c r="G157" s="3601">
        <v>2015</v>
      </c>
      <c r="H157" s="3601">
        <v>2020</v>
      </c>
      <c r="I157" s="3601">
        <v>2025</v>
      </c>
      <c r="J157" s="3601">
        <v>2030</v>
      </c>
      <c r="K157" s="3601">
        <v>2035</v>
      </c>
      <c r="L157" s="3601">
        <v>2040</v>
      </c>
      <c r="M157" s="3601">
        <v>2045</v>
      </c>
      <c r="N157" s="3601">
        <v>2050</v>
      </c>
      <c r="AC157" s="3367"/>
    </row>
    <row r="158" spans="2:33" hidden="1">
      <c r="C158" s="3601" t="s">
        <v>2819</v>
      </c>
      <c r="F158"/>
      <c r="G158"/>
      <c r="H158"/>
      <c r="I158"/>
      <c r="J158"/>
      <c r="K158"/>
      <c r="L158"/>
      <c r="M158"/>
      <c r="N158"/>
      <c r="P158" s="39"/>
      <c r="Q158" s="39"/>
      <c r="R158" s="39"/>
      <c r="S158" s="39"/>
      <c r="T158" s="39"/>
      <c r="U158" s="39"/>
      <c r="V158" s="39"/>
      <c r="W158" s="39"/>
      <c r="X158" s="39"/>
      <c r="Y158" s="39"/>
      <c r="Z158" s="39"/>
      <c r="AC158" s="3367"/>
    </row>
    <row r="159" spans="2:33" hidden="1">
      <c r="C159" s="3601" t="s">
        <v>2820</v>
      </c>
      <c r="F159"/>
      <c r="G159"/>
      <c r="H159"/>
      <c r="I159"/>
      <c r="J159"/>
      <c r="K159"/>
      <c r="L159"/>
      <c r="M159"/>
      <c r="N159"/>
      <c r="P159" s="39"/>
      <c r="Q159" s="39"/>
      <c r="R159" s="39"/>
      <c r="S159" s="39"/>
      <c r="T159" s="39"/>
      <c r="U159" s="39"/>
      <c r="V159" s="39"/>
      <c r="W159" s="39"/>
      <c r="X159" s="39"/>
      <c r="Y159" s="39"/>
      <c r="Z159" s="39"/>
    </row>
    <row r="160" spans="2:33" hidden="1">
      <c r="C160" s="3601" t="s">
        <v>2821</v>
      </c>
      <c r="F160"/>
      <c r="G160"/>
      <c r="H160"/>
      <c r="I160"/>
      <c r="J160"/>
      <c r="K160"/>
      <c r="L160"/>
      <c r="M160"/>
      <c r="N160"/>
      <c r="P160" s="39"/>
      <c r="Q160" s="39"/>
      <c r="R160" s="39"/>
      <c r="S160" s="39"/>
      <c r="T160" s="39"/>
      <c r="U160" s="39"/>
      <c r="V160" s="39"/>
      <c r="W160" s="39"/>
      <c r="X160" s="39"/>
      <c r="Y160" s="39"/>
      <c r="Z160" s="39"/>
    </row>
    <row r="161" spans="3:14" hidden="1">
      <c r="C161" s="3601" t="s">
        <v>2827</v>
      </c>
      <c r="F161"/>
      <c r="G161"/>
      <c r="H161"/>
      <c r="I161"/>
      <c r="J161"/>
      <c r="K161"/>
      <c r="L161"/>
      <c r="M161"/>
      <c r="N161"/>
    </row>
    <row r="162" spans="3:14" hidden="1">
      <c r="C162" s="3601" t="s">
        <v>2828</v>
      </c>
      <c r="F162"/>
      <c r="G162"/>
      <c r="H162"/>
      <c r="I162"/>
      <c r="J162"/>
      <c r="K162"/>
      <c r="L162"/>
      <c r="M162"/>
      <c r="N162"/>
    </row>
    <row r="163" spans="3:14" hidden="1">
      <c r="C163" s="3601" t="s">
        <v>58</v>
      </c>
      <c r="F163"/>
      <c r="G163"/>
      <c r="H163"/>
      <c r="I163"/>
      <c r="J163"/>
      <c r="K163"/>
      <c r="L163"/>
      <c r="M163"/>
      <c r="N163"/>
    </row>
    <row r="164" spans="3:14" hidden="1">
      <c r="F164" s="2091"/>
      <c r="G164" s="2091"/>
      <c r="H164" s="2091"/>
      <c r="I164" s="2091"/>
      <c r="J164" s="2091"/>
      <c r="K164" s="2091"/>
      <c r="L164" s="2091"/>
      <c r="M164" s="2091"/>
      <c r="N164" s="2091"/>
    </row>
    <row r="165" spans="3:14" hidden="1">
      <c r="C165" s="3601" t="s">
        <v>2841</v>
      </c>
      <c r="E165" s="3601" t="s">
        <v>2736</v>
      </c>
      <c r="F165" s="3601">
        <v>2013</v>
      </c>
      <c r="G165" s="3601">
        <v>2015</v>
      </c>
      <c r="H165" s="3601">
        <v>2020</v>
      </c>
      <c r="I165" s="3601">
        <v>2025</v>
      </c>
      <c r="J165" s="3601">
        <v>2030</v>
      </c>
      <c r="K165" s="3601">
        <v>2035</v>
      </c>
      <c r="L165" s="3601">
        <v>2040</v>
      </c>
      <c r="M165" s="3601">
        <v>2045</v>
      </c>
      <c r="N165" s="3601">
        <v>2050</v>
      </c>
    </row>
    <row r="166" spans="3:14" hidden="1">
      <c r="C166" s="3601" t="s">
        <v>2819</v>
      </c>
    </row>
    <row r="167" spans="3:14" hidden="1">
      <c r="C167" s="3601" t="s">
        <v>2820</v>
      </c>
    </row>
    <row r="168" spans="3:14" hidden="1">
      <c r="C168" s="3601" t="s">
        <v>2821</v>
      </c>
    </row>
    <row r="169" spans="3:14" hidden="1">
      <c r="C169" s="3601" t="s">
        <v>2827</v>
      </c>
    </row>
    <row r="170" spans="3:14" hidden="1">
      <c r="C170" s="3601" t="s">
        <v>2828</v>
      </c>
    </row>
    <row r="171" spans="3:14" hidden="1">
      <c r="C171" s="3601" t="s">
        <v>58</v>
      </c>
    </row>
    <row r="172" spans="3:14" hidden="1"/>
    <row r="173" spans="3:14" hidden="1">
      <c r="C173" s="3601" t="s">
        <v>2245</v>
      </c>
      <c r="E173" s="3601" t="s">
        <v>2736</v>
      </c>
      <c r="F173" s="3601">
        <v>2013</v>
      </c>
      <c r="G173" s="3601">
        <v>2015</v>
      </c>
      <c r="H173" s="3601">
        <v>2020</v>
      </c>
      <c r="I173" s="3601">
        <v>2025</v>
      </c>
      <c r="J173" s="3601">
        <v>2030</v>
      </c>
      <c r="K173" s="3601">
        <v>2035</v>
      </c>
      <c r="L173" s="3601">
        <v>2040</v>
      </c>
      <c r="M173" s="3601">
        <v>2045</v>
      </c>
      <c r="N173" s="3601">
        <v>2050</v>
      </c>
    </row>
    <row r="174" spans="3:14" hidden="1">
      <c r="C174" s="3601" t="s">
        <v>2819</v>
      </c>
    </row>
    <row r="175" spans="3:14" hidden="1">
      <c r="C175" s="3601" t="s">
        <v>2820</v>
      </c>
    </row>
    <row r="176" spans="3:14" hidden="1">
      <c r="C176" s="3601" t="s">
        <v>2821</v>
      </c>
    </row>
    <row r="177" spans="3:14" hidden="1">
      <c r="C177" s="3601" t="s">
        <v>2827</v>
      </c>
    </row>
    <row r="178" spans="3:14" hidden="1">
      <c r="C178" s="3601" t="s">
        <v>2828</v>
      </c>
    </row>
    <row r="179" spans="3:14" hidden="1">
      <c r="C179" s="3601" t="s">
        <v>58</v>
      </c>
    </row>
    <row r="180" spans="3:14" hidden="1">
      <c r="F180" s="2091"/>
      <c r="G180" s="2091"/>
      <c r="H180" s="2091"/>
      <c r="I180" s="2091"/>
      <c r="J180" s="2091"/>
      <c r="K180" s="2091"/>
      <c r="L180" s="2091"/>
      <c r="M180" s="2091"/>
      <c r="N180" s="2091"/>
    </row>
    <row r="181" spans="3:14" hidden="1">
      <c r="C181" s="3601" t="s">
        <v>2246</v>
      </c>
      <c r="E181" s="3601" t="s">
        <v>2736</v>
      </c>
      <c r="F181" s="3601">
        <v>2013</v>
      </c>
      <c r="G181" s="3601">
        <v>2015</v>
      </c>
      <c r="H181" s="3601">
        <v>2020</v>
      </c>
      <c r="I181" s="3601">
        <v>2025</v>
      </c>
      <c r="J181" s="3601">
        <v>2030</v>
      </c>
      <c r="K181" s="3601">
        <v>2035</v>
      </c>
      <c r="L181" s="3601">
        <v>2040</v>
      </c>
      <c r="M181" s="3601">
        <v>2045</v>
      </c>
      <c r="N181" s="3601">
        <v>2050</v>
      </c>
    </row>
    <row r="182" spans="3:14" hidden="1">
      <c r="C182" s="3601" t="s">
        <v>2819</v>
      </c>
    </row>
    <row r="183" spans="3:14" hidden="1">
      <c r="C183" s="3601" t="s">
        <v>2820</v>
      </c>
    </row>
    <row r="184" spans="3:14" hidden="1">
      <c r="C184" s="3601" t="s">
        <v>2821</v>
      </c>
    </row>
    <row r="185" spans="3:14" hidden="1">
      <c r="C185" s="3601" t="s">
        <v>2827</v>
      </c>
    </row>
    <row r="186" spans="3:14" hidden="1">
      <c r="C186" s="3601" t="s">
        <v>2828</v>
      </c>
    </row>
    <row r="187" spans="3:14" hidden="1">
      <c r="C187" s="3601" t="s">
        <v>58</v>
      </c>
    </row>
    <row r="188" spans="3:14" hidden="1">
      <c r="F188" s="2091"/>
      <c r="G188" s="2091"/>
      <c r="H188" s="2091"/>
      <c r="I188" s="2091"/>
      <c r="J188" s="2091"/>
      <c r="K188" s="2091"/>
      <c r="L188" s="2091"/>
      <c r="M188" s="2091"/>
      <c r="N188" s="2091"/>
    </row>
    <row r="189" spans="3:14" hidden="1">
      <c r="C189" s="3601" t="s">
        <v>2842</v>
      </c>
      <c r="E189" s="3601" t="s">
        <v>2736</v>
      </c>
      <c r="F189" s="3601">
        <v>2013</v>
      </c>
      <c r="G189" s="3601">
        <v>2015</v>
      </c>
      <c r="H189" s="3601">
        <v>2020</v>
      </c>
      <c r="I189" s="3601">
        <v>2025</v>
      </c>
      <c r="J189" s="3601">
        <v>2030</v>
      </c>
      <c r="K189" s="3601">
        <v>2035</v>
      </c>
      <c r="L189" s="3601">
        <v>2040</v>
      </c>
      <c r="M189" s="3601">
        <v>2045</v>
      </c>
      <c r="N189" s="3601">
        <v>2050</v>
      </c>
    </row>
    <row r="190" spans="3:14" hidden="1">
      <c r="C190" s="3601" t="s">
        <v>2819</v>
      </c>
    </row>
    <row r="191" spans="3:14" hidden="1">
      <c r="C191" s="3601" t="s">
        <v>2820</v>
      </c>
    </row>
    <row r="192" spans="3:14" hidden="1">
      <c r="C192" s="3601" t="s">
        <v>2821</v>
      </c>
    </row>
    <row r="193" spans="1:15" hidden="1">
      <c r="C193" s="3601" t="s">
        <v>2827</v>
      </c>
    </row>
    <row r="194" spans="1:15" hidden="1">
      <c r="C194" s="3601" t="s">
        <v>2828</v>
      </c>
    </row>
    <row r="195" spans="1:15" hidden="1">
      <c r="C195" s="3601" t="s">
        <v>58</v>
      </c>
    </row>
    <row r="196" spans="1:15" ht="23.5" hidden="1">
      <c r="A196" s="7"/>
    </row>
    <row r="197" spans="1:15" hidden="1">
      <c r="C197" s="3601" t="s">
        <v>2843</v>
      </c>
      <c r="E197" s="3601" t="s">
        <v>2736</v>
      </c>
      <c r="F197" s="3601">
        <v>2013</v>
      </c>
      <c r="G197" s="3601">
        <v>2015</v>
      </c>
      <c r="H197" s="3601">
        <v>2020</v>
      </c>
      <c r="I197" s="3601">
        <v>2025</v>
      </c>
      <c r="J197" s="3601">
        <v>2030</v>
      </c>
      <c r="K197" s="3601">
        <v>2035</v>
      </c>
      <c r="L197" s="3601">
        <v>2040</v>
      </c>
      <c r="M197" s="3601">
        <v>2045</v>
      </c>
      <c r="N197" s="3601">
        <v>2050</v>
      </c>
    </row>
    <row r="198" spans="1:15" hidden="1">
      <c r="C198" s="3601" t="s">
        <v>2819</v>
      </c>
    </row>
    <row r="199" spans="1:15" hidden="1">
      <c r="C199" s="3601" t="s">
        <v>2820</v>
      </c>
    </row>
    <row r="200" spans="1:15" ht="15.5" hidden="1">
      <c r="A200" s="434"/>
      <c r="C200" s="3601" t="s">
        <v>2821</v>
      </c>
    </row>
    <row r="201" spans="1:15" ht="15.5" hidden="1">
      <c r="A201" s="434"/>
      <c r="C201" s="3601" t="s">
        <v>2827</v>
      </c>
    </row>
    <row r="202" spans="1:15" ht="15.5" hidden="1">
      <c r="A202" s="434"/>
      <c r="C202" s="3601" t="s">
        <v>2828</v>
      </c>
    </row>
    <row r="203" spans="1:15" ht="15.5" hidden="1">
      <c r="A203" s="434"/>
      <c r="C203" s="3601" t="s">
        <v>58</v>
      </c>
    </row>
    <row r="204" spans="1:15" ht="15.5">
      <c r="A204" s="434"/>
    </row>
    <row r="205" spans="1:15" ht="15.5">
      <c r="A205" s="434"/>
      <c r="B205" s="502" t="s">
        <v>296</v>
      </c>
      <c r="C205" s="503"/>
      <c r="D205" s="503"/>
      <c r="E205" s="503"/>
      <c r="F205" s="503"/>
      <c r="G205" s="503"/>
      <c r="H205" s="503"/>
      <c r="I205" s="503"/>
      <c r="J205" s="503"/>
      <c r="K205" s="503"/>
      <c r="L205" s="503"/>
      <c r="M205" s="503"/>
      <c r="N205" s="503"/>
      <c r="O205" s="857"/>
    </row>
    <row r="206" spans="1:15" ht="15.5">
      <c r="A206" s="434"/>
      <c r="B206" s="505"/>
      <c r="C206" s="506"/>
      <c r="D206" s="506"/>
      <c r="E206" s="506"/>
      <c r="F206" s="506"/>
      <c r="G206" s="506"/>
      <c r="H206" s="506"/>
      <c r="I206" s="506"/>
      <c r="J206" s="506"/>
      <c r="K206" s="506"/>
      <c r="L206" s="506"/>
      <c r="M206" s="506"/>
      <c r="N206" s="506"/>
      <c r="O206" s="858"/>
    </row>
    <row r="207" spans="1:15" ht="15.5">
      <c r="A207" s="434"/>
      <c r="B207" s="505"/>
      <c r="C207" s="34" t="s">
        <v>746</v>
      </c>
      <c r="D207" s="506"/>
      <c r="E207" s="507"/>
      <c r="F207" s="506"/>
      <c r="G207" s="506"/>
      <c r="H207" s="506"/>
      <c r="I207" s="506"/>
      <c r="J207" s="506"/>
      <c r="K207" s="506"/>
      <c r="L207" s="506"/>
      <c r="M207" s="506"/>
      <c r="N207" s="507" t="str">
        <f>Preferences.EnergyUnits</f>
        <v>TWh</v>
      </c>
      <c r="O207" s="858"/>
    </row>
    <row r="208" spans="1:15">
      <c r="B208" s="505"/>
      <c r="C208" s="506"/>
      <c r="D208" s="506"/>
      <c r="E208" s="506"/>
      <c r="F208" s="506"/>
      <c r="G208" s="506"/>
      <c r="H208" s="506"/>
      <c r="I208" s="506"/>
      <c r="J208" s="506"/>
      <c r="K208" s="506"/>
      <c r="L208" s="506"/>
      <c r="M208" s="506"/>
      <c r="N208" s="506"/>
      <c r="O208" s="858"/>
    </row>
    <row r="209" spans="1:15" ht="23.5">
      <c r="A209" s="7"/>
      <c r="B209" s="15"/>
      <c r="C209" s="864" t="s">
        <v>28</v>
      </c>
      <c r="D209" s="864" t="s">
        <v>29</v>
      </c>
      <c r="E209" s="864" t="s">
        <v>30</v>
      </c>
      <c r="F209" s="864" t="s">
        <v>588</v>
      </c>
      <c r="G209" s="864" t="s">
        <v>132</v>
      </c>
      <c r="H209" s="864" t="s">
        <v>133</v>
      </c>
      <c r="I209" s="864" t="s">
        <v>134</v>
      </c>
      <c r="J209" s="864" t="s">
        <v>135</v>
      </c>
      <c r="K209" s="864" t="s">
        <v>136</v>
      </c>
      <c r="L209" s="864" t="s">
        <v>137</v>
      </c>
      <c r="M209" s="864" t="s">
        <v>138</v>
      </c>
      <c r="N209" s="864" t="s">
        <v>139</v>
      </c>
      <c r="O209" s="858"/>
    </row>
    <row r="210" spans="1:15" ht="15.5">
      <c r="B210" s="15"/>
      <c r="C210" s="17" t="s">
        <v>95</v>
      </c>
      <c r="D210" s="2457" t="str">
        <f>INDEX(Vectors[Description], MATCH(VIII.a.Outputs[Vector], Vectors[Code], 0))</f>
        <v>Electricity (delivered to end user)</v>
      </c>
      <c r="E210" s="17"/>
      <c r="F210" s="2491">
        <f t="shared" ref="F210:N210" si="19">-F128</f>
        <v>0</v>
      </c>
      <c r="G210" s="2491">
        <f t="shared" ca="1" si="19"/>
        <v>0</v>
      </c>
      <c r="H210" s="2491">
        <f t="shared" ca="1" si="19"/>
        <v>0</v>
      </c>
      <c r="I210" s="2491">
        <f t="shared" ca="1" si="19"/>
        <v>0</v>
      </c>
      <c r="J210" s="2491">
        <f t="shared" ca="1" si="19"/>
        <v>0</v>
      </c>
      <c r="K210" s="2491">
        <f t="shared" ca="1" si="19"/>
        <v>0</v>
      </c>
      <c r="L210" s="2491">
        <f t="shared" ca="1" si="19"/>
        <v>0</v>
      </c>
      <c r="M210" s="2491">
        <f t="shared" ca="1" si="19"/>
        <v>0</v>
      </c>
      <c r="N210" s="2491">
        <f t="shared" ca="1" si="19"/>
        <v>0</v>
      </c>
      <c r="O210" s="858"/>
    </row>
    <row r="211" spans="1:15" ht="15.5">
      <c r="B211" s="15"/>
      <c r="C211" s="17" t="s">
        <v>99</v>
      </c>
      <c r="D211" s="2457" t="str">
        <f>INDEX(Vectors[Description], MATCH(VIII.a.Outputs[Vector], Vectors[Code], 0))</f>
        <v>Gaseous hydrocarbons</v>
      </c>
      <c r="E211" s="17"/>
      <c r="F211" s="2491">
        <f>-F127</f>
        <v>0</v>
      </c>
      <c r="G211" s="2491">
        <f t="shared" ref="G211:N211" ca="1" si="20">-G127</f>
        <v>0</v>
      </c>
      <c r="H211" s="2491">
        <f t="shared" ca="1" si="20"/>
        <v>0</v>
      </c>
      <c r="I211" s="2491">
        <f t="shared" ca="1" si="20"/>
        <v>0</v>
      </c>
      <c r="J211" s="2491">
        <f t="shared" ca="1" si="20"/>
        <v>0</v>
      </c>
      <c r="K211" s="2491">
        <f t="shared" ca="1" si="20"/>
        <v>0</v>
      </c>
      <c r="L211" s="2491">
        <f t="shared" ca="1" si="20"/>
        <v>0</v>
      </c>
      <c r="M211" s="2491">
        <f t="shared" ca="1" si="20"/>
        <v>0</v>
      </c>
      <c r="N211" s="2491">
        <f t="shared" ca="1" si="20"/>
        <v>0</v>
      </c>
      <c r="O211" s="858"/>
    </row>
    <row r="212" spans="1:15" ht="15.5">
      <c r="B212" s="15"/>
      <c r="C212" s="17" t="s">
        <v>426</v>
      </c>
      <c r="D212" s="2457" t="str">
        <f>INDEX(Vectors[Description], MATCH(VIII.a.Outputs[Vector], Vectors[Code], 0))</f>
        <v>H2</v>
      </c>
      <c r="E212" s="17"/>
      <c r="F212" s="2491">
        <f t="shared" ref="F212:N212" ca="1" si="21">F116</f>
        <v>0</v>
      </c>
      <c r="G212" s="2491">
        <f t="shared" ca="1" si="21"/>
        <v>0</v>
      </c>
      <c r="H212" s="2491">
        <f t="shared" ca="1" si="21"/>
        <v>0</v>
      </c>
      <c r="I212" s="2491">
        <f t="shared" ca="1" si="21"/>
        <v>0</v>
      </c>
      <c r="J212" s="2491">
        <f t="shared" ca="1" si="21"/>
        <v>0</v>
      </c>
      <c r="K212" s="2491">
        <f t="shared" ca="1" si="21"/>
        <v>0</v>
      </c>
      <c r="L212" s="2491">
        <f t="shared" ca="1" si="21"/>
        <v>0</v>
      </c>
      <c r="M212" s="2491">
        <f t="shared" ca="1" si="21"/>
        <v>0</v>
      </c>
      <c r="N212" s="2491">
        <f t="shared" ca="1" si="21"/>
        <v>0</v>
      </c>
      <c r="O212" s="858"/>
    </row>
    <row r="213" spans="1:15" ht="15.5">
      <c r="B213" s="15"/>
      <c r="C213" s="17" t="s">
        <v>103</v>
      </c>
      <c r="D213" s="2457" t="str">
        <f>INDEX(Vectors[Description], MATCH(VIII.a.Outputs[Vector], Vectors[Code], 0))</f>
        <v>Conversion losses</v>
      </c>
      <c r="E213" s="17"/>
      <c r="F213" s="2491">
        <f t="shared" ref="F213:N213" si="22">SUM(F122:F124)</f>
        <v>0</v>
      </c>
      <c r="G213" s="2491">
        <f t="shared" ca="1" si="22"/>
        <v>0</v>
      </c>
      <c r="H213" s="2491">
        <f t="shared" ca="1" si="22"/>
        <v>0</v>
      </c>
      <c r="I213" s="2491">
        <f t="shared" ca="1" si="22"/>
        <v>0</v>
      </c>
      <c r="J213" s="2491">
        <f t="shared" ca="1" si="22"/>
        <v>0</v>
      </c>
      <c r="K213" s="2491">
        <f t="shared" ca="1" si="22"/>
        <v>0</v>
      </c>
      <c r="L213" s="2491">
        <f t="shared" ca="1" si="22"/>
        <v>0</v>
      </c>
      <c r="M213" s="2491">
        <f t="shared" ca="1" si="22"/>
        <v>0</v>
      </c>
      <c r="N213" s="2491">
        <f t="shared" ca="1" si="22"/>
        <v>0</v>
      </c>
      <c r="O213" s="858"/>
    </row>
    <row r="214" spans="1:15" ht="15.5">
      <c r="B214" s="15"/>
      <c r="C214" s="2432" t="s">
        <v>58</v>
      </c>
      <c r="D214" s="2432"/>
      <c r="E214" s="2432"/>
      <c r="F214" s="2435">
        <f ca="1">SUBTOTAL(109,VIII.a.Outputs[2013])</f>
        <v>0</v>
      </c>
      <c r="G214" s="2435">
        <f ca="1">SUBTOTAL(109,VIII.a.Outputs[2015])</f>
        <v>0</v>
      </c>
      <c r="H214" s="2435">
        <f ca="1">SUBTOTAL(109,VIII.a.Outputs[2020])</f>
        <v>0</v>
      </c>
      <c r="I214" s="2435">
        <f ca="1">SUBTOTAL(109,VIII.a.Outputs[2025])</f>
        <v>0</v>
      </c>
      <c r="J214" s="2435">
        <f ca="1">SUBTOTAL(109,VIII.a.Outputs[2030])</f>
        <v>0</v>
      </c>
      <c r="K214" s="2435">
        <f ca="1">SUBTOTAL(109,VIII.a.Outputs[2035])</f>
        <v>0</v>
      </c>
      <c r="L214" s="2435">
        <f ca="1">SUBTOTAL(109,VIII.a.Outputs[2040])</f>
        <v>0</v>
      </c>
      <c r="M214" s="2435">
        <f ca="1">SUBTOTAL(109,VIII.a.Outputs[2045])</f>
        <v>0</v>
      </c>
      <c r="N214" s="2435">
        <f ca="1">SUBTOTAL(109,VIII.a.Outputs[2050])</f>
        <v>0</v>
      </c>
      <c r="O214" s="858"/>
    </row>
    <row r="215" spans="1:15" ht="15.5">
      <c r="B215" s="15"/>
      <c r="C215" s="17"/>
      <c r="D215" s="17"/>
      <c r="E215" s="17"/>
      <c r="F215" s="440"/>
      <c r="G215" s="440"/>
      <c r="H215" s="440"/>
      <c r="I215" s="440"/>
      <c r="J215" s="440"/>
      <c r="K215" s="440"/>
      <c r="L215" s="440"/>
      <c r="M215" s="440"/>
      <c r="N215" s="440"/>
      <c r="O215" s="35"/>
    </row>
    <row r="217" spans="1:15" ht="15">
      <c r="B217" s="1118" t="s">
        <v>300</v>
      </c>
      <c r="C217" s="1119"/>
      <c r="D217" s="1120"/>
      <c r="E217" s="1120"/>
      <c r="F217" s="1120"/>
      <c r="G217" s="1120"/>
      <c r="H217" s="1120"/>
      <c r="I217" s="1120"/>
      <c r="J217" s="1120"/>
      <c r="K217" s="1120"/>
      <c r="L217" s="1120"/>
      <c r="M217" s="1120"/>
      <c r="N217" s="1120"/>
      <c r="O217" s="1121"/>
    </row>
    <row r="218" spans="1:15">
      <c r="B218" s="1122"/>
      <c r="C218" s="1123"/>
      <c r="D218" s="1123"/>
      <c r="E218" s="1123"/>
      <c r="F218" s="1123"/>
      <c r="G218" s="1123"/>
      <c r="H218" s="1123"/>
      <c r="I218" s="1123"/>
      <c r="J218" s="1123"/>
      <c r="K218" s="1123"/>
      <c r="L218" s="1123"/>
      <c r="M218" s="1123"/>
      <c r="N218" s="1123"/>
      <c r="O218" s="1124"/>
    </row>
    <row r="219" spans="1:15">
      <c r="B219" s="1125"/>
      <c r="C219" s="453" t="s">
        <v>1308</v>
      </c>
      <c r="D219" s="1126"/>
      <c r="E219" s="1127"/>
      <c r="F219" s="1126"/>
      <c r="G219" s="1126"/>
      <c r="H219" s="1126"/>
      <c r="I219" s="1126"/>
      <c r="J219" s="1126"/>
      <c r="K219" s="1126"/>
      <c r="L219" s="1126"/>
      <c r="M219" s="1126"/>
      <c r="N219" s="1127" t="s">
        <v>251</v>
      </c>
      <c r="O219" s="1129"/>
    </row>
    <row r="220" spans="1:15">
      <c r="B220" s="1125"/>
      <c r="C220" s="1126"/>
      <c r="D220" s="1126"/>
      <c r="E220" s="1126"/>
      <c r="F220" s="1126"/>
      <c r="G220" s="1126"/>
      <c r="H220" s="1126"/>
      <c r="I220" s="1126"/>
      <c r="J220" s="1126"/>
      <c r="K220" s="1126"/>
      <c r="L220" s="1126"/>
      <c r="M220" s="1126"/>
      <c r="N220" s="1126"/>
      <c r="O220" s="1129"/>
    </row>
    <row r="221" spans="1:15" ht="15.5">
      <c r="B221" s="458"/>
      <c r="C221" s="1327" t="s">
        <v>302</v>
      </c>
      <c r="D221" s="1327" t="s">
        <v>303</v>
      </c>
      <c r="E221" s="1327" t="s">
        <v>30</v>
      </c>
      <c r="F221" s="1327" t="s">
        <v>588</v>
      </c>
      <c r="G221" s="1327" t="s">
        <v>132</v>
      </c>
      <c r="H221" s="1327" t="s">
        <v>133</v>
      </c>
      <c r="I221" s="1327" t="s">
        <v>134</v>
      </c>
      <c r="J221" s="1327" t="s">
        <v>135</v>
      </c>
      <c r="K221" s="1327" t="s">
        <v>136</v>
      </c>
      <c r="L221" s="1327" t="s">
        <v>137</v>
      </c>
      <c r="M221" s="1327" t="s">
        <v>138</v>
      </c>
      <c r="N221" s="1327" t="s">
        <v>139</v>
      </c>
      <c r="O221" s="1129"/>
    </row>
    <row r="222" spans="1:15" ht="15.5">
      <c r="B222" s="458"/>
      <c r="C222" s="1131" t="s">
        <v>250</v>
      </c>
      <c r="D222" s="1132" t="s">
        <v>304</v>
      </c>
      <c r="E222" s="1132" t="str">
        <f>INDEX(IPCC[Sector_description], MATCH(VIII.a.Emissions[IPCC Sector], IPCC[Sector_code], 0))</f>
        <v>Fuel Combustion</v>
      </c>
      <c r="F222" s="2443" t="s">
        <v>251</v>
      </c>
      <c r="G222" s="2443">
        <f t="shared" ref="G222:N224" ca="1" si="23">G131</f>
        <v>0</v>
      </c>
      <c r="H222" s="2443">
        <f t="shared" ca="1" si="23"/>
        <v>0</v>
      </c>
      <c r="I222" s="2443">
        <f t="shared" ca="1" si="23"/>
        <v>0</v>
      </c>
      <c r="J222" s="2443">
        <f t="shared" ca="1" si="23"/>
        <v>0</v>
      </c>
      <c r="K222" s="2443">
        <f t="shared" ca="1" si="23"/>
        <v>0</v>
      </c>
      <c r="L222" s="2443">
        <f t="shared" ca="1" si="23"/>
        <v>0</v>
      </c>
      <c r="M222" s="2443">
        <f t="shared" ca="1" si="23"/>
        <v>0</v>
      </c>
      <c r="N222" s="2443">
        <f t="shared" ca="1" si="23"/>
        <v>0</v>
      </c>
      <c r="O222" s="1129"/>
    </row>
    <row r="223" spans="1:15" ht="15.5">
      <c r="B223" s="458"/>
      <c r="C223" s="1131" t="s">
        <v>252</v>
      </c>
      <c r="D223" s="1132" t="s">
        <v>304</v>
      </c>
      <c r="E223" s="1132" t="str">
        <f>INDEX(IPCC[Sector_description], MATCH(VIII.a.Emissions[IPCC Sector], IPCC[Sector_code], 0))</f>
        <v>Fuel Combustion</v>
      </c>
      <c r="F223" s="2443" t="s">
        <v>251</v>
      </c>
      <c r="G223" s="2443">
        <f t="shared" ca="1" si="23"/>
        <v>0</v>
      </c>
      <c r="H223" s="2443">
        <f t="shared" ca="1" si="23"/>
        <v>0</v>
      </c>
      <c r="I223" s="2443">
        <f t="shared" ca="1" si="23"/>
        <v>0</v>
      </c>
      <c r="J223" s="2443">
        <f t="shared" ca="1" si="23"/>
        <v>0</v>
      </c>
      <c r="K223" s="2443">
        <f t="shared" ca="1" si="23"/>
        <v>0</v>
      </c>
      <c r="L223" s="2443">
        <f t="shared" ca="1" si="23"/>
        <v>0</v>
      </c>
      <c r="M223" s="2443">
        <f t="shared" ca="1" si="23"/>
        <v>0</v>
      </c>
      <c r="N223" s="2443">
        <f t="shared" ca="1" si="23"/>
        <v>0</v>
      </c>
      <c r="O223" s="1129"/>
    </row>
    <row r="224" spans="1:15" ht="15.5">
      <c r="B224" s="458"/>
      <c r="C224" s="1131" t="s">
        <v>253</v>
      </c>
      <c r="D224" s="1132" t="s">
        <v>304</v>
      </c>
      <c r="E224" s="1132" t="str">
        <f>INDEX(IPCC[Sector_description], MATCH(VIII.a.Emissions[IPCC Sector], IPCC[Sector_code], 0))</f>
        <v>Fuel Combustion</v>
      </c>
      <c r="F224" s="2443" t="s">
        <v>251</v>
      </c>
      <c r="G224" s="2443">
        <f t="shared" ca="1" si="23"/>
        <v>0</v>
      </c>
      <c r="H224" s="2443">
        <f t="shared" ca="1" si="23"/>
        <v>0</v>
      </c>
      <c r="I224" s="2443">
        <f t="shared" ca="1" si="23"/>
        <v>0</v>
      </c>
      <c r="J224" s="2443">
        <f t="shared" ca="1" si="23"/>
        <v>0</v>
      </c>
      <c r="K224" s="2443">
        <f t="shared" ca="1" si="23"/>
        <v>0</v>
      </c>
      <c r="L224" s="2443">
        <f t="shared" ca="1" si="23"/>
        <v>0</v>
      </c>
      <c r="M224" s="2443">
        <f t="shared" ca="1" si="23"/>
        <v>0</v>
      </c>
      <c r="N224" s="2443">
        <f t="shared" ca="1" si="23"/>
        <v>0</v>
      </c>
      <c r="O224" s="1129"/>
    </row>
    <row r="225" spans="2:19" ht="15.5">
      <c r="B225" s="458"/>
      <c r="C225" s="2436" t="s">
        <v>58</v>
      </c>
      <c r="D225" s="2436"/>
      <c r="E225" s="2436"/>
      <c r="F225" s="3680"/>
      <c r="G225" s="3680"/>
      <c r="H225" s="3680"/>
      <c r="I225" s="3680"/>
      <c r="J225" s="3680"/>
      <c r="K225" s="3680"/>
      <c r="L225" s="3680"/>
      <c r="M225" s="3680"/>
      <c r="N225" s="2437">
        <f ca="1">SUBTOTAL(109,VIII.a.Emissions[2050])</f>
        <v>0</v>
      </c>
      <c r="O225" s="1129"/>
    </row>
    <row r="226" spans="2:19" ht="15.5">
      <c r="B226" s="465"/>
      <c r="C226" s="1131"/>
      <c r="D226" s="1372"/>
      <c r="E226" s="1131"/>
      <c r="F226" s="462"/>
      <c r="G226" s="462"/>
      <c r="H226" s="462"/>
      <c r="I226" s="462"/>
      <c r="J226" s="462"/>
      <c r="K226" s="462"/>
      <c r="L226" s="462"/>
      <c r="M226" s="462"/>
      <c r="N226" s="462"/>
      <c r="O226" s="1126"/>
    </row>
    <row r="227" spans="2:19" ht="15.5">
      <c r="B227" s="465"/>
      <c r="C227" s="466" t="s">
        <v>834</v>
      </c>
      <c r="D227" s="1131"/>
      <c r="E227" s="1131"/>
      <c r="F227" s="1133"/>
      <c r="G227" s="1133"/>
      <c r="H227" s="1133"/>
      <c r="I227" s="1133"/>
      <c r="J227" s="1133"/>
      <c r="K227" s="1133"/>
      <c r="L227" s="1133"/>
      <c r="M227" s="1133"/>
      <c r="N227" s="1134" t="s">
        <v>831</v>
      </c>
      <c r="O227" s="1126"/>
    </row>
    <row r="228" spans="2:19">
      <c r="B228" s="468"/>
      <c r="C228" s="1131"/>
      <c r="D228" s="1372"/>
      <c r="E228" s="1131"/>
      <c r="F228" s="462"/>
      <c r="G228" s="462"/>
      <c r="H228" s="462"/>
      <c r="I228" s="462"/>
      <c r="J228" s="462"/>
      <c r="K228" s="462"/>
      <c r="L228" s="462"/>
      <c r="M228" s="462"/>
      <c r="N228" s="462"/>
      <c r="O228" s="468"/>
    </row>
    <row r="229" spans="2:19">
      <c r="B229" s="468"/>
      <c r="C229" s="2185" t="s">
        <v>28</v>
      </c>
      <c r="D229" s="2186" t="s">
        <v>29</v>
      </c>
      <c r="E229" s="2186" t="s">
        <v>303</v>
      </c>
      <c r="F229" s="2186" t="s">
        <v>588</v>
      </c>
      <c r="G229" s="2186" t="s">
        <v>132</v>
      </c>
      <c r="H229" s="2186" t="s">
        <v>133</v>
      </c>
      <c r="I229" s="2186" t="s">
        <v>134</v>
      </c>
      <c r="J229" s="2186" t="s">
        <v>135</v>
      </c>
      <c r="K229" s="2186" t="s">
        <v>136</v>
      </c>
      <c r="L229" s="2186" t="s">
        <v>137</v>
      </c>
      <c r="M229" s="2186" t="s">
        <v>138</v>
      </c>
      <c r="N229" s="2187" t="s">
        <v>139</v>
      </c>
      <c r="O229" s="468"/>
    </row>
    <row r="230" spans="2:19">
      <c r="B230" s="468"/>
      <c r="C230" s="1375" t="str">
        <f>INDEX(AirQualityVectors[Code],MATCH(D230,AirQualityVectors[Description],0))</f>
        <v>AQ.01</v>
      </c>
      <c r="D230" s="1375" t="s">
        <v>258</v>
      </c>
      <c r="E230" s="1374" t="s">
        <v>304</v>
      </c>
      <c r="F230" s="3520">
        <f t="shared" ref="F230:N230" si="24">F30*F$127</f>
        <v>0</v>
      </c>
      <c r="G230" s="3520">
        <f t="shared" ca="1" si="24"/>
        <v>0</v>
      </c>
      <c r="H230" s="3520">
        <f t="shared" ca="1" si="24"/>
        <v>0</v>
      </c>
      <c r="I230" s="3520">
        <f t="shared" ca="1" si="24"/>
        <v>0</v>
      </c>
      <c r="J230" s="3520">
        <f t="shared" ca="1" si="24"/>
        <v>0</v>
      </c>
      <c r="K230" s="3520">
        <f t="shared" ca="1" si="24"/>
        <v>0</v>
      </c>
      <c r="L230" s="3520">
        <f t="shared" ca="1" si="24"/>
        <v>0</v>
      </c>
      <c r="M230" s="3520">
        <f t="shared" ca="1" si="24"/>
        <v>0</v>
      </c>
      <c r="N230" s="3520">
        <f t="shared" ca="1" si="24"/>
        <v>0</v>
      </c>
      <c r="O230" s="468"/>
    </row>
    <row r="231" spans="2:19">
      <c r="B231" s="468"/>
      <c r="C231" s="1376" t="str">
        <f>INDEX(AirQualityVectors[Code],MATCH(D231,AirQualityVectors[Description],0))</f>
        <v>AQ.02</v>
      </c>
      <c r="D231" s="1376" t="s">
        <v>260</v>
      </c>
      <c r="E231" s="1373" t="s">
        <v>304</v>
      </c>
      <c r="F231" s="3521">
        <f t="shared" ref="F231:N231" si="25">F35*F$127</f>
        <v>0</v>
      </c>
      <c r="G231" s="3521">
        <f t="shared" ca="1" si="25"/>
        <v>0</v>
      </c>
      <c r="H231" s="3521">
        <f t="shared" ca="1" si="25"/>
        <v>0</v>
      </c>
      <c r="I231" s="3521">
        <f t="shared" ca="1" si="25"/>
        <v>0</v>
      </c>
      <c r="J231" s="3521">
        <f t="shared" ca="1" si="25"/>
        <v>0</v>
      </c>
      <c r="K231" s="3521">
        <f t="shared" ca="1" si="25"/>
        <v>0</v>
      </c>
      <c r="L231" s="3521">
        <f t="shared" ca="1" si="25"/>
        <v>0</v>
      </c>
      <c r="M231" s="3521">
        <f t="shared" ca="1" si="25"/>
        <v>0</v>
      </c>
      <c r="N231" s="3521">
        <f t="shared" ca="1" si="25"/>
        <v>0</v>
      </c>
      <c r="O231" s="468"/>
    </row>
    <row r="232" spans="2:19">
      <c r="B232" s="468"/>
      <c r="C232" s="1376" t="str">
        <f>INDEX(AirQualityVectors[Code],MATCH(D232,AirQualityVectors[Description],0))</f>
        <v>AQ.03</v>
      </c>
      <c r="D232" s="1376" t="s">
        <v>262</v>
      </c>
      <c r="E232" s="1373" t="s">
        <v>304</v>
      </c>
      <c r="F232" s="3521">
        <f t="shared" ref="F232:N232" si="26">F40*F$127</f>
        <v>0</v>
      </c>
      <c r="G232" s="3521">
        <f t="shared" ca="1" si="26"/>
        <v>0</v>
      </c>
      <c r="H232" s="3521">
        <f t="shared" ca="1" si="26"/>
        <v>0</v>
      </c>
      <c r="I232" s="3521">
        <f t="shared" ca="1" si="26"/>
        <v>0</v>
      </c>
      <c r="J232" s="3521">
        <f t="shared" ca="1" si="26"/>
        <v>0</v>
      </c>
      <c r="K232" s="3521">
        <f t="shared" ca="1" si="26"/>
        <v>0</v>
      </c>
      <c r="L232" s="3521">
        <f t="shared" ca="1" si="26"/>
        <v>0</v>
      </c>
      <c r="M232" s="3521">
        <f t="shared" ca="1" si="26"/>
        <v>0</v>
      </c>
      <c r="N232" s="3521">
        <f t="shared" ca="1" si="26"/>
        <v>0</v>
      </c>
      <c r="O232" s="468"/>
    </row>
    <row r="233" spans="2:19">
      <c r="B233" s="1125"/>
      <c r="C233" s="1735" t="str">
        <f>INDEX(AirQualityVectors[Code],MATCH(D233,AirQualityVectors[Description],0))</f>
        <v>AQ.04</v>
      </c>
      <c r="D233" s="1735" t="s">
        <v>264</v>
      </c>
      <c r="E233" s="1736" t="s">
        <v>304</v>
      </c>
      <c r="F233" s="3522">
        <f t="shared" ref="F233:N233" si="27">F45*F$127</f>
        <v>0</v>
      </c>
      <c r="G233" s="3522">
        <f t="shared" ca="1" si="27"/>
        <v>0</v>
      </c>
      <c r="H233" s="3522">
        <f t="shared" ca="1" si="27"/>
        <v>0</v>
      </c>
      <c r="I233" s="3522">
        <f t="shared" ca="1" si="27"/>
        <v>0</v>
      </c>
      <c r="J233" s="3522">
        <f t="shared" ca="1" si="27"/>
        <v>0</v>
      </c>
      <c r="K233" s="3522">
        <f t="shared" ca="1" si="27"/>
        <v>0</v>
      </c>
      <c r="L233" s="3522">
        <f t="shared" ca="1" si="27"/>
        <v>0</v>
      </c>
      <c r="M233" s="3522">
        <f t="shared" ca="1" si="27"/>
        <v>0</v>
      </c>
      <c r="N233" s="3522">
        <f t="shared" ca="1" si="27"/>
        <v>0</v>
      </c>
      <c r="O233" s="1129"/>
    </row>
    <row r="234" spans="2:19">
      <c r="B234" s="1126"/>
      <c r="C234" s="1140"/>
      <c r="D234" s="1140"/>
      <c r="E234" s="1140"/>
      <c r="F234" s="1140"/>
      <c r="G234" s="1140"/>
      <c r="H234" s="1140"/>
      <c r="I234" s="1140"/>
      <c r="J234" s="1140"/>
      <c r="K234" s="1140"/>
      <c r="L234" s="1140"/>
      <c r="M234" s="1140"/>
      <c r="N234" s="1140"/>
      <c r="O234" s="1126"/>
    </row>
    <row r="235" spans="2:19">
      <c r="S235" s="6"/>
    </row>
    <row r="236" spans="2:19" ht="15">
      <c r="B236" s="986" t="s">
        <v>310</v>
      </c>
      <c r="C236" s="987"/>
      <c r="D236" s="988"/>
      <c r="E236" s="988"/>
      <c r="F236" s="988"/>
      <c r="G236" s="988"/>
      <c r="H236" s="988"/>
      <c r="I236" s="988"/>
      <c r="J236" s="988"/>
      <c r="K236" s="988"/>
      <c r="L236" s="988"/>
      <c r="M236" s="988"/>
      <c r="N236" s="988"/>
      <c r="O236" s="989"/>
      <c r="S236" s="6"/>
    </row>
    <row r="237" spans="2:19">
      <c r="B237" s="990"/>
      <c r="C237" s="991"/>
      <c r="D237" s="991"/>
      <c r="E237" s="991"/>
      <c r="F237" s="991"/>
      <c r="G237" s="991"/>
      <c r="H237" s="991"/>
      <c r="I237" s="991"/>
      <c r="J237" s="991"/>
      <c r="K237" s="991"/>
      <c r="L237" s="991"/>
      <c r="M237" s="991"/>
      <c r="N237" s="991"/>
      <c r="O237" s="992"/>
      <c r="S237" s="6"/>
    </row>
    <row r="238" spans="2:19">
      <c r="B238" s="993"/>
      <c r="C238" s="479" t="s">
        <v>311</v>
      </c>
      <c r="D238" s="994"/>
      <c r="E238" s="995"/>
      <c r="F238" s="994"/>
      <c r="G238" s="994"/>
      <c r="H238" s="994"/>
      <c r="I238" s="994"/>
      <c r="J238" s="994"/>
      <c r="K238" s="994"/>
      <c r="L238" s="994"/>
      <c r="M238" s="994"/>
      <c r="N238" s="995"/>
      <c r="O238" s="996"/>
    </row>
    <row r="239" spans="2:19">
      <c r="B239" s="993"/>
      <c r="C239" s="994"/>
      <c r="D239" s="994"/>
      <c r="E239" s="994"/>
      <c r="F239" s="994"/>
      <c r="G239" s="994"/>
      <c r="H239" s="994"/>
      <c r="I239" s="994"/>
      <c r="J239" s="994"/>
      <c r="K239" s="994"/>
      <c r="L239" s="994"/>
      <c r="M239" s="994"/>
      <c r="N239" s="994"/>
      <c r="O239" s="996"/>
    </row>
    <row r="240" spans="2:19" ht="15.5">
      <c r="B240" s="483"/>
      <c r="C240" s="997" t="s">
        <v>28</v>
      </c>
      <c r="D240" s="997" t="s">
        <v>312</v>
      </c>
      <c r="E240" s="997" t="s">
        <v>30</v>
      </c>
      <c r="F240" s="997" t="s">
        <v>588</v>
      </c>
      <c r="G240" s="997" t="s">
        <v>132</v>
      </c>
      <c r="H240" s="997" t="s">
        <v>133</v>
      </c>
      <c r="I240" s="997" t="s">
        <v>134</v>
      </c>
      <c r="J240" s="997" t="s">
        <v>135</v>
      </c>
      <c r="K240" s="997" t="s">
        <v>136</v>
      </c>
      <c r="L240" s="997" t="s">
        <v>137</v>
      </c>
      <c r="M240" s="997" t="s">
        <v>138</v>
      </c>
      <c r="N240" s="997" t="s">
        <v>139</v>
      </c>
      <c r="O240" s="996"/>
    </row>
    <row r="241" spans="2:16" ht="15.5">
      <c r="B241" s="483"/>
      <c r="C241" s="998" t="s">
        <v>748</v>
      </c>
      <c r="D241" s="485" t="s">
        <v>749</v>
      </c>
      <c r="E241" s="485"/>
      <c r="F241" s="3681">
        <f t="shared" ref="F241:N241" si="28">SUM(F137:F139)</f>
        <v>0</v>
      </c>
      <c r="G241" s="3681">
        <f t="shared" ca="1" si="28"/>
        <v>0</v>
      </c>
      <c r="H241" s="3681">
        <f t="shared" ca="1" si="28"/>
        <v>0</v>
      </c>
      <c r="I241" s="3681">
        <f t="shared" ca="1" si="28"/>
        <v>0</v>
      </c>
      <c r="J241" s="3681">
        <f t="shared" ca="1" si="28"/>
        <v>0</v>
      </c>
      <c r="K241" s="3681">
        <f t="shared" ca="1" si="28"/>
        <v>0</v>
      </c>
      <c r="L241" s="3681">
        <f t="shared" ca="1" si="28"/>
        <v>0</v>
      </c>
      <c r="M241" s="3681">
        <f t="shared" ca="1" si="28"/>
        <v>0</v>
      </c>
      <c r="N241" s="3681">
        <f t="shared" ca="1" si="28"/>
        <v>0</v>
      </c>
      <c r="O241" s="996"/>
    </row>
    <row r="242" spans="2:16" ht="15.5">
      <c r="B242" s="488"/>
      <c r="C242" s="1001"/>
      <c r="D242" s="1001"/>
      <c r="E242" s="1001"/>
      <c r="F242" s="1001"/>
      <c r="G242" s="1001"/>
      <c r="H242" s="1001"/>
      <c r="I242" s="1001"/>
      <c r="J242" s="1001"/>
      <c r="K242" s="1001"/>
      <c r="L242" s="1001"/>
      <c r="M242" s="1001"/>
      <c r="N242" s="1001"/>
      <c r="O242" s="1002"/>
      <c r="P242" s="39"/>
    </row>
    <row r="243" spans="2:16">
      <c r="P243" s="39"/>
    </row>
    <row r="244" spans="2:16" ht="15">
      <c r="B244" s="986" t="s">
        <v>2720</v>
      </c>
      <c r="C244" s="988"/>
      <c r="D244" s="988"/>
      <c r="E244" s="988"/>
      <c r="F244" s="988"/>
      <c r="G244" s="988"/>
      <c r="H244" s="988"/>
      <c r="I244" s="988"/>
      <c r="J244" s="988"/>
      <c r="K244" s="988"/>
      <c r="L244" s="988"/>
      <c r="M244" s="988"/>
      <c r="N244" s="988"/>
      <c r="O244" s="989"/>
      <c r="P244" s="39"/>
    </row>
    <row r="245" spans="2:16" hidden="1">
      <c r="B245" s="993"/>
      <c r="C245" s="994"/>
      <c r="D245" s="994"/>
      <c r="E245" s="994"/>
      <c r="F245" s="994"/>
      <c r="G245" s="994"/>
      <c r="H245" s="994"/>
      <c r="I245" s="994"/>
      <c r="J245" s="994"/>
      <c r="K245" s="994"/>
      <c r="L245" s="994"/>
      <c r="M245" s="994"/>
      <c r="N245" s="994"/>
      <c r="O245" s="996"/>
      <c r="P245" s="39"/>
    </row>
    <row r="246" spans="2:16" hidden="1">
      <c r="B246" s="993"/>
      <c r="C246" s="491" t="s">
        <v>751</v>
      </c>
      <c r="D246" s="1003"/>
      <c r="E246" s="1003"/>
      <c r="F246" s="1003"/>
      <c r="G246" s="1003"/>
      <c r="H246" s="1003"/>
      <c r="I246" s="1003"/>
      <c r="J246" s="1003"/>
      <c r="K246" s="1003"/>
      <c r="L246" s="1003"/>
      <c r="M246" s="1003"/>
      <c r="N246" s="3673" t="s">
        <v>2736</v>
      </c>
      <c r="O246" s="996"/>
      <c r="P246" s="39"/>
    </row>
    <row r="247" spans="2:16" hidden="1">
      <c r="B247" s="993"/>
      <c r="C247" s="994"/>
      <c r="D247" s="994"/>
      <c r="E247" s="994"/>
      <c r="F247" s="994"/>
      <c r="G247" s="994"/>
      <c r="H247" s="994"/>
      <c r="I247" s="994"/>
      <c r="J247" s="994"/>
      <c r="K247" s="994"/>
      <c r="L247" s="994"/>
      <c r="M247" s="994"/>
      <c r="N247" s="994"/>
      <c r="O247" s="996"/>
      <c r="P247" s="39"/>
    </row>
    <row r="248" spans="2:16" ht="15.5" hidden="1">
      <c r="B248" s="483"/>
      <c r="C248" s="997" t="s">
        <v>28</v>
      </c>
      <c r="D248" s="997" t="s">
        <v>29</v>
      </c>
      <c r="E248" s="997" t="s">
        <v>30</v>
      </c>
      <c r="F248" s="997">
        <v>2013</v>
      </c>
      <c r="G248" s="997" t="s">
        <v>132</v>
      </c>
      <c r="H248" s="997" t="s">
        <v>133</v>
      </c>
      <c r="I248" s="997" t="s">
        <v>134</v>
      </c>
      <c r="J248" s="997" t="s">
        <v>135</v>
      </c>
      <c r="K248" s="997" t="s">
        <v>136</v>
      </c>
      <c r="L248" s="997" t="s">
        <v>137</v>
      </c>
      <c r="M248" s="997" t="s">
        <v>138</v>
      </c>
      <c r="N248" s="997" t="s">
        <v>139</v>
      </c>
      <c r="O248" s="1141"/>
      <c r="P248" s="39"/>
    </row>
    <row r="249" spans="2:16" ht="15.5" hidden="1">
      <c r="B249" s="483"/>
      <c r="C249" s="998" t="s">
        <v>321</v>
      </c>
      <c r="D249" s="485" t="s">
        <v>322</v>
      </c>
      <c r="E249" s="485"/>
      <c r="F249" s="3674"/>
      <c r="G249" s="3675"/>
      <c r="H249" s="3675"/>
      <c r="I249" s="3675"/>
      <c r="J249" s="3675"/>
      <c r="K249" s="3675"/>
      <c r="L249" s="3675"/>
      <c r="M249" s="3675"/>
      <c r="N249" s="3675"/>
      <c r="O249" s="1141"/>
      <c r="P249" s="3679"/>
    </row>
    <row r="250" spans="2:16" ht="15.5" hidden="1">
      <c r="B250" s="483"/>
      <c r="C250" s="998" t="s">
        <v>328</v>
      </c>
      <c r="D250" s="485" t="s">
        <v>329</v>
      </c>
      <c r="E250" s="485"/>
      <c r="F250" s="3674"/>
      <c r="G250" s="3675"/>
      <c r="H250" s="3675"/>
      <c r="I250" s="3675"/>
      <c r="J250" s="3675"/>
      <c r="K250" s="3675"/>
      <c r="L250" s="3675"/>
      <c r="M250" s="3675"/>
      <c r="N250" s="3675"/>
      <c r="O250" s="1141"/>
      <c r="P250" s="39"/>
    </row>
    <row r="251" spans="2:16" ht="15.5" hidden="1">
      <c r="B251" s="483"/>
      <c r="C251" s="998" t="s">
        <v>323</v>
      </c>
      <c r="D251" s="485" t="s">
        <v>324</v>
      </c>
      <c r="E251" s="495"/>
      <c r="F251" s="3676"/>
      <c r="G251" s="3677"/>
      <c r="H251" s="3677"/>
      <c r="I251" s="3677"/>
      <c r="J251" s="3677"/>
      <c r="K251" s="3677"/>
      <c r="L251" s="3677"/>
      <c r="M251" s="3677"/>
      <c r="N251" s="3677"/>
      <c r="O251" s="3678"/>
    </row>
    <row r="252" spans="2:16" ht="15.5" hidden="1">
      <c r="B252" s="483"/>
      <c r="C252" s="998" t="s">
        <v>330</v>
      </c>
      <c r="D252" s="485" t="s">
        <v>331</v>
      </c>
      <c r="E252" s="495"/>
      <c r="F252" s="3676"/>
      <c r="G252" s="3677"/>
      <c r="H252" s="3677"/>
      <c r="I252" s="3677"/>
      <c r="J252" s="3677"/>
      <c r="K252" s="3677"/>
      <c r="L252" s="3677"/>
      <c r="M252" s="3677"/>
      <c r="N252" s="3677"/>
      <c r="O252" s="1141"/>
    </row>
    <row r="253" spans="2:16" hidden="1">
      <c r="B253" s="494"/>
      <c r="C253" s="998" t="s">
        <v>325</v>
      </c>
      <c r="D253" s="485" t="s">
        <v>326</v>
      </c>
      <c r="E253" s="485"/>
      <c r="F253" s="3674"/>
      <c r="G253" s="3675"/>
      <c r="H253" s="3675"/>
      <c r="I253" s="3675"/>
      <c r="J253" s="3675"/>
      <c r="K253" s="3675"/>
      <c r="L253" s="3675"/>
      <c r="M253" s="3675"/>
      <c r="N253" s="3675"/>
      <c r="O253" s="1142"/>
      <c r="P253" s="39"/>
    </row>
    <row r="254" spans="2:16" hidden="1">
      <c r="B254" s="494"/>
      <c r="C254" s="998" t="s">
        <v>332</v>
      </c>
      <c r="D254" s="485" t="s">
        <v>333</v>
      </c>
      <c r="E254" s="485"/>
      <c r="F254" s="3674"/>
      <c r="G254" s="3675"/>
      <c r="H254" s="3675"/>
      <c r="I254" s="3675"/>
      <c r="J254" s="3675"/>
      <c r="K254" s="3675"/>
      <c r="L254" s="3675"/>
      <c r="M254" s="3675"/>
      <c r="N254" s="3675"/>
      <c r="O254" s="1142"/>
    </row>
    <row r="255" spans="2:16" hidden="1">
      <c r="B255" s="1005"/>
      <c r="C255" s="1001"/>
      <c r="D255" s="1001"/>
      <c r="E255" s="1001"/>
      <c r="F255" s="1001"/>
      <c r="G255" s="1001"/>
      <c r="H255" s="1001"/>
      <c r="I255" s="1001"/>
      <c r="J255" s="1001"/>
      <c r="K255" s="1001"/>
      <c r="L255" s="1001"/>
      <c r="M255" s="1001"/>
      <c r="N255" s="1001"/>
      <c r="O255" s="1006"/>
    </row>
    <row r="258" spans="18:19">
      <c r="R258" s="736"/>
      <c r="S258" s="736"/>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9"/>
  </sheetPr>
  <dimension ref="A1:BN1321"/>
  <sheetViews>
    <sheetView showGridLines="0" topLeftCell="F619" zoomScale="80" zoomScaleNormal="80" workbookViewId="0">
      <selection activeCell="F625" sqref="F625:O639"/>
    </sheetView>
  </sheetViews>
  <sheetFormatPr defaultColWidth="8.81640625" defaultRowHeight="14.5"/>
  <cols>
    <col min="1" max="1" width="7.7265625" style="2" customWidth="1"/>
    <col min="2" max="2" width="5.81640625" style="2" customWidth="1"/>
    <col min="3" max="3" width="28.26953125" style="2" customWidth="1"/>
    <col min="4" max="4" width="30.7265625" style="2" customWidth="1"/>
    <col min="5" max="5" width="24.26953125" style="2" customWidth="1"/>
    <col min="6" max="15" width="17.7265625" style="2" customWidth="1"/>
    <col min="16" max="16" width="10.7265625" style="2" customWidth="1"/>
    <col min="17" max="17" width="10.81640625" style="2" customWidth="1"/>
    <col min="18" max="18" width="20.26953125" style="2" customWidth="1"/>
    <col min="19" max="19" width="9.81640625" style="2" customWidth="1"/>
    <col min="20" max="20" width="10.7265625" style="2" customWidth="1"/>
    <col min="21" max="21" width="1.453125" style="2" customWidth="1"/>
    <col min="22" max="22" width="0.453125" style="2" customWidth="1"/>
    <col min="23" max="23" width="0.26953125" style="2" customWidth="1"/>
    <col min="24" max="24" width="0.7265625" style="2" customWidth="1"/>
    <col min="25" max="32" width="8.81640625" style="2"/>
    <col min="33" max="33" width="57.453125" style="2" customWidth="1"/>
    <col min="34" max="34" width="12.453125" style="2" customWidth="1"/>
    <col min="35" max="35" width="19.26953125" style="2" customWidth="1"/>
    <col min="36" max="37" width="10" style="2" bestFit="1" customWidth="1"/>
    <col min="38" max="38" width="26.7265625" style="2" customWidth="1"/>
    <col min="39" max="39" width="18.26953125" style="2" customWidth="1"/>
    <col min="40" max="46" width="10" style="2" bestFit="1" customWidth="1"/>
    <col min="47" max="16384" width="8.81640625" style="2"/>
  </cols>
  <sheetData>
    <row r="1" spans="1:16" ht="21">
      <c r="A1" s="1" t="s">
        <v>0</v>
      </c>
      <c r="B1" s="1" t="s">
        <v>1</v>
      </c>
      <c r="C1" s="1"/>
      <c r="F1" s="39"/>
      <c r="G1" s="38"/>
    </row>
    <row r="2" spans="1:16" s="4" customFormat="1" ht="15.5">
      <c r="A2" s="3" t="s">
        <v>2</v>
      </c>
      <c r="B2" s="3" t="s">
        <v>3</v>
      </c>
      <c r="C2" s="3"/>
      <c r="E2" s="5"/>
      <c r="I2" s="6" t="s">
        <v>5</v>
      </c>
    </row>
    <row r="3" spans="1:16">
      <c r="H3" t="s">
        <v>5</v>
      </c>
    </row>
    <row r="4" spans="1:16" ht="23.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5">
      <c r="B7" s="15"/>
      <c r="C7" s="12"/>
      <c r="D7" s="16" t="s">
        <v>7</v>
      </c>
      <c r="E7" s="16" t="s">
        <v>8</v>
      </c>
      <c r="F7" s="12"/>
      <c r="G7" s="12"/>
      <c r="H7" s="12"/>
      <c r="I7" s="12"/>
      <c r="J7" s="12"/>
      <c r="K7" s="12"/>
      <c r="L7" s="12"/>
      <c r="M7" s="12"/>
      <c r="N7" s="12"/>
      <c r="O7" s="12"/>
      <c r="P7" s="13"/>
    </row>
    <row r="8" spans="1:16" ht="15.5">
      <c r="B8" s="15"/>
      <c r="C8" s="12"/>
      <c r="D8" s="17" t="s">
        <v>9</v>
      </c>
      <c r="E8" s="18">
        <f>IX.a.1.Scenario</f>
        <v>1</v>
      </c>
      <c r="F8" s="12"/>
      <c r="G8" s="12"/>
      <c r="H8" s="12"/>
      <c r="I8" s="12"/>
      <c r="J8" s="12"/>
      <c r="K8" s="12"/>
      <c r="L8" s="12"/>
      <c r="M8" s="12"/>
      <c r="N8" s="12"/>
      <c r="O8" s="12"/>
      <c r="P8" s="13"/>
    </row>
    <row r="9" spans="1:16" ht="15.5">
      <c r="B9" s="19"/>
      <c r="C9" s="18"/>
      <c r="D9" s="17" t="s">
        <v>10</v>
      </c>
      <c r="E9" s="18">
        <f>IX.a.2.Scenario</f>
        <v>1</v>
      </c>
      <c r="F9" s="18"/>
      <c r="G9" s="18"/>
      <c r="H9" s="18"/>
      <c r="I9" s="18"/>
      <c r="J9" s="18"/>
      <c r="K9" s="18"/>
      <c r="L9" s="18"/>
      <c r="M9" s="18"/>
      <c r="N9" s="18"/>
      <c r="O9" s="18"/>
      <c r="P9" s="20"/>
    </row>
    <row r="10" spans="1:16" ht="15.5">
      <c r="B10" s="19"/>
      <c r="C10" s="18"/>
      <c r="D10" s="18" t="s">
        <v>11</v>
      </c>
      <c r="E10" s="18">
        <f>IX.a.3.Scenario</f>
        <v>1</v>
      </c>
      <c r="F10" s="18"/>
      <c r="G10" s="18"/>
      <c r="H10" s="18"/>
      <c r="I10" s="18"/>
      <c r="J10" s="18"/>
      <c r="K10" s="18"/>
      <c r="L10" s="18"/>
      <c r="M10" s="18"/>
      <c r="N10" s="18"/>
      <c r="O10" s="18"/>
      <c r="P10" s="20"/>
    </row>
    <row r="11" spans="1:16" ht="15.5">
      <c r="B11" s="19"/>
      <c r="C11" s="18"/>
      <c r="D11" s="21" t="s">
        <v>12</v>
      </c>
      <c r="E11" s="21">
        <f>IX.a.4.Scenario</f>
        <v>1</v>
      </c>
      <c r="F11" s="22"/>
      <c r="G11" s="18"/>
      <c r="H11" s="18"/>
      <c r="I11" s="18"/>
      <c r="J11" s="18"/>
      <c r="K11" s="18"/>
      <c r="L11" s="18"/>
      <c r="M11" s="18"/>
      <c r="N11" s="18"/>
      <c r="O11" s="18"/>
      <c r="P11" s="20"/>
    </row>
    <row r="12" spans="1:16" ht="15.5">
      <c r="B12" s="19"/>
      <c r="C12" s="18"/>
      <c r="D12" s="18"/>
      <c r="E12" s="18"/>
      <c r="F12" s="22"/>
      <c r="G12" s="18"/>
      <c r="H12" s="18"/>
      <c r="I12" s="18"/>
      <c r="J12" s="18"/>
      <c r="K12" s="18"/>
      <c r="L12" s="18"/>
      <c r="M12" s="18"/>
      <c r="N12" s="18"/>
      <c r="O12" s="18"/>
      <c r="P12" s="20"/>
    </row>
    <row r="13" spans="1:16" ht="15.5">
      <c r="B13" s="19"/>
      <c r="C13" s="23" t="s">
        <v>13</v>
      </c>
      <c r="D13" s="18"/>
      <c r="E13" s="18"/>
      <c r="F13" s="22"/>
      <c r="G13" s="18"/>
      <c r="H13" s="18"/>
      <c r="I13" s="18"/>
      <c r="J13" s="18"/>
      <c r="K13" s="18"/>
      <c r="L13" s="18"/>
      <c r="M13" s="18"/>
      <c r="N13" s="18"/>
      <c r="O13" s="18"/>
      <c r="P13" s="20"/>
    </row>
    <row r="14" spans="1:16" ht="15.5">
      <c r="B14" s="19"/>
      <c r="C14" s="18"/>
      <c r="D14" s="18"/>
      <c r="E14" s="18"/>
      <c r="F14" s="22"/>
      <c r="G14" s="18"/>
      <c r="H14" s="18"/>
      <c r="I14" s="18"/>
      <c r="J14" s="18"/>
      <c r="K14" s="18"/>
      <c r="L14" s="18"/>
      <c r="M14" s="18"/>
      <c r="N14" s="18"/>
      <c r="O14" s="18"/>
      <c r="P14" s="20"/>
    </row>
    <row r="15" spans="1:16" ht="15.5">
      <c r="B15" s="19"/>
      <c r="C15" s="24"/>
      <c r="D15" s="24"/>
      <c r="E15" s="25" t="s">
        <v>14</v>
      </c>
      <c r="F15" s="26"/>
      <c r="G15" s="25"/>
      <c r="H15" s="25"/>
      <c r="I15" s="18"/>
      <c r="J15" s="18"/>
      <c r="K15" s="18"/>
      <c r="L15" s="18"/>
      <c r="M15" s="18"/>
      <c r="N15" s="18"/>
      <c r="O15" s="18"/>
      <c r="P15" s="20"/>
    </row>
    <row r="16" spans="1:16" ht="15.5">
      <c r="B16" s="19"/>
      <c r="C16" s="18"/>
      <c r="D16" s="18"/>
      <c r="E16" s="27">
        <v>1</v>
      </c>
      <c r="F16" s="27">
        <v>2</v>
      </c>
      <c r="G16" s="27">
        <v>3</v>
      </c>
      <c r="H16" s="27">
        <v>4</v>
      </c>
      <c r="I16" s="18"/>
      <c r="J16" s="18"/>
      <c r="K16" s="18"/>
      <c r="L16" s="18"/>
      <c r="M16" s="18"/>
      <c r="N16" s="18"/>
      <c r="O16" s="18"/>
      <c r="P16" s="20"/>
    </row>
    <row r="17" spans="1:20" ht="15.5">
      <c r="B17" s="19"/>
      <c r="C17" s="28" t="s">
        <v>11</v>
      </c>
      <c r="D17" s="28"/>
      <c r="E17" s="29" t="s">
        <v>15</v>
      </c>
      <c r="F17" s="30" t="s">
        <v>16</v>
      </c>
      <c r="G17" s="29" t="s">
        <v>17</v>
      </c>
      <c r="H17" s="29" t="s">
        <v>18</v>
      </c>
      <c r="I17" s="18"/>
      <c r="J17" s="18"/>
      <c r="K17" s="18"/>
      <c r="L17" s="18"/>
      <c r="M17" s="18"/>
      <c r="N17" s="18"/>
      <c r="O17" s="18"/>
      <c r="P17" s="20"/>
    </row>
    <row r="18" spans="1:20" ht="15.5">
      <c r="B18" s="19"/>
      <c r="C18" s="18">
        <v>1</v>
      </c>
      <c r="D18" s="18" t="s">
        <v>19</v>
      </c>
      <c r="E18" s="31">
        <v>9</v>
      </c>
      <c r="F18" s="31">
        <v>6</v>
      </c>
      <c r="G18" s="31">
        <v>15</v>
      </c>
      <c r="H18" s="31">
        <v>7</v>
      </c>
      <c r="I18" s="18"/>
      <c r="J18" s="18"/>
      <c r="K18" s="18"/>
      <c r="L18" s="18"/>
      <c r="M18" s="18"/>
      <c r="N18" s="18"/>
      <c r="O18" s="18"/>
      <c r="P18" s="20"/>
    </row>
    <row r="19" spans="1:20" ht="15.5">
      <c r="B19" s="19"/>
      <c r="C19" s="18">
        <v>2</v>
      </c>
      <c r="D19" s="18" t="s">
        <v>20</v>
      </c>
      <c r="E19" s="31">
        <v>11</v>
      </c>
      <c r="F19" s="31">
        <v>5</v>
      </c>
      <c r="G19" s="31">
        <v>14</v>
      </c>
      <c r="H19" s="31">
        <v>12</v>
      </c>
      <c r="I19" s="18"/>
      <c r="J19" s="18"/>
      <c r="K19" s="18"/>
      <c r="L19" s="18"/>
      <c r="M19" s="18"/>
      <c r="N19" s="18"/>
      <c r="O19" s="18"/>
      <c r="P19" s="20"/>
    </row>
    <row r="20" spans="1:20" ht="15.5">
      <c r="B20" s="19"/>
      <c r="C20" s="18">
        <v>3</v>
      </c>
      <c r="D20" s="18" t="s">
        <v>21</v>
      </c>
      <c r="E20" s="31">
        <v>10</v>
      </c>
      <c r="F20" s="31">
        <v>8</v>
      </c>
      <c r="G20" s="31">
        <v>13</v>
      </c>
      <c r="H20" s="31">
        <v>16</v>
      </c>
      <c r="I20" s="18"/>
      <c r="J20" s="18"/>
      <c r="K20" s="18"/>
      <c r="L20" s="18"/>
      <c r="M20" s="18"/>
      <c r="N20" s="18"/>
      <c r="O20" s="18"/>
      <c r="P20" s="20"/>
    </row>
    <row r="21" spans="1:20" ht="15.5">
      <c r="B21" s="19"/>
      <c r="C21" s="32">
        <v>4</v>
      </c>
      <c r="D21" s="32" t="s">
        <v>22</v>
      </c>
      <c r="E21" s="33">
        <v>3</v>
      </c>
      <c r="F21" s="33">
        <v>2</v>
      </c>
      <c r="G21" s="33">
        <v>4</v>
      </c>
      <c r="H21" s="33">
        <v>1</v>
      </c>
      <c r="I21" s="18"/>
      <c r="J21" s="18"/>
      <c r="K21" s="18"/>
      <c r="L21" s="18"/>
      <c r="M21" s="18"/>
      <c r="N21" s="18"/>
      <c r="O21" s="18"/>
      <c r="P21" s="20"/>
    </row>
    <row r="22" spans="1:20" ht="15.5">
      <c r="B22" s="19"/>
      <c r="C22" s="18"/>
      <c r="D22" s="18"/>
      <c r="E22" s="18"/>
      <c r="F22" s="22"/>
      <c r="G22" s="18"/>
      <c r="H22" s="18"/>
      <c r="I22" s="18"/>
      <c r="J22" s="18"/>
      <c r="K22" s="18"/>
      <c r="L22" s="18"/>
      <c r="M22" s="18"/>
      <c r="N22" s="18"/>
      <c r="O22" s="18"/>
      <c r="P22" s="20"/>
    </row>
    <row r="23" spans="1:20" ht="15.5">
      <c r="B23" s="19"/>
      <c r="C23" s="18"/>
      <c r="D23" s="18" t="s">
        <v>23</v>
      </c>
      <c r="E23" s="18">
        <f>INDEX($E$18:$H$21, MATCH($E$10, $C$18:$C$21, 0), MATCH($E$11, $E$16:$H$16, 0))</f>
        <v>9</v>
      </c>
      <c r="F23" s="22"/>
      <c r="G23" s="18"/>
      <c r="H23" s="18"/>
      <c r="I23" s="18"/>
      <c r="J23" s="18"/>
      <c r="K23" s="18"/>
      <c r="L23" s="18"/>
      <c r="M23" s="18"/>
      <c r="N23" s="18"/>
      <c r="O23" s="18"/>
      <c r="P23" s="20"/>
    </row>
    <row r="24" spans="1:20" ht="15.5">
      <c r="B24" s="19"/>
      <c r="C24" s="18"/>
      <c r="D24" s="18"/>
      <c r="E24" s="18"/>
      <c r="F24" s="22"/>
      <c r="G24" s="18"/>
      <c r="H24" s="18"/>
      <c r="I24" s="18"/>
      <c r="J24" s="18"/>
      <c r="K24" s="18"/>
      <c r="L24" s="18"/>
      <c r="M24" s="18"/>
      <c r="N24" s="18"/>
      <c r="O24" s="18"/>
      <c r="P24" s="20"/>
    </row>
    <row r="26" spans="1:20" ht="23.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07" t="str">
        <f>Preferences.EnergyUnits</f>
        <v>TWh</v>
      </c>
      <c r="O28" s="507"/>
      <c r="P28" s="12"/>
    </row>
    <row r="29" spans="1:20">
      <c r="B29" s="12"/>
      <c r="C29" s="12"/>
      <c r="D29" s="12"/>
      <c r="E29" s="14"/>
      <c r="F29" s="12"/>
      <c r="G29" s="12"/>
      <c r="H29" s="12"/>
      <c r="I29" s="12"/>
      <c r="J29" s="12"/>
      <c r="K29" s="12"/>
      <c r="L29" s="12"/>
      <c r="M29" s="12"/>
      <c r="N29" s="12"/>
      <c r="O29" s="12"/>
      <c r="P29" s="12"/>
    </row>
    <row r="30" spans="1:20" ht="15.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5.2915063522883464E-2</v>
      </c>
      <c r="H31" s="37">
        <f t="shared" ca="1" si="0"/>
        <v>5.5796848364472185E-2</v>
      </c>
      <c r="I31" s="37">
        <f t="shared" ca="1" si="0"/>
        <v>5.8662240154226032E-2</v>
      </c>
      <c r="J31" s="37">
        <f t="shared" ca="1" si="0"/>
        <v>7.0129937567812564E-2</v>
      </c>
      <c r="K31" s="37">
        <f t="shared" ca="1" si="0"/>
        <v>7.3391639360886121E-2</v>
      </c>
      <c r="L31" s="37">
        <f t="shared" ca="1" si="0"/>
        <v>7.68227714428798E-2</v>
      </c>
      <c r="M31" s="37">
        <f t="shared" ca="1" si="0"/>
        <v>8.0232994859916751E-2</v>
      </c>
      <c r="N31" s="37">
        <f t="shared" ca="1" si="0"/>
        <v>8.3820866458489254E-2</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5">
      <c r="B37" s="55"/>
      <c r="C37" s="49" t="s">
        <v>3408</v>
      </c>
      <c r="D37" s="46"/>
      <c r="E37" s="50"/>
      <c r="F37" s="46"/>
      <c r="G37" s="67" t="s">
        <v>5</v>
      </c>
      <c r="H37" s="46"/>
      <c r="I37" s="46"/>
      <c r="J37" s="46"/>
      <c r="K37" s="46"/>
      <c r="L37" s="46"/>
      <c r="M37" s="46"/>
      <c r="N37" s="51" t="s">
        <v>36</v>
      </c>
      <c r="O37" s="50"/>
      <c r="P37" s="46"/>
      <c r="Q37" s="46"/>
      <c r="R37" s="46"/>
      <c r="S37" s="46"/>
      <c r="T37" s="46"/>
      <c r="U37" s="46"/>
      <c r="V37" s="46"/>
      <c r="W37" s="46"/>
      <c r="X37" s="46"/>
    </row>
    <row r="38" spans="1:27" ht="15.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5">
      <c r="B41" s="55"/>
      <c r="C41" s="56">
        <v>2</v>
      </c>
      <c r="D41" s="57"/>
      <c r="E41" s="57"/>
      <c r="F41" s="68">
        <v>0</v>
      </c>
      <c r="G41" s="68">
        <v>0</v>
      </c>
      <c r="H41" s="68">
        <v>0</v>
      </c>
      <c r="I41" s="68">
        <v>0.03</v>
      </c>
      <c r="J41" s="68">
        <v>0.03</v>
      </c>
      <c r="K41" s="68">
        <v>0.03</v>
      </c>
      <c r="L41" s="68">
        <v>0.03</v>
      </c>
      <c r="M41" s="68">
        <v>0.03</v>
      </c>
      <c r="N41" s="68">
        <v>0.03</v>
      </c>
      <c r="O41" s="46"/>
      <c r="P41" s="46">
        <f>3*0.8</f>
        <v>2.4000000000000004</v>
      </c>
      <c r="Q41" s="59"/>
      <c r="R41" s="59"/>
      <c r="S41" s="59"/>
      <c r="T41" s="59"/>
      <c r="U41" s="59"/>
      <c r="V41" s="59"/>
      <c r="W41" s="59"/>
      <c r="X41" s="59"/>
      <c r="Y41" s="38"/>
      <c r="Z41" s="38"/>
      <c r="AA41" s="38"/>
    </row>
    <row r="42" spans="1:27" ht="15.5">
      <c r="B42" s="55"/>
      <c r="C42" s="56">
        <v>3</v>
      </c>
      <c r="D42" s="57"/>
      <c r="E42" s="57"/>
      <c r="F42" s="68">
        <v>0</v>
      </c>
      <c r="G42" s="68">
        <v>0</v>
      </c>
      <c r="H42" s="68">
        <v>0</v>
      </c>
      <c r="I42" s="4127">
        <v>6.4000000000000001E-2</v>
      </c>
      <c r="J42" s="4127">
        <v>6.4000000000000001E-2</v>
      </c>
      <c r="K42" s="4127">
        <v>6.4000000000000001E-2</v>
      </c>
      <c r="L42" s="4127">
        <v>6.4000000000000001E-2</v>
      </c>
      <c r="M42" s="4127">
        <v>6.4000000000000001E-2</v>
      </c>
      <c r="N42" s="4127">
        <v>6.4000000000000001E-2</v>
      </c>
      <c r="O42" s="46"/>
      <c r="P42" s="46">
        <f>6.4*0.8</f>
        <v>5.120000000000001</v>
      </c>
      <c r="Q42" s="59"/>
      <c r="R42" s="59"/>
      <c r="S42" s="59"/>
      <c r="T42" s="59"/>
      <c r="U42" s="59"/>
      <c r="V42" s="59"/>
      <c r="W42" s="59"/>
      <c r="X42" s="59"/>
      <c r="Y42" s="38"/>
      <c r="Z42" s="38"/>
      <c r="AA42" s="38"/>
    </row>
    <row r="43" spans="1:27" ht="15.5">
      <c r="B43" s="55"/>
      <c r="C43" s="61">
        <v>4</v>
      </c>
      <c r="D43" s="62"/>
      <c r="E43" s="62"/>
      <c r="F43" s="68">
        <v>0</v>
      </c>
      <c r="G43" s="68">
        <v>0</v>
      </c>
      <c r="H43" s="68">
        <v>0</v>
      </c>
      <c r="I43" s="68">
        <v>0.09</v>
      </c>
      <c r="J43" s="68">
        <v>0.09</v>
      </c>
      <c r="K43" s="68">
        <v>0.09</v>
      </c>
      <c r="L43" s="68">
        <v>0.09</v>
      </c>
      <c r="M43" s="68">
        <v>0.09</v>
      </c>
      <c r="N43" s="68">
        <v>0.09</v>
      </c>
      <c r="O43" s="46"/>
      <c r="P43" s="46">
        <f>9*0.8</f>
        <v>7.2</v>
      </c>
      <c r="Q43" s="59"/>
      <c r="R43" s="59"/>
      <c r="S43" s="59"/>
      <c r="T43" s="59"/>
      <c r="U43" s="59"/>
      <c r="V43" s="59"/>
      <c r="W43" s="59"/>
      <c r="X43" s="59"/>
      <c r="Y43" s="38"/>
      <c r="Z43" s="38"/>
      <c r="AA43" s="38"/>
    </row>
    <row r="44" spans="1:27" ht="15.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5">
      <c r="B50" s="55"/>
      <c r="C50" s="56">
        <v>2</v>
      </c>
      <c r="D50" s="57"/>
      <c r="E50" s="57"/>
      <c r="F50" s="68">
        <v>0</v>
      </c>
      <c r="G50" s="68">
        <v>0</v>
      </c>
      <c r="H50" s="68">
        <v>0</v>
      </c>
      <c r="I50" s="68">
        <v>0.4</v>
      </c>
      <c r="J50" s="68">
        <v>0.5</v>
      </c>
      <c r="K50" s="68">
        <v>0.6</v>
      </c>
      <c r="L50" s="68">
        <v>0.6</v>
      </c>
      <c r="M50" s="68">
        <v>0.6</v>
      </c>
      <c r="N50" s="68">
        <v>0.6</v>
      </c>
      <c r="O50" s="46"/>
      <c r="P50" s="46"/>
      <c r="Q50" s="60"/>
      <c r="R50" s="60"/>
      <c r="S50" s="60"/>
      <c r="T50" s="60"/>
      <c r="U50" s="60"/>
      <c r="V50" s="60"/>
      <c r="W50" s="60"/>
      <c r="X50" s="60"/>
    </row>
    <row r="51" spans="2:27" ht="15.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5">
      <c r="B55" s="55"/>
      <c r="C55" s="49" t="s">
        <v>3027</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5">
      <c r="B58" s="55"/>
      <c r="C58" s="56">
        <v>1</v>
      </c>
      <c r="D58" s="4112">
        <v>9.4999999999999998E-3</v>
      </c>
      <c r="E58" s="4113"/>
      <c r="F58" s="4114">
        <v>3.5250287804622114E-6</v>
      </c>
      <c r="G58" s="4114">
        <f>F58*(1+$D58)^(G$57-F$57)</f>
        <v>3.5923224611384305E-6</v>
      </c>
      <c r="H58" s="4115">
        <f t="shared" ref="G58:N61" si="3">G58*(1+$D58)^(H$57-G$57)</f>
        <v>3.7662307953148075E-6</v>
      </c>
      <c r="I58" s="4115">
        <f t="shared" si="3"/>
        <v>3.9485582257786648E-6</v>
      </c>
      <c r="J58" s="4115">
        <f t="shared" si="3"/>
        <v>4.1397123303648052E-6</v>
      </c>
      <c r="K58" s="4115">
        <f t="shared" si="3"/>
        <v>4.340120418205283E-6</v>
      </c>
      <c r="L58" s="4115">
        <f t="shared" si="3"/>
        <v>4.5502304849434915E-6</v>
      </c>
      <c r="M58" s="4115">
        <f t="shared" si="3"/>
        <v>4.7705122141912371E-6</v>
      </c>
      <c r="N58" s="4115">
        <f t="shared" si="3"/>
        <v>5.0014580274674603E-6</v>
      </c>
      <c r="O58" s="46"/>
      <c r="P58" s="75">
        <f>(N58-F58)/F58</f>
        <v>0.41884175675060886</v>
      </c>
      <c r="Q58" s="74"/>
      <c r="R58" s="74"/>
      <c r="S58" s="74"/>
      <c r="T58" s="74"/>
      <c r="U58" s="74"/>
      <c r="V58" s="74"/>
      <c r="W58" s="74"/>
      <c r="X58" s="74"/>
    </row>
    <row r="59" spans="2:27" ht="15.5">
      <c r="B59" s="55"/>
      <c r="C59" s="56">
        <v>2</v>
      </c>
      <c r="D59" s="4112">
        <v>0</v>
      </c>
      <c r="E59" s="4116"/>
      <c r="F59" s="4117">
        <v>3.5250287804622114E-6</v>
      </c>
      <c r="G59" s="4117">
        <f t="shared" si="3"/>
        <v>3.5250287804622114E-6</v>
      </c>
      <c r="H59" s="4118">
        <f t="shared" si="3"/>
        <v>3.5250287804622114E-6</v>
      </c>
      <c r="I59" s="4118">
        <f t="shared" si="3"/>
        <v>3.5250287804622114E-6</v>
      </c>
      <c r="J59" s="4118">
        <f t="shared" si="3"/>
        <v>3.5250287804622114E-6</v>
      </c>
      <c r="K59" s="4118">
        <f t="shared" si="3"/>
        <v>3.5250287804622114E-6</v>
      </c>
      <c r="L59" s="4118">
        <f t="shared" si="3"/>
        <v>3.5250287804622114E-6</v>
      </c>
      <c r="M59" s="4118">
        <f t="shared" si="3"/>
        <v>3.5250287804622114E-6</v>
      </c>
      <c r="N59" s="4118">
        <f t="shared" si="3"/>
        <v>3.5250287804622114E-6</v>
      </c>
      <c r="O59" s="46"/>
      <c r="P59" s="75">
        <f>(N59-F59)/F59</f>
        <v>0</v>
      </c>
      <c r="Q59" s="77"/>
      <c r="R59" s="77"/>
      <c r="S59" s="77"/>
      <c r="T59" s="77"/>
      <c r="U59" s="77"/>
      <c r="V59" s="77"/>
      <c r="W59" s="77"/>
      <c r="X59" s="77"/>
    </row>
    <row r="60" spans="2:27" ht="15.5">
      <c r="B60" s="55"/>
      <c r="C60" s="56">
        <v>3</v>
      </c>
      <c r="D60" s="4112">
        <v>-6.7000000000000002E-3</v>
      </c>
      <c r="E60" s="4113"/>
      <c r="F60" s="4117">
        <v>3.5250287804622114E-6</v>
      </c>
      <c r="G60" s="4117">
        <f t="shared" si="3"/>
        <v>3.4779516333459725E-6</v>
      </c>
      <c r="H60" s="4118">
        <f t="shared" si="3"/>
        <v>3.3629910807207751E-6</v>
      </c>
      <c r="I60" s="4118">
        <f t="shared" si="3"/>
        <v>3.2518304454185153E-6</v>
      </c>
      <c r="J60" s="4118">
        <f t="shared" si="3"/>
        <v>3.1443441246012508E-6</v>
      </c>
      <c r="K60" s="4118">
        <f t="shared" si="3"/>
        <v>3.040410667119499E-6</v>
      </c>
      <c r="L60" s="4118">
        <f t="shared" si="3"/>
        <v>2.9399126362819227E-6</v>
      </c>
      <c r="M60" s="4118">
        <f t="shared" si="3"/>
        <v>2.8427364771610375E-6</v>
      </c>
      <c r="N60" s="4118">
        <f t="shared" si="3"/>
        <v>2.7487723882850118E-6</v>
      </c>
      <c r="O60" s="46"/>
      <c r="P60" s="75">
        <f>(N60-F60)/F60</f>
        <v>-0.22021278137633099</v>
      </c>
      <c r="Q60" s="77"/>
      <c r="R60" s="77"/>
      <c r="S60" s="77"/>
      <c r="T60" s="77"/>
      <c r="U60" s="77"/>
      <c r="V60" s="77"/>
      <c r="W60" s="77"/>
      <c r="X60" s="77"/>
    </row>
    <row r="61" spans="2:27" ht="15.5">
      <c r="B61" s="55"/>
      <c r="C61" s="61">
        <v>4</v>
      </c>
      <c r="D61" s="4119">
        <v>-1.6E-2</v>
      </c>
      <c r="E61" s="4120"/>
      <c r="F61" s="4121">
        <v>3.5250287804622114E-6</v>
      </c>
      <c r="G61" s="4121">
        <f t="shared" si="3"/>
        <v>3.413130266855219E-6</v>
      </c>
      <c r="H61" s="4122">
        <f t="shared" si="3"/>
        <v>3.1486787720098198E-6</v>
      </c>
      <c r="I61" s="4122">
        <f t="shared" si="3"/>
        <v>2.9047171464803088E-6</v>
      </c>
      <c r="J61" s="4122">
        <f t="shared" si="3"/>
        <v>2.6796578222144518E-6</v>
      </c>
      <c r="K61" s="4122">
        <f t="shared" si="3"/>
        <v>2.4720362369382168E-6</v>
      </c>
      <c r="L61" s="4122">
        <f t="shared" si="3"/>
        <v>2.2805013035901725E-6</v>
      </c>
      <c r="M61" s="4122">
        <f t="shared" si="3"/>
        <v>2.1038066181901425E-6</v>
      </c>
      <c r="N61" s="4122">
        <f t="shared" si="3"/>
        <v>1.9408023489277685E-6</v>
      </c>
      <c r="O61" s="46"/>
      <c r="P61" s="75">
        <f>(N61-F61)/F61</f>
        <v>-0.44942226863938251</v>
      </c>
      <c r="Q61" s="77"/>
      <c r="R61" s="77"/>
      <c r="S61" s="77"/>
      <c r="T61" s="77"/>
      <c r="U61" s="77"/>
      <c r="V61" s="77"/>
      <c r="W61" s="77"/>
      <c r="X61" s="77"/>
    </row>
    <row r="62" spans="2:27" ht="15.5">
      <c r="B62" s="55"/>
      <c r="C62" s="63" t="s">
        <v>35</v>
      </c>
      <c r="D62" s="4123"/>
      <c r="E62" s="4123"/>
      <c r="F62" s="4124">
        <f>F59</f>
        <v>3.5250287804622114E-6</v>
      </c>
      <c r="G62" s="4124">
        <f t="shared" ref="G62:N62" si="4">G59</f>
        <v>3.5250287804622114E-6</v>
      </c>
      <c r="H62" s="4124">
        <f t="shared" si="4"/>
        <v>3.5250287804622114E-6</v>
      </c>
      <c r="I62" s="4124">
        <f t="shared" si="4"/>
        <v>3.5250287804622114E-6</v>
      </c>
      <c r="J62" s="4124">
        <f t="shared" si="4"/>
        <v>3.5250287804622114E-6</v>
      </c>
      <c r="K62" s="4124">
        <f t="shared" si="4"/>
        <v>3.5250287804622114E-6</v>
      </c>
      <c r="L62" s="4124">
        <f t="shared" si="4"/>
        <v>3.5250287804622114E-6</v>
      </c>
      <c r="M62" s="4124">
        <f t="shared" si="4"/>
        <v>3.5250287804622114E-6</v>
      </c>
      <c r="N62" s="4124">
        <f t="shared" si="4"/>
        <v>3.5250287804622114E-6</v>
      </c>
      <c r="O62" s="46"/>
      <c r="P62" s="46"/>
      <c r="Q62" s="60"/>
      <c r="R62" s="60"/>
      <c r="S62" s="60"/>
      <c r="T62" s="60"/>
      <c r="U62" s="60"/>
      <c r="V62" s="60"/>
      <c r="W62" s="60"/>
      <c r="X62" s="60"/>
    </row>
    <row r="63" spans="2:27" ht="15.5">
      <c r="B63" s="55"/>
      <c r="C63" s="65"/>
      <c r="D63" s="57"/>
      <c r="E63" s="57"/>
      <c r="F63" s="59"/>
      <c r="G63" s="66"/>
      <c r="H63" s="66"/>
      <c r="I63" s="66"/>
      <c r="J63" s="66"/>
      <c r="K63" s="66"/>
      <c r="L63" s="66"/>
      <c r="M63" s="66"/>
      <c r="N63" s="66"/>
      <c r="O63" s="66"/>
      <c r="P63" s="46"/>
      <c r="Q63" s="80"/>
      <c r="R63" s="80"/>
      <c r="S63" s="80"/>
      <c r="T63" s="80"/>
      <c r="U63" s="80"/>
      <c r="V63" s="80"/>
      <c r="W63" s="80"/>
      <c r="X63" s="80"/>
      <c r="AA63" s="81"/>
    </row>
    <row r="64" spans="2:27" ht="15.5">
      <c r="B64" s="55"/>
      <c r="C64" s="49" t="s">
        <v>3028</v>
      </c>
      <c r="D64" s="46"/>
      <c r="E64" s="50"/>
      <c r="F64" s="82"/>
      <c r="G64" s="67" t="s">
        <v>5</v>
      </c>
      <c r="H64" s="46"/>
      <c r="I64" s="46"/>
      <c r="J64" s="46"/>
      <c r="K64" s="46"/>
      <c r="L64" s="46"/>
      <c r="M64" s="46"/>
      <c r="N64" s="51" t="s">
        <v>41</v>
      </c>
      <c r="O64" s="50"/>
      <c r="P64" s="46"/>
      <c r="Q64" s="46"/>
      <c r="R64" s="46"/>
      <c r="S64" s="46"/>
      <c r="T64" s="46"/>
      <c r="U64" s="46"/>
      <c r="V64" s="46"/>
      <c r="W64" s="46"/>
      <c r="X64" s="46"/>
    </row>
    <row r="65" spans="2:27" ht="15.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5">
      <c r="B67" s="55"/>
      <c r="C67" s="56">
        <v>1</v>
      </c>
      <c r="D67" s="83"/>
      <c r="E67" s="57"/>
      <c r="F67" s="68">
        <v>7.0000000000000021E-2</v>
      </c>
      <c r="G67" s="68">
        <v>8.2500000000000018E-2</v>
      </c>
      <c r="H67" s="68">
        <v>9.5000000000000015E-2</v>
      </c>
      <c r="I67" s="68">
        <v>0.10750000000000001</v>
      </c>
      <c r="J67" s="68">
        <v>0.12000000000000001</v>
      </c>
      <c r="K67" s="68">
        <v>0.13250000000000001</v>
      </c>
      <c r="L67" s="68">
        <v>0.14500000000000002</v>
      </c>
      <c r="M67" s="68">
        <v>0.1575</v>
      </c>
      <c r="N67" s="68">
        <v>0.17</v>
      </c>
      <c r="O67" s="46"/>
      <c r="P67" s="46"/>
      <c r="Q67" s="59"/>
      <c r="R67" s="59"/>
      <c r="S67" s="59"/>
      <c r="T67" s="59"/>
      <c r="U67" s="59"/>
      <c r="V67" s="59"/>
      <c r="W67" s="59"/>
      <c r="X67" s="59"/>
      <c r="Y67" s="38"/>
      <c r="Z67" s="38"/>
      <c r="AA67" s="38"/>
    </row>
    <row r="68" spans="2:27" ht="15.5">
      <c r="B68" s="55"/>
      <c r="C68" s="56">
        <v>2</v>
      </c>
      <c r="D68" s="57"/>
      <c r="E68" s="57"/>
      <c r="F68" s="68">
        <v>7.0000000000000034E-2</v>
      </c>
      <c r="G68" s="68">
        <v>9.9999999999999922E-2</v>
      </c>
      <c r="H68" s="68">
        <v>0.15714285714285708</v>
      </c>
      <c r="I68" s="68">
        <v>0.21428571428571425</v>
      </c>
      <c r="J68" s="68">
        <v>0.27142857142857141</v>
      </c>
      <c r="K68" s="68">
        <v>0.32857142857142857</v>
      </c>
      <c r="L68" s="68">
        <v>0.38571428571428573</v>
      </c>
      <c r="M68" s="68">
        <v>0.44285714285714289</v>
      </c>
      <c r="N68" s="68">
        <v>0.5</v>
      </c>
      <c r="O68" s="46"/>
      <c r="P68" s="46"/>
      <c r="Q68" s="59"/>
      <c r="R68" s="59"/>
      <c r="S68" s="59"/>
      <c r="T68" s="59"/>
      <c r="U68" s="59"/>
      <c r="V68" s="59"/>
      <c r="W68" s="59"/>
      <c r="X68" s="59"/>
      <c r="Y68" s="38"/>
      <c r="Z68" s="38"/>
      <c r="AA68" s="38"/>
    </row>
    <row r="69" spans="2:27" ht="15.5">
      <c r="B69" s="55"/>
      <c r="C69" s="56">
        <v>3</v>
      </c>
      <c r="D69" s="57"/>
      <c r="E69" s="57"/>
      <c r="F69" s="68">
        <v>7.000000000000009E-2</v>
      </c>
      <c r="G69" s="68">
        <v>0.11999999999999988</v>
      </c>
      <c r="H69" s="68">
        <v>0.20000000000000007</v>
      </c>
      <c r="I69" s="68">
        <v>0.27500000000000002</v>
      </c>
      <c r="J69" s="68">
        <v>0.35000000000000003</v>
      </c>
      <c r="K69" s="68">
        <v>0.42500000000000004</v>
      </c>
      <c r="L69" s="68">
        <v>0.5</v>
      </c>
      <c r="M69" s="68">
        <v>0.57499999999999996</v>
      </c>
      <c r="N69" s="68">
        <v>0.65000000000000013</v>
      </c>
      <c r="O69" s="46"/>
      <c r="P69" s="46"/>
      <c r="Q69" s="59"/>
      <c r="R69" s="59"/>
      <c r="S69" s="59"/>
      <c r="T69" s="59"/>
      <c r="U69" s="59"/>
      <c r="V69" s="59"/>
      <c r="W69" s="59"/>
      <c r="X69" s="59"/>
      <c r="Y69" s="38"/>
      <c r="Z69" s="38"/>
      <c r="AA69" s="38"/>
    </row>
    <row r="70" spans="2:27" ht="15.5">
      <c r="B70" s="55"/>
      <c r="C70" s="61">
        <v>4</v>
      </c>
      <c r="D70" s="62"/>
      <c r="E70" s="62"/>
      <c r="F70" s="68">
        <v>7.0000000000000132E-2</v>
      </c>
      <c r="G70" s="68">
        <v>0.11999999999999991</v>
      </c>
      <c r="H70" s="68">
        <v>0.2</v>
      </c>
      <c r="I70" s="68">
        <v>0.3</v>
      </c>
      <c r="J70" s="68">
        <v>0.4</v>
      </c>
      <c r="K70" s="68">
        <v>0.5</v>
      </c>
      <c r="L70" s="68">
        <v>0.6</v>
      </c>
      <c r="M70" s="68">
        <v>0.7</v>
      </c>
      <c r="N70" s="68">
        <v>0.8</v>
      </c>
      <c r="O70" s="46"/>
      <c r="P70" s="46"/>
      <c r="Q70" s="59"/>
      <c r="R70" s="59"/>
      <c r="S70" s="59"/>
      <c r="T70" s="59"/>
      <c r="U70" s="59"/>
      <c r="V70" s="59"/>
      <c r="W70" s="59"/>
      <c r="X70" s="59"/>
      <c r="Y70" s="38"/>
      <c r="Z70" s="38"/>
      <c r="AA70" s="38"/>
    </row>
    <row r="71" spans="2:27" ht="15.5">
      <c r="B71" s="55"/>
      <c r="C71" s="69" t="s">
        <v>37</v>
      </c>
      <c r="D71" s="64"/>
      <c r="E71" s="64"/>
      <c r="F71" s="70">
        <f t="shared" ref="F71:N71" si="5">(INDEX(F$67:F$70,ROUNDDOWN($E$9,0))*(1-MOD($E$9,1)))+(INDEX(F$67:F$70,ROUNDUP($E$9,0))*MOD($E$9,1))</f>
        <v>7.0000000000000021E-2</v>
      </c>
      <c r="G71" s="70">
        <f t="shared" si="5"/>
        <v>8.2500000000000018E-2</v>
      </c>
      <c r="H71" s="70">
        <f t="shared" si="5"/>
        <v>9.5000000000000015E-2</v>
      </c>
      <c r="I71" s="70">
        <f t="shared" si="5"/>
        <v>0.10750000000000001</v>
      </c>
      <c r="J71" s="70">
        <f t="shared" si="5"/>
        <v>0.12000000000000001</v>
      </c>
      <c r="K71" s="70">
        <f t="shared" si="5"/>
        <v>0.13250000000000001</v>
      </c>
      <c r="L71" s="70">
        <f t="shared" si="5"/>
        <v>0.14500000000000002</v>
      </c>
      <c r="M71" s="70">
        <f t="shared" si="5"/>
        <v>0.1575</v>
      </c>
      <c r="N71" s="70">
        <f t="shared" si="5"/>
        <v>0.17</v>
      </c>
      <c r="O71" s="46"/>
      <c r="P71" s="46"/>
      <c r="Q71" s="60"/>
      <c r="R71" s="60"/>
      <c r="S71" s="60"/>
      <c r="T71" s="60"/>
      <c r="U71" s="60"/>
      <c r="V71" s="60"/>
      <c r="W71" s="60"/>
      <c r="X71" s="60"/>
      <c r="Y71" s="38"/>
      <c r="Z71" s="38"/>
      <c r="AA71" s="38"/>
    </row>
    <row r="72" spans="2:27" ht="15.5">
      <c r="B72" s="55"/>
      <c r="C72" s="65"/>
      <c r="D72" s="57"/>
      <c r="E72" s="57"/>
      <c r="F72" s="59"/>
      <c r="G72" s="66"/>
      <c r="H72" s="66"/>
      <c r="I72" s="1217" t="s">
        <v>5</v>
      </c>
      <c r="J72" s="66"/>
      <c r="K72" s="66"/>
      <c r="L72" s="66"/>
      <c r="M72" s="66"/>
      <c r="N72" s="66"/>
      <c r="O72" s="66"/>
      <c r="P72" s="46"/>
      <c r="Q72" s="66"/>
      <c r="R72" s="66"/>
      <c r="S72" s="66"/>
      <c r="T72" s="66"/>
      <c r="U72" s="66"/>
      <c r="V72" s="66"/>
      <c r="W72" s="66"/>
      <c r="X72" s="66"/>
      <c r="Y72" s="39"/>
      <c r="Z72" s="38"/>
      <c r="AA72" s="38"/>
    </row>
    <row r="73" spans="2:27" ht="15.5">
      <c r="B73" s="55"/>
      <c r="C73" s="84" t="s">
        <v>3029</v>
      </c>
      <c r="D73" s="57"/>
      <c r="E73" s="85"/>
      <c r="F73" s="59"/>
      <c r="G73" s="66"/>
      <c r="H73" s="66"/>
      <c r="I73" s="66"/>
      <c r="J73" s="66"/>
      <c r="K73" s="66"/>
      <c r="L73" s="66"/>
      <c r="M73" s="66"/>
      <c r="N73" s="66"/>
      <c r="O73" s="85"/>
      <c r="P73" s="85"/>
      <c r="Q73" s="85"/>
      <c r="R73" s="85"/>
      <c r="S73" s="85"/>
      <c r="T73" s="85"/>
      <c r="U73" s="85"/>
      <c r="V73" s="85"/>
      <c r="W73" s="85"/>
      <c r="X73" s="85"/>
      <c r="Y73" s="38"/>
      <c r="Z73" s="38"/>
      <c r="AA73" s="38"/>
    </row>
    <row r="74" spans="2:27" ht="15.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5">
      <c r="B75" s="55"/>
      <c r="C75" s="52" t="s">
        <v>43</v>
      </c>
      <c r="D75" s="52" t="s">
        <v>44</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86"/>
      <c r="V75" s="86"/>
      <c r="W75" s="86"/>
      <c r="X75" s="86"/>
      <c r="Y75" s="38"/>
      <c r="Z75" s="38"/>
      <c r="AA75" s="38"/>
    </row>
    <row r="76" spans="2:27" ht="15.5">
      <c r="B76" s="55"/>
      <c r="C76" s="56">
        <v>1</v>
      </c>
      <c r="D76" s="1255" t="s">
        <v>45</v>
      </c>
      <c r="E76" s="88"/>
      <c r="F76" s="89"/>
      <c r="G76" s="89"/>
      <c r="H76" s="88"/>
      <c r="I76" s="89"/>
      <c r="J76" s="88"/>
      <c r="K76" s="89"/>
      <c r="L76" s="89"/>
      <c r="M76" s="89"/>
      <c r="N76" s="89"/>
      <c r="O76" s="89"/>
      <c r="P76" s="89"/>
      <c r="Q76" s="89"/>
      <c r="R76" s="89"/>
      <c r="S76" s="89"/>
      <c r="T76" s="89"/>
      <c r="U76" s="90"/>
      <c r="V76" s="90"/>
      <c r="W76" s="90"/>
      <c r="X76" s="90"/>
      <c r="Y76" s="38"/>
      <c r="Z76" s="38"/>
      <c r="AA76" s="38"/>
    </row>
    <row r="77" spans="2:27" ht="15.5">
      <c r="B77" s="55"/>
      <c r="C77" s="56">
        <v>2</v>
      </c>
      <c r="D77" s="57" t="s">
        <v>46</v>
      </c>
      <c r="E77" s="88">
        <v>0.9</v>
      </c>
      <c r="F77" s="89">
        <v>0.15</v>
      </c>
      <c r="G77" s="89">
        <v>0.25</v>
      </c>
      <c r="H77" s="88">
        <v>0.8</v>
      </c>
      <c r="I77" s="89"/>
      <c r="J77" s="88"/>
      <c r="K77" s="89"/>
      <c r="L77" s="89"/>
      <c r="M77" s="91">
        <v>0.2</v>
      </c>
      <c r="N77" s="89">
        <v>1E-3</v>
      </c>
      <c r="O77" s="89"/>
      <c r="P77" s="91"/>
      <c r="Q77" s="91">
        <v>0.2</v>
      </c>
      <c r="R77" s="91"/>
      <c r="S77" s="89"/>
      <c r="T77" s="89"/>
      <c r="U77" s="90"/>
      <c r="V77" s="90"/>
      <c r="W77" s="90"/>
      <c r="X77" s="90"/>
      <c r="Y77" s="38"/>
      <c r="Z77" s="38"/>
      <c r="AA77" s="38"/>
    </row>
    <row r="78" spans="2:27" ht="15.5">
      <c r="B78" s="55"/>
      <c r="C78" s="56">
        <v>3</v>
      </c>
      <c r="D78" s="57" t="s">
        <v>47</v>
      </c>
      <c r="E78" s="88">
        <v>0.1</v>
      </c>
      <c r="F78" s="89"/>
      <c r="G78" s="89"/>
      <c r="H78" s="88">
        <v>0.1</v>
      </c>
      <c r="I78" s="89"/>
      <c r="J78" s="88"/>
      <c r="K78" s="89"/>
      <c r="L78" s="89">
        <v>0.15</v>
      </c>
      <c r="M78" s="89">
        <v>0.1</v>
      </c>
      <c r="N78" s="89"/>
      <c r="O78" s="89"/>
      <c r="P78" s="89"/>
      <c r="Q78" s="89"/>
      <c r="R78" s="89"/>
      <c r="S78" s="89"/>
      <c r="T78" s="89"/>
      <c r="U78" s="90"/>
      <c r="V78" s="90"/>
      <c r="W78" s="90"/>
      <c r="X78" s="90"/>
      <c r="Y78" s="38"/>
      <c r="Z78" s="38"/>
      <c r="AA78" s="38"/>
    </row>
    <row r="79" spans="2:27" ht="15.5">
      <c r="B79" s="55"/>
      <c r="C79" s="56">
        <v>4</v>
      </c>
      <c r="D79" s="57" t="s">
        <v>48</v>
      </c>
      <c r="E79" s="88"/>
      <c r="F79" s="89">
        <v>0.1</v>
      </c>
      <c r="G79" s="89" t="s">
        <v>5</v>
      </c>
      <c r="H79" s="88"/>
      <c r="I79" s="89"/>
      <c r="J79" s="88"/>
      <c r="K79" s="89"/>
      <c r="L79" s="89"/>
      <c r="M79" s="89"/>
      <c r="N79" s="89"/>
      <c r="O79" s="89">
        <v>1E-3</v>
      </c>
      <c r="P79" s="91">
        <v>0.2</v>
      </c>
      <c r="Q79" s="89"/>
      <c r="R79" s="89"/>
      <c r="S79" s="89"/>
      <c r="T79" s="91">
        <v>0.17</v>
      </c>
      <c r="U79" s="90"/>
      <c r="V79" s="90"/>
      <c r="W79" s="90"/>
      <c r="X79" s="90"/>
    </row>
    <row r="80" spans="2:27" ht="15.5">
      <c r="B80" s="55"/>
      <c r="C80" s="56">
        <v>5</v>
      </c>
      <c r="D80" s="57" t="s">
        <v>49</v>
      </c>
      <c r="E80" s="88"/>
      <c r="F80" s="89"/>
      <c r="G80" s="89"/>
      <c r="H80" s="88" t="s">
        <v>5</v>
      </c>
      <c r="I80" s="91">
        <v>0.3</v>
      </c>
      <c r="J80" s="89">
        <v>0.4</v>
      </c>
      <c r="K80" s="89"/>
      <c r="L80" s="89"/>
      <c r="M80" s="89"/>
      <c r="N80" s="89">
        <v>0.2</v>
      </c>
      <c r="O80" s="89">
        <v>0.1</v>
      </c>
      <c r="P80" s="89">
        <v>0.1</v>
      </c>
      <c r="Q80" s="89">
        <v>0.1</v>
      </c>
      <c r="R80" s="89">
        <v>0.3</v>
      </c>
      <c r="S80" s="89">
        <v>0.15</v>
      </c>
      <c r="T80" s="89">
        <v>0.05</v>
      </c>
      <c r="U80" s="90"/>
      <c r="V80" s="90"/>
      <c r="W80" s="90"/>
      <c r="X80" s="90"/>
    </row>
    <row r="81" spans="2:24" ht="15.5">
      <c r="B81" s="55"/>
      <c r="C81" s="56">
        <v>6</v>
      </c>
      <c r="D81" s="1255" t="s">
        <v>50</v>
      </c>
      <c r="E81" s="88"/>
      <c r="F81" s="89"/>
      <c r="G81" s="91"/>
      <c r="H81" s="88"/>
      <c r="I81" s="91"/>
      <c r="J81" s="91"/>
      <c r="K81" s="91"/>
      <c r="L81" s="91"/>
      <c r="M81" s="91"/>
      <c r="N81" s="91"/>
      <c r="O81" s="91"/>
      <c r="P81" s="91"/>
      <c r="Q81" s="91"/>
      <c r="R81" s="91"/>
      <c r="S81" s="91"/>
      <c r="T81" s="91"/>
      <c r="U81" s="92"/>
      <c r="V81" s="92"/>
      <c r="W81" s="92"/>
      <c r="X81" s="92"/>
    </row>
    <row r="82" spans="2:24" ht="15.5">
      <c r="B82" s="55"/>
      <c r="C82" s="56">
        <v>7</v>
      </c>
      <c r="D82" s="1255" t="s">
        <v>51</v>
      </c>
      <c r="E82" s="88"/>
      <c r="F82" s="89"/>
      <c r="G82" s="91"/>
      <c r="H82" s="88"/>
      <c r="I82" s="91"/>
      <c r="J82" s="91"/>
      <c r="K82" s="91"/>
      <c r="L82" s="91"/>
      <c r="M82" s="91"/>
      <c r="N82" s="91"/>
      <c r="O82" s="91"/>
      <c r="P82" s="91"/>
      <c r="Q82" s="91"/>
      <c r="R82" s="91"/>
      <c r="S82" s="91"/>
      <c r="T82" s="91"/>
      <c r="U82" s="92"/>
      <c r="V82" s="92"/>
      <c r="W82" s="92"/>
      <c r="X82" s="92"/>
    </row>
    <row r="83" spans="2:24" ht="15.5">
      <c r="B83" s="55"/>
      <c r="C83" s="56">
        <v>8</v>
      </c>
      <c r="D83" s="57" t="s">
        <v>52</v>
      </c>
      <c r="E83" s="88"/>
      <c r="F83" s="89">
        <v>0.5</v>
      </c>
      <c r="G83" s="91">
        <v>0.55000000000000004</v>
      </c>
      <c r="H83" s="88">
        <v>0.05</v>
      </c>
      <c r="I83" s="91">
        <v>0.45</v>
      </c>
      <c r="J83" s="91"/>
      <c r="K83" s="91">
        <v>0.57999999999999996</v>
      </c>
      <c r="L83" s="91">
        <v>0.45</v>
      </c>
      <c r="M83" s="91"/>
      <c r="N83" s="91">
        <v>0.18</v>
      </c>
      <c r="O83" s="91">
        <v>0.25</v>
      </c>
      <c r="P83" s="91"/>
      <c r="Q83" s="91"/>
      <c r="R83" s="91"/>
      <c r="S83" s="91">
        <v>0.14000000000000001</v>
      </c>
      <c r="T83" s="91"/>
      <c r="U83" s="92"/>
      <c r="V83" s="92"/>
      <c r="W83" s="92"/>
      <c r="X83" s="92"/>
    </row>
    <row r="84" spans="2:24" ht="15.5">
      <c r="B84" s="55"/>
      <c r="C84" s="56">
        <v>9</v>
      </c>
      <c r="D84" s="57" t="s">
        <v>53</v>
      </c>
      <c r="E84" s="88"/>
      <c r="F84" s="89">
        <v>0.25</v>
      </c>
      <c r="G84" s="91">
        <v>0.2</v>
      </c>
      <c r="H84" s="88">
        <v>0.05</v>
      </c>
      <c r="I84" s="91">
        <v>0.25</v>
      </c>
      <c r="J84" s="91">
        <v>0.2</v>
      </c>
      <c r="K84" s="91">
        <v>0.3</v>
      </c>
      <c r="L84" s="91">
        <v>0.25</v>
      </c>
      <c r="M84" s="91">
        <v>0.3</v>
      </c>
      <c r="N84" s="91">
        <v>0.3</v>
      </c>
      <c r="O84" s="91">
        <v>0.25</v>
      </c>
      <c r="P84" s="91"/>
      <c r="Q84" s="91"/>
      <c r="R84" s="91"/>
      <c r="S84" s="91">
        <v>0.2</v>
      </c>
      <c r="T84" s="91">
        <v>0.25</v>
      </c>
      <c r="U84" s="92"/>
      <c r="V84" s="92"/>
      <c r="W84" s="92"/>
      <c r="X84" s="92"/>
    </row>
    <row r="85" spans="2:24" ht="15.5">
      <c r="B85" s="55"/>
      <c r="C85" s="56">
        <v>10</v>
      </c>
      <c r="D85" s="1255" t="s">
        <v>54</v>
      </c>
      <c r="E85" s="88"/>
      <c r="F85" s="89"/>
      <c r="G85" s="91"/>
      <c r="H85" s="88"/>
      <c r="I85" s="73"/>
      <c r="J85" s="91"/>
      <c r="K85" s="91"/>
      <c r="L85" s="91"/>
      <c r="M85" s="91"/>
      <c r="N85" s="91"/>
      <c r="O85" s="91"/>
      <c r="P85" s="91"/>
      <c r="Q85" s="91"/>
      <c r="R85" s="91"/>
      <c r="S85" s="91"/>
      <c r="T85" s="91"/>
      <c r="U85" s="92"/>
      <c r="V85" s="92"/>
      <c r="W85" s="92"/>
      <c r="X85" s="92"/>
    </row>
    <row r="86" spans="2:24" ht="15.5">
      <c r="B86" s="55"/>
      <c r="C86" s="56">
        <v>11</v>
      </c>
      <c r="D86" s="57" t="s">
        <v>55</v>
      </c>
      <c r="E86" s="88"/>
      <c r="F86" s="89"/>
      <c r="G86" s="91" t="s">
        <v>5</v>
      </c>
      <c r="H86" s="88"/>
      <c r="I86" s="91"/>
      <c r="J86" s="91"/>
      <c r="K86" s="91"/>
      <c r="L86" s="91"/>
      <c r="M86" s="91">
        <v>0.33</v>
      </c>
      <c r="N86" s="91"/>
      <c r="O86" s="91">
        <v>0.13</v>
      </c>
      <c r="P86" s="91">
        <v>0.3</v>
      </c>
      <c r="Q86" s="91">
        <v>0.24</v>
      </c>
      <c r="R86" s="91"/>
      <c r="S86" s="91">
        <v>0.15</v>
      </c>
      <c r="T86" s="91">
        <v>0.23</v>
      </c>
      <c r="U86" s="92"/>
      <c r="V86" s="92"/>
      <c r="W86" s="92"/>
      <c r="X86" s="92"/>
    </row>
    <row r="87" spans="2:24" ht="15.5">
      <c r="B87" s="55"/>
      <c r="C87" s="56">
        <v>12</v>
      </c>
      <c r="D87" s="57" t="s">
        <v>56</v>
      </c>
      <c r="E87" s="88"/>
      <c r="F87" s="89"/>
      <c r="G87" s="91"/>
      <c r="H87" s="88"/>
      <c r="I87" s="91"/>
      <c r="J87" s="91">
        <v>0.4</v>
      </c>
      <c r="K87" s="91"/>
      <c r="L87" s="91"/>
      <c r="M87" s="91"/>
      <c r="N87" s="91">
        <v>0.25</v>
      </c>
      <c r="O87" s="91">
        <v>0.2</v>
      </c>
      <c r="P87" s="91">
        <v>0.33</v>
      </c>
      <c r="Q87" s="91">
        <v>0.35</v>
      </c>
      <c r="R87" s="91">
        <v>0.63</v>
      </c>
      <c r="S87" s="91">
        <v>0.25</v>
      </c>
      <c r="T87" s="91">
        <v>0.23</v>
      </c>
      <c r="U87" s="92"/>
      <c r="V87" s="92"/>
      <c r="W87" s="92"/>
      <c r="X87" s="92"/>
    </row>
    <row r="88" spans="2:24" ht="15.5">
      <c r="B88" s="55"/>
      <c r="C88" s="61">
        <v>13</v>
      </c>
      <c r="D88" s="62" t="s">
        <v>57</v>
      </c>
      <c r="E88" s="93"/>
      <c r="F88" s="94"/>
      <c r="G88" s="95"/>
      <c r="H88" s="93"/>
      <c r="I88" s="95"/>
      <c r="J88" s="93"/>
      <c r="K88" s="95">
        <v>0.12</v>
      </c>
      <c r="L88" s="95">
        <v>0.15</v>
      </c>
      <c r="M88" s="95">
        <v>7.0000000000000007E-2</v>
      </c>
      <c r="N88" s="95">
        <v>7.0000000000000007E-2</v>
      </c>
      <c r="O88" s="95">
        <v>7.0000000000000007E-2</v>
      </c>
      <c r="P88" s="95">
        <v>7.0000000000000007E-2</v>
      </c>
      <c r="Q88" s="95">
        <v>0.11</v>
      </c>
      <c r="R88" s="95">
        <v>7.0000000000000007E-2</v>
      </c>
      <c r="S88" s="95">
        <v>0.11</v>
      </c>
      <c r="T88" s="95">
        <v>7.0000000000000007E-2</v>
      </c>
      <c r="U88" s="92"/>
      <c r="V88" s="92"/>
      <c r="W88" s="92"/>
      <c r="X88" s="92"/>
    </row>
    <row r="89" spans="2:24" ht="15.5">
      <c r="B89" s="55"/>
      <c r="C89" s="96"/>
      <c r="D89" s="64" t="s">
        <v>58</v>
      </c>
      <c r="E89" s="97">
        <f t="shared" ref="E89:S89" si="6">SUM(E76:E88)</f>
        <v>1</v>
      </c>
      <c r="F89" s="97">
        <f t="shared" si="6"/>
        <v>1</v>
      </c>
      <c r="G89" s="97">
        <f t="shared" si="6"/>
        <v>1</v>
      </c>
      <c r="H89" s="97">
        <f t="shared" si="6"/>
        <v>1</v>
      </c>
      <c r="I89" s="97">
        <f t="shared" si="6"/>
        <v>1</v>
      </c>
      <c r="J89" s="97">
        <f t="shared" si="6"/>
        <v>1</v>
      </c>
      <c r="K89" s="97">
        <f t="shared" si="6"/>
        <v>0.99999999999999989</v>
      </c>
      <c r="L89" s="97">
        <f t="shared" si="6"/>
        <v>1</v>
      </c>
      <c r="M89" s="97">
        <f t="shared" si="6"/>
        <v>1.0000000000000002</v>
      </c>
      <c r="N89" s="97">
        <f t="shared" si="6"/>
        <v>1.0010000000000001</v>
      </c>
      <c r="O89" s="97">
        <f t="shared" si="6"/>
        <v>1.0010000000000001</v>
      </c>
      <c r="P89" s="97">
        <f t="shared" si="6"/>
        <v>1.0000000000000002</v>
      </c>
      <c r="Q89" s="97">
        <f t="shared" si="6"/>
        <v>1</v>
      </c>
      <c r="R89" s="97">
        <f t="shared" si="6"/>
        <v>1</v>
      </c>
      <c r="S89" s="97">
        <f t="shared" si="6"/>
        <v>1</v>
      </c>
      <c r="T89" s="88">
        <f>SUM(T76:T88)</f>
        <v>1</v>
      </c>
      <c r="U89" s="98"/>
      <c r="V89" s="98"/>
      <c r="W89" s="98"/>
      <c r="X89" s="98"/>
    </row>
    <row r="90" spans="2:24" ht="15.5">
      <c r="B90" s="55"/>
      <c r="C90" s="57"/>
      <c r="D90" s="57"/>
      <c r="E90" s="57"/>
      <c r="F90" s="57"/>
      <c r="G90" s="88"/>
      <c r="H90" s="88"/>
      <c r="I90" s="88"/>
      <c r="J90" s="88"/>
      <c r="K90" s="88"/>
      <c r="L90" s="88"/>
      <c r="M90" s="88"/>
      <c r="N90" s="88"/>
      <c r="O90" s="88"/>
      <c r="P90" s="88"/>
      <c r="Q90" s="88"/>
      <c r="R90" s="88"/>
      <c r="S90" s="88"/>
      <c r="T90" s="88"/>
      <c r="U90" s="88"/>
      <c r="V90" s="88"/>
      <c r="W90" s="88"/>
      <c r="X90" s="3804"/>
    </row>
    <row r="91" spans="2:24" ht="15.5">
      <c r="B91" s="55"/>
      <c r="C91" s="84" t="s">
        <v>3409</v>
      </c>
      <c r="D91" s="57"/>
      <c r="E91" s="57"/>
      <c r="F91" s="88"/>
      <c r="G91" s="88"/>
      <c r="H91" s="88"/>
      <c r="I91" s="88"/>
      <c r="J91" s="88" t="s">
        <v>5</v>
      </c>
      <c r="K91" s="88"/>
      <c r="L91" s="88"/>
      <c r="M91" s="88"/>
      <c r="N91" s="88" t="s">
        <v>5</v>
      </c>
      <c r="O91" s="88"/>
      <c r="P91" s="46"/>
      <c r="Q91" s="46"/>
      <c r="R91" s="46"/>
      <c r="S91" s="46"/>
      <c r="T91" s="46"/>
      <c r="U91" s="46"/>
      <c r="V91" s="46"/>
      <c r="W91" s="46"/>
      <c r="X91" s="46"/>
    </row>
    <row r="92" spans="2:24" ht="15.5" hidden="1">
      <c r="B92" s="55"/>
      <c r="C92" s="56"/>
      <c r="D92" s="57"/>
      <c r="E92" s="57"/>
      <c r="F92" s="88"/>
      <c r="G92" s="88"/>
      <c r="H92" s="88"/>
      <c r="I92" s="88"/>
      <c r="J92" s="88"/>
      <c r="K92" s="88"/>
      <c r="L92" s="88"/>
      <c r="M92" s="88"/>
      <c r="N92" s="88"/>
      <c r="O92" s="88"/>
      <c r="P92" s="46"/>
      <c r="Q92" s="46"/>
      <c r="R92" s="46"/>
      <c r="S92" s="46"/>
      <c r="T92" s="46"/>
      <c r="U92" s="46"/>
      <c r="V92" s="46"/>
      <c r="W92" s="46"/>
      <c r="X92" s="46"/>
    </row>
    <row r="93" spans="2:24" ht="15.5" hidden="1">
      <c r="B93" s="55"/>
      <c r="C93" s="52" t="s">
        <v>43</v>
      </c>
      <c r="D93" s="52" t="s">
        <v>44</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5" hidden="1">
      <c r="B94" s="55"/>
      <c r="C94" s="56">
        <v>1</v>
      </c>
      <c r="D94" s="57" t="s">
        <v>60</v>
      </c>
      <c r="E94" s="88"/>
      <c r="F94" s="89"/>
      <c r="G94" s="89"/>
      <c r="H94" s="89"/>
      <c r="I94" s="89"/>
      <c r="J94" s="89"/>
      <c r="K94" s="89"/>
      <c r="L94" s="89"/>
      <c r="M94" s="89"/>
      <c r="N94" s="89"/>
      <c r="O94" s="89"/>
      <c r="P94" s="89"/>
      <c r="Q94" s="89"/>
      <c r="R94" s="89"/>
      <c r="S94" s="89"/>
      <c r="T94" s="89"/>
      <c r="U94" s="48"/>
      <c r="X94" s="89"/>
    </row>
    <row r="95" spans="2:24" ht="15.5" hidden="1">
      <c r="B95" s="55"/>
      <c r="C95" s="56">
        <v>2</v>
      </c>
      <c r="D95" s="57" t="s">
        <v>61</v>
      </c>
      <c r="E95" s="88">
        <v>1</v>
      </c>
      <c r="F95" s="89">
        <v>1</v>
      </c>
      <c r="G95" s="89">
        <v>1</v>
      </c>
      <c r="H95" s="89">
        <v>1</v>
      </c>
      <c r="I95" s="89">
        <v>1</v>
      </c>
      <c r="J95" s="89">
        <v>1</v>
      </c>
      <c r="K95" s="89">
        <v>0.97</v>
      </c>
      <c r="L95" s="89">
        <v>0.88</v>
      </c>
      <c r="M95" s="89">
        <v>0.93</v>
      </c>
      <c r="N95" s="89">
        <v>0.93</v>
      </c>
      <c r="O95" s="89">
        <v>0.93</v>
      </c>
      <c r="P95" s="89">
        <v>0.92</v>
      </c>
      <c r="Q95" s="89">
        <v>0.88</v>
      </c>
      <c r="R95" s="89">
        <v>0.92</v>
      </c>
      <c r="S95" s="89">
        <v>0.89</v>
      </c>
      <c r="T95" s="89">
        <v>0.92</v>
      </c>
      <c r="U95" s="48"/>
      <c r="X95" s="89">
        <v>0.89</v>
      </c>
    </row>
    <row r="96" spans="2:24" ht="15.5" hidden="1">
      <c r="B96" s="55"/>
      <c r="C96" s="56">
        <v>3</v>
      </c>
      <c r="D96" s="57" t="s">
        <v>62</v>
      </c>
      <c r="E96" s="88"/>
      <c r="F96" s="89"/>
      <c r="G96" s="89"/>
      <c r="H96" s="88"/>
      <c r="I96" s="89"/>
      <c r="J96" s="88"/>
      <c r="K96" s="89">
        <v>0.03</v>
      </c>
      <c r="L96" s="89">
        <v>0.12</v>
      </c>
      <c r="M96" s="88">
        <v>7.0000000000000007E-2</v>
      </c>
      <c r="N96" s="88">
        <v>7.0000000000000007E-2</v>
      </c>
      <c r="O96" s="89">
        <v>7.0000000000000007E-2</v>
      </c>
      <c r="P96" s="89">
        <v>0.08</v>
      </c>
      <c r="Q96" s="89">
        <v>0.12</v>
      </c>
      <c r="R96" s="89">
        <v>0.08</v>
      </c>
      <c r="S96" s="89">
        <v>0.11</v>
      </c>
      <c r="T96" s="89">
        <v>0.08</v>
      </c>
      <c r="U96" s="48"/>
      <c r="X96" s="89">
        <v>0.11</v>
      </c>
    </row>
    <row r="97" spans="1:24" ht="15.5" hidden="1">
      <c r="B97" s="55"/>
      <c r="C97" s="100"/>
      <c r="D97" s="101" t="s">
        <v>58</v>
      </c>
      <c r="E97" s="102">
        <f t="shared" ref="E97:T97" si="7">SUM(E$94:E$96)</f>
        <v>1</v>
      </c>
      <c r="F97" s="102">
        <f t="shared" si="7"/>
        <v>1</v>
      </c>
      <c r="G97" s="102">
        <f t="shared" si="7"/>
        <v>1</v>
      </c>
      <c r="H97" s="102">
        <f t="shared" si="7"/>
        <v>1</v>
      </c>
      <c r="I97" s="102">
        <f t="shared" si="7"/>
        <v>1</v>
      </c>
      <c r="J97" s="102">
        <f t="shared" si="7"/>
        <v>1</v>
      </c>
      <c r="K97" s="102">
        <f t="shared" si="7"/>
        <v>1</v>
      </c>
      <c r="L97" s="102">
        <f t="shared" si="7"/>
        <v>1</v>
      </c>
      <c r="M97" s="102">
        <f t="shared" si="7"/>
        <v>1</v>
      </c>
      <c r="N97" s="102">
        <f t="shared" si="7"/>
        <v>1</v>
      </c>
      <c r="O97" s="102">
        <f t="shared" si="7"/>
        <v>1</v>
      </c>
      <c r="P97" s="102">
        <f t="shared" si="7"/>
        <v>1</v>
      </c>
      <c r="Q97" s="102">
        <f t="shared" si="7"/>
        <v>1</v>
      </c>
      <c r="R97" s="102">
        <f t="shared" si="7"/>
        <v>1</v>
      </c>
      <c r="S97" s="102">
        <f t="shared" si="7"/>
        <v>1</v>
      </c>
      <c r="T97" s="102">
        <f t="shared" si="7"/>
        <v>1</v>
      </c>
      <c r="U97" s="48"/>
      <c r="X97" s="102">
        <f>SUM(X$94:X$96)</f>
        <v>1</v>
      </c>
    </row>
    <row r="98" spans="1:24">
      <c r="B98" s="45"/>
      <c r="C98" s="56"/>
      <c r="D98" s="57"/>
      <c r="E98" s="57"/>
      <c r="F98" s="88"/>
      <c r="G98" s="88"/>
      <c r="H98" s="88"/>
      <c r="I98" s="88"/>
      <c r="J98" s="88"/>
      <c r="K98" s="88"/>
      <c r="L98" s="88"/>
      <c r="M98" s="88"/>
      <c r="N98" s="88"/>
      <c r="O98" s="88"/>
      <c r="P98" s="46"/>
      <c r="Q98" s="46"/>
      <c r="R98" s="46"/>
      <c r="S98" s="46"/>
      <c r="T98" s="46"/>
      <c r="U98" s="46"/>
      <c r="V98" s="46"/>
      <c r="W98" s="46"/>
      <c r="X98" s="46"/>
    </row>
    <row r="99" spans="1:24">
      <c r="B99" s="45"/>
      <c r="C99" s="3567" t="s">
        <v>63</v>
      </c>
      <c r="D99" s="103"/>
      <c r="E99" s="57"/>
      <c r="F99" s="88"/>
      <c r="G99" s="88"/>
      <c r="H99" s="88"/>
      <c r="I99" s="88"/>
      <c r="J99" s="88"/>
      <c r="K99" s="88"/>
      <c r="L99" s="88"/>
      <c r="M99" s="88"/>
      <c r="N99" s="88"/>
      <c r="O99" s="88"/>
      <c r="P99" s="46"/>
      <c r="Q99" s="46"/>
      <c r="R99" s="46"/>
      <c r="S99" s="46"/>
      <c r="T99" s="46"/>
      <c r="U99" s="46"/>
      <c r="V99" s="46"/>
      <c r="W99" s="46"/>
      <c r="X99" s="46"/>
    </row>
    <row r="100" spans="1:24">
      <c r="B100" s="45"/>
      <c r="C100" s="3834" t="s">
        <v>64</v>
      </c>
      <c r="D100" s="2248" t="s">
        <v>65</v>
      </c>
      <c r="E100" s="57"/>
      <c r="F100" s="88"/>
      <c r="G100" s="88"/>
      <c r="H100" s="88"/>
      <c r="I100" s="88"/>
      <c r="J100" s="88"/>
      <c r="K100" s="88"/>
      <c r="L100" s="88"/>
      <c r="M100" s="88"/>
      <c r="N100" s="88"/>
      <c r="O100" s="88"/>
      <c r="P100" s="46"/>
      <c r="Q100" s="46"/>
      <c r="R100" s="46"/>
      <c r="S100" s="46"/>
      <c r="T100" s="46"/>
      <c r="U100" s="46"/>
      <c r="V100" s="46"/>
      <c r="W100" s="46"/>
      <c r="X100" s="46"/>
    </row>
    <row r="101" spans="1:24">
      <c r="B101" s="45"/>
      <c r="C101" s="3834" t="s">
        <v>66</v>
      </c>
      <c r="D101" s="2248" t="s">
        <v>3030</v>
      </c>
      <c r="E101" s="57"/>
      <c r="F101" s="88"/>
      <c r="G101" s="88"/>
      <c r="H101" s="88"/>
      <c r="I101" s="88"/>
      <c r="J101" s="88"/>
      <c r="K101" s="88"/>
      <c r="L101" s="88"/>
      <c r="M101" s="88"/>
      <c r="N101" s="88"/>
      <c r="O101" s="88"/>
      <c r="P101" s="46"/>
      <c r="Q101" s="46"/>
      <c r="R101" s="46"/>
      <c r="S101" s="46"/>
      <c r="T101" s="46"/>
      <c r="U101" s="46"/>
      <c r="V101" s="46"/>
      <c r="W101" s="46"/>
      <c r="X101" s="46"/>
    </row>
    <row r="102" spans="1:24">
      <c r="B102" s="45"/>
      <c r="C102" s="3834" t="s">
        <v>105</v>
      </c>
      <c r="D102" s="2248" t="s">
        <v>3400</v>
      </c>
      <c r="E102" s="57"/>
      <c r="F102" s="88"/>
      <c r="G102" s="88"/>
      <c r="H102" s="88"/>
      <c r="I102" s="88"/>
      <c r="J102" s="88"/>
      <c r="K102" s="88"/>
      <c r="L102" s="88"/>
      <c r="M102" s="88"/>
      <c r="N102" s="88"/>
      <c r="O102" s="88"/>
      <c r="P102" s="46"/>
      <c r="Q102" s="46"/>
      <c r="R102" s="46"/>
      <c r="S102" s="46"/>
      <c r="T102" s="46"/>
      <c r="U102" s="46"/>
      <c r="V102" s="46"/>
      <c r="W102" s="46"/>
      <c r="X102" s="46"/>
    </row>
    <row r="103" spans="1:24">
      <c r="B103" s="105" t="s">
        <v>5</v>
      </c>
      <c r="C103" s="3834" t="s">
        <v>79</v>
      </c>
      <c r="D103" s="2248" t="s">
        <v>67</v>
      </c>
      <c r="E103" s="57"/>
      <c r="F103" s="88"/>
      <c r="G103" s="88"/>
      <c r="H103" s="88"/>
      <c r="I103" s="88"/>
      <c r="J103" s="88"/>
      <c r="K103" s="88"/>
      <c r="L103" s="88"/>
      <c r="M103" s="88"/>
      <c r="N103" s="88"/>
      <c r="O103" s="88"/>
      <c r="P103" s="46"/>
      <c r="Q103" s="46"/>
      <c r="R103" s="46"/>
      <c r="S103" s="46"/>
      <c r="T103" s="46"/>
      <c r="U103" s="46"/>
      <c r="V103" s="46"/>
      <c r="W103" s="46"/>
      <c r="X103" s="46"/>
    </row>
    <row r="104" spans="1:24">
      <c r="B104" s="106"/>
      <c r="C104" s="3828"/>
      <c r="D104" s="2248" t="s">
        <v>68</v>
      </c>
      <c r="E104" s="107"/>
      <c r="F104" s="108"/>
      <c r="G104" s="109"/>
      <c r="H104" s="109"/>
      <c r="I104" s="109"/>
      <c r="J104" s="109"/>
      <c r="K104" s="109"/>
      <c r="L104" s="109"/>
      <c r="M104" s="109"/>
      <c r="N104" s="109"/>
      <c r="O104" s="109"/>
      <c r="P104" s="110"/>
      <c r="Q104" s="110"/>
      <c r="R104" s="110"/>
      <c r="S104" s="110"/>
      <c r="T104" s="110"/>
      <c r="U104" s="110"/>
      <c r="V104" s="110"/>
      <c r="W104" s="110"/>
      <c r="X104" s="110"/>
    </row>
    <row r="105" spans="1:24">
      <c r="D105"/>
    </row>
    <row r="106" spans="1:24" s="4" customFormat="1" ht="23.5">
      <c r="A106" s="40"/>
      <c r="B106" s="41" t="s">
        <v>69</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00" t="s">
        <v>3031</v>
      </c>
      <c r="D108" s="46"/>
      <c r="E108" s="50"/>
      <c r="F108" s="46"/>
      <c r="G108" s="99"/>
      <c r="H108" s="46"/>
      <c r="I108" s="46"/>
      <c r="J108" s="46"/>
      <c r="K108" s="46"/>
      <c r="L108" s="46"/>
      <c r="M108" s="46"/>
      <c r="N108" s="50" t="s">
        <v>70</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5">
      <c r="B110" s="55"/>
      <c r="C110" s="111"/>
      <c r="D110" s="111" t="s">
        <v>71</v>
      </c>
      <c r="E110" s="111" t="s">
        <v>30</v>
      </c>
      <c r="F110" s="112">
        <v>2013</v>
      </c>
      <c r="G110" s="112">
        <v>2015</v>
      </c>
      <c r="H110" s="112">
        <v>2020</v>
      </c>
      <c r="I110" s="112">
        <v>2025</v>
      </c>
      <c r="J110" s="112">
        <v>2030</v>
      </c>
      <c r="K110" s="112">
        <v>2035</v>
      </c>
      <c r="L110" s="112">
        <v>2040</v>
      </c>
      <c r="M110" s="112">
        <v>2045</v>
      </c>
      <c r="N110" s="112">
        <v>2050</v>
      </c>
      <c r="O110" s="46"/>
      <c r="P110" s="54"/>
      <c r="Q110" s="48"/>
    </row>
    <row r="111" spans="1:24" ht="15.5">
      <c r="B111" s="55"/>
      <c r="C111" s="113"/>
      <c r="D111" s="113" t="s">
        <v>72</v>
      </c>
      <c r="E111" s="113"/>
      <c r="F111" s="114">
        <v>5.3333333333333321</v>
      </c>
      <c r="G111" s="115">
        <v>5.6666666666666696</v>
      </c>
      <c r="H111" s="116">
        <v>6</v>
      </c>
      <c r="I111" s="116">
        <v>6.1166666666666671</v>
      </c>
      <c r="J111" s="116">
        <v>6.2333333333333334</v>
      </c>
      <c r="K111" s="116">
        <v>6.35</v>
      </c>
      <c r="L111" s="116">
        <v>6.4666666666666668</v>
      </c>
      <c r="M111" s="116">
        <v>6.583333333333333</v>
      </c>
      <c r="N111" s="116">
        <v>6.6999999999999993</v>
      </c>
      <c r="O111" s="46"/>
      <c r="P111" s="60"/>
      <c r="Q111" s="48"/>
    </row>
    <row r="112" spans="1:24" ht="15.5">
      <c r="B112" s="55"/>
      <c r="C112" s="57"/>
      <c r="D112" s="57" t="s">
        <v>73</v>
      </c>
      <c r="E112" s="117"/>
      <c r="F112" s="118">
        <v>6.6333333333333337</v>
      </c>
      <c r="G112" s="119">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5">
      <c r="B113" s="55"/>
      <c r="C113" s="57"/>
      <c r="D113" s="57" t="s">
        <v>74</v>
      </c>
      <c r="E113" s="117"/>
      <c r="F113" s="118">
        <v>14.999999999999998</v>
      </c>
      <c r="G113" s="119">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5">
      <c r="B114" s="55"/>
      <c r="C114" s="120"/>
      <c r="D114" s="120" t="s">
        <v>75</v>
      </c>
      <c r="E114" s="121"/>
      <c r="F114" s="122">
        <v>10.333333333333334</v>
      </c>
      <c r="G114" s="123">
        <v>10.783333333333333</v>
      </c>
      <c r="H114" s="124">
        <v>11.233333333333333</v>
      </c>
      <c r="I114" s="124">
        <v>11.366666666666667</v>
      </c>
      <c r="J114" s="124">
        <v>11.5</v>
      </c>
      <c r="K114" s="124">
        <v>11.633333333333333</v>
      </c>
      <c r="L114" s="124">
        <v>11.766666666666667</v>
      </c>
      <c r="M114" s="124">
        <v>11.9</v>
      </c>
      <c r="N114" s="124">
        <v>12.033333333333333</v>
      </c>
      <c r="O114" s="46"/>
      <c r="P114" s="60"/>
      <c r="Q114" s="48"/>
    </row>
    <row r="115" spans="2:17" ht="15.5">
      <c r="B115" s="55"/>
      <c r="C115" s="101"/>
      <c r="D115" s="101" t="s">
        <v>76</v>
      </c>
      <c r="E115" s="125"/>
      <c r="F115" s="126">
        <f>((F111*$F$822)+(F112*$F$827)+(F113*$F$832)+(F114*$F$837))/($F$822+$F$827+$F$832+$F$837)</f>
        <v>9.3413643623089211</v>
      </c>
      <c r="G115" s="126">
        <f t="shared" ref="G115:N115" si="8">((G111*$F$822)+(G112*$F$827)+(G113*$F$832)+(G114*$F$837))/($F$822+$F$827+$F$832+$F$837)</f>
        <v>9.8590919461556012</v>
      </c>
      <c r="H115" s="126">
        <f t="shared" si="8"/>
        <v>10.376819530002281</v>
      </c>
      <c r="I115" s="126">
        <f t="shared" si="8"/>
        <v>10.497638603696098</v>
      </c>
      <c r="J115" s="126">
        <f t="shared" si="8"/>
        <v>10.618457677389916</v>
      </c>
      <c r="K115" s="126">
        <f t="shared" si="8"/>
        <v>10.739276751083732</v>
      </c>
      <c r="L115" s="126">
        <f t="shared" si="8"/>
        <v>10.860095824777549</v>
      </c>
      <c r="M115" s="126">
        <f t="shared" si="8"/>
        <v>10.980914898471367</v>
      </c>
      <c r="N115" s="126">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00" t="s">
        <v>3410</v>
      </c>
      <c r="D117" s="46"/>
      <c r="E117" s="99"/>
      <c r="F117" s="99" t="s">
        <v>77</v>
      </c>
      <c r="G117" s="46"/>
      <c r="H117" s="46"/>
      <c r="I117" s="46"/>
      <c r="J117" s="46"/>
      <c r="K117" s="46"/>
      <c r="L117" s="46"/>
      <c r="M117" s="46"/>
      <c r="N117" s="46"/>
      <c r="O117" s="99"/>
      <c r="P117" s="99"/>
      <c r="Q117" s="48"/>
    </row>
    <row r="118" spans="2:17">
      <c r="B118" s="45"/>
      <c r="C118" s="46"/>
      <c r="D118" s="46"/>
      <c r="E118" s="46"/>
      <c r="F118" s="46"/>
      <c r="G118" s="46"/>
      <c r="H118" s="46"/>
      <c r="I118" s="46"/>
      <c r="J118" s="46"/>
      <c r="K118" s="46"/>
      <c r="L118" s="46"/>
      <c r="M118" s="46"/>
      <c r="N118" s="46"/>
      <c r="O118" s="46"/>
      <c r="P118" s="46"/>
      <c r="Q118" s="48"/>
    </row>
    <row r="119" spans="2:17" ht="15.5">
      <c r="B119" s="55"/>
      <c r="C119" s="111"/>
      <c r="D119" s="111" t="s">
        <v>71</v>
      </c>
      <c r="E119" s="111" t="s">
        <v>30</v>
      </c>
      <c r="F119" s="112">
        <v>2013</v>
      </c>
      <c r="G119" s="54"/>
      <c r="H119" s="54"/>
      <c r="I119" s="54"/>
      <c r="J119" s="54"/>
      <c r="K119" s="54"/>
      <c r="L119" s="54"/>
      <c r="M119" s="54"/>
      <c r="N119" s="54"/>
      <c r="O119" s="54"/>
      <c r="P119" s="54"/>
      <c r="Q119" s="48"/>
    </row>
    <row r="120" spans="2:17" ht="15.5">
      <c r="B120" s="55"/>
      <c r="C120" s="113"/>
      <c r="D120" s="113" t="s">
        <v>78</v>
      </c>
      <c r="E120" s="113"/>
      <c r="F120" s="127">
        <v>9228297640.4315128</v>
      </c>
      <c r="G120" s="60"/>
      <c r="H120" s="60"/>
      <c r="I120" s="60"/>
      <c r="J120" s="60"/>
      <c r="K120" s="60"/>
      <c r="L120" s="60"/>
      <c r="M120" s="60"/>
      <c r="N120" s="60"/>
      <c r="O120" s="60"/>
      <c r="P120" s="60"/>
      <c r="Q120" s="48"/>
    </row>
    <row r="121" spans="2:17" ht="15.5">
      <c r="B121" s="55"/>
      <c r="C121" s="57"/>
      <c r="D121" s="57" t="s">
        <v>80</v>
      </c>
      <c r="E121" s="117"/>
      <c r="F121" s="77">
        <v>2869171114.8882608</v>
      </c>
      <c r="G121" s="77"/>
      <c r="H121" s="77"/>
      <c r="I121" s="77"/>
      <c r="J121" s="77"/>
      <c r="K121" s="77"/>
      <c r="L121" s="77"/>
      <c r="M121" s="77"/>
      <c r="N121" s="77"/>
      <c r="O121" s="77"/>
      <c r="P121" s="77"/>
      <c r="Q121" s="48"/>
    </row>
    <row r="122" spans="2:17" ht="15.5">
      <c r="B122" s="55"/>
      <c r="C122" s="57"/>
      <c r="D122" s="57" t="s">
        <v>81</v>
      </c>
      <c r="E122" s="57"/>
      <c r="F122" s="77">
        <v>1366768785.6376805</v>
      </c>
      <c r="G122" s="77"/>
      <c r="H122" s="77"/>
      <c r="I122" s="77"/>
      <c r="J122" s="77"/>
      <c r="K122" s="77"/>
      <c r="L122" s="77"/>
      <c r="M122" s="77"/>
      <c r="N122" s="77"/>
      <c r="O122" s="77"/>
      <c r="P122" s="77"/>
      <c r="Q122" s="48"/>
    </row>
    <row r="123" spans="2:17" ht="15.5">
      <c r="B123" s="55"/>
      <c r="C123" s="57"/>
      <c r="D123" s="57" t="s">
        <v>82</v>
      </c>
      <c r="E123" s="57"/>
      <c r="F123" s="77">
        <v>7011210869.8360405</v>
      </c>
      <c r="G123" s="77"/>
      <c r="H123" s="77"/>
      <c r="I123" s="77"/>
      <c r="J123" s="77"/>
      <c r="K123" s="77"/>
      <c r="L123" s="77"/>
      <c r="M123" s="77"/>
      <c r="N123" s="77"/>
      <c r="O123" s="77"/>
      <c r="P123" s="77"/>
      <c r="Q123" s="48"/>
    </row>
    <row r="124" spans="2:17" ht="15.5">
      <c r="B124" s="55"/>
      <c r="C124" s="120"/>
      <c r="D124" s="120" t="s">
        <v>83</v>
      </c>
      <c r="E124" s="121"/>
      <c r="F124" s="128">
        <v>12000960272.364443</v>
      </c>
      <c r="G124" s="77"/>
      <c r="H124" s="77"/>
      <c r="I124" s="77"/>
      <c r="J124" s="77"/>
      <c r="K124" s="77"/>
      <c r="L124" s="77"/>
      <c r="M124" s="77"/>
      <c r="N124" s="77"/>
      <c r="O124" s="77"/>
      <c r="P124" s="77"/>
      <c r="Q124" s="48"/>
    </row>
    <row r="125" spans="2:17" ht="15.5">
      <c r="B125" s="55"/>
      <c r="C125" s="57"/>
      <c r="D125" s="57"/>
      <c r="E125" s="57"/>
      <c r="F125" s="129">
        <v>32476408683.157936</v>
      </c>
      <c r="G125" s="77"/>
      <c r="H125" s="77"/>
      <c r="I125" s="77"/>
      <c r="J125" s="77"/>
      <c r="K125" s="77"/>
      <c r="L125" s="77"/>
      <c r="M125" s="77"/>
      <c r="N125" s="77"/>
      <c r="O125" s="77"/>
      <c r="P125" s="77"/>
      <c r="Q125" s="48"/>
    </row>
    <row r="126" spans="2:17" ht="15.5">
      <c r="B126" s="55"/>
      <c r="C126" s="46"/>
      <c r="D126" s="46"/>
      <c r="E126" s="46"/>
      <c r="F126" s="46"/>
      <c r="G126" s="46"/>
      <c r="H126" s="46"/>
      <c r="I126" s="46"/>
      <c r="J126" s="46"/>
      <c r="K126" s="46"/>
      <c r="L126" s="46"/>
      <c r="M126" s="46"/>
      <c r="N126" s="46"/>
      <c r="O126" s="46"/>
      <c r="P126" s="46"/>
      <c r="Q126" s="48"/>
    </row>
    <row r="127" spans="2:17">
      <c r="B127" s="130"/>
      <c r="C127" s="49" t="s">
        <v>3034</v>
      </c>
      <c r="D127" s="46"/>
      <c r="E127" s="46"/>
      <c r="F127" s="46"/>
      <c r="G127" s="99"/>
      <c r="H127" s="46"/>
      <c r="I127" s="46"/>
      <c r="J127" s="46"/>
      <c r="K127" s="46"/>
      <c r="L127" s="46"/>
      <c r="M127" s="46"/>
      <c r="N127" s="46"/>
      <c r="O127" s="99" t="s">
        <v>84</v>
      </c>
      <c r="P127" s="99"/>
      <c r="Q127" s="48"/>
    </row>
    <row r="128" spans="2:17">
      <c r="B128" s="45"/>
      <c r="C128" s="46"/>
      <c r="D128" s="46"/>
      <c r="E128" s="46"/>
      <c r="F128" s="46"/>
      <c r="G128" s="46"/>
      <c r="H128" s="46"/>
      <c r="I128" s="46"/>
      <c r="J128" s="46"/>
      <c r="K128" s="46"/>
      <c r="L128" s="46"/>
      <c r="M128" s="46"/>
      <c r="N128" s="46"/>
      <c r="O128" s="46"/>
      <c r="P128" s="46"/>
      <c r="Q128" s="48"/>
    </row>
    <row r="129" spans="2:17" ht="21">
      <c r="B129" s="55"/>
      <c r="C129" s="111"/>
      <c r="D129" s="111"/>
      <c r="E129" s="111"/>
      <c r="F129" s="131" t="s">
        <v>85</v>
      </c>
      <c r="G129" s="131" t="s">
        <v>86</v>
      </c>
      <c r="H129" s="131" t="s">
        <v>87</v>
      </c>
      <c r="I129" s="131" t="s">
        <v>88</v>
      </c>
      <c r="J129" s="131" t="s">
        <v>89</v>
      </c>
      <c r="K129" s="131" t="s">
        <v>90</v>
      </c>
      <c r="L129" s="131" t="s">
        <v>91</v>
      </c>
      <c r="M129" s="131" t="s">
        <v>92</v>
      </c>
      <c r="N129" s="131" t="s">
        <v>93</v>
      </c>
      <c r="O129" s="132" t="s">
        <v>94</v>
      </c>
      <c r="P129" s="133"/>
      <c r="Q129" s="48"/>
    </row>
    <row r="130" spans="2:17" ht="15.5">
      <c r="B130" s="55"/>
      <c r="C130" s="134" t="s">
        <v>43</v>
      </c>
      <c r="D130" s="134" t="s">
        <v>44</v>
      </c>
      <c r="E130" s="134" t="s">
        <v>30</v>
      </c>
      <c r="F130" s="135" t="s">
        <v>95</v>
      </c>
      <c r="G130" s="135" t="s">
        <v>96</v>
      </c>
      <c r="H130" s="135" t="s">
        <v>97</v>
      </c>
      <c r="I130" s="135" t="s">
        <v>98</v>
      </c>
      <c r="J130" s="135" t="s">
        <v>99</v>
      </c>
      <c r="K130" s="135" t="s">
        <v>100</v>
      </c>
      <c r="L130" s="135" t="s">
        <v>101</v>
      </c>
      <c r="M130" s="135" t="s">
        <v>102</v>
      </c>
      <c r="N130" s="135" t="s">
        <v>103</v>
      </c>
      <c r="O130" s="136"/>
      <c r="P130" s="137"/>
      <c r="Q130" s="48"/>
    </row>
    <row r="131" spans="2:17" ht="15.5">
      <c r="B131" s="55"/>
      <c r="C131" s="56">
        <v>1</v>
      </c>
      <c r="D131" s="57" t="s">
        <v>45</v>
      </c>
      <c r="E131" s="57"/>
      <c r="F131" s="88"/>
      <c r="G131" s="88"/>
      <c r="H131" s="88"/>
      <c r="I131" s="88"/>
      <c r="J131" s="88">
        <v>-1</v>
      </c>
      <c r="K131" s="88"/>
      <c r="L131" s="88"/>
      <c r="M131" s="88">
        <v>0.76</v>
      </c>
      <c r="N131" s="88">
        <v>0.24</v>
      </c>
      <c r="O131" s="138">
        <v>0</v>
      </c>
      <c r="P131" s="59"/>
      <c r="Q131" s="48"/>
    </row>
    <row r="132" spans="2:17" ht="15.5">
      <c r="B132" s="55"/>
      <c r="C132" s="56">
        <v>2</v>
      </c>
      <c r="D132" s="57" t="s">
        <v>46</v>
      </c>
      <c r="E132" s="57"/>
      <c r="F132" s="88"/>
      <c r="G132" s="88"/>
      <c r="H132" s="88"/>
      <c r="I132" s="88"/>
      <c r="J132" s="88">
        <v>-1</v>
      </c>
      <c r="K132" s="88"/>
      <c r="L132" s="88"/>
      <c r="M132" s="88">
        <v>0.91</v>
      </c>
      <c r="N132" s="88">
        <v>0.09</v>
      </c>
      <c r="O132" s="138">
        <v>0</v>
      </c>
      <c r="P132" s="59"/>
      <c r="Q132" s="48"/>
    </row>
    <row r="133" spans="2:17" ht="15.5">
      <c r="B133" s="55"/>
      <c r="C133" s="56">
        <v>3</v>
      </c>
      <c r="D133" s="57" t="s">
        <v>47</v>
      </c>
      <c r="E133" s="57"/>
      <c r="F133" s="88">
        <v>-1</v>
      </c>
      <c r="G133" s="88"/>
      <c r="H133" s="88"/>
      <c r="I133" s="88"/>
      <c r="J133" s="88"/>
      <c r="K133" s="88"/>
      <c r="L133" s="88"/>
      <c r="M133" s="88">
        <v>1</v>
      </c>
      <c r="N133" s="88">
        <v>0</v>
      </c>
      <c r="O133" s="138">
        <v>0</v>
      </c>
      <c r="P133" s="59"/>
      <c r="Q133" s="48"/>
    </row>
    <row r="134" spans="2:17" ht="15.5">
      <c r="B134" s="55"/>
      <c r="C134" s="56">
        <v>4</v>
      </c>
      <c r="D134" s="57" t="s">
        <v>48</v>
      </c>
      <c r="E134" s="57"/>
      <c r="F134" s="88"/>
      <c r="G134" s="88"/>
      <c r="H134" s="88"/>
      <c r="I134" s="88">
        <v>-1</v>
      </c>
      <c r="J134" s="88"/>
      <c r="K134" s="88"/>
      <c r="L134" s="88"/>
      <c r="M134" s="88">
        <v>0.97</v>
      </c>
      <c r="N134" s="88">
        <v>0.03</v>
      </c>
      <c r="O134" s="138">
        <v>-2.7755575615628914E-17</v>
      </c>
      <c r="P134" s="59"/>
      <c r="Q134" s="48"/>
    </row>
    <row r="135" spans="2:17" ht="15.5">
      <c r="B135" s="55"/>
      <c r="C135" s="56">
        <v>5</v>
      </c>
      <c r="D135" s="57" t="s">
        <v>49</v>
      </c>
      <c r="E135" s="57" t="s">
        <v>66</v>
      </c>
      <c r="F135" s="88"/>
      <c r="G135" s="88"/>
      <c r="H135" s="88">
        <v>-1</v>
      </c>
      <c r="I135" s="88"/>
      <c r="J135" s="88"/>
      <c r="K135" s="88"/>
      <c r="L135" s="88"/>
      <c r="M135" s="88">
        <v>0.87</v>
      </c>
      <c r="N135" s="88">
        <v>0.13</v>
      </c>
      <c r="O135" s="138">
        <v>0</v>
      </c>
      <c r="P135" s="59"/>
      <c r="Q135" s="48"/>
    </row>
    <row r="136" spans="2:17" ht="15.5">
      <c r="B136" s="55"/>
      <c r="C136" s="56">
        <v>6</v>
      </c>
      <c r="D136" s="57" t="s">
        <v>50</v>
      </c>
      <c r="E136" s="57"/>
      <c r="F136" s="88"/>
      <c r="G136" s="88">
        <v>0.22500000000000001</v>
      </c>
      <c r="H136" s="88"/>
      <c r="I136" s="88"/>
      <c r="J136" s="88">
        <v>-1</v>
      </c>
      <c r="K136" s="88"/>
      <c r="L136" s="88"/>
      <c r="M136" s="88">
        <v>0.63</v>
      </c>
      <c r="N136" s="88">
        <v>0.14499999999999999</v>
      </c>
      <c r="O136" s="138">
        <v>0</v>
      </c>
      <c r="P136" s="59"/>
      <c r="Q136" s="48"/>
    </row>
    <row r="137" spans="2:17" ht="15.5">
      <c r="B137" s="55"/>
      <c r="C137" s="56">
        <v>7</v>
      </c>
      <c r="D137" s="57" t="s">
        <v>51</v>
      </c>
      <c r="E137" s="57"/>
      <c r="F137" s="88"/>
      <c r="G137" s="88">
        <v>0.45</v>
      </c>
      <c r="H137" s="88"/>
      <c r="I137" s="88"/>
      <c r="J137" s="88">
        <v>-1</v>
      </c>
      <c r="K137" s="88"/>
      <c r="L137" s="88"/>
      <c r="M137" s="88">
        <v>0.45</v>
      </c>
      <c r="N137" s="88">
        <v>0.1</v>
      </c>
      <c r="O137" s="138">
        <v>0</v>
      </c>
      <c r="P137" s="59"/>
      <c r="Q137" s="48"/>
    </row>
    <row r="138" spans="2:17" ht="15.5">
      <c r="B138" s="55"/>
      <c r="C138" s="56">
        <v>8</v>
      </c>
      <c r="D138" s="57" t="s">
        <v>52</v>
      </c>
      <c r="E138" s="57"/>
      <c r="F138" s="88">
        <v>-1</v>
      </c>
      <c r="G138" s="88"/>
      <c r="H138" s="88"/>
      <c r="I138" s="88"/>
      <c r="J138" s="88"/>
      <c r="K138" s="88"/>
      <c r="L138" s="88">
        <v>-2</v>
      </c>
      <c r="M138" s="88">
        <v>3</v>
      </c>
      <c r="N138" s="88"/>
      <c r="O138" s="138">
        <v>0</v>
      </c>
      <c r="P138" s="59"/>
      <c r="Q138" s="48"/>
    </row>
    <row r="139" spans="2:17" ht="15.5">
      <c r="B139" s="55"/>
      <c r="C139" s="56">
        <v>9</v>
      </c>
      <c r="D139" s="57" t="s">
        <v>53</v>
      </c>
      <c r="E139" s="57"/>
      <c r="F139" s="88">
        <v>-1</v>
      </c>
      <c r="G139" s="88"/>
      <c r="H139" s="88"/>
      <c r="I139" s="88"/>
      <c r="J139" s="88"/>
      <c r="K139" s="88"/>
      <c r="L139" s="88">
        <v>-3</v>
      </c>
      <c r="M139" s="88">
        <v>4</v>
      </c>
      <c r="N139" s="88"/>
      <c r="O139" s="138">
        <v>0</v>
      </c>
      <c r="P139" s="59"/>
      <c r="Q139" s="48"/>
    </row>
    <row r="140" spans="2:17" ht="15.5">
      <c r="B140" s="55"/>
      <c r="C140" s="56">
        <v>10</v>
      </c>
      <c r="D140" s="57" t="s">
        <v>54</v>
      </c>
      <c r="E140" s="57"/>
      <c r="F140" s="88"/>
      <c r="G140" s="88"/>
      <c r="H140" s="88"/>
      <c r="I140" s="88"/>
      <c r="J140" s="88"/>
      <c r="K140" s="88"/>
      <c r="L140" s="88">
        <v>-1</v>
      </c>
      <c r="M140" s="88">
        <v>0.85</v>
      </c>
      <c r="N140" s="88">
        <v>0.15</v>
      </c>
      <c r="O140" s="138">
        <v>0</v>
      </c>
      <c r="P140" s="59"/>
      <c r="Q140" s="48"/>
    </row>
    <row r="141" spans="2:17" ht="15.5">
      <c r="B141" s="55"/>
      <c r="C141" s="56">
        <v>11</v>
      </c>
      <c r="D141" s="57" t="s">
        <v>55</v>
      </c>
      <c r="E141" s="57"/>
      <c r="F141" s="88"/>
      <c r="G141" s="88">
        <v>0.38</v>
      </c>
      <c r="H141" s="88"/>
      <c r="I141" s="88"/>
      <c r="J141" s="88">
        <v>-1</v>
      </c>
      <c r="K141" s="88"/>
      <c r="L141" s="88"/>
      <c r="M141" s="88">
        <v>0.38</v>
      </c>
      <c r="N141" s="88">
        <v>0.24</v>
      </c>
      <c r="O141" s="138">
        <v>0</v>
      </c>
      <c r="P141" s="59"/>
      <c r="Q141" s="48"/>
    </row>
    <row r="142" spans="2:17" ht="15.5">
      <c r="B142" s="55"/>
      <c r="C142" s="56">
        <v>12</v>
      </c>
      <c r="D142" s="57" t="s">
        <v>56</v>
      </c>
      <c r="E142" s="57"/>
      <c r="F142" s="88"/>
      <c r="G142" s="88">
        <v>0.17</v>
      </c>
      <c r="H142" s="88">
        <v>-1</v>
      </c>
      <c r="I142" s="88"/>
      <c r="J142" s="88"/>
      <c r="K142" s="88"/>
      <c r="L142" s="88"/>
      <c r="M142" s="88">
        <v>0.56999999999999995</v>
      </c>
      <c r="N142" s="88">
        <v>0.26</v>
      </c>
      <c r="O142" s="138">
        <v>0</v>
      </c>
      <c r="P142" s="59"/>
      <c r="Q142" s="48"/>
    </row>
    <row r="143" spans="2:17" ht="15.5">
      <c r="B143" s="55"/>
      <c r="C143" s="61">
        <v>13</v>
      </c>
      <c r="D143" s="62" t="s">
        <v>57</v>
      </c>
      <c r="E143" s="62" t="s">
        <v>104</v>
      </c>
      <c r="F143" s="93"/>
      <c r="G143" s="139"/>
      <c r="H143" s="139"/>
      <c r="I143" s="139"/>
      <c r="J143" s="139"/>
      <c r="K143" s="139">
        <v>-1</v>
      </c>
      <c r="L143" s="139"/>
      <c r="M143" s="139">
        <v>0.9</v>
      </c>
      <c r="N143" s="139">
        <v>0.1</v>
      </c>
      <c r="O143" s="140">
        <v>0</v>
      </c>
      <c r="P143" s="60"/>
      <c r="Q143" s="48"/>
    </row>
    <row r="144" spans="2:17">
      <c r="B144" s="45"/>
      <c r="C144" s="3828"/>
      <c r="D144" s="46"/>
      <c r="E144" s="67"/>
      <c r="F144" s="46"/>
      <c r="G144" s="46"/>
      <c r="H144" s="46"/>
      <c r="I144" s="46"/>
      <c r="J144" s="46"/>
      <c r="K144" s="46"/>
      <c r="L144" s="46"/>
      <c r="M144" s="46"/>
      <c r="N144" s="46"/>
      <c r="O144" s="46"/>
      <c r="P144" s="46"/>
      <c r="Q144" s="48"/>
    </row>
    <row r="145" spans="2:17">
      <c r="B145" s="45"/>
      <c r="C145" s="49" t="s">
        <v>3035</v>
      </c>
      <c r="D145" s="46"/>
      <c r="E145" s="46"/>
      <c r="F145" s="46"/>
      <c r="G145" s="99"/>
      <c r="H145" s="46"/>
      <c r="I145" s="46"/>
      <c r="J145" s="46"/>
      <c r="K145" s="46"/>
      <c r="L145" s="46"/>
      <c r="M145" s="46"/>
      <c r="N145" s="46"/>
      <c r="O145" s="99" t="s">
        <v>84</v>
      </c>
      <c r="P145" s="99"/>
      <c r="Q145" s="48"/>
    </row>
    <row r="146" spans="2:17">
      <c r="B146" s="45"/>
      <c r="C146" s="46"/>
      <c r="D146" s="46"/>
      <c r="E146" s="46"/>
      <c r="F146" s="46"/>
      <c r="G146" s="46"/>
      <c r="H146" s="46"/>
      <c r="I146" s="46"/>
      <c r="J146" s="46"/>
      <c r="K146" s="46"/>
      <c r="L146" s="46"/>
      <c r="M146" s="46"/>
      <c r="N146" s="46"/>
      <c r="O146" s="46"/>
      <c r="P146" s="46"/>
      <c r="Q146" s="48"/>
    </row>
    <row r="147" spans="2:17" ht="21">
      <c r="B147" s="45"/>
      <c r="C147" s="111"/>
      <c r="D147" s="111"/>
      <c r="E147" s="111"/>
      <c r="F147" s="131" t="s">
        <v>85</v>
      </c>
      <c r="G147" s="131" t="s">
        <v>86</v>
      </c>
      <c r="H147" s="131" t="s">
        <v>87</v>
      </c>
      <c r="I147" s="131" t="s">
        <v>88</v>
      </c>
      <c r="J147" s="131" t="s">
        <v>89</v>
      </c>
      <c r="K147" s="131" t="s">
        <v>90</v>
      </c>
      <c r="L147" s="131" t="s">
        <v>91</v>
      </c>
      <c r="M147" s="131" t="s">
        <v>92</v>
      </c>
      <c r="N147" s="131" t="s">
        <v>93</v>
      </c>
      <c r="O147" s="132" t="s">
        <v>94</v>
      </c>
      <c r="P147" s="133"/>
      <c r="Q147" s="48"/>
    </row>
    <row r="148" spans="2:17">
      <c r="B148" s="45"/>
      <c r="C148" s="134" t="s">
        <v>43</v>
      </c>
      <c r="D148" s="134" t="s">
        <v>44</v>
      </c>
      <c r="E148" s="134" t="s">
        <v>30</v>
      </c>
      <c r="F148" s="135" t="s">
        <v>95</v>
      </c>
      <c r="G148" s="135" t="s">
        <v>96</v>
      </c>
      <c r="H148" s="135" t="s">
        <v>97</v>
      </c>
      <c r="I148" s="135" t="s">
        <v>98</v>
      </c>
      <c r="J148" s="135" t="s">
        <v>99</v>
      </c>
      <c r="K148" s="135" t="s">
        <v>100</v>
      </c>
      <c r="L148" s="135" t="s">
        <v>101</v>
      </c>
      <c r="M148" s="135" t="s">
        <v>102</v>
      </c>
      <c r="N148" s="135" t="s">
        <v>103</v>
      </c>
      <c r="O148" s="136"/>
      <c r="P148" s="137"/>
      <c r="Q148" s="48"/>
    </row>
    <row r="149" spans="2:17" ht="15.5">
      <c r="B149" s="55"/>
      <c r="C149" s="56">
        <v>1</v>
      </c>
      <c r="D149" s="57" t="s">
        <v>45</v>
      </c>
      <c r="E149" s="57"/>
      <c r="F149" s="88"/>
      <c r="G149" s="88"/>
      <c r="H149" s="88"/>
      <c r="I149" s="88"/>
      <c r="J149" s="88">
        <v>-1</v>
      </c>
      <c r="K149" s="88"/>
      <c r="L149" s="88"/>
      <c r="M149" s="88">
        <v>0.76</v>
      </c>
      <c r="N149" s="88">
        <v>0.24</v>
      </c>
      <c r="O149" s="138">
        <v>0</v>
      </c>
      <c r="P149" s="59"/>
      <c r="Q149" s="48"/>
    </row>
    <row r="150" spans="2:17" ht="15.5">
      <c r="B150" s="55"/>
      <c r="C150" s="56">
        <v>2</v>
      </c>
      <c r="D150" s="57" t="s">
        <v>46</v>
      </c>
      <c r="E150" s="57"/>
      <c r="F150" s="88"/>
      <c r="G150" s="88"/>
      <c r="H150" s="88"/>
      <c r="I150" s="88"/>
      <c r="J150" s="88">
        <v>-1</v>
      </c>
      <c r="K150" s="88"/>
      <c r="L150" s="88"/>
      <c r="M150" s="88">
        <v>0.91</v>
      </c>
      <c r="N150" s="88">
        <v>0.09</v>
      </c>
      <c r="O150" s="138">
        <v>0</v>
      </c>
      <c r="P150" s="59"/>
      <c r="Q150" s="48"/>
    </row>
    <row r="151" spans="2:17" ht="15.5">
      <c r="B151" s="55"/>
      <c r="C151" s="56">
        <v>3</v>
      </c>
      <c r="D151" s="57" t="s">
        <v>47</v>
      </c>
      <c r="E151" s="57"/>
      <c r="F151" s="88">
        <v>-1</v>
      </c>
      <c r="G151" s="88"/>
      <c r="H151" s="88"/>
      <c r="I151" s="88"/>
      <c r="J151" s="88"/>
      <c r="K151" s="88"/>
      <c r="L151" s="88"/>
      <c r="M151" s="88">
        <v>1</v>
      </c>
      <c r="N151" s="88">
        <v>0</v>
      </c>
      <c r="O151" s="138">
        <v>0</v>
      </c>
      <c r="P151" s="59"/>
      <c r="Q151" s="48"/>
    </row>
    <row r="152" spans="2:17" ht="15.5">
      <c r="B152" s="55"/>
      <c r="C152" s="56">
        <v>4</v>
      </c>
      <c r="D152" s="57" t="s">
        <v>48</v>
      </c>
      <c r="E152" s="57"/>
      <c r="F152" s="88"/>
      <c r="G152" s="88"/>
      <c r="H152" s="88"/>
      <c r="I152" s="88">
        <v>-1</v>
      </c>
      <c r="J152" s="88"/>
      <c r="K152" s="88"/>
      <c r="L152" s="88"/>
      <c r="M152" s="88">
        <v>0.97</v>
      </c>
      <c r="N152" s="88">
        <v>0.03</v>
      </c>
      <c r="O152" s="138">
        <v>-2.7755575615628914E-17</v>
      </c>
      <c r="P152" s="59"/>
      <c r="Q152" s="48"/>
    </row>
    <row r="153" spans="2:17" ht="15.5">
      <c r="B153" s="55"/>
      <c r="C153" s="56">
        <v>5</v>
      </c>
      <c r="D153" s="57" t="s">
        <v>49</v>
      </c>
      <c r="E153" s="57" t="s">
        <v>66</v>
      </c>
      <c r="F153" s="88"/>
      <c r="G153" s="88"/>
      <c r="H153" s="88">
        <v>-1</v>
      </c>
      <c r="I153" s="88"/>
      <c r="J153" s="88"/>
      <c r="K153" s="88"/>
      <c r="L153" s="88"/>
      <c r="M153" s="88">
        <v>0.87</v>
      </c>
      <c r="N153" s="88">
        <v>0.13</v>
      </c>
      <c r="O153" s="138">
        <v>0</v>
      </c>
      <c r="P153" s="59"/>
      <c r="Q153" s="48"/>
    </row>
    <row r="154" spans="2:17" ht="15.5">
      <c r="B154" s="55"/>
      <c r="C154" s="56">
        <v>6</v>
      </c>
      <c r="D154" s="57" t="s">
        <v>50</v>
      </c>
      <c r="E154" s="57" t="s">
        <v>105</v>
      </c>
      <c r="F154" s="88"/>
      <c r="G154" s="88">
        <v>0.22500000000000001</v>
      </c>
      <c r="H154" s="88"/>
      <c r="I154" s="88"/>
      <c r="J154" s="88">
        <v>-1</v>
      </c>
      <c r="K154" s="88"/>
      <c r="L154" s="88"/>
      <c r="M154" s="88">
        <v>0.63</v>
      </c>
      <c r="N154" s="88">
        <v>0.14499999999999999</v>
      </c>
      <c r="O154" s="138">
        <v>0</v>
      </c>
      <c r="P154" s="59"/>
      <c r="Q154" s="48"/>
    </row>
    <row r="155" spans="2:17" ht="15.5">
      <c r="B155" s="55"/>
      <c r="C155" s="56">
        <v>7</v>
      </c>
      <c r="D155" s="57" t="s">
        <v>51</v>
      </c>
      <c r="E155" s="57" t="s">
        <v>105</v>
      </c>
      <c r="F155" s="88"/>
      <c r="G155" s="88">
        <v>0.45</v>
      </c>
      <c r="H155" s="88"/>
      <c r="I155" s="88"/>
      <c r="J155" s="88">
        <v>-1</v>
      </c>
      <c r="K155" s="88"/>
      <c r="L155" s="88"/>
      <c r="M155" s="88">
        <v>0.45</v>
      </c>
      <c r="N155" s="88">
        <v>0.1</v>
      </c>
      <c r="O155" s="138">
        <v>0</v>
      </c>
      <c r="P155" s="59"/>
      <c r="Q155" s="48"/>
    </row>
    <row r="156" spans="2:17" ht="15.5">
      <c r="B156" s="55"/>
      <c r="C156" s="56">
        <v>8</v>
      </c>
      <c r="D156" s="57" t="s">
        <v>52</v>
      </c>
      <c r="E156" s="103"/>
      <c r="F156" s="88">
        <v>-1</v>
      </c>
      <c r="G156" s="88"/>
      <c r="H156" s="88"/>
      <c r="I156" s="88"/>
      <c r="J156" s="88"/>
      <c r="K156" s="88"/>
      <c r="L156" s="88">
        <v>-1</v>
      </c>
      <c r="M156" s="88">
        <v>2</v>
      </c>
      <c r="N156" s="88"/>
      <c r="O156" s="138">
        <v>0</v>
      </c>
      <c r="P156" s="59"/>
      <c r="Q156" s="48"/>
    </row>
    <row r="157" spans="2:17" ht="15.5">
      <c r="B157" s="55"/>
      <c r="C157" s="56">
        <v>9</v>
      </c>
      <c r="D157" s="57" t="s">
        <v>53</v>
      </c>
      <c r="E157" s="57"/>
      <c r="F157" s="88">
        <v>-1</v>
      </c>
      <c r="G157" s="88"/>
      <c r="H157" s="88"/>
      <c r="I157" s="88"/>
      <c r="J157" s="88"/>
      <c r="K157" s="88"/>
      <c r="L157" s="88">
        <v>-2</v>
      </c>
      <c r="M157" s="88">
        <v>3</v>
      </c>
      <c r="N157" s="88"/>
      <c r="O157" s="138">
        <v>0</v>
      </c>
      <c r="P157" s="59"/>
      <c r="Q157" s="48"/>
    </row>
    <row r="158" spans="2:17" ht="15.5">
      <c r="B158" s="55"/>
      <c r="C158" s="56">
        <v>10</v>
      </c>
      <c r="D158" s="57" t="s">
        <v>54</v>
      </c>
      <c r="E158" s="57"/>
      <c r="F158" s="88"/>
      <c r="G158" s="88"/>
      <c r="H158" s="88"/>
      <c r="I158" s="88"/>
      <c r="J158" s="88"/>
      <c r="K158" s="88"/>
      <c r="L158" s="88">
        <v>-1</v>
      </c>
      <c r="M158" s="88">
        <v>0.85</v>
      </c>
      <c r="N158" s="88">
        <v>0.15</v>
      </c>
      <c r="O158" s="138">
        <v>0</v>
      </c>
      <c r="P158" s="59"/>
      <c r="Q158" s="48"/>
    </row>
    <row r="159" spans="2:17" ht="15.5">
      <c r="B159" s="55"/>
      <c r="C159" s="56">
        <v>11</v>
      </c>
      <c r="D159" s="57" t="s">
        <v>55</v>
      </c>
      <c r="E159" s="57"/>
      <c r="F159" s="88"/>
      <c r="G159" s="88">
        <v>0.38</v>
      </c>
      <c r="H159" s="88"/>
      <c r="I159" s="88"/>
      <c r="J159" s="88">
        <v>-1</v>
      </c>
      <c r="K159" s="88"/>
      <c r="L159" s="88"/>
      <c r="M159" s="88">
        <v>0.38</v>
      </c>
      <c r="N159" s="88">
        <v>0.24</v>
      </c>
      <c r="O159" s="138">
        <v>0</v>
      </c>
      <c r="P159" s="59"/>
      <c r="Q159" s="48"/>
    </row>
    <row r="160" spans="2:17" ht="15.5">
      <c r="B160" s="55"/>
      <c r="C160" s="56">
        <v>12</v>
      </c>
      <c r="D160" s="57" t="s">
        <v>56</v>
      </c>
      <c r="E160" s="57"/>
      <c r="F160" s="88"/>
      <c r="G160" s="88">
        <v>0.17</v>
      </c>
      <c r="H160" s="88">
        <v>-1</v>
      </c>
      <c r="I160" s="88"/>
      <c r="J160" s="88"/>
      <c r="K160" s="88"/>
      <c r="L160" s="88"/>
      <c r="M160" s="88">
        <v>0.56999999999999995</v>
      </c>
      <c r="N160" s="88">
        <v>0.26</v>
      </c>
      <c r="O160" s="138">
        <v>0</v>
      </c>
      <c r="P160" s="59"/>
      <c r="Q160" s="48"/>
    </row>
    <row r="161" spans="2:17" ht="15.5">
      <c r="B161" s="55"/>
      <c r="C161" s="61">
        <v>13</v>
      </c>
      <c r="D161" s="62" t="s">
        <v>57</v>
      </c>
      <c r="E161" s="62"/>
      <c r="F161" s="93"/>
      <c r="G161" s="139"/>
      <c r="H161" s="139"/>
      <c r="I161" s="139"/>
      <c r="J161" s="139"/>
      <c r="K161" s="139">
        <v>-1</v>
      </c>
      <c r="L161" s="139"/>
      <c r="M161" s="139">
        <v>0.9</v>
      </c>
      <c r="N161" s="139">
        <v>0.1</v>
      </c>
      <c r="O161" s="140">
        <v>0</v>
      </c>
      <c r="P161" s="60"/>
      <c r="Q161" s="48"/>
    </row>
    <row r="162" spans="2:17" ht="15.5">
      <c r="B162" s="55"/>
      <c r="C162" s="3828"/>
      <c r="D162" s="46"/>
      <c r="E162" s="46"/>
      <c r="F162" s="46"/>
      <c r="G162" s="46"/>
      <c r="H162" s="46"/>
      <c r="I162" s="46"/>
      <c r="J162" s="46"/>
      <c r="K162" s="46"/>
      <c r="L162" s="46"/>
      <c r="M162" s="46"/>
      <c r="N162" s="46"/>
      <c r="O162" s="46"/>
      <c r="P162" s="46"/>
      <c r="Q162" s="48"/>
    </row>
    <row r="163" spans="2:17">
      <c r="B163" s="130"/>
      <c r="C163" s="49" t="s">
        <v>106</v>
      </c>
      <c r="D163" s="46"/>
      <c r="E163" s="46"/>
      <c r="F163" s="46"/>
      <c r="G163" s="99"/>
      <c r="H163" s="46"/>
      <c r="I163" s="46"/>
      <c r="J163" s="46"/>
      <c r="K163" s="46"/>
      <c r="L163" s="46"/>
      <c r="M163" s="46"/>
      <c r="N163" s="46"/>
      <c r="O163" s="99" t="s">
        <v>84</v>
      </c>
      <c r="P163" s="99"/>
      <c r="Q163" s="48"/>
    </row>
    <row r="164" spans="2:17">
      <c r="B164" s="45"/>
      <c r="C164" s="46"/>
      <c r="D164" s="46"/>
      <c r="E164" s="46"/>
      <c r="F164" s="46"/>
      <c r="G164" s="46"/>
      <c r="H164" s="46"/>
      <c r="I164" s="46"/>
      <c r="J164" s="46"/>
      <c r="K164" s="46"/>
      <c r="L164" s="46"/>
      <c r="M164" s="46"/>
      <c r="N164" s="46"/>
      <c r="O164" s="46"/>
      <c r="P164" s="46"/>
      <c r="Q164" s="48"/>
    </row>
    <row r="165" spans="2:17" ht="21">
      <c r="B165" s="55"/>
      <c r="C165" s="111"/>
      <c r="D165" s="111"/>
      <c r="E165" s="111"/>
      <c r="F165" s="131" t="s">
        <v>85</v>
      </c>
      <c r="G165" s="131" t="s">
        <v>86</v>
      </c>
      <c r="H165" s="131" t="s">
        <v>87</v>
      </c>
      <c r="I165" s="131" t="s">
        <v>88</v>
      </c>
      <c r="J165" s="131" t="s">
        <v>89</v>
      </c>
      <c r="K165" s="131" t="s">
        <v>90</v>
      </c>
      <c r="L165" s="131" t="s">
        <v>91</v>
      </c>
      <c r="M165" s="131" t="s">
        <v>92</v>
      </c>
      <c r="N165" s="131" t="s">
        <v>93</v>
      </c>
      <c r="O165" s="132" t="s">
        <v>94</v>
      </c>
      <c r="P165" s="133"/>
      <c r="Q165" s="48"/>
    </row>
    <row r="166" spans="2:17" ht="15.5">
      <c r="B166" s="55"/>
      <c r="C166" s="134" t="s">
        <v>43</v>
      </c>
      <c r="D166" s="134" t="s">
        <v>44</v>
      </c>
      <c r="E166" s="134" t="s">
        <v>30</v>
      </c>
      <c r="F166" s="135" t="s">
        <v>95</v>
      </c>
      <c r="G166" s="135" t="s">
        <v>96</v>
      </c>
      <c r="H166" s="135" t="s">
        <v>97</v>
      </c>
      <c r="I166" s="135" t="s">
        <v>98</v>
      </c>
      <c r="J166" s="135" t="s">
        <v>99</v>
      </c>
      <c r="K166" s="135" t="s">
        <v>100</v>
      </c>
      <c r="L166" s="135" t="s">
        <v>101</v>
      </c>
      <c r="M166" s="135" t="s">
        <v>102</v>
      </c>
      <c r="N166" s="135" t="s">
        <v>103</v>
      </c>
      <c r="O166" s="136"/>
      <c r="P166" s="137"/>
      <c r="Q166" s="48"/>
    </row>
    <row r="167" spans="2:17" ht="15.5">
      <c r="B167" s="55"/>
      <c r="C167" s="56">
        <v>1</v>
      </c>
      <c r="D167" s="57" t="s">
        <v>45</v>
      </c>
      <c r="E167" s="57"/>
      <c r="F167" s="88">
        <v>0</v>
      </c>
      <c r="G167" s="88">
        <v>0</v>
      </c>
      <c r="H167" s="88">
        <v>0</v>
      </c>
      <c r="I167" s="88">
        <v>0</v>
      </c>
      <c r="J167" s="88">
        <v>-1</v>
      </c>
      <c r="K167" s="88">
        <v>0</v>
      </c>
      <c r="L167" s="88">
        <v>0</v>
      </c>
      <c r="M167" s="88">
        <v>0.76</v>
      </c>
      <c r="N167" s="88">
        <v>0.24</v>
      </c>
      <c r="O167" s="138">
        <v>0</v>
      </c>
      <c r="P167" s="59"/>
      <c r="Q167" s="48"/>
    </row>
    <row r="168" spans="2:17" ht="15.5">
      <c r="B168" s="55"/>
      <c r="C168" s="56">
        <v>2</v>
      </c>
      <c r="D168" s="57" t="s">
        <v>46</v>
      </c>
      <c r="E168" s="57"/>
      <c r="F168" s="88">
        <v>0</v>
      </c>
      <c r="G168" s="88">
        <v>0</v>
      </c>
      <c r="H168" s="88">
        <v>0</v>
      </c>
      <c r="I168" s="88">
        <v>0</v>
      </c>
      <c r="J168" s="88">
        <v>-1</v>
      </c>
      <c r="K168" s="88">
        <v>0</v>
      </c>
      <c r="L168" s="88">
        <v>0</v>
      </c>
      <c r="M168" s="88">
        <v>0.91</v>
      </c>
      <c r="N168" s="88">
        <v>0.09</v>
      </c>
      <c r="O168" s="138">
        <v>0</v>
      </c>
      <c r="P168" s="59"/>
      <c r="Q168" s="48"/>
    </row>
    <row r="169" spans="2:17" ht="15.5">
      <c r="B169" s="55"/>
      <c r="C169" s="56">
        <v>3</v>
      </c>
      <c r="D169" s="57" t="s">
        <v>47</v>
      </c>
      <c r="E169" s="57"/>
      <c r="F169" s="88">
        <v>-1</v>
      </c>
      <c r="G169" s="88">
        <v>0</v>
      </c>
      <c r="H169" s="88">
        <v>0</v>
      </c>
      <c r="I169" s="88">
        <v>0</v>
      </c>
      <c r="J169" s="88">
        <v>0</v>
      </c>
      <c r="K169" s="88">
        <v>0</v>
      </c>
      <c r="L169" s="88">
        <v>0</v>
      </c>
      <c r="M169" s="88">
        <v>1</v>
      </c>
      <c r="N169" s="88">
        <v>0</v>
      </c>
      <c r="O169" s="138">
        <v>0</v>
      </c>
      <c r="P169" s="59"/>
      <c r="Q169" s="48"/>
    </row>
    <row r="170" spans="2:17" ht="15.5">
      <c r="B170" s="55"/>
      <c r="C170" s="56">
        <v>4</v>
      </c>
      <c r="D170" s="57" t="s">
        <v>48</v>
      </c>
      <c r="E170" s="57"/>
      <c r="F170" s="88">
        <v>0</v>
      </c>
      <c r="G170" s="88">
        <v>0</v>
      </c>
      <c r="H170" s="88">
        <v>0</v>
      </c>
      <c r="I170" s="88">
        <v>-1</v>
      </c>
      <c r="J170" s="88">
        <v>0</v>
      </c>
      <c r="K170" s="88">
        <v>0</v>
      </c>
      <c r="L170" s="88">
        <v>0</v>
      </c>
      <c r="M170" s="88">
        <v>0.97</v>
      </c>
      <c r="N170" s="88">
        <v>0.03</v>
      </c>
      <c r="O170" s="138">
        <v>-2.7755575615628914E-17</v>
      </c>
      <c r="P170" s="59"/>
      <c r="Q170" s="48"/>
    </row>
    <row r="171" spans="2:17" ht="15.5">
      <c r="B171" s="55"/>
      <c r="C171" s="56">
        <v>5</v>
      </c>
      <c r="D171" s="57" t="s">
        <v>49</v>
      </c>
      <c r="E171" s="57" t="s">
        <v>66</v>
      </c>
      <c r="F171" s="88">
        <v>0</v>
      </c>
      <c r="G171" s="88">
        <v>0</v>
      </c>
      <c r="H171" s="88">
        <v>-1</v>
      </c>
      <c r="I171" s="88">
        <v>0</v>
      </c>
      <c r="J171" s="88">
        <v>0</v>
      </c>
      <c r="K171" s="88">
        <v>0</v>
      </c>
      <c r="L171" s="88">
        <v>0</v>
      </c>
      <c r="M171" s="88">
        <v>0.87</v>
      </c>
      <c r="N171" s="88">
        <v>0.13</v>
      </c>
      <c r="O171" s="138">
        <v>0</v>
      </c>
      <c r="P171" s="59"/>
      <c r="Q171" s="48"/>
    </row>
    <row r="172" spans="2:17" ht="15.5">
      <c r="B172" s="55"/>
      <c r="C172" s="56">
        <v>6</v>
      </c>
      <c r="D172" s="57" t="s">
        <v>50</v>
      </c>
      <c r="E172" s="57"/>
      <c r="F172" s="88">
        <v>0</v>
      </c>
      <c r="G172" s="88">
        <v>0.22500000000000001</v>
      </c>
      <c r="H172" s="88">
        <v>0</v>
      </c>
      <c r="I172" s="88">
        <v>0</v>
      </c>
      <c r="J172" s="88">
        <v>-1</v>
      </c>
      <c r="K172" s="88">
        <v>0</v>
      </c>
      <c r="L172" s="88">
        <v>0</v>
      </c>
      <c r="M172" s="88">
        <v>0.63</v>
      </c>
      <c r="N172" s="88">
        <v>0.14499999999999999</v>
      </c>
      <c r="O172" s="138">
        <v>0</v>
      </c>
      <c r="P172" s="59"/>
      <c r="Q172" s="48"/>
    </row>
    <row r="173" spans="2:17" ht="15.5">
      <c r="B173" s="55"/>
      <c r="C173" s="56">
        <v>7</v>
      </c>
      <c r="D173" s="57" t="s">
        <v>51</v>
      </c>
      <c r="E173" s="57"/>
      <c r="F173" s="88">
        <v>0</v>
      </c>
      <c r="G173" s="88">
        <v>0.45</v>
      </c>
      <c r="H173" s="88">
        <v>0</v>
      </c>
      <c r="I173" s="88">
        <v>0</v>
      </c>
      <c r="J173" s="88">
        <v>-1</v>
      </c>
      <c r="K173" s="88">
        <v>0</v>
      </c>
      <c r="L173" s="88">
        <v>0</v>
      </c>
      <c r="M173" s="88">
        <v>0.45</v>
      </c>
      <c r="N173" s="88">
        <v>0.1</v>
      </c>
      <c r="O173" s="138">
        <v>0</v>
      </c>
      <c r="P173" s="59"/>
      <c r="Q173" s="48"/>
    </row>
    <row r="174" spans="2:17" ht="15.5">
      <c r="B174" s="55"/>
      <c r="C174" s="56">
        <v>8</v>
      </c>
      <c r="D174" s="57" t="s">
        <v>52</v>
      </c>
      <c r="E174" s="57"/>
      <c r="F174" s="88">
        <v>-1</v>
      </c>
      <c r="G174" s="88">
        <v>0</v>
      </c>
      <c r="H174" s="88">
        <v>0</v>
      </c>
      <c r="I174" s="88">
        <v>0</v>
      </c>
      <c r="J174" s="88">
        <v>0</v>
      </c>
      <c r="K174" s="88">
        <v>0</v>
      </c>
      <c r="L174" s="88">
        <v>-1.7000000000000002</v>
      </c>
      <c r="M174" s="88">
        <v>2.7</v>
      </c>
      <c r="N174" s="88">
        <v>0</v>
      </c>
      <c r="O174" s="138">
        <v>0</v>
      </c>
      <c r="P174" s="59"/>
      <c r="Q174" s="48"/>
    </row>
    <row r="175" spans="2:17" ht="15.5">
      <c r="B175" s="55"/>
      <c r="C175" s="56">
        <v>9</v>
      </c>
      <c r="D175" s="57" t="s">
        <v>53</v>
      </c>
      <c r="E175" s="57"/>
      <c r="F175" s="88">
        <v>-1</v>
      </c>
      <c r="G175" s="88">
        <v>0</v>
      </c>
      <c r="H175" s="88">
        <v>0</v>
      </c>
      <c r="I175" s="88">
        <v>0</v>
      </c>
      <c r="J175" s="88">
        <v>0</v>
      </c>
      <c r="K175" s="88">
        <v>0</v>
      </c>
      <c r="L175" s="88">
        <v>-2.96</v>
      </c>
      <c r="M175" s="88">
        <v>3.96</v>
      </c>
      <c r="N175" s="88">
        <v>0</v>
      </c>
      <c r="O175" s="138">
        <v>0</v>
      </c>
      <c r="P175" s="59"/>
      <c r="Q175" s="48"/>
    </row>
    <row r="176" spans="2:17" ht="15.5">
      <c r="B176" s="55"/>
      <c r="C176" s="56">
        <v>10</v>
      </c>
      <c r="D176" s="57" t="s">
        <v>54</v>
      </c>
      <c r="E176" s="57"/>
      <c r="F176" s="88">
        <v>0</v>
      </c>
      <c r="G176" s="88">
        <v>0</v>
      </c>
      <c r="H176" s="88">
        <v>0</v>
      </c>
      <c r="I176" s="88">
        <v>0</v>
      </c>
      <c r="J176" s="88">
        <v>0</v>
      </c>
      <c r="K176" s="88">
        <v>0</v>
      </c>
      <c r="L176" s="88">
        <v>-1</v>
      </c>
      <c r="M176" s="88">
        <v>0.85</v>
      </c>
      <c r="N176" s="88">
        <v>0.15</v>
      </c>
      <c r="O176" s="138">
        <v>0</v>
      </c>
      <c r="P176" s="59"/>
      <c r="Q176" s="48"/>
    </row>
    <row r="177" spans="2:17" ht="15.5">
      <c r="B177" s="55"/>
      <c r="C177" s="56">
        <v>11</v>
      </c>
      <c r="D177" s="57" t="s">
        <v>55</v>
      </c>
      <c r="E177" s="57"/>
      <c r="F177" s="88">
        <v>0</v>
      </c>
      <c r="G177" s="88">
        <v>0.38</v>
      </c>
      <c r="H177" s="88">
        <v>0</v>
      </c>
      <c r="I177" s="88">
        <v>0</v>
      </c>
      <c r="J177" s="88">
        <v>-1</v>
      </c>
      <c r="K177" s="88">
        <v>0</v>
      </c>
      <c r="L177" s="88">
        <v>0</v>
      </c>
      <c r="M177" s="88">
        <v>0.38</v>
      </c>
      <c r="N177" s="88">
        <v>0.24</v>
      </c>
      <c r="O177" s="138">
        <v>0</v>
      </c>
      <c r="P177" s="59"/>
      <c r="Q177" s="48"/>
    </row>
    <row r="178" spans="2:17" ht="15.5">
      <c r="B178" s="55"/>
      <c r="C178" s="56">
        <v>12</v>
      </c>
      <c r="D178" s="57" t="s">
        <v>56</v>
      </c>
      <c r="E178" s="57"/>
      <c r="F178" s="88">
        <v>0</v>
      </c>
      <c r="G178" s="88">
        <v>0.17</v>
      </c>
      <c r="H178" s="88">
        <v>-1</v>
      </c>
      <c r="I178" s="88">
        <v>0</v>
      </c>
      <c r="J178" s="88">
        <v>0</v>
      </c>
      <c r="K178" s="88">
        <v>0</v>
      </c>
      <c r="L178" s="88">
        <v>0</v>
      </c>
      <c r="M178" s="88">
        <v>0.56999999999999995</v>
      </c>
      <c r="N178" s="88">
        <v>0.26</v>
      </c>
      <c r="O178" s="138">
        <v>0</v>
      </c>
      <c r="P178" s="59"/>
      <c r="Q178" s="48"/>
    </row>
    <row r="179" spans="2:17" ht="15.5">
      <c r="B179" s="55"/>
      <c r="C179" s="61">
        <v>13</v>
      </c>
      <c r="D179" s="62" t="s">
        <v>57</v>
      </c>
      <c r="E179" s="62"/>
      <c r="F179" s="93">
        <v>0</v>
      </c>
      <c r="G179" s="139">
        <v>0</v>
      </c>
      <c r="H179" s="139">
        <v>0</v>
      </c>
      <c r="I179" s="139">
        <v>0</v>
      </c>
      <c r="J179" s="139">
        <v>0</v>
      </c>
      <c r="K179" s="139">
        <v>-1</v>
      </c>
      <c r="L179" s="139">
        <v>0</v>
      </c>
      <c r="M179" s="139">
        <v>0.9</v>
      </c>
      <c r="N179" s="139">
        <v>0.1</v>
      </c>
      <c r="O179" s="140">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107</v>
      </c>
      <c r="D181" s="46"/>
      <c r="E181" s="46"/>
      <c r="F181" s="46"/>
      <c r="G181" s="99"/>
      <c r="H181" s="46"/>
      <c r="I181" s="46"/>
      <c r="J181" s="46"/>
      <c r="K181" s="46"/>
      <c r="L181" s="46"/>
      <c r="M181" s="46"/>
      <c r="N181" s="46"/>
      <c r="O181" s="99" t="s">
        <v>84</v>
      </c>
      <c r="P181" s="99"/>
      <c r="Q181" s="48"/>
    </row>
    <row r="182" spans="2:17">
      <c r="B182" s="45"/>
      <c r="C182" s="46"/>
      <c r="D182" s="46"/>
      <c r="E182" s="46"/>
      <c r="F182" s="46"/>
      <c r="G182" s="46"/>
      <c r="H182" s="46"/>
      <c r="I182" s="46"/>
      <c r="J182" s="46"/>
      <c r="K182" s="46"/>
      <c r="L182" s="46"/>
      <c r="M182" s="46"/>
      <c r="N182" s="46"/>
      <c r="O182" s="46"/>
      <c r="P182" s="46"/>
      <c r="Q182" s="48"/>
    </row>
    <row r="183" spans="2:17" ht="21">
      <c r="B183" s="45"/>
      <c r="C183" s="111"/>
      <c r="D183" s="111"/>
      <c r="E183" s="111"/>
      <c r="F183" s="131" t="s">
        <v>85</v>
      </c>
      <c r="G183" s="131" t="s">
        <v>86</v>
      </c>
      <c r="H183" s="131" t="s">
        <v>87</v>
      </c>
      <c r="I183" s="131" t="s">
        <v>88</v>
      </c>
      <c r="J183" s="131" t="s">
        <v>89</v>
      </c>
      <c r="K183" s="131" t="s">
        <v>90</v>
      </c>
      <c r="L183" s="131" t="s">
        <v>91</v>
      </c>
      <c r="M183" s="131" t="s">
        <v>92</v>
      </c>
      <c r="N183" s="131" t="s">
        <v>93</v>
      </c>
      <c r="O183" s="132" t="s">
        <v>94</v>
      </c>
      <c r="P183" s="133"/>
      <c r="Q183" s="48"/>
    </row>
    <row r="184" spans="2:17">
      <c r="B184" s="45"/>
      <c r="C184" s="134" t="s">
        <v>43</v>
      </c>
      <c r="D184" s="134" t="s">
        <v>44</v>
      </c>
      <c r="E184" s="134" t="s">
        <v>30</v>
      </c>
      <c r="F184" s="135" t="s">
        <v>95</v>
      </c>
      <c r="G184" s="135" t="s">
        <v>96</v>
      </c>
      <c r="H184" s="135" t="s">
        <v>97</v>
      </c>
      <c r="I184" s="135" t="s">
        <v>98</v>
      </c>
      <c r="J184" s="135" t="s">
        <v>99</v>
      </c>
      <c r="K184" s="135" t="s">
        <v>100</v>
      </c>
      <c r="L184" s="135" t="s">
        <v>101</v>
      </c>
      <c r="M184" s="135" t="s">
        <v>102</v>
      </c>
      <c r="N184" s="135" t="s">
        <v>103</v>
      </c>
      <c r="O184" s="136"/>
      <c r="P184" s="137"/>
      <c r="Q184" s="48"/>
    </row>
    <row r="185" spans="2:17" ht="15.5">
      <c r="B185" s="55"/>
      <c r="C185" s="56">
        <v>1</v>
      </c>
      <c r="D185" s="57" t="s">
        <v>45</v>
      </c>
      <c r="E185" s="57"/>
      <c r="F185" s="88">
        <v>0</v>
      </c>
      <c r="G185" s="88">
        <v>0</v>
      </c>
      <c r="H185" s="88">
        <v>0</v>
      </c>
      <c r="I185" s="88">
        <v>0</v>
      </c>
      <c r="J185" s="88">
        <v>-1</v>
      </c>
      <c r="K185" s="88">
        <v>0</v>
      </c>
      <c r="L185" s="88">
        <v>0</v>
      </c>
      <c r="M185" s="88">
        <v>0.76</v>
      </c>
      <c r="N185" s="88">
        <v>0.24</v>
      </c>
      <c r="O185" s="138">
        <v>0</v>
      </c>
      <c r="P185" s="59"/>
      <c r="Q185" s="48"/>
    </row>
    <row r="186" spans="2:17" ht="15.5">
      <c r="B186" s="55"/>
      <c r="C186" s="56">
        <v>2</v>
      </c>
      <c r="D186" s="57" t="s">
        <v>46</v>
      </c>
      <c r="E186" s="57"/>
      <c r="F186" s="88">
        <v>0</v>
      </c>
      <c r="G186" s="88">
        <v>0</v>
      </c>
      <c r="H186" s="88">
        <v>0</v>
      </c>
      <c r="I186" s="88">
        <v>0</v>
      </c>
      <c r="J186" s="88">
        <v>-1</v>
      </c>
      <c r="K186" s="88">
        <v>0</v>
      </c>
      <c r="L186" s="88">
        <v>0</v>
      </c>
      <c r="M186" s="88">
        <v>0.91</v>
      </c>
      <c r="N186" s="88">
        <v>0.09</v>
      </c>
      <c r="O186" s="138">
        <v>0</v>
      </c>
      <c r="P186" s="59"/>
      <c r="Q186" s="48"/>
    </row>
    <row r="187" spans="2:17" ht="15.5">
      <c r="B187" s="55"/>
      <c r="C187" s="56">
        <v>3</v>
      </c>
      <c r="D187" s="57" t="s">
        <v>47</v>
      </c>
      <c r="E187" s="57"/>
      <c r="F187" s="88">
        <v>-1</v>
      </c>
      <c r="G187" s="88">
        <v>0</v>
      </c>
      <c r="H187" s="88">
        <v>0</v>
      </c>
      <c r="I187" s="88">
        <v>0</v>
      </c>
      <c r="J187" s="88">
        <v>0</v>
      </c>
      <c r="K187" s="88">
        <v>0</v>
      </c>
      <c r="L187" s="88">
        <v>0</v>
      </c>
      <c r="M187" s="88">
        <v>1</v>
      </c>
      <c r="N187" s="88">
        <v>0</v>
      </c>
      <c r="O187" s="138">
        <v>0</v>
      </c>
      <c r="P187" s="59"/>
      <c r="Q187" s="48"/>
    </row>
    <row r="188" spans="2:17" ht="15.5">
      <c r="B188" s="55"/>
      <c r="C188" s="56">
        <v>4</v>
      </c>
      <c r="D188" s="57" t="s">
        <v>48</v>
      </c>
      <c r="E188" s="57"/>
      <c r="F188" s="88">
        <v>0</v>
      </c>
      <c r="G188" s="88">
        <v>0</v>
      </c>
      <c r="H188" s="88">
        <v>0</v>
      </c>
      <c r="I188" s="88">
        <v>-1</v>
      </c>
      <c r="J188" s="88">
        <v>0</v>
      </c>
      <c r="K188" s="88">
        <v>0</v>
      </c>
      <c r="L188" s="88">
        <v>0</v>
      </c>
      <c r="M188" s="88">
        <v>0.97</v>
      </c>
      <c r="N188" s="88">
        <v>0.03</v>
      </c>
      <c r="O188" s="138">
        <v>-2.7755575615628914E-17</v>
      </c>
      <c r="P188" s="59"/>
      <c r="Q188" s="48"/>
    </row>
    <row r="189" spans="2:17" ht="15.5">
      <c r="B189" s="55"/>
      <c r="C189" s="56">
        <v>5</v>
      </c>
      <c r="D189" s="57" t="s">
        <v>49</v>
      </c>
      <c r="E189" s="57" t="s">
        <v>66</v>
      </c>
      <c r="F189" s="88">
        <v>0</v>
      </c>
      <c r="G189" s="88">
        <v>0</v>
      </c>
      <c r="H189" s="88">
        <v>-1</v>
      </c>
      <c r="I189" s="88">
        <v>0</v>
      </c>
      <c r="J189" s="88">
        <v>0</v>
      </c>
      <c r="K189" s="88">
        <v>0</v>
      </c>
      <c r="L189" s="88">
        <v>0</v>
      </c>
      <c r="M189" s="88">
        <v>0.87</v>
      </c>
      <c r="N189" s="88">
        <v>0.13</v>
      </c>
      <c r="O189" s="138">
        <v>0</v>
      </c>
      <c r="P189" s="59"/>
      <c r="Q189" s="48"/>
    </row>
    <row r="190" spans="2:17" ht="15.5">
      <c r="B190" s="55"/>
      <c r="C190" s="56">
        <v>6</v>
      </c>
      <c r="D190" s="57" t="s">
        <v>50</v>
      </c>
      <c r="E190" s="57" t="s">
        <v>105</v>
      </c>
      <c r="F190" s="88">
        <v>0</v>
      </c>
      <c r="G190" s="88">
        <v>0.22500000000000001</v>
      </c>
      <c r="H190" s="88">
        <v>0</v>
      </c>
      <c r="I190" s="88">
        <v>0</v>
      </c>
      <c r="J190" s="88">
        <v>-1</v>
      </c>
      <c r="K190" s="88">
        <v>0</v>
      </c>
      <c r="L190" s="88">
        <v>0</v>
      </c>
      <c r="M190" s="88">
        <v>0.63</v>
      </c>
      <c r="N190" s="88">
        <v>0.14499999999999999</v>
      </c>
      <c r="O190" s="138">
        <v>0</v>
      </c>
      <c r="P190" s="59"/>
      <c r="Q190" s="48"/>
    </row>
    <row r="191" spans="2:17" ht="15.5">
      <c r="B191" s="55"/>
      <c r="C191" s="56">
        <v>7</v>
      </c>
      <c r="D191" s="57" t="s">
        <v>51</v>
      </c>
      <c r="E191" s="57" t="s">
        <v>105</v>
      </c>
      <c r="F191" s="88">
        <v>0</v>
      </c>
      <c r="G191" s="88">
        <v>0.45</v>
      </c>
      <c r="H191" s="88">
        <v>0</v>
      </c>
      <c r="I191" s="88">
        <v>0</v>
      </c>
      <c r="J191" s="88">
        <v>-1</v>
      </c>
      <c r="K191" s="88">
        <v>0</v>
      </c>
      <c r="L191" s="88">
        <v>0</v>
      </c>
      <c r="M191" s="88">
        <v>0.45</v>
      </c>
      <c r="N191" s="88">
        <v>0.1</v>
      </c>
      <c r="O191" s="138">
        <v>0</v>
      </c>
      <c r="P191" s="59"/>
      <c r="Q191" s="48"/>
    </row>
    <row r="192" spans="2:17" ht="15.5">
      <c r="B192" s="55"/>
      <c r="C192" s="56">
        <v>8</v>
      </c>
      <c r="D192" s="57" t="s">
        <v>52</v>
      </c>
      <c r="E192" s="57"/>
      <c r="F192" s="88">
        <v>-1</v>
      </c>
      <c r="G192" s="88">
        <v>0</v>
      </c>
      <c r="H192" s="88">
        <v>0</v>
      </c>
      <c r="I192" s="88">
        <v>0</v>
      </c>
      <c r="J192" s="88">
        <v>0</v>
      </c>
      <c r="K192" s="88">
        <v>0</v>
      </c>
      <c r="L192" s="88">
        <v>-0.8</v>
      </c>
      <c r="M192" s="88">
        <v>1.8</v>
      </c>
      <c r="N192" s="88">
        <v>0</v>
      </c>
      <c r="O192" s="138">
        <v>0</v>
      </c>
      <c r="P192" s="59"/>
      <c r="Q192" s="48"/>
    </row>
    <row r="193" spans="2:17" ht="15.5">
      <c r="B193" s="55"/>
      <c r="C193" s="56">
        <v>9</v>
      </c>
      <c r="D193" s="57" t="s">
        <v>53</v>
      </c>
      <c r="E193" s="57"/>
      <c r="F193" s="88">
        <v>-1</v>
      </c>
      <c r="G193" s="88">
        <v>0</v>
      </c>
      <c r="H193" s="88">
        <v>0</v>
      </c>
      <c r="I193" s="88">
        <v>0</v>
      </c>
      <c r="J193" s="88">
        <v>0</v>
      </c>
      <c r="K193" s="88">
        <v>0</v>
      </c>
      <c r="L193" s="88">
        <v>-1.9699999999999998</v>
      </c>
      <c r="M193" s="88">
        <v>2.9699999999999998</v>
      </c>
      <c r="N193" s="88">
        <v>0</v>
      </c>
      <c r="O193" s="138">
        <v>0</v>
      </c>
      <c r="P193" s="59"/>
      <c r="Q193" s="48"/>
    </row>
    <row r="194" spans="2:17" ht="15.5">
      <c r="B194" s="55"/>
      <c r="C194" s="56">
        <v>10</v>
      </c>
      <c r="D194" s="57" t="s">
        <v>54</v>
      </c>
      <c r="E194" s="57"/>
      <c r="F194" s="88">
        <v>0</v>
      </c>
      <c r="G194" s="88">
        <v>0</v>
      </c>
      <c r="H194" s="88">
        <v>0</v>
      </c>
      <c r="I194" s="88">
        <v>0</v>
      </c>
      <c r="J194" s="88">
        <v>0</v>
      </c>
      <c r="K194" s="88">
        <v>0</v>
      </c>
      <c r="L194" s="88">
        <v>-1</v>
      </c>
      <c r="M194" s="88">
        <v>0.85</v>
      </c>
      <c r="N194" s="88">
        <v>0.15</v>
      </c>
      <c r="O194" s="138">
        <v>0</v>
      </c>
      <c r="P194" s="59"/>
      <c r="Q194" s="48"/>
    </row>
    <row r="195" spans="2:17" ht="15.5">
      <c r="B195" s="55"/>
      <c r="C195" s="56">
        <v>11</v>
      </c>
      <c r="D195" s="57" t="s">
        <v>55</v>
      </c>
      <c r="E195" s="57"/>
      <c r="F195" s="88">
        <v>0</v>
      </c>
      <c r="G195" s="88">
        <v>0.38</v>
      </c>
      <c r="H195" s="88">
        <v>0</v>
      </c>
      <c r="I195" s="88">
        <v>0</v>
      </c>
      <c r="J195" s="88">
        <v>-1</v>
      </c>
      <c r="K195" s="88">
        <v>0</v>
      </c>
      <c r="L195" s="88">
        <v>0</v>
      </c>
      <c r="M195" s="88">
        <v>0.38</v>
      </c>
      <c r="N195" s="88">
        <v>0.24</v>
      </c>
      <c r="O195" s="138">
        <v>0</v>
      </c>
      <c r="P195" s="59"/>
      <c r="Q195" s="48"/>
    </row>
    <row r="196" spans="2:17" ht="15.5">
      <c r="B196" s="55"/>
      <c r="C196" s="56">
        <v>12</v>
      </c>
      <c r="D196" s="57" t="s">
        <v>56</v>
      </c>
      <c r="E196" s="57"/>
      <c r="F196" s="88">
        <v>0</v>
      </c>
      <c r="G196" s="88">
        <v>0.17</v>
      </c>
      <c r="H196" s="88">
        <v>-1</v>
      </c>
      <c r="I196" s="88">
        <v>0</v>
      </c>
      <c r="J196" s="88">
        <v>0</v>
      </c>
      <c r="K196" s="88">
        <v>0</v>
      </c>
      <c r="L196" s="88">
        <v>0</v>
      </c>
      <c r="M196" s="88">
        <v>0.56999999999999995</v>
      </c>
      <c r="N196" s="88">
        <v>0.26</v>
      </c>
      <c r="O196" s="138">
        <v>0</v>
      </c>
      <c r="P196" s="59"/>
      <c r="Q196" s="48"/>
    </row>
    <row r="197" spans="2:17" ht="15.5">
      <c r="B197" s="55"/>
      <c r="C197" s="61">
        <v>13</v>
      </c>
      <c r="D197" s="62" t="s">
        <v>57</v>
      </c>
      <c r="E197" s="62"/>
      <c r="F197" s="93">
        <v>0</v>
      </c>
      <c r="G197" s="139">
        <v>0</v>
      </c>
      <c r="H197" s="139">
        <v>0</v>
      </c>
      <c r="I197" s="139">
        <v>0</v>
      </c>
      <c r="J197" s="139">
        <v>0</v>
      </c>
      <c r="K197" s="139">
        <v>-1</v>
      </c>
      <c r="L197" s="139">
        <v>0</v>
      </c>
      <c r="M197" s="139">
        <v>0.9</v>
      </c>
      <c r="N197" s="139">
        <v>0.1</v>
      </c>
      <c r="O197" s="140">
        <v>0</v>
      </c>
      <c r="P197" s="60"/>
      <c r="Q197" s="48"/>
    </row>
    <row r="198" spans="2:17">
      <c r="B198" s="45"/>
      <c r="C198" s="3828"/>
      <c r="D198" s="46"/>
      <c r="E198" s="46"/>
      <c r="F198" s="46"/>
      <c r="G198" s="46"/>
      <c r="H198" s="46"/>
      <c r="I198" s="46"/>
      <c r="J198" s="46"/>
      <c r="K198" s="46"/>
      <c r="L198" s="46"/>
      <c r="M198" s="46"/>
      <c r="N198" s="46"/>
      <c r="O198" s="46"/>
      <c r="P198" s="46"/>
      <c r="Q198" s="48"/>
    </row>
    <row r="199" spans="2:17">
      <c r="B199" s="45"/>
      <c r="C199" s="49" t="s">
        <v>3411</v>
      </c>
      <c r="D199" s="46"/>
      <c r="E199" s="46"/>
      <c r="F199" s="46"/>
      <c r="G199" s="99"/>
      <c r="H199" s="46"/>
      <c r="I199" s="46"/>
      <c r="J199" s="46"/>
      <c r="K199" s="46"/>
      <c r="L199" s="46"/>
      <c r="M199" s="46"/>
      <c r="N199" s="46"/>
      <c r="O199" s="99" t="s">
        <v>84</v>
      </c>
      <c r="P199" s="99"/>
      <c r="Q199" s="48"/>
    </row>
    <row r="200" spans="2:17" ht="15" hidden="1" customHeight="1">
      <c r="B200" s="45"/>
      <c r="C200" s="46"/>
      <c r="D200" s="46"/>
      <c r="E200" s="46"/>
      <c r="F200" s="46"/>
      <c r="G200" s="46"/>
      <c r="H200" s="46"/>
      <c r="I200" s="46"/>
      <c r="J200" s="46"/>
      <c r="K200" s="46"/>
      <c r="L200" s="46"/>
      <c r="M200" s="46"/>
      <c r="N200" s="46"/>
      <c r="O200" s="46"/>
      <c r="P200" s="46"/>
      <c r="Q200" s="48"/>
    </row>
    <row r="201" spans="2:17" ht="22.5" hidden="1" customHeight="1">
      <c r="B201" s="45"/>
      <c r="C201" s="111"/>
      <c r="D201" s="111"/>
      <c r="E201" s="111"/>
      <c r="F201" s="131" t="s">
        <v>85</v>
      </c>
      <c r="G201" s="131" t="s">
        <v>86</v>
      </c>
      <c r="H201" s="131" t="s">
        <v>87</v>
      </c>
      <c r="I201" s="131" t="s">
        <v>88</v>
      </c>
      <c r="J201" s="131" t="s">
        <v>89</v>
      </c>
      <c r="K201" s="131" t="s">
        <v>90</v>
      </c>
      <c r="L201" s="131" t="s">
        <v>91</v>
      </c>
      <c r="M201" s="131" t="s">
        <v>92</v>
      </c>
      <c r="N201" s="131" t="s">
        <v>93</v>
      </c>
      <c r="O201" s="132" t="s">
        <v>94</v>
      </c>
      <c r="P201" s="133"/>
      <c r="Q201" s="48"/>
    </row>
    <row r="202" spans="2:17" ht="15" hidden="1" customHeight="1">
      <c r="B202" s="45"/>
      <c r="C202" s="134" t="s">
        <v>43</v>
      </c>
      <c r="D202" s="134" t="s">
        <v>44</v>
      </c>
      <c r="E202" s="134" t="s">
        <v>30</v>
      </c>
      <c r="F202" s="135" t="s">
        <v>95</v>
      </c>
      <c r="G202" s="135" t="s">
        <v>96</v>
      </c>
      <c r="H202" s="135" t="s">
        <v>97</v>
      </c>
      <c r="I202" s="135" t="s">
        <v>98</v>
      </c>
      <c r="J202" s="135" t="s">
        <v>99</v>
      </c>
      <c r="K202" s="135" t="s">
        <v>100</v>
      </c>
      <c r="L202" s="135" t="s">
        <v>101</v>
      </c>
      <c r="M202" s="135" t="s">
        <v>102</v>
      </c>
      <c r="N202" s="135" t="s">
        <v>103</v>
      </c>
      <c r="O202" s="136"/>
      <c r="P202" s="137"/>
      <c r="Q202" s="48"/>
    </row>
    <row r="203" spans="2:17" ht="15.75" hidden="1" customHeight="1">
      <c r="B203" s="55"/>
      <c r="C203" s="56">
        <v>1</v>
      </c>
      <c r="D203" s="57" t="s">
        <v>60</v>
      </c>
      <c r="E203" s="57"/>
      <c r="F203" s="88">
        <v>-1</v>
      </c>
      <c r="G203" s="88"/>
      <c r="H203" s="88"/>
      <c r="I203" s="88"/>
      <c r="J203" s="88"/>
      <c r="K203" s="88"/>
      <c r="L203" s="88">
        <v>-1.5</v>
      </c>
      <c r="M203" s="88">
        <v>2.5</v>
      </c>
      <c r="N203" s="88"/>
      <c r="O203" s="138">
        <v>0</v>
      </c>
      <c r="P203" s="59"/>
      <c r="Q203" s="48"/>
    </row>
    <row r="204" spans="2:17" ht="15.75" hidden="1" customHeight="1">
      <c r="B204" s="55"/>
      <c r="C204" s="56">
        <v>2</v>
      </c>
      <c r="D204" s="57" t="s">
        <v>61</v>
      </c>
      <c r="E204" s="57"/>
      <c r="F204" s="88">
        <v>-1</v>
      </c>
      <c r="G204" s="88"/>
      <c r="H204" s="88"/>
      <c r="I204" s="88"/>
      <c r="J204" s="88"/>
      <c r="K204" s="88"/>
      <c r="L204" s="88">
        <v>-5</v>
      </c>
      <c r="M204" s="88">
        <v>6</v>
      </c>
      <c r="N204" s="88"/>
      <c r="O204" s="138">
        <v>0</v>
      </c>
      <c r="P204" s="59"/>
      <c r="Q204" s="48"/>
    </row>
    <row r="205" spans="2:17" ht="15.75" hidden="1" customHeight="1">
      <c r="B205" s="55"/>
      <c r="C205" s="141">
        <v>3</v>
      </c>
      <c r="D205" s="120" t="s">
        <v>62</v>
      </c>
      <c r="E205" s="120"/>
      <c r="F205" s="142"/>
      <c r="G205" s="142"/>
      <c r="H205" s="142"/>
      <c r="I205" s="142"/>
      <c r="J205" s="142"/>
      <c r="K205" s="142">
        <v>-1</v>
      </c>
      <c r="L205" s="142">
        <v>0.3</v>
      </c>
      <c r="M205" s="142">
        <v>0.7</v>
      </c>
      <c r="N205" s="142"/>
      <c r="O205" s="143">
        <v>0</v>
      </c>
      <c r="P205" s="59"/>
      <c r="Q205" s="48"/>
    </row>
    <row r="206" spans="2:17" ht="15" hidden="1" customHeight="1">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4" t="s">
        <v>3033</v>
      </c>
      <c r="D208" s="57"/>
      <c r="E208" s="85"/>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5">
      <c r="B210" s="55"/>
      <c r="C210" s="52" t="s">
        <v>43</v>
      </c>
      <c r="D210" s="52" t="s">
        <v>109</v>
      </c>
      <c r="E210" s="52" t="s">
        <v>30</v>
      </c>
      <c r="F210" s="53">
        <v>2013</v>
      </c>
      <c r="G210" s="144" t="s">
        <v>110</v>
      </c>
      <c r="H210" s="145" t="s">
        <v>111</v>
      </c>
      <c r="I210" s="146"/>
      <c r="J210" s="46"/>
      <c r="K210" s="46"/>
      <c r="L210" s="46"/>
      <c r="M210" s="46"/>
      <c r="N210" s="46"/>
      <c r="O210" s="46"/>
      <c r="P210" s="46"/>
      <c r="Q210" s="48"/>
    </row>
    <row r="211" spans="2:17" ht="15.5">
      <c r="B211" s="55"/>
      <c r="C211" s="56">
        <v>1</v>
      </c>
      <c r="D211" s="57" t="s">
        <v>45</v>
      </c>
      <c r="E211" s="57"/>
      <c r="F211" s="89">
        <v>0.17</v>
      </c>
      <c r="G211" s="147">
        <v>0</v>
      </c>
      <c r="H211" s="148">
        <v>2013</v>
      </c>
      <c r="I211" s="59"/>
      <c r="J211" s="46"/>
      <c r="K211" s="46"/>
      <c r="L211" s="46"/>
      <c r="M211" s="46"/>
      <c r="N211" s="46"/>
      <c r="O211" s="46"/>
      <c r="P211" s="46"/>
      <c r="Q211" s="48"/>
    </row>
    <row r="212" spans="2:17" ht="15.5">
      <c r="B212" s="55"/>
      <c r="C212" s="56">
        <v>2</v>
      </c>
      <c r="D212" s="57" t="s">
        <v>46</v>
      </c>
      <c r="E212" s="103"/>
      <c r="F212" s="89">
        <v>0.156</v>
      </c>
      <c r="G212" s="147">
        <v>0.9</v>
      </c>
      <c r="H212" s="148">
        <v>2013</v>
      </c>
      <c r="I212" s="59"/>
      <c r="J212" s="67" t="s">
        <v>5</v>
      </c>
      <c r="K212" s="46"/>
      <c r="L212" s="46"/>
      <c r="M212" s="46"/>
      <c r="N212" s="46"/>
      <c r="O212" s="46"/>
      <c r="P212" s="46"/>
      <c r="Q212" s="48"/>
    </row>
    <row r="213" spans="2:17" ht="15.5">
      <c r="B213" s="55"/>
      <c r="C213" s="56">
        <v>3</v>
      </c>
      <c r="D213" s="57" t="s">
        <v>47</v>
      </c>
      <c r="E213" s="103"/>
      <c r="F213" s="89">
        <v>3.5999999999999997E-2</v>
      </c>
      <c r="G213" s="147">
        <v>1</v>
      </c>
      <c r="H213" s="148">
        <v>2013</v>
      </c>
      <c r="I213" s="59"/>
      <c r="J213" s="46"/>
      <c r="K213" s="46"/>
      <c r="L213" s="46"/>
      <c r="M213" s="46"/>
      <c r="N213" s="46"/>
      <c r="O213" s="46"/>
      <c r="P213" s="46"/>
      <c r="Q213" s="48"/>
    </row>
    <row r="214" spans="2:17" ht="15.5">
      <c r="B214" s="55"/>
      <c r="C214" s="56">
        <v>4</v>
      </c>
      <c r="D214" s="57" t="s">
        <v>48</v>
      </c>
      <c r="E214" s="57"/>
      <c r="F214" s="89">
        <v>0.61899999999999999</v>
      </c>
      <c r="G214" s="147">
        <v>0.62</v>
      </c>
      <c r="H214" s="148">
        <v>2013</v>
      </c>
      <c r="I214" s="59"/>
      <c r="J214" s="149"/>
      <c r="K214" s="46"/>
      <c r="L214" s="46"/>
      <c r="M214" s="46"/>
      <c r="N214" s="46"/>
      <c r="O214" s="46"/>
      <c r="P214" s="46"/>
      <c r="Q214" s="48"/>
    </row>
    <row r="215" spans="2:17" ht="15.5">
      <c r="B215" s="55"/>
      <c r="C215" s="56">
        <v>5</v>
      </c>
      <c r="D215" s="57" t="s">
        <v>49</v>
      </c>
      <c r="E215" s="57"/>
      <c r="F215" s="89">
        <v>1.4999999999999999E-2</v>
      </c>
      <c r="G215" s="147">
        <v>0.74</v>
      </c>
      <c r="H215" s="148">
        <v>2013</v>
      </c>
      <c r="I215" s="59"/>
      <c r="J215" s="46"/>
      <c r="K215" s="46"/>
      <c r="L215" s="46"/>
      <c r="M215" s="46"/>
      <c r="N215" s="46"/>
      <c r="O215" s="46"/>
      <c r="P215" s="46"/>
      <c r="Q215" s="48"/>
    </row>
    <row r="216" spans="2:17" ht="15.5">
      <c r="B216" s="55"/>
      <c r="C216" s="56">
        <v>6</v>
      </c>
      <c r="D216" s="57" t="s">
        <v>50</v>
      </c>
      <c r="E216" s="57"/>
      <c r="F216" s="89">
        <v>0</v>
      </c>
      <c r="G216" s="150">
        <v>0.9</v>
      </c>
      <c r="H216" s="148">
        <v>2015</v>
      </c>
      <c r="I216" s="60"/>
      <c r="J216" s="46"/>
      <c r="K216" s="46"/>
      <c r="L216" s="46"/>
      <c r="M216" s="46"/>
      <c r="N216" s="46"/>
      <c r="O216" s="46"/>
      <c r="P216" s="46"/>
      <c r="Q216" s="48"/>
    </row>
    <row r="217" spans="2:17" ht="15.5">
      <c r="B217" s="55"/>
      <c r="C217" s="56">
        <v>7</v>
      </c>
      <c r="D217" s="57" t="s">
        <v>51</v>
      </c>
      <c r="E217" s="57"/>
      <c r="F217" s="89">
        <v>0</v>
      </c>
      <c r="G217" s="150">
        <v>0.9</v>
      </c>
      <c r="H217" s="148">
        <v>2015</v>
      </c>
      <c r="I217" s="60"/>
      <c r="J217" s="46"/>
      <c r="K217" s="46"/>
      <c r="L217" s="46"/>
      <c r="M217" s="46"/>
      <c r="N217" s="46"/>
      <c r="O217" s="46"/>
      <c r="P217" s="46"/>
      <c r="Q217" s="48"/>
    </row>
    <row r="218" spans="2:17" ht="15.5">
      <c r="B218" s="55"/>
      <c r="C218" s="56">
        <v>8</v>
      </c>
      <c r="D218" s="57" t="s">
        <v>52</v>
      </c>
      <c r="E218" s="57"/>
      <c r="F218" s="89">
        <v>1E-3</v>
      </c>
      <c r="G218" s="150">
        <v>1</v>
      </c>
      <c r="H218" s="148">
        <v>2015</v>
      </c>
      <c r="I218" s="60"/>
      <c r="J218" s="46"/>
      <c r="K218" s="46"/>
      <c r="L218" s="46"/>
      <c r="M218" s="46"/>
      <c r="N218" s="46"/>
      <c r="O218" s="46"/>
      <c r="P218" s="46"/>
      <c r="Q218" s="48"/>
    </row>
    <row r="219" spans="2:17" ht="15.5">
      <c r="B219" s="55"/>
      <c r="C219" s="56">
        <v>9</v>
      </c>
      <c r="D219" s="57" t="s">
        <v>53</v>
      </c>
      <c r="E219" s="57"/>
      <c r="F219" s="89">
        <v>2E-3</v>
      </c>
      <c r="G219" s="150">
        <v>0.28999999999999998</v>
      </c>
      <c r="H219" s="148">
        <v>2015</v>
      </c>
      <c r="I219" s="60"/>
      <c r="J219" s="46"/>
      <c r="K219" s="46"/>
      <c r="L219" s="46"/>
      <c r="M219" s="46"/>
      <c r="N219" s="46"/>
      <c r="O219" s="46"/>
      <c r="P219" s="46"/>
      <c r="Q219" s="48"/>
    </row>
    <row r="220" spans="2:17" ht="15.5">
      <c r="B220" s="55"/>
      <c r="C220" s="56">
        <v>10</v>
      </c>
      <c r="D220" s="57" t="s">
        <v>54</v>
      </c>
      <c r="E220" s="57"/>
      <c r="F220" s="89">
        <v>0</v>
      </c>
      <c r="G220" s="150">
        <v>0.01</v>
      </c>
      <c r="H220" s="148">
        <v>2015</v>
      </c>
      <c r="I220" s="60"/>
      <c r="J220" s="46"/>
      <c r="K220" s="46"/>
      <c r="L220" s="46"/>
      <c r="M220" s="46"/>
      <c r="N220" s="46"/>
      <c r="O220" s="46"/>
      <c r="P220" s="46"/>
      <c r="Q220" s="48"/>
    </row>
    <row r="221" spans="2:17" ht="15.5">
      <c r="B221" s="55"/>
      <c r="C221" s="56">
        <v>11</v>
      </c>
      <c r="D221" s="57" t="s">
        <v>55</v>
      </c>
      <c r="E221" s="57"/>
      <c r="F221" s="89">
        <v>0</v>
      </c>
      <c r="G221" s="150">
        <v>0.68</v>
      </c>
      <c r="H221" s="148">
        <v>2015</v>
      </c>
      <c r="I221" s="60"/>
      <c r="J221" s="46"/>
      <c r="K221" s="46"/>
      <c r="L221" s="46"/>
      <c r="M221" s="46"/>
      <c r="N221" s="46"/>
      <c r="O221" s="46"/>
      <c r="P221" s="46"/>
      <c r="Q221" s="48"/>
    </row>
    <row r="222" spans="2:17" ht="15.5">
      <c r="B222" s="55"/>
      <c r="C222" s="56">
        <v>12</v>
      </c>
      <c r="D222" s="57" t="s">
        <v>56</v>
      </c>
      <c r="E222" s="57"/>
      <c r="F222" s="89">
        <v>0</v>
      </c>
      <c r="G222" s="150">
        <v>0.68</v>
      </c>
      <c r="H222" s="148">
        <v>2015</v>
      </c>
      <c r="I222" s="60"/>
      <c r="J222" s="46"/>
      <c r="K222" s="46"/>
      <c r="L222" s="46"/>
      <c r="M222" s="46"/>
      <c r="N222" s="46"/>
      <c r="O222" s="46"/>
      <c r="P222" s="46"/>
      <c r="Q222" s="48"/>
    </row>
    <row r="223" spans="2:17" ht="15.5">
      <c r="B223" s="55"/>
      <c r="C223" s="61">
        <v>13</v>
      </c>
      <c r="D223" s="62" t="s">
        <v>57</v>
      </c>
      <c r="E223" s="62"/>
      <c r="F223" s="94">
        <v>0</v>
      </c>
      <c r="G223" s="151">
        <v>0.4</v>
      </c>
      <c r="H223" s="152">
        <v>2015</v>
      </c>
      <c r="I223" s="60"/>
      <c r="J223" s="46"/>
      <c r="K223" s="46"/>
      <c r="L223" s="46"/>
      <c r="M223" s="46"/>
      <c r="N223" s="46"/>
      <c r="O223" s="46"/>
      <c r="P223" s="46"/>
      <c r="Q223" s="48"/>
    </row>
    <row r="224" spans="2:17" ht="15.5">
      <c r="B224" s="55"/>
      <c r="C224" s="56"/>
      <c r="D224" s="103" t="s">
        <v>2960</v>
      </c>
      <c r="E224" s="57"/>
      <c r="F224" s="88">
        <f>SUM(F211:F223)</f>
        <v>0.999</v>
      </c>
      <c r="G224" s="88"/>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hidden="1" customHeight="1">
      <c r="B226" s="55"/>
      <c r="C226" s="52" t="s">
        <v>43</v>
      </c>
      <c r="D226" s="52" t="s">
        <v>109</v>
      </c>
      <c r="E226" s="52" t="s">
        <v>30</v>
      </c>
      <c r="F226" s="53">
        <v>2013</v>
      </c>
      <c r="G226" s="144" t="s">
        <v>110</v>
      </c>
      <c r="H226" s="145" t="s">
        <v>111</v>
      </c>
      <c r="I226" s="46"/>
      <c r="J226" s="46"/>
      <c r="K226" s="46"/>
      <c r="L226" s="46"/>
      <c r="M226" s="46"/>
      <c r="N226" s="46"/>
      <c r="O226" s="46"/>
      <c r="P226" s="46"/>
      <c r="Q226" s="48"/>
    </row>
    <row r="227" spans="2:17" ht="15.75" hidden="1" customHeight="1">
      <c r="B227" s="55"/>
      <c r="C227" s="56">
        <v>1</v>
      </c>
      <c r="D227" s="57" t="s">
        <v>60</v>
      </c>
      <c r="E227" s="57"/>
      <c r="F227" s="89">
        <v>0</v>
      </c>
      <c r="G227" s="147">
        <v>1</v>
      </c>
      <c r="H227" s="148">
        <v>2013</v>
      </c>
      <c r="I227" s="46"/>
      <c r="J227" s="46"/>
      <c r="K227" s="46"/>
      <c r="L227" s="46"/>
      <c r="M227" s="46"/>
      <c r="N227" s="46"/>
      <c r="O227" s="46"/>
      <c r="P227" s="46"/>
      <c r="Q227" s="48"/>
    </row>
    <row r="228" spans="2:17" ht="15.75" hidden="1" customHeight="1">
      <c r="B228" s="55"/>
      <c r="C228" s="56">
        <v>2</v>
      </c>
      <c r="D228" s="57" t="s">
        <v>61</v>
      </c>
      <c r="E228" s="57"/>
      <c r="F228" s="89">
        <v>0</v>
      </c>
      <c r="G228" s="147">
        <v>1</v>
      </c>
      <c r="H228" s="148">
        <v>2013</v>
      </c>
      <c r="I228" s="46"/>
      <c r="J228" s="46"/>
      <c r="K228" s="46"/>
      <c r="L228" s="46"/>
      <c r="M228" s="46"/>
      <c r="N228" s="46"/>
      <c r="O228" s="46"/>
      <c r="P228" s="46"/>
      <c r="Q228" s="48"/>
    </row>
    <row r="229" spans="2:17" ht="15.75" hidden="1" customHeight="1">
      <c r="B229" s="55"/>
      <c r="C229" s="141">
        <v>3</v>
      </c>
      <c r="D229" s="120" t="s">
        <v>62</v>
      </c>
      <c r="E229" s="120"/>
      <c r="F229" s="153">
        <v>0</v>
      </c>
      <c r="G229" s="154">
        <v>1</v>
      </c>
      <c r="H229" s="152">
        <v>2015</v>
      </c>
      <c r="I229" s="46"/>
      <c r="J229" s="46"/>
      <c r="K229" s="46"/>
      <c r="L229" s="46"/>
      <c r="M229" s="46"/>
      <c r="N229" s="46"/>
      <c r="O229" s="46"/>
      <c r="P229" s="46"/>
      <c r="Q229" s="48"/>
    </row>
    <row r="230" spans="2:17" ht="15.75" hidden="1" customHeight="1">
      <c r="B230" s="55"/>
      <c r="C230" s="46"/>
      <c r="D230" s="46" t="s">
        <v>58</v>
      </c>
      <c r="E230" s="46"/>
      <c r="F230" s="155">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112</v>
      </c>
      <c r="D232" s="46"/>
      <c r="E232" s="99"/>
      <c r="F232" s="46"/>
      <c r="G232" s="46"/>
      <c r="H232" s="46"/>
      <c r="I232" s="46"/>
      <c r="J232" s="46"/>
      <c r="K232" s="46"/>
      <c r="L232" s="46"/>
      <c r="M232" s="46"/>
      <c r="N232" s="99" t="s">
        <v>113</v>
      </c>
      <c r="O232" s="46"/>
      <c r="P232" s="99"/>
      <c r="Q232" s="48"/>
    </row>
    <row r="233" spans="2:17">
      <c r="B233" s="45"/>
      <c r="C233" s="46"/>
      <c r="D233" s="46"/>
      <c r="E233" s="46"/>
      <c r="F233" s="46"/>
      <c r="G233" s="46"/>
      <c r="H233" s="46"/>
      <c r="I233" s="46"/>
      <c r="J233" s="46"/>
      <c r="K233" s="46"/>
      <c r="L233" s="46"/>
      <c r="M233" s="46"/>
      <c r="N233" s="46"/>
      <c r="O233" s="46"/>
      <c r="P233" s="46"/>
      <c r="Q233" s="48"/>
    </row>
    <row r="234" spans="2:17" ht="15.5">
      <c r="B234" s="55"/>
      <c r="C234" s="111"/>
      <c r="D234" s="111" t="s">
        <v>71</v>
      </c>
      <c r="E234" s="111" t="s">
        <v>30</v>
      </c>
      <c r="F234" s="112">
        <v>2013</v>
      </c>
      <c r="G234" s="112">
        <v>2015</v>
      </c>
      <c r="H234" s="112">
        <v>2020</v>
      </c>
      <c r="I234" s="112">
        <v>2025</v>
      </c>
      <c r="J234" s="112">
        <v>2030</v>
      </c>
      <c r="K234" s="112">
        <v>2035</v>
      </c>
      <c r="L234" s="112">
        <v>2040</v>
      </c>
      <c r="M234" s="112">
        <v>2045</v>
      </c>
      <c r="N234" s="112">
        <v>2050</v>
      </c>
      <c r="O234" s="67" t="s">
        <v>5</v>
      </c>
      <c r="P234" s="54"/>
      <c r="Q234" s="48"/>
    </row>
    <row r="235" spans="2:17" ht="15.5">
      <c r="B235" s="55"/>
      <c r="C235" s="113"/>
      <c r="D235" s="113" t="s">
        <v>114</v>
      </c>
      <c r="E235" s="113"/>
      <c r="F235" s="156">
        <f>F241*F580</f>
        <v>83495.751867679137</v>
      </c>
      <c r="G235" s="157">
        <f t="shared" ref="G235:N235" si="9">G241*G580</f>
        <v>86093.194562742574</v>
      </c>
      <c r="H235" s="157">
        <f t="shared" si="9"/>
        <v>90781.879533281535</v>
      </c>
      <c r="I235" s="157">
        <f t="shared" si="9"/>
        <v>95443.892888837334</v>
      </c>
      <c r="J235" s="157">
        <f t="shared" si="9"/>
        <v>99839.180244991599</v>
      </c>
      <c r="K235" s="157">
        <f t="shared" si="9"/>
        <v>104482.64129055716</v>
      </c>
      <c r="L235" s="157">
        <f t="shared" si="9"/>
        <v>109367.30861322943</v>
      </c>
      <c r="M235" s="157">
        <f t="shared" si="9"/>
        <v>114222.20970422239</v>
      </c>
      <c r="N235" s="157">
        <f t="shared" si="9"/>
        <v>119330.01632217916</v>
      </c>
      <c r="O235" s="46"/>
      <c r="P235" s="77"/>
      <c r="Q235" s="48"/>
    </row>
    <row r="236" spans="2:17" ht="15.5" hidden="1">
      <c r="B236" s="55"/>
      <c r="C236" s="120"/>
      <c r="D236" s="120" t="s">
        <v>115</v>
      </c>
      <c r="E236" s="120"/>
      <c r="F236" s="158">
        <f>F241*F580</f>
        <v>83495.751867679137</v>
      </c>
      <c r="G236" s="159">
        <f t="shared" ref="G236:N236" si="10">G241*G580</f>
        <v>86093.194562742574</v>
      </c>
      <c r="H236" s="159">
        <f t="shared" si="10"/>
        <v>90781.879533281535</v>
      </c>
      <c r="I236" s="159">
        <f t="shared" si="10"/>
        <v>95443.892888837334</v>
      </c>
      <c r="J236" s="159">
        <f t="shared" si="10"/>
        <v>99839.180244991599</v>
      </c>
      <c r="K236" s="159">
        <f t="shared" si="10"/>
        <v>104482.64129055716</v>
      </c>
      <c r="L236" s="159">
        <f t="shared" si="10"/>
        <v>109367.30861322943</v>
      </c>
      <c r="M236" s="159">
        <f t="shared" si="10"/>
        <v>114222.20970422239</v>
      </c>
      <c r="N236" s="159">
        <f t="shared" si="10"/>
        <v>119330.01632217916</v>
      </c>
      <c r="O236" s="46"/>
      <c r="P236" s="77"/>
      <c r="Q236" s="48"/>
    </row>
    <row r="237" spans="2:17" ht="15.5">
      <c r="B237" s="55"/>
      <c r="C237" s="57"/>
      <c r="D237" s="57"/>
      <c r="E237" s="57"/>
      <c r="F237" s="160"/>
      <c r="G237" s="160"/>
      <c r="H237" s="160"/>
      <c r="I237" s="160"/>
      <c r="J237" s="160"/>
      <c r="K237" s="160"/>
      <c r="L237" s="160"/>
      <c r="M237" s="160"/>
      <c r="N237" s="160"/>
      <c r="O237" s="46"/>
      <c r="P237" s="77"/>
      <c r="Q237" s="48"/>
    </row>
    <row r="238" spans="2:17" ht="15.5">
      <c r="B238" s="55"/>
      <c r="C238" s="117" t="s">
        <v>116</v>
      </c>
      <c r="D238" s="57"/>
      <c r="E238" s="57"/>
      <c r="F238" s="160"/>
      <c r="G238" s="160"/>
      <c r="H238" s="160"/>
      <c r="I238" s="160"/>
      <c r="J238" s="160"/>
      <c r="K238" s="160"/>
      <c r="L238" s="160"/>
      <c r="M238" s="160"/>
      <c r="N238" s="160"/>
      <c r="O238" s="46"/>
      <c r="P238" s="77"/>
      <c r="Q238" s="48"/>
    </row>
    <row r="239" spans="2:17" ht="15.5">
      <c r="B239" s="55"/>
      <c r="C239" s="57"/>
      <c r="D239" s="57"/>
      <c r="E239" s="57"/>
      <c r="F239" s="160"/>
      <c r="G239" s="160"/>
      <c r="H239" s="160"/>
      <c r="I239" s="160"/>
      <c r="J239" s="160"/>
      <c r="K239" s="160"/>
      <c r="L239" s="160"/>
      <c r="M239" s="160"/>
      <c r="N239" s="160"/>
      <c r="O239" s="46"/>
      <c r="P239" s="77"/>
      <c r="Q239" s="48"/>
    </row>
    <row r="240" spans="2:17" ht="15.5">
      <c r="B240" s="55"/>
      <c r="C240" s="111"/>
      <c r="D240" s="111" t="s">
        <v>71</v>
      </c>
      <c r="E240" s="111" t="s">
        <v>30</v>
      </c>
      <c r="F240" s="112">
        <v>2013</v>
      </c>
      <c r="G240" s="112">
        <v>2015</v>
      </c>
      <c r="H240" s="112">
        <v>2020</v>
      </c>
      <c r="I240" s="112">
        <v>2025</v>
      </c>
      <c r="J240" s="112">
        <v>2030</v>
      </c>
      <c r="K240" s="112">
        <v>2035</v>
      </c>
      <c r="L240" s="112">
        <v>2040</v>
      </c>
      <c r="M240" s="112">
        <v>2045</v>
      </c>
      <c r="N240" s="112">
        <v>2050</v>
      </c>
      <c r="O240" s="46"/>
      <c r="P240" s="77"/>
      <c r="Q240" s="48"/>
    </row>
    <row r="241" spans="2:17" ht="15.5">
      <c r="B241" s="55"/>
      <c r="C241" s="113"/>
      <c r="D241" s="113" t="s">
        <v>114</v>
      </c>
      <c r="E241" s="113"/>
      <c r="F241" s="161">
        <v>4.991821093132022E-2</v>
      </c>
      <c r="G241" s="162">
        <v>4.991821093132022E-2</v>
      </c>
      <c r="H241" s="162">
        <v>4.9918210931320213E-2</v>
      </c>
      <c r="I241" s="162">
        <v>4.9918210931320227E-2</v>
      </c>
      <c r="J241" s="162">
        <v>4.991821093132022E-2</v>
      </c>
      <c r="K241" s="162">
        <v>4.991821093132022E-2</v>
      </c>
      <c r="L241" s="162">
        <v>4.9918210931320227E-2</v>
      </c>
      <c r="M241" s="162">
        <v>4.991821093132022E-2</v>
      </c>
      <c r="N241" s="162">
        <v>4.991821093132022E-2</v>
      </c>
      <c r="O241" s="46"/>
      <c r="P241" s="77"/>
      <c r="Q241" s="48"/>
    </row>
    <row r="242" spans="2:17" ht="15.5" hidden="1">
      <c r="B242" s="55"/>
      <c r="C242" s="120"/>
      <c r="D242" s="120" t="s">
        <v>115</v>
      </c>
      <c r="E242" s="120"/>
      <c r="F242" s="163">
        <v>4.991821093132022E-2</v>
      </c>
      <c r="G242" s="164">
        <v>4.991821093132022E-2</v>
      </c>
      <c r="H242" s="164">
        <v>4.9918210931320213E-2</v>
      </c>
      <c r="I242" s="164">
        <v>4.9918210931320227E-2</v>
      </c>
      <c r="J242" s="164">
        <v>4.991821093132022E-2</v>
      </c>
      <c r="K242" s="164">
        <v>4.991821093132022E-2</v>
      </c>
      <c r="L242" s="164">
        <v>4.9918210931320227E-2</v>
      </c>
      <c r="M242" s="164">
        <v>4.991821093132022E-2</v>
      </c>
      <c r="N242" s="164">
        <v>4.991821093132022E-2</v>
      </c>
      <c r="O242" s="46"/>
      <c r="P242" s="77"/>
      <c r="Q242" s="48"/>
    </row>
    <row r="243" spans="2:17" ht="15.5">
      <c r="B243" s="55"/>
      <c r="C243" s="57"/>
      <c r="D243" s="57"/>
      <c r="E243" s="57"/>
      <c r="F243" s="77"/>
      <c r="G243" s="77"/>
      <c r="H243" s="77"/>
      <c r="I243" s="77"/>
      <c r="J243" s="77"/>
      <c r="K243" s="77"/>
      <c r="L243" s="77"/>
      <c r="M243" s="77"/>
      <c r="N243" s="77"/>
      <c r="O243" s="77"/>
      <c r="P243" s="77"/>
      <c r="Q243" s="48"/>
    </row>
    <row r="244" spans="2:17" ht="15.5">
      <c r="B244" s="55"/>
      <c r="C244" s="117" t="s">
        <v>3412</v>
      </c>
      <c r="D244" s="57"/>
      <c r="E244" s="57"/>
      <c r="F244" s="77" t="s">
        <v>117</v>
      </c>
      <c r="G244" s="77"/>
      <c r="H244" s="77"/>
      <c r="I244" s="77"/>
      <c r="J244" s="77"/>
      <c r="K244" s="77"/>
      <c r="L244" s="77"/>
      <c r="M244" s="77"/>
      <c r="N244" s="77"/>
      <c r="O244" s="77"/>
      <c r="P244" s="77"/>
      <c r="Q244" s="48"/>
    </row>
    <row r="245" spans="2:17" ht="15.5" hidden="1">
      <c r="B245" s="55"/>
      <c r="C245" s="57"/>
      <c r="D245" s="57"/>
      <c r="E245" s="57"/>
      <c r="F245" s="77"/>
      <c r="G245" s="77"/>
      <c r="H245" s="77"/>
      <c r="I245" s="77"/>
      <c r="J245" s="77"/>
      <c r="K245" s="77"/>
      <c r="L245" s="77"/>
      <c r="M245" s="77"/>
      <c r="N245" s="77"/>
      <c r="O245" s="77"/>
      <c r="P245" s="77"/>
      <c r="Q245" s="48"/>
    </row>
    <row r="246" spans="2:17" ht="15.5" hidden="1">
      <c r="B246" s="55"/>
      <c r="C246" s="111" t="s">
        <v>118</v>
      </c>
      <c r="D246" s="111"/>
      <c r="E246" s="111">
        <v>2013</v>
      </c>
      <c r="F246" s="111">
        <v>2050</v>
      </c>
      <c r="G246" s="77" t="s">
        <v>119</v>
      </c>
      <c r="H246" s="77" t="s">
        <v>120</v>
      </c>
      <c r="I246" s="165"/>
      <c r="J246" s="77"/>
      <c r="K246" s="77"/>
      <c r="L246" s="77"/>
      <c r="M246" s="77"/>
      <c r="N246" s="77"/>
      <c r="O246" s="77"/>
      <c r="P246" s="77"/>
      <c r="Q246" s="48"/>
    </row>
    <row r="247" spans="2:17" ht="15.5" hidden="1">
      <c r="B247" s="55"/>
      <c r="C247" s="113"/>
      <c r="D247" s="113" t="s">
        <v>121</v>
      </c>
      <c r="E247" s="342">
        <f t="shared" ref="E247:E252" si="11">G247*$F$580</f>
        <v>514074.17513210542</v>
      </c>
      <c r="F247" s="342">
        <f t="shared" ref="F247:F252" si="12">H247*$N$580</f>
        <v>459723.66806970147</v>
      </c>
      <c r="G247" s="71">
        <v>0.30734094291714997</v>
      </c>
      <c r="H247" s="71">
        <v>0.19231190726451181</v>
      </c>
      <c r="I247" s="165"/>
      <c r="J247" s="77"/>
      <c r="K247" s="77"/>
      <c r="L247" s="77"/>
      <c r="M247" s="77"/>
      <c r="N247" s="77"/>
      <c r="O247" s="77"/>
      <c r="P247" s="77"/>
      <c r="Q247" s="48"/>
    </row>
    <row r="248" spans="2:17" ht="15.5" hidden="1">
      <c r="B248" s="55"/>
      <c r="C248" s="172"/>
      <c r="D248" s="3806" t="s">
        <v>122</v>
      </c>
      <c r="E248" s="167">
        <f t="shared" si="11"/>
        <v>587681.63814558776</v>
      </c>
      <c r="F248" s="167">
        <f t="shared" si="12"/>
        <v>525548.97992312629</v>
      </c>
      <c r="G248" s="71">
        <v>0.35134740770890771</v>
      </c>
      <c r="H248" s="71">
        <v>0.21984799502341767</v>
      </c>
      <c r="I248" s="165"/>
      <c r="J248" s="77"/>
      <c r="K248" s="77"/>
      <c r="L248" s="77"/>
      <c r="M248" s="77"/>
      <c r="N248" s="77"/>
      <c r="O248" s="77"/>
      <c r="P248" s="77"/>
      <c r="Q248" s="48"/>
    </row>
    <row r="249" spans="2:17" ht="15.5" hidden="1">
      <c r="B249" s="55"/>
      <c r="C249" s="172"/>
      <c r="D249" s="3806" t="s">
        <v>123</v>
      </c>
      <c r="E249" s="167">
        <f t="shared" si="11"/>
        <v>764307.26709644753</v>
      </c>
      <c r="F249" s="167">
        <f t="shared" si="12"/>
        <v>683500.85913499491</v>
      </c>
      <c r="G249" s="71">
        <v>0.45694362314054665</v>
      </c>
      <c r="H249" s="71">
        <v>0.28592252904684923</v>
      </c>
      <c r="I249" s="165"/>
      <c r="J249" s="77"/>
      <c r="K249" s="77"/>
      <c r="L249" s="77"/>
      <c r="M249" s="77"/>
      <c r="N249" s="77"/>
      <c r="O249" s="77"/>
      <c r="P249" s="77"/>
      <c r="Q249" s="48"/>
    </row>
    <row r="250" spans="2:17" ht="15.5" hidden="1">
      <c r="B250" s="55"/>
      <c r="C250" s="172"/>
      <c r="D250" s="229" t="s">
        <v>124</v>
      </c>
      <c r="E250" s="167">
        <f t="shared" si="11"/>
        <v>1519622.6839917602</v>
      </c>
      <c r="F250" s="167">
        <f t="shared" si="12"/>
        <v>1358960.531691931</v>
      </c>
      <c r="G250" s="71">
        <v>0.90851143895002806</v>
      </c>
      <c r="H250" s="71">
        <v>0.56848126363432372</v>
      </c>
      <c r="I250" s="165"/>
      <c r="J250" s="77"/>
      <c r="K250" s="77"/>
      <c r="L250" s="77"/>
      <c r="M250" s="77"/>
      <c r="N250" s="77"/>
      <c r="O250" s="77"/>
      <c r="P250" s="77"/>
      <c r="Q250" s="48"/>
    </row>
    <row r="251" spans="2:17" ht="15.5" hidden="1">
      <c r="B251" s="55"/>
      <c r="C251" s="172"/>
      <c r="D251" s="229" t="s">
        <v>125</v>
      </c>
      <c r="E251" s="167">
        <f>G251*$F$580</f>
        <v>1434412.0578357219</v>
      </c>
      <c r="F251" s="167">
        <f t="shared" si="12"/>
        <v>1282758.801455427</v>
      </c>
      <c r="G251" s="71">
        <v>0.85756798476342611</v>
      </c>
      <c r="H251" s="71">
        <v>0.53660450571109219</v>
      </c>
      <c r="I251" s="165"/>
      <c r="J251" s="77"/>
      <c r="K251" s="77"/>
      <c r="L251" s="77"/>
      <c r="M251" s="77"/>
      <c r="N251" s="77"/>
      <c r="O251" s="77"/>
      <c r="P251" s="77"/>
      <c r="Q251" s="48"/>
    </row>
    <row r="252" spans="2:17" ht="15.5" hidden="1">
      <c r="B252" s="55"/>
      <c r="C252" s="176"/>
      <c r="D252" s="3807" t="s">
        <v>126</v>
      </c>
      <c r="E252" s="343">
        <f t="shared" si="11"/>
        <v>1614215.4907408427</v>
      </c>
      <c r="F252" s="343">
        <f t="shared" si="12"/>
        <v>1443552.5112064078</v>
      </c>
      <c r="G252" s="71">
        <v>0.96506406078124884</v>
      </c>
      <c r="H252" s="71">
        <v>0.60386783615519524</v>
      </c>
      <c r="I252" s="3808" t="s">
        <v>2961</v>
      </c>
      <c r="J252" s="165" t="s">
        <v>2962</v>
      </c>
      <c r="K252" s="77"/>
      <c r="L252" s="77"/>
      <c r="M252" s="77"/>
      <c r="N252" s="77"/>
      <c r="O252" s="77"/>
      <c r="P252" s="77"/>
      <c r="Q252" s="48"/>
    </row>
    <row r="253" spans="2:17" ht="15.5" hidden="1">
      <c r="B253" s="55"/>
      <c r="C253" s="67"/>
      <c r="D253" s="166"/>
      <c r="E253" s="167"/>
      <c r="F253" s="167"/>
      <c r="G253" s="77"/>
      <c r="H253" s="77"/>
      <c r="I253" s="77"/>
      <c r="J253" s="77"/>
      <c r="K253" s="77"/>
      <c r="L253" s="77"/>
      <c r="M253" s="77"/>
      <c r="N253" s="77"/>
      <c r="O253" s="77"/>
      <c r="P253" s="77"/>
      <c r="Q253" s="48"/>
    </row>
    <row r="254" spans="2:17" ht="15.5" hidden="1">
      <c r="B254" s="55"/>
      <c r="C254" s="49" t="s">
        <v>8</v>
      </c>
      <c r="D254" s="3805"/>
      <c r="E254" s="167"/>
      <c r="F254" s="167"/>
      <c r="G254" s="77"/>
      <c r="H254" s="77"/>
      <c r="I254" s="77"/>
      <c r="J254" s="77"/>
      <c r="K254" s="77"/>
      <c r="L254" s="77"/>
      <c r="M254" s="77"/>
      <c r="N254" s="77"/>
      <c r="O254" s="77" t="s">
        <v>127</v>
      </c>
      <c r="P254" s="77"/>
      <c r="Q254" s="48"/>
    </row>
    <row r="255" spans="2:17" ht="15.5" hidden="1">
      <c r="B255" s="55"/>
      <c r="C255" s="168"/>
      <c r="D255" s="168"/>
      <c r="E255" s="168"/>
      <c r="F255" s="129"/>
      <c r="G255" s="77"/>
      <c r="H255" s="77"/>
      <c r="I255" s="77"/>
      <c r="J255" s="77"/>
      <c r="K255" s="77"/>
      <c r="L255" s="77"/>
      <c r="M255" s="77"/>
      <c r="N255" s="77"/>
      <c r="O255" s="77"/>
      <c r="P255" s="77"/>
      <c r="Q255" s="48"/>
    </row>
    <row r="256" spans="2:17" ht="15.5" hidden="1">
      <c r="B256" s="55"/>
      <c r="C256" s="111">
        <v>1</v>
      </c>
      <c r="D256" s="111" t="s">
        <v>128</v>
      </c>
      <c r="E256" s="111"/>
      <c r="F256" s="112">
        <v>2013</v>
      </c>
      <c r="G256" s="112">
        <v>2015</v>
      </c>
      <c r="H256" s="112">
        <v>2020</v>
      </c>
      <c r="I256" s="112">
        <v>2025</v>
      </c>
      <c r="J256" s="112">
        <v>2030</v>
      </c>
      <c r="K256" s="112">
        <v>2035</v>
      </c>
      <c r="L256" s="112">
        <v>2040</v>
      </c>
      <c r="M256" s="112">
        <v>2045</v>
      </c>
      <c r="N256" s="112">
        <v>2050</v>
      </c>
      <c r="O256" s="169" t="s">
        <v>42</v>
      </c>
      <c r="P256" s="77"/>
      <c r="Q256" s="48"/>
    </row>
    <row r="257" spans="2:17" ht="15.5" hidden="1">
      <c r="B257" s="55"/>
      <c r="C257" s="113"/>
      <c r="D257" s="113" t="s">
        <v>121</v>
      </c>
      <c r="E257" s="113"/>
      <c r="F257" s="170"/>
      <c r="G257" s="157"/>
      <c r="H257" s="157"/>
      <c r="I257" s="157"/>
      <c r="J257" s="157"/>
      <c r="K257" s="157"/>
      <c r="L257" s="157"/>
      <c r="M257" s="157"/>
      <c r="N257" s="157">
        <f>O257*$F$247</f>
        <v>54521.339058243124</v>
      </c>
      <c r="O257" s="171">
        <v>0.11859589323988605</v>
      </c>
      <c r="P257" s="77"/>
      <c r="Q257" s="48"/>
    </row>
    <row r="258" spans="2:17" ht="15.5" hidden="1">
      <c r="B258" s="55"/>
      <c r="C258" s="172"/>
      <c r="D258" s="173" t="s">
        <v>122</v>
      </c>
      <c r="E258" s="57"/>
      <c r="F258" s="129"/>
      <c r="G258" s="174"/>
      <c r="H258" s="174"/>
      <c r="I258" s="174"/>
      <c r="J258" s="174"/>
      <c r="K258" s="174"/>
      <c r="L258" s="174"/>
      <c r="M258" s="174"/>
      <c r="N258" s="174">
        <f>O258*$F$248</f>
        <v>196522.95032206224</v>
      </c>
      <c r="O258" s="175">
        <v>0.37393841074681239</v>
      </c>
      <c r="P258" s="77"/>
      <c r="Q258" s="48"/>
    </row>
    <row r="259" spans="2:17" ht="15.5" hidden="1">
      <c r="B259" s="55"/>
      <c r="C259" s="172"/>
      <c r="D259" s="173" t="s">
        <v>123</v>
      </c>
      <c r="E259" s="57"/>
      <c r="F259" s="129"/>
      <c r="G259" s="174"/>
      <c r="H259" s="174"/>
      <c r="I259" s="174"/>
      <c r="J259" s="174"/>
      <c r="K259" s="174"/>
      <c r="L259" s="174"/>
      <c r="M259" s="174"/>
      <c r="N259" s="174">
        <f>O259*$F$249</f>
        <v>213594.01847968591</v>
      </c>
      <c r="O259" s="175">
        <v>0.3125</v>
      </c>
      <c r="P259" s="77"/>
      <c r="Q259" s="48"/>
    </row>
    <row r="260" spans="2:17" ht="15.5" hidden="1">
      <c r="B260" s="55"/>
      <c r="C260" s="172"/>
      <c r="D260" s="166" t="s">
        <v>124</v>
      </c>
      <c r="E260" s="57"/>
      <c r="F260" s="129"/>
      <c r="G260" s="174"/>
      <c r="H260" s="174"/>
      <c r="I260" s="174"/>
      <c r="J260" s="174"/>
      <c r="K260" s="174"/>
      <c r="L260" s="174"/>
      <c r="M260" s="174"/>
      <c r="N260" s="174">
        <f>O260*$F$250</f>
        <v>141558.38871790949</v>
      </c>
      <c r="O260" s="175">
        <v>0.10416666666666667</v>
      </c>
      <c r="P260" s="77"/>
      <c r="Q260" s="48"/>
    </row>
    <row r="261" spans="2:17" ht="15.5" hidden="1">
      <c r="B261" s="55"/>
      <c r="C261" s="172"/>
      <c r="D261" s="166" t="s">
        <v>125</v>
      </c>
      <c r="E261" s="57"/>
      <c r="F261" s="129"/>
      <c r="G261" s="174"/>
      <c r="H261" s="174"/>
      <c r="I261" s="174"/>
      <c r="J261" s="174"/>
      <c r="K261" s="174"/>
      <c r="L261" s="174"/>
      <c r="M261" s="174"/>
      <c r="N261" s="174">
        <f>O261*$F$251</f>
        <v>398444.38475824834</v>
      </c>
      <c r="O261" s="175">
        <v>0.31061520241074986</v>
      </c>
      <c r="P261" s="77"/>
      <c r="Q261" s="48"/>
    </row>
    <row r="262" spans="2:17" ht="15.5" hidden="1">
      <c r="B262" s="55"/>
      <c r="C262" s="176"/>
      <c r="D262" s="177" t="s">
        <v>126</v>
      </c>
      <c r="E262" s="120"/>
      <c r="F262" s="178"/>
      <c r="G262" s="179"/>
      <c r="H262" s="179"/>
      <c r="I262" s="179"/>
      <c r="J262" s="179"/>
      <c r="K262" s="179"/>
      <c r="L262" s="179"/>
      <c r="M262" s="179"/>
      <c r="N262" s="179">
        <f>O262*$F$252</f>
        <v>150370.05325066749</v>
      </c>
      <c r="O262" s="180">
        <v>0.10416666666666669</v>
      </c>
      <c r="P262" s="77"/>
      <c r="Q262" s="48"/>
    </row>
    <row r="263" spans="2:17" ht="15.5" hidden="1">
      <c r="B263" s="55"/>
      <c r="C263" s="181"/>
      <c r="D263" s="181"/>
      <c r="E263" s="57"/>
      <c r="F263" s="129"/>
      <c r="G263" s="182"/>
      <c r="H263" s="183"/>
      <c r="I263" s="183"/>
      <c r="J263" s="183"/>
      <c r="K263" s="183"/>
      <c r="L263" s="183"/>
      <c r="M263" s="183"/>
      <c r="N263" s="183"/>
      <c r="O263" s="183"/>
      <c r="P263" s="77"/>
      <c r="Q263" s="48"/>
    </row>
    <row r="264" spans="2:17" ht="15.5" hidden="1">
      <c r="B264" s="55"/>
      <c r="C264" s="111">
        <v>2</v>
      </c>
      <c r="D264" s="111" t="s">
        <v>128</v>
      </c>
      <c r="E264" s="111"/>
      <c r="F264" s="112"/>
      <c r="G264" s="112">
        <v>2015</v>
      </c>
      <c r="H264" s="112">
        <v>2020</v>
      </c>
      <c r="I264" s="112">
        <v>2025</v>
      </c>
      <c r="J264" s="112">
        <v>2030</v>
      </c>
      <c r="K264" s="112">
        <v>2035</v>
      </c>
      <c r="L264" s="112">
        <v>2040</v>
      </c>
      <c r="M264" s="112">
        <v>2045</v>
      </c>
      <c r="N264" s="112">
        <v>2050</v>
      </c>
      <c r="O264" s="169" t="s">
        <v>42</v>
      </c>
      <c r="P264" s="77"/>
      <c r="Q264" s="48"/>
    </row>
    <row r="265" spans="2:17" ht="15.5" hidden="1">
      <c r="B265" s="55"/>
      <c r="C265" s="113"/>
      <c r="D265" s="113" t="s">
        <v>121</v>
      </c>
      <c r="E265" s="113"/>
      <c r="F265" s="170"/>
      <c r="G265" s="157"/>
      <c r="H265" s="157"/>
      <c r="I265" s="157"/>
      <c r="J265" s="157"/>
      <c r="K265" s="157"/>
      <c r="L265" s="157"/>
      <c r="M265" s="157"/>
      <c r="N265" s="157">
        <f>O265*$F$247</f>
        <v>152387.02569984854</v>
      </c>
      <c r="O265" s="171">
        <v>0.3314752671745067</v>
      </c>
      <c r="P265" s="77"/>
      <c r="Q265" s="48"/>
    </row>
    <row r="266" spans="2:17" ht="15.5" hidden="1">
      <c r="B266" s="55"/>
      <c r="C266" s="173"/>
      <c r="D266" s="173" t="s">
        <v>122</v>
      </c>
      <c r="E266" s="57"/>
      <c r="F266" s="129"/>
      <c r="G266" s="174"/>
      <c r="H266" s="174"/>
      <c r="I266" s="174"/>
      <c r="J266" s="174"/>
      <c r="K266" s="174"/>
      <c r="L266" s="174"/>
      <c r="M266" s="174"/>
      <c r="N266" s="174">
        <f>O266*$F$248</f>
        <v>273723.42704329494</v>
      </c>
      <c r="O266" s="175">
        <v>0.52083333333333337</v>
      </c>
      <c r="P266" s="77"/>
      <c r="Q266" s="48"/>
    </row>
    <row r="267" spans="2:17" ht="15.5" hidden="1">
      <c r="B267" s="55"/>
      <c r="C267" s="173"/>
      <c r="D267" s="173" t="s">
        <v>123</v>
      </c>
      <c r="E267" s="57"/>
      <c r="F267" s="129"/>
      <c r="G267" s="174"/>
      <c r="H267" s="174"/>
      <c r="I267" s="174"/>
      <c r="J267" s="174"/>
      <c r="K267" s="174"/>
      <c r="L267" s="174"/>
      <c r="M267" s="174"/>
      <c r="N267" s="174">
        <f>O267*$F$249</f>
        <v>320391.02771952888</v>
      </c>
      <c r="O267" s="175">
        <v>0.46875</v>
      </c>
      <c r="P267" s="77"/>
      <c r="Q267" s="48"/>
    </row>
    <row r="268" spans="2:17" ht="15.5" hidden="1">
      <c r="B268" s="55"/>
      <c r="C268" s="166"/>
      <c r="D268" s="166" t="s">
        <v>124</v>
      </c>
      <c r="E268" s="57"/>
      <c r="F268" s="129"/>
      <c r="G268" s="174"/>
      <c r="H268" s="174"/>
      <c r="I268" s="174"/>
      <c r="J268" s="174"/>
      <c r="K268" s="174"/>
      <c r="L268" s="174"/>
      <c r="M268" s="174"/>
      <c r="N268" s="174">
        <f>O268*$F$250</f>
        <v>495454.36051268311</v>
      </c>
      <c r="O268" s="175">
        <v>0.36458333333333331</v>
      </c>
      <c r="P268" s="77"/>
      <c r="Q268" s="48"/>
    </row>
    <row r="269" spans="2:17" ht="15.5" hidden="1">
      <c r="B269" s="55"/>
      <c r="C269" s="166"/>
      <c r="D269" s="166" t="s">
        <v>125</v>
      </c>
      <c r="E269" s="57"/>
      <c r="F269" s="129"/>
      <c r="G269" s="174"/>
      <c r="H269" s="174"/>
      <c r="I269" s="174"/>
      <c r="J269" s="174"/>
      <c r="K269" s="174"/>
      <c r="L269" s="174"/>
      <c r="M269" s="174"/>
      <c r="N269" s="174">
        <f>O269*$F$251</f>
        <v>454310.40884879703</v>
      </c>
      <c r="O269" s="175">
        <v>0.35416666666666663</v>
      </c>
      <c r="P269" s="77"/>
      <c r="Q269" s="48"/>
    </row>
    <row r="270" spans="2:17" ht="15.5" hidden="1">
      <c r="B270" s="55"/>
      <c r="C270" s="177"/>
      <c r="D270" s="177" t="s">
        <v>126</v>
      </c>
      <c r="E270" s="120"/>
      <c r="F270" s="178"/>
      <c r="G270" s="179"/>
      <c r="H270" s="179"/>
      <c r="I270" s="179"/>
      <c r="J270" s="179"/>
      <c r="K270" s="179"/>
      <c r="L270" s="179"/>
      <c r="M270" s="179"/>
      <c r="N270" s="179">
        <f>O270*$F$252</f>
        <v>432313.90309566905</v>
      </c>
      <c r="O270" s="180">
        <v>0.29947916666666669</v>
      </c>
      <c r="P270" s="77"/>
      <c r="Q270" s="48"/>
    </row>
    <row r="271" spans="2:17" ht="15.5" hidden="1">
      <c r="B271" s="55"/>
      <c r="C271" s="181"/>
      <c r="D271" s="181"/>
      <c r="E271" s="57"/>
      <c r="F271" s="129"/>
      <c r="G271" s="182"/>
      <c r="H271" s="183"/>
      <c r="I271" s="183"/>
      <c r="J271" s="183"/>
      <c r="K271" s="183"/>
      <c r="L271" s="183"/>
      <c r="M271" s="183"/>
      <c r="N271" s="183"/>
      <c r="O271" s="183"/>
      <c r="P271" s="77"/>
      <c r="Q271" s="48"/>
    </row>
    <row r="272" spans="2:17" ht="15.5" hidden="1">
      <c r="B272" s="55"/>
      <c r="C272" s="111">
        <v>3</v>
      </c>
      <c r="D272" s="111" t="s">
        <v>128</v>
      </c>
      <c r="E272" s="111"/>
      <c r="F272" s="112"/>
      <c r="G272" s="112">
        <v>2015</v>
      </c>
      <c r="H272" s="112">
        <v>2020</v>
      </c>
      <c r="I272" s="112">
        <v>2025</v>
      </c>
      <c r="J272" s="112">
        <v>2030</v>
      </c>
      <c r="K272" s="112">
        <v>2035</v>
      </c>
      <c r="L272" s="112">
        <v>2040</v>
      </c>
      <c r="M272" s="112">
        <v>2045</v>
      </c>
      <c r="N272" s="112">
        <v>2050</v>
      </c>
      <c r="O272" s="169" t="s">
        <v>42</v>
      </c>
      <c r="P272" s="77"/>
      <c r="Q272" s="48"/>
    </row>
    <row r="273" spans="2:17" ht="15.5" hidden="1">
      <c r="B273" s="55"/>
      <c r="C273" s="113"/>
      <c r="D273" s="113" t="s">
        <v>121</v>
      </c>
      <c r="E273" s="113"/>
      <c r="F273" s="170"/>
      <c r="G273" s="157"/>
      <c r="H273" s="157"/>
      <c r="I273" s="157"/>
      <c r="J273" s="157"/>
      <c r="K273" s="157"/>
      <c r="L273" s="157"/>
      <c r="M273" s="157"/>
      <c r="N273" s="157">
        <f>O273*$F$247</f>
        <v>346882.0748032158</v>
      </c>
      <c r="O273" s="171">
        <v>0.75454473827660951</v>
      </c>
      <c r="P273" s="77"/>
      <c r="Q273" s="48"/>
    </row>
    <row r="274" spans="2:17" ht="15.5" hidden="1">
      <c r="B274" s="55"/>
      <c r="C274" s="173"/>
      <c r="D274" s="173" t="s">
        <v>122</v>
      </c>
      <c r="E274" s="57"/>
      <c r="F274" s="129"/>
      <c r="G274" s="174"/>
      <c r="H274" s="174"/>
      <c r="I274" s="174"/>
      <c r="J274" s="174"/>
      <c r="K274" s="174"/>
      <c r="L274" s="174"/>
      <c r="M274" s="174"/>
      <c r="N274" s="174">
        <f>O274*$F$248</f>
        <v>410585.14056494238</v>
      </c>
      <c r="O274" s="175">
        <v>0.78125</v>
      </c>
      <c r="P274" s="77"/>
      <c r="Q274" s="48"/>
    </row>
    <row r="275" spans="2:17" ht="15.5" hidden="1">
      <c r="B275" s="55"/>
      <c r="C275" s="173"/>
      <c r="D275" s="173" t="s">
        <v>123</v>
      </c>
      <c r="E275" s="57"/>
      <c r="F275" s="129"/>
      <c r="G275" s="174"/>
      <c r="H275" s="174"/>
      <c r="I275" s="174"/>
      <c r="J275" s="174"/>
      <c r="K275" s="174"/>
      <c r="L275" s="174"/>
      <c r="M275" s="174"/>
      <c r="N275" s="174">
        <f>O275*$F$249</f>
        <v>427188.03695937182</v>
      </c>
      <c r="O275" s="175">
        <v>0.625</v>
      </c>
      <c r="P275" s="77"/>
      <c r="Q275" s="48"/>
    </row>
    <row r="276" spans="2:17" ht="15.5" hidden="1">
      <c r="B276" s="55"/>
      <c r="C276" s="166"/>
      <c r="D276" s="166" t="s">
        <v>124</v>
      </c>
      <c r="E276" s="57"/>
      <c r="F276" s="129"/>
      <c r="G276" s="174"/>
      <c r="H276" s="174"/>
      <c r="I276" s="174"/>
      <c r="J276" s="174"/>
      <c r="K276" s="174"/>
      <c r="L276" s="174"/>
      <c r="M276" s="174"/>
      <c r="N276" s="174">
        <f>O276*$F$250</f>
        <v>849350.33230745688</v>
      </c>
      <c r="O276" s="175">
        <v>0.625</v>
      </c>
      <c r="P276" s="77"/>
      <c r="Q276" s="48"/>
    </row>
    <row r="277" spans="2:17" ht="15.5" hidden="1">
      <c r="B277" s="55"/>
      <c r="C277" s="166"/>
      <c r="D277" s="166" t="s">
        <v>125</v>
      </c>
      <c r="E277" s="57"/>
      <c r="F277" s="129"/>
      <c r="G277" s="174"/>
      <c r="H277" s="174"/>
      <c r="I277" s="174"/>
      <c r="J277" s="174"/>
      <c r="K277" s="174"/>
      <c r="L277" s="174"/>
      <c r="M277" s="174"/>
      <c r="N277" s="174">
        <f>O277*$F$251</f>
        <v>1095689.8095765084</v>
      </c>
      <c r="O277" s="175">
        <v>0.85416666666666496</v>
      </c>
      <c r="P277" s="77"/>
      <c r="Q277" s="48"/>
    </row>
    <row r="278" spans="2:17" ht="15.5" hidden="1">
      <c r="B278" s="55"/>
      <c r="C278" s="177"/>
      <c r="D278" s="177" t="s">
        <v>126</v>
      </c>
      <c r="E278" s="120"/>
      <c r="F278" s="178"/>
      <c r="G278" s="179"/>
      <c r="H278" s="179"/>
      <c r="I278" s="179"/>
      <c r="J278" s="179"/>
      <c r="K278" s="179"/>
      <c r="L278" s="179"/>
      <c r="M278" s="179"/>
      <c r="N278" s="179">
        <f>O278*$F$252</f>
        <v>808239.03622233763</v>
      </c>
      <c r="O278" s="180">
        <v>0.55989583333333326</v>
      </c>
      <c r="P278" s="77"/>
      <c r="Q278" s="48"/>
    </row>
    <row r="279" spans="2:17" ht="15.5" hidden="1">
      <c r="B279" s="55"/>
      <c r="C279" s="181"/>
      <c r="D279" s="181"/>
      <c r="E279" s="57"/>
      <c r="F279" s="129"/>
      <c r="G279" s="182"/>
      <c r="H279" s="183"/>
      <c r="I279" s="183"/>
      <c r="J279" s="183"/>
      <c r="K279" s="183"/>
      <c r="L279" s="183"/>
      <c r="M279" s="183"/>
      <c r="N279" s="183"/>
      <c r="O279" s="183"/>
      <c r="P279" s="77"/>
      <c r="Q279" s="48"/>
    </row>
    <row r="280" spans="2:17" ht="15.5" hidden="1">
      <c r="B280" s="55"/>
      <c r="C280" s="111">
        <v>4</v>
      </c>
      <c r="D280" s="111" t="s">
        <v>128</v>
      </c>
      <c r="E280" s="111"/>
      <c r="F280" s="112"/>
      <c r="G280" s="112">
        <v>2015</v>
      </c>
      <c r="H280" s="112">
        <v>2020</v>
      </c>
      <c r="I280" s="112">
        <v>2025</v>
      </c>
      <c r="J280" s="112">
        <v>2030</v>
      </c>
      <c r="K280" s="112">
        <v>2035</v>
      </c>
      <c r="L280" s="112">
        <v>2040</v>
      </c>
      <c r="M280" s="112">
        <v>2045</v>
      </c>
      <c r="N280" s="112">
        <v>2050</v>
      </c>
      <c r="O280" s="169" t="s">
        <v>42</v>
      </c>
      <c r="P280" s="77"/>
      <c r="Q280" s="48"/>
    </row>
    <row r="281" spans="2:17" ht="15.5" hidden="1">
      <c r="B281" s="55"/>
      <c r="C281" s="113"/>
      <c r="D281" s="113" t="s">
        <v>121</v>
      </c>
      <c r="E281" s="113"/>
      <c r="F281" s="170"/>
      <c r="G281" s="157"/>
      <c r="H281" s="157"/>
      <c r="I281" s="157"/>
      <c r="J281" s="157"/>
      <c r="K281" s="157"/>
      <c r="L281" s="157"/>
      <c r="M281" s="157"/>
      <c r="N281" s="157">
        <f>O281*$F$247</f>
        <v>459723.66806970158</v>
      </c>
      <c r="O281" s="171">
        <v>1.0000000000000002</v>
      </c>
      <c r="P281" s="77"/>
      <c r="Q281" s="48"/>
    </row>
    <row r="282" spans="2:17" ht="15.5" hidden="1">
      <c r="B282" s="55"/>
      <c r="C282" s="173"/>
      <c r="D282" s="173" t="s">
        <v>122</v>
      </c>
      <c r="E282" s="57"/>
      <c r="F282" s="129"/>
      <c r="G282" s="174"/>
      <c r="H282" s="174"/>
      <c r="I282" s="174"/>
      <c r="J282" s="174"/>
      <c r="K282" s="174"/>
      <c r="L282" s="174"/>
      <c r="M282" s="174"/>
      <c r="N282" s="174">
        <f>O282*$F$248</f>
        <v>523869.90057038027</v>
      </c>
      <c r="O282" s="175">
        <v>0.99680509445001375</v>
      </c>
      <c r="P282" s="77"/>
      <c r="Q282" s="48"/>
    </row>
    <row r="283" spans="2:17" ht="15.5" hidden="1">
      <c r="B283" s="55"/>
      <c r="C283" s="173"/>
      <c r="D283" s="173" t="s">
        <v>123</v>
      </c>
      <c r="E283" s="57"/>
      <c r="F283" s="129"/>
      <c r="G283" s="174"/>
      <c r="H283" s="174"/>
      <c r="I283" s="174"/>
      <c r="J283" s="174"/>
      <c r="K283" s="174"/>
      <c r="L283" s="174"/>
      <c r="M283" s="174"/>
      <c r="N283" s="174">
        <f>O283*$F$249</f>
        <v>681317.13844672416</v>
      </c>
      <c r="O283" s="175">
        <v>0.99680509445001375</v>
      </c>
      <c r="P283" s="77"/>
      <c r="Q283" s="48"/>
    </row>
    <row r="284" spans="2:17" ht="15.5" hidden="1">
      <c r="B284" s="55"/>
      <c r="C284" s="166"/>
      <c r="D284" s="166" t="s">
        <v>124</v>
      </c>
      <c r="E284" s="57"/>
      <c r="F284" s="129"/>
      <c r="G284" s="174"/>
      <c r="H284" s="174"/>
      <c r="I284" s="174"/>
      <c r="J284" s="174"/>
      <c r="K284" s="174"/>
      <c r="L284" s="174"/>
      <c r="M284" s="174"/>
      <c r="N284" s="174">
        <f>O284*$F$250</f>
        <v>1354618.781147016</v>
      </c>
      <c r="O284" s="175">
        <v>0.99680509445001364</v>
      </c>
      <c r="P284" s="77"/>
      <c r="Q284" s="48"/>
    </row>
    <row r="285" spans="2:17" ht="15.5" hidden="1">
      <c r="B285" s="55"/>
      <c r="C285" s="166"/>
      <c r="D285" s="166" t="s">
        <v>125</v>
      </c>
      <c r="E285" s="57"/>
      <c r="F285" s="129"/>
      <c r="G285" s="174"/>
      <c r="H285" s="174"/>
      <c r="I285" s="174"/>
      <c r="J285" s="174"/>
      <c r="K285" s="174"/>
      <c r="L285" s="174"/>
      <c r="M285" s="174"/>
      <c r="N285" s="174">
        <f>O285*$F$251</f>
        <v>1282758.801455427</v>
      </c>
      <c r="O285" s="175">
        <v>1</v>
      </c>
      <c r="P285" s="77"/>
      <c r="Q285" s="48"/>
    </row>
    <row r="286" spans="2:17" ht="15.5" hidden="1">
      <c r="B286" s="55"/>
      <c r="C286" s="177"/>
      <c r="D286" s="177" t="s">
        <v>126</v>
      </c>
      <c r="E286" s="120"/>
      <c r="F286" s="178"/>
      <c r="G286" s="179"/>
      <c r="H286" s="179"/>
      <c r="I286" s="179"/>
      <c r="J286" s="179"/>
      <c r="K286" s="179"/>
      <c r="L286" s="179"/>
      <c r="M286" s="179"/>
      <c r="N286" s="179">
        <f>O286*$F$252</f>
        <v>1443552.5112064078</v>
      </c>
      <c r="O286" s="180">
        <v>1</v>
      </c>
      <c r="P286" s="77"/>
      <c r="Q286" s="48"/>
    </row>
    <row r="287" spans="2:17" ht="15.5" hidden="1">
      <c r="B287" s="55"/>
      <c r="C287" s="166"/>
      <c r="D287" s="166"/>
      <c r="E287" s="57"/>
      <c r="F287" s="129"/>
      <c r="G287" s="160"/>
      <c r="H287" s="184"/>
      <c r="I287" s="184"/>
      <c r="J287" s="184"/>
      <c r="K287" s="184"/>
      <c r="L287" s="184"/>
      <c r="M287" s="184"/>
      <c r="N287" s="184"/>
      <c r="O287" s="184"/>
      <c r="P287" s="185"/>
      <c r="Q287" s="48"/>
    </row>
    <row r="288" spans="2:17" ht="15.5">
      <c r="B288" s="55"/>
      <c r="C288" s="186" t="s">
        <v>129</v>
      </c>
      <c r="D288" s="166"/>
      <c r="E288" s="57"/>
      <c r="F288" s="3376"/>
      <c r="G288" s="184"/>
      <c r="H288" s="184"/>
      <c r="I288" s="184"/>
      <c r="J288" s="184"/>
      <c r="K288" s="184"/>
      <c r="L288" s="184"/>
      <c r="M288" s="184"/>
      <c r="N288" s="187" t="str">
        <f>"kt/"&amp;Preferences.EnergyUnits</f>
        <v>kt/TWh</v>
      </c>
      <c r="O288" s="187"/>
      <c r="P288" s="185"/>
      <c r="Q288" s="48"/>
    </row>
    <row r="289" spans="2:17" ht="15.5">
      <c r="B289" s="55"/>
      <c r="C289" s="186"/>
      <c r="D289" s="166"/>
      <c r="E289" s="57"/>
      <c r="F289" s="3376"/>
      <c r="G289" s="184"/>
      <c r="H289" s="184"/>
      <c r="I289" s="184"/>
      <c r="J289" s="184"/>
      <c r="K289" s="184"/>
      <c r="L289" s="184"/>
      <c r="M289" s="184"/>
      <c r="N289" s="187"/>
      <c r="O289" s="187"/>
      <c r="P289" s="185"/>
      <c r="Q289" s="48"/>
    </row>
    <row r="290" spans="2:17" ht="15.5">
      <c r="B290" s="55"/>
      <c r="C290" s="52" t="s">
        <v>43</v>
      </c>
      <c r="D290" s="52" t="s">
        <v>130</v>
      </c>
      <c r="E290" s="52" t="s">
        <v>131</v>
      </c>
      <c r="F290" s="144">
        <v>2013</v>
      </c>
      <c r="G290" s="53" t="s">
        <v>132</v>
      </c>
      <c r="H290" s="53" t="s">
        <v>133</v>
      </c>
      <c r="I290" s="53" t="s">
        <v>134</v>
      </c>
      <c r="J290" s="53" t="s">
        <v>135</v>
      </c>
      <c r="K290" s="53" t="s">
        <v>136</v>
      </c>
      <c r="L290" s="53" t="s">
        <v>137</v>
      </c>
      <c r="M290" s="53" t="s">
        <v>138</v>
      </c>
      <c r="N290" s="53" t="s">
        <v>139</v>
      </c>
      <c r="O290" s="172"/>
      <c r="P290" s="185"/>
      <c r="Q290" s="48"/>
    </row>
    <row r="291" spans="2:17" ht="15.5">
      <c r="B291" s="55"/>
      <c r="C291" s="188">
        <v>1</v>
      </c>
      <c r="D291" s="189" t="s">
        <v>140</v>
      </c>
      <c r="E291" s="103" t="s">
        <v>141</v>
      </c>
      <c r="F291" s="2430">
        <f>0.00180010469224528*(1/Unit.TWh)</f>
        <v>1.80010469224528E-3</v>
      </c>
      <c r="G291" s="191">
        <f t="shared" ref="G291:N291" si="13">0.00180010469224529*(1/Unit.TWh)</f>
        <v>1.80010469224529E-3</v>
      </c>
      <c r="H291" s="191">
        <f t="shared" si="13"/>
        <v>1.80010469224529E-3</v>
      </c>
      <c r="I291" s="191">
        <f t="shared" si="13"/>
        <v>1.80010469224529E-3</v>
      </c>
      <c r="J291" s="191">
        <f t="shared" si="13"/>
        <v>1.80010469224529E-3</v>
      </c>
      <c r="K291" s="191">
        <f t="shared" si="13"/>
        <v>1.80010469224529E-3</v>
      </c>
      <c r="L291" s="191">
        <f t="shared" si="13"/>
        <v>1.80010469224529E-3</v>
      </c>
      <c r="M291" s="191">
        <f t="shared" si="13"/>
        <v>1.80010469224529E-3</v>
      </c>
      <c r="N291" s="191">
        <f t="shared" si="13"/>
        <v>1.80010469224529E-3</v>
      </c>
      <c r="O291" s="172"/>
      <c r="P291" s="185"/>
      <c r="Q291" s="48"/>
    </row>
    <row r="292" spans="2:17" ht="15.5">
      <c r="B292" s="55"/>
      <c r="C292" s="188">
        <v>1</v>
      </c>
      <c r="D292" s="189" t="s">
        <v>140</v>
      </c>
      <c r="E292" s="103" t="s">
        <v>142</v>
      </c>
      <c r="F292" s="2430">
        <f>F291*Constants!$F$37</f>
        <v>1.807283110243579E-2</v>
      </c>
      <c r="G292" s="2430">
        <f>G291*Constants!$F$37</f>
        <v>1.8072831102435891E-2</v>
      </c>
      <c r="H292" s="2430">
        <f>H291*Constants!$F$37</f>
        <v>1.8072831102435891E-2</v>
      </c>
      <c r="I292" s="2430">
        <f>I291*Constants!$F$37</f>
        <v>1.8072831102435891E-2</v>
      </c>
      <c r="J292" s="2430">
        <f>J291*Constants!$F$37</f>
        <v>1.8072831102435891E-2</v>
      </c>
      <c r="K292" s="2430">
        <f>K291*Constants!$F$37</f>
        <v>1.8072831102435891E-2</v>
      </c>
      <c r="L292" s="2430">
        <f>L291*Constants!$F$37</f>
        <v>1.8072831102435891E-2</v>
      </c>
      <c r="M292" s="2430">
        <f>M291*Constants!$F$37</f>
        <v>1.8072831102435891E-2</v>
      </c>
      <c r="N292" s="2430">
        <f>N291*Constants!$F$37</f>
        <v>1.8072831102435891E-2</v>
      </c>
      <c r="O292" s="172"/>
      <c r="P292" s="185"/>
      <c r="Q292" s="48"/>
    </row>
    <row r="293" spans="2:17" ht="15.5">
      <c r="B293" s="55"/>
      <c r="C293" s="188">
        <v>2</v>
      </c>
      <c r="D293" s="189" t="s">
        <v>143</v>
      </c>
      <c r="E293" s="103" t="s">
        <v>141</v>
      </c>
      <c r="F293" s="2430">
        <f>0.00180010469224528*(1/Unit.TWh)</f>
        <v>1.80010469224528E-3</v>
      </c>
      <c r="G293" s="191">
        <f t="shared" ref="G293:N293" si="14">0.00180010469224529*(1/Unit.TWh)</f>
        <v>1.80010469224529E-3</v>
      </c>
      <c r="H293" s="191">
        <f t="shared" si="14"/>
        <v>1.80010469224529E-3</v>
      </c>
      <c r="I293" s="191">
        <f t="shared" si="14"/>
        <v>1.80010469224529E-3</v>
      </c>
      <c r="J293" s="191">
        <f t="shared" si="14"/>
        <v>1.80010469224529E-3</v>
      </c>
      <c r="K293" s="191">
        <f t="shared" si="14"/>
        <v>1.80010469224529E-3</v>
      </c>
      <c r="L293" s="191">
        <f t="shared" si="14"/>
        <v>1.80010469224529E-3</v>
      </c>
      <c r="M293" s="191">
        <f t="shared" si="14"/>
        <v>1.80010469224529E-3</v>
      </c>
      <c r="N293" s="191">
        <f t="shared" si="14"/>
        <v>1.80010469224529E-3</v>
      </c>
      <c r="O293" s="172"/>
      <c r="P293" s="185"/>
      <c r="Q293" s="48"/>
    </row>
    <row r="294" spans="2:17" ht="15.5">
      <c r="B294" s="55"/>
      <c r="C294" s="188">
        <v>2</v>
      </c>
      <c r="D294" s="189" t="s">
        <v>143</v>
      </c>
      <c r="E294" s="103" t="s">
        <v>142</v>
      </c>
      <c r="F294" s="2430">
        <f>F293*Constants!$F$37</f>
        <v>1.807283110243579E-2</v>
      </c>
      <c r="G294" s="2430">
        <f>G293*Constants!$F$37</f>
        <v>1.8072831102435891E-2</v>
      </c>
      <c r="H294" s="2430">
        <f>H293*Constants!$F$37</f>
        <v>1.8072831102435891E-2</v>
      </c>
      <c r="I294" s="2430">
        <f>I293*Constants!$F$37</f>
        <v>1.8072831102435891E-2</v>
      </c>
      <c r="J294" s="2430">
        <f>J293*Constants!$F$37</f>
        <v>1.8072831102435891E-2</v>
      </c>
      <c r="K294" s="2430">
        <f>K293*Constants!$F$37</f>
        <v>1.8072831102435891E-2</v>
      </c>
      <c r="L294" s="2430">
        <f>L293*Constants!$F$37</f>
        <v>1.8072831102435891E-2</v>
      </c>
      <c r="M294" s="2430">
        <f>M293*Constants!$F$37</f>
        <v>1.8072831102435891E-2</v>
      </c>
      <c r="N294" s="2430">
        <f>N293*Constants!$F$37</f>
        <v>1.8072831102435891E-2</v>
      </c>
      <c r="O294" s="172"/>
      <c r="P294" s="185"/>
      <c r="Q294" s="48"/>
    </row>
    <row r="295" spans="2:17" ht="15.5">
      <c r="B295" s="55"/>
      <c r="C295" s="188">
        <v>4</v>
      </c>
      <c r="D295" s="189" t="s">
        <v>48</v>
      </c>
      <c r="E295" s="103" t="s">
        <v>144</v>
      </c>
      <c r="F295" s="2430">
        <f>0.0104150398768621*(1/Unit.TWh)</f>
        <v>1.0415039876862099E-2</v>
      </c>
      <c r="G295" s="191">
        <f>0.0109713940084016*(1/Unit.TWh)</f>
        <v>1.0971394008401599E-2</v>
      </c>
      <c r="H295" s="191">
        <f>0.0109713937489954*(1/Unit.TWh)</f>
        <v>1.09713937489954E-2</v>
      </c>
      <c r="I295" s="191">
        <f>0.0109713943405242*(1/Unit.TWh)</f>
        <v>1.09713943405242E-2</v>
      </c>
      <c r="J295" s="191">
        <f>0.0109713942526951*(1/Unit.TWh)</f>
        <v>1.09713942526951E-2</v>
      </c>
      <c r="K295" s="191">
        <f>0.0109713942526951*(1/Unit.TWh)</f>
        <v>1.09713942526951E-2</v>
      </c>
      <c r="L295" s="191">
        <f>0.0109713942526951*(1/Unit.TWh)</f>
        <v>1.09713942526951E-2</v>
      </c>
      <c r="M295" s="191">
        <f>0.0109713942526951*(1/Unit.TWh)</f>
        <v>1.09713942526951E-2</v>
      </c>
      <c r="N295" s="191">
        <f>0.0109713942526951*(1/Unit.TWh)</f>
        <v>1.09713942526951E-2</v>
      </c>
      <c r="O295" s="172"/>
      <c r="P295" s="185"/>
      <c r="Q295" s="48"/>
    </row>
    <row r="296" spans="2:17" ht="15.5">
      <c r="B296" s="55"/>
      <c r="C296" s="188">
        <v>4</v>
      </c>
      <c r="D296" s="189" t="s">
        <v>48</v>
      </c>
      <c r="E296" s="103" t="s">
        <v>145</v>
      </c>
      <c r="F296" s="2430">
        <f>F295*Constants!$F$36</f>
        <v>4.8789074952175125E-2</v>
      </c>
      <c r="G296" s="2430">
        <f>G295*Constants!$F$36</f>
        <v>5.1395306300740164E-2</v>
      </c>
      <c r="H296" s="2430">
        <f>H295*Constants!$F$36</f>
        <v>5.1395305085556293E-2</v>
      </c>
      <c r="I296" s="2430">
        <f>I295*Constants!$F$36</f>
        <v>5.1395307856562766E-2</v>
      </c>
      <c r="J296" s="2430">
        <f>J295*Constants!$F$36</f>
        <v>5.1395307445128866E-2</v>
      </c>
      <c r="K296" s="2430">
        <f>K295*Constants!$F$36</f>
        <v>5.1395307445128866E-2</v>
      </c>
      <c r="L296" s="2430">
        <f>L295*Constants!$F$36</f>
        <v>5.1395307445128866E-2</v>
      </c>
      <c r="M296" s="2430">
        <f>M295*Constants!$F$36</f>
        <v>5.1395307445128866E-2</v>
      </c>
      <c r="N296" s="2430">
        <f>N295*Constants!$F$36</f>
        <v>5.1395307445128866E-2</v>
      </c>
      <c r="O296" s="172"/>
      <c r="P296" s="185"/>
      <c r="Q296" s="48"/>
    </row>
    <row r="297" spans="2:17" ht="15.5">
      <c r="B297" s="55"/>
      <c r="C297" s="188">
        <v>5</v>
      </c>
      <c r="D297" s="189" t="s">
        <v>49</v>
      </c>
      <c r="E297" s="103" t="s">
        <v>146</v>
      </c>
      <c r="F297" s="2430">
        <f>0.717008553286199*(1/Unit.TWh)</f>
        <v>0.71700855328619895</v>
      </c>
      <c r="G297" s="191">
        <f>0.561656414964649*(1/Unit.TWh)</f>
        <v>0.56165641496464902</v>
      </c>
      <c r="H297" s="191">
        <f>0.4063042766431*(1/Unit.TWh)</f>
        <v>0.40630427664309998</v>
      </c>
      <c r="I297" s="191">
        <f>0.25095213832155*(1/Unit.TWh)</f>
        <v>0.25095213832155</v>
      </c>
      <c r="J297" s="191">
        <f>0.0956*(1/Unit.TWh)</f>
        <v>9.5600000000000004E-2</v>
      </c>
      <c r="K297" s="191">
        <f>0.0956*(1/Unit.TWh)</f>
        <v>9.5600000000000004E-2</v>
      </c>
      <c r="L297" s="191">
        <f>0.0956*(1/Unit.TWh)</f>
        <v>9.5600000000000004E-2</v>
      </c>
      <c r="M297" s="191">
        <f>0.0956*(1/Unit.TWh)</f>
        <v>9.5600000000000004E-2</v>
      </c>
      <c r="N297" s="191">
        <f>0.0956*(1/Unit.TWh)</f>
        <v>9.5600000000000004E-2</v>
      </c>
      <c r="O297" s="172"/>
      <c r="P297" s="185"/>
      <c r="Q297" s="48"/>
    </row>
    <row r="298" spans="2:17" ht="15.5">
      <c r="B298" s="55"/>
      <c r="C298" s="188">
        <v>5</v>
      </c>
      <c r="D298" s="189" t="s">
        <v>49</v>
      </c>
      <c r="E298" s="103" t="s">
        <v>147</v>
      </c>
      <c r="F298" s="2430">
        <f>F297*Constants!$F$35</f>
        <v>3.0030781432413249</v>
      </c>
      <c r="G298" s="2430">
        <f>G297*Constants!$F$35</f>
        <v>2.3524100180690035</v>
      </c>
      <c r="H298" s="2430">
        <f>H297*Constants!$F$35</f>
        <v>1.7017418928966856</v>
      </c>
      <c r="I298" s="2430">
        <f>I297*Constants!$F$35</f>
        <v>1.051073767724364</v>
      </c>
      <c r="J298" s="2430">
        <f>J297*Constants!$F$35</f>
        <v>0.4004056425520422</v>
      </c>
      <c r="K298" s="2430">
        <f>K297*Constants!$F$35</f>
        <v>0.4004056425520422</v>
      </c>
      <c r="L298" s="2430">
        <f>L297*Constants!$F$35</f>
        <v>0.4004056425520422</v>
      </c>
      <c r="M298" s="2430">
        <f>M297*Constants!$F$35</f>
        <v>0.4004056425520422</v>
      </c>
      <c r="N298" s="2430">
        <f>N297*Constants!$F$35</f>
        <v>0.4004056425520422</v>
      </c>
      <c r="O298" s="172"/>
      <c r="P298" s="185"/>
      <c r="Q298" s="48"/>
    </row>
    <row r="299" spans="2:17" ht="15.5">
      <c r="B299" s="55"/>
      <c r="C299" s="188">
        <v>6</v>
      </c>
      <c r="D299" s="189" t="s">
        <v>50</v>
      </c>
      <c r="E299" s="103" t="s">
        <v>141</v>
      </c>
      <c r="F299" s="2430">
        <f>0.00180010469224528*(1/Unit.TWh)</f>
        <v>1.80010469224528E-3</v>
      </c>
      <c r="G299" s="191">
        <f t="shared" ref="G299:N299" si="15">0.00180010469224529*(1/Unit.TWh)</f>
        <v>1.80010469224529E-3</v>
      </c>
      <c r="H299" s="191">
        <f t="shared" si="15"/>
        <v>1.80010469224529E-3</v>
      </c>
      <c r="I299" s="191">
        <f t="shared" si="15"/>
        <v>1.80010469224529E-3</v>
      </c>
      <c r="J299" s="191">
        <f t="shared" si="15"/>
        <v>1.80010469224529E-3</v>
      </c>
      <c r="K299" s="191">
        <f t="shared" si="15"/>
        <v>1.80010469224529E-3</v>
      </c>
      <c r="L299" s="191">
        <f t="shared" si="15"/>
        <v>1.80010469224529E-3</v>
      </c>
      <c r="M299" s="191">
        <f t="shared" si="15"/>
        <v>1.80010469224529E-3</v>
      </c>
      <c r="N299" s="191">
        <f t="shared" si="15"/>
        <v>1.80010469224529E-3</v>
      </c>
      <c r="O299" s="172"/>
      <c r="P299" s="185"/>
      <c r="Q299" s="48"/>
    </row>
    <row r="300" spans="2:17" ht="15.5">
      <c r="B300" s="55"/>
      <c r="C300" s="188">
        <v>6</v>
      </c>
      <c r="D300" s="189" t="s">
        <v>50</v>
      </c>
      <c r="E300" s="103" t="s">
        <v>142</v>
      </c>
      <c r="F300" s="2430">
        <f>F299*Constants!$F$37</f>
        <v>1.807283110243579E-2</v>
      </c>
      <c r="G300" s="2430">
        <f>G299*Constants!$F$37</f>
        <v>1.8072831102435891E-2</v>
      </c>
      <c r="H300" s="2430">
        <f>H299*Constants!$F$37</f>
        <v>1.8072831102435891E-2</v>
      </c>
      <c r="I300" s="2430">
        <f>I299*Constants!$F$37</f>
        <v>1.8072831102435891E-2</v>
      </c>
      <c r="J300" s="2430">
        <f>J299*Constants!$F$37</f>
        <v>1.8072831102435891E-2</v>
      </c>
      <c r="K300" s="2430">
        <f>K299*Constants!$F$37</f>
        <v>1.8072831102435891E-2</v>
      </c>
      <c r="L300" s="2430">
        <f>L299*Constants!$F$37</f>
        <v>1.8072831102435891E-2</v>
      </c>
      <c r="M300" s="2430">
        <f>M299*Constants!$F$37</f>
        <v>1.8072831102435891E-2</v>
      </c>
      <c r="N300" s="2430">
        <f>N299*Constants!$F$37</f>
        <v>1.8072831102435891E-2</v>
      </c>
      <c r="O300" s="172"/>
      <c r="P300" s="185"/>
      <c r="Q300" s="48"/>
    </row>
    <row r="301" spans="2:17" ht="15.5">
      <c r="B301" s="55"/>
      <c r="C301" s="188">
        <v>7</v>
      </c>
      <c r="D301" s="189" t="s">
        <v>51</v>
      </c>
      <c r="E301" s="103" t="s">
        <v>141</v>
      </c>
      <c r="F301" s="2430">
        <f t="shared" ref="F301:N301" si="16">0*(1/Unit.TWh)</f>
        <v>0</v>
      </c>
      <c r="G301" s="2430">
        <f t="shared" si="16"/>
        <v>0</v>
      </c>
      <c r="H301" s="2430">
        <f t="shared" si="16"/>
        <v>0</v>
      </c>
      <c r="I301" s="2430">
        <f t="shared" si="16"/>
        <v>0</v>
      </c>
      <c r="J301" s="2430">
        <f t="shared" si="16"/>
        <v>0</v>
      </c>
      <c r="K301" s="2430">
        <f t="shared" si="16"/>
        <v>0</v>
      </c>
      <c r="L301" s="2430">
        <f t="shared" si="16"/>
        <v>0</v>
      </c>
      <c r="M301" s="2430">
        <f t="shared" si="16"/>
        <v>0</v>
      </c>
      <c r="N301" s="2430">
        <f t="shared" si="16"/>
        <v>0</v>
      </c>
      <c r="O301" s="172"/>
      <c r="P301" s="185"/>
      <c r="Q301" s="48"/>
    </row>
    <row r="302" spans="2:17" ht="15.5">
      <c r="B302" s="55"/>
      <c r="C302" s="188">
        <v>7</v>
      </c>
      <c r="D302" s="189" t="s">
        <v>51</v>
      </c>
      <c r="E302" s="103" t="s">
        <v>142</v>
      </c>
      <c r="F302" s="2430">
        <f>F301*Constants!$F$37</f>
        <v>0</v>
      </c>
      <c r="G302" s="2430">
        <f>G301*Constants!$F$37</f>
        <v>0</v>
      </c>
      <c r="H302" s="2430">
        <f>H301*Constants!$F$37</f>
        <v>0</v>
      </c>
      <c r="I302" s="2430">
        <f>I301*Constants!$F$37</f>
        <v>0</v>
      </c>
      <c r="J302" s="2430">
        <f>J301*Constants!$F$37</f>
        <v>0</v>
      </c>
      <c r="K302" s="2430">
        <f>K301*Constants!$F$37</f>
        <v>0</v>
      </c>
      <c r="L302" s="2430">
        <f>L301*Constants!$F$37</f>
        <v>0</v>
      </c>
      <c r="M302" s="2430">
        <f>M301*Constants!$F$37</f>
        <v>0</v>
      </c>
      <c r="N302" s="2430">
        <f>N301*Constants!$F$37</f>
        <v>0</v>
      </c>
      <c r="O302" s="172"/>
      <c r="P302" s="185"/>
      <c r="Q302" s="48"/>
    </row>
    <row r="303" spans="2:17" ht="15.5">
      <c r="B303" s="55"/>
      <c r="C303" s="188">
        <v>11</v>
      </c>
      <c r="D303" s="189" t="s">
        <v>55</v>
      </c>
      <c r="E303" s="103" t="s">
        <v>141</v>
      </c>
      <c r="F303" s="2430">
        <f>0.00319820625663352*(1/Unit.TWh)</f>
        <v>3.1982062566335199E-3</v>
      </c>
      <c r="G303" s="191">
        <f>0.00319622522930352*(1/Unit.TWh)</f>
        <v>3.1962252293035202E-3</v>
      </c>
      <c r="H303" s="191">
        <f>0.00318545414263802*(1/Unit.TWh)</f>
        <v>3.1854541426380202E-3</v>
      </c>
      <c r="I303" s="191">
        <f>0.00318367741134261*(1/Unit.TWh)</f>
        <v>3.1836774113426099E-3</v>
      </c>
      <c r="J303" s="191">
        <f>0.0031870230559918*(1/Unit.TWh)</f>
        <v>3.1870230559917999E-3</v>
      </c>
      <c r="K303" s="191">
        <f>0.0031870230559918*(1/Unit.TWh)</f>
        <v>3.1870230559917999E-3</v>
      </c>
      <c r="L303" s="191">
        <f>0.0031870230559918*(1/Unit.TWh)</f>
        <v>3.1870230559917999E-3</v>
      </c>
      <c r="M303" s="191">
        <f>0.0031870230559918*(1/Unit.TWh)</f>
        <v>3.1870230559917999E-3</v>
      </c>
      <c r="N303" s="191">
        <f>0.0031870230559918*(1/Unit.TWh)</f>
        <v>3.1870230559917999E-3</v>
      </c>
      <c r="O303" s="172"/>
      <c r="P303" s="185"/>
      <c r="Q303" s="48"/>
    </row>
    <row r="304" spans="2:17" ht="15.5">
      <c r="B304" s="55"/>
      <c r="C304" s="188">
        <v>11</v>
      </c>
      <c r="D304" s="189" t="s">
        <v>55</v>
      </c>
      <c r="E304" s="103" t="s">
        <v>142</v>
      </c>
      <c r="F304" s="2430">
        <f>F303*Constants!$F$37</f>
        <v>3.210959993376606E-2</v>
      </c>
      <c r="G304" s="2430">
        <f>G303*Constants!$F$37</f>
        <v>3.2089710661492826E-2</v>
      </c>
      <c r="H304" s="2430">
        <f>H303*Constants!$F$37</f>
        <v>3.1981570267806902E-2</v>
      </c>
      <c r="I304" s="2430">
        <f>I303*Constants!$F$37</f>
        <v>3.196373210275201E-2</v>
      </c>
      <c r="J304" s="2430">
        <f>J303*Constants!$F$37</f>
        <v>3.1997321966127208E-2</v>
      </c>
      <c r="K304" s="2430">
        <f>K303*Constants!$F$37</f>
        <v>3.1997321966127208E-2</v>
      </c>
      <c r="L304" s="2430">
        <f>L303*Constants!$F$37</f>
        <v>3.1997321966127208E-2</v>
      </c>
      <c r="M304" s="2430">
        <f>M303*Constants!$F$37</f>
        <v>3.1997321966127208E-2</v>
      </c>
      <c r="N304" s="2430">
        <f>N303*Constants!$F$37</f>
        <v>3.1997321966127208E-2</v>
      </c>
      <c r="O304" s="172"/>
      <c r="P304" s="185"/>
      <c r="Q304" s="48"/>
    </row>
    <row r="305" spans="2:17" ht="15.5">
      <c r="B305" s="55"/>
      <c r="C305" s="188">
        <v>12</v>
      </c>
      <c r="D305" s="189" t="s">
        <v>56</v>
      </c>
      <c r="E305" s="103" t="s">
        <v>146</v>
      </c>
      <c r="F305" s="2430">
        <f>0.356249246094979*(1/Unit.TWh)</f>
        <v>0.35624924609497899</v>
      </c>
      <c r="G305" s="191">
        <f>0.291086934571234*(1/Unit.TWh)</f>
        <v>0.29108693457123402</v>
      </c>
      <c r="H305" s="191">
        <f>0.22592462304749*(1/Unit.TWh)</f>
        <v>0.22592462304749</v>
      </c>
      <c r="I305" s="191">
        <f>0.160762311523745*(1/Unit.TWh)</f>
        <v>0.16076231152374501</v>
      </c>
      <c r="J305" s="191">
        <f>0.0956*(1/Unit.TWh)</f>
        <v>9.5600000000000004E-2</v>
      </c>
      <c r="K305" s="191">
        <f>0.0956*(1/Unit.TWh)</f>
        <v>9.5600000000000004E-2</v>
      </c>
      <c r="L305" s="191">
        <f>0.0956*(1/Unit.TWh)</f>
        <v>9.5600000000000004E-2</v>
      </c>
      <c r="M305" s="191">
        <f>0.0956*(1/Unit.TWh)</f>
        <v>9.5600000000000004E-2</v>
      </c>
      <c r="N305" s="191">
        <f>0.0956*(1/Unit.TWh)</f>
        <v>9.5600000000000004E-2</v>
      </c>
      <c r="O305" s="172"/>
      <c r="P305" s="185"/>
      <c r="Q305" s="48"/>
    </row>
    <row r="306" spans="2:17" ht="15.5">
      <c r="B306" s="55"/>
      <c r="C306" s="192">
        <v>12</v>
      </c>
      <c r="D306" s="193" t="s">
        <v>56</v>
      </c>
      <c r="E306" s="194" t="s">
        <v>147</v>
      </c>
      <c r="F306" s="3809">
        <f>F305*Constants!$F$35</f>
        <v>1.4920942289889192</v>
      </c>
      <c r="G306" s="3809">
        <f>G305*Constants!$F$35</f>
        <v>1.219172082379699</v>
      </c>
      <c r="H306" s="3809">
        <f>H305*Constants!$F$35</f>
        <v>0.94624993577048278</v>
      </c>
      <c r="I306" s="3809">
        <f>I305*Constants!$F$35</f>
        <v>0.67332778916126257</v>
      </c>
      <c r="J306" s="3809">
        <f>J305*Constants!$F$35</f>
        <v>0.4004056425520422</v>
      </c>
      <c r="K306" s="3809">
        <f>K305*Constants!$F$35</f>
        <v>0.4004056425520422</v>
      </c>
      <c r="L306" s="3809">
        <f>L305*Constants!$F$35</f>
        <v>0.4004056425520422</v>
      </c>
      <c r="M306" s="3809">
        <f>M305*Constants!$F$35</f>
        <v>0.4004056425520422</v>
      </c>
      <c r="N306" s="3809">
        <f>N305*Constants!$F$35</f>
        <v>0.4004056425520422</v>
      </c>
      <c r="O306" s="172"/>
      <c r="P306" s="185"/>
      <c r="Q306" s="48"/>
    </row>
    <row r="307" spans="2:17" ht="15.5">
      <c r="B307" s="55"/>
      <c r="C307" s="166"/>
      <c r="D307" s="166"/>
      <c r="E307" s="57"/>
      <c r="F307" s="3376"/>
      <c r="G307" s="184"/>
      <c r="H307" s="184"/>
      <c r="I307" s="184"/>
      <c r="J307" s="184"/>
      <c r="K307" s="184"/>
      <c r="L307" s="184"/>
      <c r="M307" s="184"/>
      <c r="N307" s="184"/>
      <c r="O307" s="172"/>
      <c r="P307" s="185"/>
      <c r="Q307" s="48"/>
    </row>
    <row r="308" spans="2:17" ht="15.5">
      <c r="B308" s="55"/>
      <c r="C308" s="186" t="s">
        <v>148</v>
      </c>
      <c r="D308" s="166"/>
      <c r="E308" s="57"/>
      <c r="F308" s="3376"/>
      <c r="G308" s="184"/>
      <c r="H308" s="184"/>
      <c r="I308" s="184"/>
      <c r="J308" s="184"/>
      <c r="K308" s="184"/>
      <c r="L308" s="184"/>
      <c r="M308" s="184"/>
      <c r="N308" s="187" t="str">
        <f>"kt/"&amp;Preferences.EnergyUnits</f>
        <v>kt/TWh</v>
      </c>
      <c r="O308" s="172"/>
      <c r="P308" s="185"/>
      <c r="Q308" s="48"/>
    </row>
    <row r="309" spans="2:17" ht="15.5">
      <c r="B309" s="55"/>
      <c r="C309" s="186"/>
      <c r="D309" s="166"/>
      <c r="E309" s="57"/>
      <c r="F309" s="3376"/>
      <c r="G309" s="184"/>
      <c r="H309" s="184"/>
      <c r="I309" s="184"/>
      <c r="J309" s="184"/>
      <c r="K309" s="184"/>
      <c r="L309" s="184"/>
      <c r="M309" s="184"/>
      <c r="N309" s="184"/>
      <c r="O309" s="172"/>
      <c r="P309" s="185"/>
      <c r="Q309" s="48"/>
    </row>
    <row r="310" spans="2:17" ht="15.5">
      <c r="B310" s="55"/>
      <c r="C310" s="52" t="s">
        <v>43</v>
      </c>
      <c r="D310" s="52" t="s">
        <v>130</v>
      </c>
      <c r="E310" s="52" t="s">
        <v>131</v>
      </c>
      <c r="F310" s="144">
        <v>2013</v>
      </c>
      <c r="G310" s="53" t="s">
        <v>132</v>
      </c>
      <c r="H310" s="53" t="s">
        <v>133</v>
      </c>
      <c r="I310" s="53" t="s">
        <v>134</v>
      </c>
      <c r="J310" s="53" t="s">
        <v>135</v>
      </c>
      <c r="K310" s="53" t="s">
        <v>136</v>
      </c>
      <c r="L310" s="53" t="s">
        <v>137</v>
      </c>
      <c r="M310" s="53" t="s">
        <v>138</v>
      </c>
      <c r="N310" s="53" t="s">
        <v>139</v>
      </c>
      <c r="O310" s="172"/>
      <c r="P310" s="185"/>
      <c r="Q310" s="48"/>
    </row>
    <row r="311" spans="2:17" ht="15.5">
      <c r="B311" s="55"/>
      <c r="C311" s="188">
        <v>1</v>
      </c>
      <c r="D311" s="189" t="s">
        <v>140</v>
      </c>
      <c r="E311" s="103" t="s">
        <v>141</v>
      </c>
      <c r="F311" s="2430">
        <f t="shared" ref="F311:N311" si="17">0.0864*(1/Unit.TWh)</f>
        <v>8.6400000000000005E-2</v>
      </c>
      <c r="G311" s="2430">
        <f t="shared" si="17"/>
        <v>8.6400000000000005E-2</v>
      </c>
      <c r="H311" s="2430">
        <f t="shared" si="17"/>
        <v>8.6400000000000005E-2</v>
      </c>
      <c r="I311" s="2430">
        <f t="shared" si="17"/>
        <v>8.6400000000000005E-2</v>
      </c>
      <c r="J311" s="2430">
        <f t="shared" si="17"/>
        <v>8.6400000000000005E-2</v>
      </c>
      <c r="K311" s="2430">
        <f t="shared" si="17"/>
        <v>8.6400000000000005E-2</v>
      </c>
      <c r="L311" s="2430">
        <f t="shared" si="17"/>
        <v>8.6400000000000005E-2</v>
      </c>
      <c r="M311" s="2430">
        <f t="shared" si="17"/>
        <v>8.6400000000000005E-2</v>
      </c>
      <c r="N311" s="2430">
        <f t="shared" si="17"/>
        <v>8.6400000000000005E-2</v>
      </c>
      <c r="O311" s="172"/>
      <c r="P311" s="185"/>
      <c r="Q311" s="48"/>
    </row>
    <row r="312" spans="2:17" ht="15.5">
      <c r="B312" s="55"/>
      <c r="C312" s="188">
        <v>1</v>
      </c>
      <c r="D312" s="189" t="s">
        <v>140</v>
      </c>
      <c r="E312" s="103" t="s">
        <v>142</v>
      </c>
      <c r="F312" s="2430">
        <f>F311*Constants!$G$37</f>
        <v>4.9577751483547268E-2</v>
      </c>
      <c r="G312" s="2430">
        <f>G311*Constants!$G$37</f>
        <v>4.9577751483547268E-2</v>
      </c>
      <c r="H312" s="2430">
        <f>H311*Constants!$G$37</f>
        <v>4.9577751483547268E-2</v>
      </c>
      <c r="I312" s="2430">
        <f>I311*Constants!$G$37</f>
        <v>4.9577751483547268E-2</v>
      </c>
      <c r="J312" s="2430">
        <f>J311*Constants!$G$37</f>
        <v>4.9577751483547268E-2</v>
      </c>
      <c r="K312" s="2430">
        <f>K311*Constants!$G$37</f>
        <v>4.9577751483547268E-2</v>
      </c>
      <c r="L312" s="2430">
        <f>L311*Constants!$G$37</f>
        <v>4.9577751483547268E-2</v>
      </c>
      <c r="M312" s="2430">
        <f>M311*Constants!$G$37</f>
        <v>4.9577751483547268E-2</v>
      </c>
      <c r="N312" s="2430">
        <f>N311*Constants!$G$37</f>
        <v>4.9577751483547268E-2</v>
      </c>
      <c r="O312" s="172"/>
      <c r="P312" s="185"/>
      <c r="Q312" s="48"/>
    </row>
    <row r="313" spans="2:17" ht="15.5">
      <c r="B313" s="55"/>
      <c r="C313" s="188">
        <v>2</v>
      </c>
      <c r="D313" s="189" t="s">
        <v>143</v>
      </c>
      <c r="E313" s="103" t="s">
        <v>141</v>
      </c>
      <c r="F313" s="2430">
        <f t="shared" ref="F313:N313" si="18">0.07*(1/Unit.TWh)</f>
        <v>7.0000000000000007E-2</v>
      </c>
      <c r="G313" s="2430">
        <f t="shared" si="18"/>
        <v>7.0000000000000007E-2</v>
      </c>
      <c r="H313" s="2430">
        <f t="shared" si="18"/>
        <v>7.0000000000000007E-2</v>
      </c>
      <c r="I313" s="2430">
        <f t="shared" si="18"/>
        <v>7.0000000000000007E-2</v>
      </c>
      <c r="J313" s="2430">
        <f t="shared" si="18"/>
        <v>7.0000000000000007E-2</v>
      </c>
      <c r="K313" s="2430">
        <f t="shared" si="18"/>
        <v>7.0000000000000007E-2</v>
      </c>
      <c r="L313" s="2430">
        <f t="shared" si="18"/>
        <v>7.0000000000000007E-2</v>
      </c>
      <c r="M313" s="2430">
        <f t="shared" si="18"/>
        <v>7.0000000000000007E-2</v>
      </c>
      <c r="N313" s="2430">
        <f t="shared" si="18"/>
        <v>7.0000000000000007E-2</v>
      </c>
      <c r="O313" s="172"/>
      <c r="P313" s="185"/>
      <c r="Q313" s="48"/>
    </row>
    <row r="314" spans="2:17" ht="15.5">
      <c r="B314" s="55"/>
      <c r="C314" s="188">
        <v>2</v>
      </c>
      <c r="D314" s="189" t="s">
        <v>143</v>
      </c>
      <c r="E314" s="103" t="s">
        <v>142</v>
      </c>
      <c r="F314" s="2430">
        <f>F313*Constants!$G$37</f>
        <v>4.0167159766762835E-2</v>
      </c>
      <c r="G314" s="2430">
        <f>G313*Constants!$G$37</f>
        <v>4.0167159766762835E-2</v>
      </c>
      <c r="H314" s="2430">
        <f>H313*Constants!$G$37</f>
        <v>4.0167159766762835E-2</v>
      </c>
      <c r="I314" s="2430">
        <f>I313*Constants!$G$37</f>
        <v>4.0167159766762835E-2</v>
      </c>
      <c r="J314" s="2430">
        <f>J313*Constants!$G$37</f>
        <v>4.0167159766762835E-2</v>
      </c>
      <c r="K314" s="2430">
        <f>K313*Constants!$G$37</f>
        <v>4.0167159766762835E-2</v>
      </c>
      <c r="L314" s="2430">
        <f>L313*Constants!$G$37</f>
        <v>4.0167159766762835E-2</v>
      </c>
      <c r="M314" s="2430">
        <f>M313*Constants!$G$37</f>
        <v>4.0167159766762835E-2</v>
      </c>
      <c r="N314" s="2430">
        <f>N313*Constants!$G$37</f>
        <v>4.0167159766762835E-2</v>
      </c>
      <c r="O314" s="172"/>
      <c r="P314" s="185"/>
      <c r="Q314" s="48"/>
    </row>
    <row r="315" spans="2:17" ht="15.5">
      <c r="B315" s="55"/>
      <c r="C315" s="188">
        <v>4</v>
      </c>
      <c r="D315" s="189" t="s">
        <v>48</v>
      </c>
      <c r="E315" s="103" t="s">
        <v>144</v>
      </c>
      <c r="F315" s="2430">
        <f t="shared" ref="F315:N315" si="19">0.2489834294032*(1/Unit.TWh)</f>
        <v>0.24898342940320001</v>
      </c>
      <c r="G315" s="2430">
        <f t="shared" si="19"/>
        <v>0.24898342940320001</v>
      </c>
      <c r="H315" s="2430">
        <f t="shared" si="19"/>
        <v>0.24898342940320001</v>
      </c>
      <c r="I315" s="2430">
        <f t="shared" si="19"/>
        <v>0.24898342940320001</v>
      </c>
      <c r="J315" s="2430">
        <f t="shared" si="19"/>
        <v>0.24898342940320001</v>
      </c>
      <c r="K315" s="2430">
        <f t="shared" si="19"/>
        <v>0.24898342940320001</v>
      </c>
      <c r="L315" s="2430">
        <f t="shared" si="19"/>
        <v>0.24898342940320001</v>
      </c>
      <c r="M315" s="2430">
        <f t="shared" si="19"/>
        <v>0.24898342940320001</v>
      </c>
      <c r="N315" s="2430">
        <f t="shared" si="19"/>
        <v>0.24898342940320001</v>
      </c>
      <c r="O315" s="172"/>
      <c r="P315" s="185"/>
      <c r="Q315" s="48"/>
    </row>
    <row r="316" spans="2:17" ht="15.5">
      <c r="B316" s="55"/>
      <c r="C316" s="188">
        <v>4</v>
      </c>
      <c r="D316" s="189" t="s">
        <v>48</v>
      </c>
      <c r="E316" s="103" t="s">
        <v>145</v>
      </c>
      <c r="F316" s="2430">
        <f>F315*Constants!$G$36</f>
        <v>5.7384975626051271E-2</v>
      </c>
      <c r="G316" s="2430">
        <f>G315*Constants!$G$36</f>
        <v>5.7384975626051271E-2</v>
      </c>
      <c r="H316" s="2430">
        <f>H315*Constants!$G$36</f>
        <v>5.7384975626051271E-2</v>
      </c>
      <c r="I316" s="2430">
        <f>I315*Constants!$G$36</f>
        <v>5.7384975626051271E-2</v>
      </c>
      <c r="J316" s="2430">
        <f>J315*Constants!$G$36</f>
        <v>5.7384975626051271E-2</v>
      </c>
      <c r="K316" s="2430">
        <f>K315*Constants!$G$36</f>
        <v>5.7384975626051271E-2</v>
      </c>
      <c r="L316" s="2430">
        <f>L315*Constants!$G$36</f>
        <v>5.7384975626051271E-2</v>
      </c>
      <c r="M316" s="2430">
        <f>M315*Constants!$G$36</f>
        <v>5.7384975626051271E-2</v>
      </c>
      <c r="N316" s="2430">
        <f>N315*Constants!$G$36</f>
        <v>5.7384975626051271E-2</v>
      </c>
      <c r="O316" s="172"/>
      <c r="P316" s="185"/>
      <c r="Q316" s="48"/>
    </row>
    <row r="317" spans="2:17" ht="15.5">
      <c r="B317" s="55"/>
      <c r="C317" s="188">
        <v>5</v>
      </c>
      <c r="D317" s="189" t="s">
        <v>49</v>
      </c>
      <c r="E317" s="103" t="s">
        <v>146</v>
      </c>
      <c r="F317" s="2430">
        <f t="shared" ref="F317:N317" si="20">0.247805398161068*(1/Unit.TWh)</f>
        <v>0.247805398161068</v>
      </c>
      <c r="G317" s="2430">
        <f t="shared" si="20"/>
        <v>0.247805398161068</v>
      </c>
      <c r="H317" s="2430">
        <f t="shared" si="20"/>
        <v>0.247805398161068</v>
      </c>
      <c r="I317" s="2430">
        <f t="shared" si="20"/>
        <v>0.247805398161068</v>
      </c>
      <c r="J317" s="2430">
        <f t="shared" si="20"/>
        <v>0.247805398161068</v>
      </c>
      <c r="K317" s="2430">
        <f t="shared" si="20"/>
        <v>0.247805398161068</v>
      </c>
      <c r="L317" s="2430">
        <f t="shared" si="20"/>
        <v>0.247805398161068</v>
      </c>
      <c r="M317" s="2430">
        <f t="shared" si="20"/>
        <v>0.247805398161068</v>
      </c>
      <c r="N317" s="2430">
        <f t="shared" si="20"/>
        <v>0.247805398161068</v>
      </c>
      <c r="O317" s="172"/>
      <c r="P317" s="185"/>
      <c r="Q317" s="48"/>
    </row>
    <row r="318" spans="2:17" ht="15.5">
      <c r="B318" s="55"/>
      <c r="C318" s="188">
        <v>5</v>
      </c>
      <c r="D318" s="189" t="s">
        <v>49</v>
      </c>
      <c r="E318" s="103" t="s">
        <v>147</v>
      </c>
      <c r="F318" s="2430">
        <f>F317*Constants!$G$35</f>
        <v>0.19052487950607594</v>
      </c>
      <c r="G318" s="2430">
        <f>G317*Constants!$G$35</f>
        <v>0.19052487950607594</v>
      </c>
      <c r="H318" s="2430">
        <f>H317*Constants!$G$35</f>
        <v>0.19052487950607594</v>
      </c>
      <c r="I318" s="2430">
        <f>I317*Constants!$G$35</f>
        <v>0.19052487950607594</v>
      </c>
      <c r="J318" s="2430">
        <f>J317*Constants!$G$35</f>
        <v>0.19052487950607594</v>
      </c>
      <c r="K318" s="2430">
        <f>K317*Constants!$G$35</f>
        <v>0.19052487950607594</v>
      </c>
      <c r="L318" s="2430">
        <f>L317*Constants!$G$35</f>
        <v>0.19052487950607594</v>
      </c>
      <c r="M318" s="2430">
        <f>M317*Constants!$G$35</f>
        <v>0.19052487950607594</v>
      </c>
      <c r="N318" s="2430">
        <f>N317*Constants!$G$35</f>
        <v>0.19052487950607594</v>
      </c>
      <c r="O318" s="172"/>
      <c r="P318" s="185"/>
      <c r="Q318" s="48"/>
    </row>
    <row r="319" spans="2:17" ht="15.5">
      <c r="B319" s="55"/>
      <c r="C319" s="188">
        <v>6</v>
      </c>
      <c r="D319" s="189" t="s">
        <v>50</v>
      </c>
      <c r="E319" s="103" t="s">
        <v>141</v>
      </c>
      <c r="F319" s="2430">
        <f t="shared" ref="F319:N319" si="21">0.07984*(1/Unit.TWh)</f>
        <v>7.9839999999999994E-2</v>
      </c>
      <c r="G319" s="2430">
        <f t="shared" si="21"/>
        <v>7.9839999999999994E-2</v>
      </c>
      <c r="H319" s="2430">
        <f t="shared" si="21"/>
        <v>7.9839999999999994E-2</v>
      </c>
      <c r="I319" s="2430">
        <f t="shared" si="21"/>
        <v>7.9839999999999994E-2</v>
      </c>
      <c r="J319" s="2430">
        <f t="shared" si="21"/>
        <v>7.9839999999999994E-2</v>
      </c>
      <c r="K319" s="2430">
        <f t="shared" si="21"/>
        <v>7.9839999999999994E-2</v>
      </c>
      <c r="L319" s="2430">
        <f t="shared" si="21"/>
        <v>7.9839999999999994E-2</v>
      </c>
      <c r="M319" s="2430">
        <f t="shared" si="21"/>
        <v>7.9839999999999994E-2</v>
      </c>
      <c r="N319" s="2430">
        <f t="shared" si="21"/>
        <v>7.9839999999999994E-2</v>
      </c>
      <c r="O319" s="172"/>
      <c r="P319" s="185"/>
      <c r="Q319" s="48"/>
    </row>
    <row r="320" spans="2:17" ht="15.5">
      <c r="B320" s="55"/>
      <c r="C320" s="188">
        <v>6</v>
      </c>
      <c r="D320" s="189" t="s">
        <v>50</v>
      </c>
      <c r="E320" s="103" t="s">
        <v>142</v>
      </c>
      <c r="F320" s="2430">
        <f>F319*Constants!$G$37</f>
        <v>4.5813514796833488E-2</v>
      </c>
      <c r="G320" s="2430">
        <f>G319*Constants!$G$37</f>
        <v>4.5813514796833488E-2</v>
      </c>
      <c r="H320" s="2430">
        <f>H319*Constants!$G$37</f>
        <v>4.5813514796833488E-2</v>
      </c>
      <c r="I320" s="2430">
        <f>I319*Constants!$G$37</f>
        <v>4.5813514796833488E-2</v>
      </c>
      <c r="J320" s="2430">
        <f>J319*Constants!$G$37</f>
        <v>4.5813514796833488E-2</v>
      </c>
      <c r="K320" s="2430">
        <f>K319*Constants!$G$37</f>
        <v>4.5813514796833488E-2</v>
      </c>
      <c r="L320" s="2430">
        <f>L319*Constants!$G$37</f>
        <v>4.5813514796833488E-2</v>
      </c>
      <c r="M320" s="2430">
        <f>M319*Constants!$G$37</f>
        <v>4.5813514796833488E-2</v>
      </c>
      <c r="N320" s="2430">
        <f>N319*Constants!$G$37</f>
        <v>4.5813514796833488E-2</v>
      </c>
      <c r="O320" s="172"/>
      <c r="P320" s="185"/>
      <c r="Q320" s="48"/>
    </row>
    <row r="321" spans="2:17" ht="15.5">
      <c r="B321" s="55"/>
      <c r="C321" s="188">
        <v>7</v>
      </c>
      <c r="D321" s="189" t="s">
        <v>51</v>
      </c>
      <c r="E321" s="103" t="s">
        <v>141</v>
      </c>
      <c r="F321" s="2430">
        <f t="shared" ref="F321:N321" si="22">0*(1/Unit.GWh)</f>
        <v>0</v>
      </c>
      <c r="G321" s="2430">
        <f t="shared" si="22"/>
        <v>0</v>
      </c>
      <c r="H321" s="2430">
        <f t="shared" si="22"/>
        <v>0</v>
      </c>
      <c r="I321" s="2430">
        <f t="shared" si="22"/>
        <v>0</v>
      </c>
      <c r="J321" s="2430">
        <f t="shared" si="22"/>
        <v>0</v>
      </c>
      <c r="K321" s="2430">
        <f t="shared" si="22"/>
        <v>0</v>
      </c>
      <c r="L321" s="2430">
        <f t="shared" si="22"/>
        <v>0</v>
      </c>
      <c r="M321" s="2430">
        <f t="shared" si="22"/>
        <v>0</v>
      </c>
      <c r="N321" s="2430">
        <f t="shared" si="22"/>
        <v>0</v>
      </c>
      <c r="O321" s="172"/>
      <c r="P321" s="185"/>
      <c r="Q321" s="48"/>
    </row>
    <row r="322" spans="2:17" ht="15.5">
      <c r="B322" s="55"/>
      <c r="C322" s="188">
        <v>7</v>
      </c>
      <c r="D322" s="189" t="s">
        <v>51</v>
      </c>
      <c r="E322" s="103" t="s">
        <v>142</v>
      </c>
      <c r="F322" s="2430">
        <f>F321*Constants!$G$37</f>
        <v>0</v>
      </c>
      <c r="G322" s="2430">
        <f>G321*Constants!$G$37</f>
        <v>0</v>
      </c>
      <c r="H322" s="2430">
        <f>H321*Constants!$G$37</f>
        <v>0</v>
      </c>
      <c r="I322" s="2430">
        <f>I321*Constants!$G$37</f>
        <v>0</v>
      </c>
      <c r="J322" s="2430">
        <f>J321*Constants!$G$37</f>
        <v>0</v>
      </c>
      <c r="K322" s="2430">
        <f>K321*Constants!$G$37</f>
        <v>0</v>
      </c>
      <c r="L322" s="2430">
        <f>L321*Constants!$G$37</f>
        <v>0</v>
      </c>
      <c r="M322" s="2430">
        <f>M321*Constants!$G$37</f>
        <v>0</v>
      </c>
      <c r="N322" s="2430">
        <f>N321*Constants!$G$37</f>
        <v>0</v>
      </c>
      <c r="O322" s="172"/>
      <c r="P322" s="185"/>
      <c r="Q322" s="48"/>
    </row>
    <row r="323" spans="2:17" ht="15.5">
      <c r="B323" s="55"/>
      <c r="C323" s="188">
        <v>11</v>
      </c>
      <c r="D323" s="189" t="s">
        <v>55</v>
      </c>
      <c r="E323" s="103" t="s">
        <v>141</v>
      </c>
      <c r="F323" s="2430">
        <f t="shared" ref="F323:N323" si="23">0.377732303754266*(1/Unit.TWh)</f>
        <v>0.37773230375426597</v>
      </c>
      <c r="G323" s="2430">
        <f t="shared" si="23"/>
        <v>0.37773230375426597</v>
      </c>
      <c r="H323" s="2430">
        <f t="shared" si="23"/>
        <v>0.37773230375426597</v>
      </c>
      <c r="I323" s="2430">
        <f t="shared" si="23"/>
        <v>0.37773230375426597</v>
      </c>
      <c r="J323" s="2430">
        <f t="shared" si="23"/>
        <v>0.37773230375426597</v>
      </c>
      <c r="K323" s="2430">
        <f t="shared" si="23"/>
        <v>0.37773230375426597</v>
      </c>
      <c r="L323" s="2430">
        <f t="shared" si="23"/>
        <v>0.37773230375426597</v>
      </c>
      <c r="M323" s="2430">
        <f t="shared" si="23"/>
        <v>0.37773230375426597</v>
      </c>
      <c r="N323" s="2430">
        <f t="shared" si="23"/>
        <v>0.37773230375426597</v>
      </c>
      <c r="O323" s="172"/>
      <c r="P323" s="185"/>
      <c r="Q323" s="48"/>
    </row>
    <row r="324" spans="2:17" ht="15.5">
      <c r="B324" s="55"/>
      <c r="C324" s="188">
        <v>11</v>
      </c>
      <c r="D324" s="189" t="s">
        <v>55</v>
      </c>
      <c r="E324" s="103" t="s">
        <v>142</v>
      </c>
      <c r="F324" s="2430">
        <f>F323*Constants!$G$37</f>
        <v>0.21674905419949983</v>
      </c>
      <c r="G324" s="2430">
        <f>G323*Constants!$G$37</f>
        <v>0.21674905419949983</v>
      </c>
      <c r="H324" s="2430">
        <f>H323*Constants!$G$37</f>
        <v>0.21674905419949983</v>
      </c>
      <c r="I324" s="2430">
        <f>I323*Constants!$G$37</f>
        <v>0.21674905419949983</v>
      </c>
      <c r="J324" s="2430">
        <f>J323*Constants!$G$37</f>
        <v>0.21674905419949983</v>
      </c>
      <c r="K324" s="2430">
        <f>K323*Constants!$G$37</f>
        <v>0.21674905419949983</v>
      </c>
      <c r="L324" s="2430">
        <f>L323*Constants!$G$37</f>
        <v>0.21674905419949983</v>
      </c>
      <c r="M324" s="2430">
        <f>M323*Constants!$G$37</f>
        <v>0.21674905419949983</v>
      </c>
      <c r="N324" s="2430">
        <f>N323*Constants!$G$37</f>
        <v>0.21674905419949983</v>
      </c>
      <c r="O324" s="172"/>
      <c r="P324" s="185"/>
      <c r="Q324" s="48"/>
    </row>
    <row r="325" spans="2:17" ht="15.5">
      <c r="B325" s="55"/>
      <c r="C325" s="188">
        <v>12</v>
      </c>
      <c r="D325" s="189" t="s">
        <v>56</v>
      </c>
      <c r="E325" s="103" t="s">
        <v>146</v>
      </c>
      <c r="F325" s="2430">
        <f t="shared" ref="F325:N325" si="24">0.714407232434977*(1/Unit.TWh)</f>
        <v>0.71440723243497695</v>
      </c>
      <c r="G325" s="2430">
        <f t="shared" si="24"/>
        <v>0.71440723243497695</v>
      </c>
      <c r="H325" s="2430">
        <f t="shared" si="24"/>
        <v>0.71440723243497695</v>
      </c>
      <c r="I325" s="2430">
        <f t="shared" si="24"/>
        <v>0.71440723243497695</v>
      </c>
      <c r="J325" s="2430">
        <f t="shared" si="24"/>
        <v>0.71440723243497695</v>
      </c>
      <c r="K325" s="2430">
        <f t="shared" si="24"/>
        <v>0.71440723243497695</v>
      </c>
      <c r="L325" s="2430">
        <f t="shared" si="24"/>
        <v>0.71440723243497695</v>
      </c>
      <c r="M325" s="2430">
        <f t="shared" si="24"/>
        <v>0.71440723243497695</v>
      </c>
      <c r="N325" s="2430">
        <f t="shared" si="24"/>
        <v>0.71440723243497695</v>
      </c>
      <c r="O325" s="172"/>
      <c r="P325" s="185"/>
      <c r="Q325" s="48"/>
    </row>
    <row r="326" spans="2:17" ht="15.5">
      <c r="B326" s="55"/>
      <c r="C326" s="192">
        <v>12</v>
      </c>
      <c r="D326" s="193" t="s">
        <v>56</v>
      </c>
      <c r="E326" s="194" t="s">
        <v>147</v>
      </c>
      <c r="F326" s="3809">
        <f>F325*Constants!$G$35</f>
        <v>0.54927113326834454</v>
      </c>
      <c r="G326" s="3809">
        <f>G325*Constants!$G$35</f>
        <v>0.54927113326834454</v>
      </c>
      <c r="H326" s="3809">
        <f>H325*Constants!$G$35</f>
        <v>0.54927113326834454</v>
      </c>
      <c r="I326" s="3809">
        <f>I325*Constants!$G$35</f>
        <v>0.54927113326834454</v>
      </c>
      <c r="J326" s="3809">
        <f>J325*Constants!$G$35</f>
        <v>0.54927113326834454</v>
      </c>
      <c r="K326" s="3809">
        <f>K325*Constants!$G$35</f>
        <v>0.54927113326834454</v>
      </c>
      <c r="L326" s="3809">
        <f>L325*Constants!$G$35</f>
        <v>0.54927113326834454</v>
      </c>
      <c r="M326" s="3809">
        <f>M325*Constants!$G$35</f>
        <v>0.54927113326834454</v>
      </c>
      <c r="N326" s="3809">
        <f>N325*Constants!$G$35</f>
        <v>0.54927113326834454</v>
      </c>
      <c r="O326" s="172"/>
      <c r="P326" s="185"/>
      <c r="Q326" s="48"/>
    </row>
    <row r="327" spans="2:17" ht="15.5">
      <c r="B327" s="55"/>
      <c r="C327" s="166"/>
      <c r="D327" s="166"/>
      <c r="E327" s="57"/>
      <c r="F327" s="3376"/>
      <c r="G327" s="184"/>
      <c r="H327" s="184"/>
      <c r="I327" s="184"/>
      <c r="J327" s="184"/>
      <c r="K327" s="184"/>
      <c r="L327" s="184"/>
      <c r="M327" s="184"/>
      <c r="N327" s="184"/>
      <c r="O327" s="172"/>
      <c r="P327" s="185"/>
      <c r="Q327" s="48"/>
    </row>
    <row r="328" spans="2:17" ht="15.5">
      <c r="B328" s="55"/>
      <c r="C328" s="186" t="s">
        <v>149</v>
      </c>
      <c r="D328" s="166"/>
      <c r="E328" s="57"/>
      <c r="F328" s="3376"/>
      <c r="G328" s="184"/>
      <c r="H328" s="184"/>
      <c r="I328" s="184"/>
      <c r="J328" s="184"/>
      <c r="K328" s="184"/>
      <c r="L328" s="184"/>
      <c r="M328" s="184"/>
      <c r="N328" s="187" t="str">
        <f>"kt/"&amp;Preferences.EnergyUnits</f>
        <v>kt/TWh</v>
      </c>
      <c r="O328" s="172"/>
      <c r="P328" s="185"/>
      <c r="Q328" s="48"/>
    </row>
    <row r="329" spans="2:17" ht="15.5">
      <c r="B329" s="55"/>
      <c r="C329" s="186"/>
      <c r="D329" s="166"/>
      <c r="E329" s="57"/>
      <c r="F329" s="3376"/>
      <c r="G329" s="184"/>
      <c r="H329" s="184"/>
      <c r="I329" s="184"/>
      <c r="J329" s="184"/>
      <c r="K329" s="184"/>
      <c r="L329" s="184"/>
      <c r="M329" s="184"/>
      <c r="N329" s="184"/>
      <c r="O329" s="172"/>
      <c r="P329" s="185"/>
      <c r="Q329" s="48"/>
    </row>
    <row r="330" spans="2:17" ht="15.5">
      <c r="B330" s="55"/>
      <c r="C330" s="52" t="s">
        <v>43</v>
      </c>
      <c r="D330" s="52" t="s">
        <v>130</v>
      </c>
      <c r="E330" s="52" t="s">
        <v>131</v>
      </c>
      <c r="F330" s="144">
        <v>2013</v>
      </c>
      <c r="G330" s="53" t="s">
        <v>132</v>
      </c>
      <c r="H330" s="53" t="s">
        <v>133</v>
      </c>
      <c r="I330" s="53" t="s">
        <v>134</v>
      </c>
      <c r="J330" s="53" t="s">
        <v>135</v>
      </c>
      <c r="K330" s="53" t="s">
        <v>136</v>
      </c>
      <c r="L330" s="53" t="s">
        <v>137</v>
      </c>
      <c r="M330" s="53" t="s">
        <v>138</v>
      </c>
      <c r="N330" s="53" t="s">
        <v>139</v>
      </c>
      <c r="O330" s="172"/>
      <c r="P330" s="185"/>
      <c r="Q330" s="48"/>
    </row>
    <row r="331" spans="2:17" ht="15.5">
      <c r="B331" s="55"/>
      <c r="C331" s="188">
        <v>1</v>
      </c>
      <c r="D331" s="189" t="s">
        <v>140</v>
      </c>
      <c r="E331" s="103" t="s">
        <v>141</v>
      </c>
      <c r="F331" s="2430">
        <f t="shared" ref="F331:N333" si="25">0*(1/Unit.GWh)</f>
        <v>0</v>
      </c>
      <c r="G331" s="2430">
        <f t="shared" si="25"/>
        <v>0</v>
      </c>
      <c r="H331" s="2430">
        <f t="shared" si="25"/>
        <v>0</v>
      </c>
      <c r="I331" s="2430">
        <f t="shared" si="25"/>
        <v>0</v>
      </c>
      <c r="J331" s="2430">
        <f t="shared" si="25"/>
        <v>0</v>
      </c>
      <c r="K331" s="2430">
        <f t="shared" si="25"/>
        <v>0</v>
      </c>
      <c r="L331" s="2430">
        <f t="shared" si="25"/>
        <v>0</v>
      </c>
      <c r="M331" s="2430">
        <f t="shared" si="25"/>
        <v>0</v>
      </c>
      <c r="N331" s="2430">
        <f t="shared" si="25"/>
        <v>0</v>
      </c>
      <c r="O331" s="172"/>
      <c r="P331" s="185"/>
      <c r="Q331" s="48"/>
    </row>
    <row r="332" spans="2:17" ht="15.5">
      <c r="B332" s="55"/>
      <c r="C332" s="188">
        <v>1</v>
      </c>
      <c r="D332" s="189" t="s">
        <v>140</v>
      </c>
      <c r="E332" s="103" t="s">
        <v>142</v>
      </c>
      <c r="F332" s="2430">
        <f>F331*Constants!$H$37</f>
        <v>0</v>
      </c>
      <c r="G332" s="2430">
        <f>G331*Constants!$H$37</f>
        <v>0</v>
      </c>
      <c r="H332" s="2430">
        <f>H331*Constants!$H$37</f>
        <v>0</v>
      </c>
      <c r="I332" s="2430">
        <f>I331*Constants!$H$37</f>
        <v>0</v>
      </c>
      <c r="J332" s="2430">
        <f>J331*Constants!$H$37</f>
        <v>0</v>
      </c>
      <c r="K332" s="2430">
        <f>K331*Constants!$H$37</f>
        <v>0</v>
      </c>
      <c r="L332" s="2430">
        <f>L331*Constants!$H$37</f>
        <v>0</v>
      </c>
      <c r="M332" s="2430">
        <f>M331*Constants!$H$37</f>
        <v>0</v>
      </c>
      <c r="N332" s="2430">
        <f>N331*Constants!$H$37</f>
        <v>0</v>
      </c>
      <c r="O332" s="172"/>
      <c r="P332" s="185"/>
      <c r="Q332" s="48"/>
    </row>
    <row r="333" spans="2:17" ht="15.5">
      <c r="B333" s="55"/>
      <c r="C333" s="188">
        <v>2</v>
      </c>
      <c r="D333" s="189" t="s">
        <v>143</v>
      </c>
      <c r="E333" s="103" t="s">
        <v>141</v>
      </c>
      <c r="F333" s="2430">
        <f t="shared" si="25"/>
        <v>0</v>
      </c>
      <c r="G333" s="2430">
        <f t="shared" si="25"/>
        <v>0</v>
      </c>
      <c r="H333" s="2430">
        <f t="shared" si="25"/>
        <v>0</v>
      </c>
      <c r="I333" s="2430">
        <f t="shared" si="25"/>
        <v>0</v>
      </c>
      <c r="J333" s="2430">
        <f t="shared" si="25"/>
        <v>0</v>
      </c>
      <c r="K333" s="2430">
        <f t="shared" si="25"/>
        <v>0</v>
      </c>
      <c r="L333" s="2430">
        <f t="shared" si="25"/>
        <v>0</v>
      </c>
      <c r="M333" s="2430">
        <f t="shared" si="25"/>
        <v>0</v>
      </c>
      <c r="N333" s="2430">
        <f t="shared" si="25"/>
        <v>0</v>
      </c>
      <c r="O333" s="172"/>
      <c r="P333" s="185"/>
      <c r="Q333" s="48"/>
    </row>
    <row r="334" spans="2:17" ht="15.5">
      <c r="B334" s="55"/>
      <c r="C334" s="188">
        <v>2</v>
      </c>
      <c r="D334" s="189" t="s">
        <v>143</v>
      </c>
      <c r="E334" s="103" t="s">
        <v>142</v>
      </c>
      <c r="F334" s="2430">
        <f>F333*Constants!$H$37</f>
        <v>0</v>
      </c>
      <c r="G334" s="2430">
        <f>G333*Constants!$H$37</f>
        <v>0</v>
      </c>
      <c r="H334" s="2430">
        <f>H333*Constants!$H$37</f>
        <v>0</v>
      </c>
      <c r="I334" s="2430">
        <f>I333*Constants!$H$37</f>
        <v>0</v>
      </c>
      <c r="J334" s="2430">
        <f>J333*Constants!$H$37</f>
        <v>0</v>
      </c>
      <c r="K334" s="2430">
        <f>K333*Constants!$H$37</f>
        <v>0</v>
      </c>
      <c r="L334" s="2430">
        <f>L333*Constants!$H$37</f>
        <v>0</v>
      </c>
      <c r="M334" s="2430">
        <f>M333*Constants!$H$37</f>
        <v>0</v>
      </c>
      <c r="N334" s="2430">
        <f>N333*Constants!$H$37</f>
        <v>0</v>
      </c>
      <c r="O334" s="172"/>
      <c r="P334" s="185"/>
      <c r="Q334" s="48"/>
    </row>
    <row r="335" spans="2:17" ht="15.5">
      <c r="B335" s="55"/>
      <c r="C335" s="188">
        <v>4</v>
      </c>
      <c r="D335" s="189" t="s">
        <v>48</v>
      </c>
      <c r="E335" s="103" t="s">
        <v>144</v>
      </c>
      <c r="F335" s="2430">
        <f t="shared" ref="F335:N335" si="26">0.0379854823852755*(1/Unit.TWh)</f>
        <v>3.79854823852755E-2</v>
      </c>
      <c r="G335" s="2430">
        <f t="shared" si="26"/>
        <v>3.79854823852755E-2</v>
      </c>
      <c r="H335" s="2430">
        <f t="shared" si="26"/>
        <v>3.79854823852755E-2</v>
      </c>
      <c r="I335" s="2430">
        <f t="shared" si="26"/>
        <v>3.79854823852755E-2</v>
      </c>
      <c r="J335" s="2430">
        <f t="shared" si="26"/>
        <v>3.79854823852755E-2</v>
      </c>
      <c r="K335" s="2430">
        <f t="shared" si="26"/>
        <v>3.79854823852755E-2</v>
      </c>
      <c r="L335" s="2430">
        <f t="shared" si="26"/>
        <v>3.79854823852755E-2</v>
      </c>
      <c r="M335" s="2430">
        <f t="shared" si="26"/>
        <v>3.79854823852755E-2</v>
      </c>
      <c r="N335" s="2430">
        <f t="shared" si="26"/>
        <v>3.79854823852755E-2</v>
      </c>
      <c r="O335" s="172"/>
      <c r="P335" s="185"/>
      <c r="Q335" s="48"/>
    </row>
    <row r="336" spans="2:17" ht="15.5">
      <c r="B336" s="55"/>
      <c r="C336" s="188">
        <v>4</v>
      </c>
      <c r="D336" s="189" t="s">
        <v>48</v>
      </c>
      <c r="E336" s="103" t="s">
        <v>145</v>
      </c>
      <c r="F336" s="2430">
        <f>F335*Constants!$H$36</f>
        <v>4.9628598089003462E-4</v>
      </c>
      <c r="G336" s="2430">
        <f>G335*Constants!$H$36</f>
        <v>4.9628598089003462E-4</v>
      </c>
      <c r="H336" s="2430">
        <f>H335*Constants!$H$36</f>
        <v>4.9628598089003462E-4</v>
      </c>
      <c r="I336" s="2430">
        <f>I335*Constants!$H$36</f>
        <v>4.9628598089003462E-4</v>
      </c>
      <c r="J336" s="2430">
        <f>J335*Constants!$H$36</f>
        <v>4.9628598089003462E-4</v>
      </c>
      <c r="K336" s="2430">
        <f>K335*Constants!$H$36</f>
        <v>4.9628598089003462E-4</v>
      </c>
      <c r="L336" s="2430">
        <f>L335*Constants!$H$36</f>
        <v>4.9628598089003462E-4</v>
      </c>
      <c r="M336" s="2430">
        <f>M335*Constants!$H$36</f>
        <v>4.9628598089003462E-4</v>
      </c>
      <c r="N336" s="2430">
        <f>N335*Constants!$H$36</f>
        <v>4.9628598089003462E-4</v>
      </c>
      <c r="O336" s="172"/>
      <c r="P336" s="185"/>
      <c r="Q336" s="48"/>
    </row>
    <row r="337" spans="2:17" ht="15.5">
      <c r="B337" s="55"/>
      <c r="C337" s="188">
        <v>5</v>
      </c>
      <c r="D337" s="189" t="s">
        <v>49</v>
      </c>
      <c r="E337" s="103" t="s">
        <v>146</v>
      </c>
      <c r="F337" s="2430">
        <f t="shared" ref="F337:N337" si="27">3.3005713096006*(1/Unit.TWh)</f>
        <v>3.3005713096006</v>
      </c>
      <c r="G337" s="2430">
        <f t="shared" si="27"/>
        <v>3.3005713096006</v>
      </c>
      <c r="H337" s="2430">
        <f t="shared" si="27"/>
        <v>3.3005713096006</v>
      </c>
      <c r="I337" s="2430">
        <f t="shared" si="27"/>
        <v>3.3005713096006</v>
      </c>
      <c r="J337" s="2430">
        <f t="shared" si="27"/>
        <v>3.3005713096006</v>
      </c>
      <c r="K337" s="2430">
        <f t="shared" si="27"/>
        <v>3.3005713096006</v>
      </c>
      <c r="L337" s="2430">
        <f t="shared" si="27"/>
        <v>3.3005713096006</v>
      </c>
      <c r="M337" s="2430">
        <f t="shared" si="27"/>
        <v>3.3005713096006</v>
      </c>
      <c r="N337" s="2430">
        <f t="shared" si="27"/>
        <v>3.3005713096006</v>
      </c>
      <c r="O337" s="172"/>
      <c r="P337" s="185"/>
      <c r="Q337" s="48"/>
    </row>
    <row r="338" spans="2:17" ht="15.5">
      <c r="B338" s="55"/>
      <c r="C338" s="188">
        <v>5</v>
      </c>
      <c r="D338" s="189" t="s">
        <v>49</v>
      </c>
      <c r="E338" s="103" t="s">
        <v>147</v>
      </c>
      <c r="F338" s="2430">
        <f>F337*Constants!$H$35</f>
        <v>3.8431273423793967E-2</v>
      </c>
      <c r="G338" s="2430">
        <f>G337*Constants!$H$35</f>
        <v>3.8431273423793967E-2</v>
      </c>
      <c r="H338" s="2430">
        <f>H337*Constants!$H$35</f>
        <v>3.8431273423793967E-2</v>
      </c>
      <c r="I338" s="2430">
        <f>I337*Constants!$H$35</f>
        <v>3.8431273423793967E-2</v>
      </c>
      <c r="J338" s="2430">
        <f>J337*Constants!$H$35</f>
        <v>3.8431273423793967E-2</v>
      </c>
      <c r="K338" s="2430">
        <f>K337*Constants!$H$35</f>
        <v>3.8431273423793967E-2</v>
      </c>
      <c r="L338" s="2430">
        <f>L337*Constants!$H$35</f>
        <v>3.8431273423793967E-2</v>
      </c>
      <c r="M338" s="2430">
        <f>M337*Constants!$H$35</f>
        <v>3.8431273423793967E-2</v>
      </c>
      <c r="N338" s="2430">
        <f>N337*Constants!$H$35</f>
        <v>3.8431273423793967E-2</v>
      </c>
      <c r="O338" s="172"/>
      <c r="P338" s="185"/>
      <c r="Q338" s="48"/>
    </row>
    <row r="339" spans="2:17" ht="15.5">
      <c r="B339" s="55"/>
      <c r="C339" s="188">
        <v>6</v>
      </c>
      <c r="D339" s="189" t="s">
        <v>50</v>
      </c>
      <c r="E339" s="103" t="s">
        <v>141</v>
      </c>
      <c r="F339" s="2430">
        <f t="shared" ref="F339:N343" si="28">0*(1/Unit.GWh)</f>
        <v>0</v>
      </c>
      <c r="G339" s="2430">
        <f t="shared" si="28"/>
        <v>0</v>
      </c>
      <c r="H339" s="2430">
        <f t="shared" si="28"/>
        <v>0</v>
      </c>
      <c r="I339" s="2430">
        <f t="shared" si="28"/>
        <v>0</v>
      </c>
      <c r="J339" s="2430">
        <f t="shared" si="28"/>
        <v>0</v>
      </c>
      <c r="K339" s="2430">
        <f t="shared" si="28"/>
        <v>0</v>
      </c>
      <c r="L339" s="2430">
        <f t="shared" si="28"/>
        <v>0</v>
      </c>
      <c r="M339" s="2430">
        <f t="shared" si="28"/>
        <v>0</v>
      </c>
      <c r="N339" s="2430">
        <f t="shared" si="28"/>
        <v>0</v>
      </c>
      <c r="O339" s="172"/>
      <c r="P339" s="185"/>
      <c r="Q339" s="48"/>
    </row>
    <row r="340" spans="2:17" ht="15.5">
      <c r="B340" s="55"/>
      <c r="C340" s="188">
        <v>6</v>
      </c>
      <c r="D340" s="189" t="s">
        <v>50</v>
      </c>
      <c r="E340" s="103" t="s">
        <v>142</v>
      </c>
      <c r="F340" s="2430">
        <f>F339*Constants!$H$37</f>
        <v>0</v>
      </c>
      <c r="G340" s="2430">
        <f>G339*Constants!$H$37</f>
        <v>0</v>
      </c>
      <c r="H340" s="2430">
        <f>H339*Constants!$H$37</f>
        <v>0</v>
      </c>
      <c r="I340" s="2430">
        <f>I339*Constants!$H$37</f>
        <v>0</v>
      </c>
      <c r="J340" s="2430">
        <f>J339*Constants!$H$37</f>
        <v>0</v>
      </c>
      <c r="K340" s="2430">
        <f>K339*Constants!$H$37</f>
        <v>0</v>
      </c>
      <c r="L340" s="2430">
        <f>L339*Constants!$H$37</f>
        <v>0</v>
      </c>
      <c r="M340" s="2430">
        <f>M339*Constants!$H$37</f>
        <v>0</v>
      </c>
      <c r="N340" s="2430">
        <f>N339*Constants!$H$37</f>
        <v>0</v>
      </c>
      <c r="O340" s="172"/>
      <c r="P340" s="185"/>
      <c r="Q340" s="48"/>
    </row>
    <row r="341" spans="2:17" ht="15.5">
      <c r="B341" s="55"/>
      <c r="C341" s="188">
        <v>7</v>
      </c>
      <c r="D341" s="189" t="s">
        <v>51</v>
      </c>
      <c r="E341" s="103" t="s">
        <v>141</v>
      </c>
      <c r="F341" s="2430">
        <f t="shared" si="28"/>
        <v>0</v>
      </c>
      <c r="G341" s="2430">
        <f t="shared" si="28"/>
        <v>0</v>
      </c>
      <c r="H341" s="2430">
        <f t="shared" si="28"/>
        <v>0</v>
      </c>
      <c r="I341" s="2430">
        <f t="shared" si="28"/>
        <v>0</v>
      </c>
      <c r="J341" s="2430">
        <f t="shared" si="28"/>
        <v>0</v>
      </c>
      <c r="K341" s="2430">
        <f t="shared" si="28"/>
        <v>0</v>
      </c>
      <c r="L341" s="2430">
        <f t="shared" si="28"/>
        <v>0</v>
      </c>
      <c r="M341" s="2430">
        <f t="shared" si="28"/>
        <v>0</v>
      </c>
      <c r="N341" s="2430">
        <f t="shared" si="28"/>
        <v>0</v>
      </c>
      <c r="O341" s="172"/>
      <c r="P341" s="185"/>
      <c r="Q341" s="48"/>
    </row>
    <row r="342" spans="2:17" ht="15.5">
      <c r="B342" s="55"/>
      <c r="C342" s="188">
        <v>7</v>
      </c>
      <c r="D342" s="189" t="s">
        <v>51</v>
      </c>
      <c r="E342" s="103" t="s">
        <v>142</v>
      </c>
      <c r="F342" s="2430">
        <f>F341*Constants!$H$37</f>
        <v>0</v>
      </c>
      <c r="G342" s="2430">
        <f>G341*Constants!$H$37</f>
        <v>0</v>
      </c>
      <c r="H342" s="2430">
        <f>H341*Constants!$H$37</f>
        <v>0</v>
      </c>
      <c r="I342" s="2430">
        <f>I341*Constants!$H$37</f>
        <v>0</v>
      </c>
      <c r="J342" s="2430">
        <f>J341*Constants!$H$37</f>
        <v>0</v>
      </c>
      <c r="K342" s="2430">
        <f>K341*Constants!$H$37</f>
        <v>0</v>
      </c>
      <c r="L342" s="2430">
        <f>L341*Constants!$H$37</f>
        <v>0</v>
      </c>
      <c r="M342" s="2430">
        <f>M341*Constants!$H$37</f>
        <v>0</v>
      </c>
      <c r="N342" s="2430">
        <f>N341*Constants!$H$37</f>
        <v>0</v>
      </c>
      <c r="O342" s="172"/>
      <c r="P342" s="185"/>
      <c r="Q342" s="48"/>
    </row>
    <row r="343" spans="2:17" ht="15.5">
      <c r="B343" s="55"/>
      <c r="C343" s="188">
        <v>11</v>
      </c>
      <c r="D343" s="189" t="s">
        <v>55</v>
      </c>
      <c r="E343" s="103" t="s">
        <v>141</v>
      </c>
      <c r="F343" s="2430">
        <f t="shared" si="28"/>
        <v>0</v>
      </c>
      <c r="G343" s="2430">
        <f t="shared" si="28"/>
        <v>0</v>
      </c>
      <c r="H343" s="2430">
        <f t="shared" si="28"/>
        <v>0</v>
      </c>
      <c r="I343" s="2430">
        <f t="shared" si="28"/>
        <v>0</v>
      </c>
      <c r="J343" s="2430">
        <f t="shared" si="28"/>
        <v>0</v>
      </c>
      <c r="K343" s="2430">
        <f t="shared" si="28"/>
        <v>0</v>
      </c>
      <c r="L343" s="2430">
        <f t="shared" si="28"/>
        <v>0</v>
      </c>
      <c r="M343" s="2430">
        <f t="shared" si="28"/>
        <v>0</v>
      </c>
      <c r="N343" s="2430">
        <f t="shared" si="28"/>
        <v>0</v>
      </c>
      <c r="O343" s="172"/>
      <c r="P343" s="185"/>
      <c r="Q343" s="48"/>
    </row>
    <row r="344" spans="2:17" ht="15.5">
      <c r="B344" s="55"/>
      <c r="C344" s="188">
        <v>11</v>
      </c>
      <c r="D344" s="189" t="s">
        <v>55</v>
      </c>
      <c r="E344" s="103" t="s">
        <v>142</v>
      </c>
      <c r="F344" s="2430">
        <f>F343*Constants!$H$37</f>
        <v>0</v>
      </c>
      <c r="G344" s="2430">
        <f>G343*Constants!$H$37</f>
        <v>0</v>
      </c>
      <c r="H344" s="2430">
        <f>H343*Constants!$H$37</f>
        <v>0</v>
      </c>
      <c r="I344" s="2430">
        <f>I343*Constants!$H$37</f>
        <v>0</v>
      </c>
      <c r="J344" s="2430">
        <f>J343*Constants!$H$37</f>
        <v>0</v>
      </c>
      <c r="K344" s="2430">
        <f>K343*Constants!$H$37</f>
        <v>0</v>
      </c>
      <c r="L344" s="2430">
        <f>L343*Constants!$H$37</f>
        <v>0</v>
      </c>
      <c r="M344" s="2430">
        <f>M343*Constants!$H$37</f>
        <v>0</v>
      </c>
      <c r="N344" s="2430">
        <f>N343*Constants!$H$37</f>
        <v>0</v>
      </c>
      <c r="O344" s="172"/>
      <c r="P344" s="185"/>
      <c r="Q344" s="48"/>
    </row>
    <row r="345" spans="2:17" ht="15.5">
      <c r="B345" s="55"/>
      <c r="C345" s="188">
        <v>12</v>
      </c>
      <c r="D345" s="189" t="s">
        <v>56</v>
      </c>
      <c r="E345" s="103" t="s">
        <v>146</v>
      </c>
      <c r="F345" s="2430">
        <f t="shared" ref="F345:N345" si="29">2.40023223873546*(1/Unit.TWh)</f>
        <v>2.4002322387354602</v>
      </c>
      <c r="G345" s="2430">
        <f t="shared" si="29"/>
        <v>2.4002322387354602</v>
      </c>
      <c r="H345" s="2430">
        <f t="shared" si="29"/>
        <v>2.4002322387354602</v>
      </c>
      <c r="I345" s="2430">
        <f t="shared" si="29"/>
        <v>2.4002322387354602</v>
      </c>
      <c r="J345" s="2430">
        <f t="shared" si="29"/>
        <v>2.4002322387354602</v>
      </c>
      <c r="K345" s="2430">
        <f t="shared" si="29"/>
        <v>2.4002322387354602</v>
      </c>
      <c r="L345" s="2430">
        <f t="shared" si="29"/>
        <v>2.4002322387354602</v>
      </c>
      <c r="M345" s="2430">
        <f t="shared" si="29"/>
        <v>2.4002322387354602</v>
      </c>
      <c r="N345" s="2430">
        <f t="shared" si="29"/>
        <v>2.4002322387354602</v>
      </c>
      <c r="O345" s="172"/>
      <c r="P345" s="185"/>
      <c r="Q345" s="48"/>
    </row>
    <row r="346" spans="2:17" ht="15.5">
      <c r="B346" s="55"/>
      <c r="C346" s="192">
        <v>12</v>
      </c>
      <c r="D346" s="193" t="s">
        <v>56</v>
      </c>
      <c r="E346" s="194" t="s">
        <v>147</v>
      </c>
      <c r="F346" s="3809">
        <f>F345*Constants!$H$35</f>
        <v>2.7947883198018216E-2</v>
      </c>
      <c r="G346" s="3809">
        <f>G345*Constants!$H$35</f>
        <v>2.7947883198018216E-2</v>
      </c>
      <c r="H346" s="3809">
        <f>H345*Constants!$H$35</f>
        <v>2.7947883198018216E-2</v>
      </c>
      <c r="I346" s="3809">
        <f>I345*Constants!$H$35</f>
        <v>2.7947883198018216E-2</v>
      </c>
      <c r="J346" s="3809">
        <f>J345*Constants!$H$35</f>
        <v>2.7947883198018216E-2</v>
      </c>
      <c r="K346" s="3809">
        <f>K345*Constants!$H$35</f>
        <v>2.7947883198018216E-2</v>
      </c>
      <c r="L346" s="3809">
        <f>L345*Constants!$H$35</f>
        <v>2.7947883198018216E-2</v>
      </c>
      <c r="M346" s="3809">
        <f>M345*Constants!$H$35</f>
        <v>2.7947883198018216E-2</v>
      </c>
      <c r="N346" s="3809">
        <f>N345*Constants!$H$35</f>
        <v>2.7947883198018216E-2</v>
      </c>
      <c r="O346" s="172"/>
      <c r="P346" s="185"/>
      <c r="Q346" s="48"/>
    </row>
    <row r="347" spans="2:17" ht="15.5">
      <c r="B347" s="55"/>
      <c r="C347" s="166"/>
      <c r="D347" s="166"/>
      <c r="E347" s="57"/>
      <c r="F347" s="3376"/>
      <c r="G347" s="184"/>
      <c r="H347" s="184"/>
      <c r="I347" s="184"/>
      <c r="J347" s="184"/>
      <c r="K347" s="184"/>
      <c r="L347" s="184"/>
      <c r="M347" s="184"/>
      <c r="N347" s="184"/>
      <c r="O347" s="172"/>
      <c r="P347" s="185"/>
      <c r="Q347" s="48"/>
    </row>
    <row r="348" spans="2:17" ht="15.5">
      <c r="B348" s="55"/>
      <c r="C348" s="186" t="s">
        <v>150</v>
      </c>
      <c r="D348" s="166"/>
      <c r="E348" s="57"/>
      <c r="F348" s="3376"/>
      <c r="G348" s="184"/>
      <c r="H348" s="184"/>
      <c r="I348" s="184"/>
      <c r="J348" s="184"/>
      <c r="K348" s="184"/>
      <c r="L348" s="184"/>
      <c r="M348" s="184"/>
      <c r="N348" s="187" t="str">
        <f>"kt/"&amp;Preferences.EnergyUnits</f>
        <v>kt/TWh</v>
      </c>
      <c r="O348" s="172"/>
      <c r="P348" s="185"/>
      <c r="Q348" s="48"/>
    </row>
    <row r="349" spans="2:17" ht="15.5">
      <c r="B349" s="55"/>
      <c r="C349" s="186"/>
      <c r="D349" s="166"/>
      <c r="E349" s="57"/>
      <c r="F349" s="3376"/>
      <c r="G349" s="184"/>
      <c r="H349" s="184"/>
      <c r="I349" s="184"/>
      <c r="J349" s="184"/>
      <c r="K349" s="184"/>
      <c r="L349" s="184"/>
      <c r="M349" s="184"/>
      <c r="N349" s="184"/>
      <c r="O349" s="172"/>
      <c r="P349" s="185"/>
      <c r="Q349" s="48"/>
    </row>
    <row r="350" spans="2:17" ht="15.5">
      <c r="B350" s="55"/>
      <c r="C350" s="52" t="s">
        <v>43</v>
      </c>
      <c r="D350" s="52" t="s">
        <v>130</v>
      </c>
      <c r="E350" s="52" t="s">
        <v>131</v>
      </c>
      <c r="F350" s="144">
        <v>2013</v>
      </c>
      <c r="G350" s="53" t="s">
        <v>132</v>
      </c>
      <c r="H350" s="53" t="s">
        <v>133</v>
      </c>
      <c r="I350" s="53" t="s">
        <v>134</v>
      </c>
      <c r="J350" s="53" t="s">
        <v>135</v>
      </c>
      <c r="K350" s="53" t="s">
        <v>136</v>
      </c>
      <c r="L350" s="53" t="s">
        <v>137</v>
      </c>
      <c r="M350" s="53" t="s">
        <v>138</v>
      </c>
      <c r="N350" s="53" t="s">
        <v>139</v>
      </c>
      <c r="O350" s="172"/>
      <c r="P350" s="185"/>
      <c r="Q350" s="48"/>
    </row>
    <row r="351" spans="2:17" ht="15.5">
      <c r="B351" s="55"/>
      <c r="C351" s="188">
        <v>1</v>
      </c>
      <c r="D351" s="189" t="s">
        <v>140</v>
      </c>
      <c r="E351" s="103" t="s">
        <v>141</v>
      </c>
      <c r="F351" s="2430">
        <f t="shared" ref="F351:N351" si="30">0.00802071964139671*(1/Unit.TWh)</f>
        <v>8.0207196413967109E-3</v>
      </c>
      <c r="G351" s="2430">
        <f t="shared" si="30"/>
        <v>8.0207196413967109E-3</v>
      </c>
      <c r="H351" s="2430">
        <f t="shared" si="30"/>
        <v>8.0207196413967109E-3</v>
      </c>
      <c r="I351" s="2430">
        <f t="shared" si="30"/>
        <v>8.0207196413967109E-3</v>
      </c>
      <c r="J351" s="2430">
        <f t="shared" si="30"/>
        <v>8.0207196413967109E-3</v>
      </c>
      <c r="K351" s="2430">
        <f t="shared" si="30"/>
        <v>8.0207196413967109E-3</v>
      </c>
      <c r="L351" s="2430">
        <f t="shared" si="30"/>
        <v>8.0207196413967109E-3</v>
      </c>
      <c r="M351" s="2430">
        <f t="shared" si="30"/>
        <v>8.0207196413967109E-3</v>
      </c>
      <c r="N351" s="2430">
        <f t="shared" si="30"/>
        <v>8.0207196413967109E-3</v>
      </c>
      <c r="O351" s="172"/>
      <c r="P351" s="185"/>
      <c r="Q351" s="48"/>
    </row>
    <row r="352" spans="2:17" ht="15.5">
      <c r="B352" s="55"/>
      <c r="C352" s="188">
        <v>1</v>
      </c>
      <c r="D352" s="189" t="s">
        <v>140</v>
      </c>
      <c r="E352" s="103" t="s">
        <v>142</v>
      </c>
      <c r="F352" s="2430">
        <f>F351*Constants!$I$37</f>
        <v>1.3055577325261407E-2</v>
      </c>
      <c r="G352" s="2430">
        <f>G351*Constants!$I$37</f>
        <v>1.3055577325261407E-2</v>
      </c>
      <c r="H352" s="2430">
        <f>H351*Constants!$I$37</f>
        <v>1.3055577325261407E-2</v>
      </c>
      <c r="I352" s="2430">
        <f>I351*Constants!$I$37</f>
        <v>1.3055577325261407E-2</v>
      </c>
      <c r="J352" s="2430">
        <f>J351*Constants!$I$37</f>
        <v>1.3055577325261407E-2</v>
      </c>
      <c r="K352" s="2430">
        <f>K351*Constants!$I$37</f>
        <v>1.3055577325261407E-2</v>
      </c>
      <c r="L352" s="2430">
        <f>L351*Constants!$I$37</f>
        <v>1.3055577325261407E-2</v>
      </c>
      <c r="M352" s="2430">
        <f>M351*Constants!$I$37</f>
        <v>1.3055577325261407E-2</v>
      </c>
      <c r="N352" s="2430">
        <f>N351*Constants!$I$37</f>
        <v>1.3055577325261407E-2</v>
      </c>
      <c r="O352" s="172"/>
      <c r="P352" s="185"/>
      <c r="Q352" s="48"/>
    </row>
    <row r="353" spans="2:17" ht="15.5">
      <c r="B353" s="55"/>
      <c r="C353" s="188">
        <v>2</v>
      </c>
      <c r="D353" s="189" t="s">
        <v>143</v>
      </c>
      <c r="E353" s="103" t="s">
        <v>141</v>
      </c>
      <c r="F353" s="2430">
        <f t="shared" ref="F353:N353" si="31">0.00802071964139671*(1/Unit.TWh)</f>
        <v>8.0207196413967109E-3</v>
      </c>
      <c r="G353" s="2430">
        <f t="shared" si="31"/>
        <v>8.0207196413967109E-3</v>
      </c>
      <c r="H353" s="2430">
        <f t="shared" si="31"/>
        <v>8.0207196413967109E-3</v>
      </c>
      <c r="I353" s="2430">
        <f t="shared" si="31"/>
        <v>8.0207196413967109E-3</v>
      </c>
      <c r="J353" s="2430">
        <f t="shared" si="31"/>
        <v>8.0207196413967109E-3</v>
      </c>
      <c r="K353" s="2430">
        <f t="shared" si="31"/>
        <v>8.0207196413967109E-3</v>
      </c>
      <c r="L353" s="2430">
        <f t="shared" si="31"/>
        <v>8.0207196413967109E-3</v>
      </c>
      <c r="M353" s="2430">
        <f t="shared" si="31"/>
        <v>8.0207196413967109E-3</v>
      </c>
      <c r="N353" s="2430">
        <f t="shared" si="31"/>
        <v>8.0207196413967109E-3</v>
      </c>
      <c r="O353" s="172"/>
      <c r="P353" s="185"/>
      <c r="Q353" s="48"/>
    </row>
    <row r="354" spans="2:17" ht="15.5">
      <c r="B354" s="55"/>
      <c r="C354" s="188">
        <v>2</v>
      </c>
      <c r="D354" s="189" t="s">
        <v>143</v>
      </c>
      <c r="E354" s="103" t="s">
        <v>142</v>
      </c>
      <c r="F354" s="2430">
        <f>F353*Constants!$I$37</f>
        <v>1.3055577325261407E-2</v>
      </c>
      <c r="G354" s="2430">
        <f>G353*Constants!$I$37</f>
        <v>1.3055577325261407E-2</v>
      </c>
      <c r="H354" s="2430">
        <f>H353*Constants!$I$37</f>
        <v>1.3055577325261407E-2</v>
      </c>
      <c r="I354" s="2430">
        <f>I353*Constants!$I$37</f>
        <v>1.3055577325261407E-2</v>
      </c>
      <c r="J354" s="2430">
        <f>J353*Constants!$I$37</f>
        <v>1.3055577325261407E-2</v>
      </c>
      <c r="K354" s="2430">
        <f>K353*Constants!$I$37</f>
        <v>1.3055577325261407E-2</v>
      </c>
      <c r="L354" s="2430">
        <f>L353*Constants!$I$37</f>
        <v>1.3055577325261407E-2</v>
      </c>
      <c r="M354" s="2430">
        <f>M353*Constants!$I$37</f>
        <v>1.3055577325261407E-2</v>
      </c>
      <c r="N354" s="2430">
        <f>N353*Constants!$I$37</f>
        <v>1.3055577325261407E-2</v>
      </c>
      <c r="O354" s="172"/>
      <c r="P354" s="185"/>
      <c r="Q354" s="48"/>
    </row>
    <row r="355" spans="2:17" ht="15.5">
      <c r="B355" s="55"/>
      <c r="C355" s="188">
        <v>4</v>
      </c>
      <c r="D355" s="189" t="s">
        <v>48</v>
      </c>
      <c r="E355" s="103" t="s">
        <v>144</v>
      </c>
      <c r="F355" s="2430">
        <f t="shared" ref="F355:N355" si="32">0.00499476848946225*(1/Unit.TWh)</f>
        <v>4.9947684894622504E-3</v>
      </c>
      <c r="G355" s="2430">
        <f t="shared" si="32"/>
        <v>4.9947684894622504E-3</v>
      </c>
      <c r="H355" s="2430">
        <f t="shared" si="32"/>
        <v>4.9947684894622504E-3</v>
      </c>
      <c r="I355" s="2430">
        <f t="shared" si="32"/>
        <v>4.9947684894622504E-3</v>
      </c>
      <c r="J355" s="2430">
        <f t="shared" si="32"/>
        <v>4.9947684894622504E-3</v>
      </c>
      <c r="K355" s="2430">
        <f t="shared" si="32"/>
        <v>4.9947684894622504E-3</v>
      </c>
      <c r="L355" s="2430">
        <f t="shared" si="32"/>
        <v>4.9947684894622504E-3</v>
      </c>
      <c r="M355" s="2430">
        <f t="shared" si="32"/>
        <v>4.9947684894622504E-3</v>
      </c>
      <c r="N355" s="2430">
        <f t="shared" si="32"/>
        <v>4.9947684894622504E-3</v>
      </c>
      <c r="O355" s="172"/>
      <c r="P355" s="185"/>
      <c r="Q355" s="48"/>
    </row>
    <row r="356" spans="2:17" ht="15.5">
      <c r="B356" s="55"/>
      <c r="C356" s="188">
        <v>4</v>
      </c>
      <c r="D356" s="189" t="s">
        <v>48</v>
      </c>
      <c r="E356" s="103" t="s">
        <v>145</v>
      </c>
      <c r="F356" s="2430">
        <f>F355*Constants!$I$36</f>
        <v>4.2908333958702527E-2</v>
      </c>
      <c r="G356" s="2430">
        <f>G355*Constants!$I$36</f>
        <v>4.2908333958702527E-2</v>
      </c>
      <c r="H356" s="2430">
        <f>H355*Constants!$I$36</f>
        <v>4.2908333958702527E-2</v>
      </c>
      <c r="I356" s="2430">
        <f>I355*Constants!$I$36</f>
        <v>4.2908333958702527E-2</v>
      </c>
      <c r="J356" s="2430">
        <f>J355*Constants!$I$36</f>
        <v>4.2908333958702527E-2</v>
      </c>
      <c r="K356" s="2430">
        <f>K355*Constants!$I$36</f>
        <v>4.2908333958702527E-2</v>
      </c>
      <c r="L356" s="2430">
        <f>L355*Constants!$I$36</f>
        <v>4.2908333958702527E-2</v>
      </c>
      <c r="M356" s="2430">
        <f>M355*Constants!$I$36</f>
        <v>4.2908333958702527E-2</v>
      </c>
      <c r="N356" s="2430">
        <f>N355*Constants!$I$36</f>
        <v>4.2908333958702527E-2</v>
      </c>
      <c r="O356" s="172"/>
      <c r="P356" s="185"/>
      <c r="Q356" s="48"/>
    </row>
    <row r="357" spans="2:17" ht="15.5">
      <c r="B357" s="55"/>
      <c r="C357" s="188">
        <v>5</v>
      </c>
      <c r="D357" s="189" t="s">
        <v>49</v>
      </c>
      <c r="E357" s="103" t="s">
        <v>146</v>
      </c>
      <c r="F357" s="2430">
        <f t="shared" ref="F357:N357" si="33">0.93832803120343*(1/Unit.TWh)</f>
        <v>0.93832803120343</v>
      </c>
      <c r="G357" s="2430">
        <f t="shared" si="33"/>
        <v>0.93832803120343</v>
      </c>
      <c r="H357" s="2430">
        <f t="shared" si="33"/>
        <v>0.93832803120343</v>
      </c>
      <c r="I357" s="2430">
        <f t="shared" si="33"/>
        <v>0.93832803120343</v>
      </c>
      <c r="J357" s="2430">
        <f t="shared" si="33"/>
        <v>0.93832803120343</v>
      </c>
      <c r="K357" s="2430">
        <f t="shared" si="33"/>
        <v>0.93832803120343</v>
      </c>
      <c r="L357" s="2430">
        <f t="shared" si="33"/>
        <v>0.93832803120343</v>
      </c>
      <c r="M357" s="2430">
        <f t="shared" si="33"/>
        <v>0.93832803120343</v>
      </c>
      <c r="N357" s="2430">
        <f t="shared" si="33"/>
        <v>0.93832803120343</v>
      </c>
      <c r="O357" s="172"/>
      <c r="P357" s="185"/>
      <c r="Q357" s="48"/>
    </row>
    <row r="358" spans="2:17" ht="15.5">
      <c r="B358" s="55"/>
      <c r="C358" s="188">
        <v>5</v>
      </c>
      <c r="D358" s="189" t="s">
        <v>49</v>
      </c>
      <c r="E358" s="103" t="s">
        <v>147</v>
      </c>
      <c r="F358" s="2430">
        <f>F357*Constants!$I$35</f>
        <v>14.376135690353021</v>
      </c>
      <c r="G358" s="2430">
        <f>G357*Constants!$I$35</f>
        <v>14.376135690353021</v>
      </c>
      <c r="H358" s="2430">
        <f>H357*Constants!$I$35</f>
        <v>14.376135690353021</v>
      </c>
      <c r="I358" s="2430">
        <f>I357*Constants!$I$35</f>
        <v>14.376135690353021</v>
      </c>
      <c r="J358" s="2430">
        <f>J357*Constants!$I$35</f>
        <v>14.376135690353021</v>
      </c>
      <c r="K358" s="2430">
        <f>K357*Constants!$I$35</f>
        <v>14.376135690353021</v>
      </c>
      <c r="L358" s="2430">
        <f>L357*Constants!$I$35</f>
        <v>14.376135690353021</v>
      </c>
      <c r="M358" s="2430">
        <f>M357*Constants!$I$35</f>
        <v>14.376135690353021</v>
      </c>
      <c r="N358" s="2430">
        <f>N357*Constants!$I$35</f>
        <v>14.376135690353021</v>
      </c>
      <c r="O358" s="172"/>
      <c r="P358" s="185"/>
      <c r="Q358" s="48"/>
    </row>
    <row r="359" spans="2:17" ht="15.5">
      <c r="B359" s="55"/>
      <c r="C359" s="188">
        <v>6</v>
      </c>
      <c r="D359" s="189" t="s">
        <v>50</v>
      </c>
      <c r="E359" s="103" t="s">
        <v>141</v>
      </c>
      <c r="F359" s="2430">
        <f t="shared" ref="F359:N359" si="34">0.00802071964139671*(1/Unit.TWh)</f>
        <v>8.0207196413967109E-3</v>
      </c>
      <c r="G359" s="2430">
        <f t="shared" si="34"/>
        <v>8.0207196413967109E-3</v>
      </c>
      <c r="H359" s="2430">
        <f t="shared" si="34"/>
        <v>8.0207196413967109E-3</v>
      </c>
      <c r="I359" s="2430">
        <f t="shared" si="34"/>
        <v>8.0207196413967109E-3</v>
      </c>
      <c r="J359" s="2430">
        <f t="shared" si="34"/>
        <v>8.0207196413967109E-3</v>
      </c>
      <c r="K359" s="2430">
        <f t="shared" si="34"/>
        <v>8.0207196413967109E-3</v>
      </c>
      <c r="L359" s="2430">
        <f t="shared" si="34"/>
        <v>8.0207196413967109E-3</v>
      </c>
      <c r="M359" s="2430">
        <f t="shared" si="34"/>
        <v>8.0207196413967109E-3</v>
      </c>
      <c r="N359" s="2430">
        <f t="shared" si="34"/>
        <v>8.0207196413967109E-3</v>
      </c>
      <c r="O359" s="172"/>
      <c r="P359" s="185"/>
      <c r="Q359" s="48"/>
    </row>
    <row r="360" spans="2:17" ht="15.5">
      <c r="B360" s="55"/>
      <c r="C360" s="188">
        <v>6</v>
      </c>
      <c r="D360" s="189" t="s">
        <v>50</v>
      </c>
      <c r="E360" s="103" t="s">
        <v>142</v>
      </c>
      <c r="F360" s="2430">
        <f>F359*Constants!$I$37</f>
        <v>1.3055577325261407E-2</v>
      </c>
      <c r="G360" s="2430">
        <f>G359*Constants!$I$37</f>
        <v>1.3055577325261407E-2</v>
      </c>
      <c r="H360" s="2430">
        <f>H359*Constants!$I$37</f>
        <v>1.3055577325261407E-2</v>
      </c>
      <c r="I360" s="2430">
        <f>I359*Constants!$I$37</f>
        <v>1.3055577325261407E-2</v>
      </c>
      <c r="J360" s="2430">
        <f>J359*Constants!$I$37</f>
        <v>1.3055577325261407E-2</v>
      </c>
      <c r="K360" s="2430">
        <f>K359*Constants!$I$37</f>
        <v>1.3055577325261407E-2</v>
      </c>
      <c r="L360" s="2430">
        <f>L359*Constants!$I$37</f>
        <v>1.3055577325261407E-2</v>
      </c>
      <c r="M360" s="2430">
        <f>M359*Constants!$I$37</f>
        <v>1.3055577325261407E-2</v>
      </c>
      <c r="N360" s="2430">
        <f>N359*Constants!$I$37</f>
        <v>1.3055577325261407E-2</v>
      </c>
      <c r="O360" s="172"/>
      <c r="P360" s="185"/>
      <c r="Q360" s="48"/>
    </row>
    <row r="361" spans="2:17" ht="15.5">
      <c r="B361" s="55"/>
      <c r="C361" s="188">
        <v>7</v>
      </c>
      <c r="D361" s="189" t="s">
        <v>51</v>
      </c>
      <c r="E361" s="103" t="s">
        <v>141</v>
      </c>
      <c r="F361" s="2430">
        <f t="shared" ref="F361:N361" si="35">0*(1/Unit.GWh)</f>
        <v>0</v>
      </c>
      <c r="G361" s="2430">
        <f t="shared" si="35"/>
        <v>0</v>
      </c>
      <c r="H361" s="2430">
        <f t="shared" si="35"/>
        <v>0</v>
      </c>
      <c r="I361" s="2430">
        <f t="shared" si="35"/>
        <v>0</v>
      </c>
      <c r="J361" s="2430">
        <f t="shared" si="35"/>
        <v>0</v>
      </c>
      <c r="K361" s="2430">
        <f t="shared" si="35"/>
        <v>0</v>
      </c>
      <c r="L361" s="2430">
        <f t="shared" si="35"/>
        <v>0</v>
      </c>
      <c r="M361" s="2430">
        <f t="shared" si="35"/>
        <v>0</v>
      </c>
      <c r="N361" s="2430">
        <f t="shared" si="35"/>
        <v>0</v>
      </c>
      <c r="O361" s="172"/>
      <c r="P361" s="185"/>
      <c r="Q361" s="48"/>
    </row>
    <row r="362" spans="2:17" ht="15.5">
      <c r="B362" s="55"/>
      <c r="C362" s="188">
        <v>7</v>
      </c>
      <c r="D362" s="189" t="s">
        <v>51</v>
      </c>
      <c r="E362" s="103" t="s">
        <v>142</v>
      </c>
      <c r="F362" s="2430">
        <f>F361*Constants!$I$37</f>
        <v>0</v>
      </c>
      <c r="G362" s="2430">
        <f>G361*Constants!$I$37</f>
        <v>0</v>
      </c>
      <c r="H362" s="2430">
        <f>H361*Constants!$I$37</f>
        <v>0</v>
      </c>
      <c r="I362" s="2430">
        <f>I361*Constants!$I$37</f>
        <v>0</v>
      </c>
      <c r="J362" s="2430">
        <f>J361*Constants!$I$37</f>
        <v>0</v>
      </c>
      <c r="K362" s="2430">
        <f>K361*Constants!$I$37</f>
        <v>0</v>
      </c>
      <c r="L362" s="2430">
        <f>L361*Constants!$I$37</f>
        <v>0</v>
      </c>
      <c r="M362" s="2430">
        <f>M361*Constants!$I$37</f>
        <v>0</v>
      </c>
      <c r="N362" s="2430">
        <f>N361*Constants!$I$37</f>
        <v>0</v>
      </c>
      <c r="O362" s="172"/>
      <c r="P362" s="185"/>
      <c r="Q362" s="48"/>
    </row>
    <row r="363" spans="2:17" ht="15.5">
      <c r="B363" s="55"/>
      <c r="C363" s="188">
        <v>11</v>
      </c>
      <c r="D363" s="189" t="s">
        <v>55</v>
      </c>
      <c r="E363" s="103" t="s">
        <v>141</v>
      </c>
      <c r="F363" s="2430">
        <f t="shared" ref="F363:N363" si="36">0.00802071964139671*(1/Unit.TWh)</f>
        <v>8.0207196413967109E-3</v>
      </c>
      <c r="G363" s="2430">
        <f t="shared" si="36"/>
        <v>8.0207196413967109E-3</v>
      </c>
      <c r="H363" s="2430">
        <f t="shared" si="36"/>
        <v>8.0207196413967109E-3</v>
      </c>
      <c r="I363" s="2430">
        <f t="shared" si="36"/>
        <v>8.0207196413967109E-3</v>
      </c>
      <c r="J363" s="2430">
        <f t="shared" si="36"/>
        <v>8.0207196413967109E-3</v>
      </c>
      <c r="K363" s="2430">
        <f t="shared" si="36"/>
        <v>8.0207196413967109E-3</v>
      </c>
      <c r="L363" s="2430">
        <f t="shared" si="36"/>
        <v>8.0207196413967109E-3</v>
      </c>
      <c r="M363" s="2430">
        <f t="shared" si="36"/>
        <v>8.0207196413967109E-3</v>
      </c>
      <c r="N363" s="2430">
        <f t="shared" si="36"/>
        <v>8.0207196413967109E-3</v>
      </c>
      <c r="O363" s="172"/>
      <c r="P363" s="185"/>
      <c r="Q363" s="48"/>
    </row>
    <row r="364" spans="2:17" ht="15.5">
      <c r="B364" s="55"/>
      <c r="C364" s="188">
        <v>11</v>
      </c>
      <c r="D364" s="189" t="s">
        <v>55</v>
      </c>
      <c r="E364" s="103" t="s">
        <v>142</v>
      </c>
      <c r="F364" s="2430">
        <f>F363*Constants!$I$37</f>
        <v>1.3055577325261407E-2</v>
      </c>
      <c r="G364" s="2430">
        <f>G363*Constants!$I$37</f>
        <v>1.3055577325261407E-2</v>
      </c>
      <c r="H364" s="2430">
        <f>H363*Constants!$I$37</f>
        <v>1.3055577325261407E-2</v>
      </c>
      <c r="I364" s="2430">
        <f>I363*Constants!$I$37</f>
        <v>1.3055577325261407E-2</v>
      </c>
      <c r="J364" s="2430">
        <f>J363*Constants!$I$37</f>
        <v>1.3055577325261407E-2</v>
      </c>
      <c r="K364" s="2430">
        <f>K363*Constants!$I$37</f>
        <v>1.3055577325261407E-2</v>
      </c>
      <c r="L364" s="2430">
        <f>L363*Constants!$I$37</f>
        <v>1.3055577325261407E-2</v>
      </c>
      <c r="M364" s="2430">
        <f>M363*Constants!$I$37</f>
        <v>1.3055577325261407E-2</v>
      </c>
      <c r="N364" s="2430">
        <f>N363*Constants!$I$37</f>
        <v>1.3055577325261407E-2</v>
      </c>
      <c r="O364" s="172"/>
      <c r="P364" s="185"/>
      <c r="Q364" s="48"/>
    </row>
    <row r="365" spans="2:17" ht="15.5">
      <c r="B365" s="55"/>
      <c r="C365" s="188">
        <v>12</v>
      </c>
      <c r="D365" s="189" t="s">
        <v>56</v>
      </c>
      <c r="E365" s="103" t="s">
        <v>146</v>
      </c>
      <c r="F365" s="2430">
        <f t="shared" ref="F365:N365" si="37">0.00705882352941176*(1/Unit.TWh)</f>
        <v>7.0588235294117598E-3</v>
      </c>
      <c r="G365" s="2430">
        <f t="shared" si="37"/>
        <v>7.0588235294117598E-3</v>
      </c>
      <c r="H365" s="2430">
        <f t="shared" si="37"/>
        <v>7.0588235294117598E-3</v>
      </c>
      <c r="I365" s="2430">
        <f t="shared" si="37"/>
        <v>7.0588235294117598E-3</v>
      </c>
      <c r="J365" s="2430">
        <f t="shared" si="37"/>
        <v>7.0588235294117598E-3</v>
      </c>
      <c r="K365" s="2430">
        <f t="shared" si="37"/>
        <v>7.0588235294117598E-3</v>
      </c>
      <c r="L365" s="2430">
        <f t="shared" si="37"/>
        <v>7.0588235294117598E-3</v>
      </c>
      <c r="M365" s="2430">
        <f t="shared" si="37"/>
        <v>7.0588235294117598E-3</v>
      </c>
      <c r="N365" s="2430">
        <f t="shared" si="37"/>
        <v>7.0588235294117598E-3</v>
      </c>
      <c r="O365" s="172"/>
      <c r="P365" s="185"/>
      <c r="Q365" s="48"/>
    </row>
    <row r="366" spans="2:17" ht="15.5">
      <c r="B366" s="55"/>
      <c r="C366" s="192">
        <v>12</v>
      </c>
      <c r="D366" s="193" t="s">
        <v>56</v>
      </c>
      <c r="E366" s="194" t="s">
        <v>147</v>
      </c>
      <c r="F366" s="3809">
        <f>F365*Constants!$I$35</f>
        <v>0.10814832499774214</v>
      </c>
      <c r="G366" s="3809">
        <f>G365*Constants!$I$35</f>
        <v>0.10814832499774214</v>
      </c>
      <c r="H366" s="3809">
        <f>H365*Constants!$I$35</f>
        <v>0.10814832499774214</v>
      </c>
      <c r="I366" s="3809">
        <f>I365*Constants!$I$35</f>
        <v>0.10814832499774214</v>
      </c>
      <c r="J366" s="3809">
        <f>J365*Constants!$I$35</f>
        <v>0.10814832499774214</v>
      </c>
      <c r="K366" s="3809">
        <f>K365*Constants!$I$35</f>
        <v>0.10814832499774214</v>
      </c>
      <c r="L366" s="3809">
        <f>L365*Constants!$I$35</f>
        <v>0.10814832499774214</v>
      </c>
      <c r="M366" s="3809">
        <f>M365*Constants!$I$35</f>
        <v>0.10814832499774214</v>
      </c>
      <c r="N366" s="3809">
        <f>N365*Constants!$I$35</f>
        <v>0.10814832499774214</v>
      </c>
      <c r="O366" s="172"/>
      <c r="P366" s="185"/>
      <c r="Q366" s="48"/>
    </row>
    <row r="367" spans="2:17" ht="15.5">
      <c r="B367" s="55"/>
      <c r="C367" s="166"/>
      <c r="D367" s="166"/>
      <c r="E367" s="57"/>
      <c r="F367" s="129"/>
      <c r="G367" s="160"/>
      <c r="H367" s="184"/>
      <c r="I367" s="184"/>
      <c r="J367" s="184"/>
      <c r="K367" s="184"/>
      <c r="L367" s="184"/>
      <c r="M367" s="184"/>
      <c r="N367" s="184"/>
      <c r="O367" s="184"/>
      <c r="P367" s="185"/>
      <c r="Q367" s="48"/>
    </row>
    <row r="368" spans="2:17">
      <c r="B368" s="45"/>
      <c r="C368" s="3826" t="s">
        <v>63</v>
      </c>
      <c r="D368" s="82"/>
      <c r="E368" s="46"/>
      <c r="F368" s="46"/>
      <c r="G368" s="46"/>
      <c r="H368" s="46"/>
      <c r="I368" s="46"/>
      <c r="J368" s="46"/>
      <c r="K368" s="46"/>
      <c r="L368" s="46"/>
      <c r="M368" s="46"/>
      <c r="N368" s="46"/>
      <c r="O368" s="46"/>
      <c r="P368" s="46"/>
      <c r="Q368" s="48"/>
    </row>
    <row r="369" spans="1:31">
      <c r="B369" s="45"/>
      <c r="C369" s="3827" t="s">
        <v>64</v>
      </c>
      <c r="D369" s="3830" t="s">
        <v>151</v>
      </c>
      <c r="E369" s="46"/>
      <c r="F369" s="46"/>
      <c r="G369" s="46"/>
      <c r="H369" s="46"/>
      <c r="I369" s="46"/>
      <c r="J369" s="46"/>
      <c r="K369" s="46"/>
      <c r="L369" s="46"/>
      <c r="M369" s="46"/>
      <c r="N369" s="46"/>
      <c r="O369" s="46"/>
      <c r="P369" s="46"/>
      <c r="Q369" s="48"/>
    </row>
    <row r="370" spans="1:31" s="199" customFormat="1">
      <c r="B370" s="196"/>
      <c r="C370" s="3832"/>
      <c r="D370" s="3830" t="s">
        <v>152</v>
      </c>
      <c r="E370" s="197"/>
      <c r="F370" s="197"/>
      <c r="G370" s="197"/>
      <c r="H370" s="197"/>
      <c r="I370" s="197"/>
      <c r="J370" s="197"/>
      <c r="K370" s="197"/>
      <c r="L370" s="197"/>
      <c r="M370" s="197"/>
      <c r="N370" s="197"/>
      <c r="O370" s="197"/>
      <c r="P370" s="197"/>
      <c r="Q370" s="198"/>
      <c r="R370" s="2"/>
      <c r="Z370" s="2"/>
    </row>
    <row r="371" spans="1:31" s="199" customFormat="1">
      <c r="B371" s="196"/>
      <c r="C371" s="3827" t="s">
        <v>66</v>
      </c>
      <c r="D371" s="3830" t="s">
        <v>153</v>
      </c>
      <c r="E371" s="197"/>
      <c r="F371" s="197"/>
      <c r="G371" s="197"/>
      <c r="H371" s="197"/>
      <c r="I371" s="197"/>
      <c r="J371" s="197"/>
      <c r="K371" s="197"/>
      <c r="L371" s="197"/>
      <c r="M371" s="197"/>
      <c r="N371" s="197"/>
      <c r="O371" s="197"/>
      <c r="P371" s="197"/>
      <c r="Q371" s="198"/>
      <c r="R371" s="2"/>
    </row>
    <row r="372" spans="1:31" s="199" customFormat="1">
      <c r="B372" s="196"/>
      <c r="C372" s="3827" t="s">
        <v>105</v>
      </c>
      <c r="D372" s="3830" t="s">
        <v>154</v>
      </c>
      <c r="E372" s="197"/>
      <c r="F372" s="197"/>
      <c r="G372" s="197"/>
      <c r="H372" s="197"/>
      <c r="I372" s="197"/>
      <c r="J372" s="197"/>
      <c r="K372" s="197"/>
      <c r="L372" s="197"/>
      <c r="M372" s="197"/>
      <c r="N372" s="197"/>
      <c r="O372" s="197"/>
      <c r="P372" s="197"/>
      <c r="Q372" s="198"/>
      <c r="R372" s="2"/>
    </row>
    <row r="373" spans="1:31" s="199" customFormat="1">
      <c r="B373" s="196"/>
      <c r="C373" s="3827" t="s">
        <v>79</v>
      </c>
      <c r="D373" s="3830" t="s">
        <v>3032</v>
      </c>
      <c r="E373" s="197"/>
      <c r="F373" s="197"/>
      <c r="G373" s="197"/>
      <c r="H373" s="197"/>
      <c r="I373" s="197"/>
      <c r="J373" s="197"/>
      <c r="K373" s="197"/>
      <c r="L373" s="197"/>
      <c r="M373" s="197"/>
      <c r="N373" s="197"/>
      <c r="O373" s="197"/>
      <c r="P373" s="197"/>
      <c r="Q373" s="198"/>
      <c r="R373" s="2"/>
    </row>
    <row r="374" spans="1:31" s="199" customFormat="1">
      <c r="B374" s="196"/>
      <c r="C374" s="3827" t="s">
        <v>155</v>
      </c>
      <c r="D374" s="3830" t="s">
        <v>156</v>
      </c>
      <c r="E374" s="197"/>
      <c r="F374" s="197"/>
      <c r="G374" s="197"/>
      <c r="H374" s="197"/>
      <c r="I374" s="197"/>
      <c r="J374" s="197"/>
      <c r="K374" s="197"/>
      <c r="L374" s="197"/>
      <c r="M374" s="197"/>
      <c r="N374" s="197"/>
      <c r="O374" s="197"/>
      <c r="P374" s="197"/>
      <c r="Q374" s="198"/>
      <c r="R374" s="2"/>
    </row>
    <row r="375" spans="1:31" s="199" customFormat="1">
      <c r="B375" s="196"/>
      <c r="C375" s="3827" t="s">
        <v>104</v>
      </c>
      <c r="D375" s="3830" t="s">
        <v>3036</v>
      </c>
      <c r="E375" s="197"/>
      <c r="F375" s="197"/>
      <c r="G375" s="197"/>
      <c r="H375" s="197"/>
      <c r="I375" s="197"/>
      <c r="J375" s="197"/>
      <c r="K375" s="197"/>
      <c r="L375" s="197"/>
      <c r="M375" s="197"/>
      <c r="N375" s="197"/>
      <c r="O375" s="197"/>
      <c r="P375" s="197"/>
      <c r="Q375" s="198"/>
      <c r="R375" s="2"/>
    </row>
    <row r="376" spans="1:31" s="199" customFormat="1">
      <c r="B376" s="196"/>
      <c r="C376" s="3827" t="s">
        <v>157</v>
      </c>
      <c r="D376" s="3830" t="s">
        <v>3037</v>
      </c>
      <c r="E376" s="197"/>
      <c r="F376" s="197"/>
      <c r="G376" s="197"/>
      <c r="H376" s="197"/>
      <c r="I376" s="197"/>
      <c r="J376" s="197"/>
      <c r="K376" s="197"/>
      <c r="L376" s="197"/>
      <c r="M376" s="197"/>
      <c r="N376" s="197"/>
      <c r="O376" s="197"/>
      <c r="P376" s="197"/>
      <c r="Q376" s="198"/>
      <c r="R376" s="2"/>
    </row>
    <row r="377" spans="1:31" s="199" customFormat="1">
      <c r="B377" s="196"/>
      <c r="C377" s="3827"/>
      <c r="D377" s="3830"/>
      <c r="E377" s="197"/>
      <c r="F377" s="197"/>
      <c r="G377" s="197"/>
      <c r="H377" s="197"/>
      <c r="I377" s="197"/>
      <c r="J377" s="197"/>
      <c r="K377" s="197"/>
      <c r="L377" s="197"/>
      <c r="M377" s="197"/>
      <c r="N377" s="197"/>
      <c r="O377" s="197"/>
      <c r="P377" s="197"/>
      <c r="Q377" s="198"/>
      <c r="R377" s="2"/>
    </row>
    <row r="378" spans="1:31" s="199" customFormat="1">
      <c r="B378" s="196"/>
      <c r="C378" s="3827"/>
      <c r="D378" s="3830"/>
      <c r="E378" s="197"/>
      <c r="F378" s="197"/>
      <c r="G378" s="197"/>
      <c r="H378" s="197"/>
      <c r="I378" s="197"/>
      <c r="J378" s="197"/>
      <c r="K378" s="197"/>
      <c r="L378" s="197"/>
      <c r="M378" s="197"/>
      <c r="N378" s="197"/>
      <c r="O378" s="197"/>
      <c r="P378" s="197"/>
      <c r="Q378" s="198"/>
      <c r="R378" s="2"/>
    </row>
    <row r="379" spans="1:31" s="199" customFormat="1">
      <c r="B379" s="196"/>
      <c r="C379" s="3827"/>
      <c r="D379" s="3830"/>
      <c r="E379" s="197"/>
      <c r="F379" s="197"/>
      <c r="G379" s="197"/>
      <c r="H379" s="197"/>
      <c r="I379" s="197"/>
      <c r="J379" s="197"/>
      <c r="K379" s="197"/>
      <c r="L379" s="197"/>
      <c r="M379" s="197"/>
      <c r="N379" s="197"/>
      <c r="O379" s="197"/>
      <c r="P379" s="197"/>
      <c r="Q379" s="198"/>
      <c r="R379" s="2"/>
    </row>
    <row r="380" spans="1:31">
      <c r="B380" s="106"/>
      <c r="C380" s="110"/>
      <c r="D380" s="82"/>
      <c r="E380" s="110"/>
      <c r="F380" s="110"/>
      <c r="G380" s="110"/>
      <c r="H380" s="110"/>
      <c r="I380" s="110"/>
      <c r="J380" s="110"/>
      <c r="K380" s="110"/>
      <c r="L380" s="110"/>
      <c r="M380" s="110"/>
      <c r="N380" s="110"/>
      <c r="O380" s="110"/>
      <c r="P380" s="110"/>
      <c r="Q380" s="200"/>
      <c r="W380" s="199"/>
      <c r="X380" s="199"/>
      <c r="Y380" s="199"/>
      <c r="Z380" s="199"/>
    </row>
    <row r="382" spans="1:31" s="4" customFormat="1" ht="23.5">
      <c r="A382" s="40"/>
      <c r="B382" s="41" t="s">
        <v>2719</v>
      </c>
      <c r="C382" s="42"/>
      <c r="D382" s="42"/>
      <c r="E382" s="42"/>
      <c r="F382" s="42"/>
      <c r="G382" s="42"/>
      <c r="H382" s="42"/>
      <c r="I382" s="42"/>
      <c r="J382" s="42"/>
      <c r="K382" s="42"/>
      <c r="L382" s="42"/>
      <c r="M382" s="42"/>
      <c r="N382" s="42"/>
      <c r="O382" s="42"/>
      <c r="P382" s="42"/>
      <c r="Q382" s="201"/>
      <c r="R382" s="201"/>
      <c r="S382" s="201"/>
      <c r="T382" s="201"/>
      <c r="U382" s="201"/>
      <c r="V382" s="201"/>
      <c r="W382" s="201"/>
      <c r="X382" s="201"/>
      <c r="Y382" s="201"/>
      <c r="Z382" s="201"/>
      <c r="AA382" s="201"/>
      <c r="AB382" s="201"/>
      <c r="AC382" s="201"/>
      <c r="AD382" s="201"/>
      <c r="AE382" s="201"/>
    </row>
    <row r="383" spans="1:31" hidden="1">
      <c r="B383" s="45"/>
      <c r="C383" s="46"/>
      <c r="D383" s="46"/>
      <c r="E383" s="46"/>
      <c r="F383" s="46"/>
      <c r="G383" s="46"/>
      <c r="H383" s="46"/>
      <c r="I383" s="46"/>
      <c r="J383" s="46"/>
      <c r="K383" s="172"/>
      <c r="L383" s="172"/>
      <c r="M383" s="172"/>
      <c r="N383" s="172"/>
      <c r="O383" s="172"/>
      <c r="P383" s="172"/>
      <c r="Q383" s="202"/>
      <c r="R383" s="81"/>
      <c r="S383" s="81"/>
      <c r="T383" s="81"/>
      <c r="U383" s="81"/>
      <c r="V383" s="81"/>
      <c r="W383" s="81"/>
      <c r="X383" s="81"/>
      <c r="Y383" s="81"/>
      <c r="Z383" s="81"/>
      <c r="AA383" s="81"/>
      <c r="AB383" s="81"/>
      <c r="AC383" s="81"/>
      <c r="AD383" s="81"/>
      <c r="AE383" s="81"/>
    </row>
    <row r="384" spans="1:31" hidden="1">
      <c r="B384" s="45"/>
      <c r="C384" s="49" t="s">
        <v>158</v>
      </c>
      <c r="D384" s="46"/>
      <c r="E384" s="46"/>
      <c r="F384" s="46"/>
      <c r="G384" s="172"/>
      <c r="H384" s="172"/>
      <c r="I384" s="172"/>
      <c r="J384" s="172"/>
      <c r="K384" s="172"/>
      <c r="L384" s="172"/>
      <c r="M384" s="172"/>
      <c r="N384" s="172"/>
      <c r="O384" s="172"/>
      <c r="P384" s="172"/>
      <c r="Q384" s="81"/>
      <c r="R384" s="203"/>
      <c r="S384" s="81"/>
      <c r="T384" s="81"/>
      <c r="U384" s="81"/>
      <c r="V384" s="81"/>
      <c r="W384" s="81"/>
      <c r="X384" s="81"/>
      <c r="Y384" s="81"/>
      <c r="Z384" s="81"/>
      <c r="AA384" s="81"/>
      <c r="AB384" s="81"/>
      <c r="AC384" s="81"/>
      <c r="AD384" s="81"/>
      <c r="AE384" s="81"/>
    </row>
    <row r="385" spans="2:31" hidden="1">
      <c r="B385" s="45"/>
      <c r="C385" s="49"/>
      <c r="D385" s="46"/>
      <c r="E385" s="46"/>
      <c r="F385" s="46"/>
      <c r="G385" s="99"/>
      <c r="H385" s="172"/>
      <c r="I385" s="172"/>
      <c r="J385" s="172"/>
      <c r="K385" s="172"/>
      <c r="L385" s="172"/>
      <c r="M385" s="172"/>
      <c r="N385" s="172"/>
      <c r="O385" s="172"/>
      <c r="P385" s="172"/>
      <c r="Q385" s="81"/>
      <c r="R385" s="203"/>
      <c r="S385" s="81"/>
      <c r="T385" s="81"/>
      <c r="U385" s="81"/>
      <c r="V385" s="81"/>
      <c r="W385" s="81"/>
      <c r="X385" s="81"/>
      <c r="Y385" s="81"/>
      <c r="Z385" s="81"/>
      <c r="AA385" s="81"/>
      <c r="AB385" s="81"/>
      <c r="AC385" s="81"/>
      <c r="AD385" s="81"/>
      <c r="AE385" s="81"/>
    </row>
    <row r="386" spans="2:31" hidden="1">
      <c r="B386" s="45"/>
      <c r="C386" s="49" t="s">
        <v>22</v>
      </c>
      <c r="D386" s="46"/>
      <c r="E386" s="46"/>
      <c r="F386" s="46"/>
      <c r="G386" s="172"/>
      <c r="H386" s="172"/>
      <c r="I386" s="172"/>
      <c r="J386" s="172"/>
      <c r="K386" s="172"/>
      <c r="L386" s="172"/>
      <c r="M386" s="172"/>
      <c r="N386" s="99" t="s">
        <v>2755</v>
      </c>
      <c r="O386" s="172"/>
      <c r="P386" s="172"/>
      <c r="Q386" s="81"/>
      <c r="R386" s="81"/>
      <c r="S386" s="81"/>
      <c r="T386" s="81"/>
      <c r="U386" s="81"/>
      <c r="V386" s="81"/>
      <c r="W386" s="81"/>
      <c r="X386" s="81"/>
      <c r="Y386" s="81"/>
      <c r="Z386" s="81"/>
      <c r="AA386" s="81"/>
      <c r="AB386" s="81"/>
      <c r="AC386" s="81"/>
      <c r="AD386" s="81"/>
      <c r="AE386" s="81"/>
    </row>
    <row r="387" spans="2:31" hidden="1">
      <c r="B387" s="45"/>
      <c r="C387" s="204"/>
      <c r="D387" s="204" t="s">
        <v>128</v>
      </c>
      <c r="E387" s="205" t="s">
        <v>159</v>
      </c>
      <c r="F387" s="206">
        <v>2013</v>
      </c>
      <c r="G387" s="206">
        <v>2015</v>
      </c>
      <c r="H387" s="206">
        <v>2020</v>
      </c>
      <c r="I387" s="206">
        <v>2025</v>
      </c>
      <c r="J387" s="206">
        <v>2030</v>
      </c>
      <c r="K387" s="206">
        <v>2035</v>
      </c>
      <c r="L387" s="206">
        <v>2040</v>
      </c>
      <c r="M387" s="206">
        <v>2045</v>
      </c>
      <c r="N387" s="206">
        <v>2050</v>
      </c>
      <c r="O387" s="172"/>
      <c r="P387" s="172"/>
      <c r="Q387" s="207"/>
      <c r="R387" s="207"/>
      <c r="S387" s="81"/>
      <c r="T387" s="81"/>
      <c r="U387" s="81"/>
      <c r="V387" s="81"/>
      <c r="W387" s="81"/>
      <c r="X387" s="81"/>
      <c r="Y387" s="81"/>
      <c r="Z387" s="81"/>
      <c r="AA387" s="81"/>
      <c r="AB387" s="81"/>
      <c r="AC387" s="81"/>
      <c r="AD387" s="81"/>
      <c r="AE387" s="81"/>
    </row>
    <row r="388" spans="2:31" hidden="1">
      <c r="B388" s="45"/>
      <c r="C388" s="208"/>
      <c r="D388" s="208" t="s">
        <v>121</v>
      </c>
      <c r="E388" s="209">
        <v>0</v>
      </c>
      <c r="F388" s="210">
        <v>7.6E-3</v>
      </c>
      <c r="G388" s="209">
        <v>7.6E-3</v>
      </c>
      <c r="H388" s="209">
        <v>7.6E-3</v>
      </c>
      <c r="I388" s="209">
        <v>7.6E-3</v>
      </c>
      <c r="J388" s="209">
        <v>7.6E-3</v>
      </c>
      <c r="K388" s="209">
        <v>7.6E-3</v>
      </c>
      <c r="L388" s="209">
        <v>7.6E-3</v>
      </c>
      <c r="M388" s="209">
        <v>7.6E-3</v>
      </c>
      <c r="N388" s="211">
        <v>7.6E-3</v>
      </c>
      <c r="O388" s="172"/>
      <c r="P388" s="172"/>
    </row>
    <row r="389" spans="2:31" hidden="1">
      <c r="B389" s="45"/>
      <c r="C389" s="212"/>
      <c r="D389" s="212" t="s">
        <v>122</v>
      </c>
      <c r="E389" s="213">
        <v>0</v>
      </c>
      <c r="F389" s="214">
        <v>1.6199999999999999E-3</v>
      </c>
      <c r="G389" s="213">
        <v>1.6199999999999999E-3</v>
      </c>
      <c r="H389" s="213">
        <v>1.6199999999999999E-3</v>
      </c>
      <c r="I389" s="213">
        <v>1.6199999999999999E-3</v>
      </c>
      <c r="J389" s="213">
        <v>1.6199999999999999E-3</v>
      </c>
      <c r="K389" s="213">
        <v>1.6199999999999999E-3</v>
      </c>
      <c r="L389" s="213">
        <v>1.6199999999999999E-3</v>
      </c>
      <c r="M389" s="213">
        <v>1.6199999999999999E-3</v>
      </c>
      <c r="N389" s="215">
        <v>1.6199999999999999E-3</v>
      </c>
      <c r="O389" s="172"/>
      <c r="P389" s="172"/>
    </row>
    <row r="390" spans="2:31" hidden="1">
      <c r="B390" s="45"/>
      <c r="C390" s="212"/>
      <c r="D390" s="212" t="s">
        <v>123</v>
      </c>
      <c r="E390" s="213">
        <v>0</v>
      </c>
      <c r="F390" s="214">
        <v>1.2949999999999999E-3</v>
      </c>
      <c r="G390" s="213">
        <v>1.2949999999999999E-3</v>
      </c>
      <c r="H390" s="213">
        <v>1.2949999999999999E-3</v>
      </c>
      <c r="I390" s="213">
        <v>1.2949999999999999E-3</v>
      </c>
      <c r="J390" s="213">
        <v>1.2949999999999999E-3</v>
      </c>
      <c r="K390" s="213">
        <v>1.2949999999999999E-3</v>
      </c>
      <c r="L390" s="213">
        <v>1.2949999999999999E-3</v>
      </c>
      <c r="M390" s="213">
        <v>1.2949999999999999E-3</v>
      </c>
      <c r="N390" s="215">
        <v>1.2949999999999999E-3</v>
      </c>
      <c r="O390" s="172"/>
      <c r="P390" s="172"/>
    </row>
    <row r="391" spans="2:31" hidden="1">
      <c r="B391" s="45"/>
      <c r="C391" s="212"/>
      <c r="D391" s="212" t="s">
        <v>124</v>
      </c>
      <c r="E391" s="213">
        <v>0</v>
      </c>
      <c r="F391" s="214">
        <v>5.1799999999999997E-3</v>
      </c>
      <c r="G391" s="213">
        <v>5.1799999999999997E-3</v>
      </c>
      <c r="H391" s="213">
        <v>5.1799999999999997E-3</v>
      </c>
      <c r="I391" s="213">
        <v>5.1799999999999997E-3</v>
      </c>
      <c r="J391" s="213">
        <v>5.1799999999999997E-3</v>
      </c>
      <c r="K391" s="213">
        <v>5.1799999999999997E-3</v>
      </c>
      <c r="L391" s="213">
        <v>5.1799999999999997E-3</v>
      </c>
      <c r="M391" s="213">
        <v>5.1799999999999997E-3</v>
      </c>
      <c r="N391" s="215">
        <v>5.1799999999999997E-3</v>
      </c>
      <c r="O391" s="172"/>
      <c r="P391" s="172"/>
    </row>
    <row r="392" spans="2:31" hidden="1">
      <c r="B392" s="45"/>
      <c r="C392" s="212"/>
      <c r="D392" s="212" t="s">
        <v>125</v>
      </c>
      <c r="E392" s="213">
        <v>0</v>
      </c>
      <c r="F392" s="214">
        <v>3.5399999999999999E-4</v>
      </c>
      <c r="G392" s="213">
        <v>3.5399999999999999E-4</v>
      </c>
      <c r="H392" s="213">
        <v>3.5399999999999999E-4</v>
      </c>
      <c r="I392" s="213">
        <v>3.5399999999999999E-4</v>
      </c>
      <c r="J392" s="213">
        <v>3.5399999999999999E-4</v>
      </c>
      <c r="K392" s="213">
        <v>3.5399999999999999E-4</v>
      </c>
      <c r="L392" s="213">
        <v>3.5399999999999999E-4</v>
      </c>
      <c r="M392" s="213">
        <v>3.5399999999999999E-4</v>
      </c>
      <c r="N392" s="215">
        <v>3.5399999999999999E-4</v>
      </c>
      <c r="O392" s="172"/>
      <c r="P392" s="172"/>
    </row>
    <row r="393" spans="2:31" hidden="1">
      <c r="B393" s="45"/>
      <c r="C393" s="216"/>
      <c r="D393" s="216" t="s">
        <v>126</v>
      </c>
      <c r="E393" s="217">
        <v>0</v>
      </c>
      <c r="F393" s="218">
        <v>2E-3</v>
      </c>
      <c r="G393" s="217">
        <v>2E-3</v>
      </c>
      <c r="H393" s="217">
        <v>2E-3</v>
      </c>
      <c r="I393" s="217">
        <v>2E-3</v>
      </c>
      <c r="J393" s="217">
        <v>2E-3</v>
      </c>
      <c r="K393" s="217">
        <v>2E-3</v>
      </c>
      <c r="L393" s="217">
        <v>2E-3</v>
      </c>
      <c r="M393" s="217">
        <v>2E-3</v>
      </c>
      <c r="N393" s="219">
        <v>2E-3</v>
      </c>
      <c r="O393" s="172"/>
      <c r="P393" s="172"/>
    </row>
    <row r="394" spans="2:31" hidden="1">
      <c r="B394" s="45"/>
      <c r="C394" s="213"/>
      <c r="D394" s="213"/>
      <c r="E394" s="213"/>
      <c r="F394" s="213"/>
      <c r="G394" s="213"/>
      <c r="H394" s="213"/>
      <c r="I394" s="213"/>
      <c r="J394" s="220"/>
      <c r="K394" s="220"/>
      <c r="L394" s="220"/>
      <c r="M394" s="220"/>
      <c r="N394" s="221"/>
      <c r="O394" s="172"/>
      <c r="P394" s="172"/>
    </row>
    <row r="395" spans="2:31" hidden="1">
      <c r="B395" s="45"/>
      <c r="C395" s="222" t="s">
        <v>160</v>
      </c>
      <c r="D395" s="213"/>
      <c r="E395" s="213"/>
      <c r="F395" s="213"/>
      <c r="G395" s="220"/>
      <c r="H395" s="220"/>
      <c r="I395" s="220"/>
      <c r="J395" s="220"/>
      <c r="K395" s="220"/>
      <c r="L395" s="220"/>
      <c r="M395" s="220"/>
      <c r="N395" s="223" t="s">
        <v>2755</v>
      </c>
      <c r="O395" s="172"/>
      <c r="P395" s="172"/>
    </row>
    <row r="396" spans="2:31" hidden="1">
      <c r="B396" s="45"/>
      <c r="C396" s="204"/>
      <c r="D396" s="204" t="s">
        <v>128</v>
      </c>
      <c r="E396" s="205" t="s">
        <v>159</v>
      </c>
      <c r="F396" s="206">
        <v>2013</v>
      </c>
      <c r="G396" s="206">
        <v>2015</v>
      </c>
      <c r="H396" s="206">
        <v>2020</v>
      </c>
      <c r="I396" s="206">
        <v>2025</v>
      </c>
      <c r="J396" s="206">
        <v>2030</v>
      </c>
      <c r="K396" s="206">
        <v>2035</v>
      </c>
      <c r="L396" s="206">
        <v>2040</v>
      </c>
      <c r="M396" s="206">
        <v>2045</v>
      </c>
      <c r="N396" s="206">
        <v>2050</v>
      </c>
      <c r="O396" s="172"/>
      <c r="P396" s="172"/>
    </row>
    <row r="397" spans="2:31" hidden="1">
      <c r="B397" s="45"/>
      <c r="C397" s="208"/>
      <c r="D397" s="208" t="s">
        <v>121</v>
      </c>
      <c r="E397" s="209">
        <v>0</v>
      </c>
      <c r="F397" s="210">
        <v>2.9673090871412291E-3</v>
      </c>
      <c r="G397" s="209">
        <v>2.9673090871412291E-3</v>
      </c>
      <c r="H397" s="209">
        <v>2.9673090871412291E-3</v>
      </c>
      <c r="I397" s="209">
        <v>2.9673090871412291E-3</v>
      </c>
      <c r="J397" s="209">
        <v>2.9673090871412291E-3</v>
      </c>
      <c r="K397" s="209">
        <v>2.9673090871412291E-3</v>
      </c>
      <c r="L397" s="209">
        <v>2.9673090871412291E-3</v>
      </c>
      <c r="M397" s="209">
        <v>2.9673090871412291E-3</v>
      </c>
      <c r="N397" s="211">
        <v>2.9673090871412291E-3</v>
      </c>
      <c r="O397" s="172"/>
      <c r="P397" s="47"/>
    </row>
    <row r="398" spans="2:31" hidden="1">
      <c r="B398" s="45"/>
      <c r="C398" s="212"/>
      <c r="D398" s="212" t="s">
        <v>122</v>
      </c>
      <c r="E398" s="213">
        <v>0</v>
      </c>
      <c r="F398" s="214">
        <v>4.053984043104341E-4</v>
      </c>
      <c r="G398" s="213">
        <v>4.053984043104341E-4</v>
      </c>
      <c r="H398" s="213">
        <v>4.053984043104341E-4</v>
      </c>
      <c r="I398" s="213">
        <v>4.053984043104341E-4</v>
      </c>
      <c r="J398" s="213">
        <v>4.053984043104341E-4</v>
      </c>
      <c r="K398" s="213">
        <v>4.053984043104341E-4</v>
      </c>
      <c r="L398" s="213">
        <v>4.053984043104341E-4</v>
      </c>
      <c r="M398" s="213">
        <v>4.053984043104341E-4</v>
      </c>
      <c r="N398" s="215">
        <v>4.053984043104341E-4</v>
      </c>
      <c r="O398" s="172"/>
      <c r="P398" s="172"/>
    </row>
    <row r="399" spans="2:31" hidden="1">
      <c r="B399" s="45"/>
      <c r="C399" s="212"/>
      <c r="D399" s="212" t="s">
        <v>123</v>
      </c>
      <c r="E399" s="213">
        <v>0</v>
      </c>
      <c r="F399" s="214">
        <v>6.7998134908299653E-4</v>
      </c>
      <c r="G399" s="213">
        <v>6.7998134908299653E-4</v>
      </c>
      <c r="H399" s="213">
        <v>6.7998134908299653E-4</v>
      </c>
      <c r="I399" s="213">
        <v>6.7998134908299653E-4</v>
      </c>
      <c r="J399" s="213">
        <v>6.7998134908299653E-4</v>
      </c>
      <c r="K399" s="213">
        <v>6.7998134908299653E-4</v>
      </c>
      <c r="L399" s="213">
        <v>6.7998134908299653E-4</v>
      </c>
      <c r="M399" s="213">
        <v>6.7998134908299653E-4</v>
      </c>
      <c r="N399" s="215">
        <v>6.7998134908299653E-4</v>
      </c>
      <c r="O399" s="172"/>
      <c r="P399" s="172"/>
    </row>
    <row r="400" spans="2:31" hidden="1">
      <c r="B400" s="46"/>
      <c r="C400" s="212"/>
      <c r="D400" s="212" t="s">
        <v>124</v>
      </c>
      <c r="E400" s="213">
        <v>0</v>
      </c>
      <c r="F400" s="214">
        <v>2.5904051393637966E-3</v>
      </c>
      <c r="G400" s="213">
        <v>2.5904051393637966E-3</v>
      </c>
      <c r="H400" s="213">
        <v>2.5904051393637966E-3</v>
      </c>
      <c r="I400" s="213">
        <v>2.5904051393637966E-3</v>
      </c>
      <c r="J400" s="213">
        <v>2.5904051393637966E-3</v>
      </c>
      <c r="K400" s="213">
        <v>2.5904051393637966E-3</v>
      </c>
      <c r="L400" s="213">
        <v>2.5904051393637966E-3</v>
      </c>
      <c r="M400" s="213">
        <v>2.5904051393637966E-3</v>
      </c>
      <c r="N400" s="215">
        <v>2.5904051393637966E-3</v>
      </c>
      <c r="O400" s="172"/>
      <c r="P400" s="172"/>
    </row>
    <row r="401" spans="2:16" hidden="1">
      <c r="B401" s="46"/>
      <c r="C401" s="212"/>
      <c r="D401" s="212" t="s">
        <v>125</v>
      </c>
      <c r="E401" s="213">
        <v>0</v>
      </c>
      <c r="F401" s="214">
        <v>3.5399999999999999E-4</v>
      </c>
      <c r="G401" s="213">
        <v>3.5399999999999999E-4</v>
      </c>
      <c r="H401" s="213">
        <v>3.5399999999999999E-4</v>
      </c>
      <c r="I401" s="213">
        <v>3.5399999999999999E-4</v>
      </c>
      <c r="J401" s="213">
        <v>3.5399999999999999E-4</v>
      </c>
      <c r="K401" s="213">
        <v>3.5399999999999999E-4</v>
      </c>
      <c r="L401" s="213">
        <v>3.5399999999999999E-4</v>
      </c>
      <c r="M401" s="213">
        <v>3.5399999999999999E-4</v>
      </c>
      <c r="N401" s="215">
        <v>3.5399999999999999E-4</v>
      </c>
      <c r="O401" s="172"/>
      <c r="P401" s="172"/>
    </row>
    <row r="402" spans="2:16" hidden="1">
      <c r="B402" s="46"/>
      <c r="C402" s="216"/>
      <c r="D402" s="216" t="s">
        <v>126</v>
      </c>
      <c r="E402" s="217">
        <v>0</v>
      </c>
      <c r="F402" s="219">
        <v>7.2599999999999997E-4</v>
      </c>
      <c r="G402" s="217">
        <v>7.2599999999999997E-4</v>
      </c>
      <c r="H402" s="217">
        <v>7.2599999999999997E-4</v>
      </c>
      <c r="I402" s="217">
        <v>7.2599999999999997E-4</v>
      </c>
      <c r="J402" s="217">
        <v>7.2599999999999997E-4</v>
      </c>
      <c r="K402" s="217">
        <v>7.2599999999999997E-4</v>
      </c>
      <c r="L402" s="217">
        <v>7.2599999999999997E-4</v>
      </c>
      <c r="M402" s="217">
        <v>7.2599999999999997E-4</v>
      </c>
      <c r="N402" s="219">
        <v>7.2599999999999997E-4</v>
      </c>
      <c r="O402" s="172"/>
      <c r="P402" s="47"/>
    </row>
    <row r="403" spans="2:16" hidden="1">
      <c r="B403" s="46"/>
      <c r="C403" s="212"/>
      <c r="D403" s="212"/>
      <c r="E403" s="224"/>
      <c r="F403" s="225"/>
      <c r="G403" s="226"/>
      <c r="H403" s="226"/>
      <c r="I403" s="213"/>
      <c r="J403" s="220"/>
      <c r="K403" s="220"/>
      <c r="L403" s="220"/>
      <c r="M403" s="220"/>
      <c r="N403" s="221"/>
      <c r="O403" s="172"/>
      <c r="P403" s="172"/>
    </row>
    <row r="404" spans="2:16" hidden="1">
      <c r="B404" s="46"/>
      <c r="C404" s="222" t="s">
        <v>20</v>
      </c>
      <c r="D404" s="213"/>
      <c r="E404" s="213"/>
      <c r="F404" s="213"/>
      <c r="G404" s="220"/>
      <c r="H404" s="220"/>
      <c r="I404" s="220"/>
      <c r="J404" s="220"/>
      <c r="K404" s="220"/>
      <c r="L404" s="220"/>
      <c r="M404" s="220"/>
      <c r="N404" s="223" t="s">
        <v>2755</v>
      </c>
      <c r="O404" s="172"/>
      <c r="P404" s="172"/>
    </row>
    <row r="405" spans="2:16" hidden="1">
      <c r="B405" s="46"/>
      <c r="C405" s="204"/>
      <c r="D405" s="204" t="s">
        <v>128</v>
      </c>
      <c r="E405" s="205" t="s">
        <v>159</v>
      </c>
      <c r="F405" s="206">
        <v>2013</v>
      </c>
      <c r="G405" s="206">
        <v>2015</v>
      </c>
      <c r="H405" s="206">
        <v>2020</v>
      </c>
      <c r="I405" s="206">
        <v>2025</v>
      </c>
      <c r="J405" s="206">
        <v>2030</v>
      </c>
      <c r="K405" s="206">
        <v>2035</v>
      </c>
      <c r="L405" s="206">
        <v>2040</v>
      </c>
      <c r="M405" s="206">
        <v>2045</v>
      </c>
      <c r="N405" s="206">
        <v>2050</v>
      </c>
      <c r="O405" s="172"/>
      <c r="P405" s="172"/>
    </row>
    <row r="406" spans="2:16" hidden="1">
      <c r="B406" s="46"/>
      <c r="C406" s="208"/>
      <c r="D406" s="208" t="s">
        <v>121</v>
      </c>
      <c r="E406" s="209">
        <v>0</v>
      </c>
      <c r="F406" s="227">
        <v>1.6954201637136E-3</v>
      </c>
      <c r="G406" s="209">
        <v>1.6954201637136E-3</v>
      </c>
      <c r="H406" s="209">
        <v>1.6954201637136E-3</v>
      </c>
      <c r="I406" s="209">
        <v>1.6954201637136E-3</v>
      </c>
      <c r="J406" s="209">
        <v>1.6954201637136E-3</v>
      </c>
      <c r="K406" s="209">
        <v>1.6954201637136E-3</v>
      </c>
      <c r="L406" s="209">
        <v>1.6954201637136E-3</v>
      </c>
      <c r="M406" s="209">
        <v>1.6954201637136E-3</v>
      </c>
      <c r="N406" s="228">
        <v>1.6954201637136E-3</v>
      </c>
      <c r="O406" s="172"/>
      <c r="P406" s="172"/>
    </row>
    <row r="407" spans="2:16" hidden="1">
      <c r="B407" s="46"/>
      <c r="C407" s="212"/>
      <c r="D407" s="212" t="s">
        <v>122</v>
      </c>
      <c r="E407" s="213">
        <v>0</v>
      </c>
      <c r="F407" s="214">
        <v>3.5634375E-4</v>
      </c>
      <c r="G407" s="213">
        <v>3.5634375E-4</v>
      </c>
      <c r="H407" s="213">
        <v>3.5634375E-4</v>
      </c>
      <c r="I407" s="213">
        <v>3.5634375E-4</v>
      </c>
      <c r="J407" s="213">
        <v>3.5634375E-4</v>
      </c>
      <c r="K407" s="213">
        <v>3.5634375E-4</v>
      </c>
      <c r="L407" s="213">
        <v>3.5634375E-4</v>
      </c>
      <c r="M407" s="213">
        <v>3.5634375E-4</v>
      </c>
      <c r="N407" s="215">
        <v>3.5634375E-4</v>
      </c>
      <c r="O407" s="172"/>
      <c r="P407" s="172"/>
    </row>
    <row r="408" spans="2:16" hidden="1">
      <c r="B408" s="46"/>
      <c r="C408" s="212"/>
      <c r="D408" s="212" t="s">
        <v>123</v>
      </c>
      <c r="E408" s="213">
        <v>0</v>
      </c>
      <c r="F408" s="214">
        <v>6.4760128484094901E-5</v>
      </c>
      <c r="G408" s="213">
        <v>6.4760128484094901E-5</v>
      </c>
      <c r="H408" s="213">
        <v>6.4760128484094901E-5</v>
      </c>
      <c r="I408" s="213">
        <v>6.4760128484094901E-5</v>
      </c>
      <c r="J408" s="213">
        <v>6.4760128484094901E-5</v>
      </c>
      <c r="K408" s="213">
        <v>6.4760128484094901E-5</v>
      </c>
      <c r="L408" s="213">
        <v>6.4760128484094901E-5</v>
      </c>
      <c r="M408" s="213">
        <v>6.4760128484094901E-5</v>
      </c>
      <c r="N408" s="215">
        <v>6.4760128484094901E-5</v>
      </c>
      <c r="O408" s="172"/>
      <c r="P408" s="172"/>
    </row>
    <row r="409" spans="2:16" hidden="1">
      <c r="B409" s="46"/>
      <c r="C409" s="212"/>
      <c r="D409" s="212" t="s">
        <v>124</v>
      </c>
      <c r="E409" s="213">
        <v>0</v>
      </c>
      <c r="F409" s="214">
        <v>0</v>
      </c>
      <c r="G409" s="213">
        <v>0</v>
      </c>
      <c r="H409" s="213">
        <v>0</v>
      </c>
      <c r="I409" s="213">
        <v>0</v>
      </c>
      <c r="J409" s="213">
        <v>0</v>
      </c>
      <c r="K409" s="213">
        <v>0</v>
      </c>
      <c r="L409" s="213">
        <v>0</v>
      </c>
      <c r="M409" s="213">
        <v>0</v>
      </c>
      <c r="N409" s="215">
        <v>0</v>
      </c>
      <c r="O409" s="172"/>
      <c r="P409" s="172"/>
    </row>
    <row r="410" spans="2:16" hidden="1">
      <c r="B410" s="46"/>
      <c r="C410" s="212"/>
      <c r="D410" s="212" t="s">
        <v>125</v>
      </c>
      <c r="E410" s="213">
        <v>0</v>
      </c>
      <c r="F410" s="214">
        <v>2.1111801885814944E-4</v>
      </c>
      <c r="G410" s="213">
        <v>1.2799999999999999E-4</v>
      </c>
      <c r="H410" s="213">
        <v>1.2799999999999999E-4</v>
      </c>
      <c r="I410" s="213">
        <v>1.2799999999999999E-4</v>
      </c>
      <c r="J410" s="213">
        <v>1.2799999999999999E-4</v>
      </c>
      <c r="K410" s="213">
        <v>1.2799999999999999E-4</v>
      </c>
      <c r="L410" s="213">
        <v>1.2799999999999999E-4</v>
      </c>
      <c r="M410" s="213">
        <v>1.2799999999999999E-4</v>
      </c>
      <c r="N410" s="215">
        <v>1.2799999999999999E-4</v>
      </c>
      <c r="O410" s="172"/>
      <c r="P410" s="172"/>
    </row>
    <row r="411" spans="2:16" hidden="1">
      <c r="B411" s="46"/>
      <c r="C411" s="216"/>
      <c r="D411" s="216" t="s">
        <v>126</v>
      </c>
      <c r="E411" s="217">
        <v>0</v>
      </c>
      <c r="F411" s="218">
        <v>3.9999999999999996E-5</v>
      </c>
      <c r="G411" s="217">
        <v>3.9999999999999996E-5</v>
      </c>
      <c r="H411" s="217">
        <v>3.9999999999999996E-5</v>
      </c>
      <c r="I411" s="217">
        <v>3.9999999999999996E-5</v>
      </c>
      <c r="J411" s="217">
        <v>3.9999999999999996E-5</v>
      </c>
      <c r="K411" s="217">
        <v>3.9999999999999996E-5</v>
      </c>
      <c r="L411" s="217">
        <v>3.9999999999999996E-5</v>
      </c>
      <c r="M411" s="217">
        <v>3.9999999999999996E-5</v>
      </c>
      <c r="N411" s="219">
        <v>3.9999999999999996E-5</v>
      </c>
      <c r="O411" s="172"/>
      <c r="P411" s="172"/>
    </row>
    <row r="412" spans="2:16" hidden="1">
      <c r="B412" s="46"/>
      <c r="C412" s="229"/>
      <c r="D412" s="229"/>
      <c r="E412" s="57"/>
      <c r="F412" s="230"/>
      <c r="G412" s="230"/>
      <c r="H412" s="231"/>
      <c r="I412" s="231"/>
      <c r="J412" s="46"/>
      <c r="K412" s="172"/>
      <c r="L412" s="172"/>
      <c r="M412" s="172"/>
      <c r="N412" s="172"/>
      <c r="O412" s="172"/>
      <c r="P412" s="172"/>
    </row>
    <row r="413" spans="2:16" hidden="1">
      <c r="B413" s="46"/>
      <c r="C413" s="49" t="s">
        <v>161</v>
      </c>
      <c r="D413" s="46"/>
      <c r="E413" s="46"/>
      <c r="F413" s="46"/>
      <c r="G413" s="99" t="s">
        <v>2755</v>
      </c>
      <c r="H413" s="46"/>
      <c r="I413" s="99" t="s">
        <v>2756</v>
      </c>
      <c r="J413" s="46"/>
      <c r="K413" s="172"/>
      <c r="L413" s="172"/>
      <c r="M413" s="172"/>
      <c r="N413" s="172"/>
      <c r="O413" s="172"/>
      <c r="P413" s="172"/>
    </row>
    <row r="414" spans="2:16" hidden="1">
      <c r="B414" s="46"/>
      <c r="C414" s="46"/>
      <c r="D414" s="46"/>
      <c r="E414" s="46"/>
      <c r="F414" s="46"/>
      <c r="G414" s="46"/>
      <c r="H414" s="46"/>
      <c r="I414" s="46"/>
      <c r="J414" s="46"/>
      <c r="K414" s="172"/>
      <c r="L414" s="172"/>
      <c r="M414" s="172"/>
      <c r="N414" s="172"/>
      <c r="O414" s="172"/>
      <c r="P414" s="172"/>
    </row>
    <row r="415" spans="2:16" hidden="1">
      <c r="B415" s="46"/>
      <c r="C415" s="111" t="s">
        <v>8</v>
      </c>
      <c r="D415" s="111"/>
      <c r="E415" s="111"/>
      <c r="F415" s="169" t="s">
        <v>22</v>
      </c>
      <c r="G415" s="112" t="s">
        <v>20</v>
      </c>
      <c r="H415" s="169" t="s">
        <v>22</v>
      </c>
      <c r="I415" s="53" t="s">
        <v>20</v>
      </c>
      <c r="J415" s="67" t="s">
        <v>162</v>
      </c>
      <c r="K415" s="47" t="s">
        <v>163</v>
      </c>
      <c r="L415" s="172"/>
      <c r="M415" s="47"/>
      <c r="N415" s="47"/>
      <c r="O415" s="172"/>
      <c r="P415" s="172"/>
    </row>
    <row r="416" spans="2:16" hidden="1">
      <c r="B416" s="46"/>
      <c r="C416" s="232">
        <v>1</v>
      </c>
      <c r="D416" s="113" t="s">
        <v>164</v>
      </c>
      <c r="E416" s="113"/>
      <c r="F416" s="233">
        <v>0</v>
      </c>
      <c r="G416" s="234">
        <v>0</v>
      </c>
      <c r="H416" s="235">
        <v>0</v>
      </c>
      <c r="I416" s="236">
        <v>0</v>
      </c>
      <c r="J416" s="237">
        <v>0</v>
      </c>
      <c r="K416" s="172"/>
      <c r="L416" s="172"/>
      <c r="M416" s="172"/>
      <c r="N416" s="172"/>
      <c r="O416" s="172"/>
      <c r="P416" s="172"/>
    </row>
    <row r="417" spans="2:16" hidden="1">
      <c r="B417" s="46"/>
      <c r="C417" s="173">
        <v>2</v>
      </c>
      <c r="D417" s="173" t="s">
        <v>165</v>
      </c>
      <c r="E417" s="57"/>
      <c r="F417" s="238">
        <v>6.9999999999999993E-2</v>
      </c>
      <c r="G417" s="230">
        <v>4.8000000000000001E-2</v>
      </c>
      <c r="H417" s="230">
        <v>70000</v>
      </c>
      <c r="I417" s="230">
        <v>48000</v>
      </c>
      <c r="J417" s="237">
        <v>55700</v>
      </c>
      <c r="K417" s="172"/>
      <c r="L417" s="172"/>
      <c r="M417" s="172"/>
      <c r="N417" s="172"/>
      <c r="O417" s="172"/>
      <c r="P417" s="172"/>
    </row>
    <row r="418" spans="2:16" hidden="1">
      <c r="B418" s="46"/>
      <c r="C418" s="173">
        <v>3</v>
      </c>
      <c r="D418" s="173" t="s">
        <v>165</v>
      </c>
      <c r="E418" s="57"/>
      <c r="F418" s="238">
        <v>6.9999999999999993E-2</v>
      </c>
      <c r="G418" s="230">
        <v>4.8000000000000001E-2</v>
      </c>
      <c r="H418" s="230">
        <v>70000</v>
      </c>
      <c r="I418" s="230">
        <v>48000</v>
      </c>
      <c r="J418" s="237">
        <v>55700</v>
      </c>
      <c r="K418" s="172"/>
      <c r="L418" s="172"/>
      <c r="M418" s="172"/>
      <c r="N418" s="172"/>
      <c r="O418" s="172"/>
      <c r="P418" s="172"/>
    </row>
    <row r="419" spans="2:16" hidden="1">
      <c r="B419" s="46"/>
      <c r="C419" s="177">
        <v>4</v>
      </c>
      <c r="D419" s="177" t="s">
        <v>166</v>
      </c>
      <c r="E419" s="120"/>
      <c r="F419" s="239">
        <v>7.6762999999999998E-2</v>
      </c>
      <c r="G419" s="240">
        <v>5.2600000000000001E-2</v>
      </c>
      <c r="H419" s="241">
        <v>76763</v>
      </c>
      <c r="I419" s="242">
        <v>52600</v>
      </c>
      <c r="J419" s="237">
        <v>61057.05</v>
      </c>
      <c r="K419" s="172"/>
      <c r="L419" s="172"/>
      <c r="M419" s="172"/>
      <c r="N419" s="172"/>
      <c r="O419" s="172"/>
      <c r="P419" s="172"/>
    </row>
    <row r="420" spans="2:16" hidden="1">
      <c r="B420" s="46"/>
      <c r="C420" s="229"/>
      <c r="D420" s="229"/>
      <c r="E420" s="57"/>
      <c r="F420" s="230"/>
      <c r="G420" s="230"/>
      <c r="H420" s="231"/>
      <c r="I420" s="231"/>
      <c r="J420" s="46"/>
      <c r="K420" s="172"/>
      <c r="L420" s="172"/>
      <c r="M420" s="172"/>
      <c r="N420" s="172"/>
      <c r="O420" s="172"/>
      <c r="P420" s="172"/>
    </row>
    <row r="421" spans="2:16" hidden="1">
      <c r="B421" s="46"/>
      <c r="C421" s="172"/>
      <c r="D421" s="172"/>
      <c r="E421" s="172"/>
      <c r="F421" s="172"/>
      <c r="G421" s="172"/>
      <c r="H421" s="172"/>
      <c r="I421" s="172"/>
      <c r="J421" s="172"/>
      <c r="K421" s="172"/>
      <c r="L421" s="172"/>
      <c r="M421" s="172"/>
      <c r="N421" s="172"/>
      <c r="O421" s="172"/>
      <c r="P421" s="172"/>
    </row>
    <row r="422" spans="2:16" ht="18.5" hidden="1">
      <c r="B422" s="46"/>
      <c r="C422" s="243" t="s">
        <v>167</v>
      </c>
      <c r="D422" s="172"/>
      <c r="E422" s="172"/>
      <c r="F422" s="172"/>
      <c r="G422" s="172"/>
      <c r="H422" s="172"/>
      <c r="I422" s="172"/>
      <c r="J422" s="172"/>
      <c r="K422" s="172"/>
      <c r="L422" s="172"/>
      <c r="M422" s="172"/>
      <c r="N422" s="172"/>
      <c r="O422" s="172"/>
      <c r="P422" s="172"/>
    </row>
    <row r="423" spans="2:16" hidden="1">
      <c r="B423" s="46"/>
      <c r="C423" s="172"/>
      <c r="D423" s="172"/>
      <c r="E423" s="172"/>
      <c r="F423" s="172"/>
      <c r="G423" s="172"/>
      <c r="H423" s="172"/>
      <c r="I423" s="172"/>
      <c r="J423" s="172"/>
      <c r="K423" s="172"/>
      <c r="L423" s="172"/>
      <c r="M423" s="172"/>
      <c r="N423" s="172"/>
      <c r="O423" s="172"/>
      <c r="P423" s="172"/>
    </row>
    <row r="424" spans="2:16" hidden="1">
      <c r="B424" s="46"/>
      <c r="C424" s="244" t="s">
        <v>168</v>
      </c>
      <c r="D424" s="172"/>
      <c r="E424" s="172"/>
      <c r="F424" s="172"/>
      <c r="G424" s="172"/>
      <c r="H424" s="172"/>
      <c r="I424" s="172"/>
      <c r="J424" s="172"/>
      <c r="K424" s="172"/>
      <c r="L424" s="172"/>
      <c r="M424" s="172"/>
      <c r="N424" s="172"/>
      <c r="O424" s="172"/>
      <c r="P424" s="172"/>
    </row>
    <row r="425" spans="2:16" hidden="1">
      <c r="B425" s="46"/>
      <c r="C425" s="46"/>
      <c r="D425" s="172"/>
      <c r="E425" s="172"/>
      <c r="F425" s="172"/>
      <c r="G425" s="172"/>
      <c r="H425" s="172"/>
      <c r="I425" s="172"/>
      <c r="J425" s="172"/>
      <c r="K425" s="172"/>
      <c r="L425" s="172"/>
      <c r="M425" s="172"/>
      <c r="N425" s="172"/>
      <c r="O425" s="172"/>
      <c r="P425" s="172"/>
    </row>
    <row r="426" spans="2:16" hidden="1">
      <c r="B426" s="46"/>
      <c r="C426" s="46" t="s">
        <v>169</v>
      </c>
      <c r="D426" s="172"/>
      <c r="E426" s="172"/>
      <c r="F426" s="172"/>
      <c r="G426" s="172"/>
      <c r="H426" s="172"/>
      <c r="I426" s="172"/>
      <c r="J426" s="172"/>
      <c r="K426" s="172"/>
      <c r="L426" s="172"/>
      <c r="M426" s="172"/>
      <c r="N426" s="172"/>
      <c r="O426" s="172"/>
      <c r="P426" s="172"/>
    </row>
    <row r="427" spans="2:16" hidden="1">
      <c r="B427" s="46"/>
      <c r="C427" s="172"/>
      <c r="D427" s="172"/>
      <c r="E427" s="172"/>
      <c r="F427" s="172"/>
      <c r="G427" s="172"/>
      <c r="H427" s="172"/>
      <c r="I427" s="172"/>
      <c r="J427" s="172"/>
      <c r="K427" s="172"/>
      <c r="L427" s="172"/>
      <c r="M427" s="172"/>
      <c r="N427" s="46" t="s">
        <v>2755</v>
      </c>
      <c r="O427" s="172"/>
      <c r="P427" s="172"/>
    </row>
    <row r="428" spans="2:16" hidden="1">
      <c r="B428" s="46"/>
      <c r="C428" s="245"/>
      <c r="D428" s="245"/>
      <c r="E428" s="246" t="s">
        <v>159</v>
      </c>
      <c r="F428" s="247">
        <v>2013</v>
      </c>
      <c r="G428" s="248">
        <v>2015</v>
      </c>
      <c r="H428" s="248">
        <v>2020</v>
      </c>
      <c r="I428" s="248">
        <v>2025</v>
      </c>
      <c r="J428" s="248">
        <v>2030</v>
      </c>
      <c r="K428" s="248">
        <v>2035</v>
      </c>
      <c r="L428" s="248">
        <v>2040</v>
      </c>
      <c r="M428" s="248">
        <v>2045</v>
      </c>
      <c r="N428" s="248">
        <v>2050</v>
      </c>
      <c r="O428" s="172"/>
      <c r="P428" s="172"/>
    </row>
    <row r="429" spans="2:16" hidden="1">
      <c r="B429" s="46"/>
      <c r="C429" s="56">
        <v>1</v>
      </c>
      <c r="D429" s="249" t="s">
        <v>45</v>
      </c>
      <c r="E429" s="250">
        <v>0</v>
      </c>
      <c r="F429" s="237">
        <v>3.0874679675198398E-3</v>
      </c>
      <c r="G429" s="251">
        <v>3.0874679675198398E-3</v>
      </c>
      <c r="H429" s="251">
        <v>3.0874679675198398E-3</v>
      </c>
      <c r="I429" s="251">
        <v>3.0874679675198398E-3</v>
      </c>
      <c r="J429" s="251">
        <v>3.0874679675198398E-3</v>
      </c>
      <c r="K429" s="251">
        <v>3.0874679675198398E-3</v>
      </c>
      <c r="L429" s="251">
        <v>3.0874679675198398E-3</v>
      </c>
      <c r="M429" s="251">
        <v>3.0874679675198398E-3</v>
      </c>
      <c r="N429" s="237">
        <v>3.0874679675198398E-3</v>
      </c>
      <c r="O429" s="172"/>
      <c r="P429" s="172"/>
    </row>
    <row r="430" spans="2:16" ht="15.5" hidden="1">
      <c r="B430" s="55"/>
      <c r="C430" s="56">
        <v>2</v>
      </c>
      <c r="D430" s="249" t="s">
        <v>46</v>
      </c>
      <c r="E430" s="250">
        <v>0</v>
      </c>
      <c r="F430" s="237">
        <v>3.0874679675198398E-3</v>
      </c>
      <c r="G430" s="251">
        <v>3.0874679675198398E-3</v>
      </c>
      <c r="H430" s="251">
        <v>3.0874679675198398E-3</v>
      </c>
      <c r="I430" s="251">
        <v>3.0874679675198398E-3</v>
      </c>
      <c r="J430" s="251">
        <v>3.0874679675198398E-3</v>
      </c>
      <c r="K430" s="251">
        <v>3.0874679675198398E-3</v>
      </c>
      <c r="L430" s="251">
        <v>3.0874679675198398E-3</v>
      </c>
      <c r="M430" s="251">
        <v>3.0874679675198398E-3</v>
      </c>
      <c r="N430" s="237">
        <v>3.0874679675198398E-3</v>
      </c>
      <c r="O430" s="172"/>
      <c r="P430" s="172"/>
    </row>
    <row r="431" spans="2:16" ht="15.5" hidden="1">
      <c r="B431" s="55"/>
      <c r="C431" s="56">
        <v>3</v>
      </c>
      <c r="D431" s="249" t="s">
        <v>47</v>
      </c>
      <c r="E431" s="250">
        <v>0</v>
      </c>
      <c r="F431" s="237">
        <v>4.1999999999999997E-3</v>
      </c>
      <c r="G431" s="251">
        <v>4.1999999999999997E-3</v>
      </c>
      <c r="H431" s="251">
        <v>4.1999999999999997E-3</v>
      </c>
      <c r="I431" s="251">
        <v>4.1999999999999997E-3</v>
      </c>
      <c r="J431" s="251">
        <v>4.1999999999999997E-3</v>
      </c>
      <c r="K431" s="251">
        <v>4.1999999999999997E-3</v>
      </c>
      <c r="L431" s="251">
        <v>4.1999999999999997E-3</v>
      </c>
      <c r="M431" s="251">
        <v>4.1999999999999997E-3</v>
      </c>
      <c r="N431" s="237">
        <v>4.1999999999999997E-3</v>
      </c>
      <c r="O431" s="172"/>
      <c r="P431" s="172"/>
    </row>
    <row r="432" spans="2:16" ht="15.5" hidden="1">
      <c r="B432" s="55"/>
      <c r="C432" s="56">
        <v>4</v>
      </c>
      <c r="D432" s="249" t="s">
        <v>48</v>
      </c>
      <c r="E432" s="250">
        <v>0</v>
      </c>
      <c r="F432" s="237">
        <v>6.4799999999999996E-3</v>
      </c>
      <c r="G432" s="251">
        <v>6.4799999999999996E-3</v>
      </c>
      <c r="H432" s="251">
        <v>6.4799999999999996E-3</v>
      </c>
      <c r="I432" s="251">
        <v>6.4799999999999996E-3</v>
      </c>
      <c r="J432" s="251">
        <v>6.4799999999999996E-3</v>
      </c>
      <c r="K432" s="251">
        <v>6.4799999999999996E-3</v>
      </c>
      <c r="L432" s="251">
        <v>6.4799999999999996E-3</v>
      </c>
      <c r="M432" s="251">
        <v>6.4799999999999996E-3</v>
      </c>
      <c r="N432" s="237">
        <v>6.4799999999999996E-3</v>
      </c>
      <c r="O432" s="172"/>
      <c r="P432" s="172"/>
    </row>
    <row r="433" spans="2:16" ht="15.5" hidden="1">
      <c r="B433" s="55"/>
      <c r="C433" s="56">
        <v>5</v>
      </c>
      <c r="D433" s="249" t="s">
        <v>49</v>
      </c>
      <c r="E433" s="250">
        <v>0</v>
      </c>
      <c r="F433" s="237">
        <v>1.132E-2</v>
      </c>
      <c r="G433" s="251">
        <v>1.132E-2</v>
      </c>
      <c r="H433" s="251">
        <v>1.132E-2</v>
      </c>
      <c r="I433" s="251">
        <v>1.132E-2</v>
      </c>
      <c r="J433" s="251">
        <v>1.132E-2</v>
      </c>
      <c r="K433" s="251">
        <v>1.132E-2</v>
      </c>
      <c r="L433" s="251">
        <v>1.132E-2</v>
      </c>
      <c r="M433" s="251">
        <v>1.132E-2</v>
      </c>
      <c r="N433" s="237">
        <v>1.132E-2</v>
      </c>
      <c r="O433" s="172"/>
      <c r="P433" s="172"/>
    </row>
    <row r="434" spans="2:16" ht="15.5" hidden="1">
      <c r="B434" s="55"/>
      <c r="C434" s="56">
        <v>6</v>
      </c>
      <c r="D434" s="249" t="s">
        <v>50</v>
      </c>
      <c r="E434" s="250">
        <v>0</v>
      </c>
      <c r="F434" s="237">
        <v>1.166E-2</v>
      </c>
      <c r="G434" s="251">
        <v>1.166E-2</v>
      </c>
      <c r="H434" s="251">
        <v>1.166E-2</v>
      </c>
      <c r="I434" s="251">
        <v>1.166E-2</v>
      </c>
      <c r="J434" s="251">
        <v>1.166E-2</v>
      </c>
      <c r="K434" s="251">
        <v>1.166E-2</v>
      </c>
      <c r="L434" s="251">
        <v>1.166E-2</v>
      </c>
      <c r="M434" s="251">
        <v>1.166E-2</v>
      </c>
      <c r="N434" s="237">
        <v>1.166E-2</v>
      </c>
      <c r="O434" s="172"/>
      <c r="P434" s="172"/>
    </row>
    <row r="435" spans="2:16" ht="15.5" hidden="1">
      <c r="B435" s="55"/>
      <c r="C435" s="56">
        <v>7</v>
      </c>
      <c r="D435" s="249" t="s">
        <v>51</v>
      </c>
      <c r="E435" s="250">
        <v>0</v>
      </c>
      <c r="F435" s="237">
        <v>1.2719999999999999E-2</v>
      </c>
      <c r="G435" s="251">
        <v>1.2719999999999999E-2</v>
      </c>
      <c r="H435" s="251">
        <v>1.2719999999999999E-2</v>
      </c>
      <c r="I435" s="251">
        <v>1.2719999999999999E-2</v>
      </c>
      <c r="J435" s="251">
        <v>1.2719999999999999E-2</v>
      </c>
      <c r="K435" s="251">
        <v>1.2719999999999999E-2</v>
      </c>
      <c r="L435" s="251">
        <v>1.2719999999999999E-2</v>
      </c>
      <c r="M435" s="251">
        <v>1.2719999999999999E-2</v>
      </c>
      <c r="N435" s="237">
        <v>1.2719999999999999E-2</v>
      </c>
      <c r="O435" s="172"/>
      <c r="P435" s="172"/>
    </row>
    <row r="436" spans="2:16" ht="15.5" hidden="1">
      <c r="B436" s="55"/>
      <c r="C436" s="56">
        <v>8</v>
      </c>
      <c r="D436" s="249" t="s">
        <v>52</v>
      </c>
      <c r="E436" s="250">
        <v>0</v>
      </c>
      <c r="F436" s="237">
        <v>1.0808E-2</v>
      </c>
      <c r="G436" s="251">
        <v>1.0808E-2</v>
      </c>
      <c r="H436" s="251">
        <v>1.0808E-2</v>
      </c>
      <c r="I436" s="251">
        <v>1.0808E-2</v>
      </c>
      <c r="J436" s="251">
        <v>1.0808E-2</v>
      </c>
      <c r="K436" s="251">
        <v>1.0808E-2</v>
      </c>
      <c r="L436" s="251">
        <v>1.0808E-2</v>
      </c>
      <c r="M436" s="251">
        <v>1.0808E-2</v>
      </c>
      <c r="N436" s="237">
        <v>1.0808E-2</v>
      </c>
      <c r="O436" s="172"/>
      <c r="P436" s="172"/>
    </row>
    <row r="437" spans="2:16" ht="15.5" hidden="1">
      <c r="B437" s="55"/>
      <c r="C437" s="56">
        <v>9</v>
      </c>
      <c r="D437" s="249" t="s">
        <v>53</v>
      </c>
      <c r="E437" s="250">
        <v>0</v>
      </c>
      <c r="F437" s="237">
        <v>1.4574999999999999E-2</v>
      </c>
      <c r="G437" s="251">
        <v>1.4574999999999999E-2</v>
      </c>
      <c r="H437" s="251">
        <v>1.4574999999999999E-2</v>
      </c>
      <c r="I437" s="251">
        <v>1.4574999999999999E-2</v>
      </c>
      <c r="J437" s="251">
        <v>1.4574999999999999E-2</v>
      </c>
      <c r="K437" s="251">
        <v>1.4574999999999999E-2</v>
      </c>
      <c r="L437" s="251">
        <v>1.4574999999999999E-2</v>
      </c>
      <c r="M437" s="251">
        <v>1.4574999999999999E-2</v>
      </c>
      <c r="N437" s="237">
        <v>1.4574999999999999E-2</v>
      </c>
      <c r="O437" s="172"/>
      <c r="P437" s="172"/>
    </row>
    <row r="438" spans="2:16" ht="15.5" hidden="1">
      <c r="B438" s="55"/>
      <c r="C438" s="56">
        <v>10</v>
      </c>
      <c r="D438" s="249" t="s">
        <v>54</v>
      </c>
      <c r="E438" s="250">
        <v>0</v>
      </c>
      <c r="F438" s="237">
        <v>9.3019459123406992E-2</v>
      </c>
      <c r="G438" s="251">
        <v>9.3019459123406992E-2</v>
      </c>
      <c r="H438" s="251">
        <v>9.3019459123406992E-2</v>
      </c>
      <c r="I438" s="251">
        <v>9.3019459123406992E-2</v>
      </c>
      <c r="J438" s="251">
        <v>9.3019459123406992E-2</v>
      </c>
      <c r="K438" s="251">
        <v>9.3019459123406992E-2</v>
      </c>
      <c r="L438" s="251">
        <v>9.3019459123406992E-2</v>
      </c>
      <c r="M438" s="251">
        <v>9.3019459123406992E-2</v>
      </c>
      <c r="N438" s="237">
        <v>9.3019459123406992E-2</v>
      </c>
      <c r="O438" s="172"/>
      <c r="P438" s="172"/>
    </row>
    <row r="439" spans="2:16" ht="15.5" hidden="1">
      <c r="B439" s="55"/>
      <c r="C439" s="56">
        <v>11</v>
      </c>
      <c r="D439" s="249" t="s">
        <v>55</v>
      </c>
      <c r="E439" s="250">
        <v>0</v>
      </c>
      <c r="F439" s="237">
        <v>2.35E-2</v>
      </c>
      <c r="G439" s="251">
        <v>2.35E-2</v>
      </c>
      <c r="H439" s="251">
        <v>2.35E-2</v>
      </c>
      <c r="I439" s="251">
        <v>2.35E-2</v>
      </c>
      <c r="J439" s="251">
        <v>2.35E-2</v>
      </c>
      <c r="K439" s="251">
        <v>2.35E-2</v>
      </c>
      <c r="L439" s="251">
        <v>2.35E-2</v>
      </c>
      <c r="M439" s="251">
        <v>2.35E-2</v>
      </c>
      <c r="N439" s="237">
        <v>2.35E-2</v>
      </c>
      <c r="O439" s="172"/>
      <c r="P439" s="172"/>
    </row>
    <row r="440" spans="2:16" ht="15.5" hidden="1">
      <c r="B440" s="252"/>
      <c r="C440" s="56">
        <v>12</v>
      </c>
      <c r="D440" s="249" t="s">
        <v>56</v>
      </c>
      <c r="E440" s="250">
        <v>0</v>
      </c>
      <c r="F440" s="237">
        <v>3.3999999999999996E-2</v>
      </c>
      <c r="G440" s="251">
        <v>3.3999999999999996E-2</v>
      </c>
      <c r="H440" s="251">
        <v>3.3999999999999996E-2</v>
      </c>
      <c r="I440" s="251">
        <v>3.3999999999999996E-2</v>
      </c>
      <c r="J440" s="251">
        <v>3.3999999999999996E-2</v>
      </c>
      <c r="K440" s="251">
        <v>3.3999999999999996E-2</v>
      </c>
      <c r="L440" s="251">
        <v>3.3999999999999996E-2</v>
      </c>
      <c r="M440" s="251">
        <v>3.3999999999999996E-2</v>
      </c>
      <c r="N440" s="237">
        <v>3.3999999999999996E-2</v>
      </c>
      <c r="O440" s="172"/>
      <c r="P440" s="46"/>
    </row>
    <row r="441" spans="2:16" ht="15.5" hidden="1">
      <c r="B441" s="252"/>
      <c r="C441" s="141">
        <v>13</v>
      </c>
      <c r="D441" s="253" t="s">
        <v>57</v>
      </c>
      <c r="E441" s="254">
        <v>0</v>
      </c>
      <c r="F441" s="255">
        <v>1.4999999999999999E-4</v>
      </c>
      <c r="G441" s="256">
        <v>1.4999999999999999E-4</v>
      </c>
      <c r="H441" s="256">
        <v>1.4999999999999999E-4</v>
      </c>
      <c r="I441" s="256">
        <v>1.4999999999999999E-4</v>
      </c>
      <c r="J441" s="256">
        <v>1.4999999999999999E-4</v>
      </c>
      <c r="K441" s="256">
        <v>1.4999999999999999E-4</v>
      </c>
      <c r="L441" s="256">
        <v>1.4999999999999999E-4</v>
      </c>
      <c r="M441" s="256">
        <v>1.4999999999999999E-4</v>
      </c>
      <c r="N441" s="255">
        <v>1.4999999999999999E-4</v>
      </c>
      <c r="O441" s="172"/>
      <c r="P441" s="46"/>
    </row>
    <row r="442" spans="2:16" ht="15.5" hidden="1">
      <c r="B442" s="252"/>
      <c r="C442" s="46"/>
      <c r="D442" s="46"/>
      <c r="E442" s="257"/>
      <c r="F442" s="258"/>
      <c r="G442" s="259"/>
      <c r="H442" s="259"/>
      <c r="I442" s="259"/>
      <c r="J442" s="259"/>
      <c r="K442" s="259"/>
      <c r="L442" s="259"/>
      <c r="M442" s="259"/>
      <c r="N442" s="259"/>
      <c r="O442" s="172"/>
      <c r="P442" s="46"/>
    </row>
    <row r="443" spans="2:16" hidden="1">
      <c r="B443" s="46"/>
      <c r="C443" s="172"/>
      <c r="D443" s="172"/>
      <c r="E443" s="172"/>
      <c r="F443" s="172"/>
      <c r="G443" s="172"/>
      <c r="H443" s="172"/>
      <c r="I443" s="172"/>
      <c r="J443" s="172"/>
      <c r="K443" s="172"/>
      <c r="L443" s="172"/>
      <c r="M443" s="172"/>
      <c r="N443" s="172"/>
      <c r="O443" s="172"/>
      <c r="P443" s="46"/>
    </row>
    <row r="444" spans="2:16" hidden="1">
      <c r="B444" s="46"/>
      <c r="C444" s="260">
        <v>1</v>
      </c>
      <c r="D444" s="260" t="s">
        <v>60</v>
      </c>
      <c r="E444" s="261">
        <v>0</v>
      </c>
      <c r="F444" s="262">
        <v>2.9637259624667399E-3</v>
      </c>
      <c r="G444" s="263">
        <v>2.9637259624667399E-3</v>
      </c>
      <c r="H444" s="263">
        <v>2.9637259624667399E-3</v>
      </c>
      <c r="I444" s="263">
        <v>2.9637259624667399E-3</v>
      </c>
      <c r="J444" s="263">
        <v>2.9637259624667399E-3</v>
      </c>
      <c r="K444" s="263">
        <v>2.9637259624667399E-3</v>
      </c>
      <c r="L444" s="263">
        <v>2.9637259624667399E-3</v>
      </c>
      <c r="M444" s="263">
        <v>2.9637259624667399E-3</v>
      </c>
      <c r="N444" s="262">
        <v>2.9637259624667399E-3</v>
      </c>
      <c r="O444" s="172"/>
      <c r="P444" s="46"/>
    </row>
    <row r="445" spans="2:16" hidden="1">
      <c r="B445" s="46"/>
      <c r="C445" s="46">
        <v>2</v>
      </c>
      <c r="D445" s="46" t="s">
        <v>61</v>
      </c>
      <c r="E445" s="264">
        <v>0</v>
      </c>
      <c r="F445" s="265">
        <v>2.9637259624667399E-3</v>
      </c>
      <c r="G445" s="251">
        <v>2.9637259624667399E-3</v>
      </c>
      <c r="H445" s="251">
        <v>2.9637259624667399E-3</v>
      </c>
      <c r="I445" s="251">
        <v>2.9637259624667399E-3</v>
      </c>
      <c r="J445" s="251">
        <v>2.9637259624667399E-3</v>
      </c>
      <c r="K445" s="251">
        <v>2.9637259624667399E-3</v>
      </c>
      <c r="L445" s="251">
        <v>2.9637259624667399E-3</v>
      </c>
      <c r="M445" s="251">
        <v>2.9637259624667399E-3</v>
      </c>
      <c r="N445" s="265">
        <v>2.9637259624667399E-3</v>
      </c>
      <c r="O445" s="172"/>
      <c r="P445" s="46"/>
    </row>
    <row r="446" spans="2:16" hidden="1">
      <c r="B446" s="46"/>
      <c r="C446" s="176">
        <v>3</v>
      </c>
      <c r="D446" s="176" t="s">
        <v>62</v>
      </c>
      <c r="E446" s="266">
        <v>0</v>
      </c>
      <c r="F446" s="267">
        <v>2.9637259624667399E-3</v>
      </c>
      <c r="G446" s="256">
        <v>2.9637259624667399E-3</v>
      </c>
      <c r="H446" s="256">
        <v>2.9637259624667399E-3</v>
      </c>
      <c r="I446" s="256">
        <v>2.9637259624667399E-3</v>
      </c>
      <c r="J446" s="256">
        <v>2.9637259624667399E-3</v>
      </c>
      <c r="K446" s="256">
        <v>2.9637259624667399E-3</v>
      </c>
      <c r="L446" s="256">
        <v>2.9637259624667399E-3</v>
      </c>
      <c r="M446" s="256">
        <v>2.9637259624667399E-3</v>
      </c>
      <c r="N446" s="267">
        <v>2.9637259624667399E-3</v>
      </c>
      <c r="O446" s="172"/>
      <c r="P446" s="46"/>
    </row>
    <row r="447" spans="2:16" hidden="1">
      <c r="B447" s="46"/>
      <c r="C447" s="172"/>
      <c r="D447" s="172"/>
      <c r="E447" s="172"/>
      <c r="F447" s="172"/>
      <c r="G447" s="172"/>
      <c r="H447" s="172"/>
      <c r="I447" s="172"/>
      <c r="J447" s="172"/>
      <c r="K447" s="172"/>
      <c r="L447" s="172"/>
      <c r="M447" s="172"/>
      <c r="N447" s="172"/>
      <c r="O447" s="172"/>
      <c r="P447" s="46"/>
    </row>
    <row r="448" spans="2:16" hidden="1">
      <c r="B448" s="46"/>
      <c r="C448" s="46"/>
      <c r="D448" s="46"/>
      <c r="E448" s="257"/>
      <c r="F448" s="258"/>
      <c r="G448" s="268"/>
      <c r="H448" s="268"/>
      <c r="I448" s="268"/>
      <c r="J448" s="268"/>
      <c r="K448" s="268"/>
      <c r="L448" s="268"/>
      <c r="M448" s="268"/>
      <c r="N448" s="269"/>
      <c r="O448" s="172"/>
      <c r="P448" s="172"/>
    </row>
    <row r="449" spans="2:16" hidden="1">
      <c r="B449" s="46"/>
      <c r="C449" s="46" t="s">
        <v>170</v>
      </c>
      <c r="D449" s="172"/>
      <c r="E449" s="172"/>
      <c r="F449" s="172"/>
      <c r="G449" s="172"/>
      <c r="H449" s="172"/>
      <c r="I449" s="172"/>
      <c r="J449" s="172"/>
      <c r="K449" s="172"/>
      <c r="L449" s="172"/>
      <c r="M449" s="172"/>
      <c r="N449" s="172"/>
      <c r="O449" s="172"/>
      <c r="P449" s="172"/>
    </row>
    <row r="450" spans="2:16" hidden="1">
      <c r="B450" s="46"/>
      <c r="C450" s="172"/>
      <c r="D450" s="172"/>
      <c r="E450" s="172"/>
      <c r="F450" s="172"/>
      <c r="G450" s="172"/>
      <c r="H450" s="172"/>
      <c r="I450" s="172"/>
      <c r="J450" s="172"/>
      <c r="K450" s="172"/>
      <c r="L450" s="172"/>
      <c r="M450" s="172"/>
      <c r="N450" s="46" t="s">
        <v>2755</v>
      </c>
      <c r="O450" s="172"/>
      <c r="P450" s="172"/>
    </row>
    <row r="451" spans="2:16" hidden="1">
      <c r="B451" s="46"/>
      <c r="C451" s="245"/>
      <c r="D451" s="245"/>
      <c r="E451" s="270" t="s">
        <v>159</v>
      </c>
      <c r="F451" s="271">
        <v>2013</v>
      </c>
      <c r="G451" s="272">
        <v>2015</v>
      </c>
      <c r="H451" s="272">
        <v>2020</v>
      </c>
      <c r="I451" s="248">
        <v>2025</v>
      </c>
      <c r="J451" s="248">
        <v>2030</v>
      </c>
      <c r="K451" s="248">
        <v>2035</v>
      </c>
      <c r="L451" s="248">
        <v>2040</v>
      </c>
      <c r="M451" s="272">
        <v>2045</v>
      </c>
      <c r="N451" s="272">
        <v>2050</v>
      </c>
      <c r="O451" s="172"/>
      <c r="P451" s="172"/>
    </row>
    <row r="452" spans="2:16" hidden="1">
      <c r="B452" s="46"/>
      <c r="C452" s="273">
        <v>1</v>
      </c>
      <c r="D452" s="274" t="s">
        <v>45</v>
      </c>
      <c r="E452" s="275">
        <v>0</v>
      </c>
      <c r="F452" s="276">
        <v>2.7529922710385242E-3</v>
      </c>
      <c r="G452" s="263">
        <v>2.7529922710385242E-3</v>
      </c>
      <c r="H452" s="263">
        <v>2.7529922710385242E-3</v>
      </c>
      <c r="I452" s="263">
        <v>2.7529922710385242E-3</v>
      </c>
      <c r="J452" s="263">
        <v>2.7529922710385242E-3</v>
      </c>
      <c r="K452" s="263">
        <v>2.7529922710385242E-3</v>
      </c>
      <c r="L452" s="263">
        <v>2.7529922710385242E-3</v>
      </c>
      <c r="M452" s="263">
        <v>2.7529922710385242E-3</v>
      </c>
      <c r="N452" s="276">
        <v>2.7529922710385242E-3</v>
      </c>
      <c r="O452" s="172"/>
      <c r="P452" s="172"/>
    </row>
    <row r="453" spans="2:16" hidden="1">
      <c r="B453" s="172"/>
      <c r="C453" s="56">
        <v>2</v>
      </c>
      <c r="D453" s="277" t="s">
        <v>46</v>
      </c>
      <c r="E453" s="250">
        <v>0</v>
      </c>
      <c r="F453" s="237">
        <v>2.7529922710385242E-3</v>
      </c>
      <c r="G453" s="251">
        <v>2.7529922710385242E-3</v>
      </c>
      <c r="H453" s="251">
        <v>2.7529922710385242E-3</v>
      </c>
      <c r="I453" s="251">
        <v>2.7529922710385242E-3</v>
      </c>
      <c r="J453" s="251">
        <v>2.7529922710385242E-3</v>
      </c>
      <c r="K453" s="251">
        <v>2.7529922710385242E-3</v>
      </c>
      <c r="L453" s="251">
        <v>2.7529922710385242E-3</v>
      </c>
      <c r="M453" s="251">
        <v>2.7529922710385242E-3</v>
      </c>
      <c r="N453" s="237">
        <v>2.7529922710385242E-3</v>
      </c>
      <c r="O453" s="172"/>
      <c r="P453" s="172"/>
    </row>
    <row r="454" spans="2:16" hidden="1">
      <c r="B454" s="172"/>
      <c r="C454" s="56">
        <v>3</v>
      </c>
      <c r="D454" s="277" t="s">
        <v>47</v>
      </c>
      <c r="E454" s="250">
        <v>0</v>
      </c>
      <c r="F454" s="237">
        <v>3.29E-3</v>
      </c>
      <c r="G454" s="251">
        <v>3.29E-3</v>
      </c>
      <c r="H454" s="251">
        <v>3.29E-3</v>
      </c>
      <c r="I454" s="251">
        <v>3.29E-3</v>
      </c>
      <c r="J454" s="251">
        <v>3.29E-3</v>
      </c>
      <c r="K454" s="251">
        <v>3.29E-3</v>
      </c>
      <c r="L454" s="251">
        <v>3.29E-3</v>
      </c>
      <c r="M454" s="251">
        <v>3.29E-3</v>
      </c>
      <c r="N454" s="237">
        <v>3.29E-3</v>
      </c>
      <c r="O454" s="172"/>
      <c r="P454" s="172"/>
    </row>
    <row r="455" spans="2:16" hidden="1">
      <c r="B455" s="172"/>
      <c r="C455" s="56">
        <v>4</v>
      </c>
      <c r="D455" s="277" t="s">
        <v>48</v>
      </c>
      <c r="E455" s="250">
        <v>0</v>
      </c>
      <c r="F455" s="237">
        <v>4.6990000000000001E-3</v>
      </c>
      <c r="G455" s="251">
        <v>4.6990000000000001E-3</v>
      </c>
      <c r="H455" s="251">
        <v>4.6990000000000001E-3</v>
      </c>
      <c r="I455" s="251">
        <v>4.6990000000000001E-3</v>
      </c>
      <c r="J455" s="251">
        <v>4.6990000000000001E-3</v>
      </c>
      <c r="K455" s="251">
        <v>4.6990000000000001E-3</v>
      </c>
      <c r="L455" s="251">
        <v>4.6990000000000001E-3</v>
      </c>
      <c r="M455" s="251">
        <v>4.6990000000000001E-3</v>
      </c>
      <c r="N455" s="237">
        <v>4.6990000000000001E-3</v>
      </c>
      <c r="O455" s="172"/>
      <c r="P455" s="172"/>
    </row>
    <row r="456" spans="2:16" hidden="1">
      <c r="B456" s="172"/>
      <c r="C456" s="56">
        <v>5</v>
      </c>
      <c r="D456" s="277" t="s">
        <v>49</v>
      </c>
      <c r="E456" s="250">
        <v>0</v>
      </c>
      <c r="F456" s="237">
        <v>7.3289999999999996E-3</v>
      </c>
      <c r="G456" s="251">
        <v>7.3289999999999996E-3</v>
      </c>
      <c r="H456" s="251">
        <v>7.3289999999999996E-3</v>
      </c>
      <c r="I456" s="251">
        <v>7.3289999999999996E-3</v>
      </c>
      <c r="J456" s="251">
        <v>7.3289999999999996E-3</v>
      </c>
      <c r="K456" s="251">
        <v>7.3289999999999996E-3</v>
      </c>
      <c r="L456" s="251">
        <v>7.3289999999999996E-3</v>
      </c>
      <c r="M456" s="251">
        <v>7.3289999999999996E-3</v>
      </c>
      <c r="N456" s="237">
        <v>7.3289999999999996E-3</v>
      </c>
      <c r="O456" s="172"/>
      <c r="P456" s="172"/>
    </row>
    <row r="457" spans="2:16" hidden="1">
      <c r="B457" s="172"/>
      <c r="C457" s="56">
        <v>6</v>
      </c>
      <c r="D457" s="277" t="s">
        <v>50</v>
      </c>
      <c r="E457" s="250">
        <v>0</v>
      </c>
      <c r="F457" s="237">
        <v>1.0905999999999999E-2</v>
      </c>
      <c r="G457" s="251">
        <v>1.0905999999999999E-2</v>
      </c>
      <c r="H457" s="251">
        <v>1.0905999999999999E-2</v>
      </c>
      <c r="I457" s="251">
        <v>1.0905999999999999E-2</v>
      </c>
      <c r="J457" s="251">
        <v>1.0905999999999999E-2</v>
      </c>
      <c r="K457" s="251">
        <v>1.0905999999999999E-2</v>
      </c>
      <c r="L457" s="251">
        <v>1.0905999999999999E-2</v>
      </c>
      <c r="M457" s="251">
        <v>1.0905999999999999E-2</v>
      </c>
      <c r="N457" s="237">
        <v>1.0905999999999999E-2</v>
      </c>
      <c r="O457" s="172"/>
      <c r="P457" s="172"/>
    </row>
    <row r="458" spans="2:16" hidden="1">
      <c r="B458" s="172"/>
      <c r="C458" s="56">
        <v>7</v>
      </c>
      <c r="D458" s="277" t="s">
        <v>51</v>
      </c>
      <c r="E458" s="250">
        <v>0</v>
      </c>
      <c r="F458" s="237">
        <v>1.0952E-2</v>
      </c>
      <c r="G458" s="251">
        <v>1.0952E-2</v>
      </c>
      <c r="H458" s="251">
        <v>1.0952E-2</v>
      </c>
      <c r="I458" s="251">
        <v>1.0952E-2</v>
      </c>
      <c r="J458" s="251">
        <v>1.0952E-2</v>
      </c>
      <c r="K458" s="251">
        <v>1.0952E-2</v>
      </c>
      <c r="L458" s="251">
        <v>1.0952E-2</v>
      </c>
      <c r="M458" s="251">
        <v>1.0952E-2</v>
      </c>
      <c r="N458" s="237">
        <v>1.0952E-2</v>
      </c>
      <c r="O458" s="172"/>
      <c r="P458" s="172"/>
    </row>
    <row r="459" spans="2:16" hidden="1">
      <c r="B459" s="172"/>
      <c r="C459" s="56">
        <v>8</v>
      </c>
      <c r="D459" s="277" t="s">
        <v>52</v>
      </c>
      <c r="E459" s="250">
        <v>-6.1879999999999984E-5</v>
      </c>
      <c r="F459" s="237">
        <v>9.2427999999999989E-3</v>
      </c>
      <c r="G459" s="251">
        <v>8.9333999999999993E-3</v>
      </c>
      <c r="H459" s="251">
        <v>8.6239999999999997E-3</v>
      </c>
      <c r="I459" s="251">
        <v>8.3146000000000001E-3</v>
      </c>
      <c r="J459" s="251">
        <v>8.0052000000000005E-3</v>
      </c>
      <c r="K459" s="251">
        <v>7.6958000000000009E-3</v>
      </c>
      <c r="L459" s="251">
        <v>7.3864000000000013E-3</v>
      </c>
      <c r="M459" s="251">
        <v>7.0770000000000017E-3</v>
      </c>
      <c r="N459" s="237">
        <v>6.7675999999999995E-3</v>
      </c>
      <c r="O459" s="172"/>
      <c r="P459" s="172"/>
    </row>
    <row r="460" spans="2:16" hidden="1">
      <c r="B460" s="172"/>
      <c r="C460" s="56">
        <v>9</v>
      </c>
      <c r="D460" s="277" t="s">
        <v>53</v>
      </c>
      <c r="E460" s="250">
        <v>-2.4131249999999977E-5</v>
      </c>
      <c r="F460" s="237">
        <v>1.0749749999999999E-2</v>
      </c>
      <c r="G460" s="251">
        <v>1.0629093749999999E-2</v>
      </c>
      <c r="H460" s="251">
        <v>1.0508437499999999E-2</v>
      </c>
      <c r="I460" s="251">
        <v>1.0387781249999999E-2</v>
      </c>
      <c r="J460" s="251">
        <v>1.0267124999999998E-2</v>
      </c>
      <c r="K460" s="251">
        <v>1.0146468749999998E-2</v>
      </c>
      <c r="L460" s="251">
        <v>1.0025812499999998E-2</v>
      </c>
      <c r="M460" s="251">
        <v>9.9051562499999982E-3</v>
      </c>
      <c r="N460" s="237">
        <v>9.7844999999999998E-3</v>
      </c>
      <c r="O460" s="172"/>
      <c r="P460" s="172"/>
    </row>
    <row r="461" spans="2:16" hidden="1">
      <c r="B461" s="172"/>
      <c r="C461" s="56">
        <v>10</v>
      </c>
      <c r="D461" s="277" t="s">
        <v>54</v>
      </c>
      <c r="E461" s="250">
        <v>0</v>
      </c>
      <c r="F461" s="237">
        <v>5.3231026836597292E-2</v>
      </c>
      <c r="G461" s="251">
        <v>5.3231026836597292E-2</v>
      </c>
      <c r="H461" s="251">
        <v>5.3231026836597292E-2</v>
      </c>
      <c r="I461" s="251">
        <v>5.3231026836597292E-2</v>
      </c>
      <c r="J461" s="251">
        <v>5.3231026836597292E-2</v>
      </c>
      <c r="K461" s="251">
        <v>5.3231026836597292E-2</v>
      </c>
      <c r="L461" s="251">
        <v>5.3231026836597292E-2</v>
      </c>
      <c r="M461" s="251">
        <v>5.3231026836597292E-2</v>
      </c>
      <c r="N461" s="237">
        <v>5.3231026836597292E-2</v>
      </c>
      <c r="O461" s="172"/>
      <c r="P461" s="172"/>
    </row>
    <row r="462" spans="2:16" hidden="1">
      <c r="B462" s="172"/>
      <c r="C462" s="56">
        <v>11</v>
      </c>
      <c r="D462" s="277" t="s">
        <v>55</v>
      </c>
      <c r="E462" s="250">
        <v>0</v>
      </c>
      <c r="F462" s="237">
        <v>1.9157999999999998E-2</v>
      </c>
      <c r="G462" s="251">
        <v>1.9157999999999998E-2</v>
      </c>
      <c r="H462" s="251">
        <v>1.9157999999999998E-2</v>
      </c>
      <c r="I462" s="251">
        <v>1.9157999999999998E-2</v>
      </c>
      <c r="J462" s="251">
        <v>1.9157999999999998E-2</v>
      </c>
      <c r="K462" s="251">
        <v>1.9157999999999998E-2</v>
      </c>
      <c r="L462" s="251">
        <v>1.9157999999999998E-2</v>
      </c>
      <c r="M462" s="251">
        <v>1.9157999999999998E-2</v>
      </c>
      <c r="N462" s="237">
        <v>1.9157999999999998E-2</v>
      </c>
      <c r="O462" s="172"/>
      <c r="P462" s="172"/>
    </row>
    <row r="463" spans="2:16" hidden="1">
      <c r="B463" s="172"/>
      <c r="C463" s="56">
        <v>12</v>
      </c>
      <c r="D463" s="277" t="s">
        <v>56</v>
      </c>
      <c r="E463" s="250">
        <v>0</v>
      </c>
      <c r="F463" s="237">
        <v>2.5952999999999997E-2</v>
      </c>
      <c r="G463" s="251">
        <v>2.5952999999999997E-2</v>
      </c>
      <c r="H463" s="251">
        <v>2.5952999999999997E-2</v>
      </c>
      <c r="I463" s="251">
        <v>2.5952999999999997E-2</v>
      </c>
      <c r="J463" s="251">
        <v>2.5952999999999997E-2</v>
      </c>
      <c r="K463" s="251">
        <v>2.5952999999999997E-2</v>
      </c>
      <c r="L463" s="251">
        <v>2.5952999999999997E-2</v>
      </c>
      <c r="M463" s="251">
        <v>2.5952999999999997E-2</v>
      </c>
      <c r="N463" s="237">
        <v>2.5952999999999997E-2</v>
      </c>
      <c r="O463" s="172"/>
      <c r="P463" s="172"/>
    </row>
    <row r="464" spans="2:16" hidden="1">
      <c r="B464" s="172"/>
      <c r="C464" s="141">
        <v>13</v>
      </c>
      <c r="D464" s="278" t="s">
        <v>57</v>
      </c>
      <c r="E464" s="254">
        <v>0</v>
      </c>
      <c r="F464" s="255">
        <v>8.4999999999999993E-5</v>
      </c>
      <c r="G464" s="256">
        <v>8.4999999999999993E-5</v>
      </c>
      <c r="H464" s="256">
        <v>8.4999999999999993E-5</v>
      </c>
      <c r="I464" s="256">
        <v>8.4999999999999993E-5</v>
      </c>
      <c r="J464" s="256">
        <v>8.4999999999999993E-5</v>
      </c>
      <c r="K464" s="256">
        <v>8.4999999999999993E-5</v>
      </c>
      <c r="L464" s="256">
        <v>8.4999999999999993E-5</v>
      </c>
      <c r="M464" s="256">
        <v>8.4999999999999993E-5</v>
      </c>
      <c r="N464" s="255">
        <v>8.4999999999999993E-5</v>
      </c>
      <c r="O464" s="172"/>
      <c r="P464" s="172"/>
    </row>
    <row r="465" spans="2:16" hidden="1">
      <c r="B465" s="172"/>
      <c r="C465" s="46"/>
      <c r="D465" s="46"/>
      <c r="E465" s="257"/>
      <c r="F465" s="258"/>
      <c r="G465" s="259"/>
      <c r="H465" s="259"/>
      <c r="I465" s="259"/>
      <c r="J465" s="259"/>
      <c r="K465" s="259"/>
      <c r="L465" s="259"/>
      <c r="M465" s="259"/>
      <c r="N465" s="259"/>
      <c r="O465" s="172"/>
      <c r="P465" s="172"/>
    </row>
    <row r="466" spans="2:16" hidden="1">
      <c r="B466" s="172"/>
      <c r="C466" s="260">
        <v>1</v>
      </c>
      <c r="D466" s="260" t="s">
        <v>60</v>
      </c>
      <c r="E466" s="261">
        <v>0</v>
      </c>
      <c r="F466" s="276">
        <v>1.6873040868633591E-3</v>
      </c>
      <c r="G466" s="263">
        <v>1.6873040868633591E-3</v>
      </c>
      <c r="H466" s="263">
        <v>1.6873040868633591E-3</v>
      </c>
      <c r="I466" s="263">
        <v>1.6873040868633591E-3</v>
      </c>
      <c r="J466" s="263">
        <v>1.6873040868633591E-3</v>
      </c>
      <c r="K466" s="263">
        <v>1.6873040868633591E-3</v>
      </c>
      <c r="L466" s="263">
        <v>1.6873040868633591E-3</v>
      </c>
      <c r="M466" s="263">
        <v>1.6873040868633591E-3</v>
      </c>
      <c r="N466" s="276">
        <v>1.6873040868633591E-3</v>
      </c>
      <c r="O466" s="172"/>
      <c r="P466" s="172"/>
    </row>
    <row r="467" spans="2:16" hidden="1">
      <c r="B467" s="172"/>
      <c r="C467" s="46">
        <v>2</v>
      </c>
      <c r="D467" s="46" t="s">
        <v>61</v>
      </c>
      <c r="E467" s="264">
        <v>0</v>
      </c>
      <c r="F467" s="237">
        <v>1.6873040868633591E-3</v>
      </c>
      <c r="G467" s="251">
        <v>1.6873040868633591E-3</v>
      </c>
      <c r="H467" s="251">
        <v>1.6873040868633591E-3</v>
      </c>
      <c r="I467" s="251">
        <v>1.6873040868633591E-3</v>
      </c>
      <c r="J467" s="251">
        <v>1.6873040868633591E-3</v>
      </c>
      <c r="K467" s="251">
        <v>1.6873040868633591E-3</v>
      </c>
      <c r="L467" s="251">
        <v>1.6873040868633591E-3</v>
      </c>
      <c r="M467" s="251">
        <v>1.6873040868633591E-3</v>
      </c>
      <c r="N467" s="237">
        <v>1.6873040868633591E-3</v>
      </c>
      <c r="O467" s="172"/>
      <c r="P467" s="172"/>
    </row>
    <row r="468" spans="2:16" hidden="1">
      <c r="B468" s="172"/>
      <c r="C468" s="176">
        <v>3</v>
      </c>
      <c r="D468" s="176" t="s">
        <v>62</v>
      </c>
      <c r="E468" s="266">
        <v>0</v>
      </c>
      <c r="F468" s="255">
        <v>1.6873040868633591E-3</v>
      </c>
      <c r="G468" s="256">
        <v>1.6873040868633591E-3</v>
      </c>
      <c r="H468" s="256">
        <v>1.6873040868633591E-3</v>
      </c>
      <c r="I468" s="256">
        <v>1.6873040868633591E-3</v>
      </c>
      <c r="J468" s="256">
        <v>1.6873040868633591E-3</v>
      </c>
      <c r="K468" s="256">
        <v>1.6873040868633591E-3</v>
      </c>
      <c r="L468" s="256">
        <v>1.6873040868633591E-3</v>
      </c>
      <c r="M468" s="256">
        <v>1.6873040868633591E-3</v>
      </c>
      <c r="N468" s="255">
        <v>1.6873040868633591E-3</v>
      </c>
      <c r="O468" s="172"/>
      <c r="P468" s="172"/>
    </row>
    <row r="469" spans="2:16" hidden="1">
      <c r="B469" s="172"/>
      <c r="C469" s="268"/>
      <c r="D469" s="172"/>
      <c r="E469" s="172"/>
      <c r="F469" s="259"/>
      <c r="G469" s="259"/>
      <c r="H469" s="259"/>
      <c r="I469" s="259"/>
      <c r="J469" s="259"/>
      <c r="K469" s="259"/>
      <c r="L469" s="259"/>
      <c r="M469" s="259"/>
      <c r="N469" s="259"/>
      <c r="O469" s="172"/>
      <c r="P469" s="172"/>
    </row>
    <row r="470" spans="2:16" hidden="1">
      <c r="B470" s="172"/>
      <c r="C470" s="46" t="s">
        <v>171</v>
      </c>
      <c r="D470" s="172"/>
      <c r="E470" s="172"/>
      <c r="F470" s="259"/>
      <c r="G470" s="259"/>
      <c r="H470" s="259"/>
      <c r="I470" s="259"/>
      <c r="J470" s="259"/>
      <c r="K470" s="259"/>
      <c r="L470" s="259"/>
      <c r="M470" s="259"/>
      <c r="N470" s="259"/>
      <c r="O470" s="172"/>
      <c r="P470" s="172"/>
    </row>
    <row r="471" spans="2:16" hidden="1">
      <c r="B471" s="172"/>
      <c r="C471" s="172"/>
      <c r="D471" s="172"/>
      <c r="E471" s="172"/>
      <c r="F471" s="259"/>
      <c r="G471" s="259"/>
      <c r="H471" s="259"/>
      <c r="I471" s="259"/>
      <c r="J471" s="259"/>
      <c r="K471" s="259"/>
      <c r="L471" s="259"/>
      <c r="M471" s="259"/>
      <c r="N471" s="46" t="s">
        <v>2755</v>
      </c>
      <c r="O471" s="172"/>
      <c r="P471" s="172"/>
    </row>
    <row r="472" spans="2:16" hidden="1">
      <c r="B472" s="172"/>
      <c r="C472" s="245"/>
      <c r="D472" s="245"/>
      <c r="E472" s="246" t="s">
        <v>159</v>
      </c>
      <c r="F472" s="247">
        <v>2013</v>
      </c>
      <c r="G472" s="248">
        <v>2015</v>
      </c>
      <c r="H472" s="248">
        <v>2020</v>
      </c>
      <c r="I472" s="248">
        <v>2025</v>
      </c>
      <c r="J472" s="248">
        <v>2030</v>
      </c>
      <c r="K472" s="248">
        <v>2035</v>
      </c>
      <c r="L472" s="248">
        <v>2040</v>
      </c>
      <c r="M472" s="248">
        <v>2045</v>
      </c>
      <c r="N472" s="248">
        <v>2050</v>
      </c>
      <c r="O472" s="172"/>
      <c r="P472" s="172"/>
    </row>
    <row r="473" spans="2:16" hidden="1">
      <c r="B473" s="172"/>
      <c r="C473" s="273">
        <v>1</v>
      </c>
      <c r="D473" s="274" t="s">
        <v>45</v>
      </c>
      <c r="E473" s="275">
        <v>0</v>
      </c>
      <c r="F473" s="276">
        <v>2.5728899729332002E-3</v>
      </c>
      <c r="G473" s="263">
        <v>2.5728899729332002E-3</v>
      </c>
      <c r="H473" s="263">
        <v>2.5728899729332002E-3</v>
      </c>
      <c r="I473" s="263">
        <v>2.5728899729332002E-3</v>
      </c>
      <c r="J473" s="263">
        <v>2.5728899729332002E-3</v>
      </c>
      <c r="K473" s="263">
        <v>2.5728899729332002E-3</v>
      </c>
      <c r="L473" s="263">
        <v>2.5728899729332002E-3</v>
      </c>
      <c r="M473" s="263">
        <v>2.5728899729332002E-3</v>
      </c>
      <c r="N473" s="276">
        <v>2.5728899729332002E-3</v>
      </c>
      <c r="O473" s="172"/>
      <c r="P473" s="172"/>
    </row>
    <row r="474" spans="2:16" hidden="1">
      <c r="B474" s="172"/>
      <c r="C474" s="56">
        <v>2</v>
      </c>
      <c r="D474" s="277" t="s">
        <v>46</v>
      </c>
      <c r="E474" s="250">
        <v>0</v>
      </c>
      <c r="F474" s="237">
        <v>2.5728899729332002E-3</v>
      </c>
      <c r="G474" s="251">
        <v>2.5728899729332002E-3</v>
      </c>
      <c r="H474" s="251">
        <v>2.5728899729332002E-3</v>
      </c>
      <c r="I474" s="251">
        <v>2.5728899729332002E-3</v>
      </c>
      <c r="J474" s="251">
        <v>2.5728899729332002E-3</v>
      </c>
      <c r="K474" s="251">
        <v>2.5728899729332002E-3</v>
      </c>
      <c r="L474" s="251">
        <v>2.5728899729332002E-3</v>
      </c>
      <c r="M474" s="251">
        <v>2.5728899729332002E-3</v>
      </c>
      <c r="N474" s="237">
        <v>2.5728899729332002E-3</v>
      </c>
      <c r="O474" s="172"/>
      <c r="P474" s="172"/>
    </row>
    <row r="475" spans="2:16" hidden="1">
      <c r="B475" s="172"/>
      <c r="C475" s="56">
        <v>3</v>
      </c>
      <c r="D475" s="277" t="s">
        <v>47</v>
      </c>
      <c r="E475" s="250">
        <v>0</v>
      </c>
      <c r="F475" s="237">
        <v>2.8E-3</v>
      </c>
      <c r="G475" s="251">
        <v>2.8E-3</v>
      </c>
      <c r="H475" s="251">
        <v>2.8E-3</v>
      </c>
      <c r="I475" s="251">
        <v>2.8E-3</v>
      </c>
      <c r="J475" s="251">
        <v>2.8E-3</v>
      </c>
      <c r="K475" s="251">
        <v>2.8E-3</v>
      </c>
      <c r="L475" s="251">
        <v>2.8E-3</v>
      </c>
      <c r="M475" s="251">
        <v>2.8E-3</v>
      </c>
      <c r="N475" s="237">
        <v>2.8E-3</v>
      </c>
      <c r="O475" s="172"/>
      <c r="P475" s="172"/>
    </row>
    <row r="476" spans="2:16" hidden="1">
      <c r="B476" s="172"/>
      <c r="C476" s="56">
        <v>4</v>
      </c>
      <c r="D476" s="277" t="s">
        <v>48</v>
      </c>
      <c r="E476" s="250">
        <v>0</v>
      </c>
      <c r="F476" s="237">
        <v>3.7399999999999998E-3</v>
      </c>
      <c r="G476" s="251">
        <v>3.7399999999999998E-3</v>
      </c>
      <c r="H476" s="251">
        <v>3.7399999999999998E-3</v>
      </c>
      <c r="I476" s="251">
        <v>3.7399999999999998E-3</v>
      </c>
      <c r="J476" s="251">
        <v>3.7399999999999998E-3</v>
      </c>
      <c r="K476" s="251">
        <v>3.7399999999999998E-3</v>
      </c>
      <c r="L476" s="251">
        <v>3.7399999999999998E-3</v>
      </c>
      <c r="M476" s="251">
        <v>3.7399999999999998E-3</v>
      </c>
      <c r="N476" s="237">
        <v>3.7399999999999998E-3</v>
      </c>
      <c r="O476" s="172"/>
      <c r="P476" s="172"/>
    </row>
    <row r="477" spans="2:16" hidden="1">
      <c r="B477" s="172"/>
      <c r="C477" s="56">
        <v>5</v>
      </c>
      <c r="D477" s="277" t="s">
        <v>49</v>
      </c>
      <c r="E477" s="250">
        <v>0</v>
      </c>
      <c r="F477" s="237">
        <v>5.1799999999999997E-3</v>
      </c>
      <c r="G477" s="251">
        <v>5.1799999999999997E-3</v>
      </c>
      <c r="H477" s="251">
        <v>5.1799999999999997E-3</v>
      </c>
      <c r="I477" s="251">
        <v>5.1799999999999997E-3</v>
      </c>
      <c r="J477" s="251">
        <v>5.1799999999999997E-3</v>
      </c>
      <c r="K477" s="251">
        <v>5.1799999999999997E-3</v>
      </c>
      <c r="L477" s="251">
        <v>5.1799999999999997E-3</v>
      </c>
      <c r="M477" s="251">
        <v>5.1799999999999997E-3</v>
      </c>
      <c r="N477" s="237">
        <v>5.1799999999999997E-3</v>
      </c>
      <c r="O477" s="172"/>
      <c r="P477" s="172"/>
    </row>
    <row r="478" spans="2:16" hidden="1">
      <c r="B478" s="172"/>
      <c r="C478" s="56">
        <v>6</v>
      </c>
      <c r="D478" s="277" t="s">
        <v>50</v>
      </c>
      <c r="E478" s="250">
        <v>0</v>
      </c>
      <c r="F478" s="237">
        <v>1.0499999999999999E-2</v>
      </c>
      <c r="G478" s="251">
        <v>1.0499999999999999E-2</v>
      </c>
      <c r="H478" s="251">
        <v>1.0499999999999999E-2</v>
      </c>
      <c r="I478" s="251">
        <v>1.0499999999999999E-2</v>
      </c>
      <c r="J478" s="251">
        <v>1.0499999999999999E-2</v>
      </c>
      <c r="K478" s="251">
        <v>1.0499999999999999E-2</v>
      </c>
      <c r="L478" s="251">
        <v>1.0499999999999999E-2</v>
      </c>
      <c r="M478" s="251">
        <v>1.0499999999999999E-2</v>
      </c>
      <c r="N478" s="237">
        <v>1.0499999999999999E-2</v>
      </c>
      <c r="O478" s="172"/>
      <c r="P478" s="172"/>
    </row>
    <row r="479" spans="2:16" hidden="1">
      <c r="B479" s="172"/>
      <c r="C479" s="56">
        <v>7</v>
      </c>
      <c r="D479" s="277" t="s">
        <v>51</v>
      </c>
      <c r="E479" s="250">
        <v>0</v>
      </c>
      <c r="F479" s="237">
        <v>0.01</v>
      </c>
      <c r="G479" s="251">
        <v>0.01</v>
      </c>
      <c r="H479" s="251">
        <v>0.01</v>
      </c>
      <c r="I479" s="251">
        <v>0.01</v>
      </c>
      <c r="J479" s="251">
        <v>0.01</v>
      </c>
      <c r="K479" s="251">
        <v>0.01</v>
      </c>
      <c r="L479" s="251">
        <v>0.01</v>
      </c>
      <c r="M479" s="251">
        <v>0.01</v>
      </c>
      <c r="N479" s="237">
        <v>0.01</v>
      </c>
      <c r="O479" s="172"/>
      <c r="P479" s="172"/>
    </row>
    <row r="480" spans="2:16" hidden="1">
      <c r="B480" s="172"/>
      <c r="C480" s="56">
        <v>8</v>
      </c>
      <c r="D480" s="277" t="s">
        <v>52</v>
      </c>
      <c r="E480" s="250">
        <v>-9.5199999999999997E-5</v>
      </c>
      <c r="F480" s="237">
        <v>8.3999999999999995E-3</v>
      </c>
      <c r="G480" s="251">
        <v>7.9239999999999988E-3</v>
      </c>
      <c r="H480" s="251">
        <v>7.4479999999999989E-3</v>
      </c>
      <c r="I480" s="251">
        <v>6.971999999999999E-3</v>
      </c>
      <c r="J480" s="251">
        <v>6.4959999999999992E-3</v>
      </c>
      <c r="K480" s="251">
        <v>6.0199999999999993E-3</v>
      </c>
      <c r="L480" s="251">
        <v>5.5439999999999994E-3</v>
      </c>
      <c r="M480" s="251">
        <v>5.0679999999999996E-3</v>
      </c>
      <c r="N480" s="258">
        <v>4.5919999999999997E-3</v>
      </c>
      <c r="O480" s="172"/>
      <c r="P480" s="172"/>
    </row>
    <row r="481" spans="2:16" hidden="1">
      <c r="B481" s="172"/>
      <c r="C481" s="56">
        <v>9</v>
      </c>
      <c r="D481" s="277" t="s">
        <v>53</v>
      </c>
      <c r="E481" s="250">
        <v>-3.7125000000000008E-5</v>
      </c>
      <c r="F481" s="237">
        <v>8.6899999999999998E-3</v>
      </c>
      <c r="G481" s="251">
        <v>8.5043749999999998E-3</v>
      </c>
      <c r="H481" s="251">
        <v>8.3187499999999998E-3</v>
      </c>
      <c r="I481" s="251">
        <v>8.1331249999999997E-3</v>
      </c>
      <c r="J481" s="251">
        <v>7.9474999999999997E-3</v>
      </c>
      <c r="K481" s="251">
        <v>7.7618749999999997E-3</v>
      </c>
      <c r="L481" s="251">
        <v>7.5762499999999997E-3</v>
      </c>
      <c r="M481" s="251">
        <v>7.3906249999999996E-3</v>
      </c>
      <c r="N481" s="258">
        <v>7.2049999999999996E-3</v>
      </c>
      <c r="O481" s="172"/>
      <c r="P481" s="172"/>
    </row>
    <row r="482" spans="2:16" hidden="1">
      <c r="B482" s="172"/>
      <c r="C482" s="56">
        <v>10</v>
      </c>
      <c r="D482" s="277" t="s">
        <v>54</v>
      </c>
      <c r="E482" s="250">
        <v>0</v>
      </c>
      <c r="F482" s="237">
        <v>3.1806486374468999E-2</v>
      </c>
      <c r="G482" s="251">
        <v>3.1806486374468999E-2</v>
      </c>
      <c r="H482" s="251">
        <v>3.1806486374468999E-2</v>
      </c>
      <c r="I482" s="251">
        <v>3.1806486374468999E-2</v>
      </c>
      <c r="J482" s="251">
        <v>3.1806486374468999E-2</v>
      </c>
      <c r="K482" s="251">
        <v>3.1806486374468999E-2</v>
      </c>
      <c r="L482" s="251">
        <v>3.1806486374468999E-2</v>
      </c>
      <c r="M482" s="251">
        <v>3.1806486374468999E-2</v>
      </c>
      <c r="N482" s="258">
        <v>3.1806486374468999E-2</v>
      </c>
      <c r="O482" s="172"/>
      <c r="P482" s="172"/>
    </row>
    <row r="483" spans="2:16" hidden="1">
      <c r="B483" s="172"/>
      <c r="C483" s="56">
        <v>11</v>
      </c>
      <c r="D483" s="277" t="s">
        <v>55</v>
      </c>
      <c r="E483" s="250">
        <v>0</v>
      </c>
      <c r="F483" s="237">
        <v>1.6819999999999998E-2</v>
      </c>
      <c r="G483" s="251">
        <v>1.6819999999999998E-2</v>
      </c>
      <c r="H483" s="251">
        <v>1.6819999999999998E-2</v>
      </c>
      <c r="I483" s="251">
        <v>1.6819999999999998E-2</v>
      </c>
      <c r="J483" s="251">
        <v>1.6819999999999998E-2</v>
      </c>
      <c r="K483" s="251">
        <v>1.6819999999999998E-2</v>
      </c>
      <c r="L483" s="251">
        <v>1.6819999999999998E-2</v>
      </c>
      <c r="M483" s="251">
        <v>1.6819999999999998E-2</v>
      </c>
      <c r="N483" s="258">
        <v>1.6819999999999998E-2</v>
      </c>
      <c r="O483" s="172"/>
      <c r="P483" s="172"/>
    </row>
    <row r="484" spans="2:16" hidden="1">
      <c r="B484" s="172"/>
      <c r="C484" s="56">
        <v>12</v>
      </c>
      <c r="D484" s="277" t="s">
        <v>56</v>
      </c>
      <c r="E484" s="250">
        <v>0</v>
      </c>
      <c r="F484" s="237">
        <v>2.162E-2</v>
      </c>
      <c r="G484" s="251">
        <v>2.162E-2</v>
      </c>
      <c r="H484" s="251">
        <v>2.162E-2</v>
      </c>
      <c r="I484" s="251">
        <v>2.162E-2</v>
      </c>
      <c r="J484" s="251">
        <v>2.162E-2</v>
      </c>
      <c r="K484" s="251">
        <v>2.162E-2</v>
      </c>
      <c r="L484" s="251">
        <v>2.162E-2</v>
      </c>
      <c r="M484" s="251">
        <v>2.162E-2</v>
      </c>
      <c r="N484" s="258">
        <v>2.162E-2</v>
      </c>
      <c r="O484" s="172"/>
      <c r="P484" s="172"/>
    </row>
    <row r="485" spans="2:16" hidden="1">
      <c r="B485" s="172"/>
      <c r="C485" s="141">
        <v>13</v>
      </c>
      <c r="D485" s="278" t="s">
        <v>57</v>
      </c>
      <c r="E485" s="254">
        <v>0</v>
      </c>
      <c r="F485" s="255">
        <v>4.9999999999999996E-5</v>
      </c>
      <c r="G485" s="256">
        <v>4.9999999999999996E-5</v>
      </c>
      <c r="H485" s="256">
        <v>4.9999999999999996E-5</v>
      </c>
      <c r="I485" s="256">
        <v>4.9999999999999996E-5</v>
      </c>
      <c r="J485" s="256">
        <v>4.9999999999999996E-5</v>
      </c>
      <c r="K485" s="256">
        <v>4.9999999999999996E-5</v>
      </c>
      <c r="L485" s="256">
        <v>4.9999999999999996E-5</v>
      </c>
      <c r="M485" s="256">
        <v>4.9999999999999996E-5</v>
      </c>
      <c r="N485" s="279">
        <v>4.9999999999999996E-5</v>
      </c>
      <c r="O485" s="172"/>
      <c r="P485" s="172"/>
    </row>
    <row r="486" spans="2:16" hidden="1">
      <c r="B486" s="172"/>
      <c r="C486" s="172"/>
      <c r="D486" s="172"/>
      <c r="E486" s="172"/>
      <c r="F486" s="172"/>
      <c r="G486" s="172"/>
      <c r="H486" s="172"/>
      <c r="I486" s="172"/>
      <c r="J486" s="172"/>
      <c r="K486" s="172"/>
      <c r="L486" s="172"/>
      <c r="M486" s="172"/>
      <c r="N486" s="172"/>
      <c r="O486" s="172"/>
      <c r="P486" s="172"/>
    </row>
    <row r="487" spans="2:16" hidden="1">
      <c r="B487" s="172"/>
      <c r="C487" s="260">
        <v>1</v>
      </c>
      <c r="D487" s="260" t="s">
        <v>60</v>
      </c>
      <c r="E487" s="261">
        <v>0</v>
      </c>
      <c r="F487" s="262">
        <v>1E-3</v>
      </c>
      <c r="G487" s="263">
        <v>1E-3</v>
      </c>
      <c r="H487" s="263">
        <v>1E-3</v>
      </c>
      <c r="I487" s="263">
        <v>1E-3</v>
      </c>
      <c r="J487" s="263">
        <v>1E-3</v>
      </c>
      <c r="K487" s="263">
        <v>1E-3</v>
      </c>
      <c r="L487" s="263">
        <v>1E-3</v>
      </c>
      <c r="M487" s="263">
        <v>1E-3</v>
      </c>
      <c r="N487" s="262">
        <v>1E-3</v>
      </c>
      <c r="O487" s="172"/>
      <c r="P487" s="172"/>
    </row>
    <row r="488" spans="2:16" hidden="1">
      <c r="B488" s="172"/>
      <c r="C488" s="46">
        <v>2</v>
      </c>
      <c r="D488" s="46" t="s">
        <v>61</v>
      </c>
      <c r="E488" s="264">
        <v>0</v>
      </c>
      <c r="F488" s="265">
        <v>1E-3</v>
      </c>
      <c r="G488" s="265">
        <v>1E-3</v>
      </c>
      <c r="H488" s="265">
        <v>1E-3</v>
      </c>
      <c r="I488" s="265">
        <v>1E-3</v>
      </c>
      <c r="J488" s="265">
        <v>1E-3</v>
      </c>
      <c r="K488" s="265">
        <v>1E-3</v>
      </c>
      <c r="L488" s="265">
        <v>1E-3</v>
      </c>
      <c r="M488" s="265">
        <v>1E-3</v>
      </c>
      <c r="N488" s="265">
        <v>1E-3</v>
      </c>
      <c r="O488" s="172"/>
      <c r="P488" s="172"/>
    </row>
    <row r="489" spans="2:16" hidden="1">
      <c r="B489" s="172"/>
      <c r="C489" s="176">
        <v>3</v>
      </c>
      <c r="D489" s="176" t="s">
        <v>62</v>
      </c>
      <c r="E489" s="266">
        <v>0</v>
      </c>
      <c r="F489" s="267">
        <v>1E-3</v>
      </c>
      <c r="G489" s="256">
        <v>1E-3</v>
      </c>
      <c r="H489" s="256">
        <v>1E-3</v>
      </c>
      <c r="I489" s="256">
        <v>1E-3</v>
      </c>
      <c r="J489" s="256">
        <v>1E-3</v>
      </c>
      <c r="K489" s="256">
        <v>1E-3</v>
      </c>
      <c r="L489" s="256">
        <v>1E-3</v>
      </c>
      <c r="M489" s="256">
        <v>1E-3</v>
      </c>
      <c r="N489" s="267">
        <v>1E-3</v>
      </c>
      <c r="O489" s="172"/>
      <c r="P489" s="172"/>
    </row>
    <row r="490" spans="2:16" hidden="1">
      <c r="B490" s="172"/>
      <c r="C490" s="46"/>
      <c r="D490" s="46"/>
      <c r="E490" s="257"/>
      <c r="F490" s="258"/>
      <c r="G490" s="259"/>
      <c r="H490" s="259"/>
      <c r="I490" s="259"/>
      <c r="J490" s="259"/>
      <c r="K490" s="259"/>
      <c r="L490" s="259"/>
      <c r="M490" s="259"/>
      <c r="N490" s="269"/>
      <c r="O490" s="172"/>
      <c r="P490" s="172"/>
    </row>
    <row r="491" spans="2:16" hidden="1">
      <c r="B491" s="172"/>
      <c r="C491" s="172"/>
      <c r="D491" s="172"/>
      <c r="E491" s="172"/>
      <c r="F491" s="172"/>
      <c r="G491" s="172"/>
      <c r="H491" s="172"/>
      <c r="I491" s="172"/>
      <c r="J491" s="172"/>
      <c r="K491" s="172"/>
      <c r="L491" s="172"/>
      <c r="M491" s="172"/>
      <c r="N491" s="172"/>
      <c r="O491" s="172"/>
      <c r="P491" s="172"/>
    </row>
    <row r="492" spans="2:16" ht="18.5" hidden="1">
      <c r="B492" s="172"/>
      <c r="C492" s="280" t="s">
        <v>172</v>
      </c>
      <c r="D492" s="172"/>
      <c r="E492" s="172"/>
      <c r="F492" s="172"/>
      <c r="G492" s="172"/>
      <c r="H492" s="172"/>
      <c r="I492" s="172"/>
      <c r="J492" s="172"/>
      <c r="K492" s="172"/>
      <c r="L492" s="172"/>
      <c r="M492" s="172"/>
      <c r="N492" s="172"/>
      <c r="O492" s="172"/>
      <c r="P492" s="172"/>
    </row>
    <row r="493" spans="2:16" hidden="1">
      <c r="B493" s="172"/>
      <c r="C493" s="46"/>
      <c r="D493" s="172"/>
      <c r="E493" s="172"/>
      <c r="F493" s="172"/>
      <c r="G493" s="172"/>
      <c r="H493" s="172"/>
      <c r="I493" s="172"/>
      <c r="J493" s="172"/>
      <c r="K493" s="172"/>
      <c r="L493" s="172"/>
      <c r="M493" s="172"/>
      <c r="N493" s="172"/>
      <c r="O493" s="172"/>
      <c r="P493" s="172"/>
    </row>
    <row r="494" spans="2:16" hidden="1">
      <c r="B494" s="172"/>
      <c r="C494" s="281" t="s">
        <v>169</v>
      </c>
      <c r="D494" s="172"/>
      <c r="E494" s="172"/>
      <c r="F494" s="172"/>
      <c r="G494" s="172"/>
      <c r="H494" s="172"/>
      <c r="I494" s="172"/>
      <c r="J494" s="172"/>
      <c r="K494" s="172"/>
      <c r="L494" s="172"/>
      <c r="M494" s="172"/>
      <c r="N494" s="172"/>
      <c r="O494" s="172"/>
      <c r="P494" s="172"/>
    </row>
    <row r="495" spans="2:16" hidden="1">
      <c r="B495" s="172"/>
      <c r="C495" s="46" t="s">
        <v>2755</v>
      </c>
      <c r="D495" s="172"/>
      <c r="E495" s="172"/>
      <c r="F495" s="172"/>
      <c r="G495" s="172"/>
      <c r="H495" s="172"/>
      <c r="I495" s="172"/>
      <c r="J495" s="172"/>
      <c r="K495" s="172"/>
      <c r="L495" s="172"/>
      <c r="M495" s="172"/>
      <c r="N495" s="172"/>
      <c r="O495" s="172"/>
      <c r="P495" s="172"/>
    </row>
    <row r="496" spans="2:16" hidden="1">
      <c r="B496" s="172"/>
      <c r="C496" s="260"/>
      <c r="D496" s="260"/>
      <c r="E496" s="270" t="s">
        <v>159</v>
      </c>
      <c r="F496" s="271">
        <v>2013</v>
      </c>
      <c r="G496" s="272">
        <v>2015</v>
      </c>
      <c r="H496" s="272">
        <v>2020</v>
      </c>
      <c r="I496" s="272">
        <v>2025</v>
      </c>
      <c r="J496" s="272">
        <v>2030</v>
      </c>
      <c r="K496" s="272">
        <v>2035</v>
      </c>
      <c r="L496" s="272">
        <v>2040</v>
      </c>
      <c r="M496" s="272">
        <v>2045</v>
      </c>
      <c r="N496" s="272">
        <v>2050</v>
      </c>
      <c r="O496" s="172"/>
      <c r="P496" s="172"/>
    </row>
    <row r="497" spans="2:16" hidden="1">
      <c r="B497" s="172"/>
      <c r="C497" s="273">
        <v>1</v>
      </c>
      <c r="D497" s="282" t="s">
        <v>45</v>
      </c>
      <c r="E497" s="275">
        <v>0</v>
      </c>
      <c r="F497" s="276">
        <v>1.7999999999999998E-4</v>
      </c>
      <c r="G497" s="263">
        <v>1.7999999999999998E-4</v>
      </c>
      <c r="H497" s="263">
        <v>1.7999999999999998E-4</v>
      </c>
      <c r="I497" s="263">
        <v>1.7999999999999998E-4</v>
      </c>
      <c r="J497" s="263">
        <v>1.7999999999999998E-4</v>
      </c>
      <c r="K497" s="263">
        <v>1.7999999999999998E-4</v>
      </c>
      <c r="L497" s="263">
        <v>1.7999999999999998E-4</v>
      </c>
      <c r="M497" s="263">
        <v>1.7999999999999998E-4</v>
      </c>
      <c r="N497" s="276">
        <v>1.7999999999999998E-4</v>
      </c>
      <c r="O497" s="172"/>
      <c r="P497" s="172"/>
    </row>
    <row r="498" spans="2:16" hidden="1">
      <c r="B498" s="172"/>
      <c r="C498" s="56">
        <v>2</v>
      </c>
      <c r="D498" s="249" t="s">
        <v>46</v>
      </c>
      <c r="E498" s="250">
        <v>0</v>
      </c>
      <c r="F498" s="237">
        <v>1.7999999999999998E-4</v>
      </c>
      <c r="G498" s="251">
        <v>1.7999999999999998E-4</v>
      </c>
      <c r="H498" s="251">
        <v>1.7999999999999998E-4</v>
      </c>
      <c r="I498" s="251">
        <v>1.7999999999999998E-4</v>
      </c>
      <c r="J498" s="251">
        <v>1.7999999999999998E-4</v>
      </c>
      <c r="K498" s="251">
        <v>1.7999999999999998E-4</v>
      </c>
      <c r="L498" s="251">
        <v>1.7999999999999998E-4</v>
      </c>
      <c r="M498" s="251">
        <v>1.7999999999999998E-4</v>
      </c>
      <c r="N498" s="237">
        <v>1.7999999999999998E-4</v>
      </c>
      <c r="O498" s="172"/>
      <c r="P498" s="172"/>
    </row>
    <row r="499" spans="2:16" hidden="1">
      <c r="B499" s="172"/>
      <c r="C499" s="56">
        <v>3</v>
      </c>
      <c r="D499" s="249" t="s">
        <v>47</v>
      </c>
      <c r="E499" s="250">
        <v>0</v>
      </c>
      <c r="F499" s="237">
        <v>1.9599999999999999E-4</v>
      </c>
      <c r="G499" s="251">
        <v>1.9599999999999999E-4</v>
      </c>
      <c r="H499" s="251">
        <v>1.9599999999999999E-4</v>
      </c>
      <c r="I499" s="251">
        <v>1.9599999999999999E-4</v>
      </c>
      <c r="J499" s="251">
        <v>1.9599999999999999E-4</v>
      </c>
      <c r="K499" s="251">
        <v>1.9599999999999999E-4</v>
      </c>
      <c r="L499" s="251">
        <v>1.9599999999999999E-4</v>
      </c>
      <c r="M499" s="251">
        <v>1.9599999999999999E-4</v>
      </c>
      <c r="N499" s="237">
        <v>1.9599999999999999E-4</v>
      </c>
      <c r="O499" s="172"/>
      <c r="P499" s="172"/>
    </row>
    <row r="500" spans="2:16" hidden="1">
      <c r="B500" s="172"/>
      <c r="C500" s="56">
        <v>4</v>
      </c>
      <c r="D500" s="249" t="s">
        <v>48</v>
      </c>
      <c r="E500" s="250">
        <v>0</v>
      </c>
      <c r="F500" s="237">
        <v>4.3999999999999996E-4</v>
      </c>
      <c r="G500" s="251">
        <v>4.3999999999999996E-4</v>
      </c>
      <c r="H500" s="251">
        <v>4.3999999999999996E-4</v>
      </c>
      <c r="I500" s="251">
        <v>4.3999999999999996E-4</v>
      </c>
      <c r="J500" s="251">
        <v>4.3999999999999996E-4</v>
      </c>
      <c r="K500" s="251">
        <v>4.3999999999999996E-4</v>
      </c>
      <c r="L500" s="251">
        <v>4.3999999999999996E-4</v>
      </c>
      <c r="M500" s="251">
        <v>4.3999999999999996E-4</v>
      </c>
      <c r="N500" s="237">
        <v>4.3999999999999996E-4</v>
      </c>
      <c r="O500" s="172"/>
      <c r="P500" s="172"/>
    </row>
    <row r="501" spans="2:16" hidden="1">
      <c r="B501" s="172"/>
      <c r="C501" s="56">
        <v>5</v>
      </c>
      <c r="D501" s="249" t="s">
        <v>49</v>
      </c>
      <c r="E501" s="250">
        <v>0</v>
      </c>
      <c r="F501" s="237">
        <v>5.1999999999999995E-4</v>
      </c>
      <c r="G501" s="251">
        <v>5.1999999999999995E-4</v>
      </c>
      <c r="H501" s="251">
        <v>5.1999999999999995E-4</v>
      </c>
      <c r="I501" s="251">
        <v>5.1999999999999995E-4</v>
      </c>
      <c r="J501" s="251">
        <v>5.1999999999999995E-4</v>
      </c>
      <c r="K501" s="251">
        <v>5.1999999999999995E-4</v>
      </c>
      <c r="L501" s="251">
        <v>5.1999999999999995E-4</v>
      </c>
      <c r="M501" s="251">
        <v>5.1999999999999995E-4</v>
      </c>
      <c r="N501" s="237">
        <v>5.1999999999999995E-4</v>
      </c>
      <c r="O501" s="172"/>
      <c r="P501" s="172"/>
    </row>
    <row r="502" spans="2:16" hidden="1">
      <c r="B502" s="172"/>
      <c r="C502" s="56">
        <v>6</v>
      </c>
      <c r="D502" s="249" t="s">
        <v>50</v>
      </c>
      <c r="E502" s="250">
        <v>0</v>
      </c>
      <c r="F502" s="237">
        <v>1.7999999999999998E-4</v>
      </c>
      <c r="G502" s="251">
        <v>1.7999999999999998E-4</v>
      </c>
      <c r="H502" s="251">
        <v>1.7999999999999998E-4</v>
      </c>
      <c r="I502" s="251">
        <v>1.7999999999999998E-4</v>
      </c>
      <c r="J502" s="251">
        <v>1.7999999999999998E-4</v>
      </c>
      <c r="K502" s="251">
        <v>1.7999999999999998E-4</v>
      </c>
      <c r="L502" s="251">
        <v>1.7999999999999998E-4</v>
      </c>
      <c r="M502" s="251">
        <v>1.7999999999999998E-4</v>
      </c>
      <c r="N502" s="237">
        <v>1.7999999999999998E-4</v>
      </c>
      <c r="O502" s="172"/>
      <c r="P502" s="172"/>
    </row>
    <row r="503" spans="2:16" hidden="1">
      <c r="B503" s="172"/>
      <c r="C503" s="56">
        <v>7</v>
      </c>
      <c r="D503" s="249" t="s">
        <v>51</v>
      </c>
      <c r="E503" s="250">
        <v>0</v>
      </c>
      <c r="F503" s="237">
        <v>1.7999999999999998E-4</v>
      </c>
      <c r="G503" s="251">
        <v>1.7999999999999998E-4</v>
      </c>
      <c r="H503" s="251">
        <v>1.7999999999999998E-4</v>
      </c>
      <c r="I503" s="251">
        <v>1.7999999999999998E-4</v>
      </c>
      <c r="J503" s="251">
        <v>1.7999999999999998E-4</v>
      </c>
      <c r="K503" s="251">
        <v>1.7999999999999998E-4</v>
      </c>
      <c r="L503" s="251">
        <v>1.7999999999999998E-4</v>
      </c>
      <c r="M503" s="251">
        <v>1.7999999999999998E-4</v>
      </c>
      <c r="N503" s="237">
        <v>1.7999999999999998E-4</v>
      </c>
      <c r="O503" s="172"/>
      <c r="P503" s="172"/>
    </row>
    <row r="504" spans="2:16" hidden="1">
      <c r="B504" s="172"/>
      <c r="C504" s="56">
        <v>8</v>
      </c>
      <c r="D504" s="249" t="s">
        <v>52</v>
      </c>
      <c r="E504" s="250">
        <v>0</v>
      </c>
      <c r="F504" s="237">
        <v>1.27E-4</v>
      </c>
      <c r="G504" s="251">
        <v>1.27E-4</v>
      </c>
      <c r="H504" s="251">
        <v>1.27E-4</v>
      </c>
      <c r="I504" s="251">
        <v>1.27E-4</v>
      </c>
      <c r="J504" s="251">
        <v>1.27E-4</v>
      </c>
      <c r="K504" s="251">
        <v>1.27E-4</v>
      </c>
      <c r="L504" s="251">
        <v>1.27E-4</v>
      </c>
      <c r="M504" s="251">
        <v>1.27E-4</v>
      </c>
      <c r="N504" s="237">
        <v>1.27E-4</v>
      </c>
      <c r="O504" s="172"/>
      <c r="P504" s="172"/>
    </row>
    <row r="505" spans="2:16" hidden="1">
      <c r="B505" s="172"/>
      <c r="C505" s="56">
        <v>9</v>
      </c>
      <c r="D505" s="249" t="s">
        <v>53</v>
      </c>
      <c r="E505" s="250">
        <v>0</v>
      </c>
      <c r="F505" s="237">
        <v>9.9999999999999991E-5</v>
      </c>
      <c r="G505" s="251">
        <v>9.9999999999999991E-5</v>
      </c>
      <c r="H505" s="251">
        <v>9.9999999999999991E-5</v>
      </c>
      <c r="I505" s="251">
        <v>9.9999999999999991E-5</v>
      </c>
      <c r="J505" s="251">
        <v>9.9999999999999991E-5</v>
      </c>
      <c r="K505" s="251">
        <v>9.9999999999999991E-5</v>
      </c>
      <c r="L505" s="251">
        <v>9.9999999999999991E-5</v>
      </c>
      <c r="M505" s="251">
        <v>9.9999999999999991E-5</v>
      </c>
      <c r="N505" s="237">
        <v>9.9999999999999991E-5</v>
      </c>
      <c r="O505" s="172"/>
      <c r="P505" s="172"/>
    </row>
    <row r="506" spans="2:16" hidden="1">
      <c r="B506" s="172"/>
      <c r="C506" s="56">
        <v>10</v>
      </c>
      <c r="D506" s="249" t="s">
        <v>54</v>
      </c>
      <c r="E506" s="250">
        <v>0</v>
      </c>
      <c r="F506" s="237">
        <v>1.114E-3</v>
      </c>
      <c r="G506" s="251">
        <v>1.114E-3</v>
      </c>
      <c r="H506" s="251">
        <v>1.114E-3</v>
      </c>
      <c r="I506" s="251">
        <v>1.114E-3</v>
      </c>
      <c r="J506" s="251">
        <v>1.114E-3</v>
      </c>
      <c r="K506" s="251">
        <v>1.114E-3</v>
      </c>
      <c r="L506" s="251">
        <v>1.114E-3</v>
      </c>
      <c r="M506" s="251">
        <v>1.114E-3</v>
      </c>
      <c r="N506" s="237">
        <v>1.114E-3</v>
      </c>
      <c r="O506" s="172"/>
      <c r="P506" s="172"/>
    </row>
    <row r="507" spans="2:16" hidden="1">
      <c r="B507" s="172"/>
      <c r="C507" s="56">
        <v>11</v>
      </c>
      <c r="D507" s="249" t="s">
        <v>55</v>
      </c>
      <c r="E507" s="250">
        <v>0</v>
      </c>
      <c r="F507" s="237">
        <v>1.3599999999999999E-3</v>
      </c>
      <c r="G507" s="251">
        <v>1.3599999999999999E-3</v>
      </c>
      <c r="H507" s="251">
        <v>1.3599999999999999E-3</v>
      </c>
      <c r="I507" s="251">
        <v>1.3599999999999999E-3</v>
      </c>
      <c r="J507" s="251">
        <v>1.3599999999999999E-3</v>
      </c>
      <c r="K507" s="251">
        <v>1.3599999999999999E-3</v>
      </c>
      <c r="L507" s="251">
        <v>1.3599999999999999E-3</v>
      </c>
      <c r="M507" s="251">
        <v>1.3599999999999999E-3</v>
      </c>
      <c r="N507" s="237">
        <v>1.3599999999999999E-3</v>
      </c>
      <c r="O507" s="172"/>
      <c r="P507" s="172"/>
    </row>
    <row r="508" spans="2:16" hidden="1">
      <c r="B508" s="172"/>
      <c r="C508" s="56">
        <v>12</v>
      </c>
      <c r="D508" s="249" t="s">
        <v>56</v>
      </c>
      <c r="E508" s="250">
        <v>0</v>
      </c>
      <c r="F508" s="237">
        <v>1.9E-3</v>
      </c>
      <c r="G508" s="251">
        <v>1.9E-3</v>
      </c>
      <c r="H508" s="251">
        <v>1.9E-3</v>
      </c>
      <c r="I508" s="251">
        <v>1.9E-3</v>
      </c>
      <c r="J508" s="251">
        <v>1.9E-3</v>
      </c>
      <c r="K508" s="251">
        <v>1.9E-3</v>
      </c>
      <c r="L508" s="251">
        <v>1.9E-3</v>
      </c>
      <c r="M508" s="251">
        <v>1.9E-3</v>
      </c>
      <c r="N508" s="237">
        <v>1.9E-3</v>
      </c>
      <c r="O508" s="172"/>
      <c r="P508" s="172"/>
    </row>
    <row r="509" spans="2:16" hidden="1">
      <c r="B509" s="172"/>
      <c r="C509" s="141">
        <v>13</v>
      </c>
      <c r="D509" s="253" t="s">
        <v>57</v>
      </c>
      <c r="E509" s="254">
        <v>0</v>
      </c>
      <c r="F509" s="255">
        <v>1.4999999999999999E-4</v>
      </c>
      <c r="G509" s="256">
        <v>1.4999999999999999E-4</v>
      </c>
      <c r="H509" s="256">
        <v>1.4999999999999999E-4</v>
      </c>
      <c r="I509" s="256">
        <v>1.4999999999999999E-4</v>
      </c>
      <c r="J509" s="256">
        <v>1.4999999999999999E-4</v>
      </c>
      <c r="K509" s="256">
        <v>1.4999999999999999E-4</v>
      </c>
      <c r="L509" s="256">
        <v>1.4999999999999999E-4</v>
      </c>
      <c r="M509" s="256">
        <v>1.4999999999999999E-4</v>
      </c>
      <c r="N509" s="255">
        <v>1.4999999999999999E-4</v>
      </c>
      <c r="O509" s="172"/>
      <c r="P509" s="172"/>
    </row>
    <row r="510" spans="2:16" hidden="1">
      <c r="B510" s="172"/>
      <c r="C510" s="46"/>
      <c r="D510" s="46"/>
      <c r="E510" s="257"/>
      <c r="F510" s="258"/>
      <c r="G510" s="259"/>
      <c r="H510" s="259"/>
      <c r="I510" s="259"/>
      <c r="J510" s="259"/>
      <c r="K510" s="259"/>
      <c r="L510" s="259"/>
      <c r="M510" s="259"/>
      <c r="N510" s="259"/>
      <c r="O510" s="172"/>
      <c r="P510" s="172"/>
    </row>
    <row r="511" spans="2:16" hidden="1">
      <c r="B511" s="172"/>
      <c r="C511" s="260">
        <v>1</v>
      </c>
      <c r="D511" s="260" t="s">
        <v>60</v>
      </c>
      <c r="E511" s="261">
        <v>0</v>
      </c>
      <c r="F511" s="276">
        <v>1.7999999999999998E-4</v>
      </c>
      <c r="G511" s="263">
        <v>1.7999999999999998E-4</v>
      </c>
      <c r="H511" s="263">
        <v>1.7999999999999998E-4</v>
      </c>
      <c r="I511" s="263">
        <v>1.7999999999999998E-4</v>
      </c>
      <c r="J511" s="263">
        <v>1.7999999999999998E-4</v>
      </c>
      <c r="K511" s="263">
        <v>1.7999999999999998E-4</v>
      </c>
      <c r="L511" s="263">
        <v>1.7999999999999998E-4</v>
      </c>
      <c r="M511" s="263">
        <v>1.7999999999999998E-4</v>
      </c>
      <c r="N511" s="276">
        <v>1.7999999999999998E-4</v>
      </c>
      <c r="O511" s="172"/>
      <c r="P511" s="172"/>
    </row>
    <row r="512" spans="2:16" hidden="1">
      <c r="B512" s="172"/>
      <c r="C512" s="46">
        <v>2</v>
      </c>
      <c r="D512" s="46" t="s">
        <v>61</v>
      </c>
      <c r="E512" s="264">
        <v>0</v>
      </c>
      <c r="F512" s="237">
        <v>1.7999999999999998E-4</v>
      </c>
      <c r="G512" s="251">
        <v>1.7999999999999998E-4</v>
      </c>
      <c r="H512" s="251">
        <v>1.7999999999999998E-4</v>
      </c>
      <c r="I512" s="251">
        <v>1.7999999999999998E-4</v>
      </c>
      <c r="J512" s="251">
        <v>1.7999999999999998E-4</v>
      </c>
      <c r="K512" s="251">
        <v>1.7999999999999998E-4</v>
      </c>
      <c r="L512" s="251">
        <v>1.7999999999999998E-4</v>
      </c>
      <c r="M512" s="251">
        <v>1.7999999999999998E-4</v>
      </c>
      <c r="N512" s="237">
        <v>1.7999999999999998E-4</v>
      </c>
      <c r="O512" s="172"/>
      <c r="P512" s="172"/>
    </row>
    <row r="513" spans="2:16" hidden="1">
      <c r="B513" s="172"/>
      <c r="C513" s="176">
        <v>3</v>
      </c>
      <c r="D513" s="176" t="s">
        <v>62</v>
      </c>
      <c r="E513" s="266">
        <v>0</v>
      </c>
      <c r="F513" s="255">
        <v>1.7999999999999998E-4</v>
      </c>
      <c r="G513" s="256">
        <v>1.7999999999999998E-4</v>
      </c>
      <c r="H513" s="256">
        <v>1.7999999999999998E-4</v>
      </c>
      <c r="I513" s="256">
        <v>1.7999999999999998E-4</v>
      </c>
      <c r="J513" s="256">
        <v>1.7999999999999998E-4</v>
      </c>
      <c r="K513" s="256">
        <v>1.7999999999999998E-4</v>
      </c>
      <c r="L513" s="256">
        <v>1.7999999999999998E-4</v>
      </c>
      <c r="M513" s="256">
        <v>1.7999999999999998E-4</v>
      </c>
      <c r="N513" s="255">
        <v>1.7999999999999998E-4</v>
      </c>
      <c r="O513" s="172"/>
      <c r="P513" s="172"/>
    </row>
    <row r="514" spans="2:16" hidden="1">
      <c r="B514" s="172"/>
      <c r="C514" s="46"/>
      <c r="D514" s="46"/>
      <c r="E514" s="257"/>
      <c r="F514" s="258"/>
      <c r="G514" s="268"/>
      <c r="H514" s="268"/>
      <c r="I514" s="268"/>
      <c r="J514" s="268"/>
      <c r="K514" s="268"/>
      <c r="L514" s="268"/>
      <c r="M514" s="268"/>
      <c r="N514" s="269"/>
      <c r="O514" s="172"/>
      <c r="P514" s="172"/>
    </row>
    <row r="515" spans="2:16" hidden="1">
      <c r="B515" s="172"/>
      <c r="C515" s="281" t="s">
        <v>160</v>
      </c>
      <c r="D515" s="172"/>
      <c r="E515" s="172"/>
      <c r="F515" s="172"/>
      <c r="G515" s="172"/>
      <c r="H515" s="172"/>
      <c r="I515" s="172"/>
      <c r="J515" s="172"/>
      <c r="K515" s="172"/>
      <c r="L515" s="172"/>
      <c r="M515" s="172"/>
      <c r="N515" s="172"/>
      <c r="O515" s="172"/>
      <c r="P515" s="172"/>
    </row>
    <row r="516" spans="2:16" hidden="1">
      <c r="B516" s="172"/>
      <c r="C516" s="46" t="s">
        <v>2755</v>
      </c>
      <c r="D516" s="172"/>
      <c r="E516" s="172"/>
      <c r="F516" s="172"/>
      <c r="G516" s="172"/>
      <c r="H516" s="172"/>
      <c r="I516" s="172"/>
      <c r="J516" s="172"/>
      <c r="K516" s="172"/>
      <c r="L516" s="172"/>
      <c r="M516" s="172"/>
      <c r="N516" s="172"/>
      <c r="O516" s="172"/>
      <c r="P516" s="172"/>
    </row>
    <row r="517" spans="2:16" hidden="1">
      <c r="B517" s="172"/>
      <c r="C517" s="260"/>
      <c r="D517" s="260"/>
      <c r="E517" s="270" t="s">
        <v>159</v>
      </c>
      <c r="F517" s="271">
        <v>2013</v>
      </c>
      <c r="G517" s="272">
        <v>2015</v>
      </c>
      <c r="H517" s="272">
        <v>2020</v>
      </c>
      <c r="I517" s="272">
        <v>2025</v>
      </c>
      <c r="J517" s="272">
        <v>2030</v>
      </c>
      <c r="K517" s="272">
        <v>2035</v>
      </c>
      <c r="L517" s="272">
        <v>2040</v>
      </c>
      <c r="M517" s="272">
        <v>2045</v>
      </c>
      <c r="N517" s="272">
        <v>2050</v>
      </c>
      <c r="O517" s="172"/>
      <c r="P517" s="172"/>
    </row>
    <row r="518" spans="2:16" hidden="1">
      <c r="B518" s="172"/>
      <c r="C518" s="273">
        <v>1</v>
      </c>
      <c r="D518" s="274" t="s">
        <v>45</v>
      </c>
      <c r="E518" s="275">
        <v>0</v>
      </c>
      <c r="F518" s="276">
        <v>1.7999999999999998E-4</v>
      </c>
      <c r="G518" s="263">
        <v>1.7999999999999998E-4</v>
      </c>
      <c r="H518" s="263">
        <v>1.7999999999999998E-4</v>
      </c>
      <c r="I518" s="263">
        <v>1.7999999999999998E-4</v>
      </c>
      <c r="J518" s="263">
        <v>1.7999999999999998E-4</v>
      </c>
      <c r="K518" s="263">
        <v>1.7999999999999998E-4</v>
      </c>
      <c r="L518" s="263">
        <v>1.7999999999999998E-4</v>
      </c>
      <c r="M518" s="263">
        <v>1.7999999999999998E-4</v>
      </c>
      <c r="N518" s="276">
        <v>1.7999999999999998E-4</v>
      </c>
      <c r="O518" s="172"/>
      <c r="P518" s="172"/>
    </row>
    <row r="519" spans="2:16" hidden="1">
      <c r="B519" s="172"/>
      <c r="C519" s="56">
        <v>2</v>
      </c>
      <c r="D519" s="277" t="s">
        <v>46</v>
      </c>
      <c r="E519" s="250">
        <v>0</v>
      </c>
      <c r="F519" s="237">
        <v>1.7999999999999998E-4</v>
      </c>
      <c r="G519" s="251">
        <v>1.7999999999999998E-4</v>
      </c>
      <c r="H519" s="251">
        <v>1.7999999999999998E-4</v>
      </c>
      <c r="I519" s="251">
        <v>1.7999999999999998E-4</v>
      </c>
      <c r="J519" s="251">
        <v>1.7999999999999998E-4</v>
      </c>
      <c r="K519" s="251">
        <v>1.7999999999999998E-4</v>
      </c>
      <c r="L519" s="251">
        <v>1.7999999999999998E-4</v>
      </c>
      <c r="M519" s="251">
        <v>1.7999999999999998E-4</v>
      </c>
      <c r="N519" s="237">
        <v>1.7999999999999998E-4</v>
      </c>
      <c r="O519" s="172"/>
      <c r="P519" s="172"/>
    </row>
    <row r="520" spans="2:16" hidden="1">
      <c r="B520" s="172"/>
      <c r="C520" s="56">
        <v>3</v>
      </c>
      <c r="D520" s="277" t="s">
        <v>47</v>
      </c>
      <c r="E520" s="250">
        <v>0</v>
      </c>
      <c r="F520" s="237">
        <v>1.9599999999999999E-4</v>
      </c>
      <c r="G520" s="251">
        <v>1.9599999999999999E-4</v>
      </c>
      <c r="H520" s="251">
        <v>1.9599999999999999E-4</v>
      </c>
      <c r="I520" s="251">
        <v>1.9599999999999999E-4</v>
      </c>
      <c r="J520" s="251">
        <v>1.9599999999999999E-4</v>
      </c>
      <c r="K520" s="251">
        <v>1.9599999999999999E-4</v>
      </c>
      <c r="L520" s="251">
        <v>1.9599999999999999E-4</v>
      </c>
      <c r="M520" s="251">
        <v>1.9599999999999999E-4</v>
      </c>
      <c r="N520" s="237">
        <v>1.9599999999999999E-4</v>
      </c>
      <c r="O520" s="172"/>
      <c r="P520" s="172"/>
    </row>
    <row r="521" spans="2:16" hidden="1">
      <c r="B521" s="172"/>
      <c r="C521" s="56">
        <v>4</v>
      </c>
      <c r="D521" s="277" t="s">
        <v>48</v>
      </c>
      <c r="E521" s="250">
        <v>0</v>
      </c>
      <c r="F521" s="237">
        <v>1.7999999999999998E-4</v>
      </c>
      <c r="G521" s="251">
        <v>1.7999999999999998E-4</v>
      </c>
      <c r="H521" s="251">
        <v>1.7999999999999998E-4</v>
      </c>
      <c r="I521" s="251">
        <v>1.7999999999999998E-4</v>
      </c>
      <c r="J521" s="251">
        <v>1.7999999999999998E-4</v>
      </c>
      <c r="K521" s="251">
        <v>1.7999999999999998E-4</v>
      </c>
      <c r="L521" s="251">
        <v>1.7999999999999998E-4</v>
      </c>
      <c r="M521" s="251">
        <v>1.7999999999999998E-4</v>
      </c>
      <c r="N521" s="237">
        <v>1.7999999999999998E-4</v>
      </c>
      <c r="O521" s="172"/>
      <c r="P521" s="172"/>
    </row>
    <row r="522" spans="2:16" hidden="1">
      <c r="B522" s="172"/>
      <c r="C522" s="56">
        <v>5</v>
      </c>
      <c r="D522" s="277" t="s">
        <v>49</v>
      </c>
      <c r="E522" s="250">
        <v>0</v>
      </c>
      <c r="F522" s="237">
        <v>3.2499999999999999E-4</v>
      </c>
      <c r="G522" s="251">
        <v>3.2499999999999999E-4</v>
      </c>
      <c r="H522" s="251">
        <v>3.2499999999999999E-4</v>
      </c>
      <c r="I522" s="251">
        <v>3.2499999999999999E-4</v>
      </c>
      <c r="J522" s="251">
        <v>3.2499999999999999E-4</v>
      </c>
      <c r="K522" s="251">
        <v>3.2499999999999999E-4</v>
      </c>
      <c r="L522" s="251">
        <v>3.2499999999999999E-4</v>
      </c>
      <c r="M522" s="251">
        <v>3.2499999999999999E-4</v>
      </c>
      <c r="N522" s="237">
        <v>3.2499999999999999E-4</v>
      </c>
      <c r="O522" s="172"/>
      <c r="P522" s="172"/>
    </row>
    <row r="523" spans="2:16" hidden="1">
      <c r="B523" s="172"/>
      <c r="C523" s="56">
        <v>6</v>
      </c>
      <c r="D523" s="277" t="s">
        <v>50</v>
      </c>
      <c r="E523" s="250">
        <v>0</v>
      </c>
      <c r="F523" s="237">
        <v>1.7999999999999998E-4</v>
      </c>
      <c r="G523" s="251">
        <v>1.7999999999999998E-4</v>
      </c>
      <c r="H523" s="251">
        <v>1.7999999999999998E-4</v>
      </c>
      <c r="I523" s="251">
        <v>1.7999999999999998E-4</v>
      </c>
      <c r="J523" s="251">
        <v>1.7999999999999998E-4</v>
      </c>
      <c r="K523" s="251">
        <v>1.7999999999999998E-4</v>
      </c>
      <c r="L523" s="251">
        <v>1.7999999999999998E-4</v>
      </c>
      <c r="M523" s="251">
        <v>1.7999999999999998E-4</v>
      </c>
      <c r="N523" s="237">
        <v>1.7999999999999998E-4</v>
      </c>
      <c r="O523" s="172"/>
      <c r="P523" s="172"/>
    </row>
    <row r="524" spans="2:16" hidden="1">
      <c r="B524" s="172"/>
      <c r="C524" s="56">
        <v>7</v>
      </c>
      <c r="D524" s="277" t="s">
        <v>51</v>
      </c>
      <c r="E524" s="250">
        <v>0</v>
      </c>
      <c r="F524" s="237">
        <v>1.7999999999999998E-4</v>
      </c>
      <c r="G524" s="251">
        <v>1.7999999999999998E-4</v>
      </c>
      <c r="H524" s="251">
        <v>1.7999999999999998E-4</v>
      </c>
      <c r="I524" s="251">
        <v>1.7999999999999998E-4</v>
      </c>
      <c r="J524" s="251">
        <v>1.7999999999999998E-4</v>
      </c>
      <c r="K524" s="251">
        <v>1.7999999999999998E-4</v>
      </c>
      <c r="L524" s="251">
        <v>1.7999999999999998E-4</v>
      </c>
      <c r="M524" s="251">
        <v>1.7999999999999998E-4</v>
      </c>
      <c r="N524" s="237">
        <v>1.7999999999999998E-4</v>
      </c>
      <c r="O524" s="172"/>
      <c r="P524" s="172"/>
    </row>
    <row r="525" spans="2:16" hidden="1">
      <c r="B525" s="172"/>
      <c r="C525" s="56">
        <v>8</v>
      </c>
      <c r="D525" s="277" t="s">
        <v>52</v>
      </c>
      <c r="E525" s="250">
        <v>0</v>
      </c>
      <c r="F525" s="237">
        <v>7.9803141398383191E-5</v>
      </c>
      <c r="G525" s="251">
        <v>7.9803141398383191E-5</v>
      </c>
      <c r="H525" s="251">
        <v>7.9803141398383191E-5</v>
      </c>
      <c r="I525" s="251">
        <v>7.9803141398383191E-5</v>
      </c>
      <c r="J525" s="251">
        <v>7.9803141398383191E-5</v>
      </c>
      <c r="K525" s="251">
        <v>7.9803141398383191E-5</v>
      </c>
      <c r="L525" s="251">
        <v>7.9803141398383191E-5</v>
      </c>
      <c r="M525" s="251">
        <v>7.9803141398383191E-5</v>
      </c>
      <c r="N525" s="237">
        <v>7.9803141398383191E-5</v>
      </c>
      <c r="O525" s="172"/>
      <c r="P525" s="172"/>
    </row>
    <row r="526" spans="2:16" hidden="1">
      <c r="B526" s="172"/>
      <c r="C526" s="56">
        <v>9</v>
      </c>
      <c r="D526" s="277" t="s">
        <v>53</v>
      </c>
      <c r="E526" s="250">
        <v>0</v>
      </c>
      <c r="F526" s="237">
        <v>7.0353141398383178E-5</v>
      </c>
      <c r="G526" s="251">
        <v>7.0353141398383178E-5</v>
      </c>
      <c r="H526" s="251">
        <v>7.0353141398383178E-5</v>
      </c>
      <c r="I526" s="251">
        <v>7.0353141398383178E-5</v>
      </c>
      <c r="J526" s="251">
        <v>7.0353141398383178E-5</v>
      </c>
      <c r="K526" s="251">
        <v>7.0353141398383178E-5</v>
      </c>
      <c r="L526" s="251">
        <v>7.0353141398383178E-5</v>
      </c>
      <c r="M526" s="251">
        <v>7.0353141398383178E-5</v>
      </c>
      <c r="N526" s="237">
        <v>7.0353141398383178E-5</v>
      </c>
      <c r="O526" s="172"/>
      <c r="P526" s="172"/>
    </row>
    <row r="527" spans="2:16" hidden="1">
      <c r="B527" s="172"/>
      <c r="C527" s="56">
        <v>10</v>
      </c>
      <c r="D527" s="277" t="s">
        <v>54</v>
      </c>
      <c r="E527" s="250">
        <v>0</v>
      </c>
      <c r="F527" s="237">
        <v>1.1139182364521794E-3</v>
      </c>
      <c r="G527" s="251">
        <v>1.1139182364521794E-3</v>
      </c>
      <c r="H527" s="251">
        <v>1.1139182364521794E-3</v>
      </c>
      <c r="I527" s="251">
        <v>1.1139182364521794E-3</v>
      </c>
      <c r="J527" s="251">
        <v>1.1139182364521794E-3</v>
      </c>
      <c r="K527" s="251">
        <v>1.1139182364521794E-3</v>
      </c>
      <c r="L527" s="251">
        <v>1.1139182364521794E-3</v>
      </c>
      <c r="M527" s="251">
        <v>1.1139182364521794E-3</v>
      </c>
      <c r="N527" s="237">
        <v>1.1139182364521794E-3</v>
      </c>
      <c r="O527" s="172"/>
      <c r="P527" s="172"/>
    </row>
    <row r="528" spans="2:16" hidden="1">
      <c r="B528" s="172"/>
      <c r="C528" s="56">
        <v>11</v>
      </c>
      <c r="D528" s="277" t="s">
        <v>55</v>
      </c>
      <c r="E528" s="250">
        <v>0</v>
      </c>
      <c r="F528" s="237">
        <v>4.8324018236452172E-4</v>
      </c>
      <c r="G528" s="251">
        <v>4.8324018236452172E-4</v>
      </c>
      <c r="H528" s="251">
        <v>4.8324018236452172E-4</v>
      </c>
      <c r="I528" s="251">
        <v>4.8324018236452172E-4</v>
      </c>
      <c r="J528" s="251">
        <v>4.8324018236452172E-4</v>
      </c>
      <c r="K528" s="251">
        <v>4.8324018236452172E-4</v>
      </c>
      <c r="L528" s="251">
        <v>4.8324018236452172E-4</v>
      </c>
      <c r="M528" s="251">
        <v>4.8324018236452172E-4</v>
      </c>
      <c r="N528" s="237">
        <v>4.8324018236452172E-4</v>
      </c>
      <c r="O528" s="172"/>
      <c r="P528" s="172"/>
    </row>
    <row r="529" spans="2:16" hidden="1">
      <c r="B529" s="172"/>
      <c r="C529" s="56">
        <v>12</v>
      </c>
      <c r="D529" s="277" t="s">
        <v>56</v>
      </c>
      <c r="E529" s="250">
        <v>0</v>
      </c>
      <c r="F529" s="237">
        <v>1.029E-3</v>
      </c>
      <c r="G529" s="251">
        <v>1.029E-3</v>
      </c>
      <c r="H529" s="251">
        <v>1.029E-3</v>
      </c>
      <c r="I529" s="251">
        <v>1.029E-3</v>
      </c>
      <c r="J529" s="251">
        <v>1.029E-3</v>
      </c>
      <c r="K529" s="251">
        <v>1.029E-3</v>
      </c>
      <c r="L529" s="251">
        <v>1.029E-3</v>
      </c>
      <c r="M529" s="251">
        <v>1.029E-3</v>
      </c>
      <c r="N529" s="237">
        <v>1.029E-3</v>
      </c>
      <c r="O529" s="172"/>
      <c r="P529" s="172"/>
    </row>
    <row r="530" spans="2:16" hidden="1">
      <c r="B530" s="172"/>
      <c r="C530" s="141">
        <v>13</v>
      </c>
      <c r="D530" s="278" t="s">
        <v>57</v>
      </c>
      <c r="E530" s="254">
        <v>0</v>
      </c>
      <c r="F530" s="255">
        <v>8.4999999999999993E-5</v>
      </c>
      <c r="G530" s="256">
        <v>8.4999999999999993E-5</v>
      </c>
      <c r="H530" s="256">
        <v>8.4999999999999993E-5</v>
      </c>
      <c r="I530" s="256">
        <v>8.4999999999999993E-5</v>
      </c>
      <c r="J530" s="256">
        <v>8.4999999999999993E-5</v>
      </c>
      <c r="K530" s="256">
        <v>8.4999999999999993E-5</v>
      </c>
      <c r="L530" s="256">
        <v>8.4999999999999993E-5</v>
      </c>
      <c r="M530" s="256">
        <v>8.4999999999999993E-5</v>
      </c>
      <c r="N530" s="255">
        <v>8.4999999999999993E-5</v>
      </c>
      <c r="O530" s="172"/>
      <c r="P530" s="172"/>
    </row>
    <row r="531" spans="2:16" hidden="1">
      <c r="B531" s="172"/>
      <c r="C531" s="46"/>
      <c r="D531" s="46"/>
      <c r="E531" s="257"/>
      <c r="F531" s="258"/>
      <c r="G531" s="259"/>
      <c r="H531" s="259"/>
      <c r="I531" s="259"/>
      <c r="J531" s="259"/>
      <c r="K531" s="259"/>
      <c r="L531" s="259"/>
      <c r="M531" s="259"/>
      <c r="N531" s="259"/>
      <c r="O531" s="172"/>
      <c r="P531" s="172"/>
    </row>
    <row r="532" spans="2:16" hidden="1">
      <c r="B532" s="172"/>
      <c r="C532" s="260">
        <v>1</v>
      </c>
      <c r="D532" s="260" t="s">
        <v>60</v>
      </c>
      <c r="E532" s="275">
        <v>0</v>
      </c>
      <c r="F532" s="276">
        <v>1.0199999999999999E-4</v>
      </c>
      <c r="G532" s="263">
        <v>1.0199999999999999E-4</v>
      </c>
      <c r="H532" s="263">
        <v>1.0199999999999999E-4</v>
      </c>
      <c r="I532" s="263">
        <v>1.0199999999999999E-4</v>
      </c>
      <c r="J532" s="263">
        <v>1.0199999999999999E-4</v>
      </c>
      <c r="K532" s="263">
        <v>1.0199999999999999E-4</v>
      </c>
      <c r="L532" s="263">
        <v>1.0199999999999999E-4</v>
      </c>
      <c r="M532" s="263">
        <v>1.0199999999999999E-4</v>
      </c>
      <c r="N532" s="276">
        <v>1.0199999999999999E-4</v>
      </c>
      <c r="O532" s="172"/>
      <c r="P532" s="172"/>
    </row>
    <row r="533" spans="2:16" hidden="1">
      <c r="B533" s="172"/>
      <c r="C533" s="46">
        <v>2</v>
      </c>
      <c r="D533" s="46" t="s">
        <v>61</v>
      </c>
      <c r="E533" s="250">
        <v>0</v>
      </c>
      <c r="F533" s="237">
        <v>1.0199999999999999E-4</v>
      </c>
      <c r="G533" s="251">
        <v>1.0199999999999999E-4</v>
      </c>
      <c r="H533" s="251">
        <v>1.0199999999999999E-4</v>
      </c>
      <c r="I533" s="251">
        <v>1.0199999999999999E-4</v>
      </c>
      <c r="J533" s="251">
        <v>1.0199999999999999E-4</v>
      </c>
      <c r="K533" s="251">
        <v>1.0199999999999999E-4</v>
      </c>
      <c r="L533" s="251">
        <v>1.0199999999999999E-4</v>
      </c>
      <c r="M533" s="251">
        <v>1.0199999999999999E-4</v>
      </c>
      <c r="N533" s="237">
        <v>1.0199999999999999E-4</v>
      </c>
      <c r="O533" s="172"/>
      <c r="P533" s="172"/>
    </row>
    <row r="534" spans="2:16" hidden="1">
      <c r="B534" s="172"/>
      <c r="C534" s="176">
        <v>3</v>
      </c>
      <c r="D534" s="176" t="s">
        <v>62</v>
      </c>
      <c r="E534" s="254">
        <v>0</v>
      </c>
      <c r="F534" s="255">
        <v>1.0199999999999999E-4</v>
      </c>
      <c r="G534" s="256">
        <v>1.0199999999999999E-4</v>
      </c>
      <c r="H534" s="256">
        <v>1.0199999999999999E-4</v>
      </c>
      <c r="I534" s="256">
        <v>1.0199999999999999E-4</v>
      </c>
      <c r="J534" s="256">
        <v>1.0199999999999999E-4</v>
      </c>
      <c r="K534" s="256">
        <v>1.0199999999999999E-4</v>
      </c>
      <c r="L534" s="256">
        <v>1.0199999999999999E-4</v>
      </c>
      <c r="M534" s="256">
        <v>1.0199999999999999E-4</v>
      </c>
      <c r="N534" s="255">
        <v>1.0199999999999999E-4</v>
      </c>
      <c r="O534" s="172"/>
      <c r="P534" s="172"/>
    </row>
    <row r="535" spans="2:16" hidden="1">
      <c r="B535" s="172"/>
      <c r="C535" s="268"/>
      <c r="D535" s="172"/>
      <c r="E535" s="172"/>
      <c r="F535" s="259"/>
      <c r="G535" s="259"/>
      <c r="H535" s="259"/>
      <c r="I535" s="259"/>
      <c r="J535" s="259"/>
      <c r="K535" s="259"/>
      <c r="L535" s="259"/>
      <c r="M535" s="259"/>
      <c r="N535" s="259"/>
      <c r="O535" s="172"/>
      <c r="P535" s="172"/>
    </row>
    <row r="536" spans="2:16" hidden="1">
      <c r="B536" s="172"/>
      <c r="C536" s="281" t="s">
        <v>171</v>
      </c>
      <c r="D536" s="172"/>
      <c r="E536" s="172"/>
      <c r="F536" s="259"/>
      <c r="G536" s="259"/>
      <c r="H536" s="259"/>
      <c r="I536" s="259"/>
      <c r="J536" s="259"/>
      <c r="K536" s="259"/>
      <c r="L536" s="259"/>
      <c r="M536" s="259"/>
      <c r="N536" s="259"/>
      <c r="O536" s="172"/>
      <c r="P536" s="172"/>
    </row>
    <row r="537" spans="2:16" hidden="1">
      <c r="B537" s="172"/>
      <c r="C537" s="46" t="s">
        <v>2755</v>
      </c>
      <c r="D537" s="172"/>
      <c r="E537" s="172"/>
      <c r="F537" s="259"/>
      <c r="G537" s="259"/>
      <c r="H537" s="259"/>
      <c r="I537" s="259"/>
      <c r="J537" s="259"/>
      <c r="K537" s="259"/>
      <c r="L537" s="259"/>
      <c r="M537" s="259"/>
      <c r="N537" s="259"/>
      <c r="O537" s="172"/>
      <c r="P537" s="172"/>
    </row>
    <row r="538" spans="2:16" hidden="1">
      <c r="B538" s="172"/>
      <c r="C538" s="245"/>
      <c r="D538" s="260"/>
      <c r="E538" s="270" t="s">
        <v>159</v>
      </c>
      <c r="F538" s="271">
        <v>2013</v>
      </c>
      <c r="G538" s="272">
        <v>2015</v>
      </c>
      <c r="H538" s="272">
        <v>2020</v>
      </c>
      <c r="I538" s="272">
        <v>2025</v>
      </c>
      <c r="J538" s="272">
        <v>2030</v>
      </c>
      <c r="K538" s="272">
        <v>2035</v>
      </c>
      <c r="L538" s="272">
        <v>2040</v>
      </c>
      <c r="M538" s="272">
        <v>2045</v>
      </c>
      <c r="N538" s="272">
        <v>2050</v>
      </c>
      <c r="O538" s="172"/>
      <c r="P538" s="172"/>
    </row>
    <row r="539" spans="2:16" hidden="1">
      <c r="B539" s="172"/>
      <c r="C539" s="273">
        <v>1</v>
      </c>
      <c r="D539" s="274" t="s">
        <v>45</v>
      </c>
      <c r="E539" s="275">
        <v>0</v>
      </c>
      <c r="F539" s="276">
        <v>1.7999999999999998E-4</v>
      </c>
      <c r="G539" s="263">
        <v>1.7999999999999998E-4</v>
      </c>
      <c r="H539" s="263">
        <v>1.7999999999999998E-4</v>
      </c>
      <c r="I539" s="263">
        <v>1.7999999999999998E-4</v>
      </c>
      <c r="J539" s="263">
        <v>1.7999999999999998E-4</v>
      </c>
      <c r="K539" s="263">
        <v>1.7999999999999998E-4</v>
      </c>
      <c r="L539" s="263">
        <v>1.7999999999999998E-4</v>
      </c>
      <c r="M539" s="263">
        <v>1.7999999999999998E-4</v>
      </c>
      <c r="N539" s="276">
        <v>1.7999999999999998E-4</v>
      </c>
      <c r="O539" s="172"/>
      <c r="P539" s="172"/>
    </row>
    <row r="540" spans="2:16" hidden="1">
      <c r="B540" s="172"/>
      <c r="C540" s="56">
        <v>2</v>
      </c>
      <c r="D540" s="277" t="s">
        <v>46</v>
      </c>
      <c r="E540" s="250">
        <v>0</v>
      </c>
      <c r="F540" s="237">
        <v>1.7999999999999998E-4</v>
      </c>
      <c r="G540" s="251">
        <v>1.7999999999999998E-4</v>
      </c>
      <c r="H540" s="251">
        <v>1.7999999999999998E-4</v>
      </c>
      <c r="I540" s="251">
        <v>1.7999999999999998E-4</v>
      </c>
      <c r="J540" s="251">
        <v>1.7999999999999998E-4</v>
      </c>
      <c r="K540" s="251">
        <v>1.7999999999999998E-4</v>
      </c>
      <c r="L540" s="251">
        <v>1.7999999999999998E-4</v>
      </c>
      <c r="M540" s="251">
        <v>1.7999999999999998E-4</v>
      </c>
      <c r="N540" s="237">
        <v>1.7999999999999998E-4</v>
      </c>
      <c r="O540" s="172"/>
      <c r="P540" s="172"/>
    </row>
    <row r="541" spans="2:16" hidden="1">
      <c r="B541" s="172"/>
      <c r="C541" s="56">
        <v>3</v>
      </c>
      <c r="D541" s="277" t="s">
        <v>47</v>
      </c>
      <c r="E541" s="250">
        <v>0</v>
      </c>
      <c r="F541" s="237">
        <v>1.9599999999999999E-4</v>
      </c>
      <c r="G541" s="251">
        <v>1.9599999999999999E-4</v>
      </c>
      <c r="H541" s="251">
        <v>1.9599999999999999E-4</v>
      </c>
      <c r="I541" s="251">
        <v>1.9599999999999999E-4</v>
      </c>
      <c r="J541" s="251">
        <v>1.9599999999999999E-4</v>
      </c>
      <c r="K541" s="251">
        <v>1.9599999999999999E-4</v>
      </c>
      <c r="L541" s="251">
        <v>1.9599999999999999E-4</v>
      </c>
      <c r="M541" s="251">
        <v>1.9599999999999999E-4</v>
      </c>
      <c r="N541" s="237">
        <v>1.9599999999999999E-4</v>
      </c>
      <c r="O541" s="172"/>
      <c r="P541" s="172"/>
    </row>
    <row r="542" spans="2:16" hidden="1">
      <c r="B542" s="172"/>
      <c r="C542" s="56">
        <v>4</v>
      </c>
      <c r="D542" s="277" t="s">
        <v>48</v>
      </c>
      <c r="E542" s="250">
        <v>0</v>
      </c>
      <c r="F542" s="237">
        <v>3.9999999999999996E-5</v>
      </c>
      <c r="G542" s="251">
        <v>3.9999999999999996E-5</v>
      </c>
      <c r="H542" s="251">
        <v>3.9999999999999996E-5</v>
      </c>
      <c r="I542" s="251">
        <v>3.9999999999999996E-5</v>
      </c>
      <c r="J542" s="251">
        <v>3.9999999999999996E-5</v>
      </c>
      <c r="K542" s="251">
        <v>3.9999999999999996E-5</v>
      </c>
      <c r="L542" s="251">
        <v>3.9999999999999996E-5</v>
      </c>
      <c r="M542" s="251">
        <v>3.9999999999999996E-5</v>
      </c>
      <c r="N542" s="237">
        <v>3.9999999999999996E-5</v>
      </c>
      <c r="O542" s="172"/>
      <c r="P542" s="172"/>
    </row>
    <row r="543" spans="2:16" hidden="1">
      <c r="B543" s="172"/>
      <c r="C543" s="56">
        <v>5</v>
      </c>
      <c r="D543" s="277" t="s">
        <v>49</v>
      </c>
      <c r="E543" s="250">
        <v>0</v>
      </c>
      <c r="F543" s="237">
        <v>2.1999999999999998E-4</v>
      </c>
      <c r="G543" s="251">
        <v>2.1999999999999998E-4</v>
      </c>
      <c r="H543" s="251">
        <v>2.1999999999999998E-4</v>
      </c>
      <c r="I543" s="251">
        <v>2.1999999999999998E-4</v>
      </c>
      <c r="J543" s="251">
        <v>2.1999999999999998E-4</v>
      </c>
      <c r="K543" s="251">
        <v>2.1999999999999998E-4</v>
      </c>
      <c r="L543" s="251">
        <v>2.1999999999999998E-4</v>
      </c>
      <c r="M543" s="251">
        <v>2.1999999999999998E-4</v>
      </c>
      <c r="N543" s="237">
        <v>2.1999999999999998E-4</v>
      </c>
      <c r="O543" s="172"/>
      <c r="P543" s="172"/>
    </row>
    <row r="544" spans="2:16" hidden="1">
      <c r="B544" s="172"/>
      <c r="C544" s="56">
        <v>6</v>
      </c>
      <c r="D544" s="277" t="s">
        <v>50</v>
      </c>
      <c r="E544" s="250">
        <v>0</v>
      </c>
      <c r="F544" s="237">
        <v>1.7999999999999998E-4</v>
      </c>
      <c r="G544" s="251">
        <v>1.7999999999999998E-4</v>
      </c>
      <c r="H544" s="251">
        <v>1.7999999999999998E-4</v>
      </c>
      <c r="I544" s="251">
        <v>1.7999999999999998E-4</v>
      </c>
      <c r="J544" s="251">
        <v>1.7999999999999998E-4</v>
      </c>
      <c r="K544" s="251">
        <v>1.7999999999999998E-4</v>
      </c>
      <c r="L544" s="251">
        <v>1.7999999999999998E-4</v>
      </c>
      <c r="M544" s="251">
        <v>1.7999999999999998E-4</v>
      </c>
      <c r="N544" s="237">
        <v>1.7999999999999998E-4</v>
      </c>
      <c r="O544" s="172"/>
      <c r="P544" s="172"/>
    </row>
    <row r="545" spans="1:16" hidden="1">
      <c r="B545" s="172"/>
      <c r="C545" s="56">
        <v>7</v>
      </c>
      <c r="D545" s="277" t="s">
        <v>51</v>
      </c>
      <c r="E545" s="250">
        <v>0</v>
      </c>
      <c r="F545" s="237">
        <v>1.7999999999999998E-4</v>
      </c>
      <c r="G545" s="251">
        <v>1.7999999999999998E-4</v>
      </c>
      <c r="H545" s="251">
        <v>1.7999999999999998E-4</v>
      </c>
      <c r="I545" s="251">
        <v>1.7999999999999998E-4</v>
      </c>
      <c r="J545" s="251">
        <v>1.7999999999999998E-4</v>
      </c>
      <c r="K545" s="251">
        <v>1.7999999999999998E-4</v>
      </c>
      <c r="L545" s="251">
        <v>1.7999999999999998E-4</v>
      </c>
      <c r="M545" s="251">
        <v>1.7999999999999998E-4</v>
      </c>
      <c r="N545" s="237">
        <v>1.7999999999999998E-4</v>
      </c>
      <c r="O545" s="172"/>
      <c r="P545" s="172"/>
    </row>
    <row r="546" spans="1:16" hidden="1">
      <c r="B546" s="172"/>
      <c r="C546" s="56">
        <v>8</v>
      </c>
      <c r="D546" s="277" t="s">
        <v>52</v>
      </c>
      <c r="E546" s="250">
        <v>0</v>
      </c>
      <c r="F546" s="237">
        <v>5.43894483052049E-5</v>
      </c>
      <c r="G546" s="251">
        <v>5.43894483052049E-5</v>
      </c>
      <c r="H546" s="251">
        <v>5.43894483052049E-5</v>
      </c>
      <c r="I546" s="251">
        <v>5.43894483052049E-5</v>
      </c>
      <c r="J546" s="251">
        <v>5.43894483052049E-5</v>
      </c>
      <c r="K546" s="251">
        <v>5.43894483052049E-5</v>
      </c>
      <c r="L546" s="251">
        <v>5.43894483052049E-5</v>
      </c>
      <c r="M546" s="251">
        <v>5.43894483052049E-5</v>
      </c>
      <c r="N546" s="237">
        <v>5.43894483052049E-5</v>
      </c>
      <c r="O546" s="172"/>
      <c r="P546" s="172"/>
    </row>
    <row r="547" spans="1:16" hidden="1">
      <c r="B547" s="172"/>
      <c r="C547" s="56">
        <v>9</v>
      </c>
      <c r="D547" s="277" t="s">
        <v>53</v>
      </c>
      <c r="E547" s="250">
        <v>0</v>
      </c>
      <c r="F547" s="237">
        <v>5.43894483052049E-5</v>
      </c>
      <c r="G547" s="251">
        <v>5.43894483052049E-5</v>
      </c>
      <c r="H547" s="251">
        <v>5.43894483052049E-5</v>
      </c>
      <c r="I547" s="251">
        <v>5.43894483052049E-5</v>
      </c>
      <c r="J547" s="251">
        <v>5.43894483052049E-5</v>
      </c>
      <c r="K547" s="251">
        <v>5.43894483052049E-5</v>
      </c>
      <c r="L547" s="251">
        <v>5.43894483052049E-5</v>
      </c>
      <c r="M547" s="251">
        <v>5.43894483052049E-5</v>
      </c>
      <c r="N547" s="237">
        <v>5.43894483052049E-5</v>
      </c>
      <c r="O547" s="172"/>
      <c r="P547" s="172"/>
    </row>
    <row r="548" spans="1:16" hidden="1">
      <c r="B548" s="172"/>
      <c r="C548" s="56">
        <v>10</v>
      </c>
      <c r="D548" s="277" t="s">
        <v>54</v>
      </c>
      <c r="E548" s="250">
        <v>0</v>
      </c>
      <c r="F548" s="237">
        <v>1.1138742099264299E-3</v>
      </c>
      <c r="G548" s="251">
        <v>1.1138742099264299E-3</v>
      </c>
      <c r="H548" s="251">
        <v>1.1138742099264299E-3</v>
      </c>
      <c r="I548" s="251">
        <v>1.1138742099264299E-3</v>
      </c>
      <c r="J548" s="251">
        <v>1.1138742099264299E-3</v>
      </c>
      <c r="K548" s="251">
        <v>1.1138742099264299E-3</v>
      </c>
      <c r="L548" s="251">
        <v>1.1138742099264299E-3</v>
      </c>
      <c r="M548" s="251">
        <v>1.1138742099264299E-3</v>
      </c>
      <c r="N548" s="237">
        <v>1.1138742099264299E-3</v>
      </c>
      <c r="O548" s="172"/>
      <c r="P548" s="172"/>
    </row>
    <row r="549" spans="1:16" hidden="1">
      <c r="B549" s="172"/>
      <c r="C549" s="56">
        <v>11</v>
      </c>
      <c r="D549" s="277" t="s">
        <v>55</v>
      </c>
      <c r="E549" s="250">
        <v>0</v>
      </c>
      <c r="F549" s="237">
        <v>1.11387420992643E-5</v>
      </c>
      <c r="G549" s="251">
        <v>1.11387420992643E-5</v>
      </c>
      <c r="H549" s="251">
        <v>1.11387420992643E-5</v>
      </c>
      <c r="I549" s="251">
        <v>1.11387420992643E-5</v>
      </c>
      <c r="J549" s="251">
        <v>1.11387420992643E-5</v>
      </c>
      <c r="K549" s="251">
        <v>1.11387420992643E-5</v>
      </c>
      <c r="L549" s="251">
        <v>1.11387420992643E-5</v>
      </c>
      <c r="M549" s="251">
        <v>1.11387420992643E-5</v>
      </c>
      <c r="N549" s="237">
        <v>1.11387420992643E-5</v>
      </c>
      <c r="O549" s="172"/>
      <c r="P549" s="172"/>
    </row>
    <row r="550" spans="1:16" hidden="1">
      <c r="B550" s="172"/>
      <c r="C550" s="56">
        <v>12</v>
      </c>
      <c r="D550" s="277" t="s">
        <v>56</v>
      </c>
      <c r="E550" s="250">
        <v>0</v>
      </c>
      <c r="F550" s="237">
        <v>5.5999999999999995E-4</v>
      </c>
      <c r="G550" s="251">
        <v>5.5999999999999995E-4</v>
      </c>
      <c r="H550" s="251">
        <v>5.5999999999999995E-4</v>
      </c>
      <c r="I550" s="251">
        <v>5.5999999999999995E-4</v>
      </c>
      <c r="J550" s="251">
        <v>5.5999999999999995E-4</v>
      </c>
      <c r="K550" s="251">
        <v>5.5999999999999995E-4</v>
      </c>
      <c r="L550" s="251">
        <v>5.5999999999999995E-4</v>
      </c>
      <c r="M550" s="251">
        <v>5.5999999999999995E-4</v>
      </c>
      <c r="N550" s="237">
        <v>5.5999999999999995E-4</v>
      </c>
      <c r="O550" s="172"/>
      <c r="P550" s="172"/>
    </row>
    <row r="551" spans="1:16" hidden="1">
      <c r="B551" s="172"/>
      <c r="C551" s="141">
        <v>13</v>
      </c>
      <c r="D551" s="278" t="s">
        <v>57</v>
      </c>
      <c r="E551" s="254">
        <v>0</v>
      </c>
      <c r="F551" s="255">
        <v>4.9999999999999996E-5</v>
      </c>
      <c r="G551" s="256">
        <v>4.9999999999999996E-5</v>
      </c>
      <c r="H551" s="256">
        <v>4.9999999999999996E-5</v>
      </c>
      <c r="I551" s="256">
        <v>4.9999999999999996E-5</v>
      </c>
      <c r="J551" s="256">
        <v>4.9999999999999996E-5</v>
      </c>
      <c r="K551" s="256">
        <v>4.9999999999999996E-5</v>
      </c>
      <c r="L551" s="256">
        <v>4.9999999999999996E-5</v>
      </c>
      <c r="M551" s="256">
        <v>4.9999999999999996E-5</v>
      </c>
      <c r="N551" s="255">
        <v>4.9999999999999996E-5</v>
      </c>
      <c r="O551" s="172"/>
      <c r="P551" s="172"/>
    </row>
    <row r="552" spans="1:16" hidden="1">
      <c r="B552" s="172"/>
      <c r="C552" s="46"/>
      <c r="D552" s="46"/>
      <c r="E552" s="257"/>
      <c r="F552" s="258"/>
      <c r="G552" s="259"/>
      <c r="H552" s="259"/>
      <c r="I552" s="259"/>
      <c r="J552" s="259"/>
      <c r="K552" s="259"/>
      <c r="L552" s="259"/>
      <c r="M552" s="259"/>
      <c r="N552" s="269"/>
      <c r="O552" s="172"/>
      <c r="P552" s="172"/>
    </row>
    <row r="553" spans="1:16" hidden="1">
      <c r="B553" s="172"/>
      <c r="C553" s="260">
        <v>1</v>
      </c>
      <c r="D553" s="260" t="s">
        <v>60</v>
      </c>
      <c r="E553" s="275">
        <v>0</v>
      </c>
      <c r="F553" s="276">
        <v>5.9999999999999995E-5</v>
      </c>
      <c r="G553" s="263">
        <v>5.9999999999999995E-5</v>
      </c>
      <c r="H553" s="263">
        <v>5.9999999999999995E-5</v>
      </c>
      <c r="I553" s="263">
        <v>5.9999999999999995E-5</v>
      </c>
      <c r="J553" s="263">
        <v>5.9999999999999995E-5</v>
      </c>
      <c r="K553" s="263">
        <v>5.9999999999999995E-5</v>
      </c>
      <c r="L553" s="263">
        <v>5.9999999999999995E-5</v>
      </c>
      <c r="M553" s="263">
        <v>5.9999999999999995E-5</v>
      </c>
      <c r="N553" s="276">
        <v>5.9999999999999995E-5</v>
      </c>
      <c r="O553" s="172"/>
      <c r="P553" s="46"/>
    </row>
    <row r="554" spans="1:16" hidden="1">
      <c r="B554" s="172"/>
      <c r="C554" s="46">
        <v>2</v>
      </c>
      <c r="D554" s="46" t="s">
        <v>61</v>
      </c>
      <c r="E554" s="250">
        <v>0</v>
      </c>
      <c r="F554" s="237">
        <v>5.9999999999999995E-5</v>
      </c>
      <c r="G554" s="251">
        <v>5.9999999999999995E-5</v>
      </c>
      <c r="H554" s="251">
        <v>5.9999999999999995E-5</v>
      </c>
      <c r="I554" s="251">
        <v>5.9999999999999995E-5</v>
      </c>
      <c r="J554" s="251">
        <v>5.9999999999999995E-5</v>
      </c>
      <c r="K554" s="251">
        <v>5.9999999999999995E-5</v>
      </c>
      <c r="L554" s="251">
        <v>5.9999999999999995E-5</v>
      </c>
      <c r="M554" s="251">
        <v>5.9999999999999995E-5</v>
      </c>
      <c r="N554" s="237">
        <v>5.9999999999999995E-5</v>
      </c>
      <c r="O554" s="172"/>
      <c r="P554" s="46"/>
    </row>
    <row r="555" spans="1:16" hidden="1">
      <c r="B555" s="172"/>
      <c r="C555" s="176">
        <v>3</v>
      </c>
      <c r="D555" s="176" t="s">
        <v>62</v>
      </c>
      <c r="E555" s="254">
        <v>0</v>
      </c>
      <c r="F555" s="255">
        <v>5.9999999999999995E-5</v>
      </c>
      <c r="G555" s="256">
        <v>5.9999999999999995E-5</v>
      </c>
      <c r="H555" s="256">
        <v>5.9999999999999995E-5</v>
      </c>
      <c r="I555" s="256">
        <v>5.9999999999999995E-5</v>
      </c>
      <c r="J555" s="256">
        <v>5.9999999999999995E-5</v>
      </c>
      <c r="K555" s="256">
        <v>5.9999999999999995E-5</v>
      </c>
      <c r="L555" s="256">
        <v>5.9999999999999995E-5</v>
      </c>
      <c r="M555" s="256">
        <v>5.9999999999999995E-5</v>
      </c>
      <c r="N555" s="255">
        <v>5.9999999999999995E-5</v>
      </c>
      <c r="O555" s="172"/>
      <c r="P555" s="46"/>
    </row>
    <row r="556" spans="1:16" hidden="1">
      <c r="B556" s="172"/>
      <c r="C556" s="172"/>
      <c r="D556" s="172"/>
      <c r="E556" s="172"/>
      <c r="F556" s="172"/>
      <c r="G556" s="172"/>
      <c r="H556" s="172"/>
      <c r="I556" s="172"/>
      <c r="J556" s="172"/>
      <c r="K556" s="172"/>
      <c r="L556" s="172"/>
      <c r="M556" s="172"/>
      <c r="N556" s="172"/>
      <c r="O556" s="172"/>
      <c r="P556" s="172"/>
    </row>
    <row r="557" spans="1:16" hidden="1">
      <c r="B557" s="172"/>
      <c r="C557" s="172"/>
      <c r="D557" s="172"/>
      <c r="E557" s="172"/>
      <c r="F557" s="172"/>
      <c r="G557" s="172"/>
      <c r="H557" s="172"/>
      <c r="I557" s="172"/>
      <c r="J557" s="172"/>
      <c r="K557" s="172"/>
      <c r="L557" s="172"/>
      <c r="M557" s="172"/>
      <c r="N557" s="172"/>
      <c r="O557" s="172"/>
      <c r="P557" s="172"/>
    </row>
    <row r="558" spans="1:16" hidden="1">
      <c r="B558" s="172"/>
      <c r="C558" s="49" t="s">
        <v>173</v>
      </c>
      <c r="D558" s="172"/>
      <c r="E558" s="172"/>
      <c r="F558" s="265"/>
      <c r="G558" s="265"/>
      <c r="H558" s="172"/>
      <c r="I558" s="172"/>
      <c r="J558" s="172"/>
      <c r="K558" s="172"/>
      <c r="L558" s="172"/>
      <c r="M558" s="172"/>
      <c r="N558" s="172"/>
      <c r="O558" s="172"/>
      <c r="P558" s="172"/>
    </row>
    <row r="559" spans="1:16" ht="23.5" hidden="1">
      <c r="A559" s="7"/>
      <c r="B559" s="172"/>
      <c r="C559" s="46" t="s">
        <v>2755</v>
      </c>
      <c r="D559" s="172"/>
      <c r="E559" s="172"/>
      <c r="F559" s="265"/>
      <c r="G559" s="265"/>
      <c r="H559" s="172"/>
      <c r="I559" s="172"/>
      <c r="J559" s="172"/>
      <c r="K559" s="172"/>
      <c r="L559" s="172"/>
      <c r="M559" s="172"/>
      <c r="N559" s="172"/>
      <c r="O559" s="172"/>
      <c r="P559" s="172"/>
    </row>
    <row r="560" spans="1:16" hidden="1">
      <c r="B560" s="172"/>
      <c r="C560" s="67" t="s">
        <v>174</v>
      </c>
      <c r="D560" s="283">
        <v>1.0799999999999999E-2</v>
      </c>
      <c r="E560" s="172"/>
      <c r="F560" s="265"/>
      <c r="G560" s="265"/>
      <c r="H560" s="172"/>
      <c r="I560" s="172"/>
      <c r="J560" s="172"/>
      <c r="K560" s="172"/>
      <c r="L560" s="172"/>
      <c r="M560" s="172"/>
      <c r="N560" s="172"/>
      <c r="O560" s="172"/>
      <c r="P560" s="172"/>
    </row>
    <row r="561" spans="2:16" hidden="1">
      <c r="B561" s="172"/>
      <c r="C561" s="67" t="s">
        <v>160</v>
      </c>
      <c r="D561" s="284">
        <v>6.3799999999999994E-3</v>
      </c>
      <c r="E561" s="47" t="s">
        <v>175</v>
      </c>
      <c r="F561" s="265"/>
      <c r="G561" s="265"/>
      <c r="H561" s="172"/>
      <c r="I561" s="172"/>
      <c r="J561" s="172"/>
      <c r="K561" s="172"/>
      <c r="L561" s="172"/>
      <c r="M561" s="172"/>
      <c r="N561" s="172"/>
      <c r="O561" s="172"/>
      <c r="P561" s="172"/>
    </row>
    <row r="562" spans="2:16" hidden="1">
      <c r="B562" s="172"/>
      <c r="C562" s="67" t="s">
        <v>20</v>
      </c>
      <c r="D562" s="283">
        <v>4.0000000000000001E-3</v>
      </c>
      <c r="E562" s="172"/>
      <c r="F562" s="265"/>
      <c r="G562" s="265"/>
      <c r="H562" s="172"/>
      <c r="I562" s="172"/>
      <c r="J562" s="172"/>
      <c r="K562" s="172"/>
      <c r="L562" s="172"/>
      <c r="M562" s="172"/>
      <c r="N562" s="172"/>
      <c r="O562" s="172"/>
      <c r="P562" s="172"/>
    </row>
    <row r="563" spans="2:16" hidden="1">
      <c r="B563" s="172"/>
      <c r="C563" s="49"/>
      <c r="D563" s="172"/>
      <c r="E563" s="172"/>
      <c r="F563" s="268"/>
      <c r="G563" s="268"/>
      <c r="H563" s="172"/>
      <c r="I563" s="172"/>
      <c r="J563" s="172"/>
      <c r="K563" s="172"/>
      <c r="L563" s="172"/>
      <c r="M563" s="172"/>
      <c r="N563" s="172"/>
      <c r="O563" s="172"/>
      <c r="P563" s="172"/>
    </row>
    <row r="564" spans="2:16" hidden="1">
      <c r="B564" s="172"/>
      <c r="C564" s="172"/>
      <c r="D564" s="172" t="s">
        <v>176</v>
      </c>
      <c r="E564" s="285" t="s">
        <v>4</v>
      </c>
      <c r="F564" s="172"/>
      <c r="G564" s="172"/>
      <c r="H564" s="172"/>
      <c r="I564" s="172"/>
      <c r="J564" s="172"/>
      <c r="K564" s="172"/>
      <c r="L564" s="172"/>
      <c r="M564" s="172"/>
      <c r="N564" s="172"/>
      <c r="O564" s="172"/>
      <c r="P564" s="172"/>
    </row>
    <row r="565" spans="2:16" hidden="1">
      <c r="B565" s="172"/>
      <c r="C565" s="172"/>
      <c r="D565" s="172"/>
      <c r="E565" s="172"/>
      <c r="F565" s="172"/>
      <c r="G565" s="172"/>
      <c r="H565" s="172"/>
      <c r="I565" s="172"/>
      <c r="J565" s="172"/>
      <c r="K565" s="172"/>
      <c r="L565" s="172"/>
      <c r="M565" s="172"/>
      <c r="N565" s="172"/>
      <c r="O565" s="172"/>
      <c r="P565" s="172"/>
    </row>
    <row r="566" spans="2:16" hidden="1"/>
    <row r="568" spans="2:16" ht="15.5">
      <c r="B568" s="41" t="s">
        <v>177</v>
      </c>
      <c r="C568" s="286"/>
      <c r="D568" s="286"/>
      <c r="E568" s="286"/>
      <c r="F568" s="286"/>
      <c r="G568" s="286"/>
      <c r="H568" s="286"/>
      <c r="I568" s="286"/>
      <c r="J568" s="286"/>
      <c r="K568" s="286"/>
      <c r="L568" s="286"/>
      <c r="M568" s="286"/>
      <c r="N568" s="286"/>
      <c r="O568" s="286"/>
      <c r="P568" s="287"/>
    </row>
    <row r="569" spans="2:16">
      <c r="B569" s="45"/>
      <c r="C569" s="46"/>
      <c r="D569" s="46"/>
      <c r="E569" s="46"/>
      <c r="F569" s="46"/>
      <c r="G569" s="46"/>
      <c r="H569" s="46"/>
      <c r="I569" s="46"/>
      <c r="J569" s="46"/>
      <c r="K569" s="46"/>
      <c r="L569" s="46"/>
      <c r="M569" s="46"/>
      <c r="N569" s="46"/>
      <c r="O569" s="46"/>
      <c r="P569" s="48"/>
    </row>
    <row r="570" spans="2:16">
      <c r="B570" s="45"/>
      <c r="C570" s="49" t="s">
        <v>178</v>
      </c>
      <c r="D570" s="46"/>
      <c r="E570" s="46"/>
      <c r="F570" s="46"/>
      <c r="G570" s="46"/>
      <c r="H570" s="46"/>
      <c r="I570" s="46"/>
      <c r="J570" s="46"/>
      <c r="K570" s="46"/>
      <c r="L570" s="46"/>
      <c r="M570" s="46"/>
      <c r="N570" s="46"/>
      <c r="O570" s="46"/>
      <c r="P570" s="48"/>
    </row>
    <row r="571" spans="2:16">
      <c r="B571" s="45"/>
      <c r="C571" s="49" t="s">
        <v>179</v>
      </c>
      <c r="D571" s="46"/>
      <c r="E571" s="46"/>
      <c r="F571" s="46"/>
      <c r="G571" s="46"/>
      <c r="H571" s="46"/>
      <c r="I571" s="46"/>
      <c r="J571" s="46"/>
      <c r="K571" s="46"/>
      <c r="L571" s="46"/>
      <c r="M571" s="46"/>
      <c r="N571" s="46"/>
      <c r="O571" s="46"/>
      <c r="P571" s="48"/>
    </row>
    <row r="572" spans="2:16">
      <c r="B572" s="45"/>
      <c r="C572" s="49" t="s">
        <v>180</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4" t="s">
        <v>181</v>
      </c>
      <c r="D577" s="57"/>
      <c r="E577" s="85"/>
      <c r="F577" s="59"/>
      <c r="G577" s="66"/>
      <c r="H577" s="46"/>
      <c r="I577" s="46"/>
      <c r="J577" s="46"/>
      <c r="K577" s="46"/>
      <c r="L577" s="46"/>
      <c r="M577" s="46"/>
      <c r="N577" s="99" t="s">
        <v>181</v>
      </c>
      <c r="O577" s="99"/>
      <c r="P577" s="48"/>
    </row>
    <row r="578" spans="1:16">
      <c r="B578" s="45"/>
      <c r="C578" s="56"/>
      <c r="D578" s="57"/>
      <c r="E578" s="57"/>
      <c r="F578" s="59"/>
      <c r="G578" s="66"/>
      <c r="H578" s="46"/>
      <c r="I578" s="46"/>
      <c r="J578" s="46"/>
      <c r="K578" s="46"/>
      <c r="L578" s="46"/>
      <c r="M578" s="46"/>
      <c r="N578" s="46"/>
      <c r="O578" s="46"/>
      <c r="P578" s="48"/>
    </row>
    <row r="579" spans="1:16" ht="15.5">
      <c r="B579" s="55"/>
      <c r="C579" s="288"/>
      <c r="D579" s="288" t="s">
        <v>71</v>
      </c>
      <c r="E579" s="288"/>
      <c r="F579" s="289">
        <v>2013</v>
      </c>
      <c r="G579" s="289">
        <v>2015</v>
      </c>
      <c r="H579" s="289">
        <v>2020</v>
      </c>
      <c r="I579" s="289">
        <v>2025</v>
      </c>
      <c r="J579" s="289">
        <v>2030</v>
      </c>
      <c r="K579" s="289">
        <v>2035</v>
      </c>
      <c r="L579" s="289">
        <v>2040</v>
      </c>
      <c r="M579" s="289">
        <v>2045</v>
      </c>
      <c r="N579" s="289">
        <v>2050</v>
      </c>
      <c r="O579" s="46"/>
      <c r="P579" s="48"/>
    </row>
    <row r="580" spans="1:16" ht="15.5">
      <c r="A580" s="38"/>
      <c r="B580" s="55"/>
      <c r="C580" s="56"/>
      <c r="D580" s="57" t="s">
        <v>182</v>
      </c>
      <c r="E580" s="85"/>
      <c r="F580" s="290">
        <f>INDEX(Global.Assumptions[Households], MATCH(F$579, Global.Assumptions[Year], 0))</f>
        <v>1672651.1289147851</v>
      </c>
      <c r="G580" s="290">
        <f>INDEX(Global.Assumptions[Households], MATCH(G$579, Global.Assumptions[Year], 0))</f>
        <v>1724685.0990151383</v>
      </c>
      <c r="H580" s="290">
        <f>INDEX(Global.Assumptions[Households], MATCH(H$579, Global.Assumptions[Year], 0))</f>
        <v>1818612.4430257217</v>
      </c>
      <c r="I580" s="290">
        <f>INDEX(Global.Assumptions[Households], MATCH(I$579, Global.Assumptions[Year], 0))</f>
        <v>1912005.4807283345</v>
      </c>
      <c r="J580" s="290">
        <f>INDEX(Global.Assumptions[Households], MATCH(J$579, Global.Assumptions[Year], 0))</f>
        <v>2000055.258037091</v>
      </c>
      <c r="K580" s="290">
        <f>INDEX(Global.Assumptions[Households], MATCH(K$579, Global.Assumptions[Year], 0))</f>
        <v>2093076.6415949722</v>
      </c>
      <c r="L580" s="290">
        <f>INDEX(Global.Assumptions[Households], MATCH(L$579, Global.Assumptions[Year], 0))</f>
        <v>2190930.0548391449</v>
      </c>
      <c r="M580" s="290">
        <f>INDEX(Global.Assumptions[Households], MATCH(M$579, Global.Assumptions[Year], 0))</f>
        <v>2288187.1680332171</v>
      </c>
      <c r="N580" s="290">
        <f>INDEX(Global.Assumptions[Households], MATCH(N$579, Global.Assumptions[Year], 0))</f>
        <v>2390510.6792861409</v>
      </c>
      <c r="O580" s="46"/>
      <c r="P580" s="48"/>
    </row>
    <row r="581" spans="1:16" ht="15.5">
      <c r="B581" s="55"/>
      <c r="C581" s="141"/>
      <c r="D581" s="120" t="s">
        <v>183</v>
      </c>
      <c r="E581" s="176"/>
      <c r="F581" s="159"/>
      <c r="G581" s="159">
        <f>(G580-F580)</f>
        <v>52033.970100353239</v>
      </c>
      <c r="H581" s="159">
        <f t="shared" ref="H581:N581" si="38">(H580-G580)</f>
        <v>93927.344010583358</v>
      </c>
      <c r="I581" s="159">
        <f t="shared" si="38"/>
        <v>93393.037702612812</v>
      </c>
      <c r="J581" s="159">
        <f t="shared" si="38"/>
        <v>88049.777308756486</v>
      </c>
      <c r="K581" s="159">
        <f t="shared" si="38"/>
        <v>93021.383557881229</v>
      </c>
      <c r="L581" s="159">
        <f t="shared" si="38"/>
        <v>97853.413244172698</v>
      </c>
      <c r="M581" s="159">
        <f t="shared" si="38"/>
        <v>97257.113194072153</v>
      </c>
      <c r="N581" s="159">
        <f t="shared" si="38"/>
        <v>102323.51125292387</v>
      </c>
      <c r="O581" s="46"/>
      <c r="P581" s="48"/>
    </row>
    <row r="582" spans="1:16">
      <c r="B582" s="45"/>
      <c r="C582" s="46"/>
      <c r="D582" s="46"/>
      <c r="E582" s="46"/>
      <c r="F582" s="46"/>
      <c r="G582" s="291"/>
      <c r="H582" s="291"/>
      <c r="I582" s="46"/>
      <c r="J582" s="46"/>
      <c r="K582" s="46"/>
      <c r="L582" s="46"/>
      <c r="M582" s="46"/>
      <c r="N582" s="46"/>
      <c r="O582" s="46"/>
      <c r="P582" s="48"/>
    </row>
    <row r="583" spans="1:16">
      <c r="B583" s="45">
        <v>2</v>
      </c>
      <c r="C583" s="84" t="s">
        <v>2715</v>
      </c>
      <c r="D583" s="46"/>
      <c r="E583" s="46"/>
      <c r="F583" s="67"/>
      <c r="G583" s="46"/>
      <c r="H583" s="46"/>
      <c r="I583" s="46"/>
      <c r="J583" s="46"/>
      <c r="K583" s="46"/>
      <c r="L583" s="46"/>
      <c r="M583" s="46"/>
      <c r="N583" s="77" t="s">
        <v>184</v>
      </c>
      <c r="O583" s="46"/>
      <c r="P583" s="48"/>
    </row>
    <row r="584" spans="1:16">
      <c r="B584" s="45"/>
      <c r="C584" s="117"/>
      <c r="D584" s="117"/>
      <c r="E584" s="117"/>
      <c r="F584" s="129"/>
      <c r="G584" s="77"/>
      <c r="H584" s="77"/>
      <c r="I584" s="77"/>
      <c r="J584" s="77"/>
      <c r="K584" s="77"/>
      <c r="L584" s="77"/>
      <c r="M584" s="77"/>
      <c r="N584" s="77"/>
      <c r="O584" s="46"/>
      <c r="P584" s="48"/>
    </row>
    <row r="585" spans="1:16">
      <c r="B585" s="45"/>
      <c r="C585" s="111"/>
      <c r="D585" s="111"/>
      <c r="E585" s="111"/>
      <c r="F585" s="112">
        <v>2013</v>
      </c>
      <c r="G585" s="112">
        <v>2015</v>
      </c>
      <c r="H585" s="112">
        <v>2020</v>
      </c>
      <c r="I585" s="112">
        <v>2025</v>
      </c>
      <c r="J585" s="112">
        <v>2030</v>
      </c>
      <c r="K585" s="112">
        <v>2035</v>
      </c>
      <c r="L585" s="112">
        <v>2040</v>
      </c>
      <c r="M585" s="112">
        <v>2045</v>
      </c>
      <c r="N585" s="112">
        <v>2050</v>
      </c>
      <c r="O585" s="46"/>
      <c r="P585" s="48"/>
    </row>
    <row r="586" spans="1:16">
      <c r="B586" s="45"/>
      <c r="C586" s="113"/>
      <c r="D586" s="113" t="s">
        <v>121</v>
      </c>
      <c r="E586" s="113"/>
      <c r="F586" s="127"/>
      <c r="G586" s="292">
        <f t="shared" ref="G586:G591" si="39">IF($E$9=1,G257-F257,IF($E$9=2,G265-F265,IF($E$9=3,G273-F273,G281-F281)))/3</f>
        <v>0</v>
      </c>
      <c r="H586" s="157">
        <f t="shared" ref="H586:N591" si="40">IF($E$9=1,H257-G257,IF($E$9=2,H265-G265,IF($E$9=3,H273-G273,H281-G281)))/5</f>
        <v>0</v>
      </c>
      <c r="I586" s="157">
        <f t="shared" si="40"/>
        <v>0</v>
      </c>
      <c r="J586" s="157">
        <f t="shared" si="40"/>
        <v>0</v>
      </c>
      <c r="K586" s="157">
        <f t="shared" si="40"/>
        <v>0</v>
      </c>
      <c r="L586" s="157">
        <f t="shared" si="40"/>
        <v>0</v>
      </c>
      <c r="M586" s="157">
        <f t="shared" si="40"/>
        <v>0</v>
      </c>
      <c r="N586" s="157">
        <f t="shared" si="40"/>
        <v>10904.267811648624</v>
      </c>
      <c r="O586" s="46"/>
      <c r="P586" s="48"/>
    </row>
    <row r="587" spans="1:16">
      <c r="B587" s="45"/>
      <c r="C587" s="172"/>
      <c r="D587" s="173" t="s">
        <v>122</v>
      </c>
      <c r="E587" s="57"/>
      <c r="F587" s="129"/>
      <c r="G587" s="293">
        <f t="shared" si="39"/>
        <v>0</v>
      </c>
      <c r="H587" s="174">
        <f t="shared" si="40"/>
        <v>0</v>
      </c>
      <c r="I587" s="174">
        <f t="shared" si="40"/>
        <v>0</v>
      </c>
      <c r="J587" s="174">
        <f t="shared" si="40"/>
        <v>0</v>
      </c>
      <c r="K587" s="174">
        <f t="shared" si="40"/>
        <v>0</v>
      </c>
      <c r="L587" s="174">
        <f t="shared" si="40"/>
        <v>0</v>
      </c>
      <c r="M587" s="174">
        <f t="shared" si="40"/>
        <v>0</v>
      </c>
      <c r="N587" s="174">
        <f t="shared" si="40"/>
        <v>39304.590064412449</v>
      </c>
      <c r="O587" s="46"/>
      <c r="P587" s="48"/>
    </row>
    <row r="588" spans="1:16">
      <c r="B588" s="45"/>
      <c r="C588" s="172"/>
      <c r="D588" s="173" t="s">
        <v>123</v>
      </c>
      <c r="E588" s="57"/>
      <c r="F588" s="129"/>
      <c r="G588" s="293">
        <f t="shared" si="39"/>
        <v>0</v>
      </c>
      <c r="H588" s="174">
        <f t="shared" si="40"/>
        <v>0</v>
      </c>
      <c r="I588" s="174">
        <f t="shared" si="40"/>
        <v>0</v>
      </c>
      <c r="J588" s="174">
        <f t="shared" si="40"/>
        <v>0</v>
      </c>
      <c r="K588" s="174">
        <f t="shared" si="40"/>
        <v>0</v>
      </c>
      <c r="L588" s="174">
        <f t="shared" si="40"/>
        <v>0</v>
      </c>
      <c r="M588" s="174">
        <f t="shared" si="40"/>
        <v>0</v>
      </c>
      <c r="N588" s="174">
        <f t="shared" si="40"/>
        <v>42718.803695937182</v>
      </c>
      <c r="O588" s="46"/>
      <c r="P588" s="48"/>
    </row>
    <row r="589" spans="1:16">
      <c r="B589" s="45"/>
      <c r="C589" s="172"/>
      <c r="D589" s="166" t="s">
        <v>124</v>
      </c>
      <c r="E589" s="57"/>
      <c r="F589" s="129"/>
      <c r="G589" s="293">
        <f t="shared" si="39"/>
        <v>0</v>
      </c>
      <c r="H589" s="174">
        <f t="shared" si="40"/>
        <v>0</v>
      </c>
      <c r="I589" s="174">
        <f t="shared" si="40"/>
        <v>0</v>
      </c>
      <c r="J589" s="174">
        <f t="shared" si="40"/>
        <v>0</v>
      </c>
      <c r="K589" s="174">
        <f t="shared" si="40"/>
        <v>0</v>
      </c>
      <c r="L589" s="174">
        <f t="shared" si="40"/>
        <v>0</v>
      </c>
      <c r="M589" s="174">
        <f t="shared" si="40"/>
        <v>0</v>
      </c>
      <c r="N589" s="174">
        <f t="shared" si="40"/>
        <v>28311.677743581899</v>
      </c>
      <c r="O589" s="46"/>
      <c r="P589" s="48"/>
    </row>
    <row r="590" spans="1:16">
      <c r="B590" s="45"/>
      <c r="C590" s="172"/>
      <c r="D590" s="166" t="s">
        <v>125</v>
      </c>
      <c r="E590" s="57"/>
      <c r="F590" s="129"/>
      <c r="G590" s="293">
        <f t="shared" si="39"/>
        <v>0</v>
      </c>
      <c r="H590" s="174">
        <f t="shared" si="40"/>
        <v>0</v>
      </c>
      <c r="I590" s="174">
        <f t="shared" si="40"/>
        <v>0</v>
      </c>
      <c r="J590" s="174">
        <f t="shared" si="40"/>
        <v>0</v>
      </c>
      <c r="K590" s="174">
        <f t="shared" si="40"/>
        <v>0</v>
      </c>
      <c r="L590" s="174">
        <f t="shared" si="40"/>
        <v>0</v>
      </c>
      <c r="M590" s="174">
        <f t="shared" si="40"/>
        <v>0</v>
      </c>
      <c r="N590" s="174">
        <f t="shared" si="40"/>
        <v>79688.876951649669</v>
      </c>
      <c r="O590" s="46"/>
      <c r="P590" s="48"/>
    </row>
    <row r="591" spans="1:16">
      <c r="B591" s="45"/>
      <c r="C591" s="176"/>
      <c r="D591" s="177" t="s">
        <v>126</v>
      </c>
      <c r="E591" s="120"/>
      <c r="F591" s="178"/>
      <c r="G591" s="294">
        <f t="shared" si="39"/>
        <v>0</v>
      </c>
      <c r="H591" s="179">
        <f t="shared" si="40"/>
        <v>0</v>
      </c>
      <c r="I591" s="179">
        <f t="shared" si="40"/>
        <v>0</v>
      </c>
      <c r="J591" s="179">
        <f t="shared" si="40"/>
        <v>0</v>
      </c>
      <c r="K591" s="179">
        <f t="shared" si="40"/>
        <v>0</v>
      </c>
      <c r="L591" s="179">
        <f t="shared" si="40"/>
        <v>0</v>
      </c>
      <c r="M591" s="179">
        <f t="shared" si="40"/>
        <v>0</v>
      </c>
      <c r="N591" s="179">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2716</v>
      </c>
      <c r="C593" s="46"/>
      <c r="D593" s="46"/>
      <c r="E593" s="46"/>
      <c r="F593" s="46"/>
      <c r="G593" s="46"/>
      <c r="H593" s="46"/>
      <c r="I593" s="46"/>
      <c r="J593" s="46"/>
      <c r="K593" s="46"/>
      <c r="L593" s="46"/>
      <c r="M593" s="46"/>
      <c r="N593" s="46"/>
      <c r="O593" s="46"/>
      <c r="P593" s="48"/>
    </row>
    <row r="594" spans="2:16">
      <c r="B594" s="45"/>
      <c r="C594" s="46"/>
      <c r="D594" s="46"/>
      <c r="E594" s="46"/>
      <c r="F594" s="46"/>
      <c r="G594" s="46"/>
      <c r="H594" s="46"/>
      <c r="I594" s="46"/>
      <c r="J594" s="46"/>
      <c r="K594" s="46"/>
      <c r="L594" s="46"/>
      <c r="M594" s="46"/>
      <c r="N594" s="46"/>
      <c r="O594" s="46"/>
      <c r="P594" s="48"/>
    </row>
    <row r="595" spans="2:16">
      <c r="B595" s="45"/>
      <c r="C595" s="281" t="s">
        <v>185</v>
      </c>
      <c r="D595" s="46"/>
      <c r="E595" s="46"/>
      <c r="F595" s="46"/>
      <c r="G595" s="46"/>
      <c r="H595" s="67" t="s">
        <v>5</v>
      </c>
      <c r="I595" s="46"/>
      <c r="J595" s="46"/>
      <c r="K595" s="46"/>
      <c r="L595" s="46"/>
      <c r="M595" s="46"/>
      <c r="N595" s="46"/>
      <c r="O595" s="46"/>
      <c r="P595" s="48"/>
    </row>
    <row r="596" spans="2:16">
      <c r="B596" s="45"/>
      <c r="C596" s="46"/>
      <c r="D596" s="46"/>
      <c r="E596" s="46"/>
      <c r="F596" s="46"/>
      <c r="G596" s="46"/>
      <c r="H596" s="46"/>
      <c r="I596" s="46"/>
      <c r="J596" s="46"/>
      <c r="K596" s="46"/>
      <c r="L596" s="46"/>
      <c r="M596" s="46"/>
      <c r="N596" s="46"/>
      <c r="O596" s="46"/>
      <c r="P596" s="48"/>
    </row>
    <row r="597" spans="2:16">
      <c r="B597" s="45"/>
      <c r="C597" s="84" t="s">
        <v>186</v>
      </c>
      <c r="D597" s="57"/>
      <c r="E597" s="85"/>
      <c r="F597" s="59"/>
      <c r="G597" s="46"/>
      <c r="H597" s="46"/>
      <c r="I597" s="46"/>
      <c r="J597" s="46"/>
      <c r="K597" s="46"/>
      <c r="L597" s="46"/>
      <c r="M597" s="46"/>
      <c r="N597" s="46"/>
      <c r="O597" s="46"/>
      <c r="P597" s="48"/>
    </row>
    <row r="598" spans="2:16">
      <c r="B598" s="45"/>
      <c r="C598" s="56"/>
      <c r="D598" s="57"/>
      <c r="E598" s="57"/>
      <c r="F598" s="59"/>
      <c r="G598" s="46"/>
      <c r="H598" s="46"/>
      <c r="I598" s="46"/>
      <c r="J598" s="46"/>
      <c r="K598" s="46"/>
      <c r="L598" s="46"/>
      <c r="M598" s="46"/>
      <c r="N598" s="46"/>
      <c r="O598" s="46"/>
      <c r="P598" s="48"/>
    </row>
    <row r="599" spans="2:16" ht="15.5">
      <c r="B599" s="55"/>
      <c r="C599" s="52" t="s">
        <v>43</v>
      </c>
      <c r="D599" s="52" t="s">
        <v>109</v>
      </c>
      <c r="E599" s="52" t="s">
        <v>30</v>
      </c>
      <c r="F599" s="53" t="s">
        <v>37</v>
      </c>
      <c r="G599" s="46"/>
      <c r="H599" s="46"/>
      <c r="I599" s="46"/>
      <c r="J599" s="46"/>
      <c r="K599" s="46"/>
      <c r="L599" s="46"/>
      <c r="M599" s="46"/>
      <c r="N599" s="46"/>
      <c r="O599" s="46"/>
      <c r="P599" s="48"/>
    </row>
    <row r="600" spans="2:16" ht="15.5">
      <c r="B600" s="55"/>
      <c r="C600" s="56">
        <v>1</v>
      </c>
      <c r="D600" s="57" t="s">
        <v>45</v>
      </c>
      <c r="E600" s="57"/>
      <c r="F600" s="75">
        <f>INDEX($E76:$T76, MATCH($E$23, $E$75:$T$75, 0))</f>
        <v>0</v>
      </c>
      <c r="G600" s="46"/>
      <c r="H600" s="46"/>
      <c r="I600" s="46"/>
      <c r="J600" s="46"/>
      <c r="K600" s="46"/>
      <c r="L600" s="46"/>
      <c r="M600" s="46"/>
      <c r="N600" s="46"/>
      <c r="O600" s="46"/>
      <c r="P600" s="48"/>
    </row>
    <row r="601" spans="2:16" ht="15.5">
      <c r="B601" s="55"/>
      <c r="C601" s="56">
        <v>2</v>
      </c>
      <c r="D601" s="57" t="s">
        <v>46</v>
      </c>
      <c r="E601" s="57"/>
      <c r="F601" s="75">
        <f t="shared" ref="F601:F611" si="41">INDEX($E77:$T77, MATCH($E$23, $E$75:$T$75, 0))</f>
        <v>0.9</v>
      </c>
      <c r="G601" s="46"/>
      <c r="H601" s="46"/>
      <c r="I601" s="46"/>
      <c r="J601" s="46"/>
      <c r="K601" s="46"/>
      <c r="L601" s="46"/>
      <c r="M601" s="46"/>
      <c r="N601" s="46"/>
      <c r="O601" s="46"/>
      <c r="P601" s="48"/>
    </row>
    <row r="602" spans="2:16" ht="15.5">
      <c r="B602" s="55"/>
      <c r="C602" s="56">
        <v>3</v>
      </c>
      <c r="D602" s="57" t="s">
        <v>47</v>
      </c>
      <c r="E602" s="57"/>
      <c r="F602" s="75">
        <f t="shared" si="41"/>
        <v>0.1</v>
      </c>
      <c r="G602" s="46"/>
      <c r="H602" s="46"/>
      <c r="I602" s="46"/>
      <c r="J602" s="46"/>
      <c r="K602" s="46"/>
      <c r="L602" s="46"/>
      <c r="M602" s="46"/>
      <c r="N602" s="46"/>
      <c r="O602" s="46"/>
      <c r="P602" s="48"/>
    </row>
    <row r="603" spans="2:16" ht="15.5">
      <c r="B603" s="55"/>
      <c r="C603" s="56">
        <v>4</v>
      </c>
      <c r="D603" s="57" t="s">
        <v>48</v>
      </c>
      <c r="E603" s="57"/>
      <c r="F603" s="75">
        <f t="shared" si="41"/>
        <v>0</v>
      </c>
      <c r="G603" s="46"/>
      <c r="H603" s="46"/>
      <c r="I603" s="46"/>
      <c r="J603" s="46"/>
      <c r="K603" s="46"/>
      <c r="L603" s="46"/>
      <c r="M603" s="46"/>
      <c r="N603" s="46"/>
      <c r="O603" s="46"/>
      <c r="P603" s="48"/>
    </row>
    <row r="604" spans="2:16" ht="15.5">
      <c r="B604" s="55"/>
      <c r="C604" s="56">
        <v>5</v>
      </c>
      <c r="D604" s="57" t="s">
        <v>49</v>
      </c>
      <c r="E604" s="57"/>
      <c r="F604" s="75">
        <f t="shared" si="41"/>
        <v>0</v>
      </c>
      <c r="G604" s="46"/>
      <c r="H604" s="46"/>
      <c r="I604" s="46"/>
      <c r="J604" s="46"/>
      <c r="K604" s="46"/>
      <c r="L604" s="46"/>
      <c r="M604" s="46"/>
      <c r="N604" s="46"/>
      <c r="O604" s="46"/>
      <c r="P604" s="48"/>
    </row>
    <row r="605" spans="2:16" ht="15.5">
      <c r="B605" s="55"/>
      <c r="C605" s="56">
        <v>6</v>
      </c>
      <c r="D605" s="57" t="s">
        <v>50</v>
      </c>
      <c r="E605" s="57"/>
      <c r="F605" s="75">
        <f t="shared" si="41"/>
        <v>0</v>
      </c>
      <c r="G605" s="46"/>
      <c r="H605" s="46"/>
      <c r="I605" s="46"/>
      <c r="J605" s="46"/>
      <c r="K605" s="46"/>
      <c r="L605" s="46"/>
      <c r="M605" s="46"/>
      <c r="N605" s="46"/>
      <c r="O605" s="46"/>
      <c r="P605" s="48"/>
    </row>
    <row r="606" spans="2:16" ht="15.5">
      <c r="B606" s="55"/>
      <c r="C606" s="56">
        <v>7</v>
      </c>
      <c r="D606" s="57" t="s">
        <v>51</v>
      </c>
      <c r="E606" s="57"/>
      <c r="F606" s="75">
        <f>INDEX($E82:$T82, MATCH($E$23, $E$75:$T$75, 0))</f>
        <v>0</v>
      </c>
      <c r="G606" s="46"/>
      <c r="H606" s="46"/>
      <c r="I606" s="46"/>
      <c r="J606" s="46"/>
      <c r="K606" s="46"/>
      <c r="L606" s="46"/>
      <c r="M606" s="46"/>
      <c r="N606" s="46"/>
      <c r="O606" s="46"/>
      <c r="P606" s="48"/>
    </row>
    <row r="607" spans="2:16" ht="15.5">
      <c r="B607" s="55"/>
      <c r="C607" s="56">
        <v>8</v>
      </c>
      <c r="D607" s="57" t="s">
        <v>52</v>
      </c>
      <c r="E607" s="57"/>
      <c r="F607" s="75">
        <f t="shared" si="41"/>
        <v>0</v>
      </c>
      <c r="G607" s="46"/>
      <c r="H607" s="46"/>
      <c r="I607" s="46"/>
      <c r="J607" s="46"/>
      <c r="K607" s="46"/>
      <c r="L607" s="46"/>
      <c r="M607" s="46"/>
      <c r="N607" s="46"/>
      <c r="O607" s="46"/>
      <c r="P607" s="48"/>
    </row>
    <row r="608" spans="2:16" ht="15.5">
      <c r="B608" s="55"/>
      <c r="C608" s="56">
        <v>9</v>
      </c>
      <c r="D608" s="57" t="s">
        <v>53</v>
      </c>
      <c r="E608" s="57"/>
      <c r="F608" s="75">
        <f t="shared" si="41"/>
        <v>0</v>
      </c>
      <c r="G608" s="46"/>
      <c r="H608" s="46"/>
      <c r="I608" s="46"/>
      <c r="J608" s="46"/>
      <c r="K608" s="46"/>
      <c r="L608" s="46"/>
      <c r="M608" s="46"/>
      <c r="N608" s="46"/>
      <c r="O608" s="46"/>
      <c r="P608" s="48"/>
    </row>
    <row r="609" spans="2:66" ht="15.5">
      <c r="B609" s="55"/>
      <c r="C609" s="56">
        <v>10</v>
      </c>
      <c r="D609" s="57" t="s">
        <v>54</v>
      </c>
      <c r="E609" s="57"/>
      <c r="F609" s="75">
        <f t="shared" si="41"/>
        <v>0</v>
      </c>
      <c r="G609" s="46"/>
      <c r="H609" s="46"/>
      <c r="I609" s="46"/>
      <c r="J609" s="46"/>
      <c r="K609" s="46"/>
      <c r="L609" s="46"/>
      <c r="M609" s="46"/>
      <c r="N609" s="46"/>
      <c r="O609" s="46"/>
      <c r="P609" s="48"/>
    </row>
    <row r="610" spans="2:66" ht="15.5">
      <c r="B610" s="55"/>
      <c r="C610" s="56">
        <v>11</v>
      </c>
      <c r="D610" s="57" t="s">
        <v>55</v>
      </c>
      <c r="E610" s="57"/>
      <c r="F610" s="75">
        <f t="shared" si="41"/>
        <v>0</v>
      </c>
      <c r="G610" s="46"/>
      <c r="H610" s="46"/>
      <c r="I610" s="46"/>
      <c r="J610" s="46"/>
      <c r="K610" s="46"/>
      <c r="L610" s="46"/>
      <c r="M610" s="46"/>
      <c r="N610" s="46"/>
      <c r="O610" s="46"/>
      <c r="P610" s="48"/>
    </row>
    <row r="611" spans="2:66" ht="15.5">
      <c r="B611" s="55"/>
      <c r="C611" s="56">
        <v>12</v>
      </c>
      <c r="D611" s="57" t="s">
        <v>56</v>
      </c>
      <c r="E611" s="57"/>
      <c r="F611" s="75">
        <f t="shared" si="41"/>
        <v>0</v>
      </c>
      <c r="G611" s="46"/>
      <c r="H611" s="46"/>
      <c r="I611" s="46"/>
      <c r="J611" s="46"/>
      <c r="K611" s="46"/>
      <c r="L611" s="46"/>
      <c r="M611" s="46"/>
      <c r="N611" s="46"/>
      <c r="O611" s="46"/>
      <c r="P611" s="48"/>
    </row>
    <row r="612" spans="2:66" s="297" customFormat="1" ht="15.5">
      <c r="B612" s="55"/>
      <c r="C612" s="61">
        <v>13</v>
      </c>
      <c r="D612" s="62" t="s">
        <v>57</v>
      </c>
      <c r="E612" s="62"/>
      <c r="F612" s="4239">
        <f>INDEX($E88:$T88, MATCH($E$23, $E$75:$T$75, 0))</f>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297" customFormat="1" ht="15.5">
      <c r="B613" s="55"/>
      <c r="C613" s="56"/>
      <c r="D613" s="57"/>
      <c r="E613" s="57"/>
      <c r="F613" s="88"/>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5">
      <c r="B614" s="55"/>
      <c r="C614" s="52" t="s">
        <v>43</v>
      </c>
      <c r="D614" s="52" t="s">
        <v>109</v>
      </c>
      <c r="E614" s="52" t="s">
        <v>30</v>
      </c>
      <c r="F614" s="53" t="s">
        <v>37</v>
      </c>
      <c r="G614" s="46"/>
      <c r="H614" s="46"/>
      <c r="I614" s="46"/>
      <c r="J614" s="46"/>
      <c r="K614" s="46"/>
      <c r="L614" s="46"/>
      <c r="M614" s="46"/>
      <c r="N614" s="46"/>
      <c r="O614" s="46"/>
      <c r="P614" s="48"/>
      <c r="AE614" s="297"/>
      <c r="AF614" s="297"/>
      <c r="AG614" s="297"/>
      <c r="AH614" s="297"/>
      <c r="AI614" s="297"/>
      <c r="AJ614" s="297"/>
      <c r="AK614" s="297"/>
      <c r="AL614" s="297"/>
      <c r="AM614" s="297"/>
      <c r="AN614" s="297"/>
      <c r="AO614" s="297"/>
      <c r="AP614" s="297"/>
      <c r="AQ614" s="297"/>
      <c r="AR614" s="297"/>
      <c r="AS614" s="297"/>
      <c r="AT614" s="297"/>
      <c r="AU614" s="297"/>
      <c r="AV614" s="297"/>
      <c r="AW614" s="297"/>
      <c r="AX614" s="297"/>
      <c r="AY614" s="297"/>
      <c r="AZ614" s="297"/>
      <c r="BA614" s="297"/>
      <c r="BB614" s="297"/>
      <c r="BC614" s="297"/>
      <c r="BD614" s="297"/>
      <c r="BE614" s="297"/>
      <c r="BF614" s="297"/>
      <c r="BG614" s="297"/>
      <c r="BH614" s="297"/>
      <c r="BI614" s="297"/>
      <c r="BJ614" s="297"/>
      <c r="BK614" s="297"/>
      <c r="BL614" s="297"/>
      <c r="BM614" s="297"/>
      <c r="BN614" s="297"/>
    </row>
    <row r="615" spans="2:66" ht="15.5">
      <c r="B615" s="55"/>
      <c r="C615" s="56">
        <v>1</v>
      </c>
      <c r="D615" s="57" t="s">
        <v>60</v>
      </c>
      <c r="E615" s="57"/>
      <c r="F615" s="295">
        <f>INDEX($E94:$T94, MATCH($E$23, $E$93:$T$93, 0))</f>
        <v>0</v>
      </c>
      <c r="G615" s="46"/>
      <c r="H615" s="46"/>
      <c r="I615" s="46"/>
      <c r="J615" s="46"/>
      <c r="K615" s="46"/>
      <c r="L615" s="46"/>
      <c r="M615" s="46"/>
      <c r="N615" s="46"/>
      <c r="O615" s="46"/>
      <c r="P615" s="48"/>
      <c r="AE615" s="297"/>
      <c r="AF615" s="297"/>
      <c r="AG615" s="297"/>
      <c r="AH615" s="297"/>
      <c r="AI615" s="297"/>
      <c r="AJ615" s="297"/>
      <c r="AK615" s="297"/>
      <c r="AL615" s="297"/>
      <c r="AM615" s="297"/>
      <c r="AN615" s="297"/>
      <c r="AO615" s="297"/>
      <c r="AP615" s="297"/>
      <c r="AQ615" s="297"/>
      <c r="AR615" s="297"/>
      <c r="AS615" s="297"/>
      <c r="AT615" s="297"/>
      <c r="AU615" s="297"/>
      <c r="AV615" s="297"/>
      <c r="AW615" s="297"/>
      <c r="AX615" s="297"/>
      <c r="AY615" s="297"/>
      <c r="AZ615" s="297"/>
      <c r="BA615" s="297"/>
      <c r="BB615" s="297"/>
      <c r="BC615" s="297"/>
      <c r="BD615" s="297"/>
      <c r="BE615" s="297"/>
      <c r="BF615" s="297"/>
      <c r="BG615" s="297"/>
      <c r="BH615" s="297"/>
      <c r="BI615" s="297"/>
      <c r="BJ615" s="297"/>
      <c r="BK615" s="297"/>
      <c r="BL615" s="297"/>
      <c r="BM615" s="297"/>
      <c r="BN615" s="297"/>
    </row>
    <row r="616" spans="2:66" ht="12" customHeight="1">
      <c r="B616" s="55"/>
      <c r="C616" s="56">
        <v>2</v>
      </c>
      <c r="D616" s="57" t="s">
        <v>61</v>
      </c>
      <c r="E616" s="57"/>
      <c r="F616" s="89">
        <f>INDEX($E95:$T95, MATCH($E$23, $E$93:$T$93, 0))</f>
        <v>1</v>
      </c>
      <c r="G616" s="46"/>
      <c r="H616" s="46"/>
      <c r="I616" s="46"/>
      <c r="J616" s="46"/>
      <c r="K616" s="46"/>
      <c r="L616" s="46"/>
      <c r="M616" s="46"/>
      <c r="N616" s="46"/>
      <c r="O616" s="46"/>
      <c r="P616" s="48"/>
    </row>
    <row r="617" spans="2:66" ht="15.5">
      <c r="B617" s="55"/>
      <c r="C617" s="141">
        <v>3</v>
      </c>
      <c r="D617" s="120" t="s">
        <v>62</v>
      </c>
      <c r="E617" s="120"/>
      <c r="F617" s="153">
        <f>INDEX($E96:$T96, MATCH($E$23, $E$93:$T$93, 0))</f>
        <v>0</v>
      </c>
      <c r="G617" s="46"/>
      <c r="H617" s="46"/>
      <c r="I617" s="46"/>
      <c r="J617" s="46"/>
      <c r="K617" s="46"/>
      <c r="L617" s="46"/>
      <c r="M617" s="46"/>
      <c r="N617" s="46"/>
      <c r="O617" s="46"/>
      <c r="P617" s="48"/>
    </row>
    <row r="618" spans="2:66" ht="15.5">
      <c r="B618" s="55"/>
      <c r="C618" s="56"/>
      <c r="D618" s="57"/>
      <c r="E618" s="57"/>
      <c r="F618" s="89"/>
      <c r="G618" s="46"/>
      <c r="H618" s="46"/>
      <c r="I618" s="46"/>
      <c r="J618" s="46"/>
      <c r="K618" s="46"/>
      <c r="L618" s="46"/>
      <c r="M618" s="46"/>
      <c r="N618" s="46"/>
      <c r="O618" s="46"/>
      <c r="P618" s="48"/>
    </row>
    <row r="619" spans="2:66" ht="15.5">
      <c r="B619" s="55"/>
      <c r="C619" s="298" t="s">
        <v>187</v>
      </c>
      <c r="D619" s="57"/>
      <c r="E619" s="57"/>
      <c r="F619" s="89"/>
      <c r="G619" s="46"/>
      <c r="H619" s="46"/>
      <c r="I619" s="46"/>
      <c r="J619" s="46"/>
      <c r="K619" s="46"/>
      <c r="L619" s="46"/>
      <c r="M619" s="46"/>
      <c r="N619" s="46"/>
      <c r="O619" s="46"/>
      <c r="P619" s="48"/>
    </row>
    <row r="620" spans="2:66">
      <c r="B620" s="299"/>
      <c r="C620" s="300"/>
      <c r="D620" s="301"/>
      <c r="E620" s="301"/>
      <c r="F620" s="302"/>
      <c r="G620" s="303"/>
      <c r="H620" s="303"/>
      <c r="I620" s="303"/>
      <c r="J620" s="303"/>
      <c r="K620" s="303"/>
      <c r="L620" s="303"/>
      <c r="M620" s="303"/>
      <c r="N620" s="303"/>
      <c r="O620" s="303"/>
      <c r="P620" s="304"/>
    </row>
    <row r="621" spans="2:66">
      <c r="B621" s="299"/>
      <c r="C621" s="305" t="s">
        <v>188</v>
      </c>
      <c r="D621" s="301"/>
      <c r="E621" s="306"/>
      <c r="F621" s="307"/>
      <c r="G621" s="303"/>
      <c r="H621" s="303"/>
      <c r="I621" s="303"/>
      <c r="J621" s="303"/>
      <c r="K621" s="303"/>
      <c r="L621" s="303"/>
      <c r="M621" s="303"/>
      <c r="N621" s="308" t="s">
        <v>189</v>
      </c>
      <c r="O621" s="304"/>
      <c r="P621" s="304"/>
    </row>
    <row r="622" spans="2:66">
      <c r="B622" s="299"/>
      <c r="C622" s="305"/>
      <c r="D622" s="301"/>
      <c r="E622" s="306"/>
      <c r="F622" s="307"/>
      <c r="G622" s="303"/>
      <c r="H622" s="303"/>
      <c r="I622" s="303"/>
      <c r="J622" s="303"/>
      <c r="K622" s="303"/>
      <c r="L622" s="303" t="s">
        <v>5</v>
      </c>
      <c r="M622" s="303"/>
      <c r="N622" s="308"/>
      <c r="O622" s="304"/>
      <c r="P622" s="304"/>
    </row>
    <row r="623" spans="2:66">
      <c r="B623" s="299"/>
      <c r="C623" s="300" t="s">
        <v>190</v>
      </c>
      <c r="D623" s="301"/>
      <c r="E623" s="301"/>
      <c r="F623" s="307"/>
      <c r="G623" s="303"/>
      <c r="H623" s="303"/>
      <c r="I623" s="303"/>
      <c r="J623" s="303"/>
      <c r="K623" s="303"/>
      <c r="L623" s="303"/>
      <c r="M623" s="303"/>
      <c r="N623" s="4243" t="s">
        <v>3651</v>
      </c>
      <c r="O623" s="4244"/>
      <c r="P623" s="304"/>
    </row>
    <row r="624" spans="2:66">
      <c r="B624" s="299"/>
      <c r="C624" s="300"/>
      <c r="D624" s="301"/>
      <c r="E624" s="301"/>
      <c r="F624" s="307"/>
      <c r="G624" s="303"/>
      <c r="H624" s="303"/>
      <c r="I624" s="303"/>
      <c r="J624" s="303"/>
      <c r="K624" s="303"/>
      <c r="L624" s="303"/>
      <c r="M624" s="303"/>
      <c r="N624" s="303"/>
      <c r="O624" s="303"/>
      <c r="P624" s="304"/>
    </row>
    <row r="625" spans="2:16">
      <c r="B625" s="299"/>
      <c r="C625" s="309" t="s">
        <v>43</v>
      </c>
      <c r="D625" s="309" t="s">
        <v>109</v>
      </c>
      <c r="E625" s="309" t="s">
        <v>30</v>
      </c>
      <c r="F625" s="310">
        <v>2013</v>
      </c>
      <c r="G625" s="311">
        <v>2015</v>
      </c>
      <c r="H625" s="311">
        <v>2020</v>
      </c>
      <c r="I625" s="311">
        <v>2025</v>
      </c>
      <c r="J625" s="311">
        <v>2030</v>
      </c>
      <c r="K625" s="311">
        <v>2035</v>
      </c>
      <c r="L625" s="311">
        <v>2040</v>
      </c>
      <c r="M625" s="311">
        <v>2045</v>
      </c>
      <c r="N625" s="311">
        <v>2050</v>
      </c>
      <c r="O625" s="311" t="s">
        <v>159</v>
      </c>
      <c r="P625" s="304"/>
    </row>
    <row r="626" spans="2:16">
      <c r="B626" s="299"/>
      <c r="C626" s="300">
        <v>1</v>
      </c>
      <c r="D626" s="301" t="s">
        <v>45</v>
      </c>
      <c r="E626" s="301"/>
      <c r="F626" s="312">
        <f t="shared" ref="F626:F638" si="42">INDEX($F$211:$F$223, MATCH($C626,$C$211:$C$223, 0))</f>
        <v>0.17</v>
      </c>
      <c r="G626" s="313">
        <f>F626+($O626*(G$625-F$625))</f>
        <v>0.16081081081081083</v>
      </c>
      <c r="H626" s="313">
        <f t="shared" ref="H626:M626" si="43">G626+($O626*(H$625-G$625))</f>
        <v>0.13783783783783787</v>
      </c>
      <c r="I626" s="313">
        <f t="shared" si="43"/>
        <v>0.1148648648648649</v>
      </c>
      <c r="J626" s="313">
        <f t="shared" si="43"/>
        <v>9.1891891891891925E-2</v>
      </c>
      <c r="K626" s="313">
        <f t="shared" si="43"/>
        <v>6.8918918918918951E-2</v>
      </c>
      <c r="L626" s="313">
        <f t="shared" si="43"/>
        <v>4.5945945945945976E-2</v>
      </c>
      <c r="M626" s="313">
        <f t="shared" si="43"/>
        <v>2.2972972972973002E-2</v>
      </c>
      <c r="N626" s="4240">
        <f>F600</f>
        <v>0</v>
      </c>
      <c r="O626" s="314">
        <f>(N626-F626)/(N$625-F$625)</f>
        <v>-4.5945945945945945E-3</v>
      </c>
      <c r="P626" s="304"/>
    </row>
    <row r="627" spans="2:16">
      <c r="B627" s="299"/>
      <c r="C627" s="300">
        <v>2</v>
      </c>
      <c r="D627" s="301" t="s">
        <v>46</v>
      </c>
      <c r="E627" s="301"/>
      <c r="F627" s="315">
        <f t="shared" si="42"/>
        <v>0.156</v>
      </c>
      <c r="G627" s="316">
        <f t="shared" ref="G627:G638" si="44">F627+($O627*(G$625-F$625))</f>
        <v>0.19621621621621621</v>
      </c>
      <c r="H627" s="316">
        <f t="shared" ref="H627:M627" si="45">G627+($O627*(H$625-G$625))</f>
        <v>0.29675675675675672</v>
      </c>
      <c r="I627" s="316">
        <f t="shared" si="45"/>
        <v>0.39729729729729724</v>
      </c>
      <c r="J627" s="316">
        <f t="shared" si="45"/>
        <v>0.49783783783783775</v>
      </c>
      <c r="K627" s="316">
        <f t="shared" si="45"/>
        <v>0.59837837837837826</v>
      </c>
      <c r="L627" s="316">
        <f t="shared" si="45"/>
        <v>0.69891891891891877</v>
      </c>
      <c r="M627" s="316">
        <f t="shared" si="45"/>
        <v>0.79945945945945929</v>
      </c>
      <c r="N627" s="4241">
        <f t="shared" ref="N627:N638" si="46">F601</f>
        <v>0.9</v>
      </c>
      <c r="O627" s="317">
        <f t="shared" ref="O627:O638" si="47">(N627-F627)/(N$625-F$625)</f>
        <v>2.0108108108108109E-2</v>
      </c>
      <c r="P627" s="304"/>
    </row>
    <row r="628" spans="2:16">
      <c r="B628" s="299"/>
      <c r="C628" s="300">
        <v>3</v>
      </c>
      <c r="D628" s="301" t="s">
        <v>47</v>
      </c>
      <c r="E628" s="301"/>
      <c r="F628" s="315">
        <f t="shared" si="42"/>
        <v>3.5999999999999997E-2</v>
      </c>
      <c r="G628" s="316">
        <f t="shared" si="44"/>
        <v>3.9459459459459459E-2</v>
      </c>
      <c r="H628" s="316">
        <f t="shared" ref="H628:M628" si="48">G628+($O628*(H$625-G$625))</f>
        <v>4.8108108108108109E-2</v>
      </c>
      <c r="I628" s="316">
        <f t="shared" si="48"/>
        <v>5.675675675675676E-2</v>
      </c>
      <c r="J628" s="316">
        <f t="shared" si="48"/>
        <v>6.5405405405405403E-2</v>
      </c>
      <c r="K628" s="316">
        <f t="shared" si="48"/>
        <v>7.4054054054054047E-2</v>
      </c>
      <c r="L628" s="316">
        <f t="shared" si="48"/>
        <v>8.2702702702702691E-2</v>
      </c>
      <c r="M628" s="316">
        <f t="shared" si="48"/>
        <v>9.1351351351351334E-2</v>
      </c>
      <c r="N628" s="4241">
        <f t="shared" si="46"/>
        <v>0.1</v>
      </c>
      <c r="O628" s="317">
        <f t="shared" si="47"/>
        <v>1.7297297297297297E-3</v>
      </c>
      <c r="P628" s="304"/>
    </row>
    <row r="629" spans="2:16">
      <c r="B629" s="299"/>
      <c r="C629" s="300">
        <v>4</v>
      </c>
      <c r="D629" s="301" t="s">
        <v>48</v>
      </c>
      <c r="E629" s="301"/>
      <c r="F629" s="315">
        <f t="shared" si="42"/>
        <v>0.61899999999999999</v>
      </c>
      <c r="G629" s="316">
        <f t="shared" si="44"/>
        <v>0.5855405405405405</v>
      </c>
      <c r="H629" s="316">
        <f t="shared" ref="H629:M629" si="49">G629+($O629*(H$625-G$625))</f>
        <v>0.50189189189189187</v>
      </c>
      <c r="I629" s="316">
        <f t="shared" si="49"/>
        <v>0.41824324324324325</v>
      </c>
      <c r="J629" s="316">
        <f t="shared" si="49"/>
        <v>0.33459459459459462</v>
      </c>
      <c r="K629" s="316">
        <f t="shared" si="49"/>
        <v>0.25094594594594599</v>
      </c>
      <c r="L629" s="316">
        <f t="shared" si="49"/>
        <v>0.16729729729729734</v>
      </c>
      <c r="M629" s="316">
        <f t="shared" si="49"/>
        <v>8.3648648648648682E-2</v>
      </c>
      <c r="N629" s="4241">
        <f t="shared" si="46"/>
        <v>0</v>
      </c>
      <c r="O629" s="317">
        <f t="shared" si="47"/>
        <v>-1.672972972972973E-2</v>
      </c>
      <c r="P629" s="304"/>
    </row>
    <row r="630" spans="2:16">
      <c r="B630" s="299"/>
      <c r="C630" s="300">
        <v>5</v>
      </c>
      <c r="D630" s="301" t="s">
        <v>49</v>
      </c>
      <c r="E630" s="301"/>
      <c r="F630" s="315">
        <f t="shared" si="42"/>
        <v>1.4999999999999999E-2</v>
      </c>
      <c r="G630" s="316">
        <f t="shared" si="44"/>
        <v>1.4189189189189188E-2</v>
      </c>
      <c r="H630" s="316">
        <f t="shared" ref="H630:M630" si="50">G630+($O630*(H$625-G$625))</f>
        <v>1.2162162162162161E-2</v>
      </c>
      <c r="I630" s="316">
        <f t="shared" si="50"/>
        <v>1.0135135135135134E-2</v>
      </c>
      <c r="J630" s="316">
        <f t="shared" si="50"/>
        <v>8.1081081081081068E-3</v>
      </c>
      <c r="K630" s="316">
        <f t="shared" si="50"/>
        <v>6.0810810810810797E-3</v>
      </c>
      <c r="L630" s="316">
        <f t="shared" si="50"/>
        <v>4.0540540540540525E-3</v>
      </c>
      <c r="M630" s="316">
        <f t="shared" si="50"/>
        <v>2.0270270270270254E-3</v>
      </c>
      <c r="N630" s="4241">
        <f t="shared" si="46"/>
        <v>0</v>
      </c>
      <c r="O630" s="317">
        <f t="shared" si="47"/>
        <v>-4.0540540540540538E-4</v>
      </c>
      <c r="P630" s="304"/>
    </row>
    <row r="631" spans="2:16">
      <c r="B631" s="299"/>
      <c r="C631" s="300">
        <v>6</v>
      </c>
      <c r="D631" s="301" t="s">
        <v>50</v>
      </c>
      <c r="E631" s="301"/>
      <c r="F631" s="315">
        <f t="shared" si="42"/>
        <v>0</v>
      </c>
      <c r="G631" s="316">
        <f t="shared" si="44"/>
        <v>0</v>
      </c>
      <c r="H631" s="316">
        <f t="shared" ref="H631:M631" si="51">G631+($O631*(H$625-G$625))</f>
        <v>0</v>
      </c>
      <c r="I631" s="316">
        <f t="shared" si="51"/>
        <v>0</v>
      </c>
      <c r="J631" s="316">
        <f t="shared" si="51"/>
        <v>0</v>
      </c>
      <c r="K631" s="316">
        <f t="shared" si="51"/>
        <v>0</v>
      </c>
      <c r="L631" s="316">
        <f t="shared" si="51"/>
        <v>0</v>
      </c>
      <c r="M631" s="316">
        <f t="shared" si="51"/>
        <v>0</v>
      </c>
      <c r="N631" s="4241">
        <f t="shared" si="46"/>
        <v>0</v>
      </c>
      <c r="O631" s="317">
        <f t="shared" si="47"/>
        <v>0</v>
      </c>
      <c r="P631" s="304"/>
    </row>
    <row r="632" spans="2:16">
      <c r="B632" s="299"/>
      <c r="C632" s="300">
        <v>7</v>
      </c>
      <c r="D632" s="301" t="s">
        <v>51</v>
      </c>
      <c r="E632" s="301"/>
      <c r="F632" s="315">
        <f t="shared" si="42"/>
        <v>0</v>
      </c>
      <c r="G632" s="316">
        <f t="shared" si="44"/>
        <v>0</v>
      </c>
      <c r="H632" s="316">
        <f t="shared" ref="H632:M632" si="52">G632+($O632*(H$625-G$625))</f>
        <v>0</v>
      </c>
      <c r="I632" s="316">
        <f t="shared" si="52"/>
        <v>0</v>
      </c>
      <c r="J632" s="316">
        <f t="shared" si="52"/>
        <v>0</v>
      </c>
      <c r="K632" s="316">
        <f t="shared" si="52"/>
        <v>0</v>
      </c>
      <c r="L632" s="316">
        <f t="shared" si="52"/>
        <v>0</v>
      </c>
      <c r="M632" s="316">
        <f t="shared" si="52"/>
        <v>0</v>
      </c>
      <c r="N632" s="4241">
        <f t="shared" si="46"/>
        <v>0</v>
      </c>
      <c r="O632" s="317">
        <f t="shared" si="47"/>
        <v>0</v>
      </c>
      <c r="P632" s="304"/>
    </row>
    <row r="633" spans="2:16">
      <c r="B633" s="299"/>
      <c r="C633" s="300">
        <v>8</v>
      </c>
      <c r="D633" s="301" t="s">
        <v>52</v>
      </c>
      <c r="E633" s="301"/>
      <c r="F633" s="315">
        <f t="shared" si="42"/>
        <v>1E-3</v>
      </c>
      <c r="G633" s="316">
        <f t="shared" si="44"/>
        <v>9.4594594594594593E-4</v>
      </c>
      <c r="H633" s="316">
        <f t="shared" ref="H633:M633" si="53">G633+($O633*(H$625-G$625))</f>
        <v>8.1081081081081077E-4</v>
      </c>
      <c r="I633" s="316">
        <f t="shared" si="53"/>
        <v>6.756756756756756E-4</v>
      </c>
      <c r="J633" s="316">
        <f t="shared" si="53"/>
        <v>5.4054054054054044E-4</v>
      </c>
      <c r="K633" s="316">
        <f t="shared" si="53"/>
        <v>4.0540540540540528E-4</v>
      </c>
      <c r="L633" s="316">
        <f t="shared" si="53"/>
        <v>2.7027027027027011E-4</v>
      </c>
      <c r="M633" s="316">
        <f t="shared" si="53"/>
        <v>1.3513513513513497E-4</v>
      </c>
      <c r="N633" s="4241">
        <f t="shared" si="46"/>
        <v>0</v>
      </c>
      <c r="O633" s="317">
        <f t="shared" si="47"/>
        <v>-2.7027027027027027E-5</v>
      </c>
      <c r="P633" s="304"/>
    </row>
    <row r="634" spans="2:16">
      <c r="B634" s="299"/>
      <c r="C634" s="300">
        <v>9</v>
      </c>
      <c r="D634" s="301" t="s">
        <v>53</v>
      </c>
      <c r="E634" s="301"/>
      <c r="F634" s="315">
        <f t="shared" si="42"/>
        <v>2E-3</v>
      </c>
      <c r="G634" s="316">
        <f t="shared" si="44"/>
        <v>1.8918918918918919E-3</v>
      </c>
      <c r="H634" s="316">
        <f t="shared" ref="H634:M634" si="54">G634+($O634*(H$625-G$625))</f>
        <v>1.6216216216216215E-3</v>
      </c>
      <c r="I634" s="316">
        <f t="shared" si="54"/>
        <v>1.3513513513513512E-3</v>
      </c>
      <c r="J634" s="316">
        <f t="shared" si="54"/>
        <v>1.0810810810810809E-3</v>
      </c>
      <c r="K634" s="316">
        <f t="shared" si="54"/>
        <v>8.1081081081081055E-4</v>
      </c>
      <c r="L634" s="316">
        <f t="shared" si="54"/>
        <v>5.4054054054054022E-4</v>
      </c>
      <c r="M634" s="316">
        <f t="shared" si="54"/>
        <v>2.7027027027026995E-4</v>
      </c>
      <c r="N634" s="4241">
        <f t="shared" si="46"/>
        <v>0</v>
      </c>
      <c r="O634" s="317">
        <f t="shared" si="47"/>
        <v>-5.4054054054054054E-5</v>
      </c>
      <c r="P634" s="304"/>
    </row>
    <row r="635" spans="2:16">
      <c r="B635" s="299"/>
      <c r="C635" s="300">
        <v>10</v>
      </c>
      <c r="D635" s="301" t="s">
        <v>54</v>
      </c>
      <c r="E635" s="301"/>
      <c r="F635" s="315">
        <f t="shared" si="42"/>
        <v>0</v>
      </c>
      <c r="G635" s="316">
        <f t="shared" si="44"/>
        <v>0</v>
      </c>
      <c r="H635" s="316">
        <f t="shared" ref="H635:M635" si="55">G635+($O635*(H$625-G$625))</f>
        <v>0</v>
      </c>
      <c r="I635" s="316">
        <f t="shared" si="55"/>
        <v>0</v>
      </c>
      <c r="J635" s="316">
        <f t="shared" si="55"/>
        <v>0</v>
      </c>
      <c r="K635" s="316">
        <f t="shared" si="55"/>
        <v>0</v>
      </c>
      <c r="L635" s="316">
        <f t="shared" si="55"/>
        <v>0</v>
      </c>
      <c r="M635" s="316">
        <f t="shared" si="55"/>
        <v>0</v>
      </c>
      <c r="N635" s="4241">
        <f t="shared" si="46"/>
        <v>0</v>
      </c>
      <c r="O635" s="317">
        <f t="shared" si="47"/>
        <v>0</v>
      </c>
      <c r="P635" s="304"/>
    </row>
    <row r="636" spans="2:16">
      <c r="B636" s="299"/>
      <c r="C636" s="300">
        <v>11</v>
      </c>
      <c r="D636" s="301" t="s">
        <v>55</v>
      </c>
      <c r="E636" s="301"/>
      <c r="F636" s="315">
        <f t="shared" si="42"/>
        <v>0</v>
      </c>
      <c r="G636" s="316">
        <f t="shared" si="44"/>
        <v>0</v>
      </c>
      <c r="H636" s="316">
        <f t="shared" ref="H636:M636" si="56">G636+($O636*(H$625-G$625))</f>
        <v>0</v>
      </c>
      <c r="I636" s="316">
        <f t="shared" si="56"/>
        <v>0</v>
      </c>
      <c r="J636" s="316">
        <f t="shared" si="56"/>
        <v>0</v>
      </c>
      <c r="K636" s="316">
        <f t="shared" si="56"/>
        <v>0</v>
      </c>
      <c r="L636" s="316">
        <f t="shared" si="56"/>
        <v>0</v>
      </c>
      <c r="M636" s="316">
        <f t="shared" si="56"/>
        <v>0</v>
      </c>
      <c r="N636" s="4241">
        <f t="shared" si="46"/>
        <v>0</v>
      </c>
      <c r="O636" s="317">
        <f t="shared" si="47"/>
        <v>0</v>
      </c>
      <c r="P636" s="304"/>
    </row>
    <row r="637" spans="2:16">
      <c r="B637" s="299"/>
      <c r="C637" s="300">
        <v>12</v>
      </c>
      <c r="D637" s="301" t="s">
        <v>56</v>
      </c>
      <c r="E637" s="301"/>
      <c r="F637" s="315">
        <f t="shared" si="42"/>
        <v>0</v>
      </c>
      <c r="G637" s="316">
        <f t="shared" si="44"/>
        <v>0</v>
      </c>
      <c r="H637" s="316">
        <f t="shared" ref="H637:M637" si="57">G637+($O637*(H$625-G$625))</f>
        <v>0</v>
      </c>
      <c r="I637" s="316">
        <f t="shared" si="57"/>
        <v>0</v>
      </c>
      <c r="J637" s="316">
        <f t="shared" si="57"/>
        <v>0</v>
      </c>
      <c r="K637" s="316">
        <f t="shared" si="57"/>
        <v>0</v>
      </c>
      <c r="L637" s="316">
        <f t="shared" si="57"/>
        <v>0</v>
      </c>
      <c r="M637" s="316">
        <f t="shared" si="57"/>
        <v>0</v>
      </c>
      <c r="N637" s="4241">
        <f t="shared" si="46"/>
        <v>0</v>
      </c>
      <c r="O637" s="317">
        <f t="shared" si="47"/>
        <v>0</v>
      </c>
      <c r="P637" s="304"/>
    </row>
    <row r="638" spans="2:16">
      <c r="B638" s="299"/>
      <c r="C638" s="318">
        <v>13</v>
      </c>
      <c r="D638" s="319" t="s">
        <v>57</v>
      </c>
      <c r="E638" s="319"/>
      <c r="F638" s="320">
        <f t="shared" si="42"/>
        <v>0</v>
      </c>
      <c r="G638" s="321">
        <f t="shared" si="44"/>
        <v>0</v>
      </c>
      <c r="H638" s="321">
        <f t="shared" ref="H638:M638" si="58">G638+($O638*(H$625-G$625))</f>
        <v>0</v>
      </c>
      <c r="I638" s="321">
        <f t="shared" si="58"/>
        <v>0</v>
      </c>
      <c r="J638" s="321">
        <f t="shared" si="58"/>
        <v>0</v>
      </c>
      <c r="K638" s="321">
        <f t="shared" si="58"/>
        <v>0</v>
      </c>
      <c r="L638" s="321">
        <f t="shared" si="58"/>
        <v>0</v>
      </c>
      <c r="M638" s="321">
        <f t="shared" si="58"/>
        <v>0</v>
      </c>
      <c r="N638" s="4242">
        <f t="shared" si="46"/>
        <v>0</v>
      </c>
      <c r="O638" s="322">
        <f t="shared" si="47"/>
        <v>0</v>
      </c>
      <c r="P638" s="304"/>
    </row>
    <row r="639" spans="2:16">
      <c r="B639" s="299"/>
      <c r="C639" s="300"/>
      <c r="D639" s="301" t="s">
        <v>58</v>
      </c>
      <c r="E639" s="301"/>
      <c r="F639" s="302">
        <f>SUM(F626:F638)</f>
        <v>0.999</v>
      </c>
      <c r="G639" s="302">
        <f t="shared" ref="G639:N639" si="59">SUM(G626:G638)</f>
        <v>0.99905405405405412</v>
      </c>
      <c r="H639" s="302">
        <f t="shared" si="59"/>
        <v>0.9991891891891892</v>
      </c>
      <c r="I639" s="302">
        <f t="shared" si="59"/>
        <v>0.99932432432432428</v>
      </c>
      <c r="J639" s="302">
        <f t="shared" si="59"/>
        <v>0.99945945945945946</v>
      </c>
      <c r="K639" s="302">
        <f t="shared" si="59"/>
        <v>0.99959459459459465</v>
      </c>
      <c r="L639" s="302">
        <f t="shared" si="59"/>
        <v>0.99972972972972973</v>
      </c>
      <c r="M639" s="302">
        <f t="shared" si="59"/>
        <v>0.9998648648648647</v>
      </c>
      <c r="N639" s="302">
        <f t="shared" si="59"/>
        <v>1</v>
      </c>
      <c r="O639" s="302"/>
      <c r="P639" s="304"/>
    </row>
    <row r="640" spans="2:16">
      <c r="B640" s="299"/>
      <c r="C640" s="300"/>
      <c r="D640" s="301"/>
      <c r="E640" s="301"/>
      <c r="F640" s="302"/>
      <c r="G640" s="302"/>
      <c r="H640" s="323"/>
      <c r="I640" s="323"/>
      <c r="J640" s="323"/>
      <c r="K640" s="323"/>
      <c r="L640" s="323"/>
      <c r="M640" s="323"/>
      <c r="N640" s="323"/>
      <c r="O640" s="323"/>
      <c r="P640" s="304"/>
    </row>
    <row r="641" spans="2:16">
      <c r="B641" s="299"/>
      <c r="C641" s="300" t="s">
        <v>191</v>
      </c>
      <c r="D641" s="301"/>
      <c r="E641" s="301"/>
      <c r="F641" s="302"/>
      <c r="G641" s="302"/>
      <c r="H641" s="323"/>
      <c r="I641" s="323"/>
      <c r="J641" s="323"/>
      <c r="K641" s="323"/>
      <c r="L641" s="323"/>
      <c r="M641" s="323"/>
      <c r="N641" s="323"/>
      <c r="O641" s="323"/>
      <c r="P641" s="304"/>
    </row>
    <row r="642" spans="2:16">
      <c r="B642" s="299"/>
      <c r="C642" s="303"/>
      <c r="D642" s="303"/>
      <c r="E642" s="303"/>
      <c r="F642" s="303"/>
      <c r="G642" s="303"/>
      <c r="H642" s="303"/>
      <c r="I642" s="303"/>
      <c r="J642" s="303"/>
      <c r="K642" s="303"/>
      <c r="L642" s="303"/>
      <c r="M642" s="303"/>
      <c r="N642" s="303"/>
      <c r="O642" s="303"/>
      <c r="P642" s="304"/>
    </row>
    <row r="643" spans="2:16">
      <c r="B643" s="299"/>
      <c r="C643" s="309" t="s">
        <v>43</v>
      </c>
      <c r="D643" s="309" t="s">
        <v>109</v>
      </c>
      <c r="E643" s="309" t="s">
        <v>30</v>
      </c>
      <c r="F643" s="310">
        <v>2013</v>
      </c>
      <c r="G643" s="311">
        <v>2015</v>
      </c>
      <c r="H643" s="311">
        <v>2020</v>
      </c>
      <c r="I643" s="311">
        <v>2025</v>
      </c>
      <c r="J643" s="311">
        <v>2030</v>
      </c>
      <c r="K643" s="311">
        <v>2035</v>
      </c>
      <c r="L643" s="311">
        <v>2040</v>
      </c>
      <c r="M643" s="311">
        <v>2045</v>
      </c>
      <c r="N643" s="311">
        <v>2050</v>
      </c>
      <c r="O643" s="303"/>
      <c r="P643" s="303"/>
    </row>
    <row r="644" spans="2:16">
      <c r="B644" s="299"/>
      <c r="C644" s="300">
        <v>1</v>
      </c>
      <c r="D644" s="301" t="s">
        <v>60</v>
      </c>
      <c r="E644" s="301"/>
      <c r="F644" s="312">
        <v>0</v>
      </c>
      <c r="G644" s="324">
        <v>0</v>
      </c>
      <c r="H644" s="325">
        <f t="shared" ref="H644:M646" si="60">$G644+$P644</f>
        <v>0</v>
      </c>
      <c r="I644" s="325">
        <f t="shared" si="60"/>
        <v>0</v>
      </c>
      <c r="J644" s="325">
        <f t="shared" si="60"/>
        <v>0</v>
      </c>
      <c r="K644" s="325">
        <f t="shared" si="60"/>
        <v>0</v>
      </c>
      <c r="L644" s="325">
        <f t="shared" si="60"/>
        <v>0</v>
      </c>
      <c r="M644" s="325">
        <f t="shared" si="60"/>
        <v>0</v>
      </c>
      <c r="N644" s="325">
        <f>F615</f>
        <v>0</v>
      </c>
      <c r="O644" s="303"/>
      <c r="P644" s="317">
        <f>(N644-G644)/8</f>
        <v>0</v>
      </c>
    </row>
    <row r="645" spans="2:16">
      <c r="B645" s="299"/>
      <c r="C645" s="300">
        <v>2</v>
      </c>
      <c r="D645" s="301" t="s">
        <v>61</v>
      </c>
      <c r="E645" s="301"/>
      <c r="F645" s="315">
        <v>0</v>
      </c>
      <c r="G645" s="326">
        <v>1</v>
      </c>
      <c r="H645" s="327">
        <f t="shared" si="60"/>
        <v>1</v>
      </c>
      <c r="I645" s="327">
        <f t="shared" si="60"/>
        <v>1</v>
      </c>
      <c r="J645" s="327">
        <f t="shared" si="60"/>
        <v>1</v>
      </c>
      <c r="K645" s="327">
        <f t="shared" si="60"/>
        <v>1</v>
      </c>
      <c r="L645" s="327">
        <f t="shared" si="60"/>
        <v>1</v>
      </c>
      <c r="M645" s="327">
        <f t="shared" si="60"/>
        <v>1</v>
      </c>
      <c r="N645" s="327">
        <f>F616</f>
        <v>1</v>
      </c>
      <c r="O645" s="303"/>
      <c r="P645" s="317">
        <f>(N645-G645)/8</f>
        <v>0</v>
      </c>
    </row>
    <row r="646" spans="2:16">
      <c r="B646" s="299"/>
      <c r="C646" s="300">
        <v>3</v>
      </c>
      <c r="D646" s="301" t="s">
        <v>62</v>
      </c>
      <c r="E646" s="301"/>
      <c r="F646" s="315">
        <v>0</v>
      </c>
      <c r="G646" s="328">
        <v>0</v>
      </c>
      <c r="H646" s="327">
        <f t="shared" si="60"/>
        <v>0</v>
      </c>
      <c r="I646" s="327">
        <f t="shared" si="60"/>
        <v>0</v>
      </c>
      <c r="J646" s="327">
        <f t="shared" si="60"/>
        <v>0</v>
      </c>
      <c r="K646" s="327">
        <f t="shared" si="60"/>
        <v>0</v>
      </c>
      <c r="L646" s="327">
        <f t="shared" si="60"/>
        <v>0</v>
      </c>
      <c r="M646" s="327">
        <f t="shared" si="60"/>
        <v>0</v>
      </c>
      <c r="N646" s="329">
        <f>F617</f>
        <v>0</v>
      </c>
      <c r="O646" s="303"/>
      <c r="P646" s="317">
        <f>(N646-G646)/8</f>
        <v>0</v>
      </c>
    </row>
    <row r="647" spans="2:16">
      <c r="B647" s="299"/>
      <c r="C647" s="330"/>
      <c r="D647" s="331"/>
      <c r="E647" s="331"/>
      <c r="F647" s="332">
        <v>0</v>
      </c>
      <c r="G647" s="332">
        <f t="shared" ref="G647:N647" si="61">SUM(G644:G646)</f>
        <v>1</v>
      </c>
      <c r="H647" s="332">
        <f t="shared" si="61"/>
        <v>1</v>
      </c>
      <c r="I647" s="332">
        <f t="shared" si="61"/>
        <v>1</v>
      </c>
      <c r="J647" s="332">
        <f t="shared" si="61"/>
        <v>1</v>
      </c>
      <c r="K647" s="332">
        <f t="shared" si="61"/>
        <v>1</v>
      </c>
      <c r="L647" s="332">
        <f t="shared" si="61"/>
        <v>1</v>
      </c>
      <c r="M647" s="332">
        <f t="shared" si="61"/>
        <v>1</v>
      </c>
      <c r="N647" s="332">
        <f t="shared" si="61"/>
        <v>1</v>
      </c>
      <c r="O647" s="303"/>
      <c r="P647" s="304"/>
    </row>
    <row r="648" spans="2:16">
      <c r="B648" s="299"/>
      <c r="C648" s="300"/>
      <c r="D648" s="301"/>
      <c r="E648" s="301"/>
      <c r="F648" s="315"/>
      <c r="G648" s="315"/>
      <c r="H648" s="315"/>
      <c r="I648" s="315"/>
      <c r="J648" s="315"/>
      <c r="K648" s="315"/>
      <c r="L648" s="315"/>
      <c r="M648" s="315"/>
      <c r="N648" s="315"/>
      <c r="O648" s="303"/>
      <c r="P648" s="304"/>
    </row>
    <row r="649" spans="2:16">
      <c r="B649" s="299"/>
      <c r="C649" s="333" t="s">
        <v>192</v>
      </c>
      <c r="D649" s="301"/>
      <c r="E649" s="301"/>
      <c r="F649" s="315"/>
      <c r="G649" s="315"/>
      <c r="H649" s="315"/>
      <c r="I649" s="315"/>
      <c r="J649" s="315"/>
      <c r="K649" s="315"/>
      <c r="L649" s="315"/>
      <c r="M649" s="315"/>
      <c r="N649" s="315"/>
      <c r="O649" s="315"/>
      <c r="P649" s="304"/>
    </row>
    <row r="650" spans="2:16">
      <c r="B650" s="299"/>
      <c r="C650" s="300"/>
      <c r="D650" s="301"/>
      <c r="E650" s="301"/>
      <c r="F650" s="315"/>
      <c r="G650" s="315"/>
      <c r="H650" s="315"/>
      <c r="I650" s="315"/>
      <c r="J650" s="315"/>
      <c r="K650" s="315"/>
      <c r="L650" s="315"/>
      <c r="M650" s="315"/>
      <c r="N650" s="315"/>
      <c r="O650" s="315"/>
      <c r="P650" s="304"/>
    </row>
    <row r="651" spans="2:16">
      <c r="B651" s="299"/>
      <c r="C651" s="300" t="s">
        <v>2717</v>
      </c>
      <c r="D651" s="301"/>
      <c r="E651" s="301"/>
      <c r="F651" s="315"/>
      <c r="G651" s="315"/>
      <c r="H651" s="315"/>
      <c r="I651" s="315"/>
      <c r="J651" s="315"/>
      <c r="K651" s="315"/>
      <c r="L651" s="315"/>
      <c r="M651" s="315"/>
      <c r="N651" s="315"/>
      <c r="O651" s="315"/>
      <c r="P651" s="304"/>
    </row>
    <row r="652" spans="2:16" hidden="1">
      <c r="B652" s="299"/>
      <c r="C652" s="300"/>
      <c r="D652" s="301"/>
      <c r="E652" s="301"/>
      <c r="F652" s="315"/>
      <c r="G652" s="315"/>
      <c r="H652" s="315"/>
      <c r="I652" s="315"/>
      <c r="J652" s="315"/>
      <c r="K652" s="315"/>
      <c r="L652" s="315"/>
      <c r="M652" s="315"/>
      <c r="N652" s="315"/>
      <c r="O652" s="315"/>
      <c r="P652" s="304"/>
    </row>
    <row r="653" spans="2:16" hidden="1">
      <c r="B653" s="299"/>
      <c r="C653" s="309" t="s">
        <v>43</v>
      </c>
      <c r="D653" s="309" t="s">
        <v>109</v>
      </c>
      <c r="E653" s="309" t="s">
        <v>30</v>
      </c>
      <c r="F653" s="310">
        <v>2013</v>
      </c>
      <c r="G653" s="311">
        <v>2015</v>
      </c>
      <c r="H653" s="311">
        <v>2020</v>
      </c>
      <c r="I653" s="311">
        <v>2025</v>
      </c>
      <c r="J653" s="311">
        <v>2030</v>
      </c>
      <c r="K653" s="311">
        <v>2035</v>
      </c>
      <c r="L653" s="311">
        <v>2040</v>
      </c>
      <c r="M653" s="311">
        <v>2045</v>
      </c>
      <c r="N653" s="311">
        <v>2050</v>
      </c>
      <c r="O653" s="304"/>
      <c r="P653" s="304"/>
    </row>
    <row r="654" spans="2:16" hidden="1">
      <c r="B654" s="299"/>
      <c r="C654" s="300">
        <v>1</v>
      </c>
      <c r="D654" s="301" t="s">
        <v>45</v>
      </c>
      <c r="E654" s="301"/>
      <c r="F654" s="334">
        <f>F$667*F626</f>
        <v>284350.69191551348</v>
      </c>
      <c r="G654" s="334">
        <f>G$667*G626</f>
        <v>277348.00916594797</v>
      </c>
      <c r="H654" s="334">
        <f t="shared" ref="H654:N654" si="62">H$667*H626</f>
        <v>250673.6070116536</v>
      </c>
      <c r="I654" s="334">
        <f t="shared" si="62"/>
        <v>219622.2511647412</v>
      </c>
      <c r="J654" s="334">
        <f t="shared" si="62"/>
        <v>183788.86154935436</v>
      </c>
      <c r="K654" s="334">
        <f t="shared" si="62"/>
        <v>144252.57935316706</v>
      </c>
      <c r="L654" s="334">
        <f t="shared" si="62"/>
        <v>100664.3538709878</v>
      </c>
      <c r="M654" s="334">
        <f t="shared" si="62"/>
        <v>52566.461968330732</v>
      </c>
      <c r="N654" s="334">
        <f t="shared" si="62"/>
        <v>0</v>
      </c>
      <c r="O654" s="304"/>
      <c r="P654" s="304"/>
    </row>
    <row r="655" spans="2:16" hidden="1">
      <c r="B655" s="299"/>
      <c r="C655" s="300">
        <v>2</v>
      </c>
      <c r="D655" s="301" t="s">
        <v>46</v>
      </c>
      <c r="E655" s="301"/>
      <c r="F655" s="335">
        <f t="shared" ref="F655:N666" si="63">F$667*F627</f>
        <v>260933.57611070649</v>
      </c>
      <c r="G655" s="335">
        <f t="shared" si="63"/>
        <v>338411.18429324066</v>
      </c>
      <c r="H655" s="335">
        <f t="shared" si="63"/>
        <v>539685.5303897952</v>
      </c>
      <c r="I655" s="335">
        <f t="shared" si="63"/>
        <v>759634.60991098685</v>
      </c>
      <c r="J655" s="335">
        <f t="shared" si="63"/>
        <v>995703.18521738402</v>
      </c>
      <c r="K655" s="335">
        <f t="shared" si="63"/>
        <v>1252451.8066192616</v>
      </c>
      <c r="L655" s="335">
        <f t="shared" si="63"/>
        <v>1531282.4653551425</v>
      </c>
      <c r="M655" s="335">
        <f t="shared" si="63"/>
        <v>1829312.8764979066</v>
      </c>
      <c r="N655" s="335">
        <f t="shared" si="63"/>
        <v>2151459.6113575269</v>
      </c>
      <c r="O655" s="304"/>
      <c r="P655" s="304"/>
    </row>
    <row r="656" spans="2:16" hidden="1">
      <c r="B656" s="299"/>
      <c r="C656" s="300">
        <v>3</v>
      </c>
      <c r="D656" s="301" t="s">
        <v>47</v>
      </c>
      <c r="E656" s="301"/>
      <c r="F656" s="335">
        <f t="shared" si="63"/>
        <v>60215.440640932262</v>
      </c>
      <c r="G656" s="335">
        <f t="shared" si="63"/>
        <v>68055.141744921668</v>
      </c>
      <c r="H656" s="335">
        <f t="shared" si="63"/>
        <v>87490.004015832019</v>
      </c>
      <c r="I656" s="335">
        <f t="shared" si="63"/>
        <v>108519.22998728386</v>
      </c>
      <c r="J656" s="335">
        <f t="shared" si="63"/>
        <v>130814.42498512864</v>
      </c>
      <c r="K656" s="335">
        <f t="shared" si="63"/>
        <v>155000.81075595197</v>
      </c>
      <c r="L656" s="335">
        <f t="shared" si="63"/>
        <v>181195.8369677779</v>
      </c>
      <c r="M656" s="335">
        <f t="shared" si="63"/>
        <v>209028.989944656</v>
      </c>
      <c r="N656" s="335">
        <f t="shared" si="63"/>
        <v>239051.06792861409</v>
      </c>
      <c r="O656" s="304"/>
      <c r="P656" s="304"/>
    </row>
    <row r="657" spans="2:16" hidden="1">
      <c r="B657" s="299"/>
      <c r="C657" s="300">
        <v>4</v>
      </c>
      <c r="D657" s="301" t="s">
        <v>48</v>
      </c>
      <c r="E657" s="301"/>
      <c r="F657" s="335">
        <f t="shared" si="63"/>
        <v>1035371.048798252</v>
      </c>
      <c r="G657" s="335">
        <f t="shared" si="63"/>
        <v>1009873.0451395398</v>
      </c>
      <c r="H657" s="335">
        <f t="shared" si="63"/>
        <v>912746.83964831487</v>
      </c>
      <c r="I657" s="335">
        <f t="shared" si="63"/>
        <v>799683.37335867505</v>
      </c>
      <c r="J657" s="335">
        <f t="shared" si="63"/>
        <v>669207.67822970776</v>
      </c>
      <c r="K657" s="335">
        <f t="shared" si="63"/>
        <v>525249.09776241402</v>
      </c>
      <c r="L657" s="335">
        <f t="shared" si="63"/>
        <v>366536.67674200836</v>
      </c>
      <c r="M657" s="335">
        <f t="shared" si="63"/>
        <v>191403.76446115703</v>
      </c>
      <c r="N657" s="335">
        <f t="shared" si="63"/>
        <v>0</v>
      </c>
      <c r="O657" s="304"/>
      <c r="P657" s="304"/>
    </row>
    <row r="658" spans="2:16" hidden="1">
      <c r="B658" s="299"/>
      <c r="C658" s="300">
        <v>5</v>
      </c>
      <c r="D658" s="301" t="s">
        <v>49</v>
      </c>
      <c r="E658" s="301"/>
      <c r="F658" s="335">
        <f t="shared" si="63"/>
        <v>25089.766933721774</v>
      </c>
      <c r="G658" s="335">
        <f t="shared" si="63"/>
        <v>24471.883161701287</v>
      </c>
      <c r="H658" s="335">
        <f t="shared" si="63"/>
        <v>22118.259442204722</v>
      </c>
      <c r="I658" s="335">
        <f t="shared" si="63"/>
        <v>19378.433926300684</v>
      </c>
      <c r="J658" s="335">
        <f t="shared" si="63"/>
        <v>16216.66425435479</v>
      </c>
      <c r="K658" s="335">
        <f t="shared" si="63"/>
        <v>12728.168766455909</v>
      </c>
      <c r="L658" s="335">
        <f t="shared" si="63"/>
        <v>8882.1488709695041</v>
      </c>
      <c r="M658" s="335">
        <f t="shared" si="63"/>
        <v>4638.2172324997609</v>
      </c>
      <c r="N658" s="335">
        <f t="shared" si="63"/>
        <v>0</v>
      </c>
      <c r="O658" s="304"/>
      <c r="P658" s="304"/>
    </row>
    <row r="659" spans="2:16" hidden="1">
      <c r="B659" s="299"/>
      <c r="C659" s="300">
        <v>6</v>
      </c>
      <c r="D659" s="301" t="s">
        <v>50</v>
      </c>
      <c r="E659" s="301"/>
      <c r="F659" s="335">
        <f t="shared" si="63"/>
        <v>0</v>
      </c>
      <c r="G659" s="335">
        <f t="shared" si="63"/>
        <v>0</v>
      </c>
      <c r="H659" s="335">
        <f t="shared" si="63"/>
        <v>0</v>
      </c>
      <c r="I659" s="335">
        <f t="shared" si="63"/>
        <v>0</v>
      </c>
      <c r="J659" s="335">
        <f t="shared" si="63"/>
        <v>0</v>
      </c>
      <c r="K659" s="335">
        <f t="shared" si="63"/>
        <v>0</v>
      </c>
      <c r="L659" s="335">
        <f t="shared" si="63"/>
        <v>0</v>
      </c>
      <c r="M659" s="335">
        <f t="shared" si="63"/>
        <v>0</v>
      </c>
      <c r="N659" s="335">
        <f t="shared" si="63"/>
        <v>0</v>
      </c>
      <c r="O659" s="304"/>
      <c r="P659" s="304"/>
    </row>
    <row r="660" spans="2:16" hidden="1">
      <c r="B660" s="299"/>
      <c r="C660" s="300">
        <v>7</v>
      </c>
      <c r="D660" s="301" t="s">
        <v>51</v>
      </c>
      <c r="E660" s="301"/>
      <c r="F660" s="335">
        <f t="shared" si="63"/>
        <v>0</v>
      </c>
      <c r="G660" s="335">
        <f t="shared" si="63"/>
        <v>0</v>
      </c>
      <c r="H660" s="335">
        <f t="shared" si="63"/>
        <v>0</v>
      </c>
      <c r="I660" s="335">
        <f t="shared" si="63"/>
        <v>0</v>
      </c>
      <c r="J660" s="335">
        <f t="shared" si="63"/>
        <v>0</v>
      </c>
      <c r="K660" s="335">
        <f t="shared" si="63"/>
        <v>0</v>
      </c>
      <c r="L660" s="335">
        <f t="shared" si="63"/>
        <v>0</v>
      </c>
      <c r="M660" s="335">
        <f t="shared" si="63"/>
        <v>0</v>
      </c>
      <c r="N660" s="335">
        <f t="shared" si="63"/>
        <v>0</v>
      </c>
      <c r="O660" s="304"/>
      <c r="P660" s="304"/>
    </row>
    <row r="661" spans="2:16" hidden="1">
      <c r="B661" s="299"/>
      <c r="C661" s="300">
        <v>8</v>
      </c>
      <c r="D661" s="301" t="s">
        <v>52</v>
      </c>
      <c r="E661" s="301"/>
      <c r="F661" s="335">
        <f t="shared" si="63"/>
        <v>1672.6511289147852</v>
      </c>
      <c r="G661" s="335">
        <f t="shared" si="63"/>
        <v>1631.4588774467525</v>
      </c>
      <c r="H661" s="335">
        <f t="shared" si="63"/>
        <v>1474.5506294803149</v>
      </c>
      <c r="I661" s="335">
        <f t="shared" si="63"/>
        <v>1291.8955950867123</v>
      </c>
      <c r="J661" s="335">
        <f t="shared" si="63"/>
        <v>1081.1109502903194</v>
      </c>
      <c r="K661" s="335">
        <f t="shared" si="63"/>
        <v>848.54458443039391</v>
      </c>
      <c r="L661" s="335">
        <f t="shared" si="63"/>
        <v>592.14325806463341</v>
      </c>
      <c r="M661" s="335">
        <f t="shared" si="63"/>
        <v>309.21448216665061</v>
      </c>
      <c r="N661" s="335">
        <f t="shared" si="63"/>
        <v>0</v>
      </c>
      <c r="O661" s="304"/>
      <c r="P661" s="304"/>
    </row>
    <row r="662" spans="2:16" hidden="1">
      <c r="B662" s="299"/>
      <c r="C662" s="300">
        <v>9</v>
      </c>
      <c r="D662" s="301" t="s">
        <v>53</v>
      </c>
      <c r="E662" s="301"/>
      <c r="F662" s="335">
        <f t="shared" si="63"/>
        <v>3345.3022578295704</v>
      </c>
      <c r="G662" s="335">
        <f t="shared" si="63"/>
        <v>3262.9177548935049</v>
      </c>
      <c r="H662" s="335">
        <f t="shared" si="63"/>
        <v>2949.1012589606298</v>
      </c>
      <c r="I662" s="335">
        <f t="shared" si="63"/>
        <v>2583.7911901734246</v>
      </c>
      <c r="J662" s="335">
        <f t="shared" si="63"/>
        <v>2162.2219005806387</v>
      </c>
      <c r="K662" s="335">
        <f t="shared" si="63"/>
        <v>1697.0891688607878</v>
      </c>
      <c r="L662" s="335">
        <f t="shared" si="63"/>
        <v>1184.2865161292668</v>
      </c>
      <c r="M662" s="335">
        <f t="shared" si="63"/>
        <v>618.42896433330122</v>
      </c>
      <c r="N662" s="335">
        <f t="shared" si="63"/>
        <v>0</v>
      </c>
      <c r="O662" s="304"/>
      <c r="P662" s="304"/>
    </row>
    <row r="663" spans="2:16" hidden="1">
      <c r="B663" s="299"/>
      <c r="C663" s="300">
        <v>10</v>
      </c>
      <c r="D663" s="301" t="s">
        <v>54</v>
      </c>
      <c r="E663" s="301"/>
      <c r="F663" s="335">
        <f t="shared" si="63"/>
        <v>0</v>
      </c>
      <c r="G663" s="335">
        <f t="shared" si="63"/>
        <v>0</v>
      </c>
      <c r="H663" s="335">
        <f t="shared" si="63"/>
        <v>0</v>
      </c>
      <c r="I663" s="335">
        <f t="shared" si="63"/>
        <v>0</v>
      </c>
      <c r="J663" s="335">
        <f t="shared" si="63"/>
        <v>0</v>
      </c>
      <c r="K663" s="335">
        <f t="shared" si="63"/>
        <v>0</v>
      </c>
      <c r="L663" s="335">
        <f t="shared" si="63"/>
        <v>0</v>
      </c>
      <c r="M663" s="335">
        <f t="shared" si="63"/>
        <v>0</v>
      </c>
      <c r="N663" s="335">
        <f t="shared" si="63"/>
        <v>0</v>
      </c>
      <c r="O663" s="304"/>
      <c r="P663" s="304"/>
    </row>
    <row r="664" spans="2:16" hidden="1">
      <c r="B664" s="299"/>
      <c r="C664" s="300">
        <v>11</v>
      </c>
      <c r="D664" s="301" t="s">
        <v>55</v>
      </c>
      <c r="E664" s="301"/>
      <c r="F664" s="335">
        <f t="shared" si="63"/>
        <v>0</v>
      </c>
      <c r="G664" s="335">
        <f t="shared" si="63"/>
        <v>0</v>
      </c>
      <c r="H664" s="335">
        <f t="shared" si="63"/>
        <v>0</v>
      </c>
      <c r="I664" s="335">
        <f t="shared" si="63"/>
        <v>0</v>
      </c>
      <c r="J664" s="335">
        <f t="shared" si="63"/>
        <v>0</v>
      </c>
      <c r="K664" s="335">
        <f t="shared" si="63"/>
        <v>0</v>
      </c>
      <c r="L664" s="335">
        <f t="shared" si="63"/>
        <v>0</v>
      </c>
      <c r="M664" s="335">
        <f t="shared" si="63"/>
        <v>0</v>
      </c>
      <c r="N664" s="335">
        <f t="shared" si="63"/>
        <v>0</v>
      </c>
      <c r="O664" s="304"/>
      <c r="P664" s="304"/>
    </row>
    <row r="665" spans="2:16" hidden="1">
      <c r="B665" s="299"/>
      <c r="C665" s="300">
        <v>12</v>
      </c>
      <c r="D665" s="301" t="s">
        <v>56</v>
      </c>
      <c r="E665" s="301"/>
      <c r="F665" s="335">
        <f t="shared" si="63"/>
        <v>0</v>
      </c>
      <c r="G665" s="335">
        <f t="shared" si="63"/>
        <v>0</v>
      </c>
      <c r="H665" s="335">
        <f t="shared" si="63"/>
        <v>0</v>
      </c>
      <c r="I665" s="335">
        <f t="shared" si="63"/>
        <v>0</v>
      </c>
      <c r="J665" s="335">
        <f t="shared" si="63"/>
        <v>0</v>
      </c>
      <c r="K665" s="335">
        <f t="shared" si="63"/>
        <v>0</v>
      </c>
      <c r="L665" s="335">
        <f t="shared" si="63"/>
        <v>0</v>
      </c>
      <c r="M665" s="335">
        <f t="shared" si="63"/>
        <v>0</v>
      </c>
      <c r="N665" s="335">
        <f t="shared" si="63"/>
        <v>0</v>
      </c>
      <c r="O665" s="304"/>
      <c r="P665" s="304"/>
    </row>
    <row r="666" spans="2:16" hidden="1">
      <c r="B666" s="299"/>
      <c r="C666" s="318">
        <v>13</v>
      </c>
      <c r="D666" s="319" t="s">
        <v>57</v>
      </c>
      <c r="E666" s="319"/>
      <c r="F666" s="336">
        <f t="shared" si="63"/>
        <v>0</v>
      </c>
      <c r="G666" s="337">
        <f t="shared" si="63"/>
        <v>0</v>
      </c>
      <c r="H666" s="337">
        <f t="shared" si="63"/>
        <v>0</v>
      </c>
      <c r="I666" s="337">
        <f t="shared" si="63"/>
        <v>0</v>
      </c>
      <c r="J666" s="337">
        <f t="shared" si="63"/>
        <v>0</v>
      </c>
      <c r="K666" s="337">
        <f t="shared" si="63"/>
        <v>0</v>
      </c>
      <c r="L666" s="337">
        <f t="shared" si="63"/>
        <v>0</v>
      </c>
      <c r="M666" s="337">
        <f t="shared" si="63"/>
        <v>0</v>
      </c>
      <c r="N666" s="337">
        <f t="shared" si="63"/>
        <v>0</v>
      </c>
      <c r="O666" s="304"/>
      <c r="P666" s="304"/>
    </row>
    <row r="667" spans="2:16" hidden="1">
      <c r="B667" s="299"/>
      <c r="C667" s="300"/>
      <c r="D667" s="301" t="s">
        <v>193</v>
      </c>
      <c r="E667" s="301"/>
      <c r="F667" s="335">
        <f>F580</f>
        <v>1672651.1289147851</v>
      </c>
      <c r="G667" s="335">
        <f>G580</f>
        <v>1724685.0990151383</v>
      </c>
      <c r="H667" s="335">
        <f t="shared" ref="H667:N667" si="64">H580</f>
        <v>1818612.4430257217</v>
      </c>
      <c r="I667" s="335">
        <f t="shared" si="64"/>
        <v>1912005.4807283345</v>
      </c>
      <c r="J667" s="335">
        <f t="shared" si="64"/>
        <v>2000055.258037091</v>
      </c>
      <c r="K667" s="335">
        <f t="shared" si="64"/>
        <v>2093076.6415949722</v>
      </c>
      <c r="L667" s="335">
        <f t="shared" si="64"/>
        <v>2190930.0548391449</v>
      </c>
      <c r="M667" s="335">
        <f t="shared" si="64"/>
        <v>2288187.1680332171</v>
      </c>
      <c r="N667" s="335">
        <f t="shared" si="64"/>
        <v>2390510.6792861409</v>
      </c>
      <c r="O667" s="304"/>
      <c r="P667" s="304"/>
    </row>
    <row r="668" spans="2:16" hidden="1">
      <c r="B668" s="299"/>
      <c r="C668" s="300"/>
      <c r="D668" s="301"/>
      <c r="E668" s="301"/>
      <c r="F668" s="315"/>
      <c r="G668" s="315"/>
      <c r="H668" s="315"/>
      <c r="I668" s="315"/>
      <c r="J668" s="315"/>
      <c r="K668" s="315"/>
      <c r="L668" s="315"/>
      <c r="M668" s="315"/>
      <c r="N668" s="315"/>
      <c r="O668" s="304"/>
      <c r="P668" s="304"/>
    </row>
    <row r="669" spans="2:16" hidden="1">
      <c r="B669" s="299"/>
      <c r="C669" s="338" t="s">
        <v>194</v>
      </c>
      <c r="D669" s="339"/>
      <c r="E669" s="302">
        <v>0.33</v>
      </c>
      <c r="F669" s="315"/>
      <c r="G669" s="315"/>
      <c r="H669" s="315"/>
      <c r="I669" s="315"/>
      <c r="J669" s="315"/>
      <c r="K669" s="315"/>
      <c r="L669" s="315"/>
      <c r="M669" s="315"/>
      <c r="N669" s="315"/>
      <c r="O669" s="304"/>
      <c r="P669" s="304"/>
    </row>
    <row r="670" spans="2:16" hidden="1">
      <c r="B670" s="299"/>
      <c r="C670" s="300"/>
      <c r="D670" s="301"/>
      <c r="E670" s="301"/>
      <c r="F670" s="315"/>
      <c r="G670" s="315"/>
      <c r="H670" s="315"/>
      <c r="I670" s="315"/>
      <c r="J670" s="315"/>
      <c r="K670" s="315"/>
      <c r="L670" s="315"/>
      <c r="M670" s="315"/>
      <c r="N670" s="315"/>
      <c r="O670" s="304"/>
      <c r="P670" s="304"/>
    </row>
    <row r="671" spans="2:16" hidden="1">
      <c r="B671" s="299"/>
      <c r="C671" s="300" t="s">
        <v>195</v>
      </c>
      <c r="D671" s="301"/>
      <c r="E671" s="301"/>
      <c r="F671" s="315"/>
      <c r="G671" s="315"/>
      <c r="H671" s="315"/>
      <c r="I671" s="315"/>
      <c r="J671" s="315"/>
      <c r="K671" s="315"/>
      <c r="L671" s="315"/>
      <c r="M671" s="315"/>
      <c r="N671" s="315"/>
      <c r="O671" s="304"/>
      <c r="P671" s="304"/>
    </row>
    <row r="672" spans="2:16" hidden="1">
      <c r="B672" s="299"/>
      <c r="C672" s="300"/>
      <c r="D672" s="301"/>
      <c r="E672" s="301"/>
      <c r="F672" s="315"/>
      <c r="G672" s="315"/>
      <c r="H672" s="315"/>
      <c r="I672" s="315"/>
      <c r="J672" s="315"/>
      <c r="K672" s="315"/>
      <c r="L672" s="315"/>
      <c r="M672" s="315"/>
      <c r="N672" s="315"/>
      <c r="O672" s="304"/>
      <c r="P672" s="304"/>
    </row>
    <row r="673" spans="2:16" hidden="1">
      <c r="B673" s="299"/>
      <c r="C673" s="309" t="s">
        <v>43</v>
      </c>
      <c r="D673" s="309" t="s">
        <v>109</v>
      </c>
      <c r="E673" s="309" t="s">
        <v>30</v>
      </c>
      <c r="F673" s="310">
        <v>2013</v>
      </c>
      <c r="G673" s="311">
        <v>2015</v>
      </c>
      <c r="H673" s="311">
        <v>2020</v>
      </c>
      <c r="I673" s="311">
        <v>2025</v>
      </c>
      <c r="J673" s="311">
        <v>2030</v>
      </c>
      <c r="K673" s="311">
        <v>2035</v>
      </c>
      <c r="L673" s="311">
        <v>2040</v>
      </c>
      <c r="M673" s="311">
        <v>2045</v>
      </c>
      <c r="N673" s="311">
        <v>2050</v>
      </c>
      <c r="O673" s="304"/>
      <c r="P673" s="304"/>
    </row>
    <row r="674" spans="2:16" hidden="1">
      <c r="B674" s="299"/>
      <c r="C674" s="300">
        <v>1</v>
      </c>
      <c r="D674" s="301" t="s">
        <v>45</v>
      </c>
      <c r="E674" s="301"/>
      <c r="F674" s="340">
        <f t="shared" ref="F674:N686" si="65">$E$669*F654</f>
        <v>93835.728332119455</v>
      </c>
      <c r="G674" s="334">
        <f t="shared" si="65"/>
        <v>91524.843024762828</v>
      </c>
      <c r="H674" s="334">
        <f t="shared" si="65"/>
        <v>82722.29031384569</v>
      </c>
      <c r="I674" s="334">
        <f t="shared" si="65"/>
        <v>72475.342884364596</v>
      </c>
      <c r="J674" s="334">
        <f t="shared" si="65"/>
        <v>60650.324311286946</v>
      </c>
      <c r="K674" s="334">
        <f t="shared" si="65"/>
        <v>47603.351186545136</v>
      </c>
      <c r="L674" s="334">
        <f t="shared" si="65"/>
        <v>33219.236777425976</v>
      </c>
      <c r="M674" s="334">
        <f t="shared" si="65"/>
        <v>17346.932449549142</v>
      </c>
      <c r="N674" s="334">
        <f t="shared" si="65"/>
        <v>0</v>
      </c>
      <c r="O674" s="304"/>
      <c r="P674" s="304"/>
    </row>
    <row r="675" spans="2:16" hidden="1">
      <c r="B675" s="299"/>
      <c r="C675" s="300">
        <v>2</v>
      </c>
      <c r="D675" s="301" t="s">
        <v>46</v>
      </c>
      <c r="E675" s="301"/>
      <c r="F675" s="341">
        <f t="shared" si="65"/>
        <v>86108.08011653315</v>
      </c>
      <c r="G675" s="335">
        <f t="shared" si="65"/>
        <v>111675.69081676942</v>
      </c>
      <c r="H675" s="335">
        <f t="shared" si="65"/>
        <v>178096.22502863241</v>
      </c>
      <c r="I675" s="335">
        <f t="shared" si="65"/>
        <v>250679.42127062567</v>
      </c>
      <c r="J675" s="335">
        <f t="shared" si="65"/>
        <v>328582.05112173676</v>
      </c>
      <c r="K675" s="335">
        <f t="shared" si="65"/>
        <v>413309.09618435637</v>
      </c>
      <c r="L675" s="335">
        <f t="shared" si="65"/>
        <v>505323.21356719703</v>
      </c>
      <c r="M675" s="335">
        <f t="shared" si="65"/>
        <v>603673.24924430926</v>
      </c>
      <c r="N675" s="335">
        <f t="shared" si="65"/>
        <v>709981.6717479839</v>
      </c>
      <c r="O675" s="304"/>
      <c r="P675" s="304"/>
    </row>
    <row r="676" spans="2:16" hidden="1">
      <c r="B676" s="299"/>
      <c r="C676" s="300">
        <v>3</v>
      </c>
      <c r="D676" s="301" t="s">
        <v>47</v>
      </c>
      <c r="E676" s="301"/>
      <c r="F676" s="341">
        <f t="shared" si="65"/>
        <v>19871.095411507646</v>
      </c>
      <c r="G676" s="335">
        <f t="shared" si="65"/>
        <v>22458.196775824152</v>
      </c>
      <c r="H676" s="335">
        <f t="shared" si="65"/>
        <v>28871.701325224567</v>
      </c>
      <c r="I676" s="335">
        <f t="shared" si="65"/>
        <v>35811.345895803679</v>
      </c>
      <c r="J676" s="335">
        <f t="shared" si="65"/>
        <v>43168.760245092453</v>
      </c>
      <c r="K676" s="335">
        <f t="shared" si="65"/>
        <v>51150.267549464152</v>
      </c>
      <c r="L676" s="335">
        <f t="shared" si="65"/>
        <v>59794.626199366707</v>
      </c>
      <c r="M676" s="335">
        <f t="shared" si="65"/>
        <v>68979.566681736484</v>
      </c>
      <c r="N676" s="335">
        <f t="shared" si="65"/>
        <v>78886.852416442649</v>
      </c>
      <c r="O676" s="304"/>
      <c r="P676" s="304"/>
    </row>
    <row r="677" spans="2:16" hidden="1">
      <c r="B677" s="299"/>
      <c r="C677" s="300">
        <v>4</v>
      </c>
      <c r="D677" s="301" t="s">
        <v>48</v>
      </c>
      <c r="E677" s="301"/>
      <c r="F677" s="341">
        <f t="shared" si="65"/>
        <v>341672.44610342319</v>
      </c>
      <c r="G677" s="335">
        <f t="shared" si="65"/>
        <v>333258.10489604814</v>
      </c>
      <c r="H677" s="335">
        <f t="shared" si="65"/>
        <v>301206.45708394394</v>
      </c>
      <c r="I677" s="335">
        <f t="shared" si="65"/>
        <v>263895.5132083628</v>
      </c>
      <c r="J677" s="335">
        <f t="shared" si="65"/>
        <v>220838.53381580356</v>
      </c>
      <c r="K677" s="335">
        <f t="shared" si="65"/>
        <v>173332.20226159663</v>
      </c>
      <c r="L677" s="335">
        <f t="shared" si="65"/>
        <v>120957.10332486276</v>
      </c>
      <c r="M677" s="335">
        <f t="shared" si="65"/>
        <v>63163.242272181822</v>
      </c>
      <c r="N677" s="335">
        <f t="shared" si="65"/>
        <v>0</v>
      </c>
      <c r="O677" s="304"/>
      <c r="P677" s="304"/>
    </row>
    <row r="678" spans="2:16" hidden="1">
      <c r="B678" s="299"/>
      <c r="C678" s="300">
        <v>5</v>
      </c>
      <c r="D678" s="301" t="s">
        <v>49</v>
      </c>
      <c r="E678" s="301"/>
      <c r="F678" s="341">
        <f t="shared" si="65"/>
        <v>8279.6230881281863</v>
      </c>
      <c r="G678" s="335">
        <f t="shared" si="65"/>
        <v>8075.7214433614254</v>
      </c>
      <c r="H678" s="335">
        <f t="shared" si="65"/>
        <v>7299.0256159275586</v>
      </c>
      <c r="I678" s="335">
        <f t="shared" si="65"/>
        <v>6394.8831956792264</v>
      </c>
      <c r="J678" s="335">
        <f t="shared" si="65"/>
        <v>5351.4992039370809</v>
      </c>
      <c r="K678" s="335">
        <f t="shared" si="65"/>
        <v>4200.2956929304501</v>
      </c>
      <c r="L678" s="335">
        <f t="shared" si="65"/>
        <v>2931.1091274199366</v>
      </c>
      <c r="M678" s="335">
        <f t="shared" si="65"/>
        <v>1530.6116867249211</v>
      </c>
      <c r="N678" s="335">
        <f t="shared" si="65"/>
        <v>0</v>
      </c>
      <c r="O678" s="304"/>
      <c r="P678" s="304"/>
    </row>
    <row r="679" spans="2:16" hidden="1">
      <c r="B679" s="299"/>
      <c r="C679" s="300">
        <v>6</v>
      </c>
      <c r="D679" s="301" t="s">
        <v>50</v>
      </c>
      <c r="E679" s="301"/>
      <c r="F679" s="341">
        <f t="shared" si="65"/>
        <v>0</v>
      </c>
      <c r="G679" s="335">
        <f t="shared" si="65"/>
        <v>0</v>
      </c>
      <c r="H679" s="335">
        <f t="shared" si="65"/>
        <v>0</v>
      </c>
      <c r="I679" s="335">
        <f t="shared" si="65"/>
        <v>0</v>
      </c>
      <c r="J679" s="335">
        <f t="shared" si="65"/>
        <v>0</v>
      </c>
      <c r="K679" s="335">
        <f t="shared" si="65"/>
        <v>0</v>
      </c>
      <c r="L679" s="335">
        <f t="shared" si="65"/>
        <v>0</v>
      </c>
      <c r="M679" s="335">
        <f t="shared" si="65"/>
        <v>0</v>
      </c>
      <c r="N679" s="335">
        <f t="shared" si="65"/>
        <v>0</v>
      </c>
      <c r="O679" s="304"/>
      <c r="P679" s="304"/>
    </row>
    <row r="680" spans="2:16" hidden="1">
      <c r="B680" s="299"/>
      <c r="C680" s="300">
        <v>7</v>
      </c>
      <c r="D680" s="301" t="s">
        <v>51</v>
      </c>
      <c r="E680" s="301"/>
      <c r="F680" s="341">
        <f t="shared" si="65"/>
        <v>0</v>
      </c>
      <c r="G680" s="335">
        <f t="shared" si="65"/>
        <v>0</v>
      </c>
      <c r="H680" s="335">
        <f t="shared" si="65"/>
        <v>0</v>
      </c>
      <c r="I680" s="335">
        <f t="shared" si="65"/>
        <v>0</v>
      </c>
      <c r="J680" s="335">
        <f t="shared" si="65"/>
        <v>0</v>
      </c>
      <c r="K680" s="335">
        <f t="shared" si="65"/>
        <v>0</v>
      </c>
      <c r="L680" s="335">
        <f t="shared" si="65"/>
        <v>0</v>
      </c>
      <c r="M680" s="335">
        <f t="shared" si="65"/>
        <v>0</v>
      </c>
      <c r="N680" s="335">
        <f t="shared" si="65"/>
        <v>0</v>
      </c>
      <c r="O680" s="304"/>
      <c r="P680" s="304"/>
    </row>
    <row r="681" spans="2:16" hidden="1">
      <c r="B681" s="299"/>
      <c r="C681" s="300">
        <v>8</v>
      </c>
      <c r="D681" s="301" t="s">
        <v>52</v>
      </c>
      <c r="E681" s="301"/>
      <c r="F681" s="341">
        <f t="shared" si="65"/>
        <v>551.97487254187911</v>
      </c>
      <c r="G681" s="335">
        <f t="shared" si="65"/>
        <v>538.38142955742831</v>
      </c>
      <c r="H681" s="335">
        <f t="shared" si="65"/>
        <v>486.60170772850392</v>
      </c>
      <c r="I681" s="335">
        <f t="shared" si="65"/>
        <v>426.32554637861506</v>
      </c>
      <c r="J681" s="335">
        <f t="shared" si="65"/>
        <v>356.76661359580538</v>
      </c>
      <c r="K681" s="335">
        <f t="shared" si="65"/>
        <v>280.01971286203002</v>
      </c>
      <c r="L681" s="335">
        <f t="shared" si="65"/>
        <v>195.40727516132904</v>
      </c>
      <c r="M681" s="335">
        <f t="shared" si="65"/>
        <v>102.04077911499471</v>
      </c>
      <c r="N681" s="335">
        <f t="shared" si="65"/>
        <v>0</v>
      </c>
      <c r="O681" s="304"/>
      <c r="P681" s="304"/>
    </row>
    <row r="682" spans="2:16" hidden="1">
      <c r="B682" s="299"/>
      <c r="C682" s="300">
        <v>9</v>
      </c>
      <c r="D682" s="301" t="s">
        <v>53</v>
      </c>
      <c r="E682" s="301"/>
      <c r="F682" s="341">
        <f t="shared" si="65"/>
        <v>1103.9497450837582</v>
      </c>
      <c r="G682" s="335">
        <f t="shared" si="65"/>
        <v>1076.7628591148566</v>
      </c>
      <c r="H682" s="335">
        <f t="shared" si="65"/>
        <v>973.20341545700785</v>
      </c>
      <c r="I682" s="335">
        <f t="shared" si="65"/>
        <v>852.65109275723012</v>
      </c>
      <c r="J682" s="335">
        <f t="shared" si="65"/>
        <v>713.53322719161076</v>
      </c>
      <c r="K682" s="335">
        <f t="shared" si="65"/>
        <v>560.03942572406004</v>
      </c>
      <c r="L682" s="335">
        <f t="shared" si="65"/>
        <v>390.81455032265808</v>
      </c>
      <c r="M682" s="335">
        <f t="shared" si="65"/>
        <v>204.08155822998941</v>
      </c>
      <c r="N682" s="335">
        <f t="shared" si="65"/>
        <v>0</v>
      </c>
      <c r="O682" s="304"/>
      <c r="P682" s="304"/>
    </row>
    <row r="683" spans="2:16" hidden="1">
      <c r="B683" s="299"/>
      <c r="C683" s="300">
        <v>10</v>
      </c>
      <c r="D683" s="301" t="s">
        <v>54</v>
      </c>
      <c r="E683" s="301"/>
      <c r="F683" s="341">
        <f t="shared" si="65"/>
        <v>0</v>
      </c>
      <c r="G683" s="335">
        <f t="shared" si="65"/>
        <v>0</v>
      </c>
      <c r="H683" s="335">
        <f t="shared" si="65"/>
        <v>0</v>
      </c>
      <c r="I683" s="335">
        <f t="shared" si="65"/>
        <v>0</v>
      </c>
      <c r="J683" s="335">
        <f t="shared" si="65"/>
        <v>0</v>
      </c>
      <c r="K683" s="335">
        <f t="shared" si="65"/>
        <v>0</v>
      </c>
      <c r="L683" s="335">
        <f t="shared" si="65"/>
        <v>0</v>
      </c>
      <c r="M683" s="335">
        <f t="shared" si="65"/>
        <v>0</v>
      </c>
      <c r="N683" s="335">
        <f t="shared" si="65"/>
        <v>0</v>
      </c>
      <c r="O683" s="304"/>
      <c r="P683" s="304"/>
    </row>
    <row r="684" spans="2:16" hidden="1">
      <c r="B684" s="299"/>
      <c r="C684" s="300">
        <v>11</v>
      </c>
      <c r="D684" s="301" t="s">
        <v>55</v>
      </c>
      <c r="E684" s="301"/>
      <c r="F684" s="341">
        <f t="shared" si="65"/>
        <v>0</v>
      </c>
      <c r="G684" s="335">
        <f t="shared" si="65"/>
        <v>0</v>
      </c>
      <c r="H684" s="335">
        <f t="shared" si="65"/>
        <v>0</v>
      </c>
      <c r="I684" s="335">
        <f t="shared" si="65"/>
        <v>0</v>
      </c>
      <c r="J684" s="335">
        <f t="shared" si="65"/>
        <v>0</v>
      </c>
      <c r="K684" s="335">
        <f t="shared" si="65"/>
        <v>0</v>
      </c>
      <c r="L684" s="335">
        <f t="shared" si="65"/>
        <v>0</v>
      </c>
      <c r="M684" s="335">
        <f t="shared" si="65"/>
        <v>0</v>
      </c>
      <c r="N684" s="335">
        <f t="shared" si="65"/>
        <v>0</v>
      </c>
      <c r="O684" s="304"/>
      <c r="P684" s="304"/>
    </row>
    <row r="685" spans="2:16" hidden="1">
      <c r="B685" s="299"/>
      <c r="C685" s="300">
        <v>12</v>
      </c>
      <c r="D685" s="301" t="s">
        <v>56</v>
      </c>
      <c r="E685" s="301"/>
      <c r="F685" s="341">
        <f t="shared" si="65"/>
        <v>0</v>
      </c>
      <c r="G685" s="335">
        <f t="shared" si="65"/>
        <v>0</v>
      </c>
      <c r="H685" s="335">
        <f t="shared" si="65"/>
        <v>0</v>
      </c>
      <c r="I685" s="335">
        <f t="shared" si="65"/>
        <v>0</v>
      </c>
      <c r="J685" s="335">
        <f t="shared" si="65"/>
        <v>0</v>
      </c>
      <c r="K685" s="335">
        <f t="shared" si="65"/>
        <v>0</v>
      </c>
      <c r="L685" s="335">
        <f t="shared" si="65"/>
        <v>0</v>
      </c>
      <c r="M685" s="335">
        <f t="shared" si="65"/>
        <v>0</v>
      </c>
      <c r="N685" s="335">
        <f t="shared" si="65"/>
        <v>0</v>
      </c>
      <c r="O685" s="304"/>
      <c r="P685" s="304"/>
    </row>
    <row r="686" spans="2:16" hidden="1">
      <c r="B686" s="299"/>
      <c r="C686" s="318">
        <v>13</v>
      </c>
      <c r="D686" s="319" t="s">
        <v>57</v>
      </c>
      <c r="E686" s="319"/>
      <c r="F686" s="336">
        <f t="shared" si="65"/>
        <v>0</v>
      </c>
      <c r="G686" s="337">
        <f t="shared" si="65"/>
        <v>0</v>
      </c>
      <c r="H686" s="337">
        <f t="shared" si="65"/>
        <v>0</v>
      </c>
      <c r="I686" s="337">
        <f t="shared" si="65"/>
        <v>0</v>
      </c>
      <c r="J686" s="337">
        <f t="shared" si="65"/>
        <v>0</v>
      </c>
      <c r="K686" s="337">
        <f t="shared" si="65"/>
        <v>0</v>
      </c>
      <c r="L686" s="337">
        <f t="shared" si="65"/>
        <v>0</v>
      </c>
      <c r="M686" s="337">
        <f t="shared" si="65"/>
        <v>0</v>
      </c>
      <c r="N686" s="337">
        <f t="shared" si="65"/>
        <v>0</v>
      </c>
      <c r="O686" s="304"/>
      <c r="P686" s="304"/>
    </row>
    <row r="687" spans="2:16" hidden="1">
      <c r="B687" s="299"/>
      <c r="C687" s="300"/>
      <c r="D687" s="301" t="s">
        <v>196</v>
      </c>
      <c r="E687" s="301"/>
      <c r="F687" s="335">
        <f>SUM(F674:F686)</f>
        <v>551422.89766933734</v>
      </c>
      <c r="G687" s="335">
        <f t="shared" ref="G687:N687" si="66">SUM(G674:G686)</f>
        <v>568607.70124543831</v>
      </c>
      <c r="H687" s="335">
        <f t="shared" si="66"/>
        <v>599655.50449075969</v>
      </c>
      <c r="I687" s="335">
        <f t="shared" si="66"/>
        <v>630535.48309397174</v>
      </c>
      <c r="J687" s="335">
        <f t="shared" si="66"/>
        <v>659661.46853864426</v>
      </c>
      <c r="K687" s="335">
        <f t="shared" si="66"/>
        <v>690435.2720134788</v>
      </c>
      <c r="L687" s="335">
        <f t="shared" si="66"/>
        <v>722811.51082175656</v>
      </c>
      <c r="M687" s="335">
        <f t="shared" si="66"/>
        <v>754999.7246718466</v>
      </c>
      <c r="N687" s="335">
        <f t="shared" si="66"/>
        <v>788868.52416442661</v>
      </c>
      <c r="O687" s="304"/>
      <c r="P687" s="304"/>
    </row>
    <row r="688" spans="2:16" hidden="1">
      <c r="B688" s="299"/>
      <c r="C688" s="300"/>
      <c r="D688" s="301"/>
      <c r="E688" s="301"/>
      <c r="F688" s="315"/>
      <c r="G688" s="315"/>
      <c r="H688" s="315"/>
      <c r="I688" s="315"/>
      <c r="J688" s="315"/>
      <c r="K688" s="315"/>
      <c r="L688" s="315"/>
      <c r="M688" s="315"/>
      <c r="N688" s="315"/>
      <c r="O688" s="304"/>
      <c r="P688" s="304"/>
    </row>
    <row r="689" spans="2:16" hidden="1">
      <c r="B689" s="299"/>
      <c r="C689" s="300" t="s">
        <v>197</v>
      </c>
      <c r="D689" s="301"/>
      <c r="E689" s="301"/>
      <c r="F689" s="315"/>
      <c r="G689" s="315"/>
      <c r="H689" s="315"/>
      <c r="I689" s="315"/>
      <c r="J689" s="315"/>
      <c r="K689" s="315"/>
      <c r="L689" s="315"/>
      <c r="M689" s="315"/>
      <c r="N689" s="315"/>
      <c r="O689" s="304"/>
      <c r="P689" s="304"/>
    </row>
    <row r="690" spans="2:16" hidden="1">
      <c r="B690" s="299"/>
      <c r="C690" s="300"/>
      <c r="D690" s="301"/>
      <c r="E690" s="301"/>
      <c r="F690" s="315"/>
      <c r="G690" s="315"/>
      <c r="H690" s="315"/>
      <c r="I690" s="315"/>
      <c r="J690" s="315"/>
      <c r="K690" s="315"/>
      <c r="L690" s="315"/>
      <c r="M690" s="315"/>
      <c r="N690" s="315"/>
      <c r="O690" s="304"/>
      <c r="P690" s="304"/>
    </row>
    <row r="691" spans="2:16" hidden="1">
      <c r="B691" s="299"/>
      <c r="C691" s="309" t="s">
        <v>43</v>
      </c>
      <c r="D691" s="309" t="s">
        <v>109</v>
      </c>
      <c r="E691" s="309" t="s">
        <v>30</v>
      </c>
      <c r="F691" s="310">
        <v>2013</v>
      </c>
      <c r="G691" s="311">
        <v>2015</v>
      </c>
      <c r="H691" s="311">
        <v>2020</v>
      </c>
      <c r="I691" s="311">
        <v>2025</v>
      </c>
      <c r="J691" s="311">
        <v>2030</v>
      </c>
      <c r="K691" s="311">
        <v>2035</v>
      </c>
      <c r="L691" s="311">
        <v>2040</v>
      </c>
      <c r="M691" s="311">
        <v>2045</v>
      </c>
      <c r="N691" s="311">
        <v>2050</v>
      </c>
      <c r="O691" s="304"/>
      <c r="P691" s="304"/>
    </row>
    <row r="692" spans="2:16" hidden="1">
      <c r="B692" s="299"/>
      <c r="C692" s="300">
        <v>1</v>
      </c>
      <c r="D692" s="301" t="s">
        <v>45</v>
      </c>
      <c r="E692" s="301"/>
      <c r="F692" s="340"/>
      <c r="G692" s="334">
        <f t="shared" ref="G692:N704" si="67">IF(G654-F654+F674&gt;0,G654-F654+F674,0)</f>
        <v>86833.045582553939</v>
      </c>
      <c r="H692" s="334">
        <f t="shared" si="67"/>
        <v>64850.440870468461</v>
      </c>
      <c r="I692" s="334">
        <f t="shared" si="67"/>
        <v>51670.934466933293</v>
      </c>
      <c r="J692" s="334">
        <f t="shared" si="67"/>
        <v>36641.953268977755</v>
      </c>
      <c r="K692" s="334">
        <f t="shared" si="67"/>
        <v>21114.042115099648</v>
      </c>
      <c r="L692" s="334">
        <f t="shared" si="67"/>
        <v>4015.125704365877</v>
      </c>
      <c r="M692" s="334">
        <f t="shared" si="67"/>
        <v>0</v>
      </c>
      <c r="N692" s="334">
        <f t="shared" si="67"/>
        <v>0</v>
      </c>
      <c r="O692" s="304"/>
      <c r="P692" s="304"/>
    </row>
    <row r="693" spans="2:16" hidden="1">
      <c r="B693" s="299"/>
      <c r="C693" s="300">
        <v>2</v>
      </c>
      <c r="D693" s="301" t="s">
        <v>46</v>
      </c>
      <c r="E693" s="301"/>
      <c r="F693" s="341"/>
      <c r="G693" s="335">
        <f t="shared" si="67"/>
        <v>163585.68829906732</v>
      </c>
      <c r="H693" s="335">
        <f t="shared" si="67"/>
        <v>312950.03691332397</v>
      </c>
      <c r="I693" s="335">
        <f t="shared" si="67"/>
        <v>398045.3045498241</v>
      </c>
      <c r="J693" s="335">
        <f t="shared" si="67"/>
        <v>486747.99657702283</v>
      </c>
      <c r="K693" s="335">
        <f t="shared" si="67"/>
        <v>585330.67252361437</v>
      </c>
      <c r="L693" s="335">
        <f t="shared" si="67"/>
        <v>692139.75492023723</v>
      </c>
      <c r="M693" s="335">
        <f t="shared" si="67"/>
        <v>803353.62470996124</v>
      </c>
      <c r="N693" s="335">
        <f t="shared" si="67"/>
        <v>925819.98410392948</v>
      </c>
      <c r="O693" s="304"/>
      <c r="P693" s="304"/>
    </row>
    <row r="694" spans="2:16" hidden="1">
      <c r="B694" s="299"/>
      <c r="C694" s="300">
        <v>3</v>
      </c>
      <c r="D694" s="301" t="s">
        <v>47</v>
      </c>
      <c r="E694" s="301"/>
      <c r="F694" s="341"/>
      <c r="G694" s="335">
        <f t="shared" si="67"/>
        <v>27710.796515497052</v>
      </c>
      <c r="H694" s="335">
        <f t="shared" si="67"/>
        <v>41893.059046734503</v>
      </c>
      <c r="I694" s="335">
        <f t="shared" si="67"/>
        <v>49900.927296676411</v>
      </c>
      <c r="J694" s="335">
        <f t="shared" si="67"/>
        <v>58106.54089364846</v>
      </c>
      <c r="K694" s="335">
        <f t="shared" si="67"/>
        <v>67355.146015915787</v>
      </c>
      <c r="L694" s="335">
        <f t="shared" si="67"/>
        <v>77345.293761290086</v>
      </c>
      <c r="M694" s="335">
        <f t="shared" si="67"/>
        <v>87627.779176244803</v>
      </c>
      <c r="N694" s="335">
        <f t="shared" si="67"/>
        <v>99001.644665694577</v>
      </c>
      <c r="O694" s="304"/>
      <c r="P694" s="304"/>
    </row>
    <row r="695" spans="2:16" hidden="1">
      <c r="B695" s="299"/>
      <c r="C695" s="300">
        <v>4</v>
      </c>
      <c r="D695" s="301" t="s">
        <v>48</v>
      </c>
      <c r="E695" s="301"/>
      <c r="F695" s="341"/>
      <c r="G695" s="335">
        <f t="shared" si="67"/>
        <v>316174.44244471093</v>
      </c>
      <c r="H695" s="335">
        <f t="shared" si="67"/>
        <v>236131.89940482326</v>
      </c>
      <c r="I695" s="335">
        <f t="shared" si="67"/>
        <v>188142.99079430412</v>
      </c>
      <c r="J695" s="335">
        <f t="shared" si="67"/>
        <v>133419.81807939551</v>
      </c>
      <c r="K695" s="335">
        <f t="shared" si="67"/>
        <v>76879.953348509822</v>
      </c>
      <c r="L695" s="335">
        <f t="shared" si="67"/>
        <v>14619.781241190969</v>
      </c>
      <c r="M695" s="335">
        <f t="shared" si="67"/>
        <v>0</v>
      </c>
      <c r="N695" s="335">
        <f t="shared" si="67"/>
        <v>0</v>
      </c>
      <c r="O695" s="304"/>
      <c r="P695" s="304"/>
    </row>
    <row r="696" spans="2:16" hidden="1">
      <c r="B696" s="299"/>
      <c r="C696" s="300">
        <v>5</v>
      </c>
      <c r="D696" s="301" t="s">
        <v>49</v>
      </c>
      <c r="E696" s="301"/>
      <c r="F696" s="341"/>
      <c r="G696" s="335">
        <f t="shared" si="67"/>
        <v>7661.7393161076998</v>
      </c>
      <c r="H696" s="335">
        <f t="shared" si="67"/>
        <v>5722.0977238648602</v>
      </c>
      <c r="I696" s="335">
        <f t="shared" si="67"/>
        <v>4559.2001000235205</v>
      </c>
      <c r="J696" s="335">
        <f t="shared" si="67"/>
        <v>3233.1135237333319</v>
      </c>
      <c r="K696" s="335">
        <f t="shared" si="67"/>
        <v>1863.0037160381999</v>
      </c>
      <c r="L696" s="335">
        <f t="shared" si="67"/>
        <v>354.27579744404557</v>
      </c>
      <c r="M696" s="335">
        <f t="shared" si="67"/>
        <v>0</v>
      </c>
      <c r="N696" s="335">
        <f t="shared" si="67"/>
        <v>0</v>
      </c>
      <c r="O696" s="304"/>
      <c r="P696" s="304"/>
    </row>
    <row r="697" spans="2:16" hidden="1">
      <c r="B697" s="299"/>
      <c r="C697" s="300">
        <v>6</v>
      </c>
      <c r="D697" s="301" t="s">
        <v>50</v>
      </c>
      <c r="E697" s="301"/>
      <c r="F697" s="341"/>
      <c r="G697" s="335">
        <f t="shared" si="67"/>
        <v>0</v>
      </c>
      <c r="H697" s="335">
        <f t="shared" si="67"/>
        <v>0</v>
      </c>
      <c r="I697" s="335">
        <f t="shared" si="67"/>
        <v>0</v>
      </c>
      <c r="J697" s="335">
        <f t="shared" si="67"/>
        <v>0</v>
      </c>
      <c r="K697" s="335">
        <f t="shared" si="67"/>
        <v>0</v>
      </c>
      <c r="L697" s="335">
        <f t="shared" si="67"/>
        <v>0</v>
      </c>
      <c r="M697" s="335">
        <f t="shared" si="67"/>
        <v>0</v>
      </c>
      <c r="N697" s="335">
        <f t="shared" si="67"/>
        <v>0</v>
      </c>
      <c r="O697" s="304"/>
      <c r="P697" s="304"/>
    </row>
    <row r="698" spans="2:16" hidden="1">
      <c r="B698" s="299"/>
      <c r="C698" s="300">
        <v>7</v>
      </c>
      <c r="D698" s="301" t="s">
        <v>51</v>
      </c>
      <c r="E698" s="301"/>
      <c r="F698" s="341"/>
      <c r="G698" s="335">
        <f t="shared" si="67"/>
        <v>0</v>
      </c>
      <c r="H698" s="335">
        <f t="shared" si="67"/>
        <v>0</v>
      </c>
      <c r="I698" s="335">
        <f t="shared" si="67"/>
        <v>0</v>
      </c>
      <c r="J698" s="335">
        <f t="shared" si="67"/>
        <v>0</v>
      </c>
      <c r="K698" s="335">
        <f t="shared" si="67"/>
        <v>0</v>
      </c>
      <c r="L698" s="335">
        <f t="shared" si="67"/>
        <v>0</v>
      </c>
      <c r="M698" s="335">
        <f t="shared" si="67"/>
        <v>0</v>
      </c>
      <c r="N698" s="335">
        <f t="shared" si="67"/>
        <v>0</v>
      </c>
      <c r="O698" s="304"/>
      <c r="P698" s="304"/>
    </row>
    <row r="699" spans="2:16" hidden="1">
      <c r="B699" s="299"/>
      <c r="C699" s="300">
        <v>8</v>
      </c>
      <c r="D699" s="301" t="s">
        <v>52</v>
      </c>
      <c r="E699" s="301"/>
      <c r="F699" s="341"/>
      <c r="G699" s="335">
        <f t="shared" si="67"/>
        <v>510.78262107384637</v>
      </c>
      <c r="H699" s="335">
        <f t="shared" si="67"/>
        <v>381.47318159099075</v>
      </c>
      <c r="I699" s="335">
        <f t="shared" si="67"/>
        <v>303.94667333490133</v>
      </c>
      <c r="J699" s="335">
        <f t="shared" si="67"/>
        <v>215.54090158222209</v>
      </c>
      <c r="K699" s="335">
        <f t="shared" si="67"/>
        <v>124.20024773587994</v>
      </c>
      <c r="L699" s="335">
        <f t="shared" si="67"/>
        <v>23.618386496269522</v>
      </c>
      <c r="M699" s="335">
        <f t="shared" si="67"/>
        <v>0</v>
      </c>
      <c r="N699" s="335">
        <f t="shared" si="67"/>
        <v>0</v>
      </c>
      <c r="O699" s="304"/>
      <c r="P699" s="304"/>
    </row>
    <row r="700" spans="2:16" hidden="1">
      <c r="B700" s="299"/>
      <c r="C700" s="300">
        <v>9</v>
      </c>
      <c r="D700" s="301" t="s">
        <v>53</v>
      </c>
      <c r="E700" s="301"/>
      <c r="F700" s="341"/>
      <c r="G700" s="335">
        <f t="shared" si="67"/>
        <v>1021.5652421476927</v>
      </c>
      <c r="H700" s="335">
        <f t="shared" si="67"/>
        <v>762.9463631819815</v>
      </c>
      <c r="I700" s="335">
        <f t="shared" si="67"/>
        <v>607.89334666980267</v>
      </c>
      <c r="J700" s="335">
        <f t="shared" si="67"/>
        <v>431.08180316444418</v>
      </c>
      <c r="K700" s="335">
        <f t="shared" si="67"/>
        <v>248.40049547175988</v>
      </c>
      <c r="L700" s="335">
        <f t="shared" si="67"/>
        <v>47.236772992539045</v>
      </c>
      <c r="M700" s="335">
        <f t="shared" si="67"/>
        <v>0</v>
      </c>
      <c r="N700" s="335">
        <f t="shared" si="67"/>
        <v>0</v>
      </c>
      <c r="O700" s="304"/>
      <c r="P700" s="304"/>
    </row>
    <row r="701" spans="2:16" hidden="1">
      <c r="B701" s="299"/>
      <c r="C701" s="300">
        <v>10</v>
      </c>
      <c r="D701" s="301" t="s">
        <v>54</v>
      </c>
      <c r="E701" s="301"/>
      <c r="F701" s="341"/>
      <c r="G701" s="335">
        <f t="shared" si="67"/>
        <v>0</v>
      </c>
      <c r="H701" s="335">
        <f t="shared" si="67"/>
        <v>0</v>
      </c>
      <c r="I701" s="335">
        <f t="shared" si="67"/>
        <v>0</v>
      </c>
      <c r="J701" s="335">
        <f t="shared" si="67"/>
        <v>0</v>
      </c>
      <c r="K701" s="335">
        <f t="shared" si="67"/>
        <v>0</v>
      </c>
      <c r="L701" s="335">
        <f t="shared" si="67"/>
        <v>0</v>
      </c>
      <c r="M701" s="335">
        <f t="shared" si="67"/>
        <v>0</v>
      </c>
      <c r="N701" s="335">
        <f t="shared" si="67"/>
        <v>0</v>
      </c>
      <c r="O701" s="304"/>
      <c r="P701" s="304"/>
    </row>
    <row r="702" spans="2:16" hidden="1">
      <c r="B702" s="299"/>
      <c r="C702" s="300">
        <v>11</v>
      </c>
      <c r="D702" s="301" t="s">
        <v>55</v>
      </c>
      <c r="E702" s="301"/>
      <c r="F702" s="341"/>
      <c r="G702" s="335">
        <f t="shared" si="67"/>
        <v>0</v>
      </c>
      <c r="H702" s="335">
        <f t="shared" si="67"/>
        <v>0</v>
      </c>
      <c r="I702" s="335">
        <f t="shared" si="67"/>
        <v>0</v>
      </c>
      <c r="J702" s="335">
        <f t="shared" si="67"/>
        <v>0</v>
      </c>
      <c r="K702" s="335">
        <f t="shared" si="67"/>
        <v>0</v>
      </c>
      <c r="L702" s="335">
        <f t="shared" si="67"/>
        <v>0</v>
      </c>
      <c r="M702" s="335">
        <f t="shared" si="67"/>
        <v>0</v>
      </c>
      <c r="N702" s="335">
        <f t="shared" si="67"/>
        <v>0</v>
      </c>
      <c r="O702" s="304"/>
      <c r="P702" s="304"/>
    </row>
    <row r="703" spans="2:16" hidden="1">
      <c r="B703" s="299"/>
      <c r="C703" s="300">
        <v>12</v>
      </c>
      <c r="D703" s="301" t="s">
        <v>56</v>
      </c>
      <c r="E703" s="301"/>
      <c r="F703" s="341"/>
      <c r="G703" s="335">
        <f t="shared" si="67"/>
        <v>0</v>
      </c>
      <c r="H703" s="335">
        <f t="shared" si="67"/>
        <v>0</v>
      </c>
      <c r="I703" s="335">
        <f t="shared" si="67"/>
        <v>0</v>
      </c>
      <c r="J703" s="335">
        <f t="shared" si="67"/>
        <v>0</v>
      </c>
      <c r="K703" s="335">
        <f t="shared" si="67"/>
        <v>0</v>
      </c>
      <c r="L703" s="335">
        <f t="shared" si="67"/>
        <v>0</v>
      </c>
      <c r="M703" s="335">
        <f t="shared" si="67"/>
        <v>0</v>
      </c>
      <c r="N703" s="335">
        <f t="shared" si="67"/>
        <v>0</v>
      </c>
      <c r="O703" s="304"/>
      <c r="P703" s="304"/>
    </row>
    <row r="704" spans="2:16" hidden="1">
      <c r="B704" s="299"/>
      <c r="C704" s="318">
        <v>13</v>
      </c>
      <c r="D704" s="319" t="s">
        <v>57</v>
      </c>
      <c r="E704" s="319"/>
      <c r="F704" s="336"/>
      <c r="G704" s="337">
        <f t="shared" si="67"/>
        <v>0</v>
      </c>
      <c r="H704" s="337">
        <f t="shared" si="67"/>
        <v>0</v>
      </c>
      <c r="I704" s="337">
        <f t="shared" si="67"/>
        <v>0</v>
      </c>
      <c r="J704" s="337">
        <f t="shared" si="67"/>
        <v>0</v>
      </c>
      <c r="K704" s="337">
        <f t="shared" si="67"/>
        <v>0</v>
      </c>
      <c r="L704" s="337">
        <f t="shared" si="67"/>
        <v>0</v>
      </c>
      <c r="M704" s="337">
        <f t="shared" si="67"/>
        <v>0</v>
      </c>
      <c r="N704" s="337">
        <f t="shared" si="67"/>
        <v>0</v>
      </c>
      <c r="O704" s="304"/>
      <c r="P704" s="304"/>
    </row>
    <row r="705" spans="2:16" hidden="1">
      <c r="B705" s="299"/>
      <c r="C705" s="300"/>
      <c r="D705" s="301" t="s">
        <v>193</v>
      </c>
      <c r="E705" s="301"/>
      <c r="F705" s="335"/>
      <c r="G705" s="335">
        <f>SUM(G692:G704)</f>
        <v>603498.06002115854</v>
      </c>
      <c r="H705" s="335">
        <f t="shared" ref="H705:N705" si="68">SUM(H692:H704)</f>
        <v>662691.95350398787</v>
      </c>
      <c r="I705" s="335">
        <f t="shared" si="68"/>
        <v>693231.19722776616</v>
      </c>
      <c r="J705" s="335">
        <f t="shared" si="68"/>
        <v>718796.04504752462</v>
      </c>
      <c r="K705" s="335">
        <f t="shared" si="68"/>
        <v>752915.41846238542</v>
      </c>
      <c r="L705" s="335">
        <f t="shared" si="68"/>
        <v>788545.08658401703</v>
      </c>
      <c r="M705" s="335">
        <f t="shared" si="68"/>
        <v>890981.40388620598</v>
      </c>
      <c r="N705" s="335">
        <f t="shared" si="68"/>
        <v>1024821.628769624</v>
      </c>
      <c r="O705" s="304"/>
      <c r="P705" s="304"/>
    </row>
    <row r="706" spans="2:16" hidden="1">
      <c r="B706" s="299"/>
      <c r="C706" s="300"/>
      <c r="D706" s="301"/>
      <c r="E706" s="301"/>
      <c r="F706" s="335"/>
      <c r="G706" s="335"/>
      <c r="H706" s="335"/>
      <c r="I706" s="335"/>
      <c r="J706" s="335"/>
      <c r="K706" s="335"/>
      <c r="L706" s="335"/>
      <c r="M706" s="335"/>
      <c r="N706" s="335"/>
      <c r="O706" s="304"/>
      <c r="P706" s="304"/>
    </row>
    <row r="707" spans="2:16" hidden="1">
      <c r="B707" s="299"/>
      <c r="C707" s="300" t="s">
        <v>198</v>
      </c>
      <c r="D707" s="301"/>
      <c r="E707" s="301"/>
      <c r="F707" s="335"/>
      <c r="G707" s="335"/>
      <c r="H707" s="335"/>
      <c r="I707" s="335"/>
      <c r="J707" s="335"/>
      <c r="K707" s="335"/>
      <c r="L707" s="335"/>
      <c r="M707" s="335"/>
      <c r="N707" s="335"/>
      <c r="O707" s="304"/>
      <c r="P707" s="304"/>
    </row>
    <row r="708" spans="2:16" hidden="1">
      <c r="B708" s="299"/>
      <c r="C708" s="300"/>
      <c r="D708" s="301"/>
      <c r="E708" s="301"/>
      <c r="F708" s="335"/>
      <c r="G708" s="335"/>
      <c r="H708" s="335"/>
      <c r="I708" s="335"/>
      <c r="J708" s="335"/>
      <c r="K708" s="335"/>
      <c r="L708" s="335"/>
      <c r="M708" s="335"/>
      <c r="N708" s="335"/>
      <c r="O708" s="304"/>
      <c r="P708" s="304"/>
    </row>
    <row r="709" spans="2:16" hidden="1">
      <c r="B709" s="299"/>
      <c r="C709" s="309" t="s">
        <v>43</v>
      </c>
      <c r="D709" s="309" t="s">
        <v>109</v>
      </c>
      <c r="E709" s="309" t="s">
        <v>30</v>
      </c>
      <c r="F709" s="310">
        <v>2013</v>
      </c>
      <c r="G709" s="310">
        <v>2015</v>
      </c>
      <c r="H709" s="310">
        <v>2020</v>
      </c>
      <c r="I709" s="310">
        <v>2025</v>
      </c>
      <c r="J709" s="310">
        <v>2030</v>
      </c>
      <c r="K709" s="310">
        <v>2035</v>
      </c>
      <c r="L709" s="310">
        <v>2040</v>
      </c>
      <c r="M709" s="310">
        <v>2045</v>
      </c>
      <c r="N709" s="310">
        <v>2050</v>
      </c>
      <c r="O709" s="304"/>
      <c r="P709" s="304"/>
    </row>
    <row r="710" spans="2:16" hidden="1">
      <c r="B710" s="299"/>
      <c r="C710" s="300"/>
      <c r="D710" s="301" t="s">
        <v>199</v>
      </c>
      <c r="E710" s="301" t="s">
        <v>200</v>
      </c>
      <c r="F710" s="335"/>
      <c r="G710" s="335">
        <f t="shared" ref="G710:N710" si="69">(SUM(G663:G666))-(SUM(F663:F666))</f>
        <v>0</v>
      </c>
      <c r="H710" s="335">
        <f t="shared" si="69"/>
        <v>0</v>
      </c>
      <c r="I710" s="335">
        <f t="shared" si="69"/>
        <v>0</v>
      </c>
      <c r="J710" s="335">
        <f t="shared" si="69"/>
        <v>0</v>
      </c>
      <c r="K710" s="335">
        <f t="shared" si="69"/>
        <v>0</v>
      </c>
      <c r="L710" s="335">
        <f t="shared" si="69"/>
        <v>0</v>
      </c>
      <c r="M710" s="335">
        <f t="shared" si="69"/>
        <v>0</v>
      </c>
      <c r="N710" s="335">
        <f t="shared" si="69"/>
        <v>0</v>
      </c>
      <c r="O710" s="304"/>
      <c r="P710" s="304"/>
    </row>
    <row r="711" spans="2:16" hidden="1">
      <c r="B711" s="299"/>
      <c r="C711" s="300"/>
      <c r="D711" s="301" t="s">
        <v>199</v>
      </c>
      <c r="E711" s="301" t="s">
        <v>201</v>
      </c>
      <c r="F711" s="335"/>
      <c r="G711" s="335"/>
      <c r="H711" s="335">
        <f t="shared" ref="H711:N711" si="70">H710-G710</f>
        <v>0</v>
      </c>
      <c r="I711" s="335">
        <f t="shared" si="70"/>
        <v>0</v>
      </c>
      <c r="J711" s="335">
        <f t="shared" si="70"/>
        <v>0</v>
      </c>
      <c r="K711" s="335">
        <f t="shared" si="70"/>
        <v>0</v>
      </c>
      <c r="L711" s="335">
        <f t="shared" si="70"/>
        <v>0</v>
      </c>
      <c r="M711" s="335">
        <f t="shared" si="70"/>
        <v>0</v>
      </c>
      <c r="N711" s="335">
        <f t="shared" si="70"/>
        <v>0</v>
      </c>
      <c r="O711" s="304"/>
      <c r="P711" s="304"/>
    </row>
    <row r="712" spans="2:16" hidden="1">
      <c r="B712" s="299"/>
      <c r="C712" s="300"/>
      <c r="D712" s="301"/>
      <c r="E712" s="301"/>
      <c r="F712" s="335"/>
      <c r="G712" s="335"/>
      <c r="H712" s="335"/>
      <c r="I712" s="335"/>
      <c r="J712" s="335"/>
      <c r="K712" s="335"/>
      <c r="L712" s="335"/>
      <c r="M712" s="335"/>
      <c r="N712" s="335"/>
      <c r="O712" s="304"/>
      <c r="P712" s="304"/>
    </row>
    <row r="713" spans="2:16" hidden="1">
      <c r="B713" s="299"/>
      <c r="C713" s="333" t="s">
        <v>202</v>
      </c>
      <c r="D713" s="301"/>
      <c r="E713" s="301"/>
      <c r="F713" s="335"/>
      <c r="G713" s="335"/>
      <c r="H713" s="335"/>
      <c r="I713" s="335"/>
      <c r="J713" s="335"/>
      <c r="K713" s="335"/>
      <c r="L713" s="335"/>
      <c r="M713" s="335"/>
      <c r="N713" s="335"/>
      <c r="O713" s="304"/>
      <c r="P713" s="304"/>
    </row>
    <row r="714" spans="2:16" hidden="1">
      <c r="B714" s="299"/>
      <c r="C714" s="300"/>
      <c r="D714" s="301"/>
      <c r="E714" s="301"/>
      <c r="F714" s="335"/>
      <c r="G714" s="335"/>
      <c r="H714" s="335"/>
      <c r="I714" s="335"/>
      <c r="J714" s="335"/>
      <c r="K714" s="335"/>
      <c r="L714" s="335"/>
      <c r="M714" s="335"/>
      <c r="N714" s="335"/>
      <c r="O714" s="304"/>
      <c r="P714" s="304"/>
    </row>
    <row r="715" spans="2:16" hidden="1">
      <c r="B715" s="299"/>
      <c r="C715" s="303" t="s">
        <v>203</v>
      </c>
      <c r="D715" s="303"/>
      <c r="E715" s="303"/>
      <c r="F715" s="303"/>
      <c r="G715" s="303"/>
      <c r="H715" s="303"/>
      <c r="I715" s="303"/>
      <c r="J715" s="303"/>
      <c r="K715" s="303"/>
      <c r="L715" s="303"/>
      <c r="M715" s="303"/>
      <c r="N715" s="303"/>
      <c r="O715" s="304"/>
      <c r="P715" s="304"/>
    </row>
    <row r="716" spans="2:16" hidden="1">
      <c r="B716" s="299"/>
      <c r="C716" s="303"/>
      <c r="D716" s="303"/>
      <c r="E716" s="303"/>
      <c r="F716" s="303"/>
      <c r="G716" s="303"/>
      <c r="H716" s="303"/>
      <c r="I716" s="303"/>
      <c r="J716" s="303"/>
      <c r="K716" s="303"/>
      <c r="L716" s="303"/>
      <c r="M716" s="303"/>
      <c r="N716" s="303"/>
      <c r="O716" s="304"/>
      <c r="P716" s="304"/>
    </row>
    <row r="717" spans="2:16" ht="15.5" hidden="1">
      <c r="B717" s="55"/>
      <c r="C717" s="52" t="s">
        <v>43</v>
      </c>
      <c r="D717" s="52" t="s">
        <v>109</v>
      </c>
      <c r="E717" s="52" t="s">
        <v>30</v>
      </c>
      <c r="F717" s="53">
        <v>2013</v>
      </c>
      <c r="G717" s="112">
        <v>2015</v>
      </c>
      <c r="H717" s="112">
        <v>2020</v>
      </c>
      <c r="I717" s="112">
        <v>2025</v>
      </c>
      <c r="J717" s="112">
        <v>2030</v>
      </c>
      <c r="K717" s="112">
        <v>2035</v>
      </c>
      <c r="L717" s="112">
        <v>2040</v>
      </c>
      <c r="M717" s="112">
        <v>2045</v>
      </c>
      <c r="N717" s="112">
        <v>2050</v>
      </c>
      <c r="O717" s="48"/>
      <c r="P717" s="304"/>
    </row>
    <row r="718" spans="2:16" ht="15.5" hidden="1">
      <c r="B718" s="55"/>
      <c r="C718" s="56">
        <v>1</v>
      </c>
      <c r="D718" s="57" t="s">
        <v>60</v>
      </c>
      <c r="E718" s="57"/>
      <c r="F718" s="342">
        <f>F644*F$580</f>
        <v>0</v>
      </c>
      <c r="G718" s="157">
        <f t="shared" ref="G718:N720" si="71">G$721*$F615</f>
        <v>0</v>
      </c>
      <c r="H718" s="157">
        <f t="shared" si="71"/>
        <v>0</v>
      </c>
      <c r="I718" s="157">
        <f t="shared" si="71"/>
        <v>0</v>
      </c>
      <c r="J718" s="157">
        <f t="shared" si="71"/>
        <v>0</v>
      </c>
      <c r="K718" s="157">
        <f t="shared" si="71"/>
        <v>0</v>
      </c>
      <c r="L718" s="157">
        <f t="shared" si="71"/>
        <v>0</v>
      </c>
      <c r="M718" s="157">
        <f t="shared" si="71"/>
        <v>0</v>
      </c>
      <c r="N718" s="157" t="e">
        <f t="shared" si="71"/>
        <v>#DIV/0!</v>
      </c>
      <c r="O718" s="48"/>
      <c r="P718" s="304"/>
    </row>
    <row r="719" spans="2:16" ht="15.5" hidden="1">
      <c r="B719" s="55"/>
      <c r="C719" s="56">
        <v>2</v>
      </c>
      <c r="D719" s="57" t="s">
        <v>61</v>
      </c>
      <c r="E719" s="57"/>
      <c r="F719" s="167">
        <f>F645*F$580</f>
        <v>0</v>
      </c>
      <c r="G719" s="160">
        <f t="shared" si="71"/>
        <v>0</v>
      </c>
      <c r="H719" s="160">
        <f t="shared" si="71"/>
        <v>0</v>
      </c>
      <c r="I719" s="160">
        <f t="shared" si="71"/>
        <v>0</v>
      </c>
      <c r="J719" s="160">
        <f t="shared" si="71"/>
        <v>0</v>
      </c>
      <c r="K719" s="160">
        <f t="shared" si="71"/>
        <v>0</v>
      </c>
      <c r="L719" s="160">
        <f t="shared" si="71"/>
        <v>0</v>
      </c>
      <c r="M719" s="160">
        <f t="shared" si="71"/>
        <v>0</v>
      </c>
      <c r="N719" s="160" t="e">
        <f t="shared" si="71"/>
        <v>#DIV/0!</v>
      </c>
      <c r="O719" s="48"/>
      <c r="P719" s="304"/>
    </row>
    <row r="720" spans="2:16" ht="15.5" hidden="1">
      <c r="B720" s="55"/>
      <c r="C720" s="141">
        <v>3</v>
      </c>
      <c r="D720" s="120" t="s">
        <v>62</v>
      </c>
      <c r="E720" s="120"/>
      <c r="F720" s="343">
        <f>F646*F$580</f>
        <v>0</v>
      </c>
      <c r="G720" s="159">
        <f t="shared" si="71"/>
        <v>0</v>
      </c>
      <c r="H720" s="159">
        <f t="shared" si="71"/>
        <v>0</v>
      </c>
      <c r="I720" s="159">
        <f t="shared" si="71"/>
        <v>0</v>
      </c>
      <c r="J720" s="159">
        <f t="shared" si="71"/>
        <v>0</v>
      </c>
      <c r="K720" s="159">
        <f t="shared" si="71"/>
        <v>0</v>
      </c>
      <c r="L720" s="159">
        <f t="shared" si="71"/>
        <v>0</v>
      </c>
      <c r="M720" s="159">
        <f t="shared" si="71"/>
        <v>0</v>
      </c>
      <c r="N720" s="159" t="e">
        <f t="shared" si="71"/>
        <v>#DIV/0!</v>
      </c>
      <c r="O720" s="48"/>
      <c r="P720" s="304"/>
    </row>
    <row r="721" spans="1:24" hidden="1">
      <c r="B721" s="45"/>
      <c r="C721" s="56"/>
      <c r="D721" s="57" t="s">
        <v>58</v>
      </c>
      <c r="E721" s="57"/>
      <c r="F721" s="167">
        <f>SUM(F718:F720)</f>
        <v>0</v>
      </c>
      <c r="G721" s="344">
        <f t="shared" ref="G721:M721" si="72">F721+$P$721</f>
        <v>0</v>
      </c>
      <c r="H721" s="344">
        <f t="shared" si="72"/>
        <v>0</v>
      </c>
      <c r="I721" s="344">
        <f t="shared" si="72"/>
        <v>0</v>
      </c>
      <c r="J721" s="344">
        <f t="shared" si="72"/>
        <v>0</v>
      </c>
      <c r="K721" s="344">
        <f t="shared" si="72"/>
        <v>0</v>
      </c>
      <c r="L721" s="344">
        <f t="shared" si="72"/>
        <v>0</v>
      </c>
      <c r="M721" s="344">
        <f t="shared" si="72"/>
        <v>0</v>
      </c>
      <c r="N721" s="167" t="e">
        <f>N580*(INDEX($N$40:$N$43,MATCH($E$8,$C$40:$C$43,0),1))/$N$40</f>
        <v>#DIV/0!</v>
      </c>
      <c r="O721" s="345" t="e">
        <f>(N721-F721)/8</f>
        <v>#DIV/0!</v>
      </c>
      <c r="P721" s="304"/>
    </row>
    <row r="722" spans="1:24" hidden="1">
      <c r="B722" s="45"/>
      <c r="C722" s="56"/>
      <c r="D722" s="57"/>
      <c r="E722" s="57"/>
      <c r="F722" s="167"/>
      <c r="G722" s="344"/>
      <c r="H722" s="344"/>
      <c r="I722" s="344"/>
      <c r="J722" s="344"/>
      <c r="K722" s="344"/>
      <c r="L722" s="344"/>
      <c r="M722" s="344"/>
      <c r="N722" s="167"/>
      <c r="O722" s="48"/>
      <c r="P722" s="304"/>
    </row>
    <row r="723" spans="1:24" hidden="1">
      <c r="B723" s="45"/>
      <c r="C723" s="65" t="s">
        <v>204</v>
      </c>
      <c r="D723" s="57"/>
      <c r="E723" s="57"/>
      <c r="F723" s="167"/>
      <c r="G723" s="344"/>
      <c r="H723" s="344"/>
      <c r="I723" s="344"/>
      <c r="J723" s="344"/>
      <c r="K723" s="344"/>
      <c r="L723" s="344"/>
      <c r="M723" s="344"/>
      <c r="N723" s="167"/>
      <c r="O723" s="48"/>
      <c r="P723" s="304"/>
    </row>
    <row r="724" spans="1:24" hidden="1">
      <c r="B724" s="299"/>
      <c r="C724" s="303"/>
      <c r="D724" s="303"/>
      <c r="E724" s="303"/>
      <c r="F724" s="303"/>
      <c r="G724" s="303"/>
      <c r="H724" s="303"/>
      <c r="I724" s="303"/>
      <c r="J724" s="303"/>
      <c r="K724" s="303"/>
      <c r="L724" s="303"/>
      <c r="M724" s="303"/>
      <c r="N724" s="303"/>
      <c r="O724" s="304"/>
      <c r="P724" s="304"/>
    </row>
    <row r="725" spans="1:24" ht="15.5" hidden="1">
      <c r="B725" s="55"/>
      <c r="C725" s="52" t="s">
        <v>43</v>
      </c>
      <c r="D725" s="52" t="s">
        <v>109</v>
      </c>
      <c r="E725" s="52" t="s">
        <v>30</v>
      </c>
      <c r="F725" s="53">
        <v>2013</v>
      </c>
      <c r="G725" s="112">
        <v>2015</v>
      </c>
      <c r="H725" s="112">
        <v>2020</v>
      </c>
      <c r="I725" s="112">
        <v>2025</v>
      </c>
      <c r="J725" s="112">
        <v>2030</v>
      </c>
      <c r="K725" s="112">
        <v>2035</v>
      </c>
      <c r="L725" s="112">
        <v>2040</v>
      </c>
      <c r="M725" s="112">
        <v>2045</v>
      </c>
      <c r="N725" s="112">
        <v>2050</v>
      </c>
      <c r="O725" s="48"/>
      <c r="P725" s="304"/>
    </row>
    <row r="726" spans="1:24" ht="15.5" hidden="1">
      <c r="B726" s="55"/>
      <c r="C726" s="56">
        <v>1</v>
      </c>
      <c r="D726" s="57" t="s">
        <v>60</v>
      </c>
      <c r="E726" s="57"/>
      <c r="F726" s="342"/>
      <c r="G726" s="157"/>
      <c r="H726" s="157"/>
      <c r="I726" s="157">
        <f t="shared" ref="I726:N728" si="73">G718</f>
        <v>0</v>
      </c>
      <c r="J726" s="157">
        <f t="shared" si="73"/>
        <v>0</v>
      </c>
      <c r="K726" s="157">
        <f t="shared" si="73"/>
        <v>0</v>
      </c>
      <c r="L726" s="157">
        <f t="shared" si="73"/>
        <v>0</v>
      </c>
      <c r="M726" s="157">
        <f t="shared" si="73"/>
        <v>0</v>
      </c>
      <c r="N726" s="157">
        <f t="shared" si="73"/>
        <v>0</v>
      </c>
      <c r="O726" s="48"/>
      <c r="P726" s="304"/>
    </row>
    <row r="727" spans="1:24" ht="15.5" hidden="1">
      <c r="B727" s="55"/>
      <c r="C727" s="56">
        <v>2</v>
      </c>
      <c r="D727" s="57" t="s">
        <v>61</v>
      </c>
      <c r="E727" s="57"/>
      <c r="F727" s="167"/>
      <c r="G727" s="160"/>
      <c r="H727" s="160"/>
      <c r="I727" s="160">
        <f t="shared" si="73"/>
        <v>0</v>
      </c>
      <c r="J727" s="160">
        <f t="shared" si="73"/>
        <v>0</v>
      </c>
      <c r="K727" s="160">
        <f t="shared" si="73"/>
        <v>0</v>
      </c>
      <c r="L727" s="160">
        <f t="shared" si="73"/>
        <v>0</v>
      </c>
      <c r="M727" s="160">
        <f t="shared" si="73"/>
        <v>0</v>
      </c>
      <c r="N727" s="160">
        <f t="shared" si="73"/>
        <v>0</v>
      </c>
      <c r="O727" s="48"/>
      <c r="P727" s="304"/>
    </row>
    <row r="728" spans="1:24" ht="15.5" hidden="1">
      <c r="B728" s="55"/>
      <c r="C728" s="141">
        <v>3</v>
      </c>
      <c r="D728" s="120" t="s">
        <v>62</v>
      </c>
      <c r="E728" s="120"/>
      <c r="F728" s="343"/>
      <c r="G728" s="159"/>
      <c r="H728" s="159"/>
      <c r="I728" s="159">
        <f t="shared" si="73"/>
        <v>0</v>
      </c>
      <c r="J728" s="159">
        <f t="shared" si="73"/>
        <v>0</v>
      </c>
      <c r="K728" s="159">
        <f t="shared" si="73"/>
        <v>0</v>
      </c>
      <c r="L728" s="159">
        <f t="shared" si="73"/>
        <v>0</v>
      </c>
      <c r="M728" s="159">
        <f t="shared" si="73"/>
        <v>0</v>
      </c>
      <c r="N728" s="159">
        <f t="shared" si="73"/>
        <v>0</v>
      </c>
      <c r="O728" s="48"/>
      <c r="P728" s="304"/>
    </row>
    <row r="729" spans="1:24" hidden="1">
      <c r="B729" s="45"/>
      <c r="C729" s="56"/>
      <c r="D729" s="57" t="s">
        <v>58</v>
      </c>
      <c r="E729" s="57"/>
      <c r="F729" s="167"/>
      <c r="G729" s="167"/>
      <c r="H729" s="167"/>
      <c r="I729" s="167">
        <f t="shared" ref="I729:N729" si="74">SUM(I726:I728)</f>
        <v>0</v>
      </c>
      <c r="J729" s="167">
        <f t="shared" si="74"/>
        <v>0</v>
      </c>
      <c r="K729" s="167">
        <f t="shared" si="74"/>
        <v>0</v>
      </c>
      <c r="L729" s="167">
        <f t="shared" si="74"/>
        <v>0</v>
      </c>
      <c r="M729" s="167">
        <f t="shared" si="74"/>
        <v>0</v>
      </c>
      <c r="N729" s="167">
        <f t="shared" si="74"/>
        <v>0</v>
      </c>
      <c r="O729" s="48"/>
      <c r="P729" s="304"/>
    </row>
    <row r="730" spans="1:24" hidden="1">
      <c r="B730" s="45"/>
      <c r="C730" s="56"/>
      <c r="D730" s="57"/>
      <c r="E730" s="57"/>
      <c r="F730" s="167"/>
      <c r="G730" s="344"/>
      <c r="H730" s="344"/>
      <c r="I730" s="344"/>
      <c r="J730" s="344"/>
      <c r="K730" s="344"/>
      <c r="L730" s="344"/>
      <c r="M730" s="344"/>
      <c r="N730" s="167"/>
      <c r="O730" s="48"/>
      <c r="P730" s="304"/>
    </row>
    <row r="731" spans="1:24" hidden="1">
      <c r="B731" s="45"/>
      <c r="C731" s="65" t="s">
        <v>205</v>
      </c>
      <c r="D731" s="57"/>
      <c r="E731" s="57"/>
      <c r="F731" s="167"/>
      <c r="G731" s="344"/>
      <c r="H731" s="344"/>
      <c r="I731" s="344"/>
      <c r="J731" s="344"/>
      <c r="K731" s="344"/>
      <c r="L731" s="344"/>
      <c r="M731" s="344"/>
      <c r="N731" s="167"/>
      <c r="O731" s="48"/>
      <c r="P731" s="304"/>
      <c r="X731" s="199"/>
    </row>
    <row r="732" spans="1:24" hidden="1">
      <c r="B732" s="299"/>
      <c r="C732" s="303"/>
      <c r="D732" s="303"/>
      <c r="E732" s="303"/>
      <c r="F732" s="303"/>
      <c r="G732" s="303"/>
      <c r="H732" s="303"/>
      <c r="I732" s="303"/>
      <c r="J732" s="303"/>
      <c r="K732" s="303"/>
      <c r="L732" s="303"/>
      <c r="M732" s="303"/>
      <c r="N732" s="303"/>
      <c r="O732" s="304"/>
      <c r="P732" s="304"/>
      <c r="X732" s="199"/>
    </row>
    <row r="733" spans="1:24" ht="18.5" hidden="1">
      <c r="A733" s="346"/>
      <c r="B733" s="55"/>
      <c r="C733" s="52" t="s">
        <v>43</v>
      </c>
      <c r="D733" s="52" t="s">
        <v>109</v>
      </c>
      <c r="E733" s="52" t="s">
        <v>30</v>
      </c>
      <c r="F733" s="53">
        <v>2013</v>
      </c>
      <c r="G733" s="112">
        <v>2015</v>
      </c>
      <c r="H733" s="112">
        <v>2020</v>
      </c>
      <c r="I733" s="112">
        <v>2025</v>
      </c>
      <c r="J733" s="112">
        <v>2030</v>
      </c>
      <c r="K733" s="112">
        <v>2035</v>
      </c>
      <c r="L733" s="112">
        <v>2040</v>
      </c>
      <c r="M733" s="112">
        <v>2045</v>
      </c>
      <c r="N733" s="112">
        <v>2050</v>
      </c>
      <c r="O733" s="48"/>
      <c r="P733" s="304"/>
    </row>
    <row r="734" spans="1:24" ht="15.5" hidden="1">
      <c r="B734" s="55"/>
      <c r="C734" s="56">
        <v>1</v>
      </c>
      <c r="D734" s="57" t="s">
        <v>60</v>
      </c>
      <c r="E734" s="57"/>
      <c r="F734" s="342"/>
      <c r="G734" s="347">
        <f t="shared" ref="G734:N736" si="75">G718-F718+G726</f>
        <v>0</v>
      </c>
      <c r="H734" s="348">
        <f t="shared" si="75"/>
        <v>0</v>
      </c>
      <c r="I734" s="348">
        <f t="shared" si="75"/>
        <v>0</v>
      </c>
      <c r="J734" s="348">
        <f t="shared" si="75"/>
        <v>0</v>
      </c>
      <c r="K734" s="348">
        <f t="shared" si="75"/>
        <v>0</v>
      </c>
      <c r="L734" s="348">
        <f t="shared" si="75"/>
        <v>0</v>
      </c>
      <c r="M734" s="348">
        <f t="shared" si="75"/>
        <v>0</v>
      </c>
      <c r="N734" s="348" t="e">
        <f t="shared" si="75"/>
        <v>#DIV/0!</v>
      </c>
      <c r="O734" s="48"/>
      <c r="P734" s="304"/>
    </row>
    <row r="735" spans="1:24" ht="15.5" hidden="1">
      <c r="B735" s="55"/>
      <c r="C735" s="56">
        <v>2</v>
      </c>
      <c r="D735" s="57" t="s">
        <v>61</v>
      </c>
      <c r="E735" s="57"/>
      <c r="F735" s="167"/>
      <c r="G735" s="349">
        <f t="shared" si="75"/>
        <v>0</v>
      </c>
      <c r="H735" s="350">
        <f t="shared" si="75"/>
        <v>0</v>
      </c>
      <c r="I735" s="350">
        <f t="shared" si="75"/>
        <v>0</v>
      </c>
      <c r="J735" s="350">
        <f t="shared" si="75"/>
        <v>0</v>
      </c>
      <c r="K735" s="350">
        <f t="shared" si="75"/>
        <v>0</v>
      </c>
      <c r="L735" s="350">
        <f t="shared" si="75"/>
        <v>0</v>
      </c>
      <c r="M735" s="350">
        <f t="shared" si="75"/>
        <v>0</v>
      </c>
      <c r="N735" s="350" t="e">
        <f t="shared" si="75"/>
        <v>#DIV/0!</v>
      </c>
      <c r="O735" s="48"/>
      <c r="P735" s="304"/>
    </row>
    <row r="736" spans="1:24" ht="15.5" hidden="1">
      <c r="B736" s="55"/>
      <c r="C736" s="141">
        <v>3</v>
      </c>
      <c r="D736" s="120" t="s">
        <v>62</v>
      </c>
      <c r="E736" s="120"/>
      <c r="F736" s="343"/>
      <c r="G736" s="351">
        <f t="shared" si="75"/>
        <v>0</v>
      </c>
      <c r="H736" s="352">
        <f t="shared" si="75"/>
        <v>0</v>
      </c>
      <c r="I736" s="352">
        <f t="shared" si="75"/>
        <v>0</v>
      </c>
      <c r="J736" s="352">
        <f t="shared" si="75"/>
        <v>0</v>
      </c>
      <c r="K736" s="352">
        <f t="shared" si="75"/>
        <v>0</v>
      </c>
      <c r="L736" s="352">
        <f t="shared" si="75"/>
        <v>0</v>
      </c>
      <c r="M736" s="352">
        <f t="shared" si="75"/>
        <v>0</v>
      </c>
      <c r="N736" s="352" t="e">
        <f t="shared" si="75"/>
        <v>#DIV/0!</v>
      </c>
      <c r="O736" s="48"/>
      <c r="P736" s="304"/>
    </row>
    <row r="737" spans="1:16" hidden="1">
      <c r="B737" s="45"/>
      <c r="C737" s="56"/>
      <c r="D737" s="57" t="s">
        <v>58</v>
      </c>
      <c r="E737" s="57"/>
      <c r="F737" s="167"/>
      <c r="G737" s="167">
        <f>SUM(G734:G736)</f>
        <v>0</v>
      </c>
      <c r="H737" s="167">
        <f>SUM(H734:H736)</f>
        <v>0</v>
      </c>
      <c r="I737" s="167">
        <f t="shared" ref="I737:N737" si="76">SUM(I734:I736)</f>
        <v>0</v>
      </c>
      <c r="J737" s="167">
        <f t="shared" si="76"/>
        <v>0</v>
      </c>
      <c r="K737" s="167">
        <f t="shared" si="76"/>
        <v>0</v>
      </c>
      <c r="L737" s="167">
        <f t="shared" si="76"/>
        <v>0</v>
      </c>
      <c r="M737" s="167">
        <f t="shared" si="76"/>
        <v>0</v>
      </c>
      <c r="N737" s="167" t="e">
        <f t="shared" si="76"/>
        <v>#DIV/0!</v>
      </c>
      <c r="O737" s="48"/>
      <c r="P737" s="304"/>
    </row>
    <row r="738" spans="1:16" hidden="1">
      <c r="B738" s="45"/>
      <c r="C738" s="56"/>
      <c r="D738" s="57"/>
      <c r="E738" s="57"/>
      <c r="F738" s="167"/>
      <c r="G738" s="344"/>
      <c r="H738" s="344"/>
      <c r="I738" s="344"/>
      <c r="J738" s="344"/>
      <c r="K738" s="344"/>
      <c r="L738" s="344"/>
      <c r="M738" s="344"/>
      <c r="N738" s="167"/>
      <c r="O738" s="48"/>
      <c r="P738" s="304"/>
    </row>
    <row r="741" spans="1:16" ht="15.5">
      <c r="B741" s="353" t="s">
        <v>206</v>
      </c>
    </row>
    <row r="742" spans="1:16">
      <c r="B742" s="354">
        <v>1</v>
      </c>
      <c r="C742" s="2" t="s">
        <v>207</v>
      </c>
    </row>
    <row r="743" spans="1:16">
      <c r="B743" s="354">
        <v>2</v>
      </c>
      <c r="C743" s="2" t="s">
        <v>208</v>
      </c>
    </row>
    <row r="744" spans="1:16" s="4" customFormat="1">
      <c r="B744" s="354">
        <v>3</v>
      </c>
      <c r="C744" s="38" t="s">
        <v>209</v>
      </c>
      <c r="D744" s="38"/>
      <c r="E744" s="2"/>
      <c r="F744" s="2"/>
      <c r="G744" s="2"/>
      <c r="H744" s="2"/>
      <c r="I744" s="2"/>
      <c r="J744" s="2"/>
      <c r="K744" s="2"/>
      <c r="L744" s="2"/>
      <c r="M744" s="2"/>
      <c r="N744" s="2"/>
      <c r="O744" s="2"/>
      <c r="P744" s="2"/>
    </row>
    <row r="745" spans="1:16" s="4" customFormat="1">
      <c r="B745" s="354">
        <v>4</v>
      </c>
      <c r="C745" s="2" t="s">
        <v>210</v>
      </c>
      <c r="D745" s="2"/>
      <c r="E745" s="2"/>
      <c r="F745" s="2"/>
      <c r="G745" s="2"/>
      <c r="H745" s="2"/>
      <c r="I745" s="2"/>
      <c r="J745" s="2"/>
      <c r="K745" s="2"/>
      <c r="L745" s="2"/>
      <c r="M745" s="2"/>
      <c r="N745" s="2"/>
      <c r="O745" s="2"/>
      <c r="P745" s="2"/>
    </row>
    <row r="746" spans="1:16" s="4" customFormat="1">
      <c r="B746" s="354">
        <v>5</v>
      </c>
      <c r="C746" s="2" t="s">
        <v>211</v>
      </c>
      <c r="D746" s="2"/>
      <c r="E746" s="2"/>
      <c r="F746" s="2"/>
      <c r="G746" s="2"/>
      <c r="H746" s="2"/>
      <c r="I746" s="2"/>
      <c r="J746" s="2"/>
      <c r="K746" s="2"/>
      <c r="L746" s="2"/>
      <c r="M746" s="2"/>
      <c r="N746" s="2"/>
      <c r="O746" s="2"/>
      <c r="P746" s="2"/>
    </row>
    <row r="747" spans="1:16" s="4" customFormat="1">
      <c r="B747" s="354">
        <v>6</v>
      </c>
      <c r="C747" s="2" t="s">
        <v>212</v>
      </c>
      <c r="D747" s="2"/>
      <c r="E747" s="2"/>
      <c r="F747" s="2"/>
      <c r="G747" s="2"/>
      <c r="H747" s="2"/>
      <c r="I747" s="2"/>
      <c r="J747" s="2"/>
      <c r="K747" s="2"/>
      <c r="L747" s="2"/>
      <c r="M747" s="2"/>
      <c r="N747" s="2"/>
      <c r="O747" s="2"/>
      <c r="P747" s="2"/>
    </row>
    <row r="748" spans="1:16" s="4" customFormat="1">
      <c r="B748" s="354">
        <v>7</v>
      </c>
      <c r="C748" s="2" t="s">
        <v>213</v>
      </c>
      <c r="D748" s="2"/>
      <c r="E748" s="2"/>
      <c r="F748" s="2"/>
      <c r="G748" s="2"/>
      <c r="H748" s="2"/>
      <c r="I748" s="2"/>
      <c r="J748" s="2"/>
      <c r="K748" s="2"/>
      <c r="L748" s="2"/>
      <c r="M748" s="2"/>
      <c r="N748" s="2"/>
      <c r="O748" s="2"/>
      <c r="P748" s="2"/>
    </row>
    <row r="749" spans="1:16" s="4" customFormat="1" ht="15.5">
      <c r="A749" s="3"/>
      <c r="B749" s="354">
        <v>8</v>
      </c>
      <c r="C749" s="2" t="s">
        <v>214</v>
      </c>
      <c r="D749" s="2"/>
      <c r="E749" s="2"/>
      <c r="F749" s="2"/>
      <c r="G749" s="2"/>
      <c r="H749" s="2"/>
      <c r="I749" s="2"/>
      <c r="J749" s="2"/>
      <c r="K749" s="2"/>
      <c r="L749" s="2"/>
      <c r="M749" s="2"/>
      <c r="N749" s="2"/>
      <c r="O749" s="2"/>
      <c r="P749" s="2"/>
    </row>
    <row r="750" spans="1:16" s="4" customFormat="1">
      <c r="B750" s="354">
        <v>9</v>
      </c>
      <c r="C750" s="2" t="s">
        <v>215</v>
      </c>
      <c r="D750" s="2"/>
      <c r="E750" s="2"/>
      <c r="F750" s="2"/>
      <c r="G750" s="2"/>
      <c r="H750" s="2"/>
      <c r="I750" s="2"/>
      <c r="J750" s="2"/>
      <c r="K750" s="2"/>
      <c r="L750" s="2"/>
      <c r="M750" s="2"/>
      <c r="N750" s="2"/>
      <c r="O750" s="2"/>
      <c r="P750" s="2"/>
    </row>
    <row r="751" spans="1:16">
      <c r="B751" s="354"/>
    </row>
    <row r="752" spans="1:16" s="4" customFormat="1" ht="15.5">
      <c r="A752" s="3"/>
      <c r="B752" s="355">
        <v>1</v>
      </c>
      <c r="C752" s="354" t="s">
        <v>216</v>
      </c>
      <c r="D752" s="354"/>
      <c r="E752" s="355"/>
      <c r="F752" s="356">
        <v>2013</v>
      </c>
      <c r="G752" s="356">
        <v>2015</v>
      </c>
      <c r="H752" s="356">
        <v>2020</v>
      </c>
      <c r="I752" s="356">
        <v>2025</v>
      </c>
      <c r="J752" s="356">
        <v>2030</v>
      </c>
      <c r="K752" s="356">
        <v>2035</v>
      </c>
      <c r="L752" s="356">
        <v>2040</v>
      </c>
      <c r="M752" s="356">
        <v>2045</v>
      </c>
      <c r="N752" s="356">
        <v>2050</v>
      </c>
      <c r="O752" s="2"/>
    </row>
    <row r="753" spans="1:17" s="4" customFormat="1">
      <c r="B753" s="355"/>
      <c r="C753" s="354"/>
      <c r="D753" s="354"/>
      <c r="E753" s="355"/>
      <c r="F753" s="357"/>
      <c r="G753" s="357"/>
      <c r="H753" s="357"/>
      <c r="I753" s="357"/>
      <c r="J753" s="357"/>
      <c r="K753" s="357"/>
      <c r="L753" s="357"/>
      <c r="M753" s="357"/>
      <c r="N753" s="357"/>
      <c r="O753" s="2"/>
    </row>
    <row r="754" spans="1:17" s="4" customFormat="1">
      <c r="B754" s="355"/>
      <c r="C754" s="2" t="s">
        <v>217</v>
      </c>
      <c r="D754" s="354"/>
      <c r="E754" s="358"/>
      <c r="F754" s="359">
        <f>F62</f>
        <v>3.5250287804622114E-6</v>
      </c>
      <c r="G754" s="359">
        <f t="shared" ref="G754:N754" si="77">G62</f>
        <v>3.5250287804622114E-6</v>
      </c>
      <c r="H754" s="359">
        <f t="shared" si="77"/>
        <v>3.5250287804622114E-6</v>
      </c>
      <c r="I754" s="359">
        <f t="shared" si="77"/>
        <v>3.5250287804622114E-6</v>
      </c>
      <c r="J754" s="359">
        <f t="shared" si="77"/>
        <v>3.5250287804622114E-6</v>
      </c>
      <c r="K754" s="359">
        <f t="shared" si="77"/>
        <v>3.5250287804622114E-6</v>
      </c>
      <c r="L754" s="359">
        <f t="shared" si="77"/>
        <v>3.5250287804622114E-6</v>
      </c>
      <c r="M754" s="359">
        <f t="shared" si="77"/>
        <v>3.5250287804622114E-6</v>
      </c>
      <c r="N754" s="359">
        <f t="shared" si="77"/>
        <v>3.5250287804622114E-6</v>
      </c>
      <c r="O754" s="2"/>
    </row>
    <row r="755" spans="1:17" s="4" customFormat="1">
      <c r="A755" s="392"/>
      <c r="B755" s="358" t="s">
        <v>218</v>
      </c>
      <c r="C755" s="2" t="s">
        <v>219</v>
      </c>
      <c r="D755" s="2"/>
      <c r="E755" s="2"/>
      <c r="F755" s="360">
        <f>INDEX(Global.Assumptions[Households], MATCH(F$752,Global.Assumptions[Year], 0))</f>
        <v>1672651.1289147851</v>
      </c>
      <c r="G755" s="360">
        <f>INDEX(Global.Assumptions[Households], MATCH(G$752,Global.Assumptions[Year], 0))</f>
        <v>1724685.0990151383</v>
      </c>
      <c r="H755" s="360">
        <f>INDEX(Global.Assumptions[Households], MATCH(H$752,Global.Assumptions[Year], 0))</f>
        <v>1818612.4430257217</v>
      </c>
      <c r="I755" s="360">
        <f>INDEX(Global.Assumptions[Households], MATCH(I$752,Global.Assumptions[Year], 0))</f>
        <v>1912005.4807283345</v>
      </c>
      <c r="J755" s="360">
        <f>INDEX(Global.Assumptions[Households], MATCH(J$752,Global.Assumptions[Year], 0))</f>
        <v>2000055.258037091</v>
      </c>
      <c r="K755" s="360">
        <f>INDEX(Global.Assumptions[Households], MATCH(K$752,Global.Assumptions[Year], 0))</f>
        <v>2093076.6415949722</v>
      </c>
      <c r="L755" s="360">
        <f>INDEX(Global.Assumptions[Households], MATCH(L$752,Global.Assumptions[Year], 0))</f>
        <v>2190930.0548391449</v>
      </c>
      <c r="M755" s="360">
        <f>INDEX(Global.Assumptions[Households], MATCH(M$752,Global.Assumptions[Year], 0))</f>
        <v>2288187.1680332171</v>
      </c>
      <c r="N755" s="360">
        <f>INDEX(Global.Assumptions[Households], MATCH(N$752,Global.Assumptions[Year], 0))</f>
        <v>2390510.6792861409</v>
      </c>
      <c r="O755" s="2"/>
    </row>
    <row r="756" spans="1:17" s="4" customFormat="1">
      <c r="B756" s="358"/>
      <c r="C756" s="2"/>
      <c r="D756" s="2"/>
      <c r="E756" s="2"/>
      <c r="F756" s="360"/>
      <c r="G756" s="360"/>
      <c r="H756" s="360"/>
      <c r="I756" s="360"/>
      <c r="J756" s="360"/>
      <c r="K756" s="360"/>
      <c r="L756" s="360"/>
      <c r="M756" s="360"/>
      <c r="N756" s="360"/>
      <c r="O756" s="2"/>
    </row>
    <row r="757" spans="1:17" s="4" customFormat="1">
      <c r="B757" s="361" t="s">
        <v>220</v>
      </c>
      <c r="C757" s="362" t="s">
        <v>221</v>
      </c>
      <c r="D757" s="362"/>
      <c r="E757" s="363"/>
      <c r="F757" s="364">
        <f>F754*F755</f>
        <v>5.896143369097226</v>
      </c>
      <c r="G757" s="364">
        <f t="shared" ref="G757:N757" si="78">G754*G755</f>
        <v>6.0795646112626818</v>
      </c>
      <c r="H757" s="364">
        <f t="shared" si="78"/>
        <v>6.4106612021723626</v>
      </c>
      <c r="I757" s="364">
        <f t="shared" si="78"/>
        <v>6.7398743479688656</v>
      </c>
      <c r="J757" s="364">
        <f t="shared" si="78"/>
        <v>7.0502523470955207</v>
      </c>
      <c r="K757" s="364">
        <f>K754*K755</f>
        <v>7.3781554013354658</v>
      </c>
      <c r="L757" s="364">
        <f t="shared" si="78"/>
        <v>7.7230914992876372</v>
      </c>
      <c r="M757" s="364">
        <f t="shared" si="78"/>
        <v>8.0659256224014122</v>
      </c>
      <c r="N757" s="364">
        <f t="shared" si="78"/>
        <v>8.4266189444859183</v>
      </c>
      <c r="Q757" s="365"/>
    </row>
    <row r="758" spans="1:17" s="4" customFormat="1">
      <c r="B758" s="366" t="s">
        <v>222</v>
      </c>
      <c r="C758" s="2" t="s">
        <v>223</v>
      </c>
      <c r="D758" s="354"/>
      <c r="E758" s="367"/>
      <c r="F758" s="365">
        <f t="shared" ref="F758:N758" ca="1" si="79">MIN(F$31, F$757)</f>
        <v>4.1054887428987621E-2</v>
      </c>
      <c r="G758" s="365">
        <f t="shared" ca="1" si="79"/>
        <v>5.2915063522883464E-2</v>
      </c>
      <c r="H758" s="365">
        <f t="shared" ca="1" si="79"/>
        <v>5.5796848364472185E-2</v>
      </c>
      <c r="I758" s="365">
        <f t="shared" ca="1" si="79"/>
        <v>5.8662240154226032E-2</v>
      </c>
      <c r="J758" s="365">
        <f t="shared" ca="1" si="79"/>
        <v>7.0129937567812564E-2</v>
      </c>
      <c r="K758" s="365">
        <f t="shared" ca="1" si="79"/>
        <v>7.3391639360886121E-2</v>
      </c>
      <c r="L758" s="365">
        <f t="shared" ca="1" si="79"/>
        <v>7.68227714428798E-2</v>
      </c>
      <c r="M758" s="365">
        <f t="shared" ca="1" si="79"/>
        <v>8.0232994859916751E-2</v>
      </c>
      <c r="N758" s="365">
        <f t="shared" ca="1" si="79"/>
        <v>8.3820866458489254E-2</v>
      </c>
      <c r="O758" s="2"/>
    </row>
    <row r="759" spans="1:17" s="4" customFormat="1">
      <c r="B759" s="2"/>
      <c r="C759" s="2"/>
      <c r="D759" s="2"/>
      <c r="E759" s="2"/>
      <c r="F759" s="2"/>
      <c r="G759" s="2"/>
      <c r="H759" s="2"/>
      <c r="I759" s="2"/>
      <c r="J759" s="2"/>
      <c r="K759" s="2"/>
      <c r="L759" s="2"/>
      <c r="M759" s="2"/>
      <c r="N759" s="2"/>
      <c r="O759" s="2"/>
    </row>
    <row r="760" spans="1:17" s="4" customFormat="1">
      <c r="B760" s="355" t="s">
        <v>220</v>
      </c>
      <c r="C760" s="368" t="s">
        <v>224</v>
      </c>
      <c r="D760" s="368"/>
      <c r="E760" s="369" t="str">
        <f>Preferences.EnergyUnits</f>
        <v>TWh</v>
      </c>
      <c r="F760" s="370">
        <f t="shared" ref="F760:N760" ca="1" si="80">F$757-F$758</f>
        <v>5.855088481668238</v>
      </c>
      <c r="G760" s="370">
        <f t="shared" ca="1" si="80"/>
        <v>6.0266495477397983</v>
      </c>
      <c r="H760" s="370">
        <f t="shared" ca="1" si="80"/>
        <v>6.3548643538078906</v>
      </c>
      <c r="I760" s="370">
        <f t="shared" ca="1" si="80"/>
        <v>6.6812121078146394</v>
      </c>
      <c r="J760" s="370">
        <f t="shared" ca="1" si="80"/>
        <v>6.9801224095277083</v>
      </c>
      <c r="K760" s="370">
        <f t="shared" ca="1" si="80"/>
        <v>7.3047637619745798</v>
      </c>
      <c r="L760" s="370">
        <f t="shared" ca="1" si="80"/>
        <v>7.646268727844757</v>
      </c>
      <c r="M760" s="370">
        <f t="shared" ca="1" si="80"/>
        <v>7.9856926275414954</v>
      </c>
      <c r="N760" s="370">
        <f t="shared" ca="1" si="80"/>
        <v>8.3427980780274282</v>
      </c>
      <c r="O760" s="2"/>
    </row>
    <row r="761" spans="1:17" s="4" customFormat="1">
      <c r="B761" s="355"/>
      <c r="C761" s="354"/>
      <c r="D761" s="354"/>
      <c r="E761" s="355"/>
      <c r="F761" s="357"/>
      <c r="G761" s="357"/>
      <c r="H761" s="357"/>
      <c r="I761" s="357"/>
      <c r="J761" s="357"/>
      <c r="K761" s="357"/>
      <c r="L761" s="357"/>
      <c r="M761" s="357"/>
      <c r="N761" s="357"/>
      <c r="O761" s="2"/>
    </row>
    <row r="762" spans="1:17" s="4" customFormat="1">
      <c r="B762" s="355"/>
      <c r="C762" s="354"/>
      <c r="D762" s="354"/>
      <c r="E762" s="355"/>
      <c r="F762" s="357"/>
      <c r="G762" s="357"/>
      <c r="H762" s="357"/>
      <c r="I762" s="357"/>
      <c r="J762" s="357"/>
      <c r="K762" s="357"/>
      <c r="L762" s="357"/>
      <c r="M762" s="357"/>
      <c r="N762" s="357"/>
      <c r="O762" s="2"/>
    </row>
    <row r="763" spans="1:17" s="4" customFormat="1">
      <c r="B763" s="354">
        <v>2</v>
      </c>
      <c r="C763" s="354" t="s">
        <v>225</v>
      </c>
      <c r="D763" s="2"/>
      <c r="E763" s="355"/>
      <c r="F763" s="356">
        <v>2013</v>
      </c>
      <c r="G763" s="356">
        <v>2015</v>
      </c>
      <c r="H763" s="356">
        <v>2020</v>
      </c>
      <c r="I763" s="356">
        <v>2025</v>
      </c>
      <c r="J763" s="356">
        <v>2030</v>
      </c>
      <c r="K763" s="356">
        <v>2035</v>
      </c>
      <c r="L763" s="356">
        <v>2040</v>
      </c>
      <c r="M763" s="356">
        <v>2045</v>
      </c>
      <c r="N763" s="356">
        <v>2050</v>
      </c>
      <c r="O763" s="2"/>
    </row>
    <row r="764" spans="1:17" s="4" customFormat="1">
      <c r="B764" s="2"/>
      <c r="C764" s="2"/>
      <c r="D764" s="2"/>
      <c r="E764" s="2"/>
      <c r="F764" s="2"/>
      <c r="G764" s="2"/>
      <c r="H764" s="2"/>
      <c r="I764" s="2"/>
      <c r="J764" s="2"/>
      <c r="K764" s="2"/>
      <c r="L764" s="2"/>
      <c r="M764" s="2"/>
      <c r="N764" s="2"/>
      <c r="O764" s="2"/>
    </row>
    <row r="765" spans="1:17" s="4" customFormat="1">
      <c r="B765" s="358">
        <v>1</v>
      </c>
      <c r="C765" s="2" t="s">
        <v>45</v>
      </c>
      <c r="D765" s="2"/>
      <c r="E765" s="2"/>
      <c r="F765" s="365">
        <f t="array" aca="1" ref="F765:F777" ca="1">F$760*F$626:F$638</f>
        <v>0.99536504188360053</v>
      </c>
      <c r="G765" s="365">
        <f t="array" aca="1" ref="G765:G777" ca="1">G$760*G$626:G$638</f>
        <v>0.96915040024464338</v>
      </c>
      <c r="H765" s="365">
        <f t="array" aca="1" ref="H765:H777" ca="1">H$760*H$626:H$638</f>
        <v>0.87594076228162843</v>
      </c>
      <c r="I765" s="365">
        <f t="array" aca="1" ref="I765:I777" ca="1">I$760*I$626:I$638</f>
        <v>0.76743652589762767</v>
      </c>
      <c r="J765" s="365">
        <f t="array" aca="1" ref="J765:J777" ca="1">J$760*J$626:J$638</f>
        <v>0.64141665384849234</v>
      </c>
      <c r="K765" s="365">
        <f t="array" aca="1" ref="K765:K777" ca="1">K$760*K$626:K$638</f>
        <v>0.50343642143338341</v>
      </c>
      <c r="L765" s="365">
        <f t="array" aca="1" ref="L765:L777" ca="1">L$760*L$626:L$638</f>
        <v>0.3513150496577323</v>
      </c>
      <c r="M765" s="365">
        <f t="array" aca="1" ref="M765:M777" ca="1">M$760*M$626:M$638</f>
        <v>0.18345510090298053</v>
      </c>
      <c r="N765" s="365">
        <f t="array" aca="1" ref="N765:N777" ca="1">N$760*N$626:N$638</f>
        <v>0</v>
      </c>
      <c r="O765" s="2"/>
    </row>
    <row r="766" spans="1:17" s="4" customFormat="1">
      <c r="B766" s="358">
        <v>2</v>
      </c>
      <c r="C766" s="2" t="s">
        <v>46</v>
      </c>
      <c r="D766" s="2"/>
      <c r="E766" s="2"/>
      <c r="F766" s="365">
        <f ca="1"/>
        <v>0.9133938031402451</v>
      </c>
      <c r="G766" s="365">
        <f ca="1"/>
        <v>1.1825263707186739</v>
      </c>
      <c r="H766" s="365">
        <f ca="1"/>
        <v>1.8858489352651522</v>
      </c>
      <c r="I766" s="365">
        <f ca="1"/>
        <v>2.6544275131047348</v>
      </c>
      <c r="J766" s="365">
        <f ca="1"/>
        <v>3.4749690482027127</v>
      </c>
      <c r="K766" s="365">
        <f ca="1"/>
        <v>4.371012694327491</v>
      </c>
      <c r="L766" s="365">
        <f ca="1"/>
        <v>5.3441218730287936</v>
      </c>
      <c r="M766" s="365">
        <f ca="1"/>
        <v>6.3842375114237129</v>
      </c>
      <c r="N766" s="365">
        <f ca="1"/>
        <v>7.5085182702246858</v>
      </c>
      <c r="O766" s="2"/>
    </row>
    <row r="767" spans="1:17" s="4" customFormat="1">
      <c r="B767" s="358">
        <v>3</v>
      </c>
      <c r="C767" s="2" t="s">
        <v>47</v>
      </c>
      <c r="D767" s="2"/>
      <c r="E767" s="2"/>
      <c r="F767" s="365">
        <f ca="1"/>
        <v>0.21078318534005655</v>
      </c>
      <c r="G767" s="365">
        <f ca="1"/>
        <v>0.23780833350540825</v>
      </c>
      <c r="H767" s="365">
        <f ca="1"/>
        <v>0.30572050134535256</v>
      </c>
      <c r="I767" s="365">
        <f ca="1"/>
        <v>0.37920393044353362</v>
      </c>
      <c r="J767" s="365">
        <f ca="1"/>
        <v>0.45653773597451497</v>
      </c>
      <c r="K767" s="365">
        <f ca="1"/>
        <v>0.54094737048136077</v>
      </c>
      <c r="L767" s="365">
        <f ca="1"/>
        <v>0.63236708938391761</v>
      </c>
      <c r="M767" s="365">
        <f ca="1"/>
        <v>0.72950381300243916</v>
      </c>
      <c r="N767" s="365">
        <f ca="1"/>
        <v>0.83427980780274291</v>
      </c>
      <c r="O767" s="2"/>
    </row>
    <row r="768" spans="1:17" s="4" customFormat="1">
      <c r="B768" s="358">
        <v>4</v>
      </c>
      <c r="C768" s="2" t="s">
        <v>48</v>
      </c>
      <c r="D768" s="2"/>
      <c r="E768" s="2"/>
      <c r="F768" s="365">
        <f ca="1"/>
        <v>3.6242997701526392</v>
      </c>
      <c r="G768" s="365">
        <f ca="1"/>
        <v>3.5288476338319654</v>
      </c>
      <c r="H768" s="365">
        <f ca="1"/>
        <v>3.1894548932489872</v>
      </c>
      <c r="I768" s="365">
        <f ca="1"/>
        <v>2.7943718207684203</v>
      </c>
      <c r="J768" s="365">
        <f ca="1"/>
        <v>2.3355112278365686</v>
      </c>
      <c r="K768" s="365">
        <f ca="1"/>
        <v>1.833100852160378</v>
      </c>
      <c r="L768" s="365">
        <f ca="1"/>
        <v>1.2792000925772717</v>
      </c>
      <c r="M768" s="365">
        <f ca="1"/>
        <v>0.6679923968173227</v>
      </c>
      <c r="N768" s="365">
        <f ca="1"/>
        <v>0</v>
      </c>
      <c r="O768" s="2"/>
    </row>
    <row r="769" spans="2:25" s="4" customFormat="1">
      <c r="B769" s="358">
        <v>5</v>
      </c>
      <c r="C769" s="2" t="s">
        <v>49</v>
      </c>
      <c r="D769" s="2"/>
      <c r="E769" s="2"/>
      <c r="F769" s="365">
        <f ca="1"/>
        <v>8.7826327225023565E-2</v>
      </c>
      <c r="G769" s="365">
        <f ca="1"/>
        <v>8.551327060982146E-2</v>
      </c>
      <c r="H769" s="365">
        <f ca="1"/>
        <v>7.728889078955542E-2</v>
      </c>
      <c r="I769" s="365">
        <f ca="1"/>
        <v>6.7714987579202413E-2</v>
      </c>
      <c r="J769" s="365">
        <f ca="1"/>
        <v>5.6595587104278706E-2</v>
      </c>
      <c r="K769" s="365">
        <f ca="1"/>
        <v>4.442086071471027E-2</v>
      </c>
      <c r="L769" s="365">
        <f ca="1"/>
        <v>3.0998386734505761E-2</v>
      </c>
      <c r="M769" s="365">
        <f ca="1"/>
        <v>1.6187214785557073E-2</v>
      </c>
      <c r="N769" s="365">
        <f ca="1"/>
        <v>0</v>
      </c>
      <c r="O769" s="2"/>
    </row>
    <row r="770" spans="2:25" s="4" customFormat="1">
      <c r="B770" s="358">
        <v>6</v>
      </c>
      <c r="C770" s="2" t="s">
        <v>50</v>
      </c>
      <c r="D770" s="2"/>
      <c r="E770" s="2"/>
      <c r="F770" s="365">
        <f ca="1"/>
        <v>0</v>
      </c>
      <c r="G770" s="365">
        <f ca="1"/>
        <v>0</v>
      </c>
      <c r="H770" s="365">
        <f ca="1"/>
        <v>0</v>
      </c>
      <c r="I770" s="365">
        <f ca="1"/>
        <v>0</v>
      </c>
      <c r="J770" s="365">
        <f ca="1"/>
        <v>0</v>
      </c>
      <c r="K770" s="365">
        <f ca="1"/>
        <v>0</v>
      </c>
      <c r="L770" s="365">
        <f ca="1"/>
        <v>0</v>
      </c>
      <c r="M770" s="365">
        <f ca="1"/>
        <v>0</v>
      </c>
      <c r="N770" s="365">
        <f ca="1"/>
        <v>0</v>
      </c>
      <c r="O770" s="2"/>
    </row>
    <row r="771" spans="2:25" s="4" customFormat="1">
      <c r="B771" s="358">
        <v>7</v>
      </c>
      <c r="C771" s="2" t="s">
        <v>51</v>
      </c>
      <c r="D771" s="2"/>
      <c r="E771" s="2"/>
      <c r="F771" s="365">
        <f ca="1"/>
        <v>0</v>
      </c>
      <c r="G771" s="365">
        <f ca="1"/>
        <v>0</v>
      </c>
      <c r="H771" s="365">
        <f ca="1"/>
        <v>0</v>
      </c>
      <c r="I771" s="365">
        <f ca="1"/>
        <v>0</v>
      </c>
      <c r="J771" s="365">
        <f ca="1"/>
        <v>0</v>
      </c>
      <c r="K771" s="365">
        <f ca="1"/>
        <v>0</v>
      </c>
      <c r="L771" s="365">
        <f ca="1"/>
        <v>0</v>
      </c>
      <c r="M771" s="365">
        <f ca="1"/>
        <v>0</v>
      </c>
      <c r="N771" s="365">
        <f ca="1"/>
        <v>0</v>
      </c>
      <c r="O771" s="2"/>
    </row>
    <row r="772" spans="2:25" s="4" customFormat="1">
      <c r="B772" s="358">
        <v>8</v>
      </c>
      <c r="C772" s="2" t="s">
        <v>52</v>
      </c>
      <c r="D772" s="2"/>
      <c r="E772" s="2"/>
      <c r="F772" s="365">
        <f ca="1"/>
        <v>5.8550884816682379E-3</v>
      </c>
      <c r="G772" s="365">
        <f ca="1"/>
        <v>5.7008847073214304E-3</v>
      </c>
      <c r="H772" s="365">
        <f ca="1"/>
        <v>5.1525927193036948E-3</v>
      </c>
      <c r="I772" s="365">
        <f ca="1"/>
        <v>4.5143325052801608E-3</v>
      </c>
      <c r="J772" s="365">
        <f ca="1"/>
        <v>3.7730391402852471E-3</v>
      </c>
      <c r="K772" s="365">
        <f ca="1"/>
        <v>2.961390714314018E-3</v>
      </c>
      <c r="L772" s="365">
        <f ca="1"/>
        <v>2.0665591156337169E-3</v>
      </c>
      <c r="M772" s="365">
        <f ca="1"/>
        <v>1.0791476523704711E-3</v>
      </c>
      <c r="N772" s="365">
        <f ca="1"/>
        <v>0</v>
      </c>
      <c r="O772" s="2"/>
    </row>
    <row r="773" spans="2:25" s="4" customFormat="1">
      <c r="B773" s="358">
        <v>9</v>
      </c>
      <c r="C773" s="2" t="s">
        <v>53</v>
      </c>
      <c r="D773" s="2"/>
      <c r="E773" s="2"/>
      <c r="F773" s="365">
        <f ca="1"/>
        <v>1.1710176963336476E-2</v>
      </c>
      <c r="G773" s="365">
        <f ca="1"/>
        <v>1.1401769414642861E-2</v>
      </c>
      <c r="H773" s="365">
        <f ca="1"/>
        <v>1.030518543860739E-2</v>
      </c>
      <c r="I773" s="365">
        <f ca="1"/>
        <v>9.0286650105603217E-3</v>
      </c>
      <c r="J773" s="365">
        <f ca="1"/>
        <v>7.5460782805704943E-3</v>
      </c>
      <c r="K773" s="365">
        <f ca="1"/>
        <v>5.9227814286280361E-3</v>
      </c>
      <c r="L773" s="365">
        <f ca="1"/>
        <v>4.1331182312674339E-3</v>
      </c>
      <c r="M773" s="365">
        <f ca="1"/>
        <v>2.1582953047409423E-3</v>
      </c>
      <c r="N773" s="365">
        <f ca="1"/>
        <v>0</v>
      </c>
      <c r="O773" s="2"/>
    </row>
    <row r="774" spans="2:25" s="4" customFormat="1">
      <c r="B774" s="358">
        <v>10</v>
      </c>
      <c r="C774" s="2" t="s">
        <v>54</v>
      </c>
      <c r="D774" s="2"/>
      <c r="E774" s="2"/>
      <c r="F774" s="365">
        <f ca="1"/>
        <v>0</v>
      </c>
      <c r="G774" s="365">
        <f ca="1"/>
        <v>0</v>
      </c>
      <c r="H774" s="365">
        <f ca="1"/>
        <v>0</v>
      </c>
      <c r="I774" s="365">
        <f ca="1"/>
        <v>0</v>
      </c>
      <c r="J774" s="365">
        <f ca="1"/>
        <v>0</v>
      </c>
      <c r="K774" s="365">
        <f ca="1"/>
        <v>0</v>
      </c>
      <c r="L774" s="365">
        <f ca="1"/>
        <v>0</v>
      </c>
      <c r="M774" s="365">
        <f ca="1"/>
        <v>0</v>
      </c>
      <c r="N774" s="365">
        <f ca="1"/>
        <v>0</v>
      </c>
      <c r="O774" s="2"/>
      <c r="Q774" s="365"/>
      <c r="R774" s="365"/>
      <c r="S774" s="365"/>
      <c r="T774" s="365"/>
      <c r="U774" s="365"/>
      <c r="V774" s="365"/>
      <c r="W774" s="365"/>
      <c r="X774" s="365"/>
      <c r="Y774" s="365"/>
    </row>
    <row r="775" spans="2:25" s="4" customFormat="1">
      <c r="B775" s="358">
        <v>11</v>
      </c>
      <c r="C775" s="2" t="s">
        <v>55</v>
      </c>
      <c r="D775" s="2"/>
      <c r="E775" s="2"/>
      <c r="F775" s="365">
        <f ca="1"/>
        <v>0</v>
      </c>
      <c r="G775" s="365">
        <f ca="1"/>
        <v>0</v>
      </c>
      <c r="H775" s="365">
        <f ca="1"/>
        <v>0</v>
      </c>
      <c r="I775" s="365">
        <f ca="1"/>
        <v>0</v>
      </c>
      <c r="J775" s="365">
        <f ca="1"/>
        <v>0</v>
      </c>
      <c r="K775" s="365">
        <f ca="1"/>
        <v>0</v>
      </c>
      <c r="L775" s="365">
        <f ca="1"/>
        <v>0</v>
      </c>
      <c r="M775" s="365">
        <f ca="1"/>
        <v>0</v>
      </c>
      <c r="N775" s="365">
        <f ca="1"/>
        <v>0</v>
      </c>
      <c r="O775" s="2"/>
      <c r="R775" s="365"/>
      <c r="V775" s="365"/>
      <c r="W775" s="365"/>
      <c r="X775" s="365"/>
      <c r="Y775" s="365"/>
    </row>
    <row r="776" spans="2:25" s="4" customFormat="1">
      <c r="B776" s="358">
        <v>12</v>
      </c>
      <c r="C776" s="2" t="s">
        <v>56</v>
      </c>
      <c r="D776" s="2"/>
      <c r="E776" s="2"/>
      <c r="F776" s="365">
        <f ca="1"/>
        <v>0</v>
      </c>
      <c r="G776" s="365">
        <f ca="1"/>
        <v>0</v>
      </c>
      <c r="H776" s="365">
        <f ca="1"/>
        <v>0</v>
      </c>
      <c r="I776" s="365">
        <f ca="1"/>
        <v>0</v>
      </c>
      <c r="J776" s="365">
        <f ca="1"/>
        <v>0</v>
      </c>
      <c r="K776" s="365">
        <f ca="1"/>
        <v>0</v>
      </c>
      <c r="L776" s="365">
        <f ca="1"/>
        <v>0</v>
      </c>
      <c r="M776" s="365">
        <f ca="1"/>
        <v>0</v>
      </c>
      <c r="N776" s="365">
        <f ca="1"/>
        <v>0</v>
      </c>
      <c r="O776" s="2"/>
      <c r="V776" s="365"/>
      <c r="W776" s="365"/>
      <c r="X776" s="365"/>
      <c r="Y776" s="365"/>
    </row>
    <row r="777" spans="2:25" s="4" customFormat="1">
      <c r="B777" s="358">
        <v>13</v>
      </c>
      <c r="C777" s="2" t="s">
        <v>57</v>
      </c>
      <c r="D777" s="2"/>
      <c r="E777" s="2"/>
      <c r="F777" s="365">
        <f ca="1"/>
        <v>0</v>
      </c>
      <c r="G777" s="365">
        <f ca="1"/>
        <v>0</v>
      </c>
      <c r="H777" s="365">
        <f ca="1"/>
        <v>0</v>
      </c>
      <c r="I777" s="365">
        <f ca="1"/>
        <v>0</v>
      </c>
      <c r="J777" s="365">
        <f ca="1"/>
        <v>0</v>
      </c>
      <c r="K777" s="365">
        <f ca="1"/>
        <v>0</v>
      </c>
      <c r="L777" s="365">
        <f ca="1"/>
        <v>0</v>
      </c>
      <c r="M777" s="365">
        <f ca="1"/>
        <v>0</v>
      </c>
      <c r="N777" s="365">
        <f ca="1"/>
        <v>0</v>
      </c>
      <c r="O777" s="2"/>
      <c r="W777" s="365"/>
      <c r="X777" s="365"/>
      <c r="Y777" s="365"/>
    </row>
    <row r="778" spans="2:25" s="4" customFormat="1">
      <c r="B778" s="358"/>
      <c r="C778" s="2"/>
      <c r="D778" s="2"/>
      <c r="E778" s="355" t="str">
        <f>Preferences.EnergyUnits</f>
        <v>TWh</v>
      </c>
      <c r="F778" s="371">
        <f t="shared" ref="F778:N778" ca="1" si="81">SUM(F765:F777)</f>
        <v>5.8492333931865703</v>
      </c>
      <c r="G778" s="371">
        <f t="shared" ca="1" si="81"/>
        <v>6.0209486630324767</v>
      </c>
      <c r="H778" s="371">
        <f t="shared" ca="1" si="81"/>
        <v>6.3497117610885869</v>
      </c>
      <c r="I778" s="371">
        <f t="shared" ca="1" si="81"/>
        <v>6.6766977753093588</v>
      </c>
      <c r="J778" s="371">
        <f t="shared" ca="1" si="81"/>
        <v>6.9763493703874229</v>
      </c>
      <c r="K778" s="371">
        <f t="shared" ca="1" si="81"/>
        <v>7.3018023712602655</v>
      </c>
      <c r="L778" s="371">
        <f t="shared" ca="1" si="81"/>
        <v>7.6442021687291231</v>
      </c>
      <c r="M778" s="371">
        <f t="shared" ca="1" si="81"/>
        <v>7.9846134798891235</v>
      </c>
      <c r="N778" s="371">
        <f t="shared" ca="1" si="81"/>
        <v>8.3427980780274282</v>
      </c>
      <c r="O778" s="2"/>
      <c r="Q778" s="365"/>
      <c r="W778" s="365"/>
      <c r="X778" s="365"/>
      <c r="Y778" s="365"/>
    </row>
    <row r="779" spans="2:25" s="4" customFormat="1">
      <c r="B779" s="358"/>
      <c r="C779" s="2"/>
      <c r="D779" s="2"/>
      <c r="E779" s="355"/>
      <c r="F779" s="397"/>
      <c r="G779" s="397"/>
      <c r="H779" s="397"/>
      <c r="I779" s="397"/>
      <c r="J779" s="397"/>
      <c r="K779" s="397"/>
      <c r="L779" s="397"/>
      <c r="M779" s="397"/>
      <c r="N779" s="397"/>
      <c r="O779" s="2"/>
      <c r="Q779" s="365"/>
      <c r="W779" s="365"/>
      <c r="X779" s="365"/>
      <c r="Y779" s="365"/>
    </row>
    <row r="780" spans="2:25" s="4" customFormat="1">
      <c r="B780" s="379" t="s">
        <v>1189</v>
      </c>
      <c r="C780" s="377" t="s">
        <v>3407</v>
      </c>
      <c r="D780" s="2"/>
      <c r="E780" s="355"/>
      <c r="F780" s="356">
        <v>2013</v>
      </c>
      <c r="G780" s="356">
        <v>2015</v>
      </c>
      <c r="H780" s="356">
        <v>2020</v>
      </c>
      <c r="I780" s="356">
        <v>2025</v>
      </c>
      <c r="J780" s="356">
        <v>2030</v>
      </c>
      <c r="K780" s="356">
        <v>2035</v>
      </c>
      <c r="L780" s="356">
        <v>2040</v>
      </c>
      <c r="M780" s="356">
        <v>2045</v>
      </c>
      <c r="N780" s="356">
        <v>2050</v>
      </c>
      <c r="O780" s="2"/>
    </row>
    <row r="781" spans="2:25" s="4" customFormat="1">
      <c r="B781" s="358">
        <v>1</v>
      </c>
      <c r="C781" s="2" t="s">
        <v>45</v>
      </c>
      <c r="D781" s="2"/>
      <c r="E781" s="2"/>
      <c r="F781" s="365">
        <f t="shared" ref="F781:N781" ca="1" si="82">F765*(1-(F$44*F$53*0.8))</f>
        <v>0.99536504188360053</v>
      </c>
      <c r="G781" s="365">
        <f t="shared" ca="1" si="82"/>
        <v>0.96915040024464338</v>
      </c>
      <c r="H781" s="365">
        <f t="shared" ca="1" si="82"/>
        <v>0.87594076228162843</v>
      </c>
      <c r="I781" s="365">
        <f t="shared" ca="1" si="82"/>
        <v>0.76743652589762767</v>
      </c>
      <c r="J781" s="365">
        <f t="shared" ca="1" si="82"/>
        <v>0.64141665384849234</v>
      </c>
      <c r="K781" s="365">
        <f t="shared" ca="1" si="82"/>
        <v>0.50343642143338341</v>
      </c>
      <c r="L781" s="365">
        <f t="shared" ca="1" si="82"/>
        <v>0.3513150496577323</v>
      </c>
      <c r="M781" s="365">
        <f t="shared" ca="1" si="82"/>
        <v>0.18345510090298053</v>
      </c>
      <c r="N781" s="365">
        <f t="shared" ca="1" si="82"/>
        <v>0</v>
      </c>
      <c r="O781" s="2"/>
    </row>
    <row r="782" spans="2:25" s="4" customFormat="1">
      <c r="B782" s="358">
        <v>2</v>
      </c>
      <c r="C782" s="2" t="s">
        <v>46</v>
      </c>
      <c r="D782" s="2"/>
      <c r="E782" s="2"/>
      <c r="F782" s="365">
        <f t="shared" ref="F782:N782" ca="1" si="83">F766*(1-(F$44*F$53*0.8))</f>
        <v>0.9133938031402451</v>
      </c>
      <c r="G782" s="365">
        <f t="shared" ca="1" si="83"/>
        <v>1.1825263707186739</v>
      </c>
      <c r="H782" s="365">
        <f t="shared" ca="1" si="83"/>
        <v>1.8858489352651522</v>
      </c>
      <c r="I782" s="365">
        <f t="shared" ca="1" si="83"/>
        <v>2.6544275131047348</v>
      </c>
      <c r="J782" s="365">
        <f t="shared" ca="1" si="83"/>
        <v>3.4749690482027127</v>
      </c>
      <c r="K782" s="365">
        <f t="shared" ca="1" si="83"/>
        <v>4.371012694327491</v>
      </c>
      <c r="L782" s="365">
        <f t="shared" ca="1" si="83"/>
        <v>5.3441218730287936</v>
      </c>
      <c r="M782" s="365">
        <f t="shared" ca="1" si="83"/>
        <v>6.3842375114237129</v>
      </c>
      <c r="N782" s="365">
        <f t="shared" ca="1" si="83"/>
        <v>7.5085182702246858</v>
      </c>
      <c r="O782" s="2"/>
    </row>
    <row r="783" spans="2:25" s="4" customFormat="1">
      <c r="B783" s="358">
        <v>3</v>
      </c>
      <c r="C783" s="2" t="s">
        <v>47</v>
      </c>
      <c r="D783" s="2"/>
      <c r="E783" s="2"/>
      <c r="F783" s="365">
        <f t="shared" ref="F783:N783" ca="1" si="84">F767*(1-F$44)</f>
        <v>0.21078318534005655</v>
      </c>
      <c r="G783" s="365">
        <f t="shared" ca="1" si="84"/>
        <v>0.23780833350540825</v>
      </c>
      <c r="H783" s="365">
        <f t="shared" ca="1" si="84"/>
        <v>0.30572050134535256</v>
      </c>
      <c r="I783" s="365">
        <f t="shared" ca="1" si="84"/>
        <v>0.37920393044353362</v>
      </c>
      <c r="J783" s="365">
        <f t="shared" ca="1" si="84"/>
        <v>0.45653773597451497</v>
      </c>
      <c r="K783" s="365">
        <f t="shared" ca="1" si="84"/>
        <v>0.54094737048136077</v>
      </c>
      <c r="L783" s="365">
        <f t="shared" ca="1" si="84"/>
        <v>0.63236708938391761</v>
      </c>
      <c r="M783" s="365">
        <f t="shared" ca="1" si="84"/>
        <v>0.72950381300243916</v>
      </c>
      <c r="N783" s="365">
        <f t="shared" ca="1" si="84"/>
        <v>0.83427980780274291</v>
      </c>
      <c r="O783" s="2"/>
    </row>
    <row r="784" spans="2:25" s="4" customFormat="1">
      <c r="B784" s="358">
        <v>4</v>
      </c>
      <c r="C784" s="2" t="s">
        <v>48</v>
      </c>
      <c r="D784" s="2"/>
      <c r="E784" s="2"/>
      <c r="F784" s="365">
        <f t="shared" ref="F784:N784" ca="1" si="85">F768</f>
        <v>3.6242997701526392</v>
      </c>
      <c r="G784" s="365">
        <f t="shared" ca="1" si="85"/>
        <v>3.5288476338319654</v>
      </c>
      <c r="H784" s="365">
        <f t="shared" ca="1" si="85"/>
        <v>3.1894548932489872</v>
      </c>
      <c r="I784" s="365">
        <f t="shared" ca="1" si="85"/>
        <v>2.7943718207684203</v>
      </c>
      <c r="J784" s="365">
        <f t="shared" ca="1" si="85"/>
        <v>2.3355112278365686</v>
      </c>
      <c r="K784" s="365">
        <f t="shared" ca="1" si="85"/>
        <v>1.833100852160378</v>
      </c>
      <c r="L784" s="365">
        <f t="shared" ca="1" si="85"/>
        <v>1.2792000925772717</v>
      </c>
      <c r="M784" s="365">
        <f t="shared" ca="1" si="85"/>
        <v>0.6679923968173227</v>
      </c>
      <c r="N784" s="365">
        <f t="shared" ca="1" si="85"/>
        <v>0</v>
      </c>
      <c r="O784" s="2"/>
    </row>
    <row r="785" spans="2:25" s="4" customFormat="1">
      <c r="B785" s="358">
        <v>5</v>
      </c>
      <c r="C785" s="2" t="s">
        <v>49</v>
      </c>
      <c r="D785" s="2"/>
      <c r="E785" s="2"/>
      <c r="F785" s="365">
        <f t="shared" ref="F785:N785" ca="1" si="86">F769</f>
        <v>8.7826327225023565E-2</v>
      </c>
      <c r="G785" s="365">
        <f t="shared" ca="1" si="86"/>
        <v>8.551327060982146E-2</v>
      </c>
      <c r="H785" s="365">
        <f t="shared" ca="1" si="86"/>
        <v>7.728889078955542E-2</v>
      </c>
      <c r="I785" s="365">
        <f t="shared" ca="1" si="86"/>
        <v>6.7714987579202413E-2</v>
      </c>
      <c r="J785" s="365">
        <f t="shared" ca="1" si="86"/>
        <v>5.6595587104278706E-2</v>
      </c>
      <c r="K785" s="365">
        <f t="shared" ca="1" si="86"/>
        <v>4.442086071471027E-2</v>
      </c>
      <c r="L785" s="365">
        <f t="shared" ca="1" si="86"/>
        <v>3.0998386734505761E-2</v>
      </c>
      <c r="M785" s="365">
        <f t="shared" ca="1" si="86"/>
        <v>1.6187214785557073E-2</v>
      </c>
      <c r="N785" s="365">
        <f t="shared" ca="1" si="86"/>
        <v>0</v>
      </c>
      <c r="O785" s="2"/>
      <c r="Q785" s="365"/>
      <c r="R785" s="365"/>
      <c r="S785" s="365"/>
      <c r="T785" s="365"/>
      <c r="U785" s="365"/>
      <c r="V785" s="365"/>
      <c r="W785" s="365"/>
      <c r="X785" s="365"/>
      <c r="Y785" s="365"/>
    </row>
    <row r="786" spans="2:25" s="4" customFormat="1">
      <c r="B786" s="358">
        <v>6</v>
      </c>
      <c r="C786" s="2" t="s">
        <v>50</v>
      </c>
      <c r="D786" s="2"/>
      <c r="E786" s="2"/>
      <c r="F786" s="365">
        <f t="shared" ref="F786:N786" ca="1" si="87">F770</f>
        <v>0</v>
      </c>
      <c r="G786" s="365">
        <f t="shared" ca="1" si="87"/>
        <v>0</v>
      </c>
      <c r="H786" s="365">
        <f t="shared" ca="1" si="87"/>
        <v>0</v>
      </c>
      <c r="I786" s="365">
        <f t="shared" ca="1" si="87"/>
        <v>0</v>
      </c>
      <c r="J786" s="365">
        <f t="shared" ca="1" si="87"/>
        <v>0</v>
      </c>
      <c r="K786" s="365">
        <f t="shared" ca="1" si="87"/>
        <v>0</v>
      </c>
      <c r="L786" s="365">
        <f t="shared" ca="1" si="87"/>
        <v>0</v>
      </c>
      <c r="M786" s="365">
        <f t="shared" ca="1" si="87"/>
        <v>0</v>
      </c>
      <c r="N786" s="365">
        <f t="shared" ca="1" si="87"/>
        <v>0</v>
      </c>
      <c r="O786" s="2"/>
      <c r="R786" s="365"/>
      <c r="V786" s="365"/>
      <c r="W786" s="365"/>
      <c r="X786" s="365"/>
      <c r="Y786" s="365"/>
    </row>
    <row r="787" spans="2:25" s="4" customFormat="1">
      <c r="B787" s="358">
        <v>7</v>
      </c>
      <c r="C787" s="2" t="s">
        <v>51</v>
      </c>
      <c r="D787" s="4107" t="s">
        <v>5</v>
      </c>
      <c r="E787" s="2"/>
      <c r="F787" s="365">
        <f t="shared" ref="F787:N787" ca="1" si="88">F771</f>
        <v>0</v>
      </c>
      <c r="G787" s="365">
        <f t="shared" ca="1" si="88"/>
        <v>0</v>
      </c>
      <c r="H787" s="365">
        <f t="shared" ca="1" si="88"/>
        <v>0</v>
      </c>
      <c r="I787" s="365">
        <f t="shared" ca="1" si="88"/>
        <v>0</v>
      </c>
      <c r="J787" s="365">
        <f t="shared" ca="1" si="88"/>
        <v>0</v>
      </c>
      <c r="K787" s="365">
        <f t="shared" ca="1" si="88"/>
        <v>0</v>
      </c>
      <c r="L787" s="365">
        <f t="shared" ca="1" si="88"/>
        <v>0</v>
      </c>
      <c r="M787" s="365">
        <f t="shared" ca="1" si="88"/>
        <v>0</v>
      </c>
      <c r="N787" s="365">
        <f t="shared" ca="1" si="88"/>
        <v>0</v>
      </c>
      <c r="O787" s="2"/>
      <c r="V787" s="365"/>
      <c r="W787" s="365"/>
      <c r="X787" s="365"/>
      <c r="Y787" s="365"/>
    </row>
    <row r="788" spans="2:25" s="4" customFormat="1">
      <c r="B788" s="358">
        <v>8</v>
      </c>
      <c r="C788" s="2" t="s">
        <v>52</v>
      </c>
      <c r="D788" s="2"/>
      <c r="E788" s="2"/>
      <c r="F788" s="365">
        <f t="shared" ref="F788:N788" ca="1" si="89">F772</f>
        <v>5.8550884816682379E-3</v>
      </c>
      <c r="G788" s="365">
        <f t="shared" ca="1" si="89"/>
        <v>5.7008847073214304E-3</v>
      </c>
      <c r="H788" s="365">
        <f t="shared" ca="1" si="89"/>
        <v>5.1525927193036948E-3</v>
      </c>
      <c r="I788" s="365">
        <f t="shared" ca="1" si="89"/>
        <v>4.5143325052801608E-3</v>
      </c>
      <c r="J788" s="365">
        <f t="shared" ca="1" si="89"/>
        <v>3.7730391402852471E-3</v>
      </c>
      <c r="K788" s="365">
        <f t="shared" ca="1" si="89"/>
        <v>2.961390714314018E-3</v>
      </c>
      <c r="L788" s="365">
        <f t="shared" ca="1" si="89"/>
        <v>2.0665591156337169E-3</v>
      </c>
      <c r="M788" s="365">
        <f t="shared" ca="1" si="89"/>
        <v>1.0791476523704711E-3</v>
      </c>
      <c r="N788" s="365">
        <f t="shared" ca="1" si="89"/>
        <v>0</v>
      </c>
      <c r="O788" s="2"/>
      <c r="W788" s="365"/>
      <c r="X788" s="365"/>
      <c r="Y788" s="365"/>
    </row>
    <row r="789" spans="2:25" s="4" customFormat="1">
      <c r="B789" s="358">
        <v>9</v>
      </c>
      <c r="C789" s="2" t="s">
        <v>53</v>
      </c>
      <c r="D789" s="2"/>
      <c r="E789" s="2"/>
      <c r="F789" s="365">
        <f t="shared" ref="F789:N789" ca="1" si="90">F773</f>
        <v>1.1710176963336476E-2</v>
      </c>
      <c r="G789" s="365">
        <f t="shared" ca="1" si="90"/>
        <v>1.1401769414642861E-2</v>
      </c>
      <c r="H789" s="365">
        <f t="shared" ca="1" si="90"/>
        <v>1.030518543860739E-2</v>
      </c>
      <c r="I789" s="365">
        <f t="shared" ca="1" si="90"/>
        <v>9.0286650105603217E-3</v>
      </c>
      <c r="J789" s="365">
        <f t="shared" ca="1" si="90"/>
        <v>7.5460782805704943E-3</v>
      </c>
      <c r="K789" s="365">
        <f t="shared" ca="1" si="90"/>
        <v>5.9227814286280361E-3</v>
      </c>
      <c r="L789" s="365">
        <f t="shared" ca="1" si="90"/>
        <v>4.1331182312674339E-3</v>
      </c>
      <c r="M789" s="365">
        <f t="shared" ca="1" si="90"/>
        <v>2.1582953047409423E-3</v>
      </c>
      <c r="N789" s="365">
        <f t="shared" ca="1" si="90"/>
        <v>0</v>
      </c>
      <c r="O789" s="2"/>
      <c r="Q789" s="365"/>
      <c r="W789" s="365"/>
      <c r="X789" s="365"/>
      <c r="Y789" s="365"/>
    </row>
    <row r="790" spans="2:25" s="4" customFormat="1">
      <c r="B790" s="358">
        <v>10</v>
      </c>
      <c r="C790" s="2" t="s">
        <v>54</v>
      </c>
      <c r="D790" s="2"/>
      <c r="E790" s="2"/>
      <c r="F790" s="365">
        <f t="shared" ref="F790:N790" ca="1" si="91">F774</f>
        <v>0</v>
      </c>
      <c r="G790" s="365">
        <f t="shared" ca="1" si="91"/>
        <v>0</v>
      </c>
      <c r="H790" s="365">
        <f t="shared" ca="1" si="91"/>
        <v>0</v>
      </c>
      <c r="I790" s="365">
        <f t="shared" ca="1" si="91"/>
        <v>0</v>
      </c>
      <c r="J790" s="365">
        <f t="shared" ca="1" si="91"/>
        <v>0</v>
      </c>
      <c r="K790" s="365">
        <f t="shared" ca="1" si="91"/>
        <v>0</v>
      </c>
      <c r="L790" s="365">
        <f t="shared" ca="1" si="91"/>
        <v>0</v>
      </c>
      <c r="M790" s="365">
        <f t="shared" ca="1" si="91"/>
        <v>0</v>
      </c>
      <c r="N790" s="365">
        <f t="shared" ca="1" si="91"/>
        <v>0</v>
      </c>
      <c r="O790" s="2"/>
      <c r="W790" s="365"/>
      <c r="X790" s="365"/>
      <c r="Y790" s="365"/>
    </row>
    <row r="791" spans="2:25" s="4" customFormat="1">
      <c r="B791" s="358">
        <v>11</v>
      </c>
      <c r="C791" s="2" t="s">
        <v>55</v>
      </c>
      <c r="D791" s="2"/>
      <c r="E791" s="2"/>
      <c r="F791" s="365">
        <f t="shared" ref="F791:N791" ca="1" si="92">F775</f>
        <v>0</v>
      </c>
      <c r="G791" s="365">
        <f t="shared" ca="1" si="92"/>
        <v>0</v>
      </c>
      <c r="H791" s="365">
        <f t="shared" ca="1" si="92"/>
        <v>0</v>
      </c>
      <c r="I791" s="365">
        <f t="shared" ca="1" si="92"/>
        <v>0</v>
      </c>
      <c r="J791" s="365">
        <f t="shared" ca="1" si="92"/>
        <v>0</v>
      </c>
      <c r="K791" s="365">
        <f t="shared" ca="1" si="92"/>
        <v>0</v>
      </c>
      <c r="L791" s="365">
        <f t="shared" ca="1" si="92"/>
        <v>0</v>
      </c>
      <c r="M791" s="365">
        <f t="shared" ca="1" si="92"/>
        <v>0</v>
      </c>
      <c r="N791" s="365">
        <f t="shared" ca="1" si="92"/>
        <v>0</v>
      </c>
      <c r="O791" s="2"/>
      <c r="W791" s="365"/>
      <c r="X791" s="365"/>
      <c r="Y791" s="365"/>
    </row>
    <row r="792" spans="2:25" s="4" customFormat="1">
      <c r="B792" s="358">
        <v>12</v>
      </c>
      <c r="C792" s="2" t="s">
        <v>56</v>
      </c>
      <c r="D792" s="2"/>
      <c r="E792" s="2"/>
      <c r="F792" s="365">
        <f t="shared" ref="F792:N792" ca="1" si="93">F776</f>
        <v>0</v>
      </c>
      <c r="G792" s="365">
        <f t="shared" ca="1" si="93"/>
        <v>0</v>
      </c>
      <c r="H792" s="365">
        <f t="shared" ca="1" si="93"/>
        <v>0</v>
      </c>
      <c r="I792" s="365">
        <f t="shared" ca="1" si="93"/>
        <v>0</v>
      </c>
      <c r="J792" s="365">
        <f t="shared" ca="1" si="93"/>
        <v>0</v>
      </c>
      <c r="K792" s="365">
        <f t="shared" ca="1" si="93"/>
        <v>0</v>
      </c>
      <c r="L792" s="365">
        <f t="shared" ca="1" si="93"/>
        <v>0</v>
      </c>
      <c r="M792" s="365">
        <f t="shared" ca="1" si="93"/>
        <v>0</v>
      </c>
      <c r="N792" s="365">
        <f t="shared" ca="1" si="93"/>
        <v>0</v>
      </c>
      <c r="O792" s="2"/>
      <c r="W792" s="365"/>
      <c r="X792" s="365"/>
      <c r="Y792" s="365"/>
    </row>
    <row r="793" spans="2:25" s="4" customFormat="1">
      <c r="B793" s="358">
        <v>13</v>
      </c>
      <c r="C793" s="2" t="s">
        <v>57</v>
      </c>
      <c r="D793" s="2"/>
      <c r="E793" s="2"/>
      <c r="F793" s="365">
        <f t="shared" ref="F793:N793" ca="1" si="94">F777</f>
        <v>0</v>
      </c>
      <c r="G793" s="365">
        <f t="shared" ca="1" si="94"/>
        <v>0</v>
      </c>
      <c r="H793" s="365">
        <f t="shared" ca="1" si="94"/>
        <v>0</v>
      </c>
      <c r="I793" s="365">
        <f t="shared" ca="1" si="94"/>
        <v>0</v>
      </c>
      <c r="J793" s="365">
        <f t="shared" ca="1" si="94"/>
        <v>0</v>
      </c>
      <c r="K793" s="365">
        <f t="shared" ca="1" si="94"/>
        <v>0</v>
      </c>
      <c r="L793" s="365">
        <f t="shared" ca="1" si="94"/>
        <v>0</v>
      </c>
      <c r="M793" s="365">
        <f t="shared" ca="1" si="94"/>
        <v>0</v>
      </c>
      <c r="N793" s="365">
        <f t="shared" ca="1" si="94"/>
        <v>0</v>
      </c>
      <c r="O793" s="2"/>
      <c r="W793" s="365"/>
      <c r="X793" s="365"/>
      <c r="Y793" s="365"/>
    </row>
    <row r="794" spans="2:25" s="4" customFormat="1">
      <c r="B794" s="358"/>
      <c r="C794" s="4107"/>
      <c r="D794" s="4107"/>
      <c r="E794" s="2"/>
      <c r="F794" s="365"/>
      <c r="G794" s="365"/>
      <c r="H794" s="365"/>
      <c r="I794" s="365"/>
      <c r="J794" s="365"/>
      <c r="K794" s="365"/>
      <c r="L794" s="365"/>
      <c r="M794" s="365"/>
      <c r="N794" s="365"/>
      <c r="O794" s="2"/>
      <c r="W794" s="365"/>
      <c r="X794" s="365"/>
      <c r="Y794" s="365"/>
    </row>
    <row r="795" spans="2:25" s="4" customFormat="1">
      <c r="B795" s="2"/>
      <c r="C795" s="2"/>
      <c r="D795" s="2"/>
      <c r="E795" s="3810" t="str">
        <f>Preferences.EnergyUnits</f>
        <v>TWh</v>
      </c>
      <c r="F795" s="371">
        <f t="shared" ref="F795:N795" ca="1" si="95">SUM(F781:F794)</f>
        <v>5.8492333931865703</v>
      </c>
      <c r="G795" s="371">
        <f t="shared" ca="1" si="95"/>
        <v>6.0209486630324767</v>
      </c>
      <c r="H795" s="371">
        <f t="shared" ca="1" si="95"/>
        <v>6.3497117610885869</v>
      </c>
      <c r="I795" s="371">
        <f t="shared" ca="1" si="95"/>
        <v>6.6766977753093588</v>
      </c>
      <c r="J795" s="371">
        <f t="shared" ca="1" si="95"/>
        <v>6.9763493703874229</v>
      </c>
      <c r="K795" s="371">
        <f t="shared" ca="1" si="95"/>
        <v>7.3018023712602655</v>
      </c>
      <c r="L795" s="371">
        <f t="shared" ca="1" si="95"/>
        <v>7.6442021687291231</v>
      </c>
      <c r="M795" s="371">
        <f t="shared" ca="1" si="95"/>
        <v>7.9846134798891235</v>
      </c>
      <c r="N795" s="371">
        <f t="shared" ca="1" si="95"/>
        <v>8.3427980780274282</v>
      </c>
      <c r="O795" s="2"/>
      <c r="W795" s="365"/>
      <c r="X795" s="365"/>
      <c r="Y795" s="365"/>
    </row>
    <row r="796" spans="2:25" s="4" customFormat="1">
      <c r="B796" s="2"/>
      <c r="C796" s="2"/>
      <c r="D796" s="2"/>
      <c r="E796" s="2"/>
      <c r="F796" s="2"/>
      <c r="G796" s="2"/>
      <c r="H796" s="2"/>
      <c r="I796" s="2"/>
      <c r="J796" s="2"/>
      <c r="K796" s="2"/>
      <c r="L796" s="2"/>
      <c r="M796" s="2"/>
      <c r="N796" s="2"/>
      <c r="O796" s="2"/>
      <c r="W796" s="365"/>
      <c r="X796" s="365"/>
      <c r="Y796" s="365"/>
    </row>
    <row r="797" spans="2:25" s="4" customFormat="1">
      <c r="B797" s="354"/>
      <c r="C797" s="354" t="s">
        <v>226</v>
      </c>
      <c r="D797" s="2"/>
      <c r="E797" s="355"/>
      <c r="F797" s="2"/>
      <c r="G797" s="2"/>
      <c r="H797" s="2"/>
      <c r="I797" s="2"/>
      <c r="J797" s="2"/>
      <c r="K797" s="2"/>
      <c r="L797" s="2"/>
      <c r="M797" s="2"/>
      <c r="N797" s="2"/>
      <c r="O797" s="2"/>
      <c r="W797" s="365"/>
      <c r="X797" s="365"/>
      <c r="Y797" s="365"/>
    </row>
    <row r="798" spans="2:25" s="4" customFormat="1">
      <c r="B798" s="2"/>
      <c r="C798" s="2"/>
      <c r="D798" s="2"/>
      <c r="E798" s="2"/>
      <c r="F798" s="365"/>
      <c r="G798" s="2"/>
      <c r="H798" s="2"/>
      <c r="I798" s="2"/>
      <c r="J798" s="2"/>
      <c r="K798" s="2"/>
      <c r="L798" s="2"/>
      <c r="M798" s="2"/>
      <c r="N798" s="2"/>
      <c r="O798" s="2"/>
      <c r="W798" s="365"/>
      <c r="X798" s="365"/>
      <c r="Y798" s="365"/>
    </row>
    <row r="799" spans="2:25" s="4" customFormat="1">
      <c r="B799" s="358" t="s">
        <v>95</v>
      </c>
      <c r="C799" s="4" t="s">
        <v>85</v>
      </c>
      <c r="D799" s="2"/>
      <c r="E799" t="s">
        <v>5</v>
      </c>
      <c r="F799" s="365">
        <f t="array" aca="1" ref="F799" ca="1">SUM(F$781:F$793/$M$149:$M$161*($B799=$F$148:$N$148)*($F$149:$N$161))</f>
        <v>-0.21761412190200283</v>
      </c>
      <c r="G799" s="365">
        <f t="array" aca="1" ref="G799" ca="1">SUM(G$781:G$793/$M$149:$M$161*($B799=$F$148:$N$148)*($F$149:$N$161))</f>
        <v>-0.24445936566394993</v>
      </c>
      <c r="H799" s="365">
        <f t="array" aca="1" ref="H799" ca="1">SUM(H$781:H$793/$M$149:$M$161*($B799=$F$148:$N$148)*($F$149:$N$161))</f>
        <v>-0.31173185951787352</v>
      </c>
      <c r="I799" s="365">
        <f t="array" aca="1" ref="I799" ca="1">SUM(I$781:I$793/$M$149:$M$161*($B799=$F$148:$N$148)*($F$149:$N$161))</f>
        <v>-0.3844706516996938</v>
      </c>
      <c r="J799" s="365">
        <f t="array" aca="1" ref="J799" ca="1">SUM(J$781:J$793/$M$149:$M$161*($B799=$F$148:$N$148)*($F$149:$N$161))</f>
        <v>-0.46093961497151442</v>
      </c>
      <c r="K799" s="365">
        <f t="array" aca="1" ref="K799" ca="1">SUM(K$781:K$793/$M$149:$M$161*($B799=$F$148:$N$148)*($F$149:$N$161))</f>
        <v>-0.54440232631472707</v>
      </c>
      <c r="L799" s="365">
        <f t="array" aca="1" ref="L799" ca="1">SUM(L$781:L$793/$M$149:$M$161*($B799=$F$148:$N$148)*($F$149:$N$161))</f>
        <v>-0.63477807501882355</v>
      </c>
      <c r="M799" s="365">
        <f t="array" aca="1" ref="M799" ca="1">SUM(M$781:M$793/$M$149:$M$161*($B799=$F$148:$N$148)*($F$149:$N$161))</f>
        <v>-0.73076281859687131</v>
      </c>
      <c r="N799" s="365">
        <f t="array" aca="1" ref="N799" ca="1">SUM(N$781:N$793/$M$149:$M$161*($B799=$F$148:$N$148)*($F$149:$N$161))</f>
        <v>-0.83427980780274291</v>
      </c>
      <c r="O799" s="2"/>
      <c r="W799" s="365"/>
      <c r="X799" s="365"/>
      <c r="Y799" s="365"/>
    </row>
    <row r="800" spans="2:25" s="4" customFormat="1">
      <c r="B800" s="358" t="s">
        <v>96</v>
      </c>
      <c r="C800" s="4" t="s">
        <v>86</v>
      </c>
      <c r="D800" s="2"/>
      <c r="E800" s="2"/>
      <c r="F800" s="365">
        <f t="array" aca="1" ref="F800" ca="1">SUM(F$781:F$793/$M$149:$M$161*($B800=$F$148:$N$148)*($F$149:$N$161))</f>
        <v>0</v>
      </c>
      <c r="G800" s="365">
        <f t="array" aca="1" ref="G800" ca="1">SUM(G$781:G$793/$M$149:$M$161*($B800=$F$148:$N$148)*($F$149:$N$161))</f>
        <v>0</v>
      </c>
      <c r="H800" s="365">
        <f t="array" aca="1" ref="H800" ca="1">SUM(H$781:H$793/$M$149:$M$161*($B800=$F$148:$N$148)*($F$149:$N$161))</f>
        <v>0</v>
      </c>
      <c r="I800" s="365">
        <f t="array" aca="1" ref="I800" ca="1">SUM(I$781:I$793/$M$149:$M$161*($B800=$F$148:$N$148)*($F$149:$N$161))</f>
        <v>0</v>
      </c>
      <c r="J800" s="365">
        <f t="array" aca="1" ref="J800" ca="1">SUM(J$781:J$793/$M$149:$M$161*($B800=$F$148:$N$148)*($F$149:$N$161))</f>
        <v>0</v>
      </c>
      <c r="K800" s="365">
        <f t="array" aca="1" ref="K800" ca="1">SUM(K$781:K$793/$M$149:$M$161*($B800=$F$148:$N$148)*($F$149:$N$161))</f>
        <v>0</v>
      </c>
      <c r="L800" s="365">
        <f t="array" aca="1" ref="L800" ca="1">SUM(L$781:L$793/$M$149:$M$161*($B800=$F$148:$N$148)*($F$149:$N$161))</f>
        <v>0</v>
      </c>
      <c r="M800" s="365">
        <f t="array" aca="1" ref="M800" ca="1">SUM(M$781:M$793/$M$149:$M$161*($B800=$F$148:$N$148)*($F$149:$N$161))</f>
        <v>0</v>
      </c>
      <c r="N800" s="365">
        <f t="array" aca="1" ref="N800" ca="1">SUM(N$781:N$793/$M$149:$M$161*($B800=$F$148:$N$148)*($F$149:$N$161))</f>
        <v>0</v>
      </c>
      <c r="O800" s="2"/>
      <c r="W800" s="365"/>
      <c r="X800" s="365"/>
      <c r="Y800" s="365"/>
    </row>
    <row r="801" spans="1:25" s="4" customFormat="1">
      <c r="B801" s="358" t="s">
        <v>97</v>
      </c>
      <c r="C801" s="4" t="s">
        <v>87</v>
      </c>
      <c r="D801" s="2"/>
      <c r="E801" s="2"/>
      <c r="F801" s="365">
        <f t="array" aca="1" ref="F801" ca="1">SUM(F$781:F$793/$M$149:$M$161*($B801=$F$148:$N$148)*($F$149:$N$161))</f>
        <v>-0.10094980140807307</v>
      </c>
      <c r="G801" s="365">
        <f t="array" aca="1" ref="G801" ca="1">SUM(G$781:G$793/$M$149:$M$161*($B801=$F$148:$N$148)*($F$149:$N$161))</f>
        <v>-9.829111564347294E-2</v>
      </c>
      <c r="H801" s="365">
        <f t="array" aca="1" ref="H801" ca="1">SUM(H$781:H$793/$M$149:$M$161*($B801=$F$148:$N$148)*($F$149:$N$161))</f>
        <v>-8.8837805505236109E-2</v>
      </c>
      <c r="I801" s="365">
        <f t="array" aca="1" ref="I801" ca="1">SUM(I$781:I$793/$M$149:$M$161*($B801=$F$148:$N$148)*($F$149:$N$161))</f>
        <v>-7.7833319056554495E-2</v>
      </c>
      <c r="J801" s="365">
        <f t="array" aca="1" ref="J801" ca="1">SUM(J$781:J$793/$M$149:$M$161*($B801=$F$148:$N$148)*($F$149:$N$161))</f>
        <v>-6.5052398970435299E-2</v>
      </c>
      <c r="K801" s="365">
        <f t="array" aca="1" ref="K801" ca="1">SUM(K$781:K$793/$M$149:$M$161*($B801=$F$148:$N$148)*($F$149:$N$161))</f>
        <v>-5.1058460591621002E-2</v>
      </c>
      <c r="L801" s="365">
        <f t="array" aca="1" ref="L801" ca="1">SUM(L$781:L$793/$M$149:$M$161*($B801=$F$148:$N$148)*($F$149:$N$161))</f>
        <v>-3.5630329579891679E-2</v>
      </c>
      <c r="M801" s="365">
        <f t="array" aca="1" ref="M801" ca="1">SUM(M$781:M$793/$M$149:$M$161*($B801=$F$148:$N$148)*($F$149:$N$161))</f>
        <v>-1.860599400638744E-2</v>
      </c>
      <c r="N801" s="365">
        <f t="array" aca="1" ref="N801" ca="1">SUM(N$781:N$793/$M$149:$M$161*($B801=$F$148:$N$148)*($F$149:$N$161))</f>
        <v>0</v>
      </c>
      <c r="O801" s="2"/>
    </row>
    <row r="802" spans="1:25">
      <c r="B802" s="358" t="s">
        <v>98</v>
      </c>
      <c r="C802" s="4" t="s">
        <v>88</v>
      </c>
      <c r="F802" s="365">
        <f t="array" aca="1" ref="F802" ca="1">SUM(F$781:F$793/$M$149:$M$161*($B802=$F$148:$N$148)*($F$149:$N$161))</f>
        <v>-3.7363915156212775</v>
      </c>
      <c r="G802" s="365">
        <f t="array" aca="1" ref="G802" ca="1">SUM(G$781:G$793/$M$149:$M$161*($B802=$F$148:$N$148)*($F$149:$N$161))</f>
        <v>-3.6379872513731604</v>
      </c>
      <c r="H802" s="365">
        <f t="array" aca="1" ref="H802" ca="1">SUM(H$781:H$793/$M$149:$M$161*($B802=$F$148:$N$148)*($F$149:$N$161))</f>
        <v>-3.2880978280917397</v>
      </c>
      <c r="I802" s="365">
        <f t="array" aca="1" ref="I802" ca="1">SUM(I$781:I$793/$M$149:$M$161*($B802=$F$148:$N$148)*($F$149:$N$161))</f>
        <v>-2.8807956915138355</v>
      </c>
      <c r="J802" s="365">
        <f t="array" aca="1" ref="J802" ca="1">SUM(J$781:J$793/$M$149:$M$161*($B802=$F$148:$N$148)*($F$149:$N$161))</f>
        <v>-2.4077435338521327</v>
      </c>
      <c r="K802" s="365">
        <f t="array" aca="1" ref="K802" ca="1">SUM(K$781:K$793/$M$149:$M$161*($B802=$F$148:$N$148)*($F$149:$N$161))</f>
        <v>-1.8897946929488434</v>
      </c>
      <c r="L802" s="365">
        <f t="array" aca="1" ref="L802" ca="1">SUM(L$781:L$793/$M$149:$M$161*($B802=$F$148:$N$148)*($F$149:$N$161))</f>
        <v>-1.3187629820384246</v>
      </c>
      <c r="M802" s="365">
        <f t="array" aca="1" ref="M802" ca="1">SUM(M$781:M$793/$M$149:$M$161*($B802=$F$148:$N$148)*($F$149:$N$161))</f>
        <v>-0.68865195548177605</v>
      </c>
      <c r="N802" s="365">
        <f t="array" aca="1" ref="N802" ca="1">SUM(N$781:N$793/$M$149:$M$161*($B802=$F$148:$N$148)*($F$149:$N$161))</f>
        <v>0</v>
      </c>
    </row>
    <row r="803" spans="1:25">
      <c r="A803" s="354"/>
      <c r="B803" s="358" t="s">
        <v>99</v>
      </c>
      <c r="C803" s="4" t="s">
        <v>89</v>
      </c>
      <c r="F803" s="365">
        <f t="array" aca="1" ref="F803" ca="1">SUM(F$781:F$793/$M$149:$M$161*($B803=$F$148:$N$148)*($F$149:$N$161))</f>
        <v>-2.3134202985839538</v>
      </c>
      <c r="G803" s="365">
        <f t="array" aca="1" ref="G803" ca="1">SUM(G$781:G$793/$M$149:$M$161*($B803=$F$148:$N$148)*($F$149:$N$161))</f>
        <v>-2.5746774233210203</v>
      </c>
      <c r="H803" s="365">
        <f t="array" aca="1" ref="H803" ca="1">SUM(H$781:H$793/$M$149:$M$161*($B803=$F$148:$N$148)*($F$149:$N$161))</f>
        <v>-3.2249151019054332</v>
      </c>
      <c r="I803" s="365">
        <f t="array" aca="1" ref="I803" ca="1">SUM(I$781:I$793/$M$149:$M$161*($B803=$F$148:$N$148)*($F$149:$N$161))</f>
        <v>-3.9267382136009825</v>
      </c>
      <c r="J803" s="365">
        <f t="array" aca="1" ref="J803" ca="1">SUM(J$781:J$793/$M$149:$M$161*($B803=$F$148:$N$148)*($F$149:$N$161))</f>
        <v>-4.6626165870968617</v>
      </c>
      <c r="K803" s="365">
        <f t="array" aca="1" ref="K803" ca="1">SUM(K$781:K$793/$M$149:$M$161*($B803=$F$148:$N$148)*($F$149:$N$161))</f>
        <v>-5.4657269970984261</v>
      </c>
      <c r="L803" s="365">
        <f t="array" aca="1" ref="L803" ca="1">SUM(L$781:L$793/$M$149:$M$161*($B803=$F$148:$N$148)*($F$149:$N$161))</f>
        <v>-6.33491804321923</v>
      </c>
      <c r="M803" s="365">
        <f t="array" aca="1" ref="M803" ca="1">SUM(M$781:M$793/$M$149:$M$161*($B803=$F$148:$N$148)*($F$149:$N$161))</f>
        <v>-7.2570339076109507</v>
      </c>
      <c r="N803" s="365">
        <f t="array" aca="1" ref="N803" ca="1">SUM(N$781:N$793/$M$149:$M$161*($B803=$F$148:$N$148)*($F$149:$N$161))</f>
        <v>-8.2511189782688845</v>
      </c>
    </row>
    <row r="804" spans="1:25">
      <c r="B804" s="358" t="s">
        <v>100</v>
      </c>
      <c r="C804" s="4" t="s">
        <v>90</v>
      </c>
      <c r="F804" s="365">
        <f t="array" aca="1" ref="F804" ca="1">SUM(F$781:F$793/$M$149:$M$161*($B804=$F$148:$N$148)*($F$149:$N$161))</f>
        <v>0</v>
      </c>
      <c r="G804" s="365">
        <f t="array" aca="1" ref="G804" ca="1">SUM(G$781:G$793/$M$149:$M$161*($B804=$F$148:$N$148)*($F$149:$N$161))</f>
        <v>0</v>
      </c>
      <c r="H804" s="365">
        <f t="array" aca="1" ref="H804" ca="1">SUM(H$781:H$793/$M$149:$M$161*($B804=$F$148:$N$148)*($F$149:$N$161))</f>
        <v>0</v>
      </c>
      <c r="I804" s="365">
        <f t="array" aca="1" ref="I804" ca="1">SUM(I$781:I$793/$M$149:$M$161*($B804=$F$148:$N$148)*($F$149:$N$161))</f>
        <v>0</v>
      </c>
      <c r="J804" s="365">
        <f t="array" aca="1" ref="J804" ca="1">SUM(J$781:J$793/$M$149:$M$161*($B804=$F$148:$N$148)*($F$149:$N$161))</f>
        <v>0</v>
      </c>
      <c r="K804" s="365">
        <f t="array" aca="1" ref="K804" ca="1">SUM(K$781:K$793/$M$149:$M$161*($B804=$F$148:$N$148)*($F$149:$N$161))</f>
        <v>0</v>
      </c>
      <c r="L804" s="365">
        <f t="array" aca="1" ref="L804" ca="1">SUM(L$781:L$793/$M$149:$M$161*($B804=$F$148:$N$148)*($F$149:$N$161))</f>
        <v>0</v>
      </c>
      <c r="M804" s="365">
        <f t="array" aca="1" ref="M804" ca="1">SUM(M$781:M$793/$M$149:$M$161*($B804=$F$148:$N$148)*($F$149:$N$161))</f>
        <v>0</v>
      </c>
      <c r="N804" s="365">
        <f t="array" aca="1" ref="N804" ca="1">SUM(N$781:N$793/$M$149:$M$161*($B804=$F$148:$N$148)*($F$149:$N$161))</f>
        <v>0</v>
      </c>
    </row>
    <row r="805" spans="1:25">
      <c r="B805" s="358" t="s">
        <v>101</v>
      </c>
      <c r="C805" s="4" t="s">
        <v>91</v>
      </c>
      <c r="F805" s="365">
        <f t="array" aca="1" ref="F805" ca="1">SUM(F$781:F$793/$M$149:$M$161*($B805=$F$148:$N$148)*($F$149:$N$161))</f>
        <v>-1.0734328883058437E-2</v>
      </c>
      <c r="G805" s="365">
        <f t="array" aca="1" ref="G805" ca="1">SUM(G$781:G$793/$M$149:$M$161*($B805=$F$148:$N$148)*($F$149:$N$161))</f>
        <v>-1.0451621963422622E-2</v>
      </c>
      <c r="H805" s="365">
        <f t="array" aca="1" ref="H805" ca="1">SUM(H$781:H$793/$M$149:$M$161*($B805=$F$148:$N$148)*($F$149:$N$161))</f>
        <v>-9.4464199853901074E-3</v>
      </c>
      <c r="I805" s="365">
        <f t="array" aca="1" ref="I805" ca="1">SUM(I$781:I$793/$M$149:$M$161*($B805=$F$148:$N$148)*($F$149:$N$161))</f>
        <v>-8.2762762596802937E-3</v>
      </c>
      <c r="J805" s="365">
        <f t="array" aca="1" ref="J805" ca="1">SUM(J$781:J$793/$M$149:$M$161*($B805=$F$148:$N$148)*($F$149:$N$161))</f>
        <v>-6.9172384238562869E-3</v>
      </c>
      <c r="K805" s="365">
        <f t="array" aca="1" ref="K805" ca="1">SUM(K$781:K$793/$M$149:$M$161*($B805=$F$148:$N$148)*($F$149:$N$161))</f>
        <v>-5.429216309575699E-3</v>
      </c>
      <c r="L805" s="365">
        <f t="array" aca="1" ref="L805" ca="1">SUM(L$781:L$793/$M$149:$M$161*($B805=$F$148:$N$148)*($F$149:$N$161))</f>
        <v>-3.7886917119951476E-3</v>
      </c>
      <c r="M805" s="365">
        <f t="array" aca="1" ref="M805" ca="1">SUM(M$781:M$793/$M$149:$M$161*($B805=$F$148:$N$148)*($F$149:$N$161))</f>
        <v>-1.978437362679197E-3</v>
      </c>
      <c r="N805" s="365">
        <f t="array" aca="1" ref="N805" ca="1">SUM(N$781:N$793/$M$149:$M$161*($B805=$F$148:$N$148)*($F$149:$N$161))</f>
        <v>0</v>
      </c>
    </row>
    <row r="806" spans="1:25">
      <c r="B806" s="358" t="s">
        <v>102</v>
      </c>
      <c r="C806" s="4" t="s">
        <v>92</v>
      </c>
      <c r="F806" s="365">
        <f t="array" aca="1" ref="F806" ca="1">SUM(F$781:F$793/$M$149:$M$161*($B806=$F$148:$N$148)*($F$149:$N$161))</f>
        <v>5.8492333931865703</v>
      </c>
      <c r="G806" s="365">
        <f t="array" aca="1" ref="G806" ca="1">SUM(G$781:G$793/$M$149:$M$161*($B806=$F$148:$N$148)*($F$149:$N$161))</f>
        <v>6.0209486630324767</v>
      </c>
      <c r="H806" s="365">
        <f t="array" aca="1" ref="H806" ca="1">SUM(H$781:H$793/$M$149:$M$161*($B806=$F$148:$N$148)*($F$149:$N$161))</f>
        <v>6.3497117610885869</v>
      </c>
      <c r="I806" s="365">
        <f t="array" aca="1" ref="I806" ca="1">SUM(I$781:I$793/$M$149:$M$161*($B806=$F$148:$N$148)*($F$149:$N$161))</f>
        <v>6.6766977753093588</v>
      </c>
      <c r="J806" s="365">
        <f t="array" aca="1" ref="J806" ca="1">SUM(J$781:J$793/$M$149:$M$161*($B806=$F$148:$N$148)*($F$149:$N$161))</f>
        <v>6.9763493703874229</v>
      </c>
      <c r="K806" s="365">
        <f t="array" aca="1" ref="K806" ca="1">SUM(K$781:K$793/$M$149:$M$161*($B806=$F$148:$N$148)*($F$149:$N$161))</f>
        <v>7.3018023712602655</v>
      </c>
      <c r="L806" s="365">
        <f t="array" aca="1" ref="L806" ca="1">SUM(L$781:L$793/$M$149:$M$161*($B806=$F$148:$N$148)*($F$149:$N$161))</f>
        <v>7.6442021687291231</v>
      </c>
      <c r="M806" s="365">
        <f t="array" aca="1" ref="M806" ca="1">SUM(M$781:M$793/$M$149:$M$161*($B806=$F$148:$N$148)*($F$149:$N$161))</f>
        <v>7.9846134798891235</v>
      </c>
      <c r="N806" s="365">
        <f t="array" aca="1" ref="N806" ca="1">SUM(N$781:N$793/$M$149:$M$161*($B806=$F$148:$N$148)*($F$149:$N$161))</f>
        <v>8.3427980780274282</v>
      </c>
    </row>
    <row r="807" spans="1:25" s="4" customFormat="1">
      <c r="B807" s="358" t="s">
        <v>103</v>
      </c>
      <c r="C807" s="4" t="s">
        <v>93</v>
      </c>
      <c r="D807" s="2"/>
      <c r="E807" s="2"/>
      <c r="F807" s="365">
        <f t="array" aca="1" ref="F807" ca="1">SUM(F$781:F$793/$M$149:$M$161*($B807=$F$148:$N$148)*($F$149:$N$161))</f>
        <v>0.52987667321179632</v>
      </c>
      <c r="G807" s="365">
        <f t="array" aca="1" ref="G807" ca="1">SUM(G$781:G$793/$M$149:$M$161*($B807=$F$148:$N$148)*($F$149:$N$161))</f>
        <v>0.54491811493254938</v>
      </c>
      <c r="H807" s="365">
        <f t="array" aca="1" ref="H807" ca="1">SUM(H$781:H$793/$M$149:$M$161*($B807=$F$148:$N$148)*($F$149:$N$161))</f>
        <v>0.57331725391708532</v>
      </c>
      <c r="I807" s="365">
        <f t="array" aca="1" ref="I807" ca="1">SUM(I$781:I$793/$M$149:$M$161*($B807=$F$148:$N$148)*($F$149:$N$161))</f>
        <v>0.60141637682138738</v>
      </c>
      <c r="J807" s="365">
        <f t="array" aca="1" ref="J807" ca="1">SUM(J$781:J$793/$M$149:$M$161*($B807=$F$148:$N$148)*($F$149:$N$161))</f>
        <v>0.62692000292737737</v>
      </c>
      <c r="K807" s="365">
        <f t="array" aca="1" ref="K807" ca="1">SUM(K$781:K$793/$M$149:$M$161*($B807=$F$148:$N$148)*($F$149:$N$161))</f>
        <v>0.65460932200292843</v>
      </c>
      <c r="L807" s="365">
        <f t="array" aca="1" ref="L807" ca="1">SUM(L$781:L$793/$M$149:$M$161*($B807=$F$148:$N$148)*($F$149:$N$161))</f>
        <v>0.68367595283924276</v>
      </c>
      <c r="M807" s="365">
        <f t="array" aca="1" ref="M807" ca="1">SUM(M$781:M$793/$M$149:$M$161*($B807=$F$148:$N$148)*($F$149:$N$161))</f>
        <v>0.7124196331695416</v>
      </c>
      <c r="N807" s="365">
        <f t="array" aca="1" ref="N807" ca="1">SUM(N$781:N$793/$M$149:$M$161*($B807=$F$148:$N$148)*($F$149:$N$161))</f>
        <v>0.74260070804419953</v>
      </c>
      <c r="O807" s="2"/>
    </row>
    <row r="808" spans="1:25" s="372" customFormat="1">
      <c r="B808" s="358"/>
      <c r="C808" s="4"/>
      <c r="D808" s="2"/>
      <c r="E808" s="355" t="str">
        <f>Preferences.EnergyUnits</f>
        <v>TWh</v>
      </c>
      <c r="F808" s="371">
        <f t="shared" ref="F808:N808" ca="1" si="96">SUM(F799:F807)</f>
        <v>8.8817841970012523E-16</v>
      </c>
      <c r="G808" s="371">
        <f t="shared" ca="1" si="96"/>
        <v>0</v>
      </c>
      <c r="H808" s="371">
        <f t="shared" ca="1" si="96"/>
        <v>0</v>
      </c>
      <c r="I808" s="371">
        <f t="shared" ca="1" si="96"/>
        <v>0</v>
      </c>
      <c r="J808" s="371">
        <f t="shared" ca="1" si="96"/>
        <v>0</v>
      </c>
      <c r="K808" s="371">
        <f t="shared" ca="1" si="96"/>
        <v>0</v>
      </c>
      <c r="L808" s="371">
        <f t="shared" ca="1" si="96"/>
        <v>1.4432899320127035E-15</v>
      </c>
      <c r="M808" s="371">
        <f t="shared" ca="1" si="96"/>
        <v>1.1102230246251565E-15</v>
      </c>
      <c r="N808" s="371">
        <f t="shared" ca="1" si="96"/>
        <v>0</v>
      </c>
      <c r="O808" s="2"/>
    </row>
    <row r="809" spans="1:25" s="4" customFormat="1">
      <c r="B809" s="355"/>
      <c r="C809" s="354"/>
      <c r="D809" s="354"/>
      <c r="E809" s="355"/>
      <c r="F809" s="357"/>
      <c r="G809" s="357"/>
      <c r="H809" s="357"/>
      <c r="I809" s="357"/>
      <c r="J809" s="357"/>
      <c r="K809" s="357"/>
      <c r="L809" s="357"/>
      <c r="M809" s="357"/>
      <c r="N809" s="357"/>
      <c r="O809" s="2"/>
    </row>
    <row r="810" spans="1:25" s="4" customFormat="1">
      <c r="B810" s="354">
        <v>3</v>
      </c>
      <c r="C810" s="354" t="s">
        <v>227</v>
      </c>
      <c r="D810" s="2"/>
      <c r="E810" s="2"/>
      <c r="F810" s="355">
        <v>2013</v>
      </c>
      <c r="G810" s="355">
        <v>2015</v>
      </c>
      <c r="H810" s="355">
        <v>2020</v>
      </c>
      <c r="I810" s="355">
        <v>2025</v>
      </c>
      <c r="J810" s="355">
        <v>2030</v>
      </c>
      <c r="K810" s="355">
        <v>2035</v>
      </c>
      <c r="L810" s="355">
        <v>2040</v>
      </c>
      <c r="M810" s="355">
        <v>2045</v>
      </c>
      <c r="N810" s="355">
        <v>2050</v>
      </c>
      <c r="O810" s="2"/>
      <c r="W810" s="365"/>
      <c r="X810" s="365"/>
      <c r="Y810" s="365"/>
    </row>
    <row r="811" spans="1:25" s="4" customFormat="1">
      <c r="B811" s="399"/>
      <c r="E811" s="2"/>
      <c r="F811" s="2"/>
      <c r="G811" s="2"/>
      <c r="H811" s="2"/>
      <c r="I811" s="2"/>
      <c r="J811" s="2"/>
      <c r="K811" s="2"/>
      <c r="L811" s="2"/>
      <c r="M811" s="2"/>
      <c r="N811" s="2"/>
      <c r="O811" s="2"/>
      <c r="W811" s="365"/>
      <c r="X811" s="365"/>
      <c r="Y811" s="365"/>
    </row>
    <row r="812" spans="1:25" s="4" customFormat="1">
      <c r="B812" s="399"/>
      <c r="C812" s="377" t="s">
        <v>2452</v>
      </c>
      <c r="D812" s="2"/>
      <c r="E812" s="2"/>
      <c r="F812" s="2">
        <v>18.5</v>
      </c>
      <c r="G812" s="2">
        <v>18.5</v>
      </c>
      <c r="H812" s="2">
        <v>18.5</v>
      </c>
      <c r="I812" s="2">
        <v>18.5</v>
      </c>
      <c r="J812" s="2">
        <v>18.5</v>
      </c>
      <c r="K812" s="2">
        <v>18.5</v>
      </c>
      <c r="L812" s="2">
        <v>18.5</v>
      </c>
      <c r="M812" s="2">
        <v>18.5</v>
      </c>
      <c r="N812" s="2">
        <v>18.5</v>
      </c>
      <c r="O812" s="2"/>
      <c r="W812" s="365"/>
      <c r="X812" s="365"/>
      <c r="Y812" s="365"/>
    </row>
    <row r="813" spans="1:25" s="4" customFormat="1">
      <c r="B813" s="399"/>
      <c r="C813" s="377" t="s">
        <v>3402</v>
      </c>
      <c r="D813" s="2"/>
      <c r="E813" s="2"/>
      <c r="F813" s="2865" t="s">
        <v>5</v>
      </c>
      <c r="G813" s="2"/>
      <c r="H813" s="2"/>
      <c r="I813" s="2"/>
      <c r="J813" s="2"/>
      <c r="K813" s="2"/>
      <c r="L813" s="2"/>
      <c r="M813" s="2"/>
      <c r="N813" s="2"/>
      <c r="O813" s="2"/>
      <c r="W813" s="365"/>
      <c r="X813" s="365"/>
      <c r="Y813" s="365"/>
    </row>
    <row r="814" spans="1:25" s="4" customFormat="1">
      <c r="B814" s="399"/>
      <c r="C814" s="2" t="s">
        <v>72</v>
      </c>
      <c r="D814" s="2"/>
      <c r="E814" s="2"/>
      <c r="F814" s="1444">
        <v>5.333333333333333</v>
      </c>
      <c r="G814" s="409">
        <f>F814+(((H814-F814)/(H$810-F$810))*(G$810-F$810))</f>
        <v>5.5238095238095237</v>
      </c>
      <c r="H814" s="1444">
        <v>6</v>
      </c>
      <c r="I814" s="1444">
        <v>6.1166666666666671</v>
      </c>
      <c r="J814" s="1444">
        <v>6.2333333333333334</v>
      </c>
      <c r="K814" s="1444">
        <v>6.35</v>
      </c>
      <c r="L814" s="1444">
        <v>6.4666666666666668</v>
      </c>
      <c r="M814" s="1444">
        <v>6.583333333333333</v>
      </c>
      <c r="N814" s="1444">
        <v>6.6999999999999993</v>
      </c>
      <c r="O814" s="2"/>
      <c r="W814" s="365"/>
      <c r="X814" s="365"/>
      <c r="Y814" s="365"/>
    </row>
    <row r="815" spans="1:25" s="4" customFormat="1">
      <c r="B815" s="399"/>
      <c r="C815" s="2" t="s">
        <v>73</v>
      </c>
      <c r="D815" s="2"/>
      <c r="E815" s="2"/>
      <c r="F815" s="1444">
        <v>6.6333333333333329</v>
      </c>
      <c r="G815" s="409">
        <f>F815+(((H815-F815)/(H$810-F$810))*(G$810-F$810))</f>
        <v>7.3190476190476179</v>
      </c>
      <c r="H815" s="1444">
        <v>9.0333333333333314</v>
      </c>
      <c r="I815" s="1444">
        <v>9.1333333333333311</v>
      </c>
      <c r="J815" s="1444">
        <v>9.2333333333333307</v>
      </c>
      <c r="K815" s="1444">
        <v>9.3333333333333321</v>
      </c>
      <c r="L815" s="1444">
        <v>9.4333333333333318</v>
      </c>
      <c r="M815" s="1444">
        <v>9.5333333333333314</v>
      </c>
      <c r="N815" s="1444">
        <v>9.6333333333333311</v>
      </c>
      <c r="O815" s="2"/>
      <c r="W815" s="365"/>
      <c r="X815" s="365"/>
      <c r="Y815" s="365"/>
    </row>
    <row r="816" spans="1:25" s="4" customFormat="1">
      <c r="B816" s="399"/>
      <c r="C816" s="2" t="s">
        <v>74</v>
      </c>
      <c r="D816" s="2"/>
      <c r="E816" s="2"/>
      <c r="F816" s="1444">
        <v>15</v>
      </c>
      <c r="G816" s="409">
        <f>F816+(((H816-F816)/(H$810-F$810))*(G$810-F$810))</f>
        <v>15.047619047619047</v>
      </c>
      <c r="H816" s="1444">
        <v>15.166666666666666</v>
      </c>
      <c r="I816" s="1444">
        <v>15.3</v>
      </c>
      <c r="J816" s="1444">
        <v>15.433333333333334</v>
      </c>
      <c r="K816" s="1444">
        <v>15.566666666666666</v>
      </c>
      <c r="L816" s="1444">
        <v>15.700000000000001</v>
      </c>
      <c r="M816" s="1444">
        <v>15.833333333333334</v>
      </c>
      <c r="N816" s="1444">
        <v>15.966666666666667</v>
      </c>
      <c r="O816" s="2"/>
      <c r="W816" s="365"/>
      <c r="X816" s="365"/>
      <c r="Y816" s="365"/>
    </row>
    <row r="817" spans="2:25" s="4" customFormat="1">
      <c r="B817" s="399"/>
      <c r="C817" s="2" t="s">
        <v>75</v>
      </c>
      <c r="D817" s="2"/>
      <c r="E817" s="2"/>
      <c r="F817" s="1444">
        <v>10.333333333333334</v>
      </c>
      <c r="G817" s="409">
        <f>F817+(((H817-F817)/(H$810-F$810))*(G$810-F$810))</f>
        <v>10.59047619047619</v>
      </c>
      <c r="H817" s="1444">
        <v>11.233333333333333</v>
      </c>
      <c r="I817" s="1444">
        <v>11.366666666666667</v>
      </c>
      <c r="J817" s="1444">
        <v>11.5</v>
      </c>
      <c r="K817" s="1444">
        <v>11.633333333333333</v>
      </c>
      <c r="L817" s="1444">
        <v>11.766666666666667</v>
      </c>
      <c r="M817" s="1444">
        <v>11.9</v>
      </c>
      <c r="N817" s="1444">
        <v>12.033333333333333</v>
      </c>
      <c r="O817" s="2"/>
      <c r="W817" s="365"/>
      <c r="X817" s="365"/>
      <c r="Y817" s="365"/>
    </row>
    <row r="818" spans="2:25" s="4" customFormat="1">
      <c r="B818" s="399"/>
      <c r="C818" s="2" t="s">
        <v>76</v>
      </c>
      <c r="D818" s="2"/>
      <c r="E818" s="2"/>
      <c r="F818" s="1444">
        <f>AVERAGE(F814:F817)</f>
        <v>9.3249999999999993</v>
      </c>
      <c r="G818" s="1444">
        <f t="shared" ref="G818:N818" si="97">AVERAGE(G814:G817)</f>
        <v>9.6202380952380953</v>
      </c>
      <c r="H818" s="1444">
        <f t="shared" si="97"/>
        <v>10.358333333333333</v>
      </c>
      <c r="I818" s="1444">
        <f t="shared" si="97"/>
        <v>10.479166666666666</v>
      </c>
      <c r="J818" s="1444">
        <f t="shared" si="97"/>
        <v>10.6</v>
      </c>
      <c r="K818" s="1444">
        <f t="shared" si="97"/>
        <v>10.720833333333333</v>
      </c>
      <c r="L818" s="1444">
        <f t="shared" si="97"/>
        <v>10.841666666666667</v>
      </c>
      <c r="M818" s="1444">
        <f t="shared" si="97"/>
        <v>10.962499999999999</v>
      </c>
      <c r="N818" s="1444">
        <f t="shared" si="97"/>
        <v>11.083333333333332</v>
      </c>
      <c r="O818" s="2"/>
      <c r="W818" s="365"/>
      <c r="X818" s="365"/>
      <c r="Y818" s="365"/>
    </row>
    <row r="819" spans="2:25" s="4" customFormat="1">
      <c r="B819" s="399"/>
      <c r="C819" s="2"/>
      <c r="D819" s="2"/>
      <c r="E819" s="2"/>
      <c r="F819" s="2"/>
      <c r="G819" s="2"/>
      <c r="H819" s="2"/>
      <c r="I819" s="2"/>
      <c r="J819" s="2"/>
      <c r="K819" s="2"/>
      <c r="L819" s="2"/>
      <c r="M819" s="2"/>
      <c r="N819" s="2"/>
      <c r="O819" s="2"/>
      <c r="W819" s="365"/>
      <c r="X819" s="365"/>
      <c r="Y819" s="365"/>
    </row>
    <row r="820" spans="2:25" s="4" customFormat="1">
      <c r="B820" s="399"/>
      <c r="C820" s="2" t="s">
        <v>2438</v>
      </c>
      <c r="D820" s="2"/>
      <c r="E820" s="2"/>
      <c r="F820" s="2480">
        <f>F812-F814</f>
        <v>13.166666666666668</v>
      </c>
      <c r="G820" s="2480">
        <f t="shared" ref="G820:N820" si="98">G812-G814</f>
        <v>12.976190476190476</v>
      </c>
      <c r="H820" s="2480">
        <f t="shared" si="98"/>
        <v>12.5</v>
      </c>
      <c r="I820" s="2480">
        <f t="shared" si="98"/>
        <v>12.383333333333333</v>
      </c>
      <c r="J820" s="2480">
        <f t="shared" si="98"/>
        <v>12.266666666666666</v>
      </c>
      <c r="K820" s="2480">
        <f t="shared" si="98"/>
        <v>12.15</v>
      </c>
      <c r="L820" s="2480">
        <f t="shared" si="98"/>
        <v>12.033333333333333</v>
      </c>
      <c r="M820" s="2480">
        <f t="shared" si="98"/>
        <v>11.916666666666668</v>
      </c>
      <c r="N820" s="2480">
        <f t="shared" si="98"/>
        <v>11.8</v>
      </c>
      <c r="O820" s="2"/>
      <c r="W820" s="365"/>
      <c r="X820" s="365"/>
      <c r="Y820" s="365"/>
    </row>
    <row r="821" spans="2:25" s="4" customFormat="1">
      <c r="B821" s="399"/>
      <c r="C821" s="1180" t="s">
        <v>3403</v>
      </c>
      <c r="D821" s="3916"/>
      <c r="E821" s="38"/>
      <c r="F821" s="4108">
        <v>246.8</v>
      </c>
      <c r="G821" s="4108">
        <v>246.8</v>
      </c>
      <c r="H821" s="4108">
        <v>246.8</v>
      </c>
      <c r="I821" s="4108">
        <v>246.8</v>
      </c>
      <c r="J821" s="4108">
        <v>246.8</v>
      </c>
      <c r="K821" s="4108">
        <v>246.8</v>
      </c>
      <c r="L821" s="4108">
        <v>246.8</v>
      </c>
      <c r="M821" s="4108">
        <v>246.8</v>
      </c>
      <c r="N821" s="4108">
        <v>246.8</v>
      </c>
      <c r="O821" s="2"/>
      <c r="W821" s="365"/>
      <c r="X821" s="365"/>
      <c r="Y821" s="365"/>
    </row>
    <row r="822" spans="2:25" s="4" customFormat="1">
      <c r="B822" s="399"/>
      <c r="C822" s="2" t="s">
        <v>2440</v>
      </c>
      <c r="D822" s="2"/>
      <c r="E822" s="2"/>
      <c r="F822" s="4109">
        <v>7797600</v>
      </c>
      <c r="G822" s="38"/>
      <c r="H822" s="38"/>
      <c r="I822" s="38"/>
      <c r="J822" s="38"/>
      <c r="K822" s="38"/>
      <c r="L822" s="38"/>
      <c r="M822" s="38"/>
      <c r="N822" s="38"/>
      <c r="O822" s="2"/>
      <c r="W822" s="365"/>
      <c r="X822" s="365"/>
      <c r="Y822" s="365"/>
    </row>
    <row r="823" spans="2:25" s="4" customFormat="1">
      <c r="B823" s="399"/>
      <c r="C823" s="354" t="s">
        <v>2441</v>
      </c>
      <c r="D823" s="2"/>
      <c r="E823" s="2"/>
      <c r="F823" s="4110">
        <f t="shared" ref="F823:N823" si="99">F820*F821*$F822</f>
        <v>25338561120.000004</v>
      </c>
      <c r="G823" s="4110">
        <f t="shared" si="99"/>
        <v>24971999657.142857</v>
      </c>
      <c r="H823" s="4110">
        <f t="shared" si="99"/>
        <v>24055596000</v>
      </c>
      <c r="I823" s="4110">
        <f t="shared" si="99"/>
        <v>23831077104</v>
      </c>
      <c r="J823" s="4110">
        <f t="shared" si="99"/>
        <v>23606558208</v>
      </c>
      <c r="K823" s="4110">
        <f t="shared" si="99"/>
        <v>23382039312.000004</v>
      </c>
      <c r="L823" s="4110">
        <f t="shared" si="99"/>
        <v>23157520416</v>
      </c>
      <c r="M823" s="4110">
        <f t="shared" si="99"/>
        <v>22933001520.000004</v>
      </c>
      <c r="N823" s="4110">
        <f t="shared" si="99"/>
        <v>22708482624</v>
      </c>
      <c r="O823" s="2"/>
      <c r="W823" s="365"/>
      <c r="X823" s="365"/>
      <c r="Y823" s="365"/>
    </row>
    <row r="824" spans="2:25" s="4" customFormat="1">
      <c r="B824" s="399"/>
      <c r="C824" s="2"/>
      <c r="D824" s="2"/>
      <c r="E824" s="2"/>
      <c r="F824" s="38"/>
      <c r="G824" s="38"/>
      <c r="H824" s="38"/>
      <c r="I824" s="38"/>
      <c r="J824" s="38"/>
      <c r="K824" s="38"/>
      <c r="L824" s="38"/>
      <c r="M824" s="38"/>
      <c r="N824" s="38"/>
      <c r="O824" s="2"/>
      <c r="W824" s="365"/>
      <c r="X824" s="365"/>
      <c r="Y824" s="365"/>
    </row>
    <row r="825" spans="2:25" s="4" customFormat="1">
      <c r="B825" s="399"/>
      <c r="C825" s="2" t="s">
        <v>2442</v>
      </c>
      <c r="D825" s="2"/>
      <c r="E825" s="2"/>
      <c r="F825" s="4108">
        <f>F812-F815</f>
        <v>11.866666666666667</v>
      </c>
      <c r="G825" s="4108">
        <f t="shared" ref="G825:N825" si="100">G812-G815</f>
        <v>11.180952380952382</v>
      </c>
      <c r="H825" s="4108">
        <f t="shared" si="100"/>
        <v>9.4666666666666686</v>
      </c>
      <c r="I825" s="4108">
        <f t="shared" si="100"/>
        <v>9.3666666666666689</v>
      </c>
      <c r="J825" s="4108">
        <f t="shared" si="100"/>
        <v>9.2666666666666693</v>
      </c>
      <c r="K825" s="4108">
        <f t="shared" si="100"/>
        <v>9.1666666666666679</v>
      </c>
      <c r="L825" s="4108">
        <f t="shared" si="100"/>
        <v>9.0666666666666682</v>
      </c>
      <c r="M825" s="4108">
        <f t="shared" si="100"/>
        <v>8.9666666666666686</v>
      </c>
      <c r="N825" s="4108">
        <f t="shared" si="100"/>
        <v>8.8666666666666689</v>
      </c>
      <c r="O825" s="2"/>
      <c r="W825" s="365"/>
      <c r="X825" s="365"/>
      <c r="Y825" s="365"/>
    </row>
    <row r="826" spans="2:25" s="4" customFormat="1">
      <c r="B826" s="399"/>
      <c r="C826" s="2" t="s">
        <v>2439</v>
      </c>
      <c r="D826" s="2"/>
      <c r="E826" s="2"/>
      <c r="F826" s="4108">
        <v>246.8</v>
      </c>
      <c r="G826" s="4108">
        <v>246.8</v>
      </c>
      <c r="H826" s="4108">
        <v>246.8</v>
      </c>
      <c r="I826" s="4108">
        <v>246.8</v>
      </c>
      <c r="J826" s="4108">
        <v>246.8</v>
      </c>
      <c r="K826" s="4108">
        <v>246.8</v>
      </c>
      <c r="L826" s="4108">
        <v>246.8</v>
      </c>
      <c r="M826" s="4108">
        <v>246.8</v>
      </c>
      <c r="N826" s="4108">
        <v>246.8</v>
      </c>
      <c r="O826" s="2"/>
      <c r="W826" s="365"/>
      <c r="X826" s="365"/>
      <c r="Y826" s="365"/>
    </row>
    <row r="827" spans="2:25" s="4" customFormat="1">
      <c r="B827" s="399"/>
      <c r="C827" s="2" t="s">
        <v>2443</v>
      </c>
      <c r="D827" s="2"/>
      <c r="E827" s="2"/>
      <c r="F827" s="4109">
        <v>7948800</v>
      </c>
      <c r="G827" s="38"/>
      <c r="H827" s="38"/>
      <c r="I827" s="38"/>
      <c r="J827" s="38"/>
      <c r="K827" s="38"/>
      <c r="L827" s="38"/>
      <c r="M827" s="38"/>
      <c r="N827" s="38"/>
      <c r="O827" s="2"/>
      <c r="W827" s="365"/>
      <c r="X827" s="365"/>
      <c r="Y827" s="365"/>
    </row>
    <row r="828" spans="2:25" s="4" customFormat="1">
      <c r="B828" s="399"/>
      <c r="C828" s="354" t="s">
        <v>2444</v>
      </c>
      <c r="D828" s="2"/>
      <c r="E828" s="355"/>
      <c r="F828" s="4110">
        <f t="shared" ref="F828:N828" si="101">F825*F826*$F827</f>
        <v>23279597568.000004</v>
      </c>
      <c r="G828" s="4110">
        <f t="shared" si="101"/>
        <v>21934388077.714287</v>
      </c>
      <c r="H828" s="4110">
        <f t="shared" si="101"/>
        <v>18571364352.000004</v>
      </c>
      <c r="I828" s="4110">
        <f t="shared" si="101"/>
        <v>18375187968.000008</v>
      </c>
      <c r="J828" s="4110">
        <f t="shared" si="101"/>
        <v>18179011584.000008</v>
      </c>
      <c r="K828" s="4110">
        <f t="shared" si="101"/>
        <v>17982835200.000004</v>
      </c>
      <c r="L828" s="4110">
        <f t="shared" si="101"/>
        <v>17786658816.000004</v>
      </c>
      <c r="M828" s="4110">
        <f t="shared" si="101"/>
        <v>17590482432.000004</v>
      </c>
      <c r="N828" s="4110">
        <f t="shared" si="101"/>
        <v>17394306048.000004</v>
      </c>
      <c r="O828" s="2"/>
      <c r="W828" s="365"/>
      <c r="X828" s="365"/>
      <c r="Y828" s="365"/>
    </row>
    <row r="829" spans="2:25" s="4" customFormat="1">
      <c r="B829" s="399"/>
      <c r="C829" s="2"/>
      <c r="D829" s="2"/>
      <c r="E829" s="2"/>
      <c r="F829" s="38"/>
      <c r="G829" s="38"/>
      <c r="H829" s="38"/>
      <c r="I829" s="38"/>
      <c r="J829" s="38"/>
      <c r="K829" s="38"/>
      <c r="L829" s="38"/>
      <c r="M829" s="38"/>
      <c r="N829" s="38"/>
      <c r="O829" s="2"/>
      <c r="W829" s="365"/>
      <c r="X829" s="365"/>
      <c r="Y829" s="365"/>
    </row>
    <row r="830" spans="2:25" s="4" customFormat="1">
      <c r="B830" s="399"/>
      <c r="C830" s="2" t="s">
        <v>2445</v>
      </c>
      <c r="D830" s="2"/>
      <c r="E830" s="2"/>
      <c r="F830" s="4108">
        <f>F812-F816</f>
        <v>3.5</v>
      </c>
      <c r="G830" s="4108">
        <f t="shared" ref="G830:N830" si="102">G812-G816</f>
        <v>3.4523809523809526</v>
      </c>
      <c r="H830" s="4108">
        <f t="shared" si="102"/>
        <v>3.3333333333333339</v>
      </c>
      <c r="I830" s="4108">
        <f t="shared" si="102"/>
        <v>3.1999999999999993</v>
      </c>
      <c r="J830" s="4108">
        <f t="shared" si="102"/>
        <v>3.0666666666666664</v>
      </c>
      <c r="K830" s="4108">
        <f t="shared" si="102"/>
        <v>2.9333333333333336</v>
      </c>
      <c r="L830" s="4108">
        <f t="shared" si="102"/>
        <v>2.7999999999999989</v>
      </c>
      <c r="M830" s="4108">
        <f t="shared" si="102"/>
        <v>2.6666666666666661</v>
      </c>
      <c r="N830" s="4108">
        <f t="shared" si="102"/>
        <v>2.5333333333333332</v>
      </c>
      <c r="O830" s="2"/>
      <c r="W830" s="365"/>
      <c r="X830" s="365"/>
      <c r="Y830" s="365"/>
    </row>
    <row r="831" spans="2:25" s="4" customFormat="1">
      <c r="B831" s="399"/>
      <c r="C831" s="2" t="s">
        <v>2439</v>
      </c>
      <c r="D831" s="2"/>
      <c r="E831" s="2"/>
      <c r="F831" s="4108">
        <v>246.8</v>
      </c>
      <c r="G831" s="4108">
        <v>246.8</v>
      </c>
      <c r="H831" s="4108">
        <v>246.8</v>
      </c>
      <c r="I831" s="4108">
        <v>246.8</v>
      </c>
      <c r="J831" s="4108">
        <v>246.8</v>
      </c>
      <c r="K831" s="4108">
        <v>246.8</v>
      </c>
      <c r="L831" s="4108">
        <v>246.8</v>
      </c>
      <c r="M831" s="4108">
        <v>246.8</v>
      </c>
      <c r="N831" s="4108">
        <v>246.8</v>
      </c>
      <c r="O831" s="2"/>
      <c r="W831" s="365"/>
      <c r="X831" s="365"/>
      <c r="Y831" s="365"/>
    </row>
    <row r="832" spans="2:25" s="4" customFormat="1">
      <c r="B832" s="399"/>
      <c r="C832" s="2" t="s">
        <v>2446</v>
      </c>
      <c r="D832" s="2"/>
      <c r="E832" s="2"/>
      <c r="F832" s="4109">
        <v>7948800</v>
      </c>
      <c r="G832" s="38"/>
      <c r="H832" s="38"/>
      <c r="I832" s="38"/>
      <c r="J832" s="38"/>
      <c r="K832" s="38"/>
      <c r="L832" s="38"/>
      <c r="M832" s="38"/>
      <c r="N832" s="38"/>
      <c r="O832" s="2"/>
      <c r="W832" s="365"/>
      <c r="X832" s="365"/>
      <c r="Y832" s="365"/>
    </row>
    <row r="833" spans="2:25" s="4" customFormat="1">
      <c r="B833" s="399"/>
      <c r="C833" s="354" t="s">
        <v>2447</v>
      </c>
      <c r="D833" s="2"/>
      <c r="E833" s="2"/>
      <c r="F833" s="4110">
        <f t="shared" ref="F833:N833" si="103">F830*F831*$F832</f>
        <v>6866173440.000001</v>
      </c>
      <c r="G833" s="4110">
        <f t="shared" si="103"/>
        <v>6772756114.2857151</v>
      </c>
      <c r="H833" s="4110">
        <f t="shared" si="103"/>
        <v>6539212800.0000019</v>
      </c>
      <c r="I833" s="4110">
        <f t="shared" si="103"/>
        <v>6277644287.999999</v>
      </c>
      <c r="J833" s="4110">
        <f t="shared" si="103"/>
        <v>6016075776</v>
      </c>
      <c r="K833" s="4110">
        <f t="shared" si="103"/>
        <v>5754507264</v>
      </c>
      <c r="L833" s="4110">
        <f t="shared" si="103"/>
        <v>5492938751.9999981</v>
      </c>
      <c r="M833" s="4110">
        <f t="shared" si="103"/>
        <v>5231370239.999999</v>
      </c>
      <c r="N833" s="4110">
        <f t="shared" si="103"/>
        <v>4969801728</v>
      </c>
      <c r="O833" s="2"/>
      <c r="W833" s="365"/>
      <c r="X833" s="365"/>
      <c r="Y833" s="365"/>
    </row>
    <row r="834" spans="2:25" s="4" customFormat="1">
      <c r="B834" s="399"/>
      <c r="C834" s="2"/>
      <c r="D834" s="2"/>
      <c r="E834" s="2"/>
      <c r="F834" s="38"/>
      <c r="G834" s="38"/>
      <c r="H834" s="38"/>
      <c r="I834" s="38"/>
      <c r="J834" s="38"/>
      <c r="K834" s="38"/>
      <c r="L834" s="38"/>
      <c r="M834" s="38"/>
      <c r="N834" s="38"/>
      <c r="O834" s="2"/>
      <c r="W834" s="365"/>
      <c r="X834" s="365"/>
      <c r="Y834" s="365"/>
    </row>
    <row r="835" spans="2:25" s="4" customFormat="1">
      <c r="B835" s="399"/>
      <c r="C835" s="2" t="s">
        <v>2448</v>
      </c>
      <c r="D835" s="2"/>
      <c r="E835" s="2"/>
      <c r="F835" s="4108">
        <f>F812-F817</f>
        <v>8.1666666666666661</v>
      </c>
      <c r="G835" s="4108">
        <f t="shared" ref="G835:N835" si="104">G812-G817</f>
        <v>7.9095238095238098</v>
      </c>
      <c r="H835" s="4108">
        <f t="shared" si="104"/>
        <v>7.2666666666666675</v>
      </c>
      <c r="I835" s="4108">
        <f t="shared" si="104"/>
        <v>7.1333333333333329</v>
      </c>
      <c r="J835" s="4108">
        <f t="shared" si="104"/>
        <v>7</v>
      </c>
      <c r="K835" s="4108">
        <f t="shared" si="104"/>
        <v>6.8666666666666671</v>
      </c>
      <c r="L835" s="4108">
        <f t="shared" si="104"/>
        <v>6.7333333333333325</v>
      </c>
      <c r="M835" s="4108">
        <f t="shared" si="104"/>
        <v>6.6</v>
      </c>
      <c r="N835" s="4108">
        <f t="shared" si="104"/>
        <v>6.4666666666666668</v>
      </c>
      <c r="O835" s="2"/>
      <c r="W835" s="365"/>
      <c r="X835" s="365"/>
      <c r="Y835" s="365"/>
    </row>
    <row r="836" spans="2:25" s="4" customFormat="1">
      <c r="B836" s="399"/>
      <c r="C836" s="2" t="s">
        <v>2439</v>
      </c>
      <c r="D836" s="2"/>
      <c r="E836" s="2"/>
      <c r="F836" s="4108">
        <v>246.8</v>
      </c>
      <c r="G836" s="4108">
        <v>246.8</v>
      </c>
      <c r="H836" s="4108">
        <v>246.8</v>
      </c>
      <c r="I836" s="4108">
        <v>246.8</v>
      </c>
      <c r="J836" s="4108">
        <v>246.8</v>
      </c>
      <c r="K836" s="4108">
        <v>246.8</v>
      </c>
      <c r="L836" s="4108">
        <v>246.8</v>
      </c>
      <c r="M836" s="4108">
        <v>246.8</v>
      </c>
      <c r="N836" s="4108">
        <v>246.8</v>
      </c>
      <c r="O836" s="2"/>
      <c r="W836" s="365"/>
      <c r="X836" s="365"/>
      <c r="Y836" s="365"/>
    </row>
    <row r="837" spans="2:25" s="4" customFormat="1">
      <c r="B837" s="399"/>
      <c r="C837" s="2" t="s">
        <v>2449</v>
      </c>
      <c r="D837" s="2"/>
      <c r="E837" s="2"/>
      <c r="F837" s="360">
        <v>7862400</v>
      </c>
      <c r="G837" s="2"/>
      <c r="H837" s="2"/>
      <c r="I837" s="2"/>
      <c r="J837" s="2"/>
      <c r="K837" s="2"/>
      <c r="L837" s="2"/>
      <c r="M837" s="2"/>
      <c r="N837" s="2"/>
      <c r="O837" s="2"/>
      <c r="W837" s="365"/>
      <c r="X837" s="365"/>
      <c r="Y837" s="365"/>
    </row>
    <row r="838" spans="2:25" s="4" customFormat="1">
      <c r="B838" s="399"/>
      <c r="C838" s="354" t="s">
        <v>2450</v>
      </c>
      <c r="D838" s="2"/>
      <c r="E838" s="2"/>
      <c r="F838" s="3036">
        <f t="shared" ref="F838:N838" si="105">F835*F836*$F837</f>
        <v>15846929280</v>
      </c>
      <c r="G838" s="3036">
        <f t="shared" si="105"/>
        <v>15347958912</v>
      </c>
      <c r="H838" s="3036">
        <f t="shared" si="105"/>
        <v>14100532992.000002</v>
      </c>
      <c r="I838" s="3036">
        <f t="shared" si="105"/>
        <v>13841807616</v>
      </c>
      <c r="J838" s="3036">
        <f t="shared" si="105"/>
        <v>13583082240.000002</v>
      </c>
      <c r="K838" s="3036">
        <f t="shared" si="105"/>
        <v>13324356864.000002</v>
      </c>
      <c r="L838" s="3036">
        <f t="shared" si="105"/>
        <v>13065631488</v>
      </c>
      <c r="M838" s="3036">
        <f t="shared" si="105"/>
        <v>12806906112</v>
      </c>
      <c r="N838" s="3036">
        <f t="shared" si="105"/>
        <v>12548180736</v>
      </c>
      <c r="O838" s="2"/>
      <c r="W838" s="365"/>
      <c r="X838" s="365"/>
      <c r="Y838" s="365"/>
    </row>
    <row r="839" spans="2:25" s="4" customFormat="1">
      <c r="B839" s="399"/>
      <c r="C839" s="2"/>
      <c r="D839" s="2"/>
      <c r="E839" s="2"/>
      <c r="F839" s="2"/>
      <c r="G839" s="2"/>
      <c r="H839" s="2"/>
      <c r="I839" s="2"/>
      <c r="J839" s="2"/>
      <c r="K839" s="2"/>
      <c r="L839" s="2"/>
      <c r="M839" s="2"/>
      <c r="N839" s="2"/>
      <c r="O839" s="2"/>
      <c r="W839" s="365"/>
      <c r="X839" s="365"/>
      <c r="Y839" s="365"/>
    </row>
    <row r="840" spans="2:25" s="4" customFormat="1">
      <c r="B840" s="399"/>
      <c r="C840" s="362" t="s">
        <v>2451</v>
      </c>
      <c r="D840" s="419"/>
      <c r="E840" s="3347"/>
      <c r="F840" s="3037">
        <f>F823+F828+F833+F838</f>
        <v>71331261408</v>
      </c>
      <c r="G840" s="3037">
        <f t="shared" ref="G840:N840" si="106">G823+G828+G833+G838</f>
        <v>69027102761.142853</v>
      </c>
      <c r="H840" s="3037">
        <f t="shared" si="106"/>
        <v>63266706144</v>
      </c>
      <c r="I840" s="3037">
        <f t="shared" si="106"/>
        <v>62325716976.000008</v>
      </c>
      <c r="J840" s="3037">
        <f t="shared" si="106"/>
        <v>61384727808.000008</v>
      </c>
      <c r="K840" s="3037">
        <f t="shared" si="106"/>
        <v>60443738640.000008</v>
      </c>
      <c r="L840" s="3037">
        <f t="shared" si="106"/>
        <v>59502749472</v>
      </c>
      <c r="M840" s="3037">
        <f t="shared" si="106"/>
        <v>58561760304.000008</v>
      </c>
      <c r="N840" s="3037">
        <f t="shared" si="106"/>
        <v>57620771136</v>
      </c>
      <c r="O840" s="2"/>
      <c r="W840" s="365"/>
      <c r="X840" s="365"/>
      <c r="Y840" s="365"/>
    </row>
    <row r="841" spans="2:25" s="4" customFormat="1">
      <c r="B841" s="399"/>
      <c r="C841" s="354"/>
      <c r="D841" s="2"/>
      <c r="E841" s="2"/>
      <c r="F841" s="365"/>
      <c r="G841" s="2"/>
      <c r="H841" s="2"/>
      <c r="I841" s="2"/>
      <c r="J841" s="2"/>
      <c r="K841" s="2"/>
      <c r="L841" s="2"/>
      <c r="M841" s="2"/>
      <c r="N841" s="2"/>
      <c r="O841" s="2"/>
      <c r="W841" s="365"/>
      <c r="X841" s="365"/>
      <c r="Y841" s="365"/>
    </row>
    <row r="842" spans="2:25" s="4" customFormat="1">
      <c r="B842" s="399"/>
      <c r="C842" s="354" t="s">
        <v>3401</v>
      </c>
      <c r="D842" s="2"/>
      <c r="E842" s="2"/>
      <c r="F842" s="365"/>
      <c r="G842" s="2"/>
      <c r="H842" s="2"/>
      <c r="I842" s="2"/>
      <c r="J842" s="2"/>
      <c r="K842" s="2"/>
      <c r="L842" s="2"/>
      <c r="M842" s="2"/>
      <c r="N842" s="2"/>
      <c r="O842" s="2"/>
      <c r="W842" s="365"/>
      <c r="X842" s="365"/>
      <c r="Y842" s="365"/>
    </row>
    <row r="843" spans="2:25" s="4" customFormat="1">
      <c r="B843" s="399"/>
      <c r="C843" s="2" t="s">
        <v>78</v>
      </c>
      <c r="E843" s="365" t="s">
        <v>77</v>
      </c>
      <c r="F843" s="359">
        <f>353.8*(836.3/1245.1)*10^15/25751000</f>
        <v>9228297640.4315128</v>
      </c>
      <c r="G843" s="2"/>
      <c r="H843" s="2"/>
      <c r="I843" s="2"/>
      <c r="J843" s="2"/>
      <c r="K843" s="2"/>
      <c r="L843" s="2"/>
      <c r="M843" s="2"/>
      <c r="N843" s="2"/>
      <c r="O843" s="2"/>
      <c r="W843" s="365"/>
      <c r="X843" s="365"/>
      <c r="Y843" s="365"/>
    </row>
    <row r="844" spans="2:25" s="4" customFormat="1">
      <c r="B844" s="399"/>
      <c r="C844" s="2" t="s">
        <v>80</v>
      </c>
      <c r="E844" s="365" t="s">
        <v>77</v>
      </c>
      <c r="F844" s="359">
        <f>110*(836.3/1245.1)*10^15/25751000</f>
        <v>2869171114.8882608</v>
      </c>
      <c r="G844" s="2"/>
      <c r="H844" s="2"/>
      <c r="I844" s="2"/>
      <c r="J844" s="2"/>
      <c r="K844" s="2"/>
      <c r="L844" s="2"/>
      <c r="M844" s="2"/>
      <c r="N844" s="2"/>
      <c r="O844" s="2"/>
      <c r="W844" s="365"/>
      <c r="X844" s="365"/>
      <c r="Y844" s="365"/>
    </row>
    <row r="845" spans="2:25" s="4" customFormat="1">
      <c r="B845" s="399"/>
      <c r="C845" s="2" t="s">
        <v>81</v>
      </c>
      <c r="E845" s="365" t="s">
        <v>77</v>
      </c>
      <c r="F845" s="359">
        <f>52.4*(836.3/1245.1)*10^15/25751000</f>
        <v>1366768785.6376805</v>
      </c>
      <c r="G845" s="2"/>
      <c r="H845" s="2"/>
      <c r="I845" s="2"/>
      <c r="J845" s="2"/>
      <c r="K845" s="2"/>
      <c r="L845" s="2"/>
      <c r="M845" s="2"/>
      <c r="N845" s="2"/>
      <c r="O845" s="2"/>
      <c r="W845" s="365"/>
      <c r="X845" s="365"/>
      <c r="Y845" s="365"/>
    </row>
    <row r="846" spans="2:25" s="4" customFormat="1">
      <c r="B846" s="399"/>
      <c r="C846" s="2" t="s">
        <v>82</v>
      </c>
      <c r="E846" s="365" t="s">
        <v>77</v>
      </c>
      <c r="F846" s="359">
        <f>268.8*(836.3/1245.1)*10^15/25751000</f>
        <v>7011210869.8360405</v>
      </c>
      <c r="G846" s="2"/>
      <c r="H846" s="2"/>
      <c r="I846" s="2"/>
      <c r="J846" s="2"/>
      <c r="K846" s="2"/>
      <c r="L846" s="2"/>
      <c r="M846" s="2"/>
      <c r="N846" s="2"/>
      <c r="O846" s="2"/>
      <c r="W846" s="365"/>
      <c r="X846" s="365"/>
      <c r="Y846" s="365"/>
    </row>
    <row r="847" spans="2:25" s="4" customFormat="1">
      <c r="B847" s="399"/>
      <c r="C847" s="2" t="s">
        <v>83</v>
      </c>
      <c r="E847" s="365" t="s">
        <v>77</v>
      </c>
      <c r="F847" s="359">
        <f>460.1*(836.3/1245.1)*10^15/25751000</f>
        <v>12000960272.364443</v>
      </c>
      <c r="G847" s="2"/>
      <c r="H847" s="2"/>
      <c r="I847" s="2"/>
      <c r="J847" s="2"/>
      <c r="K847" s="2"/>
      <c r="L847" s="2"/>
      <c r="M847" s="2"/>
      <c r="N847" s="2"/>
      <c r="O847" s="2"/>
      <c r="W847" s="365"/>
      <c r="X847" s="365"/>
      <c r="Y847" s="365"/>
    </row>
    <row r="848" spans="2:25" s="4" customFormat="1">
      <c r="B848" s="399"/>
      <c r="C848" s="354" t="s">
        <v>58</v>
      </c>
      <c r="D848" s="2"/>
      <c r="E848" s="2"/>
      <c r="F848" s="3038">
        <f>SUM(F843:F847)</f>
        <v>32476408683.157936</v>
      </c>
      <c r="G848" s="2">
        <f>F848/10^9</f>
        <v>32.476408683157935</v>
      </c>
      <c r="H848" s="4146" t="s">
        <v>5</v>
      </c>
      <c r="I848" s="2"/>
      <c r="J848" s="2"/>
      <c r="K848" s="2"/>
      <c r="L848" s="2"/>
      <c r="M848" s="2"/>
      <c r="N848" s="2"/>
      <c r="O848" s="2"/>
      <c r="W848" s="365"/>
      <c r="X848" s="365"/>
      <c r="Y848" s="365"/>
    </row>
    <row r="849" spans="1:25" s="4" customFormat="1">
      <c r="B849" s="399"/>
      <c r="C849" s="354"/>
      <c r="D849" s="2"/>
      <c r="E849" s="2"/>
      <c r="F849" s="365"/>
      <c r="G849" s="2"/>
      <c r="H849" s="2"/>
      <c r="I849" s="2"/>
      <c r="J849" s="2"/>
      <c r="K849" s="2"/>
      <c r="L849" s="2"/>
      <c r="M849" s="2"/>
      <c r="N849" s="2"/>
      <c r="O849" s="2"/>
      <c r="W849" s="365"/>
      <c r="X849" s="365"/>
      <c r="Y849" s="365"/>
    </row>
    <row r="850" spans="1:25" s="4" customFormat="1">
      <c r="B850" s="399"/>
      <c r="C850" s="362" t="s">
        <v>2453</v>
      </c>
      <c r="D850" s="3039"/>
      <c r="E850" s="3040" t="s">
        <v>2454</v>
      </c>
      <c r="F850" s="3041">
        <f t="shared" ref="F850:N850" si="107">$F848/$F$840*F840</f>
        <v>32476408683.157936</v>
      </c>
      <c r="G850" s="3041">
        <f t="shared" si="107"/>
        <v>31427348335.575573</v>
      </c>
      <c r="H850" s="3041">
        <f t="shared" si="107"/>
        <v>28804697466.619671</v>
      </c>
      <c r="I850" s="3041">
        <f t="shared" si="107"/>
        <v>28376274525.777565</v>
      </c>
      <c r="J850" s="3041">
        <f t="shared" si="107"/>
        <v>27947851584.935452</v>
      </c>
      <c r="K850" s="3041">
        <f t="shared" si="107"/>
        <v>27519428644.093342</v>
      </c>
      <c r="L850" s="3041">
        <f t="shared" si="107"/>
        <v>27091005703.251228</v>
      </c>
      <c r="M850" s="3041">
        <f t="shared" si="107"/>
        <v>26662582762.409119</v>
      </c>
      <c r="N850" s="3041">
        <f t="shared" si="107"/>
        <v>26234159821.567005</v>
      </c>
      <c r="O850" s="2"/>
      <c r="W850" s="365"/>
      <c r="X850" s="365"/>
      <c r="Y850" s="365"/>
    </row>
    <row r="851" spans="1:25" s="4" customFormat="1">
      <c r="B851" s="399"/>
      <c r="C851" s="354"/>
      <c r="D851" s="2"/>
      <c r="E851" s="2"/>
      <c r="F851" s="365"/>
      <c r="G851" s="2"/>
      <c r="H851" s="2"/>
      <c r="I851" s="2"/>
      <c r="J851" s="2"/>
      <c r="K851" s="2"/>
      <c r="L851" s="2"/>
      <c r="M851" s="2"/>
      <c r="N851" s="2"/>
      <c r="O851" s="2"/>
      <c r="W851" s="365"/>
      <c r="X851" s="365"/>
      <c r="Y851" s="365"/>
    </row>
    <row r="852" spans="1:25" s="4" customFormat="1">
      <c r="B852" s="1609"/>
      <c r="C852" s="354" t="s">
        <v>2455</v>
      </c>
      <c r="D852" s="2"/>
      <c r="E852" s="2"/>
      <c r="F852" s="359">
        <f>F840-F850</f>
        <v>38854852724.842064</v>
      </c>
      <c r="G852" s="359">
        <f t="shared" ref="G852:N852" si="108">G840-G850</f>
        <v>37599754425.567276</v>
      </c>
      <c r="H852" s="359">
        <f t="shared" si="108"/>
        <v>34462008677.380325</v>
      </c>
      <c r="I852" s="359">
        <f t="shared" si="108"/>
        <v>33949442450.222443</v>
      </c>
      <c r="J852" s="359">
        <f t="shared" si="108"/>
        <v>33436876223.064556</v>
      </c>
      <c r="K852" s="359">
        <f t="shared" si="108"/>
        <v>32924309995.906666</v>
      </c>
      <c r="L852" s="359">
        <f t="shared" si="108"/>
        <v>32411743768.748772</v>
      </c>
      <c r="M852" s="359">
        <f t="shared" si="108"/>
        <v>31899177541.590889</v>
      </c>
      <c r="N852" s="359">
        <f t="shared" si="108"/>
        <v>31386611314.432995</v>
      </c>
      <c r="O852" s="2"/>
      <c r="W852" s="365"/>
      <c r="X852" s="365"/>
      <c r="Y852" s="365"/>
    </row>
    <row r="853" spans="1:25" s="4" customFormat="1">
      <c r="B853" s="1609" t="s">
        <v>218</v>
      </c>
      <c r="C853" s="2" t="s">
        <v>219</v>
      </c>
      <c r="D853" s="2"/>
      <c r="E853" s="2"/>
      <c r="F853" s="365">
        <f>INDEX(Global.Assumptions[Households], MATCH(F$810,Global.Assumptions[Year], 0))</f>
        <v>1672651.1289147851</v>
      </c>
      <c r="G853" s="365">
        <f>INDEX(Global.Assumptions[Households], MATCH(G$810,Global.Assumptions[Year], 0))</f>
        <v>1724685.0990151383</v>
      </c>
      <c r="H853" s="365">
        <f>INDEX(Global.Assumptions[Households], MATCH(H$810,Global.Assumptions[Year], 0))</f>
        <v>1818612.4430257217</v>
      </c>
      <c r="I853" s="365">
        <f>INDEX(Global.Assumptions[Households], MATCH(I$810,Global.Assumptions[Year], 0))</f>
        <v>1912005.4807283345</v>
      </c>
      <c r="J853" s="365">
        <f>INDEX(Global.Assumptions[Households], MATCH(J$810,Global.Assumptions[Year], 0))</f>
        <v>2000055.258037091</v>
      </c>
      <c r="K853" s="365">
        <f>INDEX(Global.Assumptions[Households], MATCH(K$810,Global.Assumptions[Year], 0))</f>
        <v>2093076.6415949722</v>
      </c>
      <c r="L853" s="365">
        <f>INDEX(Global.Assumptions[Households], MATCH(L$810,Global.Assumptions[Year], 0))</f>
        <v>2190930.0548391449</v>
      </c>
      <c r="M853" s="365">
        <f>INDEX(Global.Assumptions[Households], MATCH(M$810,Global.Assumptions[Year], 0))</f>
        <v>2288187.1680332171</v>
      </c>
      <c r="N853" s="365">
        <f>INDEX(Global.Assumptions[Households], MATCH(N$810,Global.Assumptions[Year], 0))</f>
        <v>2390510.6792861409</v>
      </c>
      <c r="O853" s="2"/>
      <c r="W853" s="365"/>
      <c r="X853" s="365"/>
      <c r="Y853" s="365"/>
    </row>
    <row r="854" spans="1:25" s="4" customFormat="1">
      <c r="B854" s="3581" t="s">
        <v>220</v>
      </c>
      <c r="C854" s="354" t="s">
        <v>2456</v>
      </c>
      <c r="D854" s="2"/>
      <c r="E854" s="2"/>
      <c r="F854" s="359">
        <f>F852*F853</f>
        <v>6.4990613274024792E+16</v>
      </c>
      <c r="G854" s="359">
        <f t="shared" ref="G854:N854" si="109">G852*G853</f>
        <v>6.4847736184404384E+16</v>
      </c>
      <c r="H854" s="359">
        <f t="shared" si="109"/>
        <v>6.2673037792344256E+16</v>
      </c>
      <c r="I854" s="359">
        <f t="shared" si="109"/>
        <v>6.4911520032496488E+16</v>
      </c>
      <c r="J854" s="359">
        <f t="shared" si="109"/>
        <v>6.6875600102275656E+16</v>
      </c>
      <c r="K854" s="359">
        <f t="shared" si="109"/>
        <v>6.8913104193064096E+16</v>
      </c>
      <c r="L854" s="359">
        <f t="shared" si="109"/>
        <v>7.1011863552697064E+16</v>
      </c>
      <c r="M854" s="359">
        <f t="shared" si="109"/>
        <v>7.2991288721481648E+16</v>
      </c>
      <c r="N854" s="359">
        <f t="shared" si="109"/>
        <v>7.5030029533755296E+16</v>
      </c>
      <c r="O854" s="2"/>
      <c r="W854" s="365"/>
      <c r="X854" s="365"/>
      <c r="Y854" s="365"/>
    </row>
    <row r="855" spans="1:25" s="4" customFormat="1">
      <c r="B855" s="1609"/>
      <c r="C855" s="2"/>
      <c r="D855" s="2"/>
      <c r="E855" s="2"/>
      <c r="F855" s="365"/>
      <c r="G855" s="2"/>
      <c r="H855" s="2"/>
      <c r="I855" s="2"/>
      <c r="J855" s="2"/>
      <c r="K855" s="2"/>
      <c r="L855" s="2"/>
      <c r="M855" s="2"/>
      <c r="N855" s="2"/>
      <c r="O855" s="2"/>
      <c r="W855" s="365"/>
      <c r="X855" s="365"/>
      <c r="Y855" s="365"/>
    </row>
    <row r="856" spans="1:25" s="4" customFormat="1">
      <c r="B856" s="3582"/>
      <c r="C856" s="3042" t="s">
        <v>228</v>
      </c>
      <c r="D856" s="3044"/>
      <c r="E856" s="3043" t="str">
        <f>Preferences.EnergyUnits</f>
        <v>TWh</v>
      </c>
      <c r="F856" s="3045">
        <f t="shared" ref="F856:N856" si="110">MAX(F$854, 0)/Preferences.Unit.Energy</f>
        <v>18.052948131673556</v>
      </c>
      <c r="G856" s="3045">
        <f t="shared" si="110"/>
        <v>18.013260051223444</v>
      </c>
      <c r="H856" s="3045">
        <f t="shared" si="110"/>
        <v>17.409177164540072</v>
      </c>
      <c r="I856" s="3045">
        <f t="shared" si="110"/>
        <v>18.030977786804584</v>
      </c>
      <c r="J856" s="3045">
        <f t="shared" si="110"/>
        <v>18.576555583965462</v>
      </c>
      <c r="K856" s="3045">
        <f t="shared" si="110"/>
        <v>19.142528942517806</v>
      </c>
      <c r="L856" s="3045">
        <f t="shared" si="110"/>
        <v>19.725517653526964</v>
      </c>
      <c r="M856" s="3045">
        <f t="shared" si="110"/>
        <v>20.275357978189348</v>
      </c>
      <c r="N856" s="3045">
        <f t="shared" si="110"/>
        <v>20.841674870487584</v>
      </c>
      <c r="O856" s="2"/>
      <c r="W856" s="365"/>
      <c r="X856" s="365"/>
      <c r="Y856" s="365"/>
    </row>
    <row r="857" spans="1:25" s="4" customFormat="1">
      <c r="A857"/>
      <c r="B857"/>
      <c r="C857" s="375"/>
      <c r="D857" s="2"/>
      <c r="E857" s="373"/>
      <c r="F857" s="376"/>
      <c r="G857" s="365"/>
      <c r="H857" s="365" t="s">
        <v>5</v>
      </c>
      <c r="I857" s="365"/>
      <c r="J857" s="365"/>
      <c r="K857" s="365"/>
      <c r="L857" s="365"/>
      <c r="M857" s="365"/>
      <c r="N857" s="365"/>
      <c r="O857" s="2"/>
    </row>
    <row r="858" spans="1:25" s="372" customFormat="1">
      <c r="A858"/>
      <c r="B858" s="377" t="s">
        <v>1152</v>
      </c>
      <c r="C858" s="377" t="s">
        <v>229</v>
      </c>
      <c r="D858" s="379" t="s">
        <v>1509</v>
      </c>
      <c r="E858" s="4111" t="s">
        <v>1867</v>
      </c>
      <c r="F858" s="356">
        <v>2013</v>
      </c>
      <c r="G858" s="356">
        <v>2015</v>
      </c>
      <c r="H858" s="356">
        <v>2020</v>
      </c>
      <c r="I858" s="356">
        <v>2025</v>
      </c>
      <c r="J858" s="356">
        <v>2030</v>
      </c>
      <c r="K858" s="356">
        <v>2035</v>
      </c>
      <c r="L858" s="356">
        <v>2040</v>
      </c>
      <c r="M858" s="356">
        <v>2045</v>
      </c>
      <c r="N858" s="356">
        <v>2050</v>
      </c>
      <c r="O858" s="2"/>
    </row>
    <row r="859" spans="1:25" s="4" customFormat="1">
      <c r="A859"/>
      <c r="B859" s="379"/>
      <c r="C859" t="s">
        <v>230</v>
      </c>
      <c r="D859" s="373"/>
      <c r="E859" s="379"/>
      <c r="F859" s="380" t="s">
        <v>231</v>
      </c>
      <c r="G859" s="380" t="s">
        <v>231</v>
      </c>
      <c r="H859" s="380" t="s">
        <v>231</v>
      </c>
      <c r="I859" s="380" t="s">
        <v>231</v>
      </c>
      <c r="J859" s="380" t="s">
        <v>231</v>
      </c>
      <c r="K859" s="380" t="s">
        <v>231</v>
      </c>
      <c r="L859" s="380" t="s">
        <v>231</v>
      </c>
      <c r="M859" s="380" t="s">
        <v>231</v>
      </c>
      <c r="N859" s="380" t="s">
        <v>231</v>
      </c>
      <c r="O859" s="2"/>
    </row>
    <row r="860" spans="1:25" s="4" customFormat="1">
      <c r="A860"/>
      <c r="B860" s="366"/>
      <c r="C860" t="s">
        <v>232</v>
      </c>
      <c r="D860" s="2">
        <v>50</v>
      </c>
      <c r="E860" s="381">
        <v>121.57485024782476</v>
      </c>
      <c r="F860" s="382">
        <v>7.0000000000000007E-2</v>
      </c>
      <c r="G860" s="382">
        <f>INDEX(G$67:G$70, MATCH($E$9, $C67:$C$70, 0))</f>
        <v>8.2500000000000018E-2</v>
      </c>
      <c r="H860" s="382">
        <f>INDEX(H$67:H$70, MATCH($E$9, $C67:$C$70, 0))</f>
        <v>9.5000000000000015E-2</v>
      </c>
      <c r="I860" s="382">
        <f>INDEX(I$67:I$70, MATCH($E$9, $C67:$C$70, 0))</f>
        <v>0.10750000000000001</v>
      </c>
      <c r="J860" s="382">
        <f>INDEX(J$67:J$70, MATCH($E$9, $C67:$C$70, 0))</f>
        <v>0.12000000000000001</v>
      </c>
      <c r="K860" s="382">
        <f>INDEX(K$67:K$70, MATCH($E$9, $C67:$C$70, 0))</f>
        <v>0.13250000000000001</v>
      </c>
      <c r="L860" s="383">
        <f>INDEX(L$67:L$70, MATCH($E$9, $C67:$C$70, 0))</f>
        <v>0.14500000000000002</v>
      </c>
      <c r="M860" s="383">
        <f>INDEX(M$67:M$70, MATCH($E$9, $C67:$C$70, 0))</f>
        <v>0.1575</v>
      </c>
      <c r="N860" s="383">
        <f>INDEX(N$67:N$70, MATCH($E$9, $C67:$C$70, 0))</f>
        <v>0.17</v>
      </c>
      <c r="O860" s="384"/>
    </row>
    <row r="861" spans="1:25" s="4" customFormat="1">
      <c r="A861"/>
      <c r="B861" s="358"/>
      <c r="C861" t="s">
        <v>233</v>
      </c>
      <c r="D861" s="2">
        <v>150</v>
      </c>
      <c r="E861" s="381">
        <v>106.07124899579502</v>
      </c>
      <c r="F861" s="382">
        <v>0.16</v>
      </c>
      <c r="G861" s="385">
        <f t="shared" ref="G861:N864" si="111">(1-G$860)*(F861/SUM(F$861:F$864))</f>
        <v>0.15784946236559141</v>
      </c>
      <c r="H861" s="385">
        <f t="shared" si="111"/>
        <v>0.15569892473118283</v>
      </c>
      <c r="I861" s="385">
        <f t="shared" si="111"/>
        <v>0.15354838709677421</v>
      </c>
      <c r="J861" s="385">
        <f t="shared" si="111"/>
        <v>0.15139784946236562</v>
      </c>
      <c r="K861" s="385">
        <f t="shared" si="111"/>
        <v>0.149247311827957</v>
      </c>
      <c r="L861" s="386">
        <f t="shared" si="111"/>
        <v>0.14709677419354839</v>
      </c>
      <c r="M861" s="386">
        <f t="shared" si="111"/>
        <v>0.14494623655913982</v>
      </c>
      <c r="N861" s="386">
        <f t="shared" si="111"/>
        <v>0.14279569892473121</v>
      </c>
      <c r="O861" s="387"/>
    </row>
    <row r="862" spans="1:25" s="4" customFormat="1">
      <c r="A862"/>
      <c r="B862" s="358"/>
      <c r="C862" t="s">
        <v>234</v>
      </c>
      <c r="D862" s="2">
        <v>225</v>
      </c>
      <c r="E862" s="381">
        <v>97.24970093806165</v>
      </c>
      <c r="F862" s="382">
        <v>0.19</v>
      </c>
      <c r="G862" s="385">
        <f t="shared" si="111"/>
        <v>0.18744623655913981</v>
      </c>
      <c r="H862" s="385">
        <f t="shared" si="111"/>
        <v>0.18489247311827961</v>
      </c>
      <c r="I862" s="385">
        <f t="shared" si="111"/>
        <v>0.18233870967741936</v>
      </c>
      <c r="J862" s="385">
        <f t="shared" si="111"/>
        <v>0.17978494623655919</v>
      </c>
      <c r="K862" s="385">
        <f t="shared" si="111"/>
        <v>0.17723118279569894</v>
      </c>
      <c r="L862" s="386">
        <f t="shared" si="111"/>
        <v>0.17467741935483874</v>
      </c>
      <c r="M862" s="386">
        <f t="shared" si="111"/>
        <v>0.17212365591397857</v>
      </c>
      <c r="N862" s="386">
        <f t="shared" si="111"/>
        <v>0.16956989247311835</v>
      </c>
      <c r="O862" s="384"/>
    </row>
    <row r="863" spans="1:25" s="4" customFormat="1">
      <c r="B863" s="358"/>
      <c r="C863" t="s">
        <v>235</v>
      </c>
      <c r="D863" s="2">
        <v>300</v>
      </c>
      <c r="E863" s="381">
        <v>86.094250886811835</v>
      </c>
      <c r="F863" s="382">
        <v>0.22</v>
      </c>
      <c r="G863" s="385">
        <f t="shared" si="111"/>
        <v>0.21704301075268817</v>
      </c>
      <c r="H863" s="385">
        <f t="shared" si="111"/>
        <v>0.21408602150537637</v>
      </c>
      <c r="I863" s="385">
        <f t="shared" si="111"/>
        <v>0.21112903225806448</v>
      </c>
      <c r="J863" s="385">
        <f t="shared" si="111"/>
        <v>0.20817204301075271</v>
      </c>
      <c r="K863" s="385">
        <f t="shared" si="111"/>
        <v>0.20521505376344082</v>
      </c>
      <c r="L863" s="386">
        <f t="shared" si="111"/>
        <v>0.20225806451612899</v>
      </c>
      <c r="M863" s="386">
        <f t="shared" si="111"/>
        <v>0.19930107526881721</v>
      </c>
      <c r="N863" s="386">
        <f t="shared" si="111"/>
        <v>0.19634408602150538</v>
      </c>
      <c r="O863" s="384"/>
    </row>
    <row r="864" spans="1:25" s="4" customFormat="1">
      <c r="B864" s="358"/>
      <c r="C864" t="s">
        <v>236</v>
      </c>
      <c r="D864" s="2">
        <v>340</v>
      </c>
      <c r="E864" s="378">
        <v>71</v>
      </c>
      <c r="F864" s="382">
        <v>0.36</v>
      </c>
      <c r="G864" s="385">
        <f t="shared" si="111"/>
        <v>0.35516129032258065</v>
      </c>
      <c r="H864" s="385">
        <f t="shared" si="111"/>
        <v>0.35032258064516131</v>
      </c>
      <c r="I864" s="385">
        <f t="shared" si="111"/>
        <v>0.34548387096774186</v>
      </c>
      <c r="J864" s="385">
        <f t="shared" si="111"/>
        <v>0.34064516129032257</v>
      </c>
      <c r="K864" s="385">
        <f t="shared" si="111"/>
        <v>0.33580645161290312</v>
      </c>
      <c r="L864" s="386">
        <f t="shared" si="111"/>
        <v>0.33096774193548378</v>
      </c>
      <c r="M864" s="386">
        <f t="shared" si="111"/>
        <v>0.3261290322580645</v>
      </c>
      <c r="N864" s="386">
        <f t="shared" si="111"/>
        <v>0.32129032258064516</v>
      </c>
      <c r="O864" s="384"/>
    </row>
    <row r="865" spans="1:15" s="4" customFormat="1">
      <c r="B865" s="366"/>
      <c r="C865" t="s">
        <v>237</v>
      </c>
      <c r="D865" s="2"/>
      <c r="E865" s="6" t="s">
        <v>238</v>
      </c>
      <c r="F865" s="4">
        <v>0.9</v>
      </c>
      <c r="G865" s="6" t="s">
        <v>5</v>
      </c>
      <c r="H865"/>
      <c r="I865"/>
      <c r="J865"/>
      <c r="K865"/>
      <c r="L865"/>
      <c r="M865"/>
      <c r="N865"/>
      <c r="O865" s="2"/>
    </row>
    <row r="866" spans="1:15" s="4" customFormat="1">
      <c r="B866" s="366"/>
      <c r="C866"/>
      <c r="D866" s="2"/>
      <c r="E866" s="388" t="s">
        <v>239</v>
      </c>
      <c r="F866" s="388">
        <v>0.8</v>
      </c>
      <c r="H866" t="s">
        <v>5</v>
      </c>
      <c r="I866" s="2"/>
      <c r="J866" s="2"/>
      <c r="K866" s="2"/>
      <c r="L866" s="2"/>
      <c r="M866" s="2"/>
      <c r="N866" s="2"/>
      <c r="O866" s="2"/>
    </row>
    <row r="867" spans="1:15" s="4" customFormat="1">
      <c r="B867" s="389"/>
      <c r="C867" s="377" t="s">
        <v>219</v>
      </c>
      <c r="D867" s="2"/>
      <c r="E867" s="358"/>
      <c r="F867" s="374">
        <f>F580</f>
        <v>1672651.1289147851</v>
      </c>
      <c r="G867" s="374">
        <f t="shared" ref="G867:N867" si="112">G580</f>
        <v>1724685.0990151383</v>
      </c>
      <c r="H867" s="374">
        <f t="shared" si="112"/>
        <v>1818612.4430257217</v>
      </c>
      <c r="I867" s="374">
        <f t="shared" si="112"/>
        <v>1912005.4807283345</v>
      </c>
      <c r="J867" s="374">
        <f t="shared" si="112"/>
        <v>2000055.258037091</v>
      </c>
      <c r="K867" s="374">
        <f t="shared" si="112"/>
        <v>2093076.6415949722</v>
      </c>
      <c r="L867" s="374">
        <f t="shared" si="112"/>
        <v>2190930.0548391449</v>
      </c>
      <c r="M867" s="374">
        <f t="shared" si="112"/>
        <v>2288187.1680332171</v>
      </c>
      <c r="N867" s="374">
        <f t="shared" si="112"/>
        <v>2390510.6792861409</v>
      </c>
      <c r="O867" s="354"/>
    </row>
    <row r="868" spans="1:15" s="389" customFormat="1">
      <c r="B868" s="390"/>
      <c r="C868" s="377" t="s">
        <v>3406</v>
      </c>
      <c r="D868" s="2"/>
      <c r="E868" s="358"/>
      <c r="F868" s="365">
        <f>((F$867*$F860*$D860*$E860)+(F$867*$F861*$D861*$E861)+(F$867*$F862*$D862*$E862)+(F$867*$F863*$D863*$E863*$F$865)+(F$867*$F864*$D864*$E864*$F$866))/10^9</f>
        <v>32.106480160319798</v>
      </c>
      <c r="G868" s="365">
        <f t="shared" ref="G868:N868" si="113">((G$867*$F860*$D860*$E860)+(G$867*$F861*$D861*$E861)+(G$867*$F862*$D862*$E862)+(G$867*$F863*$D863*$E863*$F$865)+(G$867*$F864*$D864*$E864*$F$866))/10^9</f>
        <v>33.105270404029241</v>
      </c>
      <c r="H868" s="365">
        <f t="shared" si="113"/>
        <v>34.908202500780277</v>
      </c>
      <c r="I868" s="365">
        <f t="shared" si="113"/>
        <v>36.700878606559954</v>
      </c>
      <c r="J868" s="365">
        <f t="shared" si="113"/>
        <v>38.390991015187751</v>
      </c>
      <c r="K868" s="365">
        <f t="shared" si="113"/>
        <v>40.176533232604186</v>
      </c>
      <c r="L868" s="365">
        <f t="shared" si="113"/>
        <v>42.054826091547199</v>
      </c>
      <c r="M868" s="365">
        <f t="shared" si="113"/>
        <v>43.921672991797926</v>
      </c>
      <c r="N868" s="365">
        <f t="shared" si="113"/>
        <v>45.885769226323383</v>
      </c>
    </row>
    <row r="869" spans="1:15" s="4" customFormat="1" ht="15.5">
      <c r="A869" s="3"/>
      <c r="B869" s="358"/>
      <c r="C869" s="377" t="s">
        <v>3404</v>
      </c>
      <c r="D869" s="2"/>
      <c r="E869" s="358"/>
      <c r="F869" s="365">
        <f t="shared" ref="F869:N869" si="114">((F$867*F860*$D860*$E860)+(F$867*F861*$D861*$E861)+(F$867*F862*$D862*$E862)+(F$867*F863*$D863*$E863*$F$865)+(F$867*F864*$D864*$E864*$F$866))/10^9</f>
        <v>32.106480160319798</v>
      </c>
      <c r="G869" s="365">
        <f>((G$867*G860*$D860*$E860)+(G$867*G861*$D861*$E861)+(G$867*G862*$D862*$E862)+(G$867*G863*$D863*$E863*$F$865)+(G$867*G864*$D864*$E864*$F$866))/10^9</f>
        <v>32.801219950102386</v>
      </c>
      <c r="H869" s="365">
        <f t="shared" si="114"/>
        <v>34.266984067183607</v>
      </c>
      <c r="I869" s="365">
        <f t="shared" si="114"/>
        <v>35.689657251441744</v>
      </c>
      <c r="J869" s="365">
        <f t="shared" si="114"/>
        <v>36.980605526422913</v>
      </c>
      <c r="K869" s="365">
        <f t="shared" si="114"/>
        <v>38.33155613114937</v>
      </c>
      <c r="L869" s="365">
        <f t="shared" si="114"/>
        <v>39.73734815400519</v>
      </c>
      <c r="M869" s="365">
        <f t="shared" si="114"/>
        <v>41.097928278892503</v>
      </c>
      <c r="N869" s="365">
        <f t="shared" si="114"/>
        <v>42.514320803331827</v>
      </c>
    </row>
    <row r="870" spans="1:15" s="4" customFormat="1">
      <c r="B870" s="358"/>
      <c r="C870" s="377" t="s">
        <v>3405</v>
      </c>
      <c r="D870" s="2"/>
      <c r="E870" s="358"/>
      <c r="F870" s="391">
        <f>(F869-F868)/F868</f>
        <v>0</v>
      </c>
      <c r="G870" s="391">
        <f t="shared" ref="G870:N870" si="115">(G869-G868)/G868</f>
        <v>-9.1843519239114685E-3</v>
      </c>
      <c r="H870" s="391">
        <f t="shared" si="115"/>
        <v>-1.8368703847823079E-2</v>
      </c>
      <c r="I870" s="391">
        <f t="shared" si="115"/>
        <v>-2.7553055771734648E-2</v>
      </c>
      <c r="J870" s="391">
        <f t="shared" si="115"/>
        <v>-3.6737407695646082E-2</v>
      </c>
      <c r="K870" s="391">
        <f t="shared" si="115"/>
        <v>-4.5921759619557585E-2</v>
      </c>
      <c r="L870" s="391">
        <f t="shared" si="115"/>
        <v>-5.5106111543469435E-2</v>
      </c>
      <c r="M870" s="391">
        <f t="shared" si="115"/>
        <v>-6.4290463467380626E-2</v>
      </c>
      <c r="N870" s="391">
        <f t="shared" si="115"/>
        <v>-7.3474815391292386E-2</v>
      </c>
      <c r="O870" s="2"/>
    </row>
    <row r="871" spans="1:15" s="4" customFormat="1">
      <c r="A871" s="392"/>
      <c r="B871" s="358"/>
      <c r="C871" s="393" t="s">
        <v>240</v>
      </c>
      <c r="D871" s="393"/>
      <c r="E871" s="3043" t="str">
        <f>Preferences.EnergyUnits</f>
        <v>TWh</v>
      </c>
      <c r="F871" s="393">
        <f>F856*(1+F870)</f>
        <v>18.052948131673556</v>
      </c>
      <c r="G871" s="393">
        <f t="shared" ref="G871:N871" si="116">G856*(1+G870)</f>
        <v>17.847819931616073</v>
      </c>
      <c r="H871" s="393">
        <f t="shared" si="116"/>
        <v>17.089393144970352</v>
      </c>
      <c r="I871" s="393">
        <f t="shared" si="116"/>
        <v>17.534169250225851</v>
      </c>
      <c r="J871" s="393">
        <f t="shared" si="116"/>
        <v>17.894101087896491</v>
      </c>
      <c r="K871" s="393">
        <f t="shared" si="116"/>
        <v>18.263470329909079</v>
      </c>
      <c r="L871" s="393">
        <f t="shared" si="116"/>
        <v>18.638521077459032</v>
      </c>
      <c r="M871" s="393">
        <f t="shared" si="116"/>
        <v>18.9718458168045</v>
      </c>
      <c r="N871" s="393">
        <f t="shared" si="116"/>
        <v>19.31033665693317</v>
      </c>
      <c r="O871" s="2"/>
    </row>
    <row r="872" spans="1:15" s="4" customFormat="1">
      <c r="A872"/>
      <c r="B872" s="358"/>
      <c r="C872" s="377"/>
      <c r="D872" s="2"/>
      <c r="E872" s="358"/>
      <c r="F872" s="394"/>
      <c r="G872" s="394"/>
      <c r="H872" s="394"/>
      <c r="I872" s="394"/>
      <c r="J872" s="394"/>
      <c r="K872" s="394"/>
      <c r="L872" s="394"/>
      <c r="M872" s="394"/>
      <c r="N872" s="394"/>
      <c r="O872" s="395"/>
    </row>
    <row r="873" spans="1:15" s="4" customFormat="1">
      <c r="B873" s="354">
        <v>4</v>
      </c>
      <c r="C873" s="354" t="s">
        <v>241</v>
      </c>
      <c r="D873" s="2"/>
      <c r="E873" s="355"/>
      <c r="F873" s="356">
        <v>2013</v>
      </c>
      <c r="G873" s="356">
        <v>2015</v>
      </c>
      <c r="H873" s="356">
        <v>2020</v>
      </c>
      <c r="I873" s="356">
        <v>2025</v>
      </c>
      <c r="J873" s="356">
        <v>2030</v>
      </c>
      <c r="K873" s="356">
        <v>2035</v>
      </c>
      <c r="L873" s="356">
        <v>2040</v>
      </c>
      <c r="M873" s="356">
        <v>2045</v>
      </c>
      <c r="N873" s="356">
        <v>2050</v>
      </c>
      <c r="O873" s="395"/>
    </row>
    <row r="874" spans="1:15" s="4" customFormat="1">
      <c r="B874" s="358">
        <v>1</v>
      </c>
      <c r="C874" s="2" t="s">
        <v>45</v>
      </c>
      <c r="D874" s="2"/>
      <c r="E874" s="2"/>
      <c r="F874" s="365">
        <f t="array" ref="F874:F886">F$871*F$626:F$638</f>
        <v>3.0690011823845049</v>
      </c>
      <c r="G874" s="365">
        <f t="array" ref="G874:G886">G$871*G$626:G$638</f>
        <v>2.870122394408531</v>
      </c>
      <c r="H874" s="365">
        <f t="array" ref="H874:H886">H$871*H$626:H$638</f>
        <v>2.3555650010634817</v>
      </c>
      <c r="I874" s="365">
        <f t="array" ref="I874:I886">I$871*I$626:I$638</f>
        <v>2.0140599814448619</v>
      </c>
      <c r="J874" s="365">
        <f t="array" ref="J874:J886">J$871*J$626:J$638</f>
        <v>1.6443228026715699</v>
      </c>
      <c r="K874" s="365">
        <f t="array" ref="K874:K886">K$871*K$626:K$638</f>
        <v>1.2586986308450858</v>
      </c>
      <c r="L874" s="365">
        <f t="array" ref="L874:L886">L$871*L$626:L$638</f>
        <v>0.85636448193730741</v>
      </c>
      <c r="M874" s="365">
        <f t="array" ref="M874:M886">M$871*M$626:M$638</f>
        <v>0.43583970119686066</v>
      </c>
      <c r="N874" s="365">
        <f t="array" ref="N874:N886">N$871*N$626:N$638</f>
        <v>0</v>
      </c>
      <c r="O874" s="395"/>
    </row>
    <row r="875" spans="1:15" s="4" customFormat="1" ht="15.5">
      <c r="A875" s="3"/>
      <c r="B875" s="358">
        <v>2</v>
      </c>
      <c r="C875" s="2" t="s">
        <v>46</v>
      </c>
      <c r="D875" s="2"/>
      <c r="E875" s="2"/>
      <c r="F875" s="365">
        <v>2.8162599085410749</v>
      </c>
      <c r="G875" s="365">
        <v>3.5020316946900727</v>
      </c>
      <c r="H875" s="365">
        <v>5.0713928846425524</v>
      </c>
      <c r="I875" s="365">
        <v>6.9662780534681072</v>
      </c>
      <c r="J875" s="365">
        <v>8.9083605956500893</v>
      </c>
      <c r="K875" s="365">
        <v>10.928465759572621</v>
      </c>
      <c r="L875" s="365">
        <v>13.026815001705147</v>
      </c>
      <c r="M875" s="365">
        <v>15.167221601650729</v>
      </c>
      <c r="N875" s="365">
        <v>17.379302991239854</v>
      </c>
      <c r="O875" s="395"/>
    </row>
    <row r="876" spans="1:15" s="4" customFormat="1">
      <c r="B876" s="358">
        <v>3</v>
      </c>
      <c r="C876" s="2" t="s">
        <v>47</v>
      </c>
      <c r="D876" s="2"/>
      <c r="E876" s="2"/>
      <c r="F876" s="365">
        <v>0.649906132740248</v>
      </c>
      <c r="G876" s="365">
        <v>0.70426532703133693</v>
      </c>
      <c r="H876" s="365">
        <v>0.82213837292019531</v>
      </c>
      <c r="I876" s="365">
        <v>0.99518257906687269</v>
      </c>
      <c r="J876" s="365">
        <v>1.1703709360191759</v>
      </c>
      <c r="K876" s="365">
        <v>1.3524840190256993</v>
      </c>
      <c r="L876" s="365">
        <v>1.5414560674871522</v>
      </c>
      <c r="M876" s="365">
        <v>1.733103752994573</v>
      </c>
      <c r="N876" s="365">
        <v>1.9310336656933171</v>
      </c>
      <c r="O876" s="395"/>
    </row>
    <row r="877" spans="1:15" s="4" customFormat="1">
      <c r="B877" s="358">
        <v>4</v>
      </c>
      <c r="C877" s="2" t="s">
        <v>48</v>
      </c>
      <c r="D877" s="2"/>
      <c r="E877" s="2"/>
      <c r="F877" s="365">
        <v>11.174774893505932</v>
      </c>
      <c r="G877" s="365">
        <v>10.450622130228707</v>
      </c>
      <c r="H877" s="365">
        <v>8.5770278568134977</v>
      </c>
      <c r="I877" s="365">
        <v>7.333547814790407</v>
      </c>
      <c r="J877" s="365">
        <v>5.9872694991394209</v>
      </c>
      <c r="K877" s="365">
        <v>4.5831438381947525</v>
      </c>
      <c r="L877" s="365">
        <v>3.1181742018776064</v>
      </c>
      <c r="M877" s="365">
        <v>1.5869692649462148</v>
      </c>
      <c r="N877" s="365">
        <v>0</v>
      </c>
      <c r="O877" s="396"/>
    </row>
    <row r="878" spans="1:15" s="4" customFormat="1">
      <c r="B878" s="358">
        <v>5</v>
      </c>
      <c r="C878" s="2" t="s">
        <v>49</v>
      </c>
      <c r="D878" s="2"/>
      <c r="E878" s="2"/>
      <c r="F878" s="365">
        <v>0.27079422197510333</v>
      </c>
      <c r="G878" s="365">
        <v>0.25324609362428208</v>
      </c>
      <c r="H878" s="365">
        <v>0.20784397068207183</v>
      </c>
      <c r="I878" s="365">
        <v>0.17771117483337009</v>
      </c>
      <c r="J878" s="365">
        <v>0.14508730611807963</v>
      </c>
      <c r="K878" s="365">
        <v>0.11106164389809572</v>
      </c>
      <c r="L878" s="365">
        <v>7.5561571935644695E-2</v>
      </c>
      <c r="M878" s="365">
        <v>3.8456444223252333E-2</v>
      </c>
      <c r="N878" s="365">
        <v>0</v>
      </c>
      <c r="O878" s="2"/>
    </row>
    <row r="879" spans="1:15" s="4" customFormat="1">
      <c r="B879" s="358">
        <v>6</v>
      </c>
      <c r="C879" s="2" t="s">
        <v>50</v>
      </c>
      <c r="D879" s="2"/>
      <c r="E879" s="2"/>
      <c r="F879" s="365">
        <v>0</v>
      </c>
      <c r="G879" s="365">
        <v>0</v>
      </c>
      <c r="H879" s="365">
        <v>0</v>
      </c>
      <c r="I879" s="365">
        <v>0</v>
      </c>
      <c r="J879" s="365">
        <v>0</v>
      </c>
      <c r="K879" s="365">
        <v>0</v>
      </c>
      <c r="L879" s="365">
        <v>0</v>
      </c>
      <c r="M879" s="365">
        <v>0</v>
      </c>
      <c r="N879" s="365">
        <v>0</v>
      </c>
      <c r="O879" s="2"/>
    </row>
    <row r="880" spans="1:15" s="392" customFormat="1">
      <c r="B880" s="358">
        <v>7</v>
      </c>
      <c r="C880" s="2" t="s">
        <v>51</v>
      </c>
      <c r="D880" s="2"/>
      <c r="E880" s="2"/>
      <c r="F880" s="365">
        <v>0</v>
      </c>
      <c r="G880" s="365">
        <v>0</v>
      </c>
      <c r="H880" s="365">
        <v>0</v>
      </c>
      <c r="I880" s="365">
        <v>0</v>
      </c>
      <c r="J880" s="365">
        <v>0</v>
      </c>
      <c r="K880" s="365">
        <v>0</v>
      </c>
      <c r="L880" s="365">
        <v>0</v>
      </c>
      <c r="M880" s="365">
        <v>0</v>
      </c>
      <c r="N880" s="365">
        <v>0</v>
      </c>
      <c r="O880"/>
    </row>
    <row r="881" spans="2:25" s="4" customFormat="1">
      <c r="B881" s="358">
        <v>8</v>
      </c>
      <c r="C881" s="2" t="s">
        <v>52</v>
      </c>
      <c r="D881" s="2"/>
      <c r="E881" s="2"/>
      <c r="F881" s="365">
        <v>1.8052948131673557E-2</v>
      </c>
      <c r="G881" s="365">
        <v>1.6883072908285474E-2</v>
      </c>
      <c r="H881" s="365">
        <v>1.3856264712138123E-2</v>
      </c>
      <c r="I881" s="365">
        <v>1.1847411655558006E-2</v>
      </c>
      <c r="J881" s="365">
        <v>9.6724870745386413E-3</v>
      </c>
      <c r="K881" s="365">
        <v>7.4041095932063814E-3</v>
      </c>
      <c r="L881" s="365">
        <v>5.0374381290429785E-3</v>
      </c>
      <c r="M881" s="365">
        <v>2.5637629482168213E-3</v>
      </c>
      <c r="N881" s="365">
        <v>0</v>
      </c>
      <c r="O881" s="2"/>
    </row>
    <row r="882" spans="2:25" s="4" customFormat="1">
      <c r="B882" s="358">
        <v>9</v>
      </c>
      <c r="C882" s="2" t="s">
        <v>53</v>
      </c>
      <c r="D882" s="2"/>
      <c r="E882" s="2"/>
      <c r="F882" s="365">
        <v>3.6105896263347113E-2</v>
      </c>
      <c r="G882" s="365">
        <v>3.3766145816570947E-2</v>
      </c>
      <c r="H882" s="365">
        <v>2.7712529424276246E-2</v>
      </c>
      <c r="I882" s="365">
        <v>2.3694823311116012E-2</v>
      </c>
      <c r="J882" s="365">
        <v>1.9344974149077283E-2</v>
      </c>
      <c r="K882" s="365">
        <v>1.4808219186412763E-2</v>
      </c>
      <c r="L882" s="365">
        <v>1.0074876258085957E-2</v>
      </c>
      <c r="M882" s="365">
        <v>5.1275258964336426E-3</v>
      </c>
      <c r="N882" s="365">
        <v>0</v>
      </c>
      <c r="O882" s="2"/>
    </row>
    <row r="883" spans="2:25" s="4" customFormat="1">
      <c r="B883" s="358">
        <v>10</v>
      </c>
      <c r="C883" s="2" t="s">
        <v>54</v>
      </c>
      <c r="D883" s="2"/>
      <c r="E883" s="2"/>
      <c r="F883" s="365">
        <v>0</v>
      </c>
      <c r="G883" s="365">
        <v>0</v>
      </c>
      <c r="H883" s="365">
        <v>0</v>
      </c>
      <c r="I883" s="365">
        <v>0</v>
      </c>
      <c r="J883" s="365">
        <v>0</v>
      </c>
      <c r="K883" s="365">
        <v>0</v>
      </c>
      <c r="L883" s="365">
        <v>0</v>
      </c>
      <c r="M883" s="365">
        <v>0</v>
      </c>
      <c r="N883" s="365">
        <v>0</v>
      </c>
      <c r="O883" s="2"/>
    </row>
    <row r="884" spans="2:25" s="4" customFormat="1">
      <c r="B884" s="358">
        <v>11</v>
      </c>
      <c r="C884" s="2" t="s">
        <v>55</v>
      </c>
      <c r="D884" s="2"/>
      <c r="E884" s="2"/>
      <c r="F884" s="365">
        <v>0</v>
      </c>
      <c r="G884" s="365">
        <v>0</v>
      </c>
      <c r="H884" s="365">
        <v>0</v>
      </c>
      <c r="I884" s="365">
        <v>0</v>
      </c>
      <c r="J884" s="365">
        <v>0</v>
      </c>
      <c r="K884" s="365">
        <v>0</v>
      </c>
      <c r="L884" s="365">
        <v>0</v>
      </c>
      <c r="M884" s="365">
        <v>0</v>
      </c>
      <c r="N884" s="365">
        <v>0</v>
      </c>
      <c r="O884" s="2"/>
    </row>
    <row r="885" spans="2:25" s="4" customFormat="1">
      <c r="B885" s="358">
        <v>12</v>
      </c>
      <c r="C885" s="2" t="s">
        <v>56</v>
      </c>
      <c r="D885" s="2"/>
      <c r="E885" s="2"/>
      <c r="F885" s="365">
        <v>0</v>
      </c>
      <c r="G885" s="365">
        <v>0</v>
      </c>
      <c r="H885" s="365">
        <v>0</v>
      </c>
      <c r="I885" s="365">
        <v>0</v>
      </c>
      <c r="J885" s="365">
        <v>0</v>
      </c>
      <c r="K885" s="365">
        <v>0</v>
      </c>
      <c r="L885" s="365">
        <v>0</v>
      </c>
      <c r="M885" s="365">
        <v>0</v>
      </c>
      <c r="N885" s="365">
        <v>0</v>
      </c>
      <c r="O885" s="2"/>
    </row>
    <row r="886" spans="2:25" s="4" customFormat="1">
      <c r="B886" s="358">
        <v>13</v>
      </c>
      <c r="C886" s="2" t="s">
        <v>57</v>
      </c>
      <c r="D886" s="2"/>
      <c r="E886" s="2"/>
      <c r="F886" s="365">
        <v>0</v>
      </c>
      <c r="G886" s="365">
        <v>0</v>
      </c>
      <c r="H886" s="365">
        <v>0</v>
      </c>
      <c r="I886" s="365">
        <v>0</v>
      </c>
      <c r="J886" s="365">
        <v>0</v>
      </c>
      <c r="K886" s="365">
        <v>0</v>
      </c>
      <c r="L886" s="365">
        <v>0</v>
      </c>
      <c r="M886" s="365">
        <v>0</v>
      </c>
      <c r="N886" s="365">
        <v>0</v>
      </c>
      <c r="O886" s="2"/>
    </row>
    <row r="887" spans="2:25" s="4" customFormat="1">
      <c r="B887" s="358"/>
      <c r="C887"/>
      <c r="D887"/>
      <c r="E887" s="3810" t="str">
        <f>Preferences.EnergyUnits</f>
        <v>TWh</v>
      </c>
      <c r="F887" s="371">
        <f>SUM(F874:F886)</f>
        <v>18.034895183541881</v>
      </c>
      <c r="G887" s="371">
        <f t="shared" ref="G887:N887" si="117">SUM(G874:G886)</f>
        <v>17.830936858707783</v>
      </c>
      <c r="H887" s="371">
        <f t="shared" si="117"/>
        <v>17.075536880258213</v>
      </c>
      <c r="I887" s="371">
        <f t="shared" si="117"/>
        <v>17.522321838570289</v>
      </c>
      <c r="J887" s="371">
        <f t="shared" si="117"/>
        <v>17.884428600821948</v>
      </c>
      <c r="K887" s="371">
        <f t="shared" si="117"/>
        <v>18.256066220315876</v>
      </c>
      <c r="L887" s="371">
        <f t="shared" si="117"/>
        <v>18.633483639329985</v>
      </c>
      <c r="M887" s="371">
        <f t="shared" si="117"/>
        <v>18.969282053856283</v>
      </c>
      <c r="N887" s="371">
        <f t="shared" si="117"/>
        <v>19.31033665693317</v>
      </c>
      <c r="O887" s="2"/>
    </row>
    <row r="888" spans="2:25" s="4" customFormat="1">
      <c r="O888" s="2"/>
    </row>
    <row r="889" spans="2:25" s="4" customFormat="1">
      <c r="B889" s="379" t="s">
        <v>242</v>
      </c>
      <c r="C889" s="377" t="s">
        <v>243</v>
      </c>
      <c r="D889" s="2"/>
      <c r="E889" s="355"/>
      <c r="F889" s="356">
        <v>2013</v>
      </c>
      <c r="G889" s="356">
        <v>2015</v>
      </c>
      <c r="H889" s="356">
        <v>2020</v>
      </c>
      <c r="I889" s="356">
        <v>2025</v>
      </c>
      <c r="J889" s="356">
        <v>2030</v>
      </c>
      <c r="K889" s="356">
        <v>2035</v>
      </c>
      <c r="L889" s="356">
        <v>2040</v>
      </c>
      <c r="M889" s="356">
        <v>2045</v>
      </c>
      <c r="N889" s="356">
        <v>2050</v>
      </c>
      <c r="O889" s="2"/>
    </row>
    <row r="890" spans="2:25" s="4" customFormat="1">
      <c r="B890" s="358">
        <v>1</v>
      </c>
      <c r="C890" s="2" t="s">
        <v>45</v>
      </c>
      <c r="D890" s="2"/>
      <c r="E890" s="2"/>
      <c r="F890" s="365">
        <f t="shared" ref="F890:N890" si="118">F874*(1-(F$44*F$53*0.8))</f>
        <v>3.0690011823845049</v>
      </c>
      <c r="G890" s="365">
        <f t="shared" si="118"/>
        <v>2.870122394408531</v>
      </c>
      <c r="H890" s="365">
        <f t="shared" si="118"/>
        <v>2.3555650010634817</v>
      </c>
      <c r="I890" s="365">
        <f t="shared" si="118"/>
        <v>2.0140599814448619</v>
      </c>
      <c r="J890" s="365">
        <f t="shared" si="118"/>
        <v>1.6443228026715699</v>
      </c>
      <c r="K890" s="365">
        <f t="shared" si="118"/>
        <v>1.2586986308450858</v>
      </c>
      <c r="L890" s="365">
        <f t="shared" si="118"/>
        <v>0.85636448193730741</v>
      </c>
      <c r="M890" s="365">
        <f t="shared" si="118"/>
        <v>0.43583970119686066</v>
      </c>
      <c r="N890" s="365">
        <f t="shared" si="118"/>
        <v>0</v>
      </c>
      <c r="O890" s="2"/>
    </row>
    <row r="891" spans="2:25" s="4" customFormat="1">
      <c r="B891" s="358">
        <v>2</v>
      </c>
      <c r="C891" s="2" t="s">
        <v>46</v>
      </c>
      <c r="D891" s="2"/>
      <c r="E891" s="2"/>
      <c r="F891" s="365">
        <f t="shared" ref="F891:N891" si="119">F875*(1-(F$44*F$53*0.8))</f>
        <v>2.8162599085410749</v>
      </c>
      <c r="G891" s="365">
        <f t="shared" si="119"/>
        <v>3.5020316946900727</v>
      </c>
      <c r="H891" s="365">
        <f t="shared" si="119"/>
        <v>5.0713928846425524</v>
      </c>
      <c r="I891" s="365">
        <f t="shared" si="119"/>
        <v>6.9662780534681072</v>
      </c>
      <c r="J891" s="365">
        <f t="shared" si="119"/>
        <v>8.9083605956500893</v>
      </c>
      <c r="K891" s="365">
        <f t="shared" si="119"/>
        <v>10.928465759572621</v>
      </c>
      <c r="L891" s="365">
        <f t="shared" si="119"/>
        <v>13.026815001705147</v>
      </c>
      <c r="M891" s="365">
        <f t="shared" si="119"/>
        <v>15.167221601650729</v>
      </c>
      <c r="N891" s="365">
        <f t="shared" si="119"/>
        <v>17.379302991239854</v>
      </c>
      <c r="O891" s="2"/>
    </row>
    <row r="892" spans="2:25" s="4" customFormat="1">
      <c r="B892" s="358">
        <v>3</v>
      </c>
      <c r="C892" s="2" t="s">
        <v>47</v>
      </c>
      <c r="D892" s="2"/>
      <c r="E892" s="2"/>
      <c r="F892" s="365">
        <f t="shared" ref="F892:N892" si="120">F876*(1-F$44)</f>
        <v>0.649906132740248</v>
      </c>
      <c r="G892" s="365">
        <f t="shared" si="120"/>
        <v>0.70426532703133693</v>
      </c>
      <c r="H892" s="365">
        <f t="shared" si="120"/>
        <v>0.82213837292019531</v>
      </c>
      <c r="I892" s="365">
        <f t="shared" si="120"/>
        <v>0.99518257906687269</v>
      </c>
      <c r="J892" s="365">
        <f t="shared" si="120"/>
        <v>1.1703709360191759</v>
      </c>
      <c r="K892" s="365">
        <f t="shared" si="120"/>
        <v>1.3524840190256993</v>
      </c>
      <c r="L892" s="365">
        <f t="shared" si="120"/>
        <v>1.5414560674871522</v>
      </c>
      <c r="M892" s="365">
        <f t="shared" si="120"/>
        <v>1.733103752994573</v>
      </c>
      <c r="N892" s="365">
        <f t="shared" si="120"/>
        <v>1.9310336656933171</v>
      </c>
      <c r="O892" s="2"/>
    </row>
    <row r="893" spans="2:25" s="4" customFormat="1">
      <c r="B893" s="358">
        <v>4</v>
      </c>
      <c r="C893" s="2" t="s">
        <v>48</v>
      </c>
      <c r="D893" s="2"/>
      <c r="E893" s="2"/>
      <c r="F893" s="365">
        <f t="shared" ref="F893:N902" si="121">F877</f>
        <v>11.174774893505932</v>
      </c>
      <c r="G893" s="365">
        <f t="shared" si="121"/>
        <v>10.450622130228707</v>
      </c>
      <c r="H893" s="365">
        <f t="shared" si="121"/>
        <v>8.5770278568134977</v>
      </c>
      <c r="I893" s="365">
        <f t="shared" si="121"/>
        <v>7.333547814790407</v>
      </c>
      <c r="J893" s="365">
        <f t="shared" si="121"/>
        <v>5.9872694991394209</v>
      </c>
      <c r="K893" s="365">
        <f t="shared" si="121"/>
        <v>4.5831438381947525</v>
      </c>
      <c r="L893" s="365">
        <f t="shared" si="121"/>
        <v>3.1181742018776064</v>
      </c>
      <c r="M893" s="365">
        <f t="shared" si="121"/>
        <v>1.5869692649462148</v>
      </c>
      <c r="N893" s="365">
        <f t="shared" si="121"/>
        <v>0</v>
      </c>
      <c r="O893" s="2"/>
    </row>
    <row r="894" spans="2:25" s="4" customFormat="1">
      <c r="B894" s="358">
        <v>5</v>
      </c>
      <c r="C894" s="2" t="s">
        <v>49</v>
      </c>
      <c r="D894" s="2"/>
      <c r="E894" s="2"/>
      <c r="F894" s="365">
        <f t="shared" si="121"/>
        <v>0.27079422197510333</v>
      </c>
      <c r="G894" s="365">
        <f t="shared" si="121"/>
        <v>0.25324609362428208</v>
      </c>
      <c r="H894" s="365">
        <f t="shared" si="121"/>
        <v>0.20784397068207183</v>
      </c>
      <c r="I894" s="365">
        <f t="shared" si="121"/>
        <v>0.17771117483337009</v>
      </c>
      <c r="J894" s="365">
        <f t="shared" si="121"/>
        <v>0.14508730611807963</v>
      </c>
      <c r="K894" s="365">
        <f t="shared" si="121"/>
        <v>0.11106164389809572</v>
      </c>
      <c r="L894" s="365">
        <f t="shared" si="121"/>
        <v>7.5561571935644695E-2</v>
      </c>
      <c r="M894" s="365">
        <f t="shared" si="121"/>
        <v>3.8456444223252333E-2</v>
      </c>
      <c r="N894" s="365">
        <f t="shared" si="121"/>
        <v>0</v>
      </c>
      <c r="O894" s="2"/>
      <c r="Q894" s="365"/>
      <c r="R894" s="365"/>
      <c r="S894" s="365"/>
      <c r="T894" s="365"/>
      <c r="U894" s="365"/>
      <c r="V894" s="365"/>
      <c r="W894" s="365"/>
      <c r="X894" s="365"/>
      <c r="Y894" s="365"/>
    </row>
    <row r="895" spans="2:25" s="4" customFormat="1">
      <c r="B895" s="358">
        <v>6</v>
      </c>
      <c r="C895" s="2" t="s">
        <v>50</v>
      </c>
      <c r="D895" s="2"/>
      <c r="E895" s="2"/>
      <c r="F895" s="365">
        <f t="shared" si="121"/>
        <v>0</v>
      </c>
      <c r="G895" s="365">
        <f t="shared" si="121"/>
        <v>0</v>
      </c>
      <c r="H895" s="365">
        <f t="shared" si="121"/>
        <v>0</v>
      </c>
      <c r="I895" s="365">
        <f t="shared" si="121"/>
        <v>0</v>
      </c>
      <c r="J895" s="365">
        <f t="shared" si="121"/>
        <v>0</v>
      </c>
      <c r="K895" s="365">
        <f t="shared" si="121"/>
        <v>0</v>
      </c>
      <c r="L895" s="365">
        <f t="shared" si="121"/>
        <v>0</v>
      </c>
      <c r="M895" s="365">
        <f t="shared" si="121"/>
        <v>0</v>
      </c>
      <c r="N895" s="365">
        <f t="shared" si="121"/>
        <v>0</v>
      </c>
      <c r="O895" s="2"/>
      <c r="R895" s="365"/>
      <c r="V895" s="365"/>
      <c r="W895" s="365"/>
      <c r="X895" s="365"/>
      <c r="Y895" s="365"/>
    </row>
    <row r="896" spans="2:25" s="4" customFormat="1">
      <c r="B896" s="358">
        <v>7</v>
      </c>
      <c r="C896" s="2" t="s">
        <v>51</v>
      </c>
      <c r="D896" t="s">
        <v>5</v>
      </c>
      <c r="E896" s="2"/>
      <c r="F896" s="365">
        <f t="shared" si="121"/>
        <v>0</v>
      </c>
      <c r="G896" s="365">
        <f t="shared" si="121"/>
        <v>0</v>
      </c>
      <c r="H896" s="365">
        <f t="shared" si="121"/>
        <v>0</v>
      </c>
      <c r="I896" s="365">
        <f t="shared" si="121"/>
        <v>0</v>
      </c>
      <c r="J896" s="365">
        <f t="shared" si="121"/>
        <v>0</v>
      </c>
      <c r="K896" s="365">
        <f t="shared" si="121"/>
        <v>0</v>
      </c>
      <c r="L896" s="365">
        <f t="shared" si="121"/>
        <v>0</v>
      </c>
      <c r="M896" s="365">
        <f t="shared" si="121"/>
        <v>0</v>
      </c>
      <c r="N896" s="365">
        <f t="shared" si="121"/>
        <v>0</v>
      </c>
      <c r="O896" s="2"/>
      <c r="V896" s="365"/>
      <c r="W896" s="365"/>
      <c r="X896" s="365"/>
      <c r="Y896" s="365"/>
    </row>
    <row r="897" spans="2:25" s="4" customFormat="1">
      <c r="B897" s="358">
        <v>8</v>
      </c>
      <c r="C897" s="2" t="s">
        <v>52</v>
      </c>
      <c r="D897" s="2"/>
      <c r="E897" s="2"/>
      <c r="F897" s="365">
        <f t="shared" si="121"/>
        <v>1.8052948131673557E-2</v>
      </c>
      <c r="G897" s="365">
        <f t="shared" si="121"/>
        <v>1.6883072908285474E-2</v>
      </c>
      <c r="H897" s="365">
        <f t="shared" si="121"/>
        <v>1.3856264712138123E-2</v>
      </c>
      <c r="I897" s="365">
        <f t="shared" si="121"/>
        <v>1.1847411655558006E-2</v>
      </c>
      <c r="J897" s="365">
        <f t="shared" si="121"/>
        <v>9.6724870745386413E-3</v>
      </c>
      <c r="K897" s="365">
        <f t="shared" si="121"/>
        <v>7.4041095932063814E-3</v>
      </c>
      <c r="L897" s="365">
        <f t="shared" si="121"/>
        <v>5.0374381290429785E-3</v>
      </c>
      <c r="M897" s="365">
        <f t="shared" si="121"/>
        <v>2.5637629482168213E-3</v>
      </c>
      <c r="N897" s="365">
        <f t="shared" si="121"/>
        <v>0</v>
      </c>
      <c r="O897" s="2"/>
      <c r="W897" s="365"/>
      <c r="X897" s="365"/>
      <c r="Y897" s="365"/>
    </row>
    <row r="898" spans="2:25" s="4" customFormat="1">
      <c r="B898" s="358">
        <v>9</v>
      </c>
      <c r="C898" s="2" t="s">
        <v>53</v>
      </c>
      <c r="D898" s="2"/>
      <c r="E898" s="2"/>
      <c r="F898" s="365">
        <f t="shared" si="121"/>
        <v>3.6105896263347113E-2</v>
      </c>
      <c r="G898" s="365">
        <f t="shared" si="121"/>
        <v>3.3766145816570947E-2</v>
      </c>
      <c r="H898" s="365">
        <f t="shared" si="121"/>
        <v>2.7712529424276246E-2</v>
      </c>
      <c r="I898" s="365">
        <f t="shared" si="121"/>
        <v>2.3694823311116012E-2</v>
      </c>
      <c r="J898" s="365">
        <f t="shared" si="121"/>
        <v>1.9344974149077283E-2</v>
      </c>
      <c r="K898" s="365">
        <f t="shared" si="121"/>
        <v>1.4808219186412763E-2</v>
      </c>
      <c r="L898" s="365">
        <f t="shared" si="121"/>
        <v>1.0074876258085957E-2</v>
      </c>
      <c r="M898" s="365">
        <f t="shared" si="121"/>
        <v>5.1275258964336426E-3</v>
      </c>
      <c r="N898" s="365">
        <f t="shared" si="121"/>
        <v>0</v>
      </c>
      <c r="O898" s="2"/>
      <c r="Q898" s="365"/>
      <c r="W898" s="365"/>
      <c r="X898" s="365"/>
      <c r="Y898" s="365"/>
    </row>
    <row r="899" spans="2:25" s="4" customFormat="1">
      <c r="B899" s="358">
        <v>10</v>
      </c>
      <c r="C899" s="2" t="s">
        <v>54</v>
      </c>
      <c r="D899" s="2"/>
      <c r="E899" s="2"/>
      <c r="F899" s="365">
        <f t="shared" si="121"/>
        <v>0</v>
      </c>
      <c r="G899" s="365">
        <f t="shared" si="121"/>
        <v>0</v>
      </c>
      <c r="H899" s="365">
        <f t="shared" si="121"/>
        <v>0</v>
      </c>
      <c r="I899" s="365">
        <f t="shared" si="121"/>
        <v>0</v>
      </c>
      <c r="J899" s="365">
        <f t="shared" si="121"/>
        <v>0</v>
      </c>
      <c r="K899" s="365">
        <f t="shared" si="121"/>
        <v>0</v>
      </c>
      <c r="L899" s="365">
        <f t="shared" si="121"/>
        <v>0</v>
      </c>
      <c r="M899" s="365">
        <f t="shared" si="121"/>
        <v>0</v>
      </c>
      <c r="N899" s="365">
        <f t="shared" si="121"/>
        <v>0</v>
      </c>
      <c r="O899" s="2"/>
      <c r="W899" s="365"/>
      <c r="X899" s="365"/>
      <c r="Y899" s="365"/>
    </row>
    <row r="900" spans="2:25" s="4" customFormat="1">
      <c r="B900" s="358">
        <v>11</v>
      </c>
      <c r="C900" s="2" t="s">
        <v>55</v>
      </c>
      <c r="D900" s="2"/>
      <c r="E900" s="2"/>
      <c r="F900" s="365">
        <f t="shared" si="121"/>
        <v>0</v>
      </c>
      <c r="G900" s="365">
        <f t="shared" si="121"/>
        <v>0</v>
      </c>
      <c r="H900" s="365">
        <f t="shared" si="121"/>
        <v>0</v>
      </c>
      <c r="I900" s="365">
        <f t="shared" si="121"/>
        <v>0</v>
      </c>
      <c r="J900" s="365">
        <f t="shared" si="121"/>
        <v>0</v>
      </c>
      <c r="K900" s="365">
        <f t="shared" si="121"/>
        <v>0</v>
      </c>
      <c r="L900" s="365">
        <f t="shared" si="121"/>
        <v>0</v>
      </c>
      <c r="M900" s="365">
        <f t="shared" si="121"/>
        <v>0</v>
      </c>
      <c r="N900" s="365">
        <f t="shared" si="121"/>
        <v>0</v>
      </c>
      <c r="O900" s="2"/>
      <c r="W900" s="365"/>
      <c r="X900" s="365"/>
      <c r="Y900" s="365"/>
    </row>
    <row r="901" spans="2:25" s="4" customFormat="1">
      <c r="B901" s="358">
        <v>12</v>
      </c>
      <c r="C901" s="2" t="s">
        <v>56</v>
      </c>
      <c r="D901" s="2"/>
      <c r="E901" s="2"/>
      <c r="F901" s="365">
        <f t="shared" si="121"/>
        <v>0</v>
      </c>
      <c r="G901" s="365">
        <f t="shared" si="121"/>
        <v>0</v>
      </c>
      <c r="H901" s="365">
        <f t="shared" si="121"/>
        <v>0</v>
      </c>
      <c r="I901" s="365">
        <f t="shared" si="121"/>
        <v>0</v>
      </c>
      <c r="J901" s="365">
        <f t="shared" si="121"/>
        <v>0</v>
      </c>
      <c r="K901" s="365">
        <f t="shared" si="121"/>
        <v>0</v>
      </c>
      <c r="L901" s="365">
        <f t="shared" si="121"/>
        <v>0</v>
      </c>
      <c r="M901" s="365">
        <f t="shared" si="121"/>
        <v>0</v>
      </c>
      <c r="N901" s="365">
        <f t="shared" si="121"/>
        <v>0</v>
      </c>
      <c r="O901" s="2"/>
      <c r="W901" s="365"/>
      <c r="X901" s="365"/>
      <c r="Y901" s="365"/>
    </row>
    <row r="902" spans="2:25" s="4" customFormat="1">
      <c r="B902" s="358">
        <v>13</v>
      </c>
      <c r="C902" s="2" t="s">
        <v>57</v>
      </c>
      <c r="D902" s="2"/>
      <c r="E902" s="2"/>
      <c r="F902" s="365">
        <f t="shared" si="121"/>
        <v>0</v>
      </c>
      <c r="G902" s="365">
        <f t="shared" si="121"/>
        <v>0</v>
      </c>
      <c r="H902" s="365">
        <f t="shared" si="121"/>
        <v>0</v>
      </c>
      <c r="I902" s="365">
        <f t="shared" si="121"/>
        <v>0</v>
      </c>
      <c r="J902" s="365">
        <f t="shared" si="121"/>
        <v>0</v>
      </c>
      <c r="K902" s="365">
        <f t="shared" si="121"/>
        <v>0</v>
      </c>
      <c r="L902" s="365">
        <f t="shared" si="121"/>
        <v>0</v>
      </c>
      <c r="M902" s="365">
        <f t="shared" si="121"/>
        <v>0</v>
      </c>
      <c r="N902" s="365">
        <f t="shared" si="121"/>
        <v>0</v>
      </c>
      <c r="O902" s="2"/>
      <c r="W902" s="365"/>
      <c r="X902" s="365"/>
      <c r="Y902" s="365"/>
    </row>
    <row r="903" spans="2:25" s="4" customFormat="1">
      <c r="B903" s="358"/>
      <c r="C903"/>
      <c r="D903"/>
      <c r="E903" s="2"/>
      <c r="F903" s="365"/>
      <c r="G903" s="365"/>
      <c r="H903" s="365"/>
      <c r="I903" s="365"/>
      <c r="J903" s="365"/>
      <c r="K903" s="365"/>
      <c r="L903" s="365"/>
      <c r="M903" s="365"/>
      <c r="N903" s="365"/>
      <c r="O903" s="2"/>
      <c r="W903" s="365"/>
      <c r="X903" s="365"/>
      <c r="Y903" s="365"/>
    </row>
    <row r="904" spans="2:25" s="4" customFormat="1">
      <c r="B904" s="2"/>
      <c r="C904" s="2"/>
      <c r="D904" s="2"/>
      <c r="E904" s="3810" t="str">
        <f>Preferences.EnergyUnits</f>
        <v>TWh</v>
      </c>
      <c r="F904" s="371">
        <f t="shared" ref="F904:N904" si="122">SUM(F890:F903)</f>
        <v>18.034895183541881</v>
      </c>
      <c r="G904" s="371">
        <f t="shared" si="122"/>
        <v>17.830936858707783</v>
      </c>
      <c r="H904" s="371">
        <f t="shared" si="122"/>
        <v>17.075536880258213</v>
      </c>
      <c r="I904" s="371">
        <f t="shared" si="122"/>
        <v>17.522321838570289</v>
      </c>
      <c r="J904" s="371">
        <f t="shared" si="122"/>
        <v>17.884428600821948</v>
      </c>
      <c r="K904" s="371">
        <f t="shared" si="122"/>
        <v>18.256066220315876</v>
      </c>
      <c r="L904" s="371">
        <f t="shared" si="122"/>
        <v>18.633483639329985</v>
      </c>
      <c r="M904" s="371">
        <f t="shared" si="122"/>
        <v>18.969282053856283</v>
      </c>
      <c r="N904" s="371">
        <f t="shared" si="122"/>
        <v>19.31033665693317</v>
      </c>
      <c r="O904" s="2"/>
      <c r="W904" s="365"/>
      <c r="X904" s="365"/>
      <c r="Y904" s="365"/>
    </row>
    <row r="905" spans="2:25" s="4" customFormat="1">
      <c r="B905" s="2"/>
      <c r="C905" s="2"/>
      <c r="D905" s="2"/>
      <c r="E905" s="355"/>
      <c r="F905" s="397"/>
      <c r="G905" s="397"/>
      <c r="H905" s="397"/>
      <c r="I905" s="397"/>
      <c r="J905" s="397"/>
      <c r="K905" s="397"/>
      <c r="L905" s="397"/>
      <c r="M905" s="397"/>
      <c r="N905" s="397"/>
      <c r="O905" s="2"/>
      <c r="W905" s="365"/>
      <c r="X905" s="365"/>
      <c r="Y905" s="365"/>
    </row>
    <row r="906" spans="2:25" s="4" customFormat="1">
      <c r="B906" s="358" t="s">
        <v>95</v>
      </c>
      <c r="C906" s="4" t="s">
        <v>85</v>
      </c>
      <c r="D906" s="2"/>
      <c r="E906" s="2"/>
      <c r="F906" s="365">
        <f t="array" ref="F906">SUM(F$890:F$902/$M$131:$M$143*($B906=$F$130:$N$130)*($F$131:$N$143))</f>
        <v>-0.66495025618330927</v>
      </c>
      <c r="G906" s="365">
        <f t="array" ref="G906">SUM(G$890:G$902/$M$131:$M$143*($B906=$F$130:$N$130)*($F$131:$N$143))</f>
        <v>-0.71833455445490813</v>
      </c>
      <c r="H906" s="365">
        <f t="array" ref="H906">SUM(H$890:H$902/$M$131:$M$143*($B906=$F$130:$N$130)*($F$131:$N$143))</f>
        <v>-0.83368526018031042</v>
      </c>
      <c r="I906" s="365">
        <f t="array" ref="I906">SUM(I$890:I$902/$M$131:$M$143*($B906=$F$130:$N$130)*($F$131:$N$143))</f>
        <v>-1.0050554221131709</v>
      </c>
      <c r="J906" s="365">
        <f t="array" ref="J906">SUM(J$890:J$902/$M$131:$M$143*($B906=$F$130:$N$130)*($F$131:$N$143))</f>
        <v>-1.1784313419146246</v>
      </c>
      <c r="K906" s="365">
        <f t="array" ref="K906">SUM(K$890:K$902/$M$131:$M$143*($B906=$F$130:$N$130)*($F$131:$N$143))</f>
        <v>-1.3586541103533711</v>
      </c>
      <c r="L906" s="365">
        <f t="array" ref="L906">SUM(L$890:L$902/$M$131:$M$143*($B906=$F$130:$N$130)*($F$131:$N$143))</f>
        <v>-1.5456539325946881</v>
      </c>
      <c r="M906" s="365">
        <f t="array" ref="M906">SUM(M$890:M$902/$M$131:$M$143*($B906=$F$130:$N$130)*($F$131:$N$143))</f>
        <v>-1.7352402221180871</v>
      </c>
      <c r="N906" s="365">
        <f t="array" ref="N906">SUM(N$890:N$902/$M$131:$M$143*($B906=$F$130:$N$130)*($F$131:$N$143))</f>
        <v>-1.9310336656933171</v>
      </c>
      <c r="O906" s="2"/>
      <c r="W906" s="365"/>
      <c r="X906" s="365"/>
      <c r="Y906" s="365"/>
    </row>
    <row r="907" spans="2:25" s="4" customFormat="1">
      <c r="B907" s="358" t="s">
        <v>96</v>
      </c>
      <c r="C907" s="4" t="s">
        <v>86</v>
      </c>
      <c r="D907" s="2"/>
      <c r="E907" s="2"/>
      <c r="F907" s="365">
        <f t="array" ref="F907">SUM(F$890:F$902/$M$131:$M$143*($B907=$F$130:$N$130)*($F$131:$N$143))</f>
        <v>0</v>
      </c>
      <c r="G907" s="365">
        <f t="array" ref="G907">SUM(G$890:G$902/$M$131:$M$143*($B907=$F$130:$N$130)*($F$131:$N$143))</f>
        <v>0</v>
      </c>
      <c r="H907" s="365">
        <f t="array" ref="H907">SUM(H$890:H$902/$M$131:$M$143*($B907=$F$130:$N$130)*($F$131:$N$143))</f>
        <v>0</v>
      </c>
      <c r="I907" s="365">
        <f t="array" ref="I907">SUM(I$890:I$902/$M$131:$M$143*($B907=$F$130:$N$130)*($F$131:$N$143))</f>
        <v>0</v>
      </c>
      <c r="J907" s="365">
        <f t="array" ref="J907">SUM(J$890:J$902/$M$131:$M$143*($B907=$F$130:$N$130)*($F$131:$N$143))</f>
        <v>0</v>
      </c>
      <c r="K907" s="365">
        <f t="array" ref="K907">SUM(K$890:K$902/$M$131:$M$143*($B907=$F$130:$N$130)*($F$131:$N$143))</f>
        <v>0</v>
      </c>
      <c r="L907" s="365">
        <f t="array" ref="L907">SUM(L$890:L$902/$M$131:$M$143*($B907=$F$130:$N$130)*($F$131:$N$143))</f>
        <v>0</v>
      </c>
      <c r="M907" s="365">
        <f t="array" ref="M907">SUM(M$890:M$902/$M$131:$M$143*($B907=$F$130:$N$130)*($F$131:$N$143))</f>
        <v>0</v>
      </c>
      <c r="N907" s="365">
        <f t="array" ref="N907">SUM(N$890:N$902/$M$131:$M$143*($B907=$F$130:$N$130)*($F$131:$N$143))</f>
        <v>0</v>
      </c>
      <c r="O907" s="2"/>
      <c r="W907" s="365"/>
      <c r="X907" s="365"/>
      <c r="Y907" s="365"/>
    </row>
    <row r="908" spans="2:25" s="4" customFormat="1">
      <c r="B908" s="358" t="s">
        <v>97</v>
      </c>
      <c r="C908" s="4" t="s">
        <v>87</v>
      </c>
      <c r="D908" s="2"/>
      <c r="E908" s="2"/>
      <c r="F908" s="365">
        <f t="array" ref="F908">SUM(F$890:F$902/$M$131:$M$143*($B908=$F$130:$N$130)*($F$131:$N$143))</f>
        <v>-0.31125772640816474</v>
      </c>
      <c r="G908" s="365">
        <f t="array" ref="G908">SUM(G$890:G$902/$M$131:$M$143*($B908=$F$130:$N$130)*($F$131:$N$143))</f>
        <v>-0.29108746393595641</v>
      </c>
      <c r="H908" s="365">
        <f t="array" ref="H908">SUM(H$890:H$902/$M$131:$M$143*($B908=$F$130:$N$130)*($F$131:$N$143))</f>
        <v>-0.23890111572651934</v>
      </c>
      <c r="I908" s="365">
        <f t="array" ref="I908">SUM(I$890:I$902/$M$131:$M$143*($B908=$F$130:$N$130)*($F$131:$N$143))</f>
        <v>-0.20426571819927597</v>
      </c>
      <c r="J908" s="365">
        <f t="array" ref="J908">SUM(J$890:J$902/$M$131:$M$143*($B908=$F$130:$N$130)*($F$131:$N$143))</f>
        <v>-0.16676701852652831</v>
      </c>
      <c r="K908" s="365">
        <f t="array" ref="K908">SUM(K$890:K$902/$M$131:$M$143*($B908=$F$130:$N$130)*($F$131:$N$143))</f>
        <v>-0.12765706195183416</v>
      </c>
      <c r="L908" s="365">
        <f t="array" ref="L908">SUM(L$890:L$902/$M$131:$M$143*($B908=$F$130:$N$130)*($F$131:$N$143))</f>
        <v>-8.6852381535223788E-2</v>
      </c>
      <c r="M908" s="365">
        <f t="array" ref="M908">SUM(M$890:M$902/$M$131:$M$143*($B908=$F$130:$N$130)*($F$131:$N$143))</f>
        <v>-4.4202809452014179E-2</v>
      </c>
      <c r="N908" s="365">
        <f t="array" ref="N908">SUM(N$890:N$902/$M$131:$M$143*($B908=$F$130:$N$130)*($F$131:$N$143))</f>
        <v>0</v>
      </c>
      <c r="O908" s="2"/>
      <c r="W908" s="365"/>
      <c r="X908" s="365"/>
      <c r="Y908" s="365"/>
    </row>
    <row r="909" spans="2:25" s="4" customFormat="1">
      <c r="B909" s="358" t="s">
        <v>98</v>
      </c>
      <c r="C909" s="4" t="s">
        <v>88</v>
      </c>
      <c r="D909" s="2"/>
      <c r="E909" s="2"/>
      <c r="F909" s="365">
        <f t="array" ref="F909">SUM(F$890:F$902/$M$131:$M$143*($B909=$F$130:$N$130)*($F$131:$N$143))</f>
        <v>-11.520386488150445</v>
      </c>
      <c r="G909" s="365">
        <f t="array" ref="G909">SUM(G$890:G$902/$M$131:$M$143*($B909=$F$130:$N$130)*($F$131:$N$143))</f>
        <v>-10.773837247658461</v>
      </c>
      <c r="H909" s="365">
        <f t="array" ref="H909">SUM(H$890:H$902/$M$131:$M$143*($B909=$F$130:$N$130)*($F$131:$N$143))</f>
        <v>-8.8422967596015436</v>
      </c>
      <c r="I909" s="365">
        <f t="array" ref="I909">SUM(I$890:I$902/$M$131:$M$143*($B909=$F$130:$N$130)*($F$131:$N$143))</f>
        <v>-7.5603585719488731</v>
      </c>
      <c r="J909" s="365">
        <f t="array" ref="J909">SUM(J$890:J$902/$M$131:$M$143*($B909=$F$130:$N$130)*($F$131:$N$143))</f>
        <v>-6.17244278261796</v>
      </c>
      <c r="K909" s="365">
        <f t="array" ref="K909">SUM(K$890:K$902/$M$131:$M$143*($B909=$F$130:$N$130)*($F$131:$N$143))</f>
        <v>-4.7248905548399511</v>
      </c>
      <c r="L909" s="365">
        <f t="array" ref="L909">SUM(L$890:L$902/$M$131:$M$143*($B909=$F$130:$N$130)*($F$131:$N$143))</f>
        <v>-3.2146125792552644</v>
      </c>
      <c r="M909" s="365">
        <f t="array" ref="M909">SUM(M$890:M$902/$M$131:$M$143*($B909=$F$130:$N$130)*($F$131:$N$143))</f>
        <v>-1.6360507886043452</v>
      </c>
      <c r="N909" s="365">
        <f t="array" ref="N909">SUM(N$890:N$902/$M$131:$M$143*($B909=$F$130:$N$130)*($F$131:$N$143))</f>
        <v>0</v>
      </c>
      <c r="O909" s="2"/>
      <c r="W909" s="365"/>
      <c r="X909" s="365"/>
      <c r="Y909" s="365"/>
    </row>
    <row r="910" spans="2:25" s="4" customFormat="1">
      <c r="B910" s="358" t="s">
        <v>99</v>
      </c>
      <c r="C910" s="4" t="s">
        <v>89</v>
      </c>
      <c r="D910" s="2"/>
      <c r="E910" s="2"/>
      <c r="F910" s="365">
        <f t="array" ref="F910">SUM(F$890:F$902/$M$131:$M$143*($B910=$F$130:$N$130)*($F$131:$N$143))</f>
        <v>-7.1329505587928228</v>
      </c>
      <c r="G910" s="365">
        <f t="array" ref="G910">SUM(G$890:G$902/$M$131:$M$143*($B910=$F$130:$N$130)*($F$131:$N$143))</f>
        <v>-7.6248633124294658</v>
      </c>
      <c r="H910" s="365">
        <f t="array" ref="H910">SUM(H$890:H$902/$M$131:$M$143*($B910=$F$130:$N$130)*($F$131:$N$143))</f>
        <v>-8.6723868468711807</v>
      </c>
      <c r="I910" s="365">
        <f t="array" ref="I910">SUM(I$890:I$902/$M$131:$M$143*($B910=$F$130:$N$130)*($F$131:$N$143))</f>
        <v>-10.305329531160478</v>
      </c>
      <c r="J910" s="365">
        <f t="array" ref="J910">SUM(J$890:J$902/$M$131:$M$143*($B910=$F$130:$N$130)*($F$131:$N$143))</f>
        <v>-11.952989883061301</v>
      </c>
      <c r="K910" s="365">
        <f t="array" ref="K910">SUM(K$890:K$902/$M$131:$M$143*($B910=$F$130:$N$130)*($F$131:$N$143))</f>
        <v>-13.665485441504078</v>
      </c>
      <c r="L910" s="365">
        <f t="array" ref="L910">SUM(L$890:L$902/$M$131:$M$143*($B910=$F$130:$N$130)*($F$131:$N$143))</f>
        <v>-15.441976691525248</v>
      </c>
      <c r="M910" s="365">
        <f t="array" ref="M910">SUM(M$890:M$902/$M$131:$M$143*($B910=$F$130:$N$130)*($F$131:$N$143))</f>
        <v>-17.240749776378973</v>
      </c>
      <c r="N910" s="365">
        <f t="array" ref="N910">SUM(N$890:N$902/$M$131:$M$143*($B910=$F$130:$N$130)*($F$131:$N$143))</f>
        <v>-19.098135155208631</v>
      </c>
      <c r="O910" s="2"/>
      <c r="W910" s="365"/>
      <c r="X910" s="365"/>
      <c r="Y910" s="365"/>
    </row>
    <row r="911" spans="2:25" s="4" customFormat="1">
      <c r="B911" s="358" t="s">
        <v>100</v>
      </c>
      <c r="C911" s="4" t="s">
        <v>90</v>
      </c>
      <c r="D911" s="2"/>
      <c r="E911" s="2"/>
      <c r="F911" s="365">
        <f t="array" ref="F911">SUM(F$890:F$902/$M$131:$M$143*($B911=$F$130:$N$130)*($F$131:$N$143))</f>
        <v>0</v>
      </c>
      <c r="G911" s="365">
        <f t="array" ref="G911">SUM(G$890:G$902/$M$131:$M$143*($B911=$F$130:$N$130)*($F$131:$N$143))</f>
        <v>0</v>
      </c>
      <c r="H911" s="365">
        <f t="array" ref="H911">SUM(H$890:H$902/$M$131:$M$143*($B911=$F$130:$N$130)*($F$131:$N$143))</f>
        <v>0</v>
      </c>
      <c r="I911" s="365">
        <f t="array" ref="I911">SUM(I$890:I$902/$M$131:$M$143*($B911=$F$130:$N$130)*($F$131:$N$143))</f>
        <v>0</v>
      </c>
      <c r="J911" s="365">
        <f t="array" ref="J911">SUM(J$890:J$902/$M$131:$M$143*($B911=$F$130:$N$130)*($F$131:$N$143))</f>
        <v>0</v>
      </c>
      <c r="K911" s="365">
        <f t="array" ref="K911">SUM(K$890:K$902/$M$131:$M$143*($B911=$F$130:$N$130)*($F$131:$N$143))</f>
        <v>0</v>
      </c>
      <c r="L911" s="365">
        <f t="array" ref="L911">SUM(L$890:L$902/$M$131:$M$143*($B911=$F$130:$N$130)*($F$131:$N$143))</f>
        <v>0</v>
      </c>
      <c r="M911" s="365">
        <f t="array" ref="M911">SUM(M$890:M$902/$M$131:$M$143*($B911=$F$130:$N$130)*($F$131:$N$143))</f>
        <v>0</v>
      </c>
      <c r="N911" s="365">
        <f t="array" ref="N911">SUM(N$890:N$902/$M$131:$M$143*($B911=$F$130:$N$130)*($F$131:$N$143))</f>
        <v>0</v>
      </c>
      <c r="O911" s="2"/>
      <c r="W911" s="365"/>
      <c r="X911" s="365"/>
      <c r="Y911" s="365"/>
    </row>
    <row r="912" spans="2:25" s="4" customFormat="1">
      <c r="B912" s="358" t="s">
        <v>101</v>
      </c>
      <c r="C912" s="4" t="s">
        <v>91</v>
      </c>
      <c r="D912" s="2"/>
      <c r="E912" s="2"/>
      <c r="F912" s="365">
        <f t="array" ref="F912">SUM(F$890:F$902/$M$131:$M$143*($B912=$F$130:$N$130)*($F$131:$N$143))</f>
        <v>-3.9114720951959371E-2</v>
      </c>
      <c r="G912" s="365">
        <f t="array" ref="G912">SUM(G$890:G$902/$M$131:$M$143*($B912=$F$130:$N$130)*($F$131:$N$143))</f>
        <v>-3.657999130128519E-2</v>
      </c>
      <c r="H912" s="365">
        <f t="array" ref="H912">SUM(H$890:H$902/$M$131:$M$143*($B912=$F$130:$N$130)*($F$131:$N$143))</f>
        <v>-3.002190687629927E-2</v>
      </c>
      <c r="I912" s="365">
        <f t="array" ref="I912">SUM(I$890:I$902/$M$131:$M$143*($B912=$F$130:$N$130)*($F$131:$N$143))</f>
        <v>-2.5669391920375678E-2</v>
      </c>
      <c r="J912" s="365">
        <f t="array" ref="J912">SUM(J$890:J$902/$M$131:$M$143*($B912=$F$130:$N$130)*($F$131:$N$143))</f>
        <v>-2.0957055328167058E-2</v>
      </c>
      <c r="K912" s="365">
        <f t="array" ref="K912">SUM(K$890:K$902/$M$131:$M$143*($B912=$F$130:$N$130)*($F$131:$N$143))</f>
        <v>-1.6042237451947161E-2</v>
      </c>
      <c r="L912" s="365">
        <f t="array" ref="L912">SUM(L$890:L$902/$M$131:$M$143*($B912=$F$130:$N$130)*($F$131:$N$143))</f>
        <v>-1.0914449279593119E-2</v>
      </c>
      <c r="M912" s="365">
        <f t="array" ref="M912">SUM(M$890:M$902/$M$131:$M$143*($B912=$F$130:$N$130)*($F$131:$N$143))</f>
        <v>-5.5548197211364456E-3</v>
      </c>
      <c r="N912" s="365">
        <f t="array" ref="N912">SUM(N$890:N$902/$M$131:$M$143*($B912=$F$130:$N$130)*($F$131:$N$143))</f>
        <v>0</v>
      </c>
      <c r="O912"/>
      <c r="W912" s="365"/>
      <c r="X912" s="365"/>
      <c r="Y912" s="365"/>
    </row>
    <row r="913" spans="2:25" s="4" customFormat="1">
      <c r="B913" s="358" t="s">
        <v>102</v>
      </c>
      <c r="C913" s="4" t="s">
        <v>92</v>
      </c>
      <c r="D913" s="2"/>
      <c r="E913" s="2"/>
      <c r="F913" s="365">
        <f t="array" ref="F913">SUM(F$890:F$902/$M$131:$M$143*($B913=$F$130:$N$130)*($F$131:$N$143))</f>
        <v>18.034895183541881</v>
      </c>
      <c r="G913" s="365">
        <f t="array" ref="G913">SUM(G$890:G$902/$M$131:$M$143*($B913=$F$130:$N$130)*($F$131:$N$143))</f>
        <v>17.830936858707783</v>
      </c>
      <c r="H913" s="365">
        <f t="array" ref="H913">SUM(H$890:H$902/$M$131:$M$143*($B913=$F$130:$N$130)*($F$131:$N$143))</f>
        <v>17.075536880258213</v>
      </c>
      <c r="I913" s="365">
        <f t="array" ref="I913">SUM(I$890:I$902/$M$131:$M$143*($B913=$F$130:$N$130)*($F$131:$N$143))</f>
        <v>17.522321838570289</v>
      </c>
      <c r="J913" s="365">
        <f t="array" ref="J913">SUM(J$890:J$902/$M$131:$M$143*($B913=$F$130:$N$130)*($F$131:$N$143))</f>
        <v>17.884428600821948</v>
      </c>
      <c r="K913" s="365">
        <f t="array" ref="K913">SUM(K$890:K$902/$M$131:$M$143*($B913=$F$130:$N$130)*($F$131:$N$143))</f>
        <v>18.256066220315876</v>
      </c>
      <c r="L913" s="365">
        <f t="array" ref="L913">SUM(L$890:L$902/$M$131:$M$143*($B913=$F$130:$N$130)*($F$131:$N$143))</f>
        <v>18.633483639329985</v>
      </c>
      <c r="M913" s="365">
        <f t="array" ref="M913">SUM(M$890:M$902/$M$131:$M$143*($B913=$F$130:$N$130)*($F$131:$N$143))</f>
        <v>18.969282053856283</v>
      </c>
      <c r="N913" s="365">
        <f t="array" ref="N913">SUM(N$890:N$902/$M$131:$M$143*($B913=$F$130:$N$130)*($F$131:$N$143))</f>
        <v>19.31033665693317</v>
      </c>
      <c r="O913" s="2"/>
      <c r="W913" s="365"/>
      <c r="X913" s="365"/>
      <c r="Y913" s="365"/>
    </row>
    <row r="914" spans="2:25" s="4" customFormat="1">
      <c r="B914" s="358" t="s">
        <v>103</v>
      </c>
      <c r="C914" s="4" t="s">
        <v>93</v>
      </c>
      <c r="D914" s="2"/>
      <c r="E914" s="2"/>
      <c r="F914" s="365">
        <f t="array" ref="F914">SUM(F$890:F$902/$M$131:$M$143*($B914=$F$130:$N$130)*($F$131:$N$143))</f>
        <v>1.6337645669448178</v>
      </c>
      <c r="G914" s="365">
        <f t="array" ref="G914">SUM(G$890:G$902/$M$131:$M$143*($B914=$F$130:$N$130)*($F$131:$N$143))</f>
        <v>1.6137657110722903</v>
      </c>
      <c r="H914" s="365">
        <f t="array" ref="H914">SUM(H$890:H$902/$M$131:$M$143*($B914=$F$130:$N$130)*($F$131:$N$143))</f>
        <v>1.54175500899764</v>
      </c>
      <c r="I914" s="365">
        <f t="array" ref="I914">SUM(I$890:I$902/$M$131:$M$143*($B914=$F$130:$N$130)*($F$131:$N$143))</f>
        <v>1.5783567967718797</v>
      </c>
      <c r="J914" s="365">
        <f t="array" ref="J914">SUM(J$890:J$902/$M$131:$M$143*($B914=$F$130:$N$130)*($F$131:$N$143))</f>
        <v>1.6071594806266301</v>
      </c>
      <c r="K914" s="365">
        <f t="array" ref="K914">SUM(K$890:K$902/$M$131:$M$143*($B914=$F$130:$N$130)*($F$131:$N$143))</f>
        <v>1.6366631857853076</v>
      </c>
      <c r="L914" s="365">
        <f t="array" ref="L914">SUM(L$890:L$902/$M$131:$M$143*($B914=$F$130:$N$130)*($F$131:$N$143))</f>
        <v>1.6665263948600306</v>
      </c>
      <c r="M914" s="365">
        <f t="array" ref="M914">SUM(M$890:M$902/$M$131:$M$143*($B914=$F$130:$N$130)*($F$131:$N$143))</f>
        <v>1.6925163624182751</v>
      </c>
      <c r="N914" s="365">
        <f t="array" ref="N914">SUM(N$890:N$902/$M$131:$M$143*($B914=$F$130:$N$130)*($F$131:$N$143))</f>
        <v>1.7188321639687767</v>
      </c>
      <c r="O914" s="2"/>
      <c r="W914" s="365"/>
      <c r="X914" s="365"/>
      <c r="Y914" s="365"/>
    </row>
    <row r="915" spans="2:25" s="4" customFormat="1">
      <c r="E915" s="3810" t="str">
        <f>Preferences.EnergyUnits</f>
        <v>TWh</v>
      </c>
      <c r="F915" s="371">
        <f t="shared" ref="F915:N915" si="123">SUM(F906:F914)</f>
        <v>0</v>
      </c>
      <c r="G915" s="371">
        <f t="shared" si="123"/>
        <v>-3.1086244689504383E-15</v>
      </c>
      <c r="H915" s="371">
        <f t="shared" si="123"/>
        <v>0</v>
      </c>
      <c r="I915" s="371">
        <f t="shared" si="123"/>
        <v>-1.9984014443252818E-15</v>
      </c>
      <c r="J915" s="371">
        <f t="shared" si="123"/>
        <v>-4.6629367034256575E-15</v>
      </c>
      <c r="K915" s="371">
        <f t="shared" si="123"/>
        <v>1.7763568394002505E-15</v>
      </c>
      <c r="L915" s="371">
        <f t="shared" si="123"/>
        <v>0</v>
      </c>
      <c r="M915" s="371">
        <f t="shared" si="123"/>
        <v>0</v>
      </c>
      <c r="N915" s="371">
        <f t="shared" si="123"/>
        <v>0</v>
      </c>
      <c r="O915" s="2"/>
      <c r="W915" s="365"/>
      <c r="X915" s="365"/>
      <c r="Y915" s="365"/>
    </row>
    <row r="916" spans="2:25" s="4" customFormat="1">
      <c r="C916" s="398"/>
      <c r="O916" s="2"/>
      <c r="W916" s="365"/>
      <c r="X916" s="365"/>
      <c r="Y916" s="365"/>
    </row>
    <row r="917" spans="2:25" s="4" customFormat="1">
      <c r="B917" s="2"/>
      <c r="C917" s="2"/>
      <c r="D917" s="2"/>
      <c r="E917" s="2"/>
      <c r="F917" s="365"/>
      <c r="G917" s="2"/>
      <c r="H917" s="2"/>
      <c r="I917" s="2"/>
      <c r="J917" s="2"/>
      <c r="K917" s="2"/>
      <c r="L917" s="2"/>
      <c r="M917" s="2"/>
      <c r="N917" s="2"/>
      <c r="O917" s="2"/>
      <c r="W917" s="365"/>
      <c r="X917" s="365"/>
      <c r="Y917" s="365"/>
    </row>
    <row r="918" spans="2:25" s="4" customFormat="1">
      <c r="B918" s="2"/>
      <c r="C918" s="2"/>
      <c r="D918" s="2"/>
      <c r="E918" s="2"/>
      <c r="F918" s="365"/>
      <c r="G918" s="2"/>
      <c r="H918" s="2"/>
      <c r="I918" s="2"/>
      <c r="J918" s="2"/>
      <c r="K918" s="2"/>
      <c r="L918" s="2"/>
      <c r="M918" s="2"/>
      <c r="N918" s="2"/>
      <c r="O918" s="2"/>
      <c r="W918" s="365"/>
      <c r="X918" s="365"/>
      <c r="Y918" s="365"/>
    </row>
    <row r="919" spans="2:25" s="4" customFormat="1">
      <c r="B919" s="2"/>
      <c r="C919" s="2"/>
      <c r="D919" s="2"/>
      <c r="E919" s="2"/>
      <c r="F919" s="365"/>
      <c r="G919" s="2"/>
      <c r="H919" s="2"/>
      <c r="I919" s="2"/>
      <c r="J919" s="2"/>
      <c r="K919" s="2"/>
      <c r="L919" s="2"/>
      <c r="M919" s="2"/>
      <c r="N919" s="2"/>
      <c r="O919" s="2"/>
      <c r="W919" s="365"/>
      <c r="X919" s="365"/>
      <c r="Y919" s="365"/>
    </row>
    <row r="920" spans="2:25" s="4" customFormat="1">
      <c r="B920" s="399">
        <v>5</v>
      </c>
      <c r="C920" s="399" t="s">
        <v>244</v>
      </c>
      <c r="D920" s="38"/>
      <c r="E920" s="355"/>
      <c r="F920" s="356">
        <v>2013</v>
      </c>
      <c r="G920" s="356">
        <v>2015</v>
      </c>
      <c r="H920" s="356">
        <v>2020</v>
      </c>
      <c r="I920" s="356">
        <v>2025</v>
      </c>
      <c r="J920" s="356">
        <v>2030</v>
      </c>
      <c r="K920" s="356">
        <v>2035</v>
      </c>
      <c r="L920" s="356">
        <v>2040</v>
      </c>
      <c r="M920" s="356">
        <v>2045</v>
      </c>
      <c r="N920" s="356">
        <v>2050</v>
      </c>
      <c r="O920" s="2"/>
      <c r="W920" s="365"/>
      <c r="X920" s="365"/>
      <c r="Y920" s="365"/>
    </row>
    <row r="921" spans="2:25" s="4" customFormat="1" hidden="1">
      <c r="B921" s="2"/>
      <c r="C921" s="2"/>
      <c r="D921" s="2"/>
      <c r="E921" s="2"/>
      <c r="F921" s="365"/>
      <c r="G921" s="2"/>
      <c r="H921" s="2"/>
      <c r="I921" s="2"/>
      <c r="J921" s="2"/>
      <c r="K921" s="2"/>
      <c r="L921" s="2"/>
      <c r="M921" s="2"/>
      <c r="N921" s="2"/>
      <c r="O921" s="2"/>
      <c r="W921" s="365"/>
      <c r="X921" s="365"/>
      <c r="Y921" s="365"/>
    </row>
    <row r="922" spans="2:25" s="4" customFormat="1" hidden="1">
      <c r="B922" s="2"/>
      <c r="C922" s="354" t="s">
        <v>245</v>
      </c>
      <c r="D922" s="2"/>
      <c r="E922" s="355" t="s">
        <v>27</v>
      </c>
      <c r="F922" s="400"/>
      <c r="G922" s="400"/>
      <c r="H922" s="400"/>
      <c r="I922" s="400"/>
      <c r="J922" s="400"/>
      <c r="K922" s="400"/>
      <c r="L922" s="400"/>
      <c r="M922" s="400"/>
      <c r="N922" s="400"/>
      <c r="O922" s="2"/>
      <c r="W922" s="365"/>
      <c r="X922" s="365"/>
      <c r="Y922" s="365"/>
    </row>
    <row r="923" spans="2:25" s="4" customFormat="1" hidden="1">
      <c r="B923" s="2"/>
      <c r="C923" s="2">
        <v>1</v>
      </c>
      <c r="D923" s="2" t="s">
        <v>60</v>
      </c>
      <c r="E923" s="355"/>
      <c r="F923" s="400"/>
      <c r="G923" s="400"/>
      <c r="H923" s="400"/>
      <c r="I923" s="400"/>
      <c r="J923" s="400"/>
      <c r="K923" s="400"/>
      <c r="L923" s="400"/>
      <c r="M923" s="400"/>
      <c r="N923" s="400"/>
      <c r="O923" s="2"/>
      <c r="W923" s="365"/>
      <c r="X923" s="365"/>
      <c r="Y923" s="365"/>
    </row>
    <row r="924" spans="2:25" s="4" customFormat="1" hidden="1">
      <c r="B924" s="2"/>
      <c r="C924" s="2">
        <v>2</v>
      </c>
      <c r="D924" s="2" t="s">
        <v>61</v>
      </c>
      <c r="E924" s="355"/>
      <c r="F924" s="401"/>
      <c r="G924" s="401"/>
      <c r="H924" s="401"/>
      <c r="I924" s="401"/>
      <c r="J924" s="401"/>
      <c r="K924" s="401"/>
      <c r="L924" s="401"/>
      <c r="M924" s="401"/>
      <c r="N924" s="401"/>
      <c r="O924" s="2"/>
      <c r="W924" s="365"/>
      <c r="X924" s="365"/>
      <c r="Y924" s="365"/>
    </row>
    <row r="925" spans="2:25" s="4" customFormat="1" hidden="1">
      <c r="B925" s="2"/>
      <c r="C925" s="2">
        <v>3</v>
      </c>
      <c r="D925" s="2" t="s">
        <v>62</v>
      </c>
      <c r="E925" s="355"/>
      <c r="F925" s="401"/>
      <c r="G925" s="401"/>
      <c r="H925" s="401"/>
      <c r="I925" s="401"/>
      <c r="J925" s="401"/>
      <c r="K925" s="401"/>
      <c r="L925" s="401"/>
      <c r="M925" s="401"/>
      <c r="N925" s="401"/>
      <c r="O925" s="2"/>
      <c r="W925" s="365"/>
      <c r="X925" s="365"/>
      <c r="Y925" s="365"/>
    </row>
    <row r="926" spans="2:25" s="4" customFormat="1" hidden="1">
      <c r="B926" s="2"/>
      <c r="C926" s="2"/>
      <c r="D926" s="2"/>
      <c r="E926" s="355"/>
      <c r="F926" s="401"/>
      <c r="G926" s="401"/>
      <c r="H926" s="401"/>
      <c r="I926" s="401"/>
      <c r="J926" s="401"/>
      <c r="K926" s="401"/>
      <c r="L926" s="401"/>
      <c r="M926" s="401"/>
      <c r="N926" s="401"/>
      <c r="O926" s="2"/>
      <c r="W926" s="365"/>
      <c r="X926" s="365"/>
      <c r="Y926" s="365"/>
    </row>
    <row r="927" spans="2:25" s="4" customFormat="1" hidden="1">
      <c r="B927" s="2"/>
      <c r="C927" s="2"/>
      <c r="D927" s="2"/>
      <c r="E927" s="355"/>
      <c r="F927" s="401"/>
      <c r="G927" s="401"/>
      <c r="H927" s="401"/>
      <c r="I927" s="401"/>
      <c r="J927" s="401"/>
      <c r="K927" s="401"/>
      <c r="L927" s="401"/>
      <c r="M927" s="401" t="s">
        <v>5</v>
      </c>
      <c r="N927" s="401"/>
      <c r="O927" s="2"/>
      <c r="W927" s="365"/>
      <c r="X927" s="365"/>
      <c r="Y927" s="365"/>
    </row>
    <row r="928" spans="2:25" s="4" customFormat="1" hidden="1">
      <c r="B928" s="2"/>
      <c r="C928" s="354" t="s">
        <v>246</v>
      </c>
      <c r="D928" s="2"/>
      <c r="E928" s="355"/>
      <c r="F928" s="400"/>
      <c r="G928" s="400"/>
      <c r="H928" s="400"/>
      <c r="I928" s="400"/>
      <c r="J928" s="400"/>
      <c r="K928" s="400"/>
      <c r="L928" s="400"/>
      <c r="M928" s="400"/>
      <c r="N928" s="400"/>
      <c r="O928" s="2"/>
      <c r="W928" s="365"/>
      <c r="X928" s="365"/>
      <c r="Y928" s="365"/>
    </row>
    <row r="929" spans="2:25" s="4" customFormat="1" hidden="1">
      <c r="B929" s="2"/>
      <c r="C929" s="2"/>
      <c r="D929" s="2"/>
      <c r="E929" s="358"/>
      <c r="F929" s="401"/>
      <c r="G929" s="401"/>
      <c r="H929" s="401"/>
      <c r="I929" s="401"/>
      <c r="J929" s="401"/>
      <c r="K929" s="401"/>
      <c r="L929" s="401"/>
      <c r="M929" s="401"/>
      <c r="N929" s="401"/>
      <c r="O929" s="2"/>
      <c r="W929" s="365"/>
      <c r="X929" s="365"/>
      <c r="Y929" s="365"/>
    </row>
    <row r="930" spans="2:25" s="4" customFormat="1" hidden="1">
      <c r="B930" s="358" t="s">
        <v>95</v>
      </c>
      <c r="C930" s="4" t="s">
        <v>85</v>
      </c>
      <c r="D930" s="2"/>
      <c r="E930" s="358"/>
      <c r="F930" s="365"/>
      <c r="G930" s="365"/>
      <c r="H930" s="365"/>
      <c r="I930" s="365"/>
      <c r="J930" s="365"/>
      <c r="K930" s="365"/>
      <c r="L930" s="365"/>
      <c r="M930" s="365"/>
      <c r="N930" s="365"/>
      <c r="O930" s="2"/>
      <c r="W930" s="365"/>
      <c r="X930" s="365"/>
      <c r="Y930" s="365"/>
    </row>
    <row r="931" spans="2:25" s="4" customFormat="1" hidden="1">
      <c r="B931" s="358" t="s">
        <v>96</v>
      </c>
      <c r="C931" s="4" t="s">
        <v>86</v>
      </c>
      <c r="D931" s="2"/>
      <c r="E931" s="358"/>
      <c r="F931" s="365"/>
      <c r="G931" s="365"/>
      <c r="H931" s="365"/>
      <c r="I931" s="365"/>
      <c r="J931" s="365"/>
      <c r="K931" s="365"/>
      <c r="L931" s="365"/>
      <c r="M931" s="365"/>
      <c r="N931" s="365"/>
      <c r="O931" s="2"/>
      <c r="W931" s="365"/>
      <c r="X931" s="365"/>
      <c r="Y931" s="365"/>
    </row>
    <row r="932" spans="2:25" s="4" customFormat="1" hidden="1">
      <c r="B932" s="358" t="s">
        <v>97</v>
      </c>
      <c r="C932" s="4" t="s">
        <v>87</v>
      </c>
      <c r="D932" s="2"/>
      <c r="E932" s="358"/>
      <c r="F932" s="365"/>
      <c r="G932" s="365"/>
      <c r="H932" s="365"/>
      <c r="I932" s="365"/>
      <c r="J932" s="365"/>
      <c r="K932" s="365"/>
      <c r="L932" s="365"/>
      <c r="M932" s="365"/>
      <c r="N932" s="365"/>
      <c r="O932" s="2"/>
      <c r="W932" s="365"/>
      <c r="X932" s="365"/>
      <c r="Y932" s="365"/>
    </row>
    <row r="933" spans="2:25" s="4" customFormat="1" hidden="1">
      <c r="B933" s="358" t="s">
        <v>98</v>
      </c>
      <c r="C933" s="4" t="s">
        <v>88</v>
      </c>
      <c r="D933" s="2"/>
      <c r="E933" s="358"/>
      <c r="F933" s="365"/>
      <c r="G933" s="365"/>
      <c r="H933" s="365"/>
      <c r="I933" s="365"/>
      <c r="J933" s="365"/>
      <c r="K933" s="365"/>
      <c r="L933" s="365"/>
      <c r="M933" s="365"/>
      <c r="N933" s="365"/>
      <c r="O933" s="2"/>
      <c r="W933" s="365"/>
      <c r="X933" s="365"/>
      <c r="Y933" s="365"/>
    </row>
    <row r="934" spans="2:25" s="4" customFormat="1" hidden="1">
      <c r="B934" s="358" t="s">
        <v>99</v>
      </c>
      <c r="C934" s="4" t="s">
        <v>89</v>
      </c>
      <c r="D934" s="2"/>
      <c r="E934" s="358"/>
      <c r="F934" s="365"/>
      <c r="G934" s="365"/>
      <c r="H934" s="365"/>
      <c r="I934" s="365"/>
      <c r="J934" s="365"/>
      <c r="K934" s="365"/>
      <c r="L934" s="365"/>
      <c r="M934" s="365"/>
      <c r="N934" s="365"/>
      <c r="O934" s="2"/>
      <c r="W934" s="365"/>
      <c r="X934" s="365"/>
      <c r="Y934" s="365"/>
    </row>
    <row r="935" spans="2:25" s="4" customFormat="1" hidden="1">
      <c r="B935" s="358" t="s">
        <v>100</v>
      </c>
      <c r="C935" s="4" t="s">
        <v>90</v>
      </c>
      <c r="D935" s="2"/>
      <c r="E935" s="358"/>
      <c r="F935" s="365"/>
      <c r="G935" s="365"/>
      <c r="H935" s="365"/>
      <c r="I935" s="365"/>
      <c r="J935" s="365"/>
      <c r="K935" s="365"/>
      <c r="L935" s="365"/>
      <c r="M935" s="365"/>
      <c r="N935" s="365"/>
      <c r="O935" s="2"/>
      <c r="W935" s="365"/>
      <c r="X935" s="365"/>
      <c r="Y935" s="365"/>
    </row>
    <row r="936" spans="2:25" s="4" customFormat="1" hidden="1">
      <c r="B936" s="358" t="s">
        <v>101</v>
      </c>
      <c r="C936" s="4" t="s">
        <v>91</v>
      </c>
      <c r="D936" s="2"/>
      <c r="E936" s="358"/>
      <c r="F936" s="365"/>
      <c r="G936" s="365"/>
      <c r="H936" s="365"/>
      <c r="I936" s="365"/>
      <c r="J936" s="365"/>
      <c r="K936" s="365"/>
      <c r="L936" s="365"/>
      <c r="M936" s="365"/>
      <c r="N936" s="365"/>
      <c r="O936" s="2"/>
      <c r="W936" s="365"/>
      <c r="X936" s="365"/>
      <c r="Y936" s="365"/>
    </row>
    <row r="937" spans="2:25" s="4" customFormat="1" hidden="1">
      <c r="B937" s="358" t="s">
        <v>102</v>
      </c>
      <c r="C937" s="4" t="s">
        <v>92</v>
      </c>
      <c r="D937" s="2"/>
      <c r="E937" s="358"/>
      <c r="F937" s="365"/>
      <c r="G937" s="365"/>
      <c r="H937" s="365"/>
      <c r="I937" s="365"/>
      <c r="J937" s="365"/>
      <c r="K937" s="365"/>
      <c r="L937" s="365"/>
      <c r="M937" s="365"/>
      <c r="N937" s="365"/>
      <c r="O937" s="2"/>
      <c r="W937" s="365"/>
      <c r="X937" s="365"/>
      <c r="Y937" s="365"/>
    </row>
    <row r="938" spans="2:25" s="4" customFormat="1" hidden="1">
      <c r="B938" s="358" t="s">
        <v>103</v>
      </c>
      <c r="C938" s="4" t="s">
        <v>93</v>
      </c>
      <c r="D938" s="2"/>
      <c r="E938" s="358"/>
      <c r="F938" s="365"/>
      <c r="G938" s="365"/>
      <c r="H938" s="365"/>
      <c r="I938" s="365"/>
      <c r="J938" s="365"/>
      <c r="K938" s="365"/>
      <c r="L938" s="365"/>
      <c r="M938" s="365"/>
      <c r="N938" s="365"/>
      <c r="O938" s="2"/>
      <c r="W938" s="365"/>
      <c r="X938" s="365"/>
      <c r="Y938" s="365"/>
    </row>
    <row r="939" spans="2:25" s="4" customFormat="1" hidden="1">
      <c r="B939" s="358"/>
      <c r="D939" s="2"/>
      <c r="E939" s="355" t="s">
        <v>27</v>
      </c>
      <c r="F939" s="371">
        <f>SUM(F930:F938)</f>
        <v>0</v>
      </c>
      <c r="G939" s="371">
        <f t="shared" ref="G939:N939" si="124">SUM(G930:G938)</f>
        <v>0</v>
      </c>
      <c r="H939" s="371">
        <f t="shared" si="124"/>
        <v>0</v>
      </c>
      <c r="I939" s="371">
        <f t="shared" si="124"/>
        <v>0</v>
      </c>
      <c r="J939" s="371">
        <f t="shared" si="124"/>
        <v>0</v>
      </c>
      <c r="K939" s="371">
        <f t="shared" si="124"/>
        <v>0</v>
      </c>
      <c r="L939" s="371">
        <f t="shared" si="124"/>
        <v>0</v>
      </c>
      <c r="M939" s="371">
        <f t="shared" si="124"/>
        <v>0</v>
      </c>
      <c r="N939" s="371">
        <f t="shared" si="124"/>
        <v>0</v>
      </c>
      <c r="O939" s="2"/>
      <c r="W939" s="365"/>
      <c r="X939" s="365"/>
      <c r="Y939" s="365"/>
    </row>
    <row r="940" spans="2:25" s="4" customFormat="1" hidden="1">
      <c r="B940" s="358"/>
      <c r="D940" s="2"/>
      <c r="E940" s="358"/>
      <c r="F940" s="401"/>
      <c r="G940" s="401"/>
      <c r="H940" s="401"/>
      <c r="I940" s="401"/>
      <c r="J940" s="401"/>
      <c r="K940" s="401"/>
      <c r="L940" s="401"/>
      <c r="M940" s="401"/>
      <c r="N940" s="401"/>
      <c r="O940" s="2"/>
      <c r="W940" s="365"/>
      <c r="X940" s="365"/>
      <c r="Y940" s="365"/>
    </row>
    <row r="941" spans="2:25" s="4" customFormat="1" hidden="1">
      <c r="B941" s="2"/>
      <c r="C941" s="354" t="s">
        <v>247</v>
      </c>
      <c r="D941" s="2"/>
      <c r="E941" s="355"/>
      <c r="F941" s="400"/>
      <c r="G941" s="400"/>
      <c r="H941" s="400"/>
      <c r="I941" s="400"/>
      <c r="J941" s="400"/>
      <c r="K941" s="400"/>
      <c r="L941" s="400"/>
      <c r="M941" s="400"/>
      <c r="N941" s="400"/>
      <c r="O941" s="2"/>
      <c r="W941" s="365"/>
      <c r="X941" s="365"/>
      <c r="Y941" s="365"/>
    </row>
    <row r="942" spans="2:25" s="4" customFormat="1" hidden="1">
      <c r="B942" s="2"/>
      <c r="C942" s="2"/>
      <c r="D942" s="2"/>
      <c r="E942" s="358"/>
      <c r="F942" s="401"/>
      <c r="G942" s="401"/>
      <c r="H942" s="401"/>
      <c r="I942" s="401"/>
      <c r="J942" s="401"/>
      <c r="K942" s="401"/>
      <c r="L942" s="401"/>
      <c r="M942" s="401"/>
      <c r="N942" s="401"/>
      <c r="O942" s="2"/>
      <c r="W942" s="365"/>
      <c r="X942" s="365"/>
      <c r="Y942" s="365"/>
    </row>
    <row r="943" spans="2:25" s="4" customFormat="1" hidden="1">
      <c r="B943" s="358" t="s">
        <v>95</v>
      </c>
      <c r="C943" s="4" t="s">
        <v>85</v>
      </c>
      <c r="D943" s="2"/>
      <c r="E943" s="358"/>
      <c r="F943" s="365">
        <f>F930</f>
        <v>0</v>
      </c>
      <c r="G943" s="365">
        <f t="shared" ref="G943:N943" si="125">G930</f>
        <v>0</v>
      </c>
      <c r="H943" s="365">
        <f t="shared" si="125"/>
        <v>0</v>
      </c>
      <c r="I943" s="365">
        <f t="shared" si="125"/>
        <v>0</v>
      </c>
      <c r="J943" s="365">
        <f t="shared" si="125"/>
        <v>0</v>
      </c>
      <c r="K943" s="365">
        <f t="shared" si="125"/>
        <v>0</v>
      </c>
      <c r="L943" s="365">
        <f t="shared" si="125"/>
        <v>0</v>
      </c>
      <c r="M943" s="365">
        <f t="shared" si="125"/>
        <v>0</v>
      </c>
      <c r="N943" s="365">
        <f t="shared" si="125"/>
        <v>0</v>
      </c>
      <c r="O943" s="2"/>
      <c r="W943" s="365"/>
      <c r="X943" s="365"/>
      <c r="Y943" s="365"/>
    </row>
    <row r="944" spans="2:25" s="4" customFormat="1" hidden="1">
      <c r="B944" s="358" t="s">
        <v>96</v>
      </c>
      <c r="C944" s="4" t="s">
        <v>86</v>
      </c>
      <c r="D944" s="2"/>
      <c r="E944" s="358"/>
      <c r="F944" s="365">
        <f t="shared" ref="F944:N948" si="126">F931</f>
        <v>0</v>
      </c>
      <c r="G944" s="365">
        <f t="shared" si="126"/>
        <v>0</v>
      </c>
      <c r="H944" s="365">
        <f t="shared" si="126"/>
        <v>0</v>
      </c>
      <c r="I944" s="365">
        <f t="shared" si="126"/>
        <v>0</v>
      </c>
      <c r="J944" s="365">
        <f t="shared" si="126"/>
        <v>0</v>
      </c>
      <c r="K944" s="365">
        <f t="shared" si="126"/>
        <v>0</v>
      </c>
      <c r="L944" s="365">
        <f t="shared" si="126"/>
        <v>0</v>
      </c>
      <c r="M944" s="365">
        <f t="shared" si="126"/>
        <v>0</v>
      </c>
      <c r="N944" s="365">
        <f t="shared" si="126"/>
        <v>0</v>
      </c>
      <c r="O944" s="2"/>
      <c r="W944" s="365"/>
      <c r="X944" s="365"/>
      <c r="Y944" s="365"/>
    </row>
    <row r="945" spans="1:25" s="4" customFormat="1" hidden="1">
      <c r="B945" s="358" t="s">
        <v>97</v>
      </c>
      <c r="C945" s="4" t="s">
        <v>87</v>
      </c>
      <c r="D945" s="2"/>
      <c r="E945" s="358"/>
      <c r="F945" s="365">
        <f t="shared" si="126"/>
        <v>0</v>
      </c>
      <c r="G945" s="365">
        <f t="shared" si="126"/>
        <v>0</v>
      </c>
      <c r="H945" s="365">
        <f t="shared" si="126"/>
        <v>0</v>
      </c>
      <c r="I945" s="365">
        <f t="shared" si="126"/>
        <v>0</v>
      </c>
      <c r="J945" s="365">
        <f t="shared" si="126"/>
        <v>0</v>
      </c>
      <c r="K945" s="365">
        <f t="shared" si="126"/>
        <v>0</v>
      </c>
      <c r="L945" s="365">
        <f t="shared" si="126"/>
        <v>0</v>
      </c>
      <c r="M945" s="365">
        <f t="shared" si="126"/>
        <v>0</v>
      </c>
      <c r="N945" s="365">
        <f t="shared" si="126"/>
        <v>0</v>
      </c>
      <c r="O945" s="2"/>
      <c r="W945" s="365"/>
      <c r="X945" s="365"/>
      <c r="Y945" s="365"/>
    </row>
    <row r="946" spans="1:25" s="4" customFormat="1" hidden="1">
      <c r="B946" s="358" t="s">
        <v>98</v>
      </c>
      <c r="C946" s="4" t="s">
        <v>88</v>
      </c>
      <c r="D946" s="2"/>
      <c r="E946" s="358"/>
      <c r="F946" s="365">
        <f t="shared" si="126"/>
        <v>0</v>
      </c>
      <c r="G946" s="365">
        <f t="shared" si="126"/>
        <v>0</v>
      </c>
      <c r="H946" s="365">
        <f t="shared" si="126"/>
        <v>0</v>
      </c>
      <c r="I946" s="365">
        <f t="shared" si="126"/>
        <v>0</v>
      </c>
      <c r="J946" s="365">
        <f t="shared" si="126"/>
        <v>0</v>
      </c>
      <c r="K946" s="365">
        <f t="shared" si="126"/>
        <v>0</v>
      </c>
      <c r="L946" s="365">
        <f t="shared" si="126"/>
        <v>0</v>
      </c>
      <c r="M946" s="365">
        <f t="shared" si="126"/>
        <v>0</v>
      </c>
      <c r="N946" s="365">
        <f t="shared" si="126"/>
        <v>0</v>
      </c>
      <c r="O946" s="2"/>
      <c r="W946" s="365"/>
      <c r="X946" s="365"/>
      <c r="Y946" s="365"/>
    </row>
    <row r="947" spans="1:25" s="4" customFormat="1" hidden="1">
      <c r="B947" s="358" t="s">
        <v>99</v>
      </c>
      <c r="C947" s="4" t="s">
        <v>89</v>
      </c>
      <c r="D947" s="2"/>
      <c r="E947" s="358"/>
      <c r="F947" s="365">
        <f t="shared" si="126"/>
        <v>0</v>
      </c>
      <c r="G947" s="365">
        <f t="shared" si="126"/>
        <v>0</v>
      </c>
      <c r="H947" s="365">
        <f t="shared" si="126"/>
        <v>0</v>
      </c>
      <c r="I947" s="365">
        <f t="shared" si="126"/>
        <v>0</v>
      </c>
      <c r="J947" s="365">
        <f t="shared" si="126"/>
        <v>0</v>
      </c>
      <c r="K947" s="365">
        <f t="shared" si="126"/>
        <v>0</v>
      </c>
      <c r="L947" s="365">
        <f t="shared" si="126"/>
        <v>0</v>
      </c>
      <c r="M947" s="365">
        <f t="shared" si="126"/>
        <v>0</v>
      </c>
      <c r="N947" s="365">
        <f t="shared" si="126"/>
        <v>0</v>
      </c>
      <c r="O947" s="2"/>
      <c r="W947" s="365"/>
      <c r="X947" s="365"/>
      <c r="Y947" s="365"/>
    </row>
    <row r="948" spans="1:25" s="4" customFormat="1" hidden="1">
      <c r="B948" s="358" t="s">
        <v>100</v>
      </c>
      <c r="C948" s="4" t="s">
        <v>90</v>
      </c>
      <c r="D948" s="2"/>
      <c r="E948" s="358"/>
      <c r="F948" s="365">
        <f t="shared" si="126"/>
        <v>0</v>
      </c>
      <c r="G948" s="365">
        <f t="shared" si="126"/>
        <v>0</v>
      </c>
      <c r="H948" s="365">
        <f t="shared" si="126"/>
        <v>0</v>
      </c>
      <c r="I948" s="365">
        <f t="shared" si="126"/>
        <v>0</v>
      </c>
      <c r="J948" s="365">
        <f t="shared" si="126"/>
        <v>0</v>
      </c>
      <c r="K948" s="365">
        <f t="shared" si="126"/>
        <v>0</v>
      </c>
      <c r="L948" s="365">
        <f t="shared" si="126"/>
        <v>0</v>
      </c>
      <c r="M948" s="365">
        <f t="shared" si="126"/>
        <v>0</v>
      </c>
      <c r="N948" s="365">
        <f t="shared" si="126"/>
        <v>0</v>
      </c>
      <c r="O948" s="2"/>
      <c r="W948" s="365"/>
      <c r="X948" s="365"/>
      <c r="Y948" s="365"/>
    </row>
    <row r="949" spans="1:25" s="4" customFormat="1" hidden="1">
      <c r="B949" s="358" t="s">
        <v>101</v>
      </c>
      <c r="C949" s="4" t="s">
        <v>91</v>
      </c>
      <c r="D949" s="2"/>
      <c r="E949" s="358"/>
      <c r="F949" s="365">
        <v>0</v>
      </c>
      <c r="G949" s="365">
        <v>0</v>
      </c>
      <c r="H949" s="365">
        <v>0</v>
      </c>
      <c r="I949" s="365">
        <v>0</v>
      </c>
      <c r="J949" s="365">
        <v>0</v>
      </c>
      <c r="K949" s="365">
        <v>0</v>
      </c>
      <c r="L949" s="365">
        <v>0</v>
      </c>
      <c r="M949" s="365">
        <v>0</v>
      </c>
      <c r="N949" s="365">
        <v>0</v>
      </c>
      <c r="O949" s="2"/>
      <c r="W949" s="365"/>
      <c r="X949" s="365"/>
      <c r="Y949" s="365"/>
    </row>
    <row r="950" spans="1:25" s="4" customFormat="1" hidden="1">
      <c r="B950" s="358" t="s">
        <v>102</v>
      </c>
      <c r="C950" s="4" t="s">
        <v>92</v>
      </c>
      <c r="D950" s="2"/>
      <c r="E950" s="358"/>
      <c r="F950" s="402">
        <f>-SUM(F943:F949)-F951</f>
        <v>0</v>
      </c>
      <c r="G950" s="402">
        <f t="shared" ref="G950:N950" si="127">-SUM(G943:G949)-G951</f>
        <v>0</v>
      </c>
      <c r="H950" s="402">
        <f t="shared" si="127"/>
        <v>0</v>
      </c>
      <c r="I950" s="402">
        <f t="shared" si="127"/>
        <v>0</v>
      </c>
      <c r="J950" s="402">
        <f t="shared" si="127"/>
        <v>0</v>
      </c>
      <c r="K950" s="402">
        <f t="shared" si="127"/>
        <v>0</v>
      </c>
      <c r="L950" s="402">
        <f t="shared" si="127"/>
        <v>0</v>
      </c>
      <c r="M950" s="402">
        <f t="shared" si="127"/>
        <v>0</v>
      </c>
      <c r="N950" s="402">
        <f t="shared" si="127"/>
        <v>0</v>
      </c>
      <c r="O950" s="2"/>
      <c r="W950" s="365"/>
      <c r="X950" s="365"/>
      <c r="Y950" s="365"/>
    </row>
    <row r="951" spans="1:25" s="4" customFormat="1" hidden="1">
      <c r="B951" s="358" t="s">
        <v>103</v>
      </c>
      <c r="C951" s="4" t="s">
        <v>93</v>
      </c>
      <c r="D951" s="2"/>
      <c r="E951" s="358"/>
      <c r="F951" s="365">
        <f t="shared" ref="F951:N951" si="128">F938</f>
        <v>0</v>
      </c>
      <c r="G951" s="365">
        <f t="shared" si="128"/>
        <v>0</v>
      </c>
      <c r="H951" s="365">
        <f t="shared" si="128"/>
        <v>0</v>
      </c>
      <c r="I951" s="365">
        <f t="shared" si="128"/>
        <v>0</v>
      </c>
      <c r="J951" s="365">
        <f t="shared" si="128"/>
        <v>0</v>
      </c>
      <c r="K951" s="365">
        <f t="shared" si="128"/>
        <v>0</v>
      </c>
      <c r="L951" s="365">
        <f t="shared" si="128"/>
        <v>0</v>
      </c>
      <c r="M951" s="365">
        <f t="shared" si="128"/>
        <v>0</v>
      </c>
      <c r="N951" s="365">
        <f t="shared" si="128"/>
        <v>0</v>
      </c>
      <c r="O951" s="2"/>
      <c r="W951" s="365"/>
      <c r="X951" s="365"/>
      <c r="Y951" s="365"/>
    </row>
    <row r="952" spans="1:25" s="4" customFormat="1" hidden="1">
      <c r="B952" s="358"/>
      <c r="D952" s="2"/>
      <c r="E952" s="355" t="s">
        <v>27</v>
      </c>
      <c r="F952" s="371">
        <f>SUM(F943:F951)</f>
        <v>0</v>
      </c>
      <c r="G952" s="371">
        <f t="shared" ref="G952:N952" si="129">SUM(G943:G951)</f>
        <v>0</v>
      </c>
      <c r="H952" s="371">
        <f t="shared" si="129"/>
        <v>0</v>
      </c>
      <c r="I952" s="371">
        <f t="shared" si="129"/>
        <v>0</v>
      </c>
      <c r="J952" s="371">
        <f t="shared" si="129"/>
        <v>0</v>
      </c>
      <c r="K952" s="371">
        <f t="shared" si="129"/>
        <v>0</v>
      </c>
      <c r="L952" s="371">
        <f t="shared" si="129"/>
        <v>0</v>
      </c>
      <c r="M952" s="371">
        <f t="shared" si="129"/>
        <v>0</v>
      </c>
      <c r="N952" s="371">
        <f t="shared" si="129"/>
        <v>0</v>
      </c>
      <c r="O952" s="2"/>
      <c r="W952" s="365"/>
      <c r="X952" s="365"/>
      <c r="Y952" s="365"/>
    </row>
    <row r="953" spans="1:25" s="4" customFormat="1" hidden="1">
      <c r="B953" s="2"/>
      <c r="C953" s="2"/>
      <c r="D953" s="2"/>
      <c r="E953" s="2"/>
      <c r="F953" s="365"/>
      <c r="G953" s="2"/>
      <c r="H953" s="2"/>
      <c r="I953" s="2"/>
      <c r="J953" s="2"/>
      <c r="K953" s="2"/>
      <c r="L953" s="2"/>
      <c r="M953" s="2"/>
      <c r="N953" s="2"/>
      <c r="O953" s="2"/>
      <c r="W953" s="365"/>
      <c r="X953" s="365"/>
      <c r="Y953" s="365"/>
    </row>
    <row r="954" spans="1:25" s="4" customFormat="1">
      <c r="B954" s="2"/>
      <c r="C954" s="2"/>
      <c r="D954" s="2"/>
      <c r="E954" s="2"/>
      <c r="F954" s="365"/>
      <c r="G954" s="2"/>
      <c r="H954" s="2"/>
      <c r="I954" s="2"/>
      <c r="J954" s="2"/>
      <c r="K954" s="2"/>
      <c r="L954" s="2"/>
      <c r="M954" s="2"/>
      <c r="N954" s="2"/>
      <c r="O954" s="2"/>
      <c r="W954" s="365"/>
      <c r="X954" s="365"/>
      <c r="Y954" s="365"/>
    </row>
    <row r="955" spans="1:25" s="4" customFormat="1">
      <c r="B955" s="354">
        <v>5</v>
      </c>
      <c r="C955" s="354" t="s">
        <v>248</v>
      </c>
      <c r="D955" s="2"/>
      <c r="F955" s="355">
        <v>2013</v>
      </c>
      <c r="G955" s="355">
        <v>2015</v>
      </c>
      <c r="H955" s="355">
        <v>2020</v>
      </c>
      <c r="I955" s="355">
        <v>2025</v>
      </c>
      <c r="J955" s="355">
        <v>2030</v>
      </c>
      <c r="K955" s="355">
        <v>2035</v>
      </c>
      <c r="L955" s="355">
        <v>2040</v>
      </c>
      <c r="M955" s="355">
        <v>2045</v>
      </c>
      <c r="N955" s="355">
        <v>2050</v>
      </c>
      <c r="O955" s="2"/>
      <c r="W955" s="365"/>
      <c r="X955" s="365"/>
      <c r="Y955" s="365"/>
    </row>
    <row r="956" spans="1:25" s="4" customFormat="1">
      <c r="A956"/>
      <c r="B956" s="2"/>
      <c r="C956" s="2"/>
      <c r="D956" s="2"/>
      <c r="E956" s="2"/>
      <c r="F956" s="365"/>
      <c r="G956" s="2"/>
      <c r="H956" s="2"/>
      <c r="I956" s="2"/>
      <c r="J956" s="2"/>
      <c r="K956" s="2"/>
      <c r="L956" s="2"/>
      <c r="M956" s="2"/>
      <c r="N956" s="2"/>
      <c r="O956" s="2"/>
      <c r="W956" s="365"/>
      <c r="X956" s="365"/>
      <c r="Y956" s="365"/>
    </row>
    <row r="957" spans="1:25" s="4" customFormat="1">
      <c r="A957"/>
      <c r="B957" s="358" t="s">
        <v>95</v>
      </c>
      <c r="C957" s="4" t="s">
        <v>85</v>
      </c>
      <c r="D957" s="2"/>
      <c r="E957" s="2"/>
      <c r="F957" s="365">
        <f t="shared" ref="F957:N957" ca="1" si="130">F799+F906+F943</f>
        <v>-0.88256437808531207</v>
      </c>
      <c r="G957" s="365">
        <f t="shared" ca="1" si="130"/>
        <v>-0.962793920118858</v>
      </c>
      <c r="H957" s="365">
        <f t="shared" ca="1" si="130"/>
        <v>-1.1454171196981839</v>
      </c>
      <c r="I957" s="365">
        <f t="shared" ca="1" si="130"/>
        <v>-1.3895260738128647</v>
      </c>
      <c r="J957" s="365">
        <f t="shared" ca="1" si="130"/>
        <v>-1.639370956886139</v>
      </c>
      <c r="K957" s="365">
        <f t="shared" ca="1" si="130"/>
        <v>-1.9030564366680982</v>
      </c>
      <c r="L957" s="365">
        <f t="shared" ca="1" si="130"/>
        <v>-2.1804320076135117</v>
      </c>
      <c r="M957" s="365">
        <f t="shared" ca="1" si="130"/>
        <v>-2.4660030407149582</v>
      </c>
      <c r="N957" s="365">
        <f t="shared" ca="1" si="130"/>
        <v>-2.76531347349606</v>
      </c>
      <c r="O957" s="2"/>
      <c r="W957" s="365"/>
      <c r="X957" s="365"/>
      <c r="Y957" s="365"/>
    </row>
    <row r="958" spans="1:25" s="4" customFormat="1">
      <c r="A958"/>
      <c r="B958" s="358" t="s">
        <v>96</v>
      </c>
      <c r="C958" s="4" t="s">
        <v>86</v>
      </c>
      <c r="D958" s="2"/>
      <c r="E958" s="2"/>
      <c r="F958" s="365">
        <f t="shared" ref="F958:N958" ca="1" si="131">F800+F907+F944</f>
        <v>0</v>
      </c>
      <c r="G958" s="365">
        <f t="shared" ca="1" si="131"/>
        <v>0</v>
      </c>
      <c r="H958" s="365">
        <f t="shared" ca="1" si="131"/>
        <v>0</v>
      </c>
      <c r="I958" s="365">
        <f t="shared" ca="1" si="131"/>
        <v>0</v>
      </c>
      <c r="J958" s="365">
        <f t="shared" ca="1" si="131"/>
        <v>0</v>
      </c>
      <c r="K958" s="365">
        <f t="shared" ca="1" si="131"/>
        <v>0</v>
      </c>
      <c r="L958" s="365">
        <f t="shared" ca="1" si="131"/>
        <v>0</v>
      </c>
      <c r="M958" s="365">
        <f t="shared" ca="1" si="131"/>
        <v>0</v>
      </c>
      <c r="N958" s="365">
        <f t="shared" ca="1" si="131"/>
        <v>0</v>
      </c>
      <c r="O958" s="2"/>
      <c r="W958" s="365"/>
      <c r="X958" s="365"/>
      <c r="Y958" s="365"/>
    </row>
    <row r="959" spans="1:25" s="4" customFormat="1">
      <c r="A959"/>
      <c r="B959" s="358" t="s">
        <v>97</v>
      </c>
      <c r="C959" s="4" t="s">
        <v>87</v>
      </c>
      <c r="D959" s="2"/>
      <c r="E959" s="2"/>
      <c r="F959" s="365">
        <f t="shared" ref="F959:N959" ca="1" si="132">F801+F908+F945</f>
        <v>-0.41220752781623782</v>
      </c>
      <c r="G959" s="365">
        <f t="shared" ca="1" si="132"/>
        <v>-0.38937857957942934</v>
      </c>
      <c r="H959" s="365">
        <f t="shared" ca="1" si="132"/>
        <v>-0.32773892123175546</v>
      </c>
      <c r="I959" s="365">
        <f t="shared" ca="1" si="132"/>
        <v>-0.28209903725583046</v>
      </c>
      <c r="J959" s="365">
        <f t="shared" ca="1" si="132"/>
        <v>-0.23181941749696361</v>
      </c>
      <c r="K959" s="365">
        <f t="shared" ca="1" si="132"/>
        <v>-0.17871552254345516</v>
      </c>
      <c r="L959" s="365">
        <f t="shared" ca="1" si="132"/>
        <v>-0.12248271111511547</v>
      </c>
      <c r="M959" s="365">
        <f t="shared" ca="1" si="132"/>
        <v>-6.2808803458401619E-2</v>
      </c>
      <c r="N959" s="365">
        <f t="shared" ca="1" si="132"/>
        <v>0</v>
      </c>
      <c r="O959" s="2"/>
      <c r="W959" s="365"/>
      <c r="X959" s="365"/>
      <c r="Y959" s="365"/>
    </row>
    <row r="960" spans="1:25" s="4" customFormat="1">
      <c r="A960"/>
      <c r="B960" s="358" t="s">
        <v>98</v>
      </c>
      <c r="C960" s="4" t="s">
        <v>88</v>
      </c>
      <c r="D960" s="2"/>
      <c r="E960" s="2"/>
      <c r="F960" s="365">
        <f t="shared" ref="F960:N960" ca="1" si="133">F802+F909+F946</f>
        <v>-15.256778003771721</v>
      </c>
      <c r="G960" s="365">
        <f t="shared" ca="1" si="133"/>
        <v>-14.411824499031621</v>
      </c>
      <c r="H960" s="365">
        <f t="shared" ca="1" si="133"/>
        <v>-12.130394587693283</v>
      </c>
      <c r="I960" s="365">
        <f t="shared" ca="1" si="133"/>
        <v>-10.441154263462709</v>
      </c>
      <c r="J960" s="365">
        <f t="shared" ca="1" si="133"/>
        <v>-8.5801863164700922</v>
      </c>
      <c r="K960" s="365">
        <f t="shared" ca="1" si="133"/>
        <v>-6.6146852477887945</v>
      </c>
      <c r="L960" s="365">
        <f t="shared" ca="1" si="133"/>
        <v>-4.5333755612936892</v>
      </c>
      <c r="M960" s="365">
        <f t="shared" ca="1" si="133"/>
        <v>-2.324702744086121</v>
      </c>
      <c r="N960" s="365">
        <f t="shared" ca="1" si="133"/>
        <v>0</v>
      </c>
      <c r="O960" s="2"/>
      <c r="W960" s="365"/>
      <c r="X960" s="365"/>
      <c r="Y960" s="365"/>
    </row>
    <row r="961" spans="1:25" s="4" customFormat="1">
      <c r="A961"/>
      <c r="B961" s="358" t="s">
        <v>99</v>
      </c>
      <c r="C961" s="4" t="s">
        <v>89</v>
      </c>
      <c r="D961" s="2"/>
      <c r="E961" s="2"/>
      <c r="F961" s="365">
        <f t="shared" ref="F961:N961" ca="1" si="134">F803+F910+F947</f>
        <v>-9.4463708573767775</v>
      </c>
      <c r="G961" s="365">
        <f t="shared" ca="1" si="134"/>
        <v>-10.199540735750485</v>
      </c>
      <c r="H961" s="365">
        <f t="shared" ca="1" si="134"/>
        <v>-11.897301948776613</v>
      </c>
      <c r="I961" s="365">
        <f t="shared" ca="1" si="134"/>
        <v>-14.23206774476146</v>
      </c>
      <c r="J961" s="365">
        <f t="shared" ca="1" si="134"/>
        <v>-16.615606470158163</v>
      </c>
      <c r="K961" s="365">
        <f t="shared" ca="1" si="134"/>
        <v>-19.131212438602503</v>
      </c>
      <c r="L961" s="365">
        <f t="shared" ca="1" si="134"/>
        <v>-21.776894734744477</v>
      </c>
      <c r="M961" s="365">
        <f t="shared" ca="1" si="134"/>
        <v>-24.497783683989923</v>
      </c>
      <c r="N961" s="365">
        <f t="shared" ca="1" si="134"/>
        <v>-27.349254133477515</v>
      </c>
      <c r="O961" s="2"/>
      <c r="W961" s="365"/>
      <c r="X961" s="365"/>
      <c r="Y961" s="365"/>
    </row>
    <row r="962" spans="1:25" s="4" customFormat="1">
      <c r="A962"/>
      <c r="B962" s="358" t="s">
        <v>100</v>
      </c>
      <c r="C962" s="4" t="s">
        <v>90</v>
      </c>
      <c r="D962" s="2"/>
      <c r="E962" s="2"/>
      <c r="F962" s="365">
        <f t="shared" ref="F962:N962" ca="1" si="135">F804+F911+F948</f>
        <v>0</v>
      </c>
      <c r="G962" s="365">
        <f t="shared" ca="1" si="135"/>
        <v>0</v>
      </c>
      <c r="H962" s="365">
        <f t="shared" ca="1" si="135"/>
        <v>0</v>
      </c>
      <c r="I962" s="365">
        <f t="shared" ca="1" si="135"/>
        <v>0</v>
      </c>
      <c r="J962" s="365">
        <f t="shared" ca="1" si="135"/>
        <v>0</v>
      </c>
      <c r="K962" s="365">
        <f t="shared" ca="1" si="135"/>
        <v>0</v>
      </c>
      <c r="L962" s="365">
        <f t="shared" ca="1" si="135"/>
        <v>0</v>
      </c>
      <c r="M962" s="365">
        <f t="shared" ca="1" si="135"/>
        <v>0</v>
      </c>
      <c r="N962" s="365">
        <f t="shared" ca="1" si="135"/>
        <v>0</v>
      </c>
      <c r="O962" s="2"/>
      <c r="W962" s="365"/>
      <c r="X962" s="365"/>
      <c r="Y962" s="365"/>
    </row>
    <row r="963" spans="1:25" s="4" customFormat="1">
      <c r="A963"/>
      <c r="B963" s="358" t="s">
        <v>101</v>
      </c>
      <c r="C963" s="4" t="s">
        <v>91</v>
      </c>
      <c r="D963" s="2"/>
      <c r="E963" s="2"/>
      <c r="F963" s="365">
        <f t="shared" ref="F963:N963" ca="1" si="136">F805+F912+F949</f>
        <v>-4.9849049835017811E-2</v>
      </c>
      <c r="G963" s="365">
        <f t="shared" ca="1" si="136"/>
        <v>-4.7031613264707811E-2</v>
      </c>
      <c r="H963" s="365">
        <f t="shared" ca="1" si="136"/>
        <v>-3.9468326861689378E-2</v>
      </c>
      <c r="I963" s="365">
        <f t="shared" ca="1" si="136"/>
        <v>-3.3945668180055968E-2</v>
      </c>
      <c r="J963" s="365">
        <f t="shared" ca="1" si="136"/>
        <v>-2.7874293752023344E-2</v>
      </c>
      <c r="K963" s="365">
        <f t="shared" ca="1" si="136"/>
        <v>-2.147145376152286E-2</v>
      </c>
      <c r="L963" s="365">
        <f t="shared" ca="1" si="136"/>
        <v>-1.4703140991588266E-2</v>
      </c>
      <c r="M963" s="365">
        <f t="shared" ca="1" si="136"/>
        <v>-7.5332570838156426E-3</v>
      </c>
      <c r="N963" s="365">
        <f t="shared" ca="1" si="136"/>
        <v>0</v>
      </c>
      <c r="O963" s="2"/>
      <c r="W963" s="365"/>
      <c r="X963" s="365"/>
      <c r="Y963" s="365"/>
    </row>
    <row r="964" spans="1:25" s="4" customFormat="1">
      <c r="A964"/>
      <c r="B964" s="358" t="s">
        <v>102</v>
      </c>
      <c r="C964" s="4" t="s">
        <v>92</v>
      </c>
      <c r="D964" s="2"/>
      <c r="E964" s="2"/>
      <c r="F964" s="4125">
        <f ca="1">F806+F913+F950</f>
        <v>23.88412857672845</v>
      </c>
      <c r="G964" s="4125">
        <f t="shared" ref="G964:N964" ca="1" si="137">G806+G913+G950</f>
        <v>23.851885521740261</v>
      </c>
      <c r="H964" s="4125">
        <f t="shared" ca="1" si="137"/>
        <v>23.425248641346798</v>
      </c>
      <c r="I964" s="4125">
        <f t="shared" ca="1" si="137"/>
        <v>24.199019613879649</v>
      </c>
      <c r="J964" s="4125">
        <f t="shared" ca="1" si="137"/>
        <v>24.860777971209373</v>
      </c>
      <c r="K964" s="4125">
        <f t="shared" ca="1" si="137"/>
        <v>25.557868591576142</v>
      </c>
      <c r="L964" s="4125">
        <f t="shared" ca="1" si="137"/>
        <v>26.277685808059108</v>
      </c>
      <c r="M964" s="4125">
        <f t="shared" ca="1" si="137"/>
        <v>26.953895533745406</v>
      </c>
      <c r="N964" s="4125">
        <f t="shared" ca="1" si="137"/>
        <v>27.653134734960599</v>
      </c>
      <c r="O964" s="2"/>
      <c r="W964" s="365"/>
      <c r="X964" s="365"/>
      <c r="Y964" s="365"/>
    </row>
    <row r="965" spans="1:25" s="4" customFormat="1">
      <c r="A965"/>
      <c r="B965" s="358" t="s">
        <v>103</v>
      </c>
      <c r="C965" s="4" t="s">
        <v>93</v>
      </c>
      <c r="D965" s="2"/>
      <c r="E965" s="2"/>
      <c r="F965" s="365">
        <f t="shared" ref="F965:N965" ca="1" si="138">F807+F914+F951</f>
        <v>2.1636412401566139</v>
      </c>
      <c r="G965" s="365">
        <f t="shared" ca="1" si="138"/>
        <v>2.1586838260048395</v>
      </c>
      <c r="H965" s="365">
        <f t="shared" ca="1" si="138"/>
        <v>2.1150722629147252</v>
      </c>
      <c r="I965" s="365">
        <f t="shared" ca="1" si="138"/>
        <v>2.1797731735932668</v>
      </c>
      <c r="J965" s="365">
        <f t="shared" ca="1" si="138"/>
        <v>2.2340794835540074</v>
      </c>
      <c r="K965" s="365">
        <f t="shared" ca="1" si="138"/>
        <v>2.2912725077882361</v>
      </c>
      <c r="L965" s="365">
        <f t="shared" ca="1" si="138"/>
        <v>2.3502023476992733</v>
      </c>
      <c r="M965" s="365">
        <f t="shared" ca="1" si="138"/>
        <v>2.4049359955878167</v>
      </c>
      <c r="N965" s="365">
        <f t="shared" ca="1" si="138"/>
        <v>2.4614328720129763</v>
      </c>
      <c r="O965" s="2"/>
      <c r="W965" s="365"/>
      <c r="X965" s="365"/>
      <c r="Y965" s="365"/>
    </row>
    <row r="966" spans="1:25" s="4" customFormat="1">
      <c r="B966" s="2"/>
      <c r="C966" s="2"/>
      <c r="D966" s="2"/>
      <c r="E966" s="3810" t="str">
        <f>Preferences.EnergyUnits</f>
        <v>TWh</v>
      </c>
      <c r="F966" s="371">
        <f t="shared" ref="F966:N966" ca="1" si="139">SUM(F957:F965)</f>
        <v>0</v>
      </c>
      <c r="G966" s="371">
        <f t="shared" ca="1" si="139"/>
        <v>0</v>
      </c>
      <c r="H966" s="371">
        <f t="shared" ca="1" si="139"/>
        <v>-4.4408920985006262E-15</v>
      </c>
      <c r="I966" s="371">
        <f t="shared" ca="1" si="139"/>
        <v>-5.3290705182007514E-15</v>
      </c>
      <c r="J966" s="371">
        <f t="shared" ca="1" si="139"/>
        <v>0</v>
      </c>
      <c r="K966" s="371">
        <f t="shared" ca="1" si="139"/>
        <v>0</v>
      </c>
      <c r="L966" s="371">
        <f t="shared" ca="1" si="139"/>
        <v>0</v>
      </c>
      <c r="M966" s="371">
        <f t="shared" ca="1" si="139"/>
        <v>7.1054273576010019E-15</v>
      </c>
      <c r="N966" s="371">
        <f t="shared" ca="1" si="139"/>
        <v>0</v>
      </c>
      <c r="O966" s="2"/>
      <c r="W966" s="365"/>
      <c r="X966" s="365"/>
      <c r="Y966" s="365"/>
    </row>
    <row r="967" spans="1:25" s="4" customFormat="1">
      <c r="B967" s="2"/>
      <c r="C967" s="2"/>
      <c r="D967" s="2"/>
      <c r="E967" s="2"/>
      <c r="F967" s="365"/>
      <c r="G967" s="2"/>
      <c r="H967" s="2"/>
      <c r="I967" s="2"/>
      <c r="J967" s="2"/>
      <c r="K967" s="2"/>
      <c r="L967" s="2"/>
      <c r="M967" s="2"/>
      <c r="N967" s="2"/>
      <c r="O967" s="2"/>
    </row>
    <row r="968" spans="1:25" s="4" customFormat="1">
      <c r="B968" s="355">
        <v>6</v>
      </c>
      <c r="C968" s="403" t="s">
        <v>249</v>
      </c>
      <c r="D968" s="2"/>
      <c r="E968" s="2"/>
      <c r="F968" s="355">
        <v>2013</v>
      </c>
      <c r="G968" s="355">
        <v>2015</v>
      </c>
      <c r="H968" s="355">
        <v>2020</v>
      </c>
      <c r="I968" s="355">
        <v>2025</v>
      </c>
      <c r="J968" s="355">
        <v>2030</v>
      </c>
      <c r="K968" s="355">
        <v>2035</v>
      </c>
      <c r="L968" s="355">
        <v>2040</v>
      </c>
      <c r="M968" s="355">
        <v>2045</v>
      </c>
      <c r="N968" s="355">
        <v>2050</v>
      </c>
      <c r="O968" s="2"/>
    </row>
    <row r="969" spans="1:25" s="4" customFormat="1">
      <c r="A969"/>
      <c r="B969" s="2"/>
      <c r="C969" s="2" t="s">
        <v>250</v>
      </c>
      <c r="D969" s="2"/>
      <c r="E969" s="2" t="s">
        <v>251</v>
      </c>
      <c r="F969" s="2137">
        <f t="array" aca="1" ref="F969" ca="1">-SUM(F$957:F$965*SUMIFS(EF[CO2], EF[Vector], $B$957:$B$965))</f>
        <v>6.0990014520418683</v>
      </c>
      <c r="G969" s="2137">
        <f t="array" aca="1" ref="G969" ca="1">-SUM(G$957:G$965*SUMIFS(EF[CO2], EF[Vector], $B$957:$B$965))</f>
        <v>6.0225173982223836</v>
      </c>
      <c r="H969" s="2137">
        <f t="array" aca="1" ref="H969" ca="1">-SUM(H$957:H$965*SUMIFS(EF[CO2], EF[Vector], $B$957:$B$965))</f>
        <v>5.747250456676066</v>
      </c>
      <c r="I969" s="2137">
        <f t="array" aca="1" ref="I969" ca="1">-SUM(I$957:I$965*SUMIFS(EF[CO2], EF[Vector], $B$957:$B$965))</f>
        <v>5.7640607282274017</v>
      </c>
      <c r="J969" s="2137">
        <f t="array" aca="1" ref="J969" ca="1">-SUM(J$957:J$965*SUMIFS(EF[CO2], EF[Vector], $B$957:$B$965))</f>
        <v>5.7439738885905971</v>
      </c>
      <c r="K969" s="2137">
        <f t="array" aca="1" ref="K969" ca="1">-SUM(K$957:K$965*SUMIFS(EF[CO2], EF[Vector], $B$957:$B$965))</f>
        <v>5.7223862747105132</v>
      </c>
      <c r="L969" s="2137">
        <f t="array" aca="1" ref="L969" ca="1">-SUM(L$957:L$965*SUMIFS(EF[CO2], EF[Vector], $B$957:$B$965))</f>
        <v>5.6958120723699412</v>
      </c>
      <c r="M969" s="2137">
        <f t="array" aca="1" ref="M969" ca="1">-SUM(M$957:M$965*SUMIFS(EF[CO2], EF[Vector], $B$957:$B$965))</f>
        <v>5.6498638922010365</v>
      </c>
      <c r="N969" s="2137">
        <f t="array" aca="1" ref="N969" ca="1">-SUM(N$957:N$965*SUMIFS(EF[CO2], EF[Vector], $B$957:$B$965))</f>
        <v>5.5989721253104765</v>
      </c>
      <c r="O969" s="2"/>
      <c r="Q969" s="365"/>
    </row>
    <row r="970" spans="1:25" s="4" customFormat="1">
      <c r="A970"/>
      <c r="B970" s="2"/>
      <c r="C970" s="2" t="s">
        <v>252</v>
      </c>
      <c r="D970" s="2"/>
      <c r="E970" s="2"/>
      <c r="F970" s="2137">
        <f t="array" aca="1" ref="F970" ca="1">-SUM(F$957:F$965*SUMIFS(EF[CH4], EF[Vector], $B$957:$B$965))</f>
        <v>4.1961969104451465E-3</v>
      </c>
      <c r="G970" s="2137">
        <f t="array" aca="1" ref="G970" ca="1">-SUM(G$957:G$965*SUMIFS(EF[CH4], EF[Vector], $B$957:$B$965))</f>
        <v>4.0602929904344515E-3</v>
      </c>
      <c r="H970" s="2137">
        <f t="array" aca="1" ref="H970" ca="1">-SUM(H$957:H$965*SUMIFS(EF[CH4], EF[Vector], $B$957:$B$965))</f>
        <v>3.6679534635279333E-3</v>
      </c>
      <c r="I970" s="2137">
        <f t="array" aca="1" ref="I970" ca="1">-SUM(I$957:I$965*SUMIFS(EF[CH4], EF[Vector], $B$957:$B$965))</f>
        <v>3.4589267895088873E-3</v>
      </c>
      <c r="J970" s="2137">
        <f t="array" aca="1" ref="J970" ca="1">-SUM(J$957:J$965*SUMIFS(EF[CH4], EF[Vector], $B$957:$B$965))</f>
        <v>3.2143939892933134E-3</v>
      </c>
      <c r="K970" s="2137">
        <f t="array" aca="1" ref="K970" ca="1">-SUM(K$957:K$965*SUMIFS(EF[CH4], EF[Vector], $B$957:$B$965))</f>
        <v>2.9559879000098472E-3</v>
      </c>
      <c r="L970" s="2137">
        <f t="array" aca="1" ref="L970" ca="1">-SUM(L$957:L$965*SUMIFS(EF[CH4], EF[Vector], $B$957:$B$965))</f>
        <v>2.680984604320303E-3</v>
      </c>
      <c r="M970" s="2137">
        <f t="array" aca="1" ref="M970" ca="1">-SUM(M$957:M$965*SUMIFS(EF[CH4], EF[Vector], $B$957:$B$965))</f>
        <v>2.3825988707473892E-3</v>
      </c>
      <c r="N970" s="2137">
        <f t="array" aca="1" ref="N970" ca="1">-SUM(N$957:N$965*SUMIFS(EF[CH4], EF[Vector], $B$957:$B$965))</f>
        <v>2.0676036124909003E-3</v>
      </c>
      <c r="O970" s="2"/>
    </row>
    <row r="971" spans="1:25" s="4" customFormat="1">
      <c r="A971"/>
      <c r="B971" s="2"/>
      <c r="C971" s="2" t="s">
        <v>253</v>
      </c>
      <c r="D971" s="2"/>
      <c r="E971" s="2"/>
      <c r="F971" s="2137">
        <f t="array" aca="1" ref="F971" ca="1">-SUM(F$957:F$965*SUMIFS(EF[N2O],EF[Vector], $B$957:$B$965))</f>
        <v>4.1018184994661207E-2</v>
      </c>
      <c r="G971" s="2137">
        <f t="array" aca="1" ref="G971" ca="1">-SUM(G$957:G$965*SUMIFS(EF[N2O],EF[Vector], $B$957:$B$965))</f>
        <v>4.2877224569139769E-2</v>
      </c>
      <c r="H971" s="2137">
        <f t="array" aca="1" ref="H971" ca="1">-SUM(H$957:H$965*SUMIFS(EF[N2O],EF[Vector], $B$957:$B$965))</f>
        <v>4.6809818560987371E-2</v>
      </c>
      <c r="I971" s="2137">
        <f t="array" aca="1" ref="I971" ca="1">-SUM(I$957:I$965*SUMIFS(EF[N2O],EF[Vector], $B$957:$B$965))</f>
        <v>5.3209472206749368E-2</v>
      </c>
      <c r="J971" s="2137">
        <f t="array" aca="1" ref="J971" ca="1">-SUM(J$957:J$965*SUMIFS(EF[N2O],EF[Vector], $B$957:$B$965))</f>
        <v>5.9649396772491557E-2</v>
      </c>
      <c r="K971" s="2137">
        <f t="array" aca="1" ref="K971" ca="1">-SUM(K$957:K$965*SUMIFS(EF[N2O],EF[Vector], $B$957:$B$965))</f>
        <v>6.6445172439791769E-2</v>
      </c>
      <c r="L971" s="2137">
        <f t="array" aca="1" ref="L971" ca="1">-SUM(L$957:L$965*SUMIFS(EF[N2O],EF[Vector], $B$957:$B$965))</f>
        <v>7.3582635748171518E-2</v>
      </c>
      <c r="M971" s="2137">
        <f t="array" aca="1" ref="M971" ca="1">-SUM(M$957:M$965*SUMIFS(EF[N2O],EF[Vector], $B$957:$B$965))</f>
        <v>8.0876295384634839E-2</v>
      </c>
      <c r="N971" s="2137">
        <f t="array" aca="1" ref="N971" ca="1">-SUM(N$957:N$965*SUMIFS(EF[N2O],EF[Vector], $B$957:$B$965))</f>
        <v>8.8513126077586629E-2</v>
      </c>
      <c r="O971" s="2"/>
    </row>
    <row r="973" spans="1:25" s="4" customFormat="1">
      <c r="A973" s="392"/>
      <c r="B973" s="405" t="s">
        <v>254</v>
      </c>
      <c r="C973"/>
      <c r="D973" s="2"/>
      <c r="E973" s="2"/>
      <c r="F973" s="356">
        <v>2013</v>
      </c>
      <c r="G973" s="356">
        <v>2015</v>
      </c>
      <c r="H973" s="356">
        <v>2020</v>
      </c>
      <c r="I973" s="356">
        <v>2025</v>
      </c>
      <c r="J973" s="356">
        <v>2030</v>
      </c>
      <c r="K973" s="356">
        <v>2035</v>
      </c>
      <c r="L973" s="356">
        <v>2040</v>
      </c>
      <c r="M973" s="356">
        <v>2045</v>
      </c>
      <c r="N973" s="356">
        <v>2050</v>
      </c>
      <c r="O973" s="2"/>
      <c r="W973" s="365"/>
      <c r="X973" s="365"/>
      <c r="Y973" s="365"/>
    </row>
    <row r="974" spans="1:25">
      <c r="A974"/>
      <c r="C974" s="2" t="s">
        <v>140</v>
      </c>
      <c r="E974" s="2" t="s">
        <v>141</v>
      </c>
      <c r="F974" s="374">
        <f ca="1">(F765/$M149+F890/$M131)*(1-'Intermediate output'!AY$255)</f>
        <v>5.3283567131732719</v>
      </c>
      <c r="G974" s="374">
        <f ca="1">(G765/$M149+G890/$M131)*(1-'Intermediate output'!AZ$255)</f>
        <v>5.0310370391819292</v>
      </c>
      <c r="H974" s="374">
        <f ca="1">(H765/$M149+H890/$M131)*(1-'Intermediate output'!BA$255)</f>
        <v>4.2310507123460352</v>
      </c>
      <c r="I974" s="374">
        <f ca="1">(I765/$M149+I890/$M131)*(1-'Intermediate output'!BB$255)</f>
        <v>3.6369185786854881</v>
      </c>
      <c r="J974" s="374">
        <f ca="1">(J765/$M149+J890/$M131)*(1-'Intermediate output'!BC$255)</f>
        <v>2.9918441502591384</v>
      </c>
      <c r="K974" s="374">
        <f ca="1">(K765/$M149+K890/$M131)*(1-'Intermediate output'!BD$255)</f>
        <v>2.3058198100143819</v>
      </c>
      <c r="L974" s="374">
        <f ca="1">(L765/$M149+L890/$M131)*(1-'Intermediate output'!BE$255)</f>
        <v>1.5789056133886767</v>
      </c>
      <c r="M974" s="374">
        <f ca="1">(M765/$M149+M890/$M131)*(1-'Intermediate output'!BF$255)</f>
        <v>0.80898727199487053</v>
      </c>
      <c r="N974" s="374">
        <f ca="1">(N765/$M149+N890/$M131)*(1-'Intermediate output'!BG$255)</f>
        <v>0</v>
      </c>
    </row>
    <row r="975" spans="1:25">
      <c r="A975"/>
      <c r="C975" s="2" t="s">
        <v>140</v>
      </c>
      <c r="E975" s="2" t="s">
        <v>142</v>
      </c>
      <c r="F975" s="1444">
        <f ca="1">(F765/$M149+F890/$M131)*('Intermediate output'!AY$255)</f>
        <v>1.9493581916340163E-2</v>
      </c>
      <c r="G975" s="1444">
        <f ca="1">(G765/$M149+G890/$M131)*('Intermediate output'!AZ$255)</f>
        <v>2.0637690624879829E-2</v>
      </c>
      <c r="H975" s="1444">
        <f ca="1">(H765/$M149+H890/$M131)*('Intermediate output'!BA$255)</f>
        <v>2.0930555213319598E-2</v>
      </c>
      <c r="I975" s="1444">
        <f ca="1">(I765/$M149+I890/$M131)*('Intermediate output'!BB$255)</f>
        <v>2.2945246765156309E-2</v>
      </c>
      <c r="J975" s="1444">
        <f ca="1">(J765/$M149+J890/$M131)*('Intermediate output'!BC$255)</f>
        <v>1.5707766214627557E-2</v>
      </c>
      <c r="K975" s="1444">
        <f ca="1">(K765/$M149+K890/$M131)*('Intermediate output'!BD$255)</f>
        <v>1.2778942983604123E-2</v>
      </c>
      <c r="L975" s="1444">
        <f ca="1">(L765/$M149+L890/$M131)*('Intermediate output'!BE$255)</f>
        <v>1.014640186795455E-2</v>
      </c>
      <c r="M975" s="1444">
        <f ca="1">(M765/$M149+M890/$M131)*('Intermediate output'!BF$255)</f>
        <v>5.8743097154467915E-3</v>
      </c>
      <c r="N975" s="1444">
        <f ca="1">(N765/$M149+N890/$M131)*('Intermediate output'!BG$255)</f>
        <v>0</v>
      </c>
    </row>
    <row r="976" spans="1:25">
      <c r="A976"/>
      <c r="C976" s="2" t="s">
        <v>143</v>
      </c>
      <c r="E976" s="2" t="s">
        <v>141</v>
      </c>
      <c r="F976" s="374">
        <f ca="1">(F766/$M150+F891/$M132)*(1-'Intermediate output'!AY$255)</f>
        <v>4.083580943205062</v>
      </c>
      <c r="G976" s="374">
        <f ca="1">(G766/$M150+G891/$M132)*(1-'Intermediate output'!AZ$255)</f>
        <v>5.1268353435017469</v>
      </c>
      <c r="H976" s="374">
        <f ca="1">(H766/$M150+H891/$M132)*(1-'Intermediate output'!BA$255)</f>
        <v>7.6076862711452673</v>
      </c>
      <c r="I976" s="374">
        <f ca="1">(I766/$M150+I891/$M132)*(1-'Intermediate output'!BB$255)</f>
        <v>10.505922265306852</v>
      </c>
      <c r="J976" s="374">
        <f ca="1">(J766/$M150+J891/$M132)*(1-'Intermediate output'!BC$255)</f>
        <v>13.536982749937851</v>
      </c>
      <c r="K976" s="374">
        <f ca="1">(K766/$M150+K891/$M132)*(1-'Intermediate output'!BD$255)</f>
        <v>16.719951067108799</v>
      </c>
      <c r="L976" s="374">
        <f ca="1">(L766/$M150+L891/$M132)*(1-'Intermediate output'!BE$255)</f>
        <v>20.058939472072183</v>
      </c>
      <c r="M976" s="374">
        <f ca="1">(M766/$M150+M891/$M132)*(1-'Intermediate output'!BF$255)</f>
        <v>23.512192713978358</v>
      </c>
      <c r="N976" s="374">
        <f ca="1">(N766/$M150+N891/$M132)*(1-'Intermediate output'!BG$255)</f>
        <v>27.1595474382414</v>
      </c>
    </row>
    <row r="977" spans="1:25">
      <c r="A977"/>
      <c r="C977" s="2" t="s">
        <v>143</v>
      </c>
      <c r="E977" s="2" t="s">
        <v>142</v>
      </c>
      <c r="F977" s="1444">
        <f ca="1">(F766/$M150+F891/$M132)*('Intermediate output'!AY$255)</f>
        <v>1.4939619082102716E-2</v>
      </c>
      <c r="G977" s="1444">
        <f ca="1">(G766/$M150+G891/$M132)*('Intermediate output'!AZ$255)</f>
        <v>2.1030662441931278E-2</v>
      </c>
      <c r="H977" s="1444">
        <f ca="1">(H766/$M150+H891/$M132)*('Intermediate output'!BA$255)</f>
        <v>3.7634410071990809E-2</v>
      </c>
      <c r="I977" s="1444">
        <f ca="1">(I766/$M150+I891/$M132)*('Intermediate output'!BB$255)</f>
        <v>6.6281654003962812E-2</v>
      </c>
      <c r="J977" s="1444">
        <f ca="1">(J766/$M150+J891/$M132)*('Intermediate output'!BC$255)</f>
        <v>7.1071803746546217E-2</v>
      </c>
      <c r="K977" s="1444">
        <f ca="1">(K766/$M150+K891/$M132)*('Intermediate output'!BD$255)</f>
        <v>9.2662618495719148E-2</v>
      </c>
      <c r="L977" s="1444">
        <f ca="1">(L766/$M150+L891/$M132)*('Intermediate output'!BE$255)</f>
        <v>0.12890324741566345</v>
      </c>
      <c r="M977" s="1444">
        <f ca="1">(M766/$M150+M891/$M132)*('Intermediate output'!BF$255)</f>
        <v>0.17072938830124892</v>
      </c>
      <c r="N977" s="1444">
        <f ca="1">(N766/$M150+N891/$M132)*('Intermediate output'!BG$255)</f>
        <v>0.18970669523611525</v>
      </c>
    </row>
    <row r="978" spans="1:25">
      <c r="A978"/>
      <c r="C978" s="2" t="s">
        <v>48</v>
      </c>
      <c r="E978" s="2" t="s">
        <v>144</v>
      </c>
      <c r="F978" s="374">
        <f ca="1">(F768/$M152+F893/$M134)*(1-'Intermediate output'!AY$254)</f>
        <v>15.054935395296345</v>
      </c>
      <c r="G978" s="374">
        <f ca="1">(G768/$M152+G893/$M134)*(1-'Intermediate output'!AZ$254)</f>
        <v>14.190495927981656</v>
      </c>
      <c r="H978" s="374">
        <f ca="1">(H768/$M152+H893/$M134)*(1-'Intermediate output'!BA$254)</f>
        <v>11.945938786591473</v>
      </c>
      <c r="I978" s="374">
        <f ca="1">(I768/$M152+I893/$M134)*(1-'Intermediate output'!BB$254)</f>
        <v>10.279583946050648</v>
      </c>
      <c r="J978" s="374">
        <f ca="1">(J768/$M152+J893/$M134)*(1-'Intermediate output'!BC$254)</f>
        <v>8.4968467151504576</v>
      </c>
      <c r="K978" s="374">
        <f ca="1">(K768/$M152+K893/$M134)*(1-'Intermediate output'!BD$254)</f>
        <v>6.562897127983546</v>
      </c>
      <c r="L978" s="374">
        <f ca="1">(L768/$M152+L893/$M134)*(1-'Intermediate output'!BE$254)</f>
        <v>4.5064129342075061</v>
      </c>
      <c r="M978" s="374">
        <f ca="1">(M768/$M152+M893/$M134)*(1-'Intermediate output'!BF$254)</f>
        <v>2.3152887074593806</v>
      </c>
      <c r="N978" s="374">
        <f ca="1">(N768/$M152+N893/$M134)*(1-'Intermediate output'!BG$254)</f>
        <v>0</v>
      </c>
    </row>
    <row r="979" spans="1:25">
      <c r="A979"/>
      <c r="C979" s="2" t="s">
        <v>48</v>
      </c>
      <c r="E979" s="2" t="s">
        <v>145</v>
      </c>
      <c r="F979" s="374">
        <f ca="1">(F768/$M152+F893/$M134)*('Intermediate output'!AY$254)</f>
        <v>0.20184260847537577</v>
      </c>
      <c r="G979" s="374">
        <f ca="1">(G768/$M152+G893/$M134)*('Intermediate output'!AZ$254)</f>
        <v>0.22132857104996434</v>
      </c>
      <c r="H979" s="374">
        <f ca="1">(H768/$M152+H893/$M134)*('Intermediate output'!BA$254)</f>
        <v>0.18445580110180954</v>
      </c>
      <c r="I979" s="374">
        <f ca="1">(I768/$M152+I893/$M134)*('Intermediate output'!BB$254)</f>
        <v>0.16157031741205963</v>
      </c>
      <c r="J979" s="374">
        <f ca="1">(J768/$M152+J893/$M134)*('Intermediate output'!BC$254)</f>
        <v>8.3339601319633555E-2</v>
      </c>
      <c r="K979" s="374">
        <f ca="1">(K768/$M152+K893/$M134)*('Intermediate output'!BD$254)</f>
        <v>5.1788119805248577E-2</v>
      </c>
      <c r="L979" s="374">
        <f ca="1">(L768/$M152+L893/$M134)*('Intermediate output'!BE$254)</f>
        <v>2.6962627086183157E-2</v>
      </c>
      <c r="M979" s="374">
        <f ca="1">(M768/$M152+M893/$M134)*('Intermediate output'!BF$254)</f>
        <v>9.4140366267402836E-3</v>
      </c>
      <c r="N979" s="374">
        <f ca="1">(N768/$M152+N893/$M134)*('Intermediate output'!BG$254)</f>
        <v>0</v>
      </c>
    </row>
    <row r="980" spans="1:25">
      <c r="A980"/>
      <c r="C980" s="2" t="s">
        <v>49</v>
      </c>
      <c r="E980" s="2" t="s">
        <v>146</v>
      </c>
      <c r="F980" s="374">
        <f ca="1">(F769/$M153+F894/$M135)*(1-'Intermediate output'!AY$253)</f>
        <v>0.39252884892629852</v>
      </c>
      <c r="G980" s="374">
        <f ca="1">(G769/$M153+G894/$M135)*(1-'Intermediate output'!AZ$253)</f>
        <v>0.36314178402694353</v>
      </c>
      <c r="H980" s="374">
        <f ca="1">(H769/$M153+H894/$M135)*(1-'Intermediate output'!BA$253)</f>
        <v>0.29819356165136712</v>
      </c>
      <c r="I980" s="374">
        <f ca="1">(I769/$M153+I894/$M135)*(1-'Intermediate output'!BB$253)</f>
        <v>0.25162505710952554</v>
      </c>
      <c r="J980" s="374">
        <f ca="1">(J769/$M153+J894/$M135)*(1-'Intermediate output'!BC$253)</f>
        <v>0.18738705814886208</v>
      </c>
      <c r="K980" s="374">
        <f ca="1">(K769/$M153+K894/$M135)*(1-'Intermediate output'!BD$253)</f>
        <v>4.8480918263109386E-2</v>
      </c>
      <c r="L980" s="374">
        <f ca="1">(L769/$M153+L894/$M135)*(1-'Intermediate output'!BE$253)</f>
        <v>4.8590821571607851E-2</v>
      </c>
      <c r="M980" s="374">
        <f ca="1">(M769/$M153+M894/$M135)*(1-'Intermediate output'!BF$253)</f>
        <v>3.2172115141551404E-2</v>
      </c>
      <c r="N980" s="374">
        <f ca="1">(N769/$M153+N894/$M135)*(1-'Intermediate output'!BG$253)</f>
        <v>0</v>
      </c>
    </row>
    <row r="981" spans="1:25">
      <c r="A981"/>
      <c r="C981" s="2" t="s">
        <v>49</v>
      </c>
      <c r="E981" s="2" t="s">
        <v>147</v>
      </c>
      <c r="F981" s="374">
        <f ca="1">(F769/$M153+F894/$M135)*('Intermediate output'!AY$253)</f>
        <v>1.9678678889939301E-2</v>
      </c>
      <c r="G981" s="374">
        <f ca="1">(G769/$M153+G894/$M135)*('Intermediate output'!AZ$253)</f>
        <v>2.6236795552485804E-2</v>
      </c>
      <c r="H981" s="374">
        <f ca="1">(H769/$M153+H894/$M135)*('Intermediate output'!BA$253)</f>
        <v>2.9545359580388321E-2</v>
      </c>
      <c r="I981" s="374">
        <f ca="1">(I769/$M153+I894/$M135)*('Intermediate output'!BB$253)</f>
        <v>3.0473980146304914E-2</v>
      </c>
      <c r="J981" s="374">
        <f ca="1">(J769/$M153+J894/$M135)*('Intermediate output'!BC$253)</f>
        <v>4.4432359348101538E-2</v>
      </c>
      <c r="K981" s="374">
        <f ca="1">(K769/$M153+K894/$M135)*('Intermediate output'!BD$253)</f>
        <v>0.13023460428034578</v>
      </c>
      <c r="L981" s="374">
        <f ca="1">(L769/$M153+L894/$M135)*('Intermediate output'!BE$253)</f>
        <v>7.3891889543507616E-2</v>
      </c>
      <c r="M981" s="374">
        <f ca="1">(M769/$M153+M894/$M135)*('Intermediate output'!BF$253)</f>
        <v>3.0636688316850215E-2</v>
      </c>
      <c r="N981" s="374">
        <f ca="1">(N769/$M153+N894/$M135)*('Intermediate output'!BG$253)</f>
        <v>0</v>
      </c>
    </row>
    <row r="982" spans="1:25">
      <c r="A982"/>
      <c r="C982" s="2" t="s">
        <v>50</v>
      </c>
      <c r="E982" s="2" t="s">
        <v>141</v>
      </c>
      <c r="F982" s="374">
        <f ca="1">(F770/$M154+F895/$M136)*(1-'Intermediate output'!AY$255)</f>
        <v>0</v>
      </c>
      <c r="G982" s="374">
        <f ca="1">(G770/$M154+G895/$M136)*(1-'Intermediate output'!AZ$255)</f>
        <v>0</v>
      </c>
      <c r="H982" s="374">
        <f ca="1">(H770/$M154+H895/$M136)*(1-'Intermediate output'!BA$255)</f>
        <v>0</v>
      </c>
      <c r="I982" s="374">
        <f ca="1">(I770/$M154+I895/$M136)*(1-'Intermediate output'!BB$255)</f>
        <v>0</v>
      </c>
      <c r="J982" s="374">
        <f ca="1">(J770/$M154+J895/$M136)*(1-'Intermediate output'!BC$255)</f>
        <v>0</v>
      </c>
      <c r="K982" s="374">
        <f ca="1">(K770/$M154+K895/$M136)*(1-'Intermediate output'!BD$255)</f>
        <v>0</v>
      </c>
      <c r="L982" s="374">
        <f ca="1">(L770/$M154+L895/$M136)*(1-'Intermediate output'!BE$255)</f>
        <v>0</v>
      </c>
      <c r="M982" s="374">
        <f ca="1">(M770/$M154+M895/$M136)*(1-'Intermediate output'!BF$255)</f>
        <v>0</v>
      </c>
      <c r="N982" s="374">
        <f ca="1">(N770/$M154+N895/$M136)*(1-'Intermediate output'!BG$255)</f>
        <v>0</v>
      </c>
    </row>
    <row r="983" spans="1:25">
      <c r="A983"/>
      <c r="C983" s="2" t="s">
        <v>50</v>
      </c>
      <c r="E983" s="2" t="s">
        <v>142</v>
      </c>
      <c r="F983" s="374">
        <f ca="1">(F770/$M154+F895/$M136)*('Intermediate output'!AY$255)</f>
        <v>0</v>
      </c>
      <c r="G983" s="374">
        <f ca="1">(G770/$M154+G895/$M136)*('Intermediate output'!AZ$255)</f>
        <v>0</v>
      </c>
      <c r="H983" s="374">
        <f ca="1">(H770/$M154+H895/$M136)*('Intermediate output'!BA$255)</f>
        <v>0</v>
      </c>
      <c r="I983" s="374">
        <f ca="1">(I770/$M154+I895/$M136)*('Intermediate output'!BB$255)</f>
        <v>0</v>
      </c>
      <c r="J983" s="374">
        <f ca="1">(J770/$M154+J895/$M136)*('Intermediate output'!BC$255)</f>
        <v>0</v>
      </c>
      <c r="K983" s="374">
        <f ca="1">(K770/$M154+K895/$M136)*('Intermediate output'!BD$255)</f>
        <v>0</v>
      </c>
      <c r="L983" s="374">
        <f ca="1">(L770/$M154+L895/$M136)*('Intermediate output'!BE$255)</f>
        <v>0</v>
      </c>
      <c r="M983" s="374">
        <f ca="1">(M770/$M154+M895/$M136)*('Intermediate output'!BF$255)</f>
        <v>0</v>
      </c>
      <c r="N983" s="374">
        <f ca="1">(N770/$M154+N895/$M136)*('Intermediate output'!BG$255)</f>
        <v>0</v>
      </c>
    </row>
    <row r="984" spans="1:25">
      <c r="A984"/>
      <c r="C984" s="2" t="s">
        <v>51</v>
      </c>
      <c r="E984" s="2" t="s">
        <v>141</v>
      </c>
      <c r="F984" s="374">
        <f ca="1">(F771/$M155+F896/$M137)*(1-'Intermediate output'!AY$255)</f>
        <v>0</v>
      </c>
      <c r="G984" s="374">
        <f ca="1">(G771/$M155+G896/$M137)*(1-'Intermediate output'!AZ$255)</f>
        <v>0</v>
      </c>
      <c r="H984" s="374">
        <f ca="1">(H771/$M155+H896/$M137)*(1-'Intermediate output'!BA$255)</f>
        <v>0</v>
      </c>
      <c r="I984" s="374">
        <f ca="1">(I771/$M155+I896/$M137)*(1-'Intermediate output'!BB$255)</f>
        <v>0</v>
      </c>
      <c r="J984" s="374">
        <f ca="1">(J771/$M155+J896/$M137)*(1-'Intermediate output'!BC$255)</f>
        <v>0</v>
      </c>
      <c r="K984" s="374">
        <f ca="1">(K771/$M155+K896/$M137)*(1-'Intermediate output'!BD$255)</f>
        <v>0</v>
      </c>
      <c r="L984" s="374">
        <f ca="1">(L771/$M155+L896/$M137)*(1-'Intermediate output'!BE$255)</f>
        <v>0</v>
      </c>
      <c r="M984" s="374">
        <f ca="1">(M771/$M155+M896/$M137)*(1-'Intermediate output'!BF$255)</f>
        <v>0</v>
      </c>
      <c r="N984" s="374">
        <f ca="1">(N771/$M155+N896/$M137)*(1-'Intermediate output'!BG$255)</f>
        <v>0</v>
      </c>
    </row>
    <row r="985" spans="1:25">
      <c r="A985"/>
      <c r="C985" s="2" t="s">
        <v>51</v>
      </c>
      <c r="E985" s="2" t="s">
        <v>142</v>
      </c>
      <c r="F985" s="374">
        <f ca="1">(F771/$M155+F896/$M137)*('Intermediate output'!AY$255)</f>
        <v>0</v>
      </c>
      <c r="G985" s="374">
        <f ca="1">(G771/$M155+G896/$M137)*('Intermediate output'!AZ$255)</f>
        <v>0</v>
      </c>
      <c r="H985" s="374">
        <f ca="1">(H771/$M155+H896/$M137)*('Intermediate output'!BA$255)</f>
        <v>0</v>
      </c>
      <c r="I985" s="374">
        <f ca="1">(I771/$M155+I896/$M137)*('Intermediate output'!BB$255)</f>
        <v>0</v>
      </c>
      <c r="J985" s="374">
        <f ca="1">(J771/$M155+J896/$M137)*('Intermediate output'!BC$255)</f>
        <v>0</v>
      </c>
      <c r="K985" s="374">
        <f ca="1">(K771/$M155+K896/$M137)*('Intermediate output'!BD$255)</f>
        <v>0</v>
      </c>
      <c r="L985" s="374">
        <f ca="1">(L771/$M155+L896/$M137)*('Intermediate output'!BE$255)</f>
        <v>0</v>
      </c>
      <c r="M985" s="374">
        <f ca="1">(M771/$M155+M896/$M137)*('Intermediate output'!BF$255)</f>
        <v>0</v>
      </c>
      <c r="N985" s="374">
        <f ca="1">(N771/$M155+N896/$M137)*('Intermediate output'!BG$255)</f>
        <v>0</v>
      </c>
    </row>
    <row r="986" spans="1:25">
      <c r="A986"/>
      <c r="C986" s="2" t="s">
        <v>55</v>
      </c>
      <c r="E986" s="2" t="s">
        <v>141</v>
      </c>
      <c r="F986" s="374">
        <f ca="1">(F775/$M159+F900/$M141)*(1-'Intermediate output'!AY$255)</f>
        <v>0</v>
      </c>
      <c r="G986" s="374">
        <f ca="1">(G775/$M159+G900/$M141)*(1-'Intermediate output'!AZ$255)</f>
        <v>0</v>
      </c>
      <c r="H986" s="374">
        <f ca="1">(H775/$M159+H900/$M141)*(1-'Intermediate output'!BA$255)</f>
        <v>0</v>
      </c>
      <c r="I986" s="374">
        <f ca="1">(I775/$M159+I900/$M141)*(1-'Intermediate output'!BB$255)</f>
        <v>0</v>
      </c>
      <c r="J986" s="374">
        <f ca="1">(J775/$M159+J900/$M141)*(1-'Intermediate output'!BC$255)</f>
        <v>0</v>
      </c>
      <c r="K986" s="374">
        <f ca="1">(K775/$M159+K900/$M141)*(1-'Intermediate output'!BD$255)</f>
        <v>0</v>
      </c>
      <c r="L986" s="374">
        <f ca="1">(L775/$M159+L900/$M141)*(1-'Intermediate output'!BE$255)</f>
        <v>0</v>
      </c>
      <c r="M986" s="374">
        <f ca="1">(M775/$M159+M900/$M141)*(1-'Intermediate output'!BF$255)</f>
        <v>0</v>
      </c>
      <c r="N986" s="374">
        <f ca="1">(N775/$M159+N900/$M141)*(1-'Intermediate output'!BG$255)</f>
        <v>0</v>
      </c>
    </row>
    <row r="987" spans="1:25">
      <c r="A987"/>
      <c r="C987" s="2" t="s">
        <v>55</v>
      </c>
      <c r="E987" s="2" t="s">
        <v>142</v>
      </c>
      <c r="F987" s="374">
        <f ca="1">(F775/$M159+F900/$M141)*('Intermediate output'!AY$255)</f>
        <v>0</v>
      </c>
      <c r="G987" s="374">
        <f ca="1">(G775/$M159+G900/$M141)*('Intermediate output'!AZ$255)</f>
        <v>0</v>
      </c>
      <c r="H987" s="374">
        <f ca="1">(H775/$M159+H900/$M141)*('Intermediate output'!BA$255)</f>
        <v>0</v>
      </c>
      <c r="I987" s="374">
        <f ca="1">(I775/$M159+I900/$M141)*('Intermediate output'!BB$255)</f>
        <v>0</v>
      </c>
      <c r="J987" s="374">
        <f ca="1">(J775/$M159+J900/$M141)*('Intermediate output'!BC$255)</f>
        <v>0</v>
      </c>
      <c r="K987" s="374">
        <f ca="1">(K775/$M159+K900/$M141)*('Intermediate output'!BD$255)</f>
        <v>0</v>
      </c>
      <c r="L987" s="374">
        <f ca="1">(L775/$M159+L900/$M141)*('Intermediate output'!BE$255)</f>
        <v>0</v>
      </c>
      <c r="M987" s="374">
        <f ca="1">(M775/$M159+M900/$M141)*('Intermediate output'!BF$255)</f>
        <v>0</v>
      </c>
      <c r="N987" s="374">
        <f ca="1">(N775/$M159+N900/$M141)*('Intermediate output'!BG$255)</f>
        <v>0</v>
      </c>
      <c r="O987" s="374"/>
    </row>
    <row r="988" spans="1:25">
      <c r="A988"/>
      <c r="C988" s="2" t="s">
        <v>56</v>
      </c>
      <c r="E988" s="2" t="s">
        <v>146</v>
      </c>
      <c r="F988" s="374">
        <f ca="1">(F776/$M160+F901/$M142)*(1-'Intermediate output'!AY$253)</f>
        <v>0</v>
      </c>
      <c r="G988" s="374">
        <f ca="1">(G776/$M160+G901/$M142)*(1-'Intermediate output'!AZ$253)</f>
        <v>0</v>
      </c>
      <c r="H988" s="374">
        <f ca="1">(H776/$M160+H901/$M142)*(1-'Intermediate output'!BA$253)</f>
        <v>0</v>
      </c>
      <c r="I988" s="374">
        <f ca="1">(I776/$M160+I901/$M142)*(1-'Intermediate output'!BB$253)</f>
        <v>0</v>
      </c>
      <c r="J988" s="374">
        <f ca="1">(J776/$M160+J901/$M142)*(1-'Intermediate output'!BC$253)</f>
        <v>0</v>
      </c>
      <c r="K988" s="374">
        <f ca="1">(K776/$M160+K901/$M142)*(1-'Intermediate output'!BD$253)</f>
        <v>0</v>
      </c>
      <c r="L988" s="374">
        <f ca="1">(L776/$M160+L901/$M142)*(1-'Intermediate output'!BE$253)</f>
        <v>0</v>
      </c>
      <c r="M988" s="374">
        <f ca="1">(M776/$M160+M901/$M142)*(1-'Intermediate output'!BF$253)</f>
        <v>0</v>
      </c>
      <c r="N988" s="374">
        <f ca="1">(N776/$M160+N901/$M142)*(1-'Intermediate output'!BG$253)</f>
        <v>0</v>
      </c>
    </row>
    <row r="989" spans="1:25">
      <c r="A989"/>
      <c r="C989" s="2" t="s">
        <v>56</v>
      </c>
      <c r="E989" s="2" t="s">
        <v>147</v>
      </c>
      <c r="F989" s="374">
        <f ca="1">(F776/$M160+F901/$M142)*('Intermediate output'!AY$253)</f>
        <v>0</v>
      </c>
      <c r="G989" s="374">
        <f ca="1">(G776/$M160+G901/$M142)*('Intermediate output'!AZ$253)</f>
        <v>0</v>
      </c>
      <c r="H989" s="374">
        <f ca="1">(H776/$M160+H901/$M142)*('Intermediate output'!BA$253)</f>
        <v>0</v>
      </c>
      <c r="I989" s="374">
        <f ca="1">(I776/$M160+I901/$M142)*('Intermediate output'!BB$253)</f>
        <v>0</v>
      </c>
      <c r="J989" s="374">
        <f ca="1">(J776/$M160+J901/$M142)*('Intermediate output'!BC$253)</f>
        <v>0</v>
      </c>
      <c r="K989" s="374">
        <f ca="1">(K776/$M160+K901/$M142)*('Intermediate output'!BD$253)</f>
        <v>0</v>
      </c>
      <c r="L989" s="374">
        <f ca="1">(L776/$M160+L901/$M142)*('Intermediate output'!BE$253)</f>
        <v>0</v>
      </c>
      <c r="M989" s="374">
        <f ca="1">(M776/$M160+M901/$M142)*('Intermediate output'!BF$253)</f>
        <v>0</v>
      </c>
      <c r="N989" s="374">
        <f ca="1">(N776/$M160+N901/$M142)*('Intermediate output'!BG$253)</f>
        <v>0</v>
      </c>
    </row>
    <row r="990" spans="1:25" s="4" customFormat="1">
      <c r="A990"/>
      <c r="B990" s="358"/>
      <c r="C990" t="s">
        <v>255</v>
      </c>
      <c r="D990" s="2"/>
      <c r="E990" s="358"/>
      <c r="F990" s="406">
        <f ca="1">SUM(F974:F989)</f>
        <v>25.115356388964734</v>
      </c>
      <c r="G990" s="406">
        <f t="shared" ref="G990:N990" ca="1" si="140">SUM(G974:G989)</f>
        <v>25.000743814361535</v>
      </c>
      <c r="H990" s="406">
        <f t="shared" ca="1" si="140"/>
        <v>24.355435457701649</v>
      </c>
      <c r="I990" s="406">
        <f t="shared" ca="1" si="140"/>
        <v>24.955321045479998</v>
      </c>
      <c r="J990" s="406">
        <f t="shared" ca="1" si="140"/>
        <v>25.427612204125214</v>
      </c>
      <c r="K990" s="406">
        <f t="shared" ca="1" si="140"/>
        <v>25.924613208934755</v>
      </c>
      <c r="L990" s="406">
        <f t="shared" ca="1" si="140"/>
        <v>26.432753007153284</v>
      </c>
      <c r="M990" s="406">
        <f t="shared" ca="1" si="140"/>
        <v>26.88529523153445</v>
      </c>
      <c r="N990" s="406">
        <f t="shared" ca="1" si="140"/>
        <v>27.349254133477515</v>
      </c>
      <c r="O990" s="2"/>
      <c r="Q990" s="365"/>
      <c r="W990" s="365"/>
      <c r="X990" s="365"/>
      <c r="Y990" s="365"/>
    </row>
    <row r="991" spans="1:25" s="4" customFormat="1">
      <c r="A991"/>
      <c r="B991" s="358"/>
      <c r="C991" s="2" t="s">
        <v>256</v>
      </c>
      <c r="D991" s="2"/>
      <c r="E991" s="355"/>
      <c r="F991" s="407" t="str">
        <f t="shared" ref="F991:N991" ca="1" si="141">IF(SUM(F1248:F1250,F990)=0,"ok",F990+SUM(F1248:F1250))</f>
        <v>ok</v>
      </c>
      <c r="G991" s="407" t="str">
        <f t="shared" ca="1" si="141"/>
        <v>ok</v>
      </c>
      <c r="H991" s="407" t="str">
        <f t="shared" ca="1" si="141"/>
        <v>ok</v>
      </c>
      <c r="I991" s="407" t="str">
        <f t="shared" ca="1" si="141"/>
        <v>ok</v>
      </c>
      <c r="J991" s="407" t="str">
        <f t="shared" ca="1" si="141"/>
        <v>ok</v>
      </c>
      <c r="K991" s="407" t="str">
        <f t="shared" ca="1" si="141"/>
        <v>ok</v>
      </c>
      <c r="L991" s="407" t="str">
        <f t="shared" ca="1" si="141"/>
        <v>ok</v>
      </c>
      <c r="M991" s="407" t="str">
        <f t="shared" ca="1" si="141"/>
        <v>ok</v>
      </c>
      <c r="N991" s="407" t="str">
        <f t="shared" ca="1" si="141"/>
        <v>ok</v>
      </c>
      <c r="O991" s="2"/>
      <c r="Q991" s="365"/>
      <c r="W991" s="365"/>
      <c r="X991" s="365"/>
      <c r="Y991" s="365"/>
    </row>
    <row r="992" spans="1:25" s="4" customFormat="1">
      <c r="B992" s="358"/>
      <c r="C992" s="2"/>
      <c r="D992" s="2"/>
      <c r="E992" s="355"/>
      <c r="F992" s="397"/>
      <c r="G992" s="397"/>
      <c r="H992" s="397"/>
      <c r="I992" s="397"/>
      <c r="J992" s="397"/>
      <c r="K992" s="397"/>
      <c r="L992" s="397"/>
      <c r="M992" s="397"/>
      <c r="N992" s="397"/>
      <c r="O992" s="2"/>
      <c r="Q992" s="365"/>
      <c r="W992" s="365"/>
      <c r="X992" s="365"/>
      <c r="Y992" s="365"/>
    </row>
    <row r="993" spans="2:16" customFormat="1">
      <c r="B993" s="2"/>
      <c r="C993" s="2" t="s">
        <v>28</v>
      </c>
      <c r="D993" s="2" t="s">
        <v>29</v>
      </c>
      <c r="F993" s="355">
        <v>2013</v>
      </c>
      <c r="G993" s="355" t="s">
        <v>132</v>
      </c>
      <c r="H993" s="355" t="s">
        <v>133</v>
      </c>
      <c r="I993" s="355" t="s">
        <v>134</v>
      </c>
      <c r="J993" s="355" t="s">
        <v>135</v>
      </c>
      <c r="K993" s="355" t="s">
        <v>136</v>
      </c>
      <c r="L993" s="355" t="s">
        <v>137</v>
      </c>
      <c r="M993" s="355" t="s">
        <v>138</v>
      </c>
      <c r="N993" s="355" t="s">
        <v>139</v>
      </c>
      <c r="O993" s="2"/>
      <c r="P993" s="2"/>
    </row>
    <row r="994" spans="2:16" customFormat="1">
      <c r="B994" s="2"/>
      <c r="C994" s="2" t="s">
        <v>257</v>
      </c>
      <c r="D994" s="2" t="s">
        <v>258</v>
      </c>
      <c r="F994" s="2480">
        <f t="shared" ref="F994:N994" ca="1" si="142">SUMPRODUCT(F974:F989,F291:F306)</f>
        <v>0.52475339775735286</v>
      </c>
      <c r="G994" s="2480">
        <f t="shared" ca="1" si="142"/>
        <v>0.45178368378945</v>
      </c>
      <c r="H994" s="2480">
        <f t="shared" ca="1" si="142"/>
        <v>0.33434905652691316</v>
      </c>
      <c r="I994" s="2480">
        <f t="shared" ca="1" si="142"/>
        <v>0.24333274947171363</v>
      </c>
      <c r="J994" s="2480">
        <f t="shared" ca="1" si="142"/>
        <v>0.16453266117412613</v>
      </c>
      <c r="K994" s="2480">
        <f t="shared" ca="1" si="142"/>
        <v>0.16760125132700598</v>
      </c>
      <c r="L994" s="2480">
        <f t="shared" ca="1" si="142"/>
        <v>0.12652280482432679</v>
      </c>
      <c r="M994" s="2480">
        <f t="shared" ca="1" si="142"/>
        <v>8.8200938623802072E-2</v>
      </c>
      <c r="N994" s="2480">
        <f t="shared" ca="1" si="142"/>
        <v>5.231856584484048E-2</v>
      </c>
      <c r="O994" s="2"/>
      <c r="P994" s="2"/>
    </row>
    <row r="995" spans="2:16" customFormat="1">
      <c r="B995" s="2"/>
      <c r="C995" s="2" t="s">
        <v>259</v>
      </c>
      <c r="D995" s="2" t="s">
        <v>260</v>
      </c>
      <c r="F995" s="2480">
        <f t="shared" ref="F995:N995" ca="1" si="143">SUMPRODUCT(F974:F989,F311:F326)</f>
        <v>4.6088194390232173</v>
      </c>
      <c r="G995" s="2480">
        <f t="shared" ca="1" si="143"/>
        <v>4.4363145189327904</v>
      </c>
      <c r="H995" s="2480">
        <f t="shared" ca="1" si="143"/>
        <v>3.9650990762783938</v>
      </c>
      <c r="I995" s="2480">
        <f t="shared" ca="1" si="143"/>
        <v>3.6903221146098675</v>
      </c>
      <c r="J995" s="2480">
        <f t="shared" ca="1" si="143"/>
        <v>3.3849751050114545</v>
      </c>
      <c r="K995" s="2480">
        <f t="shared" ca="1" si="143"/>
        <v>3.047826211023783</v>
      </c>
      <c r="L995" s="2480">
        <f t="shared" ca="1" si="143"/>
        <v>2.6959126287678514</v>
      </c>
      <c r="M995" s="2480">
        <f t="shared" ca="1" si="143"/>
        <v>2.313717161819306</v>
      </c>
      <c r="N995" s="2480">
        <f t="shared" ca="1" si="143"/>
        <v>1.9087882998132717</v>
      </c>
      <c r="O995" s="2"/>
      <c r="P995" s="2"/>
    </row>
    <row r="996" spans="2:16" customFormat="1">
      <c r="B996" s="2"/>
      <c r="C996" s="2" t="s">
        <v>261</v>
      </c>
      <c r="D996" s="2" t="s">
        <v>262</v>
      </c>
      <c r="F996" s="2480">
        <f t="shared" ref="F996:N996" ca="1" si="144">SUMPRODUCT(F974:F989,F331:F346)</f>
        <v>1.8682948885721502</v>
      </c>
      <c r="G996" s="2480">
        <f t="shared" ca="1" si="144"/>
        <v>1.7387263425178023</v>
      </c>
      <c r="H996" s="2480">
        <f t="shared" ca="1" si="144"/>
        <v>1.4392083702683889</v>
      </c>
      <c r="I996" s="2480">
        <f t="shared" ca="1" si="144"/>
        <v>1.2222327381297537</v>
      </c>
      <c r="J996" s="2480">
        <f t="shared" ca="1" si="144"/>
        <v>0.94299012157208628</v>
      </c>
      <c r="K996" s="2480">
        <f t="shared" ca="1" si="144"/>
        <v>0.41434032453787834</v>
      </c>
      <c r="L996" s="2480">
        <f t="shared" ca="1" si="144"/>
        <v>0.33440888130696583</v>
      </c>
      <c r="M996" s="2480">
        <f t="shared" ca="1" si="144"/>
        <v>0.19531579761930304</v>
      </c>
      <c r="N996" s="2480">
        <f t="shared" ca="1" si="144"/>
        <v>0</v>
      </c>
      <c r="O996" s="2"/>
      <c r="P996" s="2"/>
    </row>
    <row r="997" spans="2:16" customFormat="1">
      <c r="B997" s="2"/>
      <c r="C997" s="2" t="s">
        <v>263</v>
      </c>
      <c r="D997" s="2" t="s">
        <v>264</v>
      </c>
      <c r="F997" s="2480">
        <f t="shared" ref="F997:N997" ca="1" si="145">SUMPRODUCT(F974:F989,F351:F366)</f>
        <v>0.81102088544939488</v>
      </c>
      <c r="G997" s="2480">
        <f t="shared" ca="1" si="145"/>
        <v>0.88032238128850138</v>
      </c>
      <c r="H997" s="2480">
        <f t="shared" ca="1" si="145"/>
        <v>0.86785315539806041</v>
      </c>
      <c r="I997" s="2480">
        <f t="shared" ca="1" si="145"/>
        <v>0.84708244320832282</v>
      </c>
      <c r="J997" s="2480">
        <f t="shared" ca="1" si="145"/>
        <v>0.9943179460082272</v>
      </c>
      <c r="K997" s="2480">
        <f t="shared" ca="1" si="145"/>
        <v>2.1067406156386155</v>
      </c>
      <c r="L997" s="2480">
        <f t="shared" ca="1" si="145"/>
        <v>1.3069058336883177</v>
      </c>
      <c r="M997" s="2480">
        <f t="shared" ca="1" si="145"/>
        <v>0.67997248676484345</v>
      </c>
      <c r="N997" s="2480">
        <f t="shared" ca="1" si="145"/>
        <v>0.22031584601812343</v>
      </c>
      <c r="O997" s="2"/>
      <c r="P997" s="2"/>
    </row>
    <row r="998" spans="2:16" s="4" customFormat="1">
      <c r="B998" s="2"/>
      <c r="C998" s="2"/>
      <c r="D998" s="2"/>
      <c r="E998" s="2"/>
      <c r="F998" s="404"/>
      <c r="G998" s="404"/>
      <c r="H998" s="404"/>
      <c r="I998" s="404"/>
      <c r="J998" s="404"/>
      <c r="K998" s="404"/>
      <c r="L998" s="404"/>
      <c r="M998" s="404"/>
      <c r="N998" s="404"/>
      <c r="O998" s="2"/>
    </row>
    <row r="999" spans="2:16" s="392" customFormat="1">
      <c r="B999" s="399">
        <v>7</v>
      </c>
      <c r="C999" s="399" t="s">
        <v>265</v>
      </c>
      <c r="D999" s="38"/>
      <c r="E999" s="38"/>
      <c r="F999" s="408"/>
      <c r="G999" s="408"/>
      <c r="H999" s="408"/>
      <c r="I999" s="408"/>
      <c r="J999" s="408"/>
      <c r="K999" s="408"/>
      <c r="L999" s="408"/>
      <c r="M999" s="408"/>
      <c r="N999" s="408"/>
      <c r="O999" s="38"/>
    </row>
    <row r="1000" spans="2:16" s="4" customFormat="1">
      <c r="B1000" s="2"/>
      <c r="C1000" s="2"/>
      <c r="D1000" s="2"/>
      <c r="E1000" s="2"/>
      <c r="F1000" s="404"/>
      <c r="G1000" s="404"/>
      <c r="H1000" s="404"/>
      <c r="I1000" s="404"/>
      <c r="J1000" s="404"/>
      <c r="K1000" s="404"/>
      <c r="L1000" s="404"/>
      <c r="M1000" s="404"/>
      <c r="N1000" s="404"/>
      <c r="O1000" s="2"/>
    </row>
    <row r="1001" spans="2:16" s="4" customFormat="1">
      <c r="B1001" s="354"/>
      <c r="C1001" s="354" t="s">
        <v>266</v>
      </c>
      <c r="D1001" s="2"/>
      <c r="E1001" s="355"/>
      <c r="F1001" s="355">
        <v>2013</v>
      </c>
      <c r="G1001" s="355">
        <v>2015</v>
      </c>
      <c r="H1001" s="355">
        <v>2020</v>
      </c>
      <c r="I1001" s="355">
        <v>2025</v>
      </c>
      <c r="J1001" s="355">
        <v>2030</v>
      </c>
      <c r="K1001" s="355">
        <v>2035</v>
      </c>
      <c r="L1001" s="355">
        <v>2040</v>
      </c>
      <c r="M1001" s="355">
        <v>2045</v>
      </c>
      <c r="N1001" s="355">
        <v>2050</v>
      </c>
      <c r="O1001" s="2"/>
    </row>
    <row r="1002" spans="2:16" s="4" customFormat="1">
      <c r="B1002" s="2"/>
      <c r="C1002" s="2"/>
      <c r="D1002" s="2"/>
      <c r="E1002" s="2"/>
      <c r="F1002" s="358"/>
      <c r="G1002" s="358"/>
      <c r="H1002" s="358"/>
      <c r="I1002" s="358"/>
      <c r="J1002" s="358"/>
      <c r="K1002" s="358"/>
      <c r="L1002" s="358"/>
      <c r="M1002" s="358"/>
      <c r="N1002" s="358"/>
      <c r="O1002" s="2"/>
    </row>
    <row r="1003" spans="2:16" s="4" customFormat="1">
      <c r="B1003" s="358">
        <v>1</v>
      </c>
      <c r="C1003" s="2" t="s">
        <v>45</v>
      </c>
      <c r="D1003" s="2"/>
      <c r="E1003" s="2"/>
      <c r="F1003" s="365"/>
      <c r="G1003" s="365"/>
      <c r="H1003" s="365"/>
      <c r="I1003" s="365"/>
      <c r="J1003" s="365"/>
      <c r="K1003" s="365"/>
      <c r="L1003" s="365"/>
      <c r="M1003" s="365"/>
      <c r="N1003" s="365"/>
      <c r="O1003" s="2"/>
    </row>
    <row r="1004" spans="2:16" s="4" customFormat="1">
      <c r="B1004" s="358">
        <v>2</v>
      </c>
      <c r="C1004" s="2" t="s">
        <v>46</v>
      </c>
      <c r="D1004" s="2"/>
      <c r="E1004" s="2"/>
      <c r="F1004" s="365"/>
      <c r="G1004" s="365"/>
      <c r="H1004" s="365"/>
      <c r="I1004" s="365"/>
      <c r="J1004" s="365"/>
      <c r="K1004" s="365"/>
      <c r="L1004" s="365"/>
      <c r="M1004" s="365"/>
      <c r="N1004" s="365"/>
      <c r="O1004" s="2"/>
    </row>
    <row r="1005" spans="2:16" s="4" customFormat="1">
      <c r="B1005" s="358">
        <v>3</v>
      </c>
      <c r="C1005" s="2" t="s">
        <v>47</v>
      </c>
      <c r="D1005" s="2"/>
      <c r="E1005" s="2"/>
      <c r="F1005" s="365"/>
      <c r="G1005" s="365"/>
      <c r="H1005" s="365"/>
      <c r="I1005" s="365"/>
      <c r="J1005" s="365"/>
      <c r="K1005" s="365"/>
      <c r="L1005" s="365"/>
      <c r="M1005" s="365"/>
      <c r="N1005" s="365"/>
      <c r="O1005" s="2"/>
    </row>
    <row r="1006" spans="2:16" s="4" customFormat="1">
      <c r="B1006" s="358">
        <v>4</v>
      </c>
      <c r="C1006" s="2" t="s">
        <v>48</v>
      </c>
      <c r="D1006" s="2"/>
      <c r="E1006" s="2"/>
      <c r="F1006" s="365"/>
      <c r="G1006" s="365"/>
      <c r="H1006" s="365"/>
      <c r="I1006" s="365"/>
      <c r="J1006" s="365"/>
      <c r="K1006" s="365"/>
      <c r="L1006" s="365"/>
      <c r="M1006" s="365"/>
      <c r="N1006" s="365"/>
      <c r="O1006" s="2"/>
    </row>
    <row r="1007" spans="2:16" s="4" customFormat="1">
      <c r="B1007" s="358">
        <v>5</v>
      </c>
      <c r="C1007" s="2" t="s">
        <v>49</v>
      </c>
      <c r="D1007" s="2"/>
      <c r="E1007" s="2"/>
      <c r="F1007" s="365"/>
      <c r="G1007" s="365"/>
      <c r="H1007" s="365"/>
      <c r="I1007" s="365"/>
      <c r="J1007" s="365"/>
      <c r="K1007" s="365"/>
      <c r="L1007" s="365"/>
      <c r="M1007" s="365"/>
      <c r="N1007" s="365"/>
      <c r="O1007" s="2"/>
    </row>
    <row r="1008" spans="2:16" s="4" customFormat="1">
      <c r="B1008" s="358">
        <v>6</v>
      </c>
      <c r="C1008" s="2" t="s">
        <v>50</v>
      </c>
      <c r="D1008" s="2"/>
      <c r="E1008" s="2"/>
      <c r="F1008" s="365">
        <f t="shared" ref="F1008:N1008" ca="1" si="146">F770+F895</f>
        <v>0</v>
      </c>
      <c r="G1008" s="365">
        <f t="shared" ca="1" si="146"/>
        <v>0</v>
      </c>
      <c r="H1008" s="365">
        <f t="shared" ca="1" si="146"/>
        <v>0</v>
      </c>
      <c r="I1008" s="365">
        <f t="shared" ca="1" si="146"/>
        <v>0</v>
      </c>
      <c r="J1008" s="365">
        <f t="shared" ca="1" si="146"/>
        <v>0</v>
      </c>
      <c r="K1008" s="365">
        <f t="shared" ca="1" si="146"/>
        <v>0</v>
      </c>
      <c r="L1008" s="365">
        <f t="shared" ca="1" si="146"/>
        <v>0</v>
      </c>
      <c r="M1008" s="365">
        <f t="shared" ca="1" si="146"/>
        <v>0</v>
      </c>
      <c r="N1008" s="365">
        <f t="shared" ca="1" si="146"/>
        <v>0</v>
      </c>
      <c r="O1008" s="2"/>
    </row>
    <row r="1009" spans="2:25" s="4" customFormat="1">
      <c r="B1009" s="358">
        <v>7</v>
      </c>
      <c r="C1009" s="2" t="s">
        <v>51</v>
      </c>
      <c r="D1009" s="2"/>
      <c r="E1009" s="2"/>
      <c r="F1009" s="365">
        <f t="shared" ref="F1009:N1009" ca="1" si="147">F771+F896</f>
        <v>0</v>
      </c>
      <c r="G1009" s="365">
        <f t="shared" ca="1" si="147"/>
        <v>0</v>
      </c>
      <c r="H1009" s="365">
        <f t="shared" ca="1" si="147"/>
        <v>0</v>
      </c>
      <c r="I1009" s="365">
        <f t="shared" ca="1" si="147"/>
        <v>0</v>
      </c>
      <c r="J1009" s="365">
        <f t="shared" ca="1" si="147"/>
        <v>0</v>
      </c>
      <c r="K1009" s="365">
        <f t="shared" ca="1" si="147"/>
        <v>0</v>
      </c>
      <c r="L1009" s="365">
        <f t="shared" ca="1" si="147"/>
        <v>0</v>
      </c>
      <c r="M1009" s="365">
        <f t="shared" ca="1" si="147"/>
        <v>0</v>
      </c>
      <c r="N1009" s="365">
        <f t="shared" ca="1" si="147"/>
        <v>0</v>
      </c>
      <c r="O1009" s="2"/>
    </row>
    <row r="1010" spans="2:25" s="4" customFormat="1">
      <c r="B1010" s="358">
        <v>8</v>
      </c>
      <c r="C1010" s="2" t="s">
        <v>52</v>
      </c>
      <c r="D1010" s="2"/>
      <c r="E1010" s="2"/>
      <c r="F1010" s="365"/>
      <c r="G1010" s="365"/>
      <c r="H1010" s="365"/>
      <c r="I1010" s="365"/>
      <c r="J1010" s="365"/>
      <c r="K1010" s="365"/>
      <c r="L1010" s="365"/>
      <c r="M1010" s="365"/>
      <c r="N1010" s="365"/>
      <c r="O1010" s="2"/>
    </row>
    <row r="1011" spans="2:25" s="4" customFormat="1">
      <c r="B1011" s="358">
        <v>9</v>
      </c>
      <c r="C1011" s="2" t="s">
        <v>53</v>
      </c>
      <c r="D1011" s="2"/>
      <c r="E1011" s="2"/>
      <c r="F1011" s="365"/>
      <c r="G1011" s="365"/>
      <c r="H1011" s="365"/>
      <c r="I1011" s="365"/>
      <c r="J1011" s="365"/>
      <c r="K1011" s="365"/>
      <c r="L1011" s="365"/>
      <c r="M1011" s="365"/>
      <c r="N1011" s="365"/>
      <c r="O1011" s="2"/>
      <c r="W1011" s="365"/>
      <c r="X1011" s="365"/>
      <c r="Y1011" s="365"/>
    </row>
    <row r="1012" spans="2:25" s="4" customFormat="1">
      <c r="B1012" s="358">
        <v>10</v>
      </c>
      <c r="C1012" s="2" t="s">
        <v>54</v>
      </c>
      <c r="D1012" s="2"/>
      <c r="E1012" s="2"/>
      <c r="F1012" s="365"/>
      <c r="G1012" s="365"/>
      <c r="H1012" s="365"/>
      <c r="I1012" s="365"/>
      <c r="J1012" s="365"/>
      <c r="K1012" s="365"/>
      <c r="L1012" s="365"/>
      <c r="M1012" s="365"/>
      <c r="N1012" s="365"/>
      <c r="O1012" s="2"/>
      <c r="W1012" s="365"/>
      <c r="X1012" s="365"/>
      <c r="Y1012" s="365"/>
    </row>
    <row r="1013" spans="2:25" s="4" customFormat="1">
      <c r="B1013" s="358">
        <v>11</v>
      </c>
      <c r="C1013" s="2" t="s">
        <v>55</v>
      </c>
      <c r="D1013" s="2"/>
      <c r="E1013" s="2"/>
      <c r="F1013" s="365">
        <f t="shared" ref="F1013:M1014" ca="1" si="148">F775+F900</f>
        <v>0</v>
      </c>
      <c r="G1013" s="365">
        <f t="shared" ca="1" si="148"/>
        <v>0</v>
      </c>
      <c r="H1013" s="365">
        <f t="shared" ca="1" si="148"/>
        <v>0</v>
      </c>
      <c r="I1013" s="365">
        <f t="shared" ca="1" si="148"/>
        <v>0</v>
      </c>
      <c r="J1013" s="365">
        <f t="shared" ca="1" si="148"/>
        <v>0</v>
      </c>
      <c r="K1013" s="365">
        <f t="shared" ca="1" si="148"/>
        <v>0</v>
      </c>
      <c r="L1013" s="365">
        <f t="shared" ca="1" si="148"/>
        <v>0</v>
      </c>
      <c r="M1013" s="365">
        <f t="shared" ca="1" si="148"/>
        <v>0</v>
      </c>
      <c r="N1013" s="365">
        <f ca="1">N776+N900</f>
        <v>0</v>
      </c>
      <c r="O1013" s="2"/>
      <c r="W1013" s="365"/>
      <c r="X1013" s="365"/>
      <c r="Y1013" s="365"/>
    </row>
    <row r="1014" spans="2:25" s="4" customFormat="1">
      <c r="B1014" s="358">
        <v>12</v>
      </c>
      <c r="C1014" s="2" t="s">
        <v>56</v>
      </c>
      <c r="D1014" s="2"/>
      <c r="E1014" s="2"/>
      <c r="F1014" s="365">
        <f t="shared" ca="1" si="148"/>
        <v>0</v>
      </c>
      <c r="G1014" s="365">
        <f t="shared" ca="1" si="148"/>
        <v>0</v>
      </c>
      <c r="H1014" s="365">
        <f t="shared" ca="1" si="148"/>
        <v>0</v>
      </c>
      <c r="I1014" s="365">
        <f t="shared" ca="1" si="148"/>
        <v>0</v>
      </c>
      <c r="J1014" s="365">
        <f t="shared" ca="1" si="148"/>
        <v>0</v>
      </c>
      <c r="K1014" s="365">
        <f t="shared" ca="1" si="148"/>
        <v>0</v>
      </c>
      <c r="L1014" s="365">
        <f t="shared" ca="1" si="148"/>
        <v>0</v>
      </c>
      <c r="M1014" s="365">
        <f t="shared" ca="1" si="148"/>
        <v>0</v>
      </c>
      <c r="N1014" s="365">
        <f ca="1">N777+N901</f>
        <v>0</v>
      </c>
      <c r="O1014" s="2"/>
      <c r="W1014" s="365"/>
      <c r="X1014" s="365"/>
      <c r="Y1014" s="365"/>
    </row>
    <row r="1015" spans="2:25" s="4" customFormat="1">
      <c r="B1015" s="358">
        <v>13</v>
      </c>
      <c r="C1015" s="2" t="s">
        <v>57</v>
      </c>
      <c r="D1015" s="2"/>
      <c r="E1015" s="2"/>
      <c r="F1015" s="365"/>
      <c r="G1015" s="365"/>
      <c r="H1015" s="365"/>
      <c r="I1015" s="365"/>
      <c r="J1015" s="365"/>
      <c r="K1015" s="365"/>
      <c r="L1015" s="365"/>
      <c r="M1015" s="365"/>
      <c r="N1015" s="365"/>
      <c r="O1015" s="2"/>
      <c r="W1015" s="365"/>
      <c r="X1015" s="365"/>
      <c r="Y1015" s="365"/>
    </row>
    <row r="1016" spans="2:25" s="4" customFormat="1">
      <c r="B1016" s="358"/>
      <c r="C1016" s="2"/>
      <c r="D1016" s="2"/>
      <c r="E1016" s="3810" t="str">
        <f>Preferences.EnergyUnits</f>
        <v>TWh</v>
      </c>
      <c r="F1016" s="371">
        <f ca="1">SUM(F1003:F1015)</f>
        <v>0</v>
      </c>
      <c r="G1016" s="371">
        <f t="shared" ref="G1016:N1016" ca="1" si="149">SUM(G1003:G1015)</f>
        <v>0</v>
      </c>
      <c r="H1016" s="371">
        <f t="shared" ca="1" si="149"/>
        <v>0</v>
      </c>
      <c r="I1016" s="371">
        <f t="shared" ca="1" si="149"/>
        <v>0</v>
      </c>
      <c r="J1016" s="371">
        <f t="shared" ca="1" si="149"/>
        <v>0</v>
      </c>
      <c r="K1016" s="371">
        <f t="shared" ca="1" si="149"/>
        <v>0</v>
      </c>
      <c r="L1016" s="371">
        <f t="shared" ca="1" si="149"/>
        <v>0</v>
      </c>
      <c r="M1016" s="371">
        <f t="shared" ca="1" si="149"/>
        <v>0</v>
      </c>
      <c r="N1016" s="371">
        <f t="shared" ca="1" si="149"/>
        <v>0</v>
      </c>
      <c r="O1016" s="2"/>
      <c r="W1016" s="365"/>
      <c r="X1016" s="365"/>
      <c r="Y1016" s="365"/>
    </row>
    <row r="1017" spans="2:25" s="4" customFormat="1">
      <c r="B1017" s="358"/>
      <c r="C1017" s="2"/>
      <c r="D1017" s="2"/>
      <c r="E1017" s="355"/>
      <c r="F1017" s="397"/>
      <c r="G1017" s="397"/>
      <c r="H1017" s="397"/>
      <c r="I1017" s="397"/>
      <c r="J1017" s="397"/>
      <c r="K1017" s="397"/>
      <c r="L1017" s="397"/>
      <c r="M1017" s="397"/>
      <c r="N1017" s="397"/>
      <c r="O1017" s="2"/>
      <c r="W1017" s="365"/>
      <c r="X1017" s="365"/>
      <c r="Y1017" s="365"/>
    </row>
    <row r="1018" spans="2:25" s="4" customFormat="1">
      <c r="B1018" s="358"/>
      <c r="C1018" s="2"/>
      <c r="D1018" s="2"/>
      <c r="E1018" s="355"/>
      <c r="F1018" s="397"/>
      <c r="G1018" s="397"/>
      <c r="H1018" s="397"/>
      <c r="I1018" s="397"/>
      <c r="J1018" s="397"/>
      <c r="K1018" s="397"/>
      <c r="L1018" s="397"/>
      <c r="M1018" s="397"/>
      <c r="N1018" s="397"/>
      <c r="O1018" s="2"/>
      <c r="W1018" s="365"/>
      <c r="X1018" s="365"/>
      <c r="Y1018" s="365"/>
    </row>
    <row r="1019" spans="2:25" s="4" customFormat="1">
      <c r="B1019" s="354"/>
      <c r="C1019" s="399" t="s">
        <v>246</v>
      </c>
      <c r="D1019" s="38"/>
      <c r="F1019" s="356">
        <v>2013</v>
      </c>
      <c r="G1019" s="356">
        <v>2015</v>
      </c>
      <c r="H1019" s="356">
        <v>2020</v>
      </c>
      <c r="I1019" s="356">
        <v>2025</v>
      </c>
      <c r="J1019" s="356">
        <v>2030</v>
      </c>
      <c r="K1019" s="356">
        <v>2035</v>
      </c>
      <c r="L1019" s="356">
        <v>2040</v>
      </c>
      <c r="M1019" s="356">
        <v>2045</v>
      </c>
      <c r="N1019" s="356">
        <v>2050</v>
      </c>
      <c r="O1019" s="2"/>
      <c r="W1019" s="365"/>
      <c r="X1019" s="365"/>
      <c r="Y1019" s="365"/>
    </row>
    <row r="1020" spans="2:25" s="4" customFormat="1">
      <c r="B1020" s="2"/>
      <c r="C1020" s="2"/>
      <c r="D1020" s="2"/>
      <c r="E1020" s="2"/>
      <c r="F1020"/>
      <c r="G1020"/>
      <c r="H1020"/>
      <c r="I1020"/>
      <c r="J1020"/>
      <c r="K1020"/>
      <c r="L1020"/>
      <c r="M1020"/>
      <c r="N1020"/>
      <c r="O1020" s="2"/>
      <c r="W1020" s="365"/>
      <c r="X1020" s="365"/>
      <c r="Y1020" s="365"/>
    </row>
    <row r="1021" spans="2:25" s="4" customFormat="1">
      <c r="B1021" s="358" t="s">
        <v>95</v>
      </c>
      <c r="C1021" s="4" t="s">
        <v>85</v>
      </c>
      <c r="D1021" s="2"/>
      <c r="E1021" s="2"/>
      <c r="F1021" s="3578">
        <f t="array" aca="1" ref="F1021" ca="1">SUM(F$1003:F$1015/$M$131:$M$143*($B1021=$F$130:$N$130)*($F$131:$N$143))</f>
        <v>0</v>
      </c>
      <c r="G1021">
        <f t="array" aca="1" ref="G1021" ca="1">SUM(G$1003:G$1015/$M$131:$M$143*($B1021=$F$130:$N$130)*($F$131:$N$143))</f>
        <v>0</v>
      </c>
      <c r="H1021">
        <f t="array" aca="1" ref="H1021" ca="1">SUM(H$1003:H$1015/$M$131:$M$143*($B1021=$F$130:$N$130)*($F$131:$N$143))</f>
        <v>0</v>
      </c>
      <c r="I1021">
        <f t="array" aca="1" ref="I1021" ca="1">SUM(I$1003:I$1015/$M$131:$M$143*($B1021=$F$130:$N$130)*($F$131:$N$143))</f>
        <v>0</v>
      </c>
      <c r="J1021">
        <f t="array" aca="1" ref="J1021" ca="1">SUM(J$1003:J$1015/$M$131:$M$143*($B1021=$F$130:$N$130)*($F$131:$N$143))</f>
        <v>0</v>
      </c>
      <c r="K1021">
        <f t="array" aca="1" ref="K1021" ca="1">SUM(K$1003:K$1015/$M$131:$M$143*($B1021=$F$130:$N$130)*($F$131:$N$143))</f>
        <v>0</v>
      </c>
      <c r="L1021">
        <f t="array" aca="1" ref="L1021" ca="1">SUM(L$1003:L$1015/$M$131:$M$143*($B1021=$F$130:$N$130)*($F$131:$N$143))</f>
        <v>0</v>
      </c>
      <c r="M1021">
        <f t="array" aca="1" ref="M1021" ca="1">SUM(M$1003:M$1015/$M$131:$M$143*($B1021=$F$130:$N$130)*($F$131:$N$143))</f>
        <v>0</v>
      </c>
      <c r="N1021">
        <f t="array" aca="1" ref="N1021" ca="1">SUM(N$1003:N$1015/$M$131:$M$143*($B1021=$F$130:$N$130)*($F$131:$N$143))</f>
        <v>0</v>
      </c>
      <c r="O1021"/>
      <c r="W1021" s="365"/>
      <c r="X1021" s="365"/>
      <c r="Y1021" s="365"/>
    </row>
    <row r="1022" spans="2:25" s="4" customFormat="1">
      <c r="B1022" s="358" t="s">
        <v>96</v>
      </c>
      <c r="C1022" s="4" t="s">
        <v>86</v>
      </c>
      <c r="D1022" s="2"/>
      <c r="E1022" s="2"/>
      <c r="F1022" s="409">
        <f t="array" aca="1" ref="F1022" ca="1">SUM(F$1003:F$1015/$M$131:$M$143*($B1022=$F$130:$N$130)*($F$131:$N$143))</f>
        <v>0</v>
      </c>
      <c r="G1022" s="409">
        <f t="array" aca="1" ref="G1022" ca="1">SUM(G$1003:G$1015/$M$131:$M$143*($B1022=$F$130:$N$130)*($F$131:$N$143))</f>
        <v>0</v>
      </c>
      <c r="H1022" s="409">
        <f t="array" aca="1" ref="H1022" ca="1">SUM(H$1003:H$1015/$M$131:$M$143*($B1022=$F$130:$N$130)*($F$131:$N$143))</f>
        <v>0</v>
      </c>
      <c r="I1022" s="409">
        <f t="array" aca="1" ref="I1022" ca="1">SUM(I$1003:I$1015/$M$131:$M$143*($B1022=$F$130:$N$130)*($F$131:$N$143))</f>
        <v>0</v>
      </c>
      <c r="J1022" s="409">
        <f t="array" aca="1" ref="J1022" ca="1">SUM(J$1003:J$1015/$M$131:$M$143*($B1022=$F$130:$N$130)*($F$131:$N$143))</f>
        <v>0</v>
      </c>
      <c r="K1022" s="409">
        <f t="array" aca="1" ref="K1022" ca="1">SUM(K$1003:K$1015/$M$131:$M$143*($B1022=$F$130:$N$130)*($F$131:$N$143))</f>
        <v>0</v>
      </c>
      <c r="L1022" s="409">
        <f t="array" aca="1" ref="L1022" ca="1">SUM(L$1003:L$1015/$M$131:$M$143*($B1022=$F$130:$N$130)*($F$131:$N$143))</f>
        <v>0</v>
      </c>
      <c r="M1022" s="409">
        <f t="array" aca="1" ref="M1022" ca="1">SUM(M$1003:M$1015/$M$131:$M$143*($B1022=$F$130:$N$130)*($F$131:$N$143))</f>
        <v>0</v>
      </c>
      <c r="N1022" s="409">
        <f t="array" aca="1" ref="N1022" ca="1">SUM(N$1003:N$1015/$M$131:$M$143*($B1022=$F$130:$N$130)*($F$131:$N$143))</f>
        <v>0</v>
      </c>
      <c r="O1022"/>
      <c r="W1022" s="365"/>
      <c r="X1022" s="365"/>
      <c r="Y1022" s="365"/>
    </row>
    <row r="1023" spans="2:25" s="4" customFormat="1">
      <c r="B1023" s="358" t="s">
        <v>97</v>
      </c>
      <c r="C1023" s="4" t="s">
        <v>87</v>
      </c>
      <c r="D1023" s="2"/>
      <c r="E1023" s="2"/>
      <c r="F1023" s="409">
        <f t="array" aca="1" ref="F1023" ca="1">SUM(F$1003:F$1015/$M$131:$M$143*($B1023=$F$130:$N$130)*($F$131:$N$143))</f>
        <v>0</v>
      </c>
      <c r="G1023" s="409">
        <f t="array" aca="1" ref="G1023" ca="1">SUM(G$1003:G$1015/$M$131:$M$143*($B1023=$F$130:$N$130)*($F$131:$N$143))</f>
        <v>0</v>
      </c>
      <c r="H1023" s="409">
        <f t="array" aca="1" ref="H1023" ca="1">SUM(H$1003:H$1015/$M$131:$M$143*($B1023=$F$130:$N$130)*($F$131:$N$143))</f>
        <v>0</v>
      </c>
      <c r="I1023" s="409">
        <f t="array" aca="1" ref="I1023" ca="1">SUM(I$1003:I$1015/$M$131:$M$143*($B1023=$F$130:$N$130)*($F$131:$N$143))</f>
        <v>0</v>
      </c>
      <c r="J1023" s="409">
        <f t="array" aca="1" ref="J1023" ca="1">SUM(J$1003:J$1015/$M$131:$M$143*($B1023=$F$130:$N$130)*($F$131:$N$143))</f>
        <v>0</v>
      </c>
      <c r="K1023" s="409">
        <f t="array" aca="1" ref="K1023" ca="1">SUM(K$1003:K$1015/$M$131:$M$143*($B1023=$F$130:$N$130)*($F$131:$N$143))</f>
        <v>0</v>
      </c>
      <c r="L1023" s="409">
        <f t="array" aca="1" ref="L1023" ca="1">SUM(L$1003:L$1015/$M$131:$M$143*($B1023=$F$130:$N$130)*($F$131:$N$143))</f>
        <v>0</v>
      </c>
      <c r="M1023" s="409">
        <f t="array" aca="1" ref="M1023" ca="1">SUM(M$1003:M$1015/$M$131:$M$143*($B1023=$F$130:$N$130)*($F$131:$N$143))</f>
        <v>0</v>
      </c>
      <c r="N1023" s="409">
        <f t="array" aca="1" ref="N1023" ca="1">SUM(N$1003:N$1015/$M$131:$M$143*($B1023=$F$130:$N$130)*($F$131:$N$143))</f>
        <v>0</v>
      </c>
      <c r="O1023"/>
      <c r="W1023" s="365"/>
      <c r="X1023" s="365"/>
      <c r="Y1023" s="365"/>
    </row>
    <row r="1024" spans="2:25" s="4" customFormat="1">
      <c r="B1024" s="358" t="s">
        <v>98</v>
      </c>
      <c r="C1024" s="4" t="s">
        <v>88</v>
      </c>
      <c r="D1024" s="2"/>
      <c r="E1024" s="2"/>
      <c r="F1024" s="410">
        <f t="array" aca="1" ref="F1024" ca="1">SUM(F$1003:F$1015/$M$131:$M$143*($B1024=$F$130:$N$130)*($F$131:$N$143))</f>
        <v>0</v>
      </c>
      <c r="G1024" s="410">
        <f t="array" aca="1" ref="G1024" ca="1">SUM(G$1003:G$1015/$M$131:$M$143*($B1024=$F$130:$N$130)*($F$131:$N$143))</f>
        <v>0</v>
      </c>
      <c r="H1024" s="410">
        <f t="array" aca="1" ref="H1024" ca="1">SUM(H$1003:H$1015/$M$131:$M$143*($B1024=$F$130:$N$130)*($F$131:$N$143))</f>
        <v>0</v>
      </c>
      <c r="I1024" s="410">
        <f t="array" aca="1" ref="I1024" ca="1">SUM(I$1003:I$1015/$M$131:$M$143*($B1024=$F$130:$N$130)*($F$131:$N$143))</f>
        <v>0</v>
      </c>
      <c r="J1024" s="410">
        <f t="array" aca="1" ref="J1024" ca="1">SUM(J$1003:J$1015/$M$131:$M$143*($B1024=$F$130:$N$130)*($F$131:$N$143))</f>
        <v>0</v>
      </c>
      <c r="K1024" s="410">
        <f t="array" aca="1" ref="K1024" ca="1">SUM(K$1003:K$1015/$M$131:$M$143*($B1024=$F$130:$N$130)*($F$131:$N$143))</f>
        <v>0</v>
      </c>
      <c r="L1024" s="410">
        <f t="array" aca="1" ref="L1024" ca="1">SUM(L$1003:L$1015/$M$131:$M$143*($B1024=$F$130:$N$130)*($F$131:$N$143))</f>
        <v>0</v>
      </c>
      <c r="M1024" s="410">
        <f t="array" aca="1" ref="M1024" ca="1">SUM(M$1003:M$1015/$M$131:$M$143*($B1024=$F$130:$N$130)*($F$131:$N$143))</f>
        <v>0</v>
      </c>
      <c r="N1024" s="410">
        <f t="array" aca="1" ref="N1024" ca="1">SUM(N$1003:N$1015/$M$131:$M$143*($B1024=$F$130:$N$130)*($F$131:$N$143))</f>
        <v>0</v>
      </c>
      <c r="O1024"/>
      <c r="W1024" s="365"/>
      <c r="X1024" s="365"/>
      <c r="Y1024" s="365"/>
    </row>
    <row r="1025" spans="2:25" s="4" customFormat="1">
      <c r="B1025" s="358" t="s">
        <v>99</v>
      </c>
      <c r="C1025" s="4" t="s">
        <v>89</v>
      </c>
      <c r="D1025" s="2"/>
      <c r="E1025" s="2"/>
      <c r="F1025" s="409">
        <f t="array" aca="1" ref="F1025" ca="1">SUM(F$1003:F$1015/$M$131:$M$143*($B1025=$F$130:$N$130)*($F$131:$N$143))</f>
        <v>0</v>
      </c>
      <c r="G1025" s="409">
        <f t="array" aca="1" ref="G1025" ca="1">SUM(G$1003:G$1015/$M$131:$M$143*($B1025=$F$130:$N$130)*($F$131:$N$143))</f>
        <v>0</v>
      </c>
      <c r="H1025" s="409">
        <f t="array" aca="1" ref="H1025" ca="1">SUM(H$1003:H$1015/$M$131:$M$143*($B1025=$F$130:$N$130)*($F$131:$N$143))</f>
        <v>0</v>
      </c>
      <c r="I1025" s="409">
        <f t="array" aca="1" ref="I1025" ca="1">SUM(I$1003:I$1015/$M$131:$M$143*($B1025=$F$130:$N$130)*($F$131:$N$143))</f>
        <v>0</v>
      </c>
      <c r="J1025" s="409">
        <f t="array" aca="1" ref="J1025" ca="1">SUM(J$1003:J$1015/$M$131:$M$143*($B1025=$F$130:$N$130)*($F$131:$N$143))</f>
        <v>0</v>
      </c>
      <c r="K1025" s="409">
        <f t="array" aca="1" ref="K1025" ca="1">SUM(K$1003:K$1015/$M$131:$M$143*($B1025=$F$130:$N$130)*($F$131:$N$143))</f>
        <v>0</v>
      </c>
      <c r="L1025" s="409">
        <f t="array" aca="1" ref="L1025" ca="1">SUM(L$1003:L$1015/$M$131:$M$143*($B1025=$F$130:$N$130)*($F$131:$N$143))</f>
        <v>0</v>
      </c>
      <c r="M1025" s="409">
        <f t="array" aca="1" ref="M1025" ca="1">SUM(M$1003:M$1015/$M$131:$M$143*($B1025=$F$130:$N$130)*($F$131:$N$143))</f>
        <v>0</v>
      </c>
      <c r="N1025" s="409">
        <f t="array" aca="1" ref="N1025" ca="1">SUM(N$1003:N$1015/$M$131:$M$143*($B1025=$F$130:$N$130)*($F$131:$N$143))</f>
        <v>0</v>
      </c>
      <c r="O1025"/>
      <c r="W1025" s="365"/>
      <c r="X1025" s="365"/>
      <c r="Y1025" s="365"/>
    </row>
    <row r="1026" spans="2:25" s="4" customFormat="1">
      <c r="B1026" s="358" t="s">
        <v>100</v>
      </c>
      <c r="C1026" s="4" t="s">
        <v>90</v>
      </c>
      <c r="D1026" s="2"/>
      <c r="E1026" s="2"/>
      <c r="F1026" s="409">
        <f t="array" aca="1" ref="F1026" ca="1">SUM(F$1003:F$1015/$M$131:$M$143*($B1026=$F$130:$N$130)*($F$131:$N$143))</f>
        <v>0</v>
      </c>
      <c r="G1026" s="409">
        <f t="array" aca="1" ref="G1026" ca="1">SUM(G$1003:G$1015/$M$131:$M$143*($B1026=$F$130:$N$130)*($F$131:$N$143))</f>
        <v>0</v>
      </c>
      <c r="H1026" s="409">
        <f t="array" aca="1" ref="H1026" ca="1">SUM(H$1003:H$1015/$M$131:$M$143*($B1026=$F$130:$N$130)*($F$131:$N$143))</f>
        <v>0</v>
      </c>
      <c r="I1026" s="409">
        <f t="array" aca="1" ref="I1026" ca="1">SUM(I$1003:I$1015/$M$131:$M$143*($B1026=$F$130:$N$130)*($F$131:$N$143))</f>
        <v>0</v>
      </c>
      <c r="J1026" s="409">
        <f t="array" aca="1" ref="J1026" ca="1">SUM(J$1003:J$1015/$M$131:$M$143*($B1026=$F$130:$N$130)*($F$131:$N$143))</f>
        <v>0</v>
      </c>
      <c r="K1026" s="409">
        <f t="array" aca="1" ref="K1026" ca="1">SUM(K$1003:K$1015/$M$131:$M$143*($B1026=$F$130:$N$130)*($F$131:$N$143))</f>
        <v>0</v>
      </c>
      <c r="L1026" s="409">
        <f t="array" aca="1" ref="L1026" ca="1">SUM(L$1003:L$1015/$M$131:$M$143*($B1026=$F$130:$N$130)*($F$131:$N$143))</f>
        <v>0</v>
      </c>
      <c r="M1026" s="409">
        <f t="array" aca="1" ref="M1026" ca="1">SUM(M$1003:M$1015/$M$131:$M$143*($B1026=$F$130:$N$130)*($F$131:$N$143))</f>
        <v>0</v>
      </c>
      <c r="N1026" s="409">
        <f t="array" aca="1" ref="N1026" ca="1">SUM(N$1003:N$1015/$M$131:$M$143*($B1026=$F$130:$N$130)*($F$131:$N$143))</f>
        <v>0</v>
      </c>
      <c r="O1026"/>
      <c r="W1026" s="365"/>
      <c r="X1026" s="365"/>
      <c r="Y1026" s="365"/>
    </row>
    <row r="1027" spans="2:25" s="4" customFormat="1">
      <c r="B1027" s="358" t="s">
        <v>101</v>
      </c>
      <c r="C1027" s="4" t="s">
        <v>91</v>
      </c>
      <c r="D1027" s="2"/>
      <c r="E1027" s="2"/>
      <c r="F1027" s="409">
        <f t="array" aca="1" ref="F1027" ca="1">SUM(F$1003:F$1015/$M$131:$M$143*($B1027=$F$130:$N$130)*($F$131:$N$143))</f>
        <v>0</v>
      </c>
      <c r="G1027" s="409">
        <f t="array" aca="1" ref="G1027" ca="1">SUM(G$1003:G$1015/$M$131:$M$143*($B1027=$F$130:$N$130)*($F$131:$N$143))</f>
        <v>0</v>
      </c>
      <c r="H1027" s="409">
        <f t="array" aca="1" ref="H1027" ca="1">SUM(H$1003:H$1015/$M$131:$M$143*($B1027=$F$130:$N$130)*($F$131:$N$143))</f>
        <v>0</v>
      </c>
      <c r="I1027" s="409">
        <f t="array" aca="1" ref="I1027" ca="1">SUM(I$1003:I$1015/$M$131:$M$143*($B1027=$F$130:$N$130)*($F$131:$N$143))</f>
        <v>0</v>
      </c>
      <c r="J1027" s="409">
        <f t="array" aca="1" ref="J1027" ca="1">SUM(J$1003:J$1015/$M$131:$M$143*($B1027=$F$130:$N$130)*($F$131:$N$143))</f>
        <v>0</v>
      </c>
      <c r="K1027" s="409">
        <f t="array" aca="1" ref="K1027" ca="1">SUM(K$1003:K$1015/$M$131:$M$143*($B1027=$F$130:$N$130)*($F$131:$N$143))</f>
        <v>0</v>
      </c>
      <c r="L1027" s="409">
        <f t="array" aca="1" ref="L1027" ca="1">SUM(L$1003:L$1015/$M$131:$M$143*($B1027=$F$130:$N$130)*($F$131:$N$143))</f>
        <v>0</v>
      </c>
      <c r="M1027" s="409">
        <f t="array" aca="1" ref="M1027" ca="1">SUM(M$1003:M$1015/$M$131:$M$143*($B1027=$F$130:$N$130)*($F$131:$N$143))</f>
        <v>0</v>
      </c>
      <c r="N1027" s="409">
        <f t="array" aca="1" ref="N1027" ca="1">SUM(N$1003:N$1015/$M$131:$M$143*($B1027=$F$130:$N$130)*($F$131:$N$143))</f>
        <v>0</v>
      </c>
      <c r="O1027"/>
      <c r="W1027" s="365"/>
      <c r="X1027" s="365"/>
      <c r="Y1027" s="365"/>
    </row>
    <row r="1028" spans="2:25" s="4" customFormat="1">
      <c r="B1028" s="358" t="s">
        <v>102</v>
      </c>
      <c r="C1028" s="4" t="s">
        <v>92</v>
      </c>
      <c r="D1028" s="2"/>
      <c r="E1028" s="2"/>
      <c r="F1028" s="409">
        <f t="array" aca="1" ref="F1028" ca="1">SUM(F$1003:F$1015/$M$131:$M$143*($B1028=$F$130:$N$130)*($F$131:$N$143))</f>
        <v>0</v>
      </c>
      <c r="G1028" s="409">
        <f t="array" aca="1" ref="G1028" ca="1">SUM(G$1003:G$1015/$M$131:$M$143*($B1028=$F$130:$N$130)*($F$131:$N$143))</f>
        <v>0</v>
      </c>
      <c r="H1028" s="409">
        <f t="array" aca="1" ref="H1028" ca="1">SUM(H$1003:H$1015/$M$131:$M$143*($B1028=$F$130:$N$130)*($F$131:$N$143))</f>
        <v>0</v>
      </c>
      <c r="I1028" s="409">
        <f t="array" aca="1" ref="I1028" ca="1">SUM(I$1003:I$1015/$M$131:$M$143*($B1028=$F$130:$N$130)*($F$131:$N$143))</f>
        <v>0</v>
      </c>
      <c r="J1028" s="409">
        <f t="array" aca="1" ref="J1028" ca="1">SUM(J$1003:J$1015/$M$131:$M$143*($B1028=$F$130:$N$130)*($F$131:$N$143))</f>
        <v>0</v>
      </c>
      <c r="K1028" s="409">
        <f t="array" aca="1" ref="K1028" ca="1">SUM(K$1003:K$1015/$M$131:$M$143*($B1028=$F$130:$N$130)*($F$131:$N$143))</f>
        <v>0</v>
      </c>
      <c r="L1028" s="409">
        <f t="array" aca="1" ref="L1028" ca="1">SUM(L$1003:L$1015/$M$131:$M$143*($B1028=$F$130:$N$130)*($F$131:$N$143))</f>
        <v>0</v>
      </c>
      <c r="M1028" s="409">
        <f t="array" aca="1" ref="M1028" ca="1">SUM(M$1003:M$1015/$M$131:$M$143*($B1028=$F$130:$N$130)*($F$131:$N$143))</f>
        <v>0</v>
      </c>
      <c r="N1028" s="409">
        <f t="array" aca="1" ref="N1028" ca="1">SUM(N$1003:N$1015/$M$131:$M$143*($B1028=$F$130:$N$130)*($F$131:$N$143))</f>
        <v>0</v>
      </c>
      <c r="O1028"/>
      <c r="W1028" s="365"/>
      <c r="X1028" s="365"/>
      <c r="Y1028" s="365"/>
    </row>
    <row r="1029" spans="2:25" s="4" customFormat="1">
      <c r="B1029" s="358" t="s">
        <v>103</v>
      </c>
      <c r="C1029" s="4" t="s">
        <v>93</v>
      </c>
      <c r="D1029" s="2"/>
      <c r="E1029" s="2"/>
      <c r="F1029" s="409">
        <f t="array" aca="1" ref="F1029" ca="1">SUM(F$1003:F$1015/$M$131:$M$143*($B1029=$F$130:$N$130)*($F$131:$N$143))</f>
        <v>0</v>
      </c>
      <c r="G1029" s="409">
        <f t="array" aca="1" ref="G1029" ca="1">SUM(G$1003:G$1015/$M$131:$M$143*($B1029=$F$130:$N$130)*($F$131:$N$143))</f>
        <v>0</v>
      </c>
      <c r="H1029" s="409">
        <f t="array" aca="1" ref="H1029" ca="1">SUM(H$1003:H$1015/$M$131:$M$143*($B1029=$F$130:$N$130)*($F$131:$N$143))</f>
        <v>0</v>
      </c>
      <c r="I1029" s="409">
        <f t="array" aca="1" ref="I1029" ca="1">SUM(I$1003:I$1015/$M$131:$M$143*($B1029=$F$130:$N$130)*($F$131:$N$143))</f>
        <v>0</v>
      </c>
      <c r="J1029" s="409">
        <f t="array" aca="1" ref="J1029" ca="1">SUM(J$1003:J$1015/$M$131:$M$143*($B1029=$F$130:$N$130)*($F$131:$N$143))</f>
        <v>0</v>
      </c>
      <c r="K1029" s="409">
        <f t="array" aca="1" ref="K1029" ca="1">SUM(K$1003:K$1015/$M$131:$M$143*($B1029=$F$130:$N$130)*($F$131:$N$143))</f>
        <v>0</v>
      </c>
      <c r="L1029" s="409">
        <f t="array" aca="1" ref="L1029" ca="1">SUM(L$1003:L$1015/$M$131:$M$143*($B1029=$F$130:$N$130)*($F$131:$N$143))</f>
        <v>0</v>
      </c>
      <c r="M1029" s="409">
        <f t="array" aca="1" ref="M1029" ca="1">SUM(M$1003:M$1015/$M$131:$M$143*($B1029=$F$130:$N$130)*($F$131:$N$143))</f>
        <v>0</v>
      </c>
      <c r="N1029" s="409">
        <f t="array" aca="1" ref="N1029" ca="1">SUM(N$1003:N$1015/$M$131:$M$143*($B1029=$F$130:$N$130)*($F$131:$N$143))</f>
        <v>0</v>
      </c>
      <c r="O1029"/>
      <c r="W1029" s="365"/>
      <c r="X1029" s="365"/>
      <c r="Y1029" s="365"/>
    </row>
    <row r="1030" spans="2:25" s="4" customFormat="1">
      <c r="B1030" s="2"/>
      <c r="C1030" s="2"/>
      <c r="D1030" s="2"/>
      <c r="E1030" s="3810" t="str">
        <f>Preferences.EnergyUnits</f>
        <v>TWh</v>
      </c>
      <c r="F1030" s="371">
        <f ca="1">SUM(F1021:F1029)</f>
        <v>0</v>
      </c>
      <c r="G1030" s="371">
        <f t="shared" ref="G1030:N1030" ca="1" si="150">SUM(G1021:G1029)</f>
        <v>0</v>
      </c>
      <c r="H1030" s="371">
        <f t="shared" ca="1" si="150"/>
        <v>0</v>
      </c>
      <c r="I1030" s="371">
        <f t="shared" ca="1" si="150"/>
        <v>0</v>
      </c>
      <c r="J1030" s="371">
        <f t="shared" ca="1" si="150"/>
        <v>0</v>
      </c>
      <c r="K1030" s="371">
        <f t="shared" ca="1" si="150"/>
        <v>0</v>
      </c>
      <c r="L1030" s="371">
        <f t="shared" ca="1" si="150"/>
        <v>0</v>
      </c>
      <c r="M1030" s="371">
        <f t="shared" ca="1" si="150"/>
        <v>0</v>
      </c>
      <c r="N1030" s="371">
        <f t="shared" ca="1" si="150"/>
        <v>0</v>
      </c>
      <c r="O1030" s="2"/>
      <c r="W1030" s="365"/>
      <c r="X1030" s="365"/>
      <c r="Y1030" s="365"/>
    </row>
    <row r="1031" spans="2:25" s="4" customFormat="1">
      <c r="B1031" s="2"/>
      <c r="C1031" s="2"/>
      <c r="D1031" s="2"/>
      <c r="E1031" s="2"/>
      <c r="F1031" s="404"/>
      <c r="G1031" s="404"/>
      <c r="H1031" s="404"/>
      <c r="I1031" s="404"/>
      <c r="J1031" s="404"/>
      <c r="K1031" s="404"/>
      <c r="L1031" s="404"/>
      <c r="M1031" s="404"/>
      <c r="N1031" s="404"/>
      <c r="O1031" s="2"/>
      <c r="W1031" s="365"/>
      <c r="X1031" s="365"/>
      <c r="Y1031" s="365"/>
    </row>
    <row r="1032" spans="2:25" s="4" customFormat="1">
      <c r="B1032" s="2"/>
      <c r="C1032" s="403" t="s">
        <v>267</v>
      </c>
      <c r="D1032" s="2"/>
      <c r="E1032" s="2"/>
      <c r="F1032" s="355">
        <v>2013</v>
      </c>
      <c r="G1032" s="355">
        <v>2015</v>
      </c>
      <c r="H1032" s="355">
        <v>2020</v>
      </c>
      <c r="I1032" s="355">
        <v>2025</v>
      </c>
      <c r="J1032" s="355">
        <v>2030</v>
      </c>
      <c r="K1032" s="355">
        <v>2035</v>
      </c>
      <c r="L1032" s="355">
        <v>2040</v>
      </c>
      <c r="M1032" s="355">
        <v>2045</v>
      </c>
      <c r="N1032" s="355">
        <v>2050</v>
      </c>
      <c r="O1032" s="2"/>
      <c r="W1032" s="365"/>
      <c r="X1032" s="365"/>
      <c r="Y1032" s="365"/>
    </row>
    <row r="1033" spans="2:25" s="4" customFormat="1">
      <c r="B1033"/>
      <c r="C1033" s="2" t="s">
        <v>250</v>
      </c>
      <c r="D1033" s="2"/>
      <c r="E1033" s="2" t="s">
        <v>251</v>
      </c>
      <c r="F1033" s="2137">
        <f t="array" aca="1" ref="F1033" ca="1">-SUM(F$1021:F$1029*SUMIFS(EF[CO2], EF[Vector], $B$1021:$B$1029))</f>
        <v>0</v>
      </c>
      <c r="G1033" s="2137">
        <f t="array" aca="1" ref="G1033" ca="1">-SUM(G$1021:G$1029*SUMIFS(EF[CO2], EF[Vector], $B$1021:$B$1029))</f>
        <v>0</v>
      </c>
      <c r="H1033" s="2137">
        <f t="array" aca="1" ref="H1033" ca="1">-SUM(H$1021:H$1029*SUMIFS(EF[CO2], EF[Vector], $B$1021:$B$1029))</f>
        <v>0</v>
      </c>
      <c r="I1033" s="2137">
        <f t="array" aca="1" ref="I1033" ca="1">-SUM(I$1021:I$1029*SUMIFS(EF[CO2], EF[Vector], $B$1021:$B$1029))</f>
        <v>0</v>
      </c>
      <c r="J1033" s="2137">
        <f t="array" aca="1" ref="J1033" ca="1">-SUM(J$1021:J$1029*SUMIFS(EF[CO2], EF[Vector], $B$1021:$B$1029))</f>
        <v>0</v>
      </c>
      <c r="K1033" s="2137">
        <f t="array" aca="1" ref="K1033" ca="1">-SUM(K$1021:K$1029*SUMIFS(EF[CO2], EF[Vector], $B$1021:$B$1029))</f>
        <v>0</v>
      </c>
      <c r="L1033" s="2137">
        <f t="array" aca="1" ref="L1033" ca="1">-SUM(L$1021:L$1029*SUMIFS(EF[CO2], EF[Vector], $B$1021:$B$1029))</f>
        <v>0</v>
      </c>
      <c r="M1033" s="2137">
        <f t="array" aca="1" ref="M1033" ca="1">-SUM(M$1021:M$1029*SUMIFS(EF[CO2], EF[Vector], $B$1021:$B$1029))</f>
        <v>0</v>
      </c>
      <c r="N1033" s="2137">
        <f t="array" aca="1" ref="N1033" ca="1">-SUM(N$1021:N$1029*SUMIFS(EF[CO2], EF[Vector], $B$1021:$B$1029))</f>
        <v>0</v>
      </c>
      <c r="O1033" s="3052" t="s">
        <v>5</v>
      </c>
      <c r="W1033" s="365"/>
      <c r="X1033" s="365"/>
      <c r="Y1033" s="365"/>
    </row>
    <row r="1034" spans="2:25" s="4" customFormat="1">
      <c r="B1034"/>
      <c r="C1034" s="2" t="s">
        <v>252</v>
      </c>
      <c r="D1034" s="2"/>
      <c r="E1034" s="2"/>
      <c r="F1034" s="2137">
        <f t="array" aca="1" ref="F1034" ca="1">-SUM(F$1021:F$1029*SUMIFS(EF[CH4], EF[Vector], $B$1021:$B$1029))</f>
        <v>0</v>
      </c>
      <c r="G1034" s="2137">
        <f t="array" aca="1" ref="G1034" ca="1">-SUM(G$1021:G$1029*SUMIFS(EF[CH4], EF[Vector], $B$1021:$B$1029))</f>
        <v>0</v>
      </c>
      <c r="H1034" s="2137">
        <f t="array" aca="1" ref="H1034" ca="1">-SUM(H$1021:H$1029*SUMIFS(EF[CH4], EF[Vector], $B$1021:$B$1029))</f>
        <v>0</v>
      </c>
      <c r="I1034" s="2137">
        <f t="array" aca="1" ref="I1034" ca="1">-SUM(I$1021:I$1029*SUMIFS(EF[CH4], EF[Vector], $B$1021:$B$1029))</f>
        <v>0</v>
      </c>
      <c r="J1034" s="2137">
        <f t="array" aca="1" ref="J1034" ca="1">-SUM(J$1021:J$1029*SUMIFS(EF[CH4], EF[Vector], $B$1021:$B$1029))</f>
        <v>0</v>
      </c>
      <c r="K1034" s="2137">
        <f t="array" aca="1" ref="K1034" ca="1">-SUM(K$1021:K$1029*SUMIFS(EF[CH4], EF[Vector], $B$1021:$B$1029))</f>
        <v>0</v>
      </c>
      <c r="L1034" s="2137">
        <f t="array" aca="1" ref="L1034" ca="1">-SUM(L$1021:L$1029*SUMIFS(EF[CH4], EF[Vector], $B$1021:$B$1029))</f>
        <v>0</v>
      </c>
      <c r="M1034" s="2137">
        <f t="array" aca="1" ref="M1034" ca="1">-SUM(M$1021:M$1029*SUMIFS(EF[CH4], EF[Vector], $B$1021:$B$1029))</f>
        <v>0</v>
      </c>
      <c r="N1034" s="2137">
        <f t="array" aca="1" ref="N1034" ca="1">-SUM(N$1021:N$1029*SUMIFS(EF[CH4], EF[Vector], $B$1021:$B$1029))</f>
        <v>0</v>
      </c>
      <c r="O1034" t="s">
        <v>5</v>
      </c>
      <c r="W1034" s="365"/>
      <c r="X1034" s="365"/>
      <c r="Y1034" s="365"/>
    </row>
    <row r="1035" spans="2:25" s="4" customFormat="1">
      <c r="B1035"/>
      <c r="C1035" s="2" t="s">
        <v>253</v>
      </c>
      <c r="D1035" s="2"/>
      <c r="E1035" s="2"/>
      <c r="F1035" s="2137">
        <f t="array" aca="1" ref="F1035" ca="1">-SUM(F$1021:F$1029*SUMIFS(EF[N2O], EF[Vector], $B$1021:$B$1029))</f>
        <v>0</v>
      </c>
      <c r="G1035" s="2137">
        <f t="array" aca="1" ref="G1035" ca="1">-SUM(G$1021:G$1029*SUMIFS(EF[N2O], EF[Vector], $B$1021:$B$1029))</f>
        <v>0</v>
      </c>
      <c r="H1035" s="2137">
        <f t="array" aca="1" ref="H1035" ca="1">-SUM(H$1021:H$1029*SUMIFS(EF[N2O], EF[Vector], $B$1021:$B$1029))</f>
        <v>0</v>
      </c>
      <c r="I1035" s="2137">
        <f t="array" aca="1" ref="I1035" ca="1">-SUM(I$1021:I$1029*SUMIFS(EF[N2O], EF[Vector], $B$1021:$B$1029))</f>
        <v>0</v>
      </c>
      <c r="J1035" s="2137">
        <f t="array" aca="1" ref="J1035" ca="1">-SUM(J$1021:J$1029*SUMIFS(EF[N2O], EF[Vector], $B$1021:$B$1029))</f>
        <v>0</v>
      </c>
      <c r="K1035" s="2137">
        <f t="array" aca="1" ref="K1035" ca="1">-SUM(K$1021:K$1029*SUMIFS(EF[N2O], EF[Vector], $B$1021:$B$1029))</f>
        <v>0</v>
      </c>
      <c r="L1035" s="2137">
        <f t="array" aca="1" ref="L1035" ca="1">-SUM(L$1021:L$1029*SUMIFS(EF[N2O], EF[Vector], $B$1021:$B$1029))</f>
        <v>0</v>
      </c>
      <c r="M1035" s="2137">
        <f t="array" aca="1" ref="M1035" ca="1">-SUM(M$1021:M$1029*SUMIFS(EF[N2O], EF[Vector], $B$1021:$B$1029))</f>
        <v>0</v>
      </c>
      <c r="N1035" s="2137">
        <f t="array" aca="1" ref="N1035" ca="1">-SUM(N$1021:N$1029*SUMIFS(EF[N2O], EF[Vector], $B$1021:$B$1029))</f>
        <v>0</v>
      </c>
      <c r="O1035" s="2137"/>
      <c r="W1035" s="365"/>
      <c r="X1035" s="365"/>
      <c r="Y1035" s="365"/>
    </row>
    <row r="1036" spans="2:25" s="4" customFormat="1">
      <c r="B1036" s="2"/>
      <c r="C1036" s="2"/>
      <c r="D1036" s="2"/>
      <c r="E1036" s="2"/>
      <c r="F1036" s="365"/>
      <c r="G1036" s="2"/>
      <c r="H1036" s="2"/>
      <c r="I1036" s="2"/>
      <c r="J1036" s="2"/>
      <c r="K1036" s="2"/>
      <c r="L1036" s="2"/>
      <c r="M1036" s="2"/>
      <c r="N1036" s="2137"/>
      <c r="O1036" s="2"/>
      <c r="W1036" s="365"/>
      <c r="X1036" s="365"/>
      <c r="Y1036" s="365"/>
    </row>
    <row r="1037" spans="2:25" s="4" customFormat="1">
      <c r="B1037" s="354">
        <v>8</v>
      </c>
      <c r="C1037" s="354" t="s">
        <v>268</v>
      </c>
      <c r="D1037" s="2"/>
      <c r="E1037" s="2"/>
      <c r="F1037" s="365"/>
      <c r="G1037" s="2"/>
      <c r="H1037" s="2"/>
      <c r="I1037" s="2"/>
      <c r="J1037" s="2"/>
      <c r="K1037" s="2"/>
      <c r="L1037" s="2"/>
      <c r="M1037" s="2"/>
      <c r="N1037" s="2"/>
      <c r="O1037" s="2"/>
      <c r="W1037" s="365"/>
      <c r="X1037" s="365"/>
      <c r="Y1037" s="365"/>
    </row>
    <row r="1038" spans="2:25" s="4" customFormat="1">
      <c r="B1038" s="2"/>
      <c r="C1038" s="2"/>
      <c r="D1038" s="2"/>
      <c r="E1038" s="2"/>
      <c r="F1038" s="365"/>
      <c r="G1038" s="2"/>
      <c r="H1038" s="2"/>
      <c r="I1038" s="2"/>
      <c r="J1038" s="2"/>
      <c r="K1038" s="2"/>
      <c r="L1038" s="2"/>
      <c r="M1038" s="2"/>
      <c r="N1038" s="2"/>
      <c r="O1038" s="2"/>
      <c r="W1038" s="365"/>
      <c r="X1038" s="365"/>
      <c r="Y1038" s="365"/>
    </row>
    <row r="1039" spans="2:25" s="4" customFormat="1">
      <c r="B1039" s="354" t="s">
        <v>269</v>
      </c>
      <c r="C1039" s="354" t="s">
        <v>270</v>
      </c>
      <c r="D1039" s="2"/>
      <c r="E1039" s="2"/>
      <c r="F1039" s="365"/>
      <c r="G1039" s="2"/>
      <c r="H1039" s="2"/>
      <c r="I1039" s="2"/>
      <c r="J1039" s="2"/>
      <c r="K1039" s="2"/>
      <c r="L1039" s="2"/>
      <c r="M1039" s="2"/>
      <c r="N1039" s="2"/>
      <c r="O1039" s="2"/>
      <c r="W1039" s="365"/>
      <c r="X1039" s="365"/>
      <c r="Y1039" s="365"/>
    </row>
    <row r="1040" spans="2:25" s="4" customFormat="1">
      <c r="B1040" s="2"/>
      <c r="C1040" s="354"/>
      <c r="D1040" s="2"/>
      <c r="E1040" s="2"/>
      <c r="F1040" s="365"/>
      <c r="G1040" s="2"/>
      <c r="H1040" s="2"/>
      <c r="I1040" s="2"/>
      <c r="J1040" s="2"/>
      <c r="K1040" s="2"/>
      <c r="L1040" s="2"/>
      <c r="M1040" s="2"/>
      <c r="N1040" s="2"/>
      <c r="O1040" s="2"/>
      <c r="W1040" s="365"/>
      <c r="X1040" s="365"/>
      <c r="Y1040" s="365"/>
    </row>
    <row r="1041" spans="2:25" s="4" customFormat="1">
      <c r="B1041" s="2"/>
      <c r="C1041" s="372" t="s">
        <v>271</v>
      </c>
      <c r="D1041" s="2"/>
      <c r="F1041" s="355">
        <v>2013</v>
      </c>
      <c r="G1041" s="355">
        <v>2015</v>
      </c>
      <c r="H1041" s="355">
        <v>2020</v>
      </c>
      <c r="I1041" s="355">
        <v>2025</v>
      </c>
      <c r="J1041" s="355">
        <v>2030</v>
      </c>
      <c r="K1041" s="355">
        <v>2035</v>
      </c>
      <c r="L1041" s="355">
        <v>2040</v>
      </c>
      <c r="M1041" s="355">
        <v>2045</v>
      </c>
      <c r="N1041" s="355">
        <v>2050</v>
      </c>
      <c r="O1041" s="2"/>
      <c r="W1041" s="365"/>
      <c r="X1041" s="365"/>
      <c r="Y1041" s="365"/>
    </row>
    <row r="1042" spans="2:25" s="4" customFormat="1">
      <c r="B1042" s="2"/>
      <c r="C1042" s="2" t="s">
        <v>272</v>
      </c>
      <c r="D1042" s="2"/>
      <c r="E1042" s="411" t="str">
        <f>Preferences.PowerUnits&amp;"e"</f>
        <v>GWe</v>
      </c>
      <c r="F1042" s="365">
        <f t="shared" ref="F1042:N1042" si="151">F943*Conversion.to.average.power</f>
        <v>0</v>
      </c>
      <c r="G1042" s="365">
        <f t="shared" si="151"/>
        <v>0</v>
      </c>
      <c r="H1042" s="365">
        <f t="shared" si="151"/>
        <v>0</v>
      </c>
      <c r="I1042" s="365">
        <f t="shared" si="151"/>
        <v>0</v>
      </c>
      <c r="J1042" s="365">
        <f t="shared" si="151"/>
        <v>0</v>
      </c>
      <c r="K1042" s="365">
        <f t="shared" si="151"/>
        <v>0</v>
      </c>
      <c r="L1042" s="365">
        <f t="shared" si="151"/>
        <v>0</v>
      </c>
      <c r="M1042" s="365">
        <f t="shared" si="151"/>
        <v>0</v>
      </c>
      <c r="N1042" s="365">
        <f t="shared" si="151"/>
        <v>0</v>
      </c>
      <c r="O1042" s="2"/>
      <c r="W1042" s="365"/>
      <c r="X1042" s="365"/>
      <c r="Y1042" s="365"/>
    </row>
    <row r="1043" spans="2:25" s="4" customFormat="1">
      <c r="B1043" s="2"/>
      <c r="D1043" s="2"/>
      <c r="E1043" s="2"/>
      <c r="F1043" s="365"/>
      <c r="G1043" s="2"/>
      <c r="H1043" s="2"/>
      <c r="I1043" s="2"/>
      <c r="J1043" s="2"/>
      <c r="K1043" s="2"/>
      <c r="L1043" s="2"/>
      <c r="M1043" s="2"/>
      <c r="N1043" s="2"/>
      <c r="O1043" s="2"/>
      <c r="W1043" s="365"/>
      <c r="X1043" s="365"/>
      <c r="Y1043" s="365"/>
    </row>
    <row r="1044" spans="2:25" s="4" customFormat="1">
      <c r="B1044" s="2"/>
      <c r="C1044" s="372" t="s">
        <v>273</v>
      </c>
      <c r="D1044" s="2"/>
      <c r="E1044" s="2"/>
      <c r="F1044" s="355">
        <v>2013</v>
      </c>
      <c r="G1044" s="355">
        <v>2015</v>
      </c>
      <c r="H1044" s="355">
        <v>2020</v>
      </c>
      <c r="I1044" s="355">
        <v>2025</v>
      </c>
      <c r="J1044" s="355">
        <v>2030</v>
      </c>
      <c r="K1044" s="355">
        <v>2035</v>
      </c>
      <c r="L1044" s="355">
        <v>2040</v>
      </c>
      <c r="M1044" s="355">
        <v>2045</v>
      </c>
      <c r="N1044" s="355">
        <v>2050</v>
      </c>
      <c r="O1044" s="2"/>
      <c r="W1044" s="365"/>
      <c r="X1044" s="365"/>
      <c r="Y1044" s="365"/>
    </row>
    <row r="1045" spans="2:25" s="4" customFormat="1">
      <c r="B1045" s="2"/>
      <c r="C1045" s="4" t="s">
        <v>274</v>
      </c>
      <c r="D1045" s="2"/>
      <c r="E1045" s="2" t="str">
        <f>Preferences.PowerUnits&amp;"th"</f>
        <v>GWth</v>
      </c>
      <c r="F1045" s="365">
        <f>F757*Conversion.to.average.power</f>
        <v>0.67261503183860649</v>
      </c>
      <c r="G1045" s="365">
        <f t="shared" ref="G1045:N1045" si="152">G757*Conversion.to.average.power</f>
        <v>0.69353919818191656</v>
      </c>
      <c r="H1045" s="365">
        <f t="shared" si="152"/>
        <v>0.7313097424335343</v>
      </c>
      <c r="I1045" s="365">
        <f t="shared" si="152"/>
        <v>0.76886542869825059</v>
      </c>
      <c r="J1045" s="365">
        <f t="shared" si="152"/>
        <v>0.80427245574897555</v>
      </c>
      <c r="K1045" s="365">
        <f t="shared" si="152"/>
        <v>0.84167869054705269</v>
      </c>
      <c r="L1045" s="365">
        <f t="shared" si="152"/>
        <v>0.88102800585074559</v>
      </c>
      <c r="M1045" s="365">
        <f t="shared" si="152"/>
        <v>0.92013753392669528</v>
      </c>
      <c r="N1045" s="365">
        <f t="shared" si="152"/>
        <v>0.96128438791762683</v>
      </c>
      <c r="O1045" s="2"/>
      <c r="W1045" s="365"/>
      <c r="X1045" s="365"/>
      <c r="Y1045" s="365"/>
    </row>
    <row r="1046" spans="2:25" s="4" customFormat="1">
      <c r="B1046" s="2"/>
      <c r="C1046" s="2"/>
      <c r="D1046" s="2"/>
      <c r="E1046" s="2"/>
      <c r="F1046" s="365"/>
      <c r="G1046" s="2"/>
      <c r="H1046" s="2"/>
      <c r="I1046" s="2"/>
      <c r="J1046" s="2"/>
      <c r="K1046" s="2"/>
      <c r="L1046" s="2"/>
      <c r="M1046" s="2"/>
      <c r="N1046" s="2"/>
      <c r="O1046" s="2"/>
      <c r="W1046" s="365"/>
      <c r="X1046" s="365"/>
      <c r="Y1046" s="365"/>
    </row>
    <row r="1047" spans="2:25" s="4" customFormat="1">
      <c r="B1047" s="2"/>
      <c r="C1047" s="354" t="s">
        <v>275</v>
      </c>
      <c r="D1047" s="2"/>
      <c r="E1047" s="2"/>
      <c r="F1047" s="355">
        <v>2013</v>
      </c>
      <c r="G1047" s="355">
        <v>2015</v>
      </c>
      <c r="H1047" s="355">
        <v>2020</v>
      </c>
      <c r="I1047" s="355">
        <v>2025</v>
      </c>
      <c r="J1047" s="355">
        <v>2030</v>
      </c>
      <c r="K1047" s="355">
        <v>2035</v>
      </c>
      <c r="L1047" s="355">
        <v>2040</v>
      </c>
      <c r="M1047" s="355">
        <v>2045</v>
      </c>
      <c r="N1047" s="355">
        <v>2050</v>
      </c>
      <c r="O1047" s="2"/>
      <c r="W1047" s="365"/>
      <c r="X1047" s="365"/>
      <c r="Y1047" s="365"/>
    </row>
    <row r="1048" spans="2:25" s="4" customFormat="1">
      <c r="B1048" s="358">
        <v>1</v>
      </c>
      <c r="C1048" s="2" t="s">
        <v>45</v>
      </c>
      <c r="D1048" s="2"/>
      <c r="E1048" s="2"/>
      <c r="F1048" s="365">
        <f t="array" ref="F1048:F1060">F$1045*F$626:F$638</f>
        <v>0.11434455541256311</v>
      </c>
      <c r="G1048" s="365">
        <f t="array" ref="G1048:G1060">G$1045*G$626:G$638</f>
        <v>0.11152860078871363</v>
      </c>
      <c r="H1048" s="365">
        <f t="array" ref="H1048:H1060">H$1045*H$626:H$638</f>
        <v>0.10080215368678448</v>
      </c>
      <c r="I1048" s="365">
        <f t="array" ref="I1048:I1060">I$1045*I$626:I$638</f>
        <v>8.8315623566690968E-2</v>
      </c>
      <c r="J1048" s="365">
        <f t="array" ref="J1048:J1060">J$1045*J$626:J$638</f>
        <v>7.390611755531129E-2</v>
      </c>
      <c r="K1048" s="365">
        <f t="array" ref="K1048:K1060">K$1045*K$626:K$638</f>
        <v>5.8007585429594201E-2</v>
      </c>
      <c r="L1048" s="365">
        <f t="array" ref="L1048:L1060">L$1045*L$626:L$638</f>
        <v>4.0479665133682931E-2</v>
      </c>
      <c r="M1048" s="365">
        <f t="array" ref="M1048:M1060">M$1045*M$626:M$638</f>
        <v>2.1138294698316001E-2</v>
      </c>
      <c r="N1048" s="365">
        <f t="array" ref="N1048:N1060">N$1045*N$626:N$638</f>
        <v>0</v>
      </c>
      <c r="O1048" s="2"/>
      <c r="W1048" s="365"/>
      <c r="X1048" s="365"/>
      <c r="Y1048" s="365"/>
    </row>
    <row r="1049" spans="2:25" s="4" customFormat="1">
      <c r="B1049" s="358">
        <v>2</v>
      </c>
      <c r="C1049" s="2" t="s">
        <v>46</v>
      </c>
      <c r="D1049" s="2"/>
      <c r="E1049" s="2"/>
      <c r="F1049" s="365">
        <v>0.10492794496682262</v>
      </c>
      <c r="G1049" s="365">
        <v>0.13608363726488418</v>
      </c>
      <c r="H1049" s="365">
        <v>0.21702110734919475</v>
      </c>
      <c r="I1049" s="365">
        <v>0.30546815680714273</v>
      </c>
      <c r="J1049" s="365">
        <v>0.40039726040259804</v>
      </c>
      <c r="K1049" s="365">
        <v>0.50364232996518221</v>
      </c>
      <c r="L1049" s="365">
        <v>0.61576714138649391</v>
      </c>
      <c r="M1049" s="365">
        <v>0.73561265550139565</v>
      </c>
      <c r="N1049" s="365">
        <v>0.86515594912586413</v>
      </c>
      <c r="O1049" s="2"/>
      <c r="W1049" s="365"/>
      <c r="X1049" s="365"/>
      <c r="Y1049" s="365"/>
    </row>
    <row r="1050" spans="2:25" s="4" customFormat="1">
      <c r="B1050" s="358">
        <v>3</v>
      </c>
      <c r="C1050" s="2" t="s">
        <v>47</v>
      </c>
      <c r="D1050" s="2"/>
      <c r="E1050" s="2"/>
      <c r="F1050" s="365">
        <v>2.4214141146189833E-2</v>
      </c>
      <c r="G1050" s="365">
        <v>2.7366681874205354E-2</v>
      </c>
      <c r="H1050" s="365">
        <v>3.5181928149505166E-2</v>
      </c>
      <c r="I1050" s="365">
        <v>4.3638308115306119E-2</v>
      </c>
      <c r="J1050" s="365">
        <v>5.2603766024662726E-2</v>
      </c>
      <c r="K1050" s="365">
        <v>6.2329719245916869E-2</v>
      </c>
      <c r="L1050" s="365">
        <v>7.2863397240629221E-2</v>
      </c>
      <c r="M1050" s="365">
        <v>8.4055807153303505E-2</v>
      </c>
      <c r="N1050" s="365">
        <v>9.6128438791762694E-2</v>
      </c>
      <c r="O1050" s="2"/>
      <c r="W1050" s="365"/>
      <c r="X1050" s="365"/>
      <c r="Y1050" s="365"/>
    </row>
    <row r="1051" spans="2:25" s="4" customFormat="1">
      <c r="B1051" s="358">
        <v>4</v>
      </c>
      <c r="C1051" s="2" t="s">
        <v>48</v>
      </c>
      <c r="D1051" s="2"/>
      <c r="E1051" s="2"/>
      <c r="F1051" s="365">
        <v>0.41634870470809743</v>
      </c>
      <c r="G1051" s="365">
        <v>0.40609531698949247</v>
      </c>
      <c r="H1051" s="365">
        <v>0.36703843018893867</v>
      </c>
      <c r="I1051" s="365">
        <v>0.3215727705163629</v>
      </c>
      <c r="J1051" s="365">
        <v>0.26910521627492751</v>
      </c>
      <c r="K1051" s="365">
        <v>0.2112158551818753</v>
      </c>
      <c r="L1051" s="365">
        <v>0.14739360422205719</v>
      </c>
      <c r="M1051" s="365">
        <v>7.6968261283868189E-2</v>
      </c>
      <c r="N1051" s="365">
        <v>0</v>
      </c>
      <c r="O1051" s="2"/>
      <c r="W1051" s="365"/>
      <c r="X1051" s="365"/>
      <c r="Y1051" s="365"/>
    </row>
    <row r="1052" spans="2:25" s="4" customFormat="1">
      <c r="B1052" s="358">
        <v>5</v>
      </c>
      <c r="C1052" s="2" t="s">
        <v>49</v>
      </c>
      <c r="D1052" s="2"/>
      <c r="E1052" s="2"/>
      <c r="F1052" s="365">
        <v>1.0089225477579096E-2</v>
      </c>
      <c r="G1052" s="365">
        <v>9.8407588931217881E-3</v>
      </c>
      <c r="H1052" s="365">
        <v>8.8943076782456859E-3</v>
      </c>
      <c r="I1052" s="365">
        <v>7.7925550205903762E-3</v>
      </c>
      <c r="J1052" s="365">
        <v>6.5211280195862868E-3</v>
      </c>
      <c r="K1052" s="365">
        <v>5.1183163614347783E-3</v>
      </c>
      <c r="L1052" s="365">
        <v>3.5717351588543727E-3</v>
      </c>
      <c r="M1052" s="365">
        <v>1.8651436498514078E-3</v>
      </c>
      <c r="N1052" s="365">
        <v>0</v>
      </c>
      <c r="O1052" s="2"/>
      <c r="W1052" s="365"/>
      <c r="X1052" s="365"/>
      <c r="Y1052" s="365"/>
    </row>
    <row r="1053" spans="2:25" s="4" customFormat="1">
      <c r="B1053" s="358">
        <v>6</v>
      </c>
      <c r="C1053" s="2" t="s">
        <v>50</v>
      </c>
      <c r="D1053" s="2"/>
      <c r="E1053" s="2"/>
      <c r="F1053" s="365">
        <v>0</v>
      </c>
      <c r="G1053" s="365">
        <v>0</v>
      </c>
      <c r="H1053" s="365">
        <v>0</v>
      </c>
      <c r="I1053" s="365">
        <v>0</v>
      </c>
      <c r="J1053" s="365">
        <v>0</v>
      </c>
      <c r="K1053" s="365">
        <v>0</v>
      </c>
      <c r="L1053" s="365">
        <v>0</v>
      </c>
      <c r="M1053" s="365">
        <v>0</v>
      </c>
      <c r="N1053" s="365">
        <v>0</v>
      </c>
      <c r="O1053" s="2"/>
      <c r="W1053" s="365"/>
      <c r="X1053" s="365"/>
      <c r="Y1053" s="365"/>
    </row>
    <row r="1054" spans="2:25" s="4" customFormat="1">
      <c r="B1054" s="358">
        <v>7</v>
      </c>
      <c r="C1054" s="2" t="s">
        <v>51</v>
      </c>
      <c r="D1054" s="2"/>
      <c r="E1054" s="2"/>
      <c r="F1054" s="365">
        <v>0</v>
      </c>
      <c r="G1054" s="365">
        <v>0</v>
      </c>
      <c r="H1054" s="365">
        <v>0</v>
      </c>
      <c r="I1054" s="365">
        <v>0</v>
      </c>
      <c r="J1054" s="365">
        <v>0</v>
      </c>
      <c r="K1054" s="365">
        <v>0</v>
      </c>
      <c r="L1054" s="365">
        <v>0</v>
      </c>
      <c r="M1054" s="365">
        <v>0</v>
      </c>
      <c r="N1054" s="365">
        <v>0</v>
      </c>
      <c r="O1054" s="2"/>
      <c r="W1054" s="365"/>
      <c r="X1054" s="365"/>
      <c r="Y1054" s="365"/>
    </row>
    <row r="1055" spans="2:25" s="4" customFormat="1">
      <c r="B1055" s="358">
        <v>8</v>
      </c>
      <c r="C1055" s="2" t="s">
        <v>52</v>
      </c>
      <c r="D1055" s="2"/>
      <c r="E1055" s="2"/>
      <c r="F1055" s="365">
        <v>6.7261503183860651E-4</v>
      </c>
      <c r="G1055" s="365">
        <v>6.5605059287478598E-4</v>
      </c>
      <c r="H1055" s="365">
        <v>5.929538452163791E-4</v>
      </c>
      <c r="I1055" s="365">
        <v>5.1950366803935847E-4</v>
      </c>
      <c r="J1055" s="365">
        <v>4.3474186797241913E-4</v>
      </c>
      <c r="K1055" s="365">
        <v>3.4122109076231856E-4</v>
      </c>
      <c r="L1055" s="365">
        <v>2.3811567725695812E-4</v>
      </c>
      <c r="M1055" s="365">
        <v>1.243429099900938E-4</v>
      </c>
      <c r="N1055" s="365">
        <v>0</v>
      </c>
      <c r="O1055" s="2"/>
      <c r="W1055" s="365"/>
      <c r="X1055" s="365"/>
      <c r="Y1055" s="365"/>
    </row>
    <row r="1056" spans="2:25" s="4" customFormat="1">
      <c r="B1056" s="358">
        <v>9</v>
      </c>
      <c r="C1056" s="2" t="s">
        <v>53</v>
      </c>
      <c r="D1056" s="2"/>
      <c r="E1056" s="2"/>
      <c r="F1056" s="365">
        <v>1.345230063677213E-3</v>
      </c>
      <c r="G1056" s="365">
        <v>1.312101185749572E-3</v>
      </c>
      <c r="H1056" s="365">
        <v>1.1859076904327582E-3</v>
      </c>
      <c r="I1056" s="365">
        <v>1.0390073360787169E-3</v>
      </c>
      <c r="J1056" s="365">
        <v>8.6948373594483827E-4</v>
      </c>
      <c r="K1056" s="365">
        <v>6.8244218152463713E-4</v>
      </c>
      <c r="L1056" s="365">
        <v>4.7623135451391624E-4</v>
      </c>
      <c r="M1056" s="365">
        <v>2.486858199801876E-4</v>
      </c>
      <c r="N1056" s="365">
        <v>0</v>
      </c>
      <c r="O1056" s="2"/>
      <c r="W1056" s="365"/>
      <c r="X1056" s="365"/>
      <c r="Y1056" s="365"/>
    </row>
    <row r="1057" spans="2:25" s="4" customFormat="1">
      <c r="B1057" s="358">
        <v>10</v>
      </c>
      <c r="C1057" s="2" t="s">
        <v>54</v>
      </c>
      <c r="D1057" s="2"/>
      <c r="E1057" s="2"/>
      <c r="F1057" s="365">
        <v>0</v>
      </c>
      <c r="G1057" s="365">
        <v>0</v>
      </c>
      <c r="H1057" s="365">
        <v>0</v>
      </c>
      <c r="I1057" s="365">
        <v>0</v>
      </c>
      <c r="J1057" s="365">
        <v>0</v>
      </c>
      <c r="K1057" s="365">
        <v>0</v>
      </c>
      <c r="L1057" s="365">
        <v>0</v>
      </c>
      <c r="M1057" s="365">
        <v>0</v>
      </c>
      <c r="N1057" s="365">
        <v>0</v>
      </c>
      <c r="O1057" s="2"/>
      <c r="W1057" s="365"/>
      <c r="X1057" s="365"/>
      <c r="Y1057" s="365"/>
    </row>
    <row r="1058" spans="2:25" s="4" customFormat="1">
      <c r="B1058" s="358">
        <v>11</v>
      </c>
      <c r="C1058" s="2" t="s">
        <v>55</v>
      </c>
      <c r="D1058" s="2"/>
      <c r="E1058" s="2"/>
      <c r="F1058" s="365">
        <v>0</v>
      </c>
      <c r="G1058" s="365">
        <v>0</v>
      </c>
      <c r="H1058" s="365">
        <v>0</v>
      </c>
      <c r="I1058" s="365">
        <v>0</v>
      </c>
      <c r="J1058" s="365">
        <v>0</v>
      </c>
      <c r="K1058" s="365">
        <v>0</v>
      </c>
      <c r="L1058" s="365">
        <v>0</v>
      </c>
      <c r="M1058" s="365">
        <v>0</v>
      </c>
      <c r="N1058" s="365">
        <v>0</v>
      </c>
      <c r="O1058" s="2"/>
      <c r="W1058" s="365"/>
      <c r="X1058" s="365"/>
      <c r="Y1058" s="365"/>
    </row>
    <row r="1059" spans="2:25" s="4" customFormat="1">
      <c r="B1059" s="358">
        <v>12</v>
      </c>
      <c r="C1059" s="2" t="s">
        <v>56</v>
      </c>
      <c r="D1059" s="2"/>
      <c r="E1059" s="2"/>
      <c r="F1059" s="365">
        <v>0</v>
      </c>
      <c r="G1059" s="365">
        <v>0</v>
      </c>
      <c r="H1059" s="365">
        <v>0</v>
      </c>
      <c r="I1059" s="365">
        <v>0</v>
      </c>
      <c r="J1059" s="365">
        <v>0</v>
      </c>
      <c r="K1059" s="365">
        <v>0</v>
      </c>
      <c r="L1059" s="365">
        <v>0</v>
      </c>
      <c r="M1059" s="365">
        <v>0</v>
      </c>
      <c r="N1059" s="365">
        <v>0</v>
      </c>
      <c r="O1059" s="2"/>
      <c r="W1059" s="365"/>
      <c r="X1059" s="365"/>
      <c r="Y1059" s="365"/>
    </row>
    <row r="1060" spans="2:25" s="4" customFormat="1">
      <c r="B1060" s="358">
        <v>13</v>
      </c>
      <c r="C1060" s="2" t="s">
        <v>57</v>
      </c>
      <c r="D1060" s="2"/>
      <c r="E1060" s="2"/>
      <c r="F1060" s="365">
        <v>0</v>
      </c>
      <c r="G1060" s="365">
        <v>0</v>
      </c>
      <c r="H1060" s="365">
        <v>0</v>
      </c>
      <c r="I1060" s="365">
        <v>0</v>
      </c>
      <c r="J1060" s="365">
        <v>0</v>
      </c>
      <c r="K1060" s="365">
        <v>0</v>
      </c>
      <c r="L1060" s="365">
        <v>0</v>
      </c>
      <c r="M1060" s="365">
        <v>0</v>
      </c>
      <c r="N1060" s="365">
        <v>0</v>
      </c>
      <c r="O1060" s="2"/>
      <c r="W1060" s="365"/>
      <c r="X1060" s="365"/>
      <c r="Y1060" s="365"/>
    </row>
    <row r="1061" spans="2:25" s="4" customFormat="1">
      <c r="B1061" s="358"/>
      <c r="C1061" s="2"/>
      <c r="D1061" s="2"/>
      <c r="E1061" s="2" t="str">
        <f>Preferences.PowerUnits&amp;"th"</f>
        <v>GWth</v>
      </c>
      <c r="F1061" s="412">
        <f t="shared" ref="F1061:N1061" si="153">SUM(F1048:F1060)</f>
        <v>0.67194241680676792</v>
      </c>
      <c r="G1061" s="412">
        <f t="shared" si="153"/>
        <v>0.69288314758904168</v>
      </c>
      <c r="H1061" s="412">
        <f t="shared" si="153"/>
        <v>0.73071678858831801</v>
      </c>
      <c r="I1061" s="412">
        <f t="shared" si="153"/>
        <v>0.76834592503021115</v>
      </c>
      <c r="J1061" s="412">
        <f t="shared" si="153"/>
        <v>0.80383771388100311</v>
      </c>
      <c r="K1061" s="412">
        <f t="shared" si="153"/>
        <v>0.8413374694562904</v>
      </c>
      <c r="L1061" s="412">
        <f t="shared" si="153"/>
        <v>0.88078989017348841</v>
      </c>
      <c r="M1061" s="412">
        <f t="shared" si="153"/>
        <v>0.92001319101670498</v>
      </c>
      <c r="N1061" s="412">
        <f t="shared" si="153"/>
        <v>0.96128438791762683</v>
      </c>
      <c r="O1061" s="2"/>
      <c r="W1061" s="365"/>
      <c r="X1061" s="365"/>
      <c r="Y1061" s="365"/>
    </row>
    <row r="1062" spans="2:25" s="4" customFormat="1">
      <c r="B1062" s="2"/>
      <c r="C1062" s="2"/>
      <c r="D1062" s="2"/>
      <c r="E1062" s="2"/>
      <c r="F1062" s="2"/>
      <c r="G1062" s="2"/>
      <c r="H1062" s="2"/>
      <c r="I1062" s="2"/>
      <c r="J1062" s="2"/>
      <c r="K1062" s="2"/>
      <c r="L1062" s="2"/>
      <c r="M1062" s="2"/>
      <c r="N1062" s="2"/>
      <c r="O1062" s="2"/>
      <c r="W1062" s="365"/>
      <c r="X1062" s="365"/>
      <c r="Y1062" s="365"/>
    </row>
    <row r="1063" spans="2:25" s="4" customFormat="1">
      <c r="B1063" s="354"/>
      <c r="C1063" s="354" t="s">
        <v>276</v>
      </c>
      <c r="D1063" s="2"/>
      <c r="E1063" s="355"/>
      <c r="F1063" s="355">
        <v>2013</v>
      </c>
      <c r="G1063" s="355">
        <v>2015</v>
      </c>
      <c r="H1063" s="355">
        <v>2020</v>
      </c>
      <c r="I1063" s="355">
        <v>2025</v>
      </c>
      <c r="J1063" s="355">
        <v>2030</v>
      </c>
      <c r="K1063" s="355">
        <v>2035</v>
      </c>
      <c r="L1063" s="355">
        <v>2040</v>
      </c>
      <c r="M1063" s="355">
        <v>2045</v>
      </c>
      <c r="N1063" s="355">
        <v>2050</v>
      </c>
      <c r="O1063" s="2"/>
      <c r="W1063" s="365"/>
      <c r="X1063" s="365"/>
      <c r="Y1063" s="365"/>
    </row>
    <row r="1064" spans="2:25" s="4" customFormat="1">
      <c r="B1064" s="358" t="s">
        <v>95</v>
      </c>
      <c r="C1064" s="4" t="s">
        <v>85</v>
      </c>
      <c r="D1064" s="2"/>
      <c r="E1064" s="3801" t="s">
        <v>5</v>
      </c>
      <c r="F1064" s="365">
        <f t="array" ref="F1064">SUM(F$1048:F$1060/$M$185:$M$197*($B1064=$F$184:$N$184)*($F$185:$N$197))</f>
        <v>-2.504075557925748E-2</v>
      </c>
      <c r="G1064" s="365">
        <f t="array" ref="G1064">SUM(G$1048:G$1060/$M$185:$M$197*($B1064=$F$184:$N$184)*($F$185:$N$197))</f>
        <v>-2.817293933682925E-2</v>
      </c>
      <c r="H1064" s="365">
        <f t="array" ref="H1064">SUM(H$1048:H$1060/$M$185:$M$197*($B1064=$F$184:$N$184)*($F$185:$N$197))</f>
        <v>-3.5910642471067386E-2</v>
      </c>
      <c r="I1064" s="365">
        <f t="array" ref="I1064">SUM(I$1048:I$1060/$M$185:$M$197*($B1064=$F$184:$N$184)*($F$185:$N$197))</f>
        <v>-4.4276755384108697E-2</v>
      </c>
      <c r="J1064" s="365">
        <f t="array" ref="J1064">SUM(J$1048:J$1060/$M$185:$M$197*($B1064=$F$184:$N$184)*($F$185:$N$197))</f>
        <v>-5.31380447512955E-2</v>
      </c>
      <c r="K1064" s="365">
        <f t="array" ref="K1064">SUM(K$1048:K$1060/$M$185:$M$197*($B1064=$F$184:$N$184)*($F$185:$N$197))</f>
        <v>-6.274906503086046E-2</v>
      </c>
      <c r="L1064" s="365">
        <f t="array" ref="L1064">SUM(L$1048:L$1060/$M$185:$M$197*($B1064=$F$184:$N$184)*($F$185:$N$197))</f>
        <v>-7.3156030985406295E-2</v>
      </c>
      <c r="M1064" s="365">
        <f t="array" ref="M1064">SUM(M$1048:M$1060/$M$185:$M$197*($B1064=$F$184:$N$184)*($F$185:$N$197))</f>
        <v>-8.4208619147062375E-2</v>
      </c>
      <c r="N1064" s="365">
        <f t="array" ref="N1064">SUM(N$1048:N$1060/$M$185:$M$197*($B1064=$F$184:$N$184)*($F$185:$N$197))</f>
        <v>-9.6128438791762694E-2</v>
      </c>
      <c r="O1064" s="2"/>
      <c r="W1064" s="365"/>
      <c r="X1064" s="365"/>
      <c r="Y1064" s="365"/>
    </row>
    <row r="1065" spans="2:25" s="4" customFormat="1">
      <c r="B1065" s="358" t="s">
        <v>96</v>
      </c>
      <c r="C1065" s="4" t="s">
        <v>86</v>
      </c>
      <c r="D1065" s="2"/>
      <c r="E1065" s="2"/>
      <c r="F1065" s="365">
        <f t="array" ref="F1065">SUM(F$1048:F$1060/$M$185:$M$197*($B1065=$F$184:$N$184)*($F$185:$N$197))</f>
        <v>0</v>
      </c>
      <c r="G1065" s="365">
        <f t="array" ref="G1065">SUM(G$1048:G$1060/$M$185:$M$197*($B1065=$F$184:$N$184)*($F$185:$N$197))</f>
        <v>0</v>
      </c>
      <c r="H1065" s="365">
        <f t="array" ref="H1065">SUM(H$1048:H$1060/$M$185:$M$197*($B1065=$F$184:$N$184)*($F$185:$N$197))</f>
        <v>0</v>
      </c>
      <c r="I1065" s="365">
        <f t="array" ref="I1065">SUM(I$1048:I$1060/$M$185:$M$197*($B1065=$F$184:$N$184)*($F$185:$N$197))</f>
        <v>0</v>
      </c>
      <c r="J1065" s="365">
        <f t="array" ref="J1065">SUM(J$1048:J$1060/$M$185:$M$197*($B1065=$F$184:$N$184)*($F$185:$N$197))</f>
        <v>0</v>
      </c>
      <c r="K1065" s="365">
        <f t="array" ref="K1065">SUM(K$1048:K$1060/$M$185:$M$197*($B1065=$F$184:$N$184)*($F$185:$N$197))</f>
        <v>0</v>
      </c>
      <c r="L1065" s="365">
        <f t="array" ref="L1065">SUM(L$1048:L$1060/$M$185:$M$197*($B1065=$F$184:$N$184)*($F$185:$N$197))</f>
        <v>0</v>
      </c>
      <c r="M1065" s="365">
        <f t="array" ref="M1065">SUM(M$1048:M$1060/$M$185:$M$197*($B1065=$F$184:$N$184)*($F$185:$N$197))</f>
        <v>0</v>
      </c>
      <c r="N1065" s="365">
        <f t="array" ref="N1065">SUM(N$1048:N$1060/$M$185:$M$197*($B1065=$F$184:$N$184)*($F$185:$N$197))</f>
        <v>0</v>
      </c>
      <c r="O1065" s="2"/>
      <c r="W1065" s="365"/>
      <c r="X1065" s="365"/>
      <c r="Y1065" s="365"/>
    </row>
    <row r="1066" spans="2:25" s="4" customFormat="1">
      <c r="B1066" s="358" t="s">
        <v>97</v>
      </c>
      <c r="C1066" s="4" t="s">
        <v>87</v>
      </c>
      <c r="D1066" s="2"/>
      <c r="E1066" s="2"/>
      <c r="F1066" s="365">
        <f t="array" ref="F1066">SUM(F$1048:F$1060/$M$185:$M$197*($B1066=$F$184:$N$184)*($F$185:$N$197))</f>
        <v>-1.1596810893769077E-2</v>
      </c>
      <c r="G1066" s="365">
        <f t="array" ref="G1066">SUM(G$1048:G$1060/$M$185:$M$197*($B1066=$F$184:$N$184)*($F$185:$N$197))</f>
        <v>-1.1311217118530791E-2</v>
      </c>
      <c r="H1066" s="365">
        <f t="array" ref="H1066">SUM(H$1048:H$1060/$M$185:$M$197*($B1066=$F$184:$N$184)*($F$185:$N$197))</f>
        <v>-1.0223342158903087E-2</v>
      </c>
      <c r="I1066" s="365">
        <f t="array" ref="I1066">SUM(I$1048:I$1060/$M$185:$M$197*($B1066=$F$184:$N$184)*($F$185:$N$197))</f>
        <v>-8.9569597937820423E-3</v>
      </c>
      <c r="J1066" s="365">
        <f t="array" ref="J1066">SUM(J$1048:J$1060/$M$185:$M$197*($B1066=$F$184:$N$184)*($F$185:$N$197))</f>
        <v>-7.4955494478003296E-3</v>
      </c>
      <c r="K1066" s="365">
        <f t="array" ref="K1066">SUM(K$1048:K$1060/$M$185:$M$197*($B1066=$F$184:$N$184)*($F$185:$N$197))</f>
        <v>-5.8831222545227338E-3</v>
      </c>
      <c r="L1066" s="365">
        <f t="array" ref="L1066">SUM(L$1048:L$1060/$M$185:$M$197*($B1066=$F$184:$N$184)*($F$185:$N$197))</f>
        <v>-4.1054427113268654E-3</v>
      </c>
      <c r="M1066" s="365">
        <f t="array" ref="M1066">SUM(M$1048:M$1060/$M$185:$M$197*($B1066=$F$184:$N$184)*($F$185:$N$197))</f>
        <v>-2.1438432756912735E-3</v>
      </c>
      <c r="N1066" s="365">
        <f t="array" ref="N1066">SUM(N$1048:N$1060/$M$185:$M$197*($B1066=$F$184:$N$184)*($F$185:$N$197))</f>
        <v>0</v>
      </c>
      <c r="O1066" s="2"/>
      <c r="W1066" s="365"/>
      <c r="X1066" s="365"/>
      <c r="Y1066" s="365"/>
    </row>
    <row r="1067" spans="2:25" s="4" customFormat="1">
      <c r="B1067" s="358" t="s">
        <v>98</v>
      </c>
      <c r="C1067" s="4" t="s">
        <v>88</v>
      </c>
      <c r="D1067" s="2"/>
      <c r="E1067" s="2"/>
      <c r="F1067" s="365">
        <f t="array" ref="F1067">SUM(F$1048:F$1060/$M$185:$M$197*($B1067=$F$184:$N$184)*($F$185:$N$197))</f>
        <v>-0.42922546877123446</v>
      </c>
      <c r="G1067" s="365">
        <f t="array" ref="G1067">SUM(G$1048:G$1060/$M$185:$M$197*($B1067=$F$184:$N$184)*($F$185:$N$197))</f>
        <v>-0.41865496596854895</v>
      </c>
      <c r="H1067" s="365">
        <f t="array" ref="H1067">SUM(H$1048:H$1060/$M$185:$M$197*($B1067=$F$184:$N$184)*($F$185:$N$197))</f>
        <v>-0.37839013421540069</v>
      </c>
      <c r="I1067" s="365">
        <f t="array" ref="I1067">SUM(I$1048:I$1060/$M$185:$M$197*($B1067=$F$184:$N$184)*($F$185:$N$197))</f>
        <v>-0.33151832011996174</v>
      </c>
      <c r="J1067" s="365">
        <f t="array" ref="J1067">SUM(J$1048:J$1060/$M$185:$M$197*($B1067=$F$184:$N$184)*($F$185:$N$197))</f>
        <v>-0.27742805801538917</v>
      </c>
      <c r="K1067" s="365">
        <f t="array" ref="K1067">SUM(K$1048:K$1060/$M$185:$M$197*($B1067=$F$184:$N$184)*($F$185:$N$197))</f>
        <v>-0.21774830431121164</v>
      </c>
      <c r="L1067" s="365">
        <f t="array" ref="L1067">SUM(L$1048:L$1060/$M$185:$M$197*($B1067=$F$184:$N$184)*($F$185:$N$197))</f>
        <v>-0.1519521693010899</v>
      </c>
      <c r="M1067" s="365">
        <f t="array" ref="M1067">SUM(M$1048:M$1060/$M$185:$M$197*($B1067=$F$184:$N$184)*($F$185:$N$197))</f>
        <v>-7.934872297305999E-2</v>
      </c>
      <c r="N1067" s="365">
        <f t="array" ref="N1067">SUM(N$1048:N$1060/$M$185:$M$197*($B1067=$F$184:$N$184)*($F$185:$N$197))</f>
        <v>0</v>
      </c>
      <c r="O1067" s="2"/>
      <c r="W1067" s="365"/>
      <c r="X1067" s="365"/>
      <c r="Y1067" s="365"/>
    </row>
    <row r="1068" spans="2:25" s="4" customFormat="1">
      <c r="B1068" s="358" t="s">
        <v>99</v>
      </c>
      <c r="C1068" s="4" t="s">
        <v>89</v>
      </c>
      <c r="D1068" s="2"/>
      <c r="E1068" s="2"/>
      <c r="F1068" s="365">
        <f t="array" ref="F1068">SUM(F$1048:F$1060/$M$185:$M$197*($B1068=$F$184:$N$184)*($F$185:$N$197))</f>
        <v>-0.26575879641442685</v>
      </c>
      <c r="G1068" s="365">
        <f t="array" ref="G1068">SUM(G$1048:G$1060/$M$185:$M$197*($B1068=$F$184:$N$184)*($F$185:$N$197))</f>
        <v>-0.29629061746535768</v>
      </c>
      <c r="H1068" s="365">
        <f t="array" ref="H1068">SUM(H$1048:H$1060/$M$185:$M$197*($B1068=$F$184:$N$184)*($F$185:$N$197))</f>
        <v>-0.37111914609653252</v>
      </c>
      <c r="I1068" s="365">
        <f t="array" ref="I1068">SUM(I$1048:I$1060/$M$185:$M$197*($B1068=$F$184:$N$184)*($F$185:$N$197))</f>
        <v>-0.45188406104557149</v>
      </c>
      <c r="J1068" s="365">
        <f t="array" ref="J1068">SUM(J$1048:J$1060/$M$185:$M$197*($B1068=$F$184:$N$184)*($F$185:$N$197))</f>
        <v>-0.53724188097355086</v>
      </c>
      <c r="K1068" s="365">
        <f t="array" ref="K1068">SUM(K$1048:K$1060/$M$185:$M$197*($B1068=$F$184:$N$184)*($F$185:$N$197))</f>
        <v>-0.62977888015394623</v>
      </c>
      <c r="L1068" s="365">
        <f t="array" ref="L1068">SUM(L$1048:L$1060/$M$185:$M$197*($B1068=$F$184:$N$184)*($F$185:$N$197))</f>
        <v>-0.72992990561796822</v>
      </c>
      <c r="M1068" s="365">
        <f t="array" ref="M1068">SUM(M$1048:M$1060/$M$185:$M$197*($B1068=$F$184:$N$184)*($F$185:$N$197))</f>
        <v>-0.83617910115171812</v>
      </c>
      <c r="N1068" s="365">
        <f t="array" ref="N1068">SUM(N$1048:N$1060/$M$185:$M$197*($B1068=$F$184:$N$184)*($F$185:$N$197))</f>
        <v>-0.95072082321523532</v>
      </c>
      <c r="O1068" s="2"/>
      <c r="W1068" s="365"/>
      <c r="X1068" s="365"/>
      <c r="Y1068" s="365"/>
    </row>
    <row r="1069" spans="2:25" s="4" customFormat="1">
      <c r="B1069" s="358" t="s">
        <v>100</v>
      </c>
      <c r="C1069" s="4" t="s">
        <v>90</v>
      </c>
      <c r="D1069" s="2"/>
      <c r="E1069" s="2"/>
      <c r="F1069" s="365">
        <f t="array" ref="F1069">SUM(F$1048:F$1060/$M$185:$M$197*($B1069=$F$184:$N$184)*($F$185:$N$197))</f>
        <v>0</v>
      </c>
      <c r="G1069" s="365">
        <f t="array" ref="G1069">SUM(G$1048:G$1060/$M$185:$M$197*($B1069=$F$184:$N$184)*($F$185:$N$197))</f>
        <v>0</v>
      </c>
      <c r="H1069" s="365">
        <f t="array" ref="H1069">SUM(H$1048:H$1060/$M$185:$M$197*($B1069=$F$184:$N$184)*($F$185:$N$197))</f>
        <v>0</v>
      </c>
      <c r="I1069" s="365">
        <f t="array" ref="I1069">SUM(I$1048:I$1060/$M$185:$M$197*($B1069=$F$184:$N$184)*($F$185:$N$197))</f>
        <v>0</v>
      </c>
      <c r="J1069" s="365">
        <f t="array" ref="J1069">SUM(J$1048:J$1060/$M$185:$M$197*($B1069=$F$184:$N$184)*($F$185:$N$197))</f>
        <v>0</v>
      </c>
      <c r="K1069" s="365">
        <f t="array" ref="K1069">SUM(K$1048:K$1060/$M$185:$M$197*($B1069=$F$184:$N$184)*($F$185:$N$197))</f>
        <v>0</v>
      </c>
      <c r="L1069" s="365">
        <f t="array" ref="L1069">SUM(L$1048:L$1060/$M$185:$M$197*($B1069=$F$184:$N$184)*($F$185:$N$197))</f>
        <v>0</v>
      </c>
      <c r="M1069" s="365">
        <f t="array" ref="M1069">SUM(M$1048:M$1060/$M$185:$M$197*($B1069=$F$184:$N$184)*($F$185:$N$197))</f>
        <v>0</v>
      </c>
      <c r="N1069" s="365">
        <f t="array" ref="N1069">SUM(N$1048:N$1060/$M$185:$M$197*($B1069=$F$184:$N$184)*($F$185:$N$197))</f>
        <v>0</v>
      </c>
      <c r="O1069" s="2"/>
      <c r="W1069" s="365"/>
      <c r="X1069" s="365"/>
      <c r="Y1069" s="365"/>
    </row>
    <row r="1070" spans="2:25" s="4" customFormat="1">
      <c r="B1070" s="358" t="s">
        <v>101</v>
      </c>
      <c r="C1070" s="4" t="s">
        <v>91</v>
      </c>
      <c r="D1070" s="2"/>
      <c r="E1070" s="2"/>
      <c r="F1070" s="365">
        <f t="array" ref="F1070">SUM(F$1048:F$1060/$M$185:$M$197*($B1070=$F$184:$N$184)*($F$185:$N$197))</f>
        <v>-1.1912306624481718E-3</v>
      </c>
      <c r="G1070" s="365">
        <f t="array" ref="G1070">SUM(G$1048:G$1060/$M$185:$M$197*($B1070=$F$184:$N$184)*($F$185:$N$197))</f>
        <v>-1.1618943160004627E-3</v>
      </c>
      <c r="H1070" s="365">
        <f t="array" ref="H1070">SUM(H$1048:H$1060/$M$185:$M$197*($B1070=$F$184:$N$184)*($F$185:$N$197))</f>
        <v>-1.0501472140869205E-3</v>
      </c>
      <c r="I1070" s="365">
        <f t="array" ref="I1070">SUM(I$1048:I$1060/$M$185:$M$197*($B1070=$F$184:$N$184)*($F$185:$N$197))</f>
        <v>-9.200637353154969E-4</v>
      </c>
      <c r="J1070" s="365">
        <f t="array" ref="J1070">SUM(J$1048:J$1060/$M$185:$M$197*($B1070=$F$184:$N$184)*($F$185:$N$197))</f>
        <v>-7.6994687728448635E-4</v>
      </c>
      <c r="K1070" s="365">
        <f t="array" ref="K1070">SUM(K$1048:K$1060/$M$185:$M$197*($B1070=$F$184:$N$184)*($F$185:$N$197))</f>
        <v>-6.0431748734336558E-4</v>
      </c>
      <c r="L1070" s="365">
        <f t="array" ref="L1070">SUM(L$1048:L$1060/$M$185:$M$197*($B1070=$F$184:$N$184)*($F$185:$N$197))</f>
        <v>-4.2171328699380458E-4</v>
      </c>
      <c r="M1070" s="365">
        <f t="array" ref="M1070">SUM(M$1048:M$1060/$M$185:$M$197*($B1070=$F$184:$N$184)*($F$185:$N$197))</f>
        <v>-2.202167362114119E-4</v>
      </c>
      <c r="N1070" s="365">
        <f t="array" ref="N1070">SUM(N$1048:N$1060/$M$185:$M$197*($B1070=$F$184:$N$184)*($F$185:$N$197))</f>
        <v>0</v>
      </c>
      <c r="O1070" s="2"/>
      <c r="W1070" s="365"/>
      <c r="X1070" s="365"/>
      <c r="Y1070" s="365"/>
    </row>
    <row r="1071" spans="2:25" s="4" customFormat="1">
      <c r="B1071" s="358" t="s">
        <v>102</v>
      </c>
      <c r="C1071" s="4" t="s">
        <v>92</v>
      </c>
      <c r="D1071" s="2"/>
      <c r="E1071" s="2"/>
      <c r="F1071" s="365">
        <f t="array" ref="F1071">SUM(F$1048:F$1060/$M$185:$M$197*($B1071=$F$184:$N$184)*($F$185:$N$197))</f>
        <v>0.67194241680676792</v>
      </c>
      <c r="G1071" s="365">
        <f t="array" ref="G1071">SUM(G$1048:G$1060/$M$185:$M$197*($B1071=$F$184:$N$184)*($F$185:$N$197))</f>
        <v>0.69288314758904179</v>
      </c>
      <c r="H1071" s="365">
        <f t="array" ref="H1071">SUM(H$1048:H$1060/$M$185:$M$197*($B1071=$F$184:$N$184)*($F$185:$N$197))</f>
        <v>0.73071678858831801</v>
      </c>
      <c r="I1071" s="365">
        <f t="array" ref="I1071">SUM(I$1048:I$1060/$M$185:$M$197*($B1071=$F$184:$N$184)*($F$185:$N$197))</f>
        <v>0.76834592503021115</v>
      </c>
      <c r="J1071" s="365">
        <f t="array" ref="J1071">SUM(J$1048:J$1060/$M$185:$M$197*($B1071=$F$184:$N$184)*($F$185:$N$197))</f>
        <v>0.80383771388100311</v>
      </c>
      <c r="K1071" s="365">
        <f t="array" ref="K1071">SUM(K$1048:K$1060/$M$185:$M$197*($B1071=$F$184:$N$184)*($F$185:$N$197))</f>
        <v>0.8413374694562904</v>
      </c>
      <c r="L1071" s="365">
        <f t="array" ref="L1071">SUM(L$1048:L$1060/$M$185:$M$197*($B1071=$F$184:$N$184)*($F$185:$N$197))</f>
        <v>0.88078989017348841</v>
      </c>
      <c r="M1071" s="365">
        <f t="array" ref="M1071">SUM(M$1048:M$1060/$M$185:$M$197*($B1071=$F$184:$N$184)*($F$185:$N$197))</f>
        <v>0.92001319101670498</v>
      </c>
      <c r="N1071" s="365">
        <f t="array" ref="N1071">SUM(N$1048:N$1060/$M$185:$M$197*($B1071=$F$184:$N$184)*($F$185:$N$197))</f>
        <v>0.96128438791762683</v>
      </c>
      <c r="O1071" s="2"/>
      <c r="W1071" s="365"/>
      <c r="X1071" s="365"/>
      <c r="Y1071" s="365"/>
    </row>
    <row r="1072" spans="2:25" s="4" customFormat="1">
      <c r="B1072" s="358" t="s">
        <v>103</v>
      </c>
      <c r="C1072" s="4" t="s">
        <v>93</v>
      </c>
      <c r="D1072" s="2"/>
      <c r="E1072" s="2"/>
      <c r="F1072" s="365">
        <f t="array" ref="F1072">SUM(F$1048:F$1060/$M$185:$M$197*($B1072=$F$184:$N$184)*($F$185:$N$197))</f>
        <v>6.0870645514368146E-2</v>
      </c>
      <c r="G1072" s="365">
        <f t="array" ref="G1072">SUM(G$1048:G$1060/$M$185:$M$197*($B1072=$F$184:$N$184)*($F$185:$N$197))</f>
        <v>6.2708486616225356E-2</v>
      </c>
      <c r="H1072" s="365">
        <f t="array" ref="H1072">SUM(H$1048:H$1060/$M$185:$M$197*($B1072=$F$184:$N$184)*($F$185:$N$197))</f>
        <v>6.5976623567672699E-2</v>
      </c>
      <c r="I1072" s="365">
        <f t="array" ref="I1072">SUM(I$1048:I$1060/$M$185:$M$197*($B1072=$F$184:$N$184)*($F$185:$N$197))</f>
        <v>6.9210235048528329E-2</v>
      </c>
      <c r="J1072" s="365">
        <f t="array" ref="J1072">SUM(J$1048:J$1060/$M$185:$M$197*($B1072=$F$184:$N$184)*($F$185:$N$197))</f>
        <v>7.2235766184317249E-2</v>
      </c>
      <c r="K1072" s="365">
        <f t="array" ref="K1072">SUM(K$1048:K$1060/$M$185:$M$197*($B1072=$F$184:$N$184)*($F$185:$N$197))</f>
        <v>7.5426219781594098E-2</v>
      </c>
      <c r="L1072" s="365">
        <f t="array" ref="L1072">SUM(L$1048:L$1060/$M$185:$M$197*($B1072=$F$184:$N$184)*($F$185:$N$197))</f>
        <v>7.8775371729296592E-2</v>
      </c>
      <c r="M1072" s="365">
        <f t="array" ref="M1072">SUM(M$1048:M$1060/$M$185:$M$197*($B1072=$F$184:$N$184)*($F$185:$N$197))</f>
        <v>8.2087312267038123E-2</v>
      </c>
      <c r="N1072" s="365">
        <f t="array" ref="N1072">SUM(N$1048:N$1060/$M$185:$M$197*($B1072=$F$184:$N$184)*($F$185:$N$197))</f>
        <v>8.5564874089371176E-2</v>
      </c>
      <c r="O1072" s="2"/>
      <c r="W1072" s="365"/>
      <c r="X1072" s="365"/>
      <c r="Y1072" s="365"/>
    </row>
    <row r="1073" spans="2:25" s="4" customFormat="1">
      <c r="B1073" s="358"/>
      <c r="D1073" s="2"/>
      <c r="E1073" s="2" t="str">
        <f>Preferences.PowerUnits</f>
        <v>GW</v>
      </c>
      <c r="F1073" s="412">
        <f t="shared" ref="F1073:N1073" si="154">SUM(F1064:F1072)</f>
        <v>0</v>
      </c>
      <c r="G1073" s="412">
        <f t="shared" si="154"/>
        <v>0</v>
      </c>
      <c r="H1073" s="412">
        <f t="shared" si="154"/>
        <v>1.6653345369377348E-16</v>
      </c>
      <c r="I1073" s="412">
        <f t="shared" si="154"/>
        <v>0</v>
      </c>
      <c r="J1073" s="412">
        <f t="shared" si="154"/>
        <v>0</v>
      </c>
      <c r="K1073" s="412">
        <f t="shared" si="154"/>
        <v>0</v>
      </c>
      <c r="L1073" s="412">
        <f t="shared" si="154"/>
        <v>-1.2490009027033011E-16</v>
      </c>
      <c r="M1073" s="412">
        <f t="shared" si="154"/>
        <v>0</v>
      </c>
      <c r="N1073" s="412">
        <f t="shared" si="154"/>
        <v>0</v>
      </c>
      <c r="O1073" s="2"/>
      <c r="W1073" s="365"/>
      <c r="X1073" s="365"/>
      <c r="Y1073" s="365"/>
    </row>
    <row r="1074" spans="2:25" s="4" customFormat="1">
      <c r="B1074" s="2"/>
      <c r="C1074" s="2"/>
      <c r="D1074" s="2"/>
      <c r="E1074" s="2"/>
      <c r="F1074" s="2"/>
      <c r="G1074" s="2"/>
      <c r="H1074" s="2"/>
      <c r="I1074" s="2"/>
      <c r="J1074" s="2"/>
      <c r="K1074" s="2"/>
      <c r="L1074" s="2"/>
      <c r="M1074" s="2"/>
      <c r="N1074" s="2"/>
      <c r="O1074" s="2"/>
      <c r="W1074" s="365"/>
      <c r="X1074" s="365"/>
      <c r="Y1074" s="365"/>
    </row>
    <row r="1075" spans="2:25" s="4" customFormat="1">
      <c r="B1075" s="354"/>
      <c r="C1075" s="354" t="s">
        <v>278</v>
      </c>
      <c r="D1075" s="2"/>
      <c r="E1075" s="355"/>
      <c r="F1075" s="355">
        <v>2013</v>
      </c>
      <c r="G1075" s="355">
        <v>2015</v>
      </c>
      <c r="H1075" s="355">
        <v>2020</v>
      </c>
      <c r="I1075" s="355">
        <v>2025</v>
      </c>
      <c r="J1075" s="355">
        <v>2030</v>
      </c>
      <c r="K1075" s="355">
        <v>2035</v>
      </c>
      <c r="L1075" s="355">
        <v>2040</v>
      </c>
      <c r="M1075" s="355">
        <v>2045</v>
      </c>
      <c r="N1075" s="355">
        <v>2050</v>
      </c>
      <c r="O1075" s="2"/>
      <c r="W1075" s="365"/>
      <c r="X1075" s="365"/>
      <c r="Y1075" s="365"/>
    </row>
    <row r="1076" spans="2:25" s="4" customFormat="1">
      <c r="B1076" s="358" t="s">
        <v>95</v>
      </c>
      <c r="C1076" s="4" t="s">
        <v>85</v>
      </c>
      <c r="D1076" s="2"/>
      <c r="E1076" s="2"/>
      <c r="F1076" s="365">
        <f t="shared" ref="F1076:N1076" ca="1" si="155">F1064-(F799*Conversion.to.average.power)</f>
        <v>-2.1596412340500748E-4</v>
      </c>
      <c r="G1076" s="365">
        <f t="shared" ca="1" si="155"/>
        <v>-2.8571989079344273E-4</v>
      </c>
      <c r="H1076" s="365">
        <f t="shared" ca="1" si="155"/>
        <v>-3.4917093126890508E-4</v>
      </c>
      <c r="I1076" s="365">
        <f t="shared" ca="1" si="155"/>
        <v>-4.1745220139209616E-4</v>
      </c>
      <c r="J1076" s="365">
        <f t="shared" ca="1" si="155"/>
        <v>-5.5538276504015632E-4</v>
      </c>
      <c r="K1076" s="365">
        <f t="shared" ca="1" si="155"/>
        <v>-6.4521763013870165E-4</v>
      </c>
      <c r="L1076" s="365">
        <f t="shared" ca="1" si="155"/>
        <v>-7.4237880438605963E-4</v>
      </c>
      <c r="M1076" s="365">
        <f t="shared" ca="1" si="155"/>
        <v>-8.4530422613252054E-4</v>
      </c>
      <c r="N1076" s="365">
        <f t="shared" ca="1" si="155"/>
        <v>-9.5620427171447253E-4</v>
      </c>
      <c r="O1076" s="2"/>
      <c r="W1076" s="365"/>
      <c r="X1076" s="365"/>
      <c r="Y1076" s="365"/>
    </row>
    <row r="1077" spans="2:25" s="4" customFormat="1">
      <c r="B1077" s="358" t="s">
        <v>96</v>
      </c>
      <c r="C1077" s="4" t="s">
        <v>86</v>
      </c>
      <c r="D1077" s="2"/>
      <c r="E1077" s="2"/>
      <c r="F1077" s="365">
        <f t="shared" ref="F1077:N1077" ca="1" si="156">F1065-(F800*Conversion.to.average.power)</f>
        <v>0</v>
      </c>
      <c r="G1077" s="365">
        <f t="shared" ca="1" si="156"/>
        <v>0</v>
      </c>
      <c r="H1077" s="365">
        <f t="shared" ca="1" si="156"/>
        <v>0</v>
      </c>
      <c r="I1077" s="365">
        <f t="shared" ca="1" si="156"/>
        <v>0</v>
      </c>
      <c r="J1077" s="365">
        <f t="shared" ca="1" si="156"/>
        <v>0</v>
      </c>
      <c r="K1077" s="365">
        <f t="shared" ca="1" si="156"/>
        <v>0</v>
      </c>
      <c r="L1077" s="365">
        <f t="shared" ca="1" si="156"/>
        <v>0</v>
      </c>
      <c r="M1077" s="365">
        <f t="shared" ca="1" si="156"/>
        <v>0</v>
      </c>
      <c r="N1077" s="365">
        <f t="shared" ca="1" si="156"/>
        <v>0</v>
      </c>
      <c r="O1077" s="2"/>
      <c r="W1077" s="365"/>
      <c r="X1077" s="365"/>
      <c r="Y1077" s="365"/>
    </row>
    <row r="1078" spans="2:25" s="4" customFormat="1">
      <c r="B1078" s="358" t="s">
        <v>97</v>
      </c>
      <c r="C1078" s="4" t="s">
        <v>87</v>
      </c>
      <c r="D1078" s="2"/>
      <c r="E1078" s="2"/>
      <c r="F1078" s="365">
        <f t="shared" ref="F1078:N1078" ca="1" si="157">F1066-(F801*Conversion.to.average.power)</f>
        <v>-8.0748675188990066E-5</v>
      </c>
      <c r="G1078" s="365">
        <f t="shared" ca="1" si="157"/>
        <v>-9.8450104673511105E-5</v>
      </c>
      <c r="H1078" s="365">
        <f t="shared" ca="1" si="157"/>
        <v>-8.898150350312127E-5</v>
      </c>
      <c r="I1078" s="365">
        <f t="shared" ca="1" si="157"/>
        <v>-7.7959216944889845E-5</v>
      </c>
      <c r="J1078" s="365">
        <f t="shared" ca="1" si="157"/>
        <v>-7.4559375882090294E-5</v>
      </c>
      <c r="K1078" s="365">
        <f t="shared" ca="1" si="157"/>
        <v>-5.852031616761233E-5</v>
      </c>
      <c r="L1078" s="365">
        <f t="shared" ca="1" si="157"/>
        <v>-4.0837466073423943E-5</v>
      </c>
      <c r="M1078" s="365">
        <f t="shared" ca="1" si="157"/>
        <v>-2.1325136701148655E-5</v>
      </c>
      <c r="N1078" s="365">
        <f t="shared" ca="1" si="157"/>
        <v>0</v>
      </c>
      <c r="O1078" s="2"/>
      <c r="W1078" s="365"/>
      <c r="X1078" s="365"/>
      <c r="Y1078" s="365"/>
    </row>
    <row r="1079" spans="2:25" s="4" customFormat="1">
      <c r="B1079" s="358" t="s">
        <v>98</v>
      </c>
      <c r="C1079" s="4" t="s">
        <v>88</v>
      </c>
      <c r="D1079" s="2"/>
      <c r="E1079" s="2"/>
      <c r="F1079" s="365">
        <f t="shared" ref="F1079:N1079" ca="1" si="158">F1067-(F802*Conversion.to.average.power)</f>
        <v>-2.9886999346754317E-3</v>
      </c>
      <c r="G1079" s="365">
        <f t="shared" ca="1" si="158"/>
        <v>-3.6438718123592007E-3</v>
      </c>
      <c r="H1079" s="365">
        <f t="shared" ca="1" si="158"/>
        <v>-3.2934164317206527E-3</v>
      </c>
      <c r="I1079" s="365">
        <f t="shared" ca="1" si="158"/>
        <v>-2.8854554708817592E-3</v>
      </c>
      <c r="J1079" s="365">
        <f t="shared" ca="1" si="158"/>
        <v>-2.7596192916688467E-3</v>
      </c>
      <c r="K1079" s="365">
        <f t="shared" ca="1" si="158"/>
        <v>-2.165975660875924E-3</v>
      </c>
      <c r="L1079" s="365">
        <f t="shared" ca="1" si="158"/>
        <v>-1.5114914504825161E-3</v>
      </c>
      <c r="M1079" s="365">
        <f t="shared" ca="1" si="158"/>
        <v>-7.892938740666211E-4</v>
      </c>
      <c r="N1079" s="365">
        <f t="shared" ca="1" si="158"/>
        <v>0</v>
      </c>
      <c r="O1079" s="2"/>
      <c r="W1079" s="365"/>
      <c r="X1079" s="365"/>
      <c r="Y1079" s="365"/>
    </row>
    <row r="1080" spans="2:25" s="4" customFormat="1">
      <c r="B1080" s="358" t="s">
        <v>99</v>
      </c>
      <c r="C1080" s="4" t="s">
        <v>89</v>
      </c>
      <c r="D1080" s="2"/>
      <c r="E1080" s="2"/>
      <c r="F1080" s="365">
        <f t="shared" ref="F1080:N1080" ca="1" si="159">F1068-(F803*Conversion.to.average.power)</f>
        <v>-1.8504803541994352E-3</v>
      </c>
      <c r="G1080" s="365">
        <f t="shared" ca="1" si="159"/>
        <v>-2.5788420465783224E-3</v>
      </c>
      <c r="H1080" s="365">
        <f t="shared" ca="1" si="159"/>
        <v>-3.2301315054496516E-3</v>
      </c>
      <c r="I1080" s="365">
        <f t="shared" ca="1" si="159"/>
        <v>-3.9330898385236401E-3</v>
      </c>
      <c r="J1080" s="365">
        <f t="shared" ca="1" si="159"/>
        <v>-5.3440270952870295E-3</v>
      </c>
      <c r="K1080" s="365">
        <f t="shared" ca="1" si="159"/>
        <v>-6.2645067683171352E-3</v>
      </c>
      <c r="L1080" s="365">
        <f t="shared" ca="1" si="159"/>
        <v>-7.2607243244217079E-3</v>
      </c>
      <c r="M1080" s="365">
        <f t="shared" ca="1" si="159"/>
        <v>-8.317601310177003E-3</v>
      </c>
      <c r="N1080" s="365">
        <f t="shared" ca="1" si="159"/>
        <v>-9.4569653246486807E-3</v>
      </c>
      <c r="O1080" s="2"/>
      <c r="W1080" s="365"/>
      <c r="X1080" s="365"/>
      <c r="Y1080" s="365"/>
    </row>
    <row r="1081" spans="2:25" s="4" customFormat="1">
      <c r="B1081" s="358" t="s">
        <v>100</v>
      </c>
      <c r="C1081" s="4" t="s">
        <v>90</v>
      </c>
      <c r="D1081" s="2"/>
      <c r="E1081" s="2"/>
      <c r="F1081" s="365">
        <f t="shared" ref="F1081:N1081" ca="1" si="160">F1069-(F804*Conversion.to.average.power)</f>
        <v>0</v>
      </c>
      <c r="G1081" s="365">
        <f t="shared" ca="1" si="160"/>
        <v>0</v>
      </c>
      <c r="H1081" s="365">
        <f t="shared" ca="1" si="160"/>
        <v>0</v>
      </c>
      <c r="I1081" s="365">
        <f t="shared" ca="1" si="160"/>
        <v>0</v>
      </c>
      <c r="J1081" s="365">
        <f t="shared" ca="1" si="160"/>
        <v>0</v>
      </c>
      <c r="K1081" s="365">
        <f t="shared" ca="1" si="160"/>
        <v>0</v>
      </c>
      <c r="L1081" s="365">
        <f t="shared" ca="1" si="160"/>
        <v>0</v>
      </c>
      <c r="M1081" s="365">
        <f t="shared" ca="1" si="160"/>
        <v>0</v>
      </c>
      <c r="N1081" s="365">
        <f t="shared" ca="1" si="160"/>
        <v>0</v>
      </c>
      <c r="O1081" s="2"/>
      <c r="W1081" s="365"/>
      <c r="X1081" s="365"/>
      <c r="Y1081" s="365"/>
    </row>
    <row r="1082" spans="2:25" s="4" customFormat="1">
      <c r="B1082" s="358" t="s">
        <v>101</v>
      </c>
      <c r="C1082" s="4" t="s">
        <v>91</v>
      </c>
      <c r="D1082" s="2"/>
      <c r="E1082" s="2"/>
      <c r="F1082" s="365">
        <f t="shared" ref="F1082:N1082" ca="1" si="161">F1070-(F805*Conversion.to.average.power)</f>
        <v>3.3310620127510911E-5</v>
      </c>
      <c r="G1082" s="365">
        <f t="shared" ca="1" si="161"/>
        <v>3.0396576473028193E-5</v>
      </c>
      <c r="H1082" s="365">
        <f t="shared" ca="1" si="161"/>
        <v>2.7473135603942652E-5</v>
      </c>
      <c r="I1082" s="365">
        <f t="shared" ca="1" si="161"/>
        <v>2.4069992688186903E-5</v>
      </c>
      <c r="J1082" s="365">
        <f t="shared" ca="1" si="161"/>
        <v>1.9151733696153115E-5</v>
      </c>
      <c r="K1082" s="365">
        <f t="shared" ca="1" si="161"/>
        <v>1.5031852101728897E-5</v>
      </c>
      <c r="L1082" s="365">
        <f t="shared" ca="1" si="161"/>
        <v>1.0489737418144642E-5</v>
      </c>
      <c r="M1082" s="365">
        <f t="shared" ca="1" si="161"/>
        <v>5.4776925678713131E-6</v>
      </c>
      <c r="N1082" s="365">
        <f t="shared" ca="1" si="161"/>
        <v>0</v>
      </c>
      <c r="O1082" s="2"/>
      <c r="W1082" s="365"/>
      <c r="X1082" s="365"/>
      <c r="Y1082" s="365"/>
    </row>
    <row r="1083" spans="2:25" s="4" customFormat="1">
      <c r="B1083" s="358" t="s">
        <v>102</v>
      </c>
      <c r="C1083" s="4" t="s">
        <v>92</v>
      </c>
      <c r="D1083" s="2"/>
      <c r="E1083" s="2"/>
      <c r="F1083" s="365">
        <f t="shared" ref="F1083:N1083" ca="1" si="162">F1071-(F806*Conversion.to.average.power)</f>
        <v>4.6787397378004192E-3</v>
      </c>
      <c r="G1083" s="365">
        <f t="shared" ca="1" si="162"/>
        <v>6.0306877404819881E-3</v>
      </c>
      <c r="H1083" s="365">
        <f t="shared" ca="1" si="162"/>
        <v>6.3599826233869949E-3</v>
      </c>
      <c r="I1083" s="365">
        <f t="shared" ca="1" si="162"/>
        <v>6.6874975479663812E-3</v>
      </c>
      <c r="J1083" s="365">
        <f t="shared" ca="1" si="162"/>
        <v>7.9958965883472066E-3</v>
      </c>
      <c r="K1083" s="365">
        <f t="shared" ca="1" si="162"/>
        <v>8.3689123880421601E-3</v>
      </c>
      <c r="L1083" s="365">
        <f t="shared" ca="1" si="162"/>
        <v>8.7613516463241892E-3</v>
      </c>
      <c r="M1083" s="365">
        <f t="shared" ca="1" si="162"/>
        <v>9.1515118142041496E-3</v>
      </c>
      <c r="N1083" s="365">
        <f t="shared" ca="1" si="162"/>
        <v>9.5620427171446698E-3</v>
      </c>
      <c r="O1083" s="2"/>
      <c r="W1083" s="365"/>
      <c r="X1083" s="365"/>
      <c r="Y1083" s="365"/>
    </row>
    <row r="1084" spans="2:25" s="4" customFormat="1">
      <c r="B1084" s="358" t="s">
        <v>103</v>
      </c>
      <c r="C1084" s="4" t="s">
        <v>93</v>
      </c>
      <c r="D1084" s="2"/>
      <c r="E1084" s="2"/>
      <c r="F1084" s="365">
        <f t="shared" ref="F1084:N1084" ca="1" si="163">F1072-(F807*Conversion.to.average.power)</f>
        <v>4.2384272954083813E-4</v>
      </c>
      <c r="G1084" s="365">
        <f t="shared" ca="1" si="163"/>
        <v>5.4579953744948728E-4</v>
      </c>
      <c r="H1084" s="365">
        <f t="shared" ca="1" si="163"/>
        <v>5.7424461295159379E-4</v>
      </c>
      <c r="I1084" s="365">
        <f t="shared" ca="1" si="163"/>
        <v>6.0238918708785394E-4</v>
      </c>
      <c r="J1084" s="365">
        <f t="shared" ca="1" si="163"/>
        <v>7.185402058347834E-4</v>
      </c>
      <c r="K1084" s="365">
        <f t="shared" ca="1" si="163"/>
        <v>7.5027613535541549E-4</v>
      </c>
      <c r="L1084" s="365">
        <f t="shared" ca="1" si="163"/>
        <v>7.8359066162118907E-4</v>
      </c>
      <c r="M1084" s="365">
        <f t="shared" ca="1" si="163"/>
        <v>8.1653504030512747E-4</v>
      </c>
      <c r="N1084" s="365">
        <f t="shared" ca="1" si="163"/>
        <v>8.5112687921838626E-4</v>
      </c>
      <c r="O1084" s="2"/>
      <c r="W1084" s="365"/>
      <c r="X1084" s="365"/>
      <c r="Y1084" s="365"/>
    </row>
    <row r="1085" spans="2:25" s="4" customFormat="1">
      <c r="B1085" s="358"/>
      <c r="D1085" s="2"/>
      <c r="E1085" s="2" t="str">
        <f>Preferences.PowerUnits</f>
        <v>GW</v>
      </c>
      <c r="F1085" s="412">
        <f t="shared" ref="F1085:N1085" ca="1" si="164">SUM(F1076:F1084)</f>
        <v>-9.6277152916712794E-17</v>
      </c>
      <c r="G1085" s="412">
        <f t="shared" ca="1" si="164"/>
        <v>2.688821387764051E-17</v>
      </c>
      <c r="H1085" s="412">
        <f t="shared" ca="1" si="164"/>
        <v>2.0122792321330962E-16</v>
      </c>
      <c r="I1085" s="412">
        <f t="shared" ca="1" si="164"/>
        <v>3.6429192995512949E-17</v>
      </c>
      <c r="J1085" s="412">
        <f t="shared" ca="1" si="164"/>
        <v>1.9081958235744878E-17</v>
      </c>
      <c r="K1085" s="412">
        <f t="shared" ca="1" si="164"/>
        <v>-6.9388939039072284E-17</v>
      </c>
      <c r="L1085" s="412">
        <f t="shared" ca="1" si="164"/>
        <v>-1.8561541192951836E-16</v>
      </c>
      <c r="M1085" s="412">
        <f t="shared" ca="1" si="164"/>
        <v>-1.457167719820518E-16</v>
      </c>
      <c r="N1085" s="412">
        <f t="shared" ca="1" si="164"/>
        <v>-9.7144514654701197E-17</v>
      </c>
      <c r="O1085" s="2"/>
      <c r="W1085" s="365"/>
      <c r="X1085" s="365"/>
      <c r="Y1085" s="365"/>
    </row>
    <row r="1086" spans="2:25" s="4" customFormat="1">
      <c r="B1086" s="2"/>
      <c r="C1086" s="2"/>
      <c r="D1086" s="2"/>
      <c r="E1086" s="2"/>
      <c r="F1086" s="365"/>
      <c r="G1086" s="2"/>
      <c r="H1086" s="2"/>
      <c r="I1086" s="2"/>
      <c r="J1086" s="2"/>
      <c r="K1086" s="2"/>
      <c r="L1086" s="2"/>
      <c r="M1086" s="2"/>
      <c r="N1086" s="2"/>
      <c r="O1086" s="2"/>
      <c r="W1086" s="365"/>
      <c r="X1086" s="365"/>
      <c r="Y1086" s="365"/>
    </row>
    <row r="1087" spans="2:25" s="4" customFormat="1">
      <c r="B1087" s="2"/>
      <c r="C1087" s="354" t="s">
        <v>279</v>
      </c>
      <c r="D1087" s="2"/>
      <c r="F1087" s="355">
        <v>2013</v>
      </c>
      <c r="G1087" s="355">
        <v>2015</v>
      </c>
      <c r="H1087" s="355">
        <v>2020</v>
      </c>
      <c r="I1087" s="355">
        <v>2025</v>
      </c>
      <c r="J1087" s="355">
        <v>2030</v>
      </c>
      <c r="K1087" s="355">
        <v>2035</v>
      </c>
      <c r="L1087" s="355">
        <v>2040</v>
      </c>
      <c r="M1087" s="355">
        <v>2045</v>
      </c>
      <c r="N1087" s="355">
        <v>2050</v>
      </c>
      <c r="O1087" s="2"/>
      <c r="W1087" s="365"/>
      <c r="X1087" s="365"/>
      <c r="Y1087" s="365"/>
    </row>
    <row r="1088" spans="2:25" s="4" customFormat="1">
      <c r="B1088" s="358" t="s">
        <v>95</v>
      </c>
      <c r="C1088" s="4" t="s">
        <v>85</v>
      </c>
      <c r="D1088" s="2"/>
      <c r="E1088" s="2"/>
      <c r="F1088" s="365">
        <f t="array" ref="F1088">SUM(F$874:F$886/$M$167:$M$179*($B1088=$F$166:$N$166)*($F$167:$N$179))</f>
        <v>-0.66571006039760539</v>
      </c>
      <c r="G1088" s="365">
        <f t="array" ref="G1088">SUM(G$874:G$886/$M$167:$M$179*($B1088=$F$166:$N$166)*($F$167:$N$179))</f>
        <v>-0.71904512149650268</v>
      </c>
      <c r="H1088" s="365">
        <f t="array" ref="H1088">SUM(H$874:H$886/$M$167:$M$179*($B1088=$F$166:$N$166)*($F$167:$N$179))</f>
        <v>-0.83426843630455871</v>
      </c>
      <c r="I1088" s="365">
        <f t="array" ref="I1088">SUM(I$874:I$886/$M$167:$M$179*($B1088=$F$166:$N$166)*($F$167:$N$179))</f>
        <v>-1.0055540505498528</v>
      </c>
      <c r="J1088" s="365">
        <f t="array" ref="J1088">SUM(J$874:J$886/$M$167:$M$179*($B1088=$F$166:$N$166)*($F$167:$N$179))</f>
        <v>-1.1788384331214656</v>
      </c>
      <c r="K1088" s="365">
        <f t="array" ref="K1088">SUM(K$874:K$886/$M$167:$M$179*($B1088=$F$166:$N$166)*($F$167:$N$179))</f>
        <v>-1.3589657311274961</v>
      </c>
      <c r="L1088" s="365">
        <f t="array" ref="L1088">SUM(L$874:L$886/$M$167:$M$179*($B1088=$F$166:$N$166)*($F$167:$N$179))</f>
        <v>-1.5458659459839574</v>
      </c>
      <c r="M1088" s="365">
        <f t="array" ref="M1088">SUM(M$874:M$886/$M$167:$M$179*($B1088=$F$166:$N$166)*($F$167:$N$179))</f>
        <v>-1.7353481245990725</v>
      </c>
      <c r="N1088" s="365">
        <f t="array" ref="N1088">SUM(N$874:N$886/$M$167:$M$179*($B1088=$F$166:$N$166)*($F$167:$N$179))</f>
        <v>-1.9310336656933171</v>
      </c>
      <c r="O1088" s="2"/>
      <c r="W1088" s="365"/>
      <c r="X1088" s="365"/>
      <c r="Y1088" s="365"/>
    </row>
    <row r="1089" spans="2:25" s="4" customFormat="1">
      <c r="B1089" s="358" t="s">
        <v>96</v>
      </c>
      <c r="C1089" s="4" t="s">
        <v>86</v>
      </c>
      <c r="D1089" s="2"/>
      <c r="E1089" s="2"/>
      <c r="F1089" s="365">
        <f t="array" ref="F1089">SUM(F$874:F$886/$M$167:$M$179*($B1089=$F$166:$N$166)*($F$167:$N$179))</f>
        <v>0</v>
      </c>
      <c r="G1089" s="365">
        <f t="array" ref="G1089">SUM(G$874:G$886/$M$167:$M$179*($B1089=$F$166:$N$166)*($F$167:$N$179))</f>
        <v>0</v>
      </c>
      <c r="H1089" s="365">
        <f t="array" ref="H1089">SUM(H$874:H$886/$M$167:$M$179*($B1089=$F$166:$N$166)*($F$167:$N$179))</f>
        <v>0</v>
      </c>
      <c r="I1089" s="365">
        <f t="array" ref="I1089">SUM(I$874:I$886/$M$167:$M$179*($B1089=$F$166:$N$166)*($F$167:$N$179))</f>
        <v>0</v>
      </c>
      <c r="J1089" s="365">
        <f t="array" ref="J1089">SUM(J$874:J$886/$M$167:$M$179*($B1089=$F$166:$N$166)*($F$167:$N$179))</f>
        <v>0</v>
      </c>
      <c r="K1089" s="365">
        <f t="array" ref="K1089">SUM(K$874:K$886/$M$167:$M$179*($B1089=$F$166:$N$166)*($F$167:$N$179))</f>
        <v>0</v>
      </c>
      <c r="L1089" s="365">
        <f t="array" ref="L1089">SUM(L$874:L$886/$M$167:$M$179*($B1089=$F$166:$N$166)*($F$167:$N$179))</f>
        <v>0</v>
      </c>
      <c r="M1089" s="365">
        <f t="array" ref="M1089">SUM(M$874:M$886/$M$167:$M$179*($B1089=$F$166:$N$166)*($F$167:$N$179))</f>
        <v>0</v>
      </c>
      <c r="N1089" s="365">
        <f t="array" ref="N1089">SUM(N$874:N$886/$M$167:$M$179*($B1089=$F$166:$N$166)*($F$167:$N$179))</f>
        <v>0</v>
      </c>
      <c r="O1089" s="2"/>
      <c r="W1089" s="365"/>
      <c r="X1089" s="365"/>
      <c r="Y1089" s="365"/>
    </row>
    <row r="1090" spans="2:25" s="4" customFormat="1">
      <c r="B1090" s="358" t="s">
        <v>97</v>
      </c>
      <c r="C1090" s="4" t="s">
        <v>87</v>
      </c>
      <c r="D1090" s="2"/>
      <c r="E1090" s="2"/>
      <c r="F1090" s="365">
        <f t="array" ref="F1090">SUM(F$874:F$886/$M$167:$M$179*($B1090=$F$166:$N$166)*($F$167:$N$179))</f>
        <v>-0.31125772640816474</v>
      </c>
      <c r="G1090" s="365">
        <f t="array" ref="G1090">SUM(G$874:G$886/$M$167:$M$179*($B1090=$F$166:$N$166)*($F$167:$N$179))</f>
        <v>-0.29108746393595641</v>
      </c>
      <c r="H1090" s="365">
        <f t="array" ref="H1090">SUM(H$874:H$886/$M$167:$M$179*($B1090=$F$166:$N$166)*($F$167:$N$179))</f>
        <v>-0.23890111572651934</v>
      </c>
      <c r="I1090" s="365">
        <f t="array" ref="I1090">SUM(I$874:I$886/$M$167:$M$179*($B1090=$F$166:$N$166)*($F$167:$N$179))</f>
        <v>-0.20426571819927597</v>
      </c>
      <c r="J1090" s="365">
        <f t="array" ref="J1090">SUM(J$874:J$886/$M$167:$M$179*($B1090=$F$166:$N$166)*($F$167:$N$179))</f>
        <v>-0.16676701852652831</v>
      </c>
      <c r="K1090" s="365">
        <f t="array" ref="K1090">SUM(K$874:K$886/$M$167:$M$179*($B1090=$F$166:$N$166)*($F$167:$N$179))</f>
        <v>-0.12765706195183416</v>
      </c>
      <c r="L1090" s="365">
        <f t="array" ref="L1090">SUM(L$874:L$886/$M$167:$M$179*($B1090=$F$166:$N$166)*($F$167:$N$179))</f>
        <v>-8.6852381535223788E-2</v>
      </c>
      <c r="M1090" s="365">
        <f t="array" ref="M1090">SUM(M$874:M$886/$M$167:$M$179*($B1090=$F$166:$N$166)*($F$167:$N$179))</f>
        <v>-4.4202809452014179E-2</v>
      </c>
      <c r="N1090" s="365">
        <f t="array" ref="N1090">SUM(N$874:N$886/$M$167:$M$179*($B1090=$F$166:$N$166)*($F$167:$N$179))</f>
        <v>0</v>
      </c>
      <c r="O1090" s="2"/>
      <c r="W1090" s="365"/>
      <c r="X1090" s="365"/>
      <c r="Y1090" s="365"/>
    </row>
    <row r="1091" spans="2:25" s="4" customFormat="1">
      <c r="B1091" s="358" t="s">
        <v>98</v>
      </c>
      <c r="C1091" s="4" t="s">
        <v>88</v>
      </c>
      <c r="D1091" s="2"/>
      <c r="E1091" s="2"/>
      <c r="F1091" s="365">
        <f t="array" ref="F1091">SUM(F$874:F$886/$M$167:$M$179*($B1091=$F$166:$N$166)*($F$167:$N$179))</f>
        <v>-11.520386488150445</v>
      </c>
      <c r="G1091" s="365">
        <f t="array" ref="G1091">SUM(G$874:G$886/$M$167:$M$179*($B1091=$F$166:$N$166)*($F$167:$N$179))</f>
        <v>-10.773837247658461</v>
      </c>
      <c r="H1091" s="365">
        <f t="array" ref="H1091">SUM(H$874:H$886/$M$167:$M$179*($B1091=$F$166:$N$166)*($F$167:$N$179))</f>
        <v>-8.8422967596015436</v>
      </c>
      <c r="I1091" s="365">
        <f t="array" ref="I1091">SUM(I$874:I$886/$M$167:$M$179*($B1091=$F$166:$N$166)*($F$167:$N$179))</f>
        <v>-7.5603585719488731</v>
      </c>
      <c r="J1091" s="365">
        <f t="array" ref="J1091">SUM(J$874:J$886/$M$167:$M$179*($B1091=$F$166:$N$166)*($F$167:$N$179))</f>
        <v>-6.17244278261796</v>
      </c>
      <c r="K1091" s="365">
        <f t="array" ref="K1091">SUM(K$874:K$886/$M$167:$M$179*($B1091=$F$166:$N$166)*($F$167:$N$179))</f>
        <v>-4.7248905548399511</v>
      </c>
      <c r="L1091" s="365">
        <f t="array" ref="L1091">SUM(L$874:L$886/$M$167:$M$179*($B1091=$F$166:$N$166)*($F$167:$N$179))</f>
        <v>-3.2146125792552644</v>
      </c>
      <c r="M1091" s="365">
        <f t="array" ref="M1091">SUM(M$874:M$886/$M$167:$M$179*($B1091=$F$166:$N$166)*($F$167:$N$179))</f>
        <v>-1.6360507886043452</v>
      </c>
      <c r="N1091" s="365">
        <f t="array" ref="N1091">SUM(N$874:N$886/$M$167:$M$179*($B1091=$F$166:$N$166)*($F$167:$N$179))</f>
        <v>0</v>
      </c>
      <c r="O1091" s="2"/>
      <c r="W1091" s="365"/>
      <c r="X1091" s="365"/>
      <c r="Y1091" s="365"/>
    </row>
    <row r="1092" spans="2:25" s="4" customFormat="1">
      <c r="B1092" s="358" t="s">
        <v>99</v>
      </c>
      <c r="C1092" s="4" t="s">
        <v>89</v>
      </c>
      <c r="D1092" s="2"/>
      <c r="E1092" s="2"/>
      <c r="F1092" s="365">
        <f t="array" ref="F1092">SUM(F$874:F$886/$M$167:$M$179*($B1092=$F$166:$N$166)*($F$167:$N$179))</f>
        <v>-7.1329505587928228</v>
      </c>
      <c r="G1092" s="365">
        <f t="array" ref="G1092">SUM(G$874:G$886/$M$167:$M$179*($B1092=$F$166:$N$166)*($F$167:$N$179))</f>
        <v>-7.6248633124294658</v>
      </c>
      <c r="H1092" s="365">
        <f t="array" ref="H1092">SUM(H$874:H$886/$M$167:$M$179*($B1092=$F$166:$N$166)*($F$167:$N$179))</f>
        <v>-8.6723868468711807</v>
      </c>
      <c r="I1092" s="365">
        <f t="array" ref="I1092">SUM(I$874:I$886/$M$167:$M$179*($B1092=$F$166:$N$166)*($F$167:$N$179))</f>
        <v>-10.305329531160478</v>
      </c>
      <c r="J1092" s="365">
        <f t="array" ref="J1092">SUM(J$874:J$886/$M$167:$M$179*($B1092=$F$166:$N$166)*($F$167:$N$179))</f>
        <v>-11.952989883061301</v>
      </c>
      <c r="K1092" s="365">
        <f t="array" ref="K1092">SUM(K$874:K$886/$M$167:$M$179*($B1092=$F$166:$N$166)*($F$167:$N$179))</f>
        <v>-13.665485441504078</v>
      </c>
      <c r="L1092" s="365">
        <f t="array" ref="L1092">SUM(L$874:L$886/$M$167:$M$179*($B1092=$F$166:$N$166)*($F$167:$N$179))</f>
        <v>-15.441976691525248</v>
      </c>
      <c r="M1092" s="365">
        <f t="array" ref="M1092">SUM(M$874:M$886/$M$167:$M$179*($B1092=$F$166:$N$166)*($F$167:$N$179))</f>
        <v>-17.240749776378973</v>
      </c>
      <c r="N1092" s="365">
        <f t="array" ref="N1092">SUM(N$874:N$886/$M$167:$M$179*($B1092=$F$166:$N$166)*($F$167:$N$179))</f>
        <v>-19.098135155208631</v>
      </c>
      <c r="O1092" s="2"/>
      <c r="W1092" s="365"/>
      <c r="X1092" s="365"/>
      <c r="Y1092" s="365"/>
    </row>
    <row r="1093" spans="2:25" s="4" customFormat="1">
      <c r="B1093" s="358" t="s">
        <v>100</v>
      </c>
      <c r="C1093" s="4" t="s">
        <v>90</v>
      </c>
      <c r="D1093" s="2"/>
      <c r="E1093" s="2"/>
      <c r="F1093" s="365">
        <f t="array" ref="F1093">SUM(F$874:F$886/$M$167:$M$179*($B1093=$F$166:$N$166)*($F$167:$N$179))</f>
        <v>0</v>
      </c>
      <c r="G1093" s="365">
        <f t="array" ref="G1093">SUM(G$874:G$886/$M$167:$M$179*($B1093=$F$166:$N$166)*($F$167:$N$179))</f>
        <v>0</v>
      </c>
      <c r="H1093" s="365">
        <f t="array" ref="H1093">SUM(H$874:H$886/$M$167:$M$179*($B1093=$F$166:$N$166)*($F$167:$N$179))</f>
        <v>0</v>
      </c>
      <c r="I1093" s="365">
        <f t="array" ref="I1093">SUM(I$874:I$886/$M$167:$M$179*($B1093=$F$166:$N$166)*($F$167:$N$179))</f>
        <v>0</v>
      </c>
      <c r="J1093" s="365">
        <f t="array" ref="J1093">SUM(J$874:J$886/$M$167:$M$179*($B1093=$F$166:$N$166)*($F$167:$N$179))</f>
        <v>0</v>
      </c>
      <c r="K1093" s="365">
        <f t="array" ref="K1093">SUM(K$874:K$886/$M$167:$M$179*($B1093=$F$166:$N$166)*($F$167:$N$179))</f>
        <v>0</v>
      </c>
      <c r="L1093" s="365">
        <f t="array" ref="L1093">SUM(L$874:L$886/$M$167:$M$179*($B1093=$F$166:$N$166)*($F$167:$N$179))</f>
        <v>0</v>
      </c>
      <c r="M1093" s="365">
        <f t="array" ref="M1093">SUM(M$874:M$886/$M$167:$M$179*($B1093=$F$166:$N$166)*($F$167:$N$179))</f>
        <v>0</v>
      </c>
      <c r="N1093" s="365">
        <f t="array" ref="N1093">SUM(N$874:N$886/$M$167:$M$179*($B1093=$F$166:$N$166)*($F$167:$N$179))</f>
        <v>0</v>
      </c>
      <c r="O1093" s="2"/>
      <c r="W1093" s="365"/>
      <c r="X1093" s="365"/>
      <c r="Y1093" s="365"/>
    </row>
    <row r="1094" spans="2:25" s="4" customFormat="1">
      <c r="B1094" s="358" t="s">
        <v>101</v>
      </c>
      <c r="C1094" s="4" t="s">
        <v>91</v>
      </c>
      <c r="D1094" s="2"/>
      <c r="E1094" s="2"/>
      <c r="F1094" s="365">
        <f t="array" ref="F1094">SUM(F$874:F$886/$M$167:$M$179*($B1094=$F$166:$N$166)*($F$167:$N$179))</f>
        <v>-3.835491673766335E-2</v>
      </c>
      <c r="G1094" s="365">
        <f t="array" ref="G1094">SUM(G$874:G$886/$M$167:$M$179*($B1094=$F$166:$N$166)*($F$167:$N$179))</f>
        <v>-3.586942425969069E-2</v>
      </c>
      <c r="H1094" s="365">
        <f t="array" ref="H1094">SUM(H$874:H$886/$M$167:$M$179*($B1094=$F$166:$N$166)*($F$167:$N$179))</f>
        <v>-2.9438730752051029E-2</v>
      </c>
      <c r="I1094" s="365">
        <f t="array" ref="I1094">SUM(I$874:I$886/$M$167:$M$179*($B1094=$F$166:$N$166)*($F$167:$N$179))</f>
        <v>-2.5170763483693945E-2</v>
      </c>
      <c r="J1094" s="365">
        <f t="array" ref="J1094">SUM(J$874:J$886/$M$167:$M$179*($B1094=$F$166:$N$166)*($F$167:$N$179))</f>
        <v>-2.0549964121326206E-2</v>
      </c>
      <c r="K1094" s="365">
        <f t="array" ref="K1094">SUM(K$874:K$886/$M$167:$M$179*($B1094=$F$166:$N$166)*($F$167:$N$179))</f>
        <v>-1.5730616677822312E-2</v>
      </c>
      <c r="L1094" s="365">
        <f t="array" ref="L1094">SUM(L$874:L$886/$M$167:$M$179*($B1094=$F$166:$N$166)*($F$167:$N$179))</f>
        <v>-1.0702435890323634E-2</v>
      </c>
      <c r="M1094" s="365">
        <f t="array" ref="M1094">SUM(M$874:M$886/$M$167:$M$179*($B1094=$F$166:$N$166)*($F$167:$N$179))</f>
        <v>-5.4469172401508895E-3</v>
      </c>
      <c r="N1094" s="365">
        <f t="array" ref="N1094">SUM(N$874:N$886/$M$167:$M$179*($B1094=$F$166:$N$166)*($F$167:$N$179))</f>
        <v>0</v>
      </c>
      <c r="O1094" s="2"/>
      <c r="W1094" s="365"/>
      <c r="X1094" s="365"/>
      <c r="Y1094" s="365"/>
    </row>
    <row r="1095" spans="2:25" s="4" customFormat="1">
      <c r="B1095" s="358" t="s">
        <v>102</v>
      </c>
      <c r="C1095" s="4" t="s">
        <v>92</v>
      </c>
      <c r="D1095" s="2"/>
      <c r="E1095" s="2"/>
      <c r="F1095" s="365">
        <f t="array" ref="F1095">SUM(F$874:F$886/$M$167:$M$179*($B1095=$F$166:$N$166)*($F$167:$N$179))</f>
        <v>18.034895183541881</v>
      </c>
      <c r="G1095" s="365">
        <f t="array" ref="G1095">SUM(G$874:G$886/$M$167:$M$179*($B1095=$F$166:$N$166)*($F$167:$N$179))</f>
        <v>17.830936858707783</v>
      </c>
      <c r="H1095" s="365">
        <f t="array" ref="H1095">SUM(H$874:H$886/$M$167:$M$179*($B1095=$F$166:$N$166)*($F$167:$N$179))</f>
        <v>17.075536880258213</v>
      </c>
      <c r="I1095" s="365">
        <f t="array" ref="I1095">SUM(I$874:I$886/$M$167:$M$179*($B1095=$F$166:$N$166)*($F$167:$N$179))</f>
        <v>17.522321838570289</v>
      </c>
      <c r="J1095" s="365">
        <f t="array" ref="J1095">SUM(J$874:J$886/$M$167:$M$179*($B1095=$F$166:$N$166)*($F$167:$N$179))</f>
        <v>17.884428600821948</v>
      </c>
      <c r="K1095" s="365">
        <f t="array" ref="K1095">SUM(K$874:K$886/$M$167:$M$179*($B1095=$F$166:$N$166)*($F$167:$N$179))</f>
        <v>18.256066220315876</v>
      </c>
      <c r="L1095" s="365">
        <f t="array" ref="L1095">SUM(L$874:L$886/$M$167:$M$179*($B1095=$F$166:$N$166)*($F$167:$N$179))</f>
        <v>18.633483639329985</v>
      </c>
      <c r="M1095" s="365">
        <f t="array" ref="M1095">SUM(M$874:M$886/$M$167:$M$179*($B1095=$F$166:$N$166)*($F$167:$N$179))</f>
        <v>18.969282053856283</v>
      </c>
      <c r="N1095" s="365">
        <f t="array" ref="N1095">SUM(N$874:N$886/$M$167:$M$179*($B1095=$F$166:$N$166)*($F$167:$N$179))</f>
        <v>19.31033665693317</v>
      </c>
      <c r="O1095" s="2"/>
      <c r="W1095" s="365"/>
      <c r="X1095" s="365"/>
      <c r="Y1095" s="365"/>
    </row>
    <row r="1096" spans="2:25" s="4" customFormat="1">
      <c r="B1096" s="358" t="s">
        <v>103</v>
      </c>
      <c r="C1096" s="4" t="s">
        <v>93</v>
      </c>
      <c r="D1096" s="2"/>
      <c r="E1096" s="2"/>
      <c r="F1096" s="365">
        <f t="array" ref="F1096">SUM(F$874:F$886/$M$167:$M$179*($B1096=$F$166:$N$166)*($F$167:$N$179))</f>
        <v>1.6337645669448178</v>
      </c>
      <c r="G1096" s="365">
        <f t="array" ref="G1096">SUM(G$874:G$886/$M$167:$M$179*($B1096=$F$166:$N$166)*($F$167:$N$179))</f>
        <v>1.6137657110722903</v>
      </c>
      <c r="H1096" s="365">
        <f t="array" ref="H1096">SUM(H$874:H$886/$M$167:$M$179*($B1096=$F$166:$N$166)*($F$167:$N$179))</f>
        <v>1.54175500899764</v>
      </c>
      <c r="I1096" s="365">
        <f t="array" ref="I1096">SUM(I$874:I$886/$M$167:$M$179*($B1096=$F$166:$N$166)*($F$167:$N$179))</f>
        <v>1.5783567967718797</v>
      </c>
      <c r="J1096" s="365">
        <f t="array" ref="J1096">SUM(J$874:J$886/$M$167:$M$179*($B1096=$F$166:$N$166)*($F$167:$N$179))</f>
        <v>1.6071594806266301</v>
      </c>
      <c r="K1096" s="365">
        <f t="array" ref="K1096">SUM(K$874:K$886/$M$167:$M$179*($B1096=$F$166:$N$166)*($F$167:$N$179))</f>
        <v>1.6366631857853076</v>
      </c>
      <c r="L1096" s="365">
        <f t="array" ref="L1096">SUM(L$874:L$886/$M$167:$M$179*($B1096=$F$166:$N$166)*($F$167:$N$179))</f>
        <v>1.6665263948600306</v>
      </c>
      <c r="M1096" s="365">
        <f t="array" ref="M1096">SUM(M$874:M$886/$M$167:$M$179*($B1096=$F$166:$N$166)*($F$167:$N$179))</f>
        <v>1.6925163624182751</v>
      </c>
      <c r="N1096" s="365">
        <f t="array" ref="N1096">SUM(N$874:N$886/$M$167:$M$179*($B1096=$F$166:$N$166)*($F$167:$N$179))</f>
        <v>1.7188321639687767</v>
      </c>
      <c r="O1096" s="2"/>
      <c r="W1096" s="365"/>
      <c r="X1096" s="365"/>
      <c r="Y1096" s="365"/>
    </row>
    <row r="1097" spans="2:25" s="4" customFormat="1">
      <c r="B1097" s="358"/>
      <c r="D1097" s="2"/>
      <c r="E1097" s="2" t="str">
        <f>Preferences.EnergyUnits</f>
        <v>TWh</v>
      </c>
      <c r="F1097" s="412">
        <f t="shared" ref="F1097:N1097" si="165">SUM(F1088:F1096)</f>
        <v>0</v>
      </c>
      <c r="G1097" s="412">
        <f t="shared" si="165"/>
        <v>-3.1086244689504383E-15</v>
      </c>
      <c r="H1097" s="412">
        <f t="shared" si="165"/>
        <v>-3.7747582837255322E-15</v>
      </c>
      <c r="I1097" s="412">
        <f t="shared" si="165"/>
        <v>-5.5511151231257827E-15</v>
      </c>
      <c r="J1097" s="412">
        <f t="shared" si="165"/>
        <v>0</v>
      </c>
      <c r="K1097" s="412">
        <f t="shared" si="165"/>
        <v>1.7763568394002505E-15</v>
      </c>
      <c r="L1097" s="412">
        <f t="shared" si="165"/>
        <v>0</v>
      </c>
      <c r="M1097" s="412">
        <f t="shared" si="165"/>
        <v>4.2188474935755949E-15</v>
      </c>
      <c r="N1097" s="412">
        <f t="shared" si="165"/>
        <v>0</v>
      </c>
      <c r="O1097" s="2"/>
      <c r="W1097" s="365"/>
      <c r="X1097" s="365"/>
      <c r="Y1097" s="365"/>
    </row>
    <row r="1098" spans="2:25" s="4" customFormat="1">
      <c r="B1098" s="2"/>
      <c r="C1098" s="2"/>
      <c r="D1098" s="2"/>
      <c r="E1098" s="2"/>
      <c r="F1098" s="365"/>
      <c r="G1098" s="2"/>
      <c r="H1098" s="2"/>
      <c r="I1098" s="2"/>
      <c r="J1098" s="2"/>
      <c r="K1098" s="2"/>
      <c r="L1098" s="2"/>
      <c r="M1098" s="2"/>
      <c r="N1098" s="2"/>
      <c r="O1098" s="2"/>
      <c r="W1098" s="365"/>
      <c r="X1098" s="365"/>
      <c r="Y1098" s="365"/>
    </row>
    <row r="1099" spans="2:25" s="4" customFormat="1">
      <c r="B1099" s="2"/>
      <c r="C1099" s="354" t="s">
        <v>280</v>
      </c>
      <c r="D1099" s="2"/>
      <c r="F1099" s="355">
        <v>2013</v>
      </c>
      <c r="G1099" s="355">
        <v>2015</v>
      </c>
      <c r="H1099" s="355">
        <v>2020</v>
      </c>
      <c r="I1099" s="355">
        <v>2025</v>
      </c>
      <c r="J1099" s="355">
        <v>2030</v>
      </c>
      <c r="K1099" s="355">
        <v>2035</v>
      </c>
      <c r="L1099" s="355">
        <v>2040</v>
      </c>
      <c r="M1099" s="355">
        <v>2045</v>
      </c>
      <c r="N1099" s="355">
        <v>2050</v>
      </c>
      <c r="O1099" s="2"/>
      <c r="W1099" s="365"/>
      <c r="X1099" s="365"/>
      <c r="Y1099" s="365"/>
    </row>
    <row r="1100" spans="2:25" s="4" customFormat="1">
      <c r="B1100" s="358" t="s">
        <v>95</v>
      </c>
      <c r="C1100" s="4" t="s">
        <v>85</v>
      </c>
      <c r="D1100" s="2"/>
      <c r="E1100" s="2"/>
      <c r="F1100" s="365">
        <f t="shared" ref="F1100:N1100" si="166">(F1088-F906)*Conversion.to.average.power</f>
        <v>-8.6676273590704001E-5</v>
      </c>
      <c r="G1100" s="365">
        <f t="shared" si="166"/>
        <v>-8.1059438922491015E-5</v>
      </c>
      <c r="H1100" s="365">
        <f t="shared" si="166"/>
        <v>-6.652705045041031E-5</v>
      </c>
      <c r="I1100" s="365">
        <f t="shared" si="166"/>
        <v>-5.6882094077334439E-5</v>
      </c>
      <c r="J1100" s="365">
        <f t="shared" si="166"/>
        <v>-4.6439790878509554E-5</v>
      </c>
      <c r="K1100" s="365">
        <f t="shared" si="166"/>
        <v>-3.5548799238528772E-5</v>
      </c>
      <c r="L1100" s="365">
        <f t="shared" si="166"/>
        <v>-2.4185876028901417E-5</v>
      </c>
      <c r="M1100" s="365">
        <f t="shared" si="166"/>
        <v>-1.2309203854135944E-5</v>
      </c>
      <c r="N1100" s="365">
        <f t="shared" si="166"/>
        <v>0</v>
      </c>
      <c r="O1100" s="2"/>
      <c r="W1100" s="365"/>
      <c r="X1100" s="365"/>
      <c r="Y1100" s="365"/>
    </row>
    <row r="1101" spans="2:25" s="4" customFormat="1">
      <c r="B1101" s="358" t="s">
        <v>96</v>
      </c>
      <c r="C1101" s="4" t="s">
        <v>86</v>
      </c>
      <c r="D1101" s="2"/>
      <c r="E1101" s="2"/>
      <c r="F1101" s="365">
        <f t="shared" ref="F1101:N1101" si="167">(F1089-F907)*Conversion.to.average.power</f>
        <v>0</v>
      </c>
      <c r="G1101" s="365">
        <f t="shared" si="167"/>
        <v>0</v>
      </c>
      <c r="H1101" s="365">
        <f t="shared" si="167"/>
        <v>0</v>
      </c>
      <c r="I1101" s="365">
        <f t="shared" si="167"/>
        <v>0</v>
      </c>
      <c r="J1101" s="365">
        <f t="shared" si="167"/>
        <v>0</v>
      </c>
      <c r="K1101" s="365">
        <f t="shared" si="167"/>
        <v>0</v>
      </c>
      <c r="L1101" s="365">
        <f t="shared" si="167"/>
        <v>0</v>
      </c>
      <c r="M1101" s="365">
        <f t="shared" si="167"/>
        <v>0</v>
      </c>
      <c r="N1101" s="365">
        <f t="shared" si="167"/>
        <v>0</v>
      </c>
      <c r="O1101" s="2"/>
      <c r="W1101" s="365"/>
      <c r="X1101" s="365"/>
      <c r="Y1101" s="365"/>
    </row>
    <row r="1102" spans="2:25" s="4" customFormat="1">
      <c r="B1102" s="358" t="s">
        <v>97</v>
      </c>
      <c r="C1102" s="4" t="s">
        <v>87</v>
      </c>
      <c r="D1102" s="2"/>
      <c r="E1102" s="2"/>
      <c r="F1102" s="365">
        <f t="shared" ref="F1102:N1102" si="168">(F1090-F908)*Conversion.to.average.power</f>
        <v>0</v>
      </c>
      <c r="G1102" s="365">
        <f t="shared" si="168"/>
        <v>0</v>
      </c>
      <c r="H1102" s="365">
        <f t="shared" si="168"/>
        <v>0</v>
      </c>
      <c r="I1102" s="365">
        <f t="shared" si="168"/>
        <v>0</v>
      </c>
      <c r="J1102" s="365">
        <f t="shared" si="168"/>
        <v>0</v>
      </c>
      <c r="K1102" s="365">
        <f t="shared" si="168"/>
        <v>0</v>
      </c>
      <c r="L1102" s="365">
        <f t="shared" si="168"/>
        <v>0</v>
      </c>
      <c r="M1102" s="365">
        <f t="shared" si="168"/>
        <v>0</v>
      </c>
      <c r="N1102" s="365">
        <f t="shared" si="168"/>
        <v>0</v>
      </c>
      <c r="O1102" s="2"/>
      <c r="W1102" s="365"/>
      <c r="X1102" s="365"/>
      <c r="Y1102" s="365"/>
    </row>
    <row r="1103" spans="2:25" s="4" customFormat="1">
      <c r="B1103" s="358" t="s">
        <v>98</v>
      </c>
      <c r="C1103" s="4" t="s">
        <v>88</v>
      </c>
      <c r="D1103" s="2"/>
      <c r="E1103" s="2"/>
      <c r="F1103" s="365">
        <f t="shared" ref="F1103:N1103" si="169">(F1091-F909)*Conversion.to.average.power</f>
        <v>0</v>
      </c>
      <c r="G1103" s="365">
        <f t="shared" si="169"/>
        <v>0</v>
      </c>
      <c r="H1103" s="365">
        <f t="shared" si="169"/>
        <v>0</v>
      </c>
      <c r="I1103" s="365">
        <f t="shared" si="169"/>
        <v>0</v>
      </c>
      <c r="J1103" s="365">
        <f t="shared" si="169"/>
        <v>0</v>
      </c>
      <c r="K1103" s="365">
        <f t="shared" si="169"/>
        <v>0</v>
      </c>
      <c r="L1103" s="365">
        <f t="shared" si="169"/>
        <v>0</v>
      </c>
      <c r="M1103" s="365">
        <f t="shared" si="169"/>
        <v>0</v>
      </c>
      <c r="N1103" s="365">
        <f t="shared" si="169"/>
        <v>0</v>
      </c>
      <c r="O1103" s="2"/>
      <c r="W1103" s="365"/>
      <c r="X1103" s="365"/>
      <c r="Y1103" s="365"/>
    </row>
    <row r="1104" spans="2:25" s="4" customFormat="1">
      <c r="B1104" s="358" t="s">
        <v>99</v>
      </c>
      <c r="C1104" s="4" t="s">
        <v>89</v>
      </c>
      <c r="D1104" s="2"/>
      <c r="E1104" s="2"/>
      <c r="F1104" s="365">
        <f t="shared" ref="F1104:N1104" si="170">(F1092-F910)*Conversion.to.average.power</f>
        <v>0</v>
      </c>
      <c r="G1104" s="365">
        <f t="shared" si="170"/>
        <v>0</v>
      </c>
      <c r="H1104" s="365">
        <f t="shared" si="170"/>
        <v>0</v>
      </c>
      <c r="I1104" s="365">
        <f t="shared" si="170"/>
        <v>0</v>
      </c>
      <c r="J1104" s="365">
        <f t="shared" si="170"/>
        <v>0</v>
      </c>
      <c r="K1104" s="365">
        <f t="shared" si="170"/>
        <v>0</v>
      </c>
      <c r="L1104" s="365">
        <f t="shared" si="170"/>
        <v>0</v>
      </c>
      <c r="M1104" s="365">
        <f t="shared" si="170"/>
        <v>0</v>
      </c>
      <c r="N1104" s="365">
        <f t="shared" si="170"/>
        <v>0</v>
      </c>
      <c r="O1104" s="2"/>
      <c r="W1104" s="365"/>
      <c r="X1104" s="365"/>
      <c r="Y1104" s="365"/>
    </row>
    <row r="1105" spans="2:25" s="4" customFormat="1">
      <c r="B1105" s="358" t="s">
        <v>100</v>
      </c>
      <c r="C1105" s="4" t="s">
        <v>90</v>
      </c>
      <c r="D1105" s="2"/>
      <c r="E1105" s="2"/>
      <c r="F1105" s="365">
        <f t="shared" ref="F1105:N1105" si="171">(F1093-F911)*Conversion.to.average.power</f>
        <v>0</v>
      </c>
      <c r="G1105" s="365">
        <f t="shared" si="171"/>
        <v>0</v>
      </c>
      <c r="H1105" s="365">
        <f t="shared" si="171"/>
        <v>0</v>
      </c>
      <c r="I1105" s="365">
        <f t="shared" si="171"/>
        <v>0</v>
      </c>
      <c r="J1105" s="365">
        <f t="shared" si="171"/>
        <v>0</v>
      </c>
      <c r="K1105" s="365">
        <f t="shared" si="171"/>
        <v>0</v>
      </c>
      <c r="L1105" s="365">
        <f t="shared" si="171"/>
        <v>0</v>
      </c>
      <c r="M1105" s="365">
        <f t="shared" si="171"/>
        <v>0</v>
      </c>
      <c r="N1105" s="365">
        <f t="shared" si="171"/>
        <v>0</v>
      </c>
      <c r="O1105" s="2"/>
      <c r="W1105" s="365"/>
      <c r="X1105" s="365"/>
      <c r="Y1105" s="365"/>
    </row>
    <row r="1106" spans="2:25" s="4" customFormat="1">
      <c r="B1106" s="358" t="s">
        <v>101</v>
      </c>
      <c r="C1106" s="4" t="s">
        <v>91</v>
      </c>
      <c r="D1106" s="2"/>
      <c r="E1106" s="2"/>
      <c r="F1106" s="365">
        <f t="shared" ref="F1106:N1106" si="172">(F1094-F912)*Conversion.to.average.power</f>
        <v>8.6676273590693715E-5</v>
      </c>
      <c r="G1106" s="365">
        <f t="shared" si="172"/>
        <v>8.1059438922484686E-5</v>
      </c>
      <c r="H1106" s="365">
        <f t="shared" si="172"/>
        <v>6.6527050450403981E-5</v>
      </c>
      <c r="I1106" s="365">
        <f t="shared" si="172"/>
        <v>5.688209407731386E-5</v>
      </c>
      <c r="J1106" s="365">
        <f t="shared" si="172"/>
        <v>4.6439790878490953E-5</v>
      </c>
      <c r="K1106" s="365">
        <f t="shared" si="172"/>
        <v>3.5548799238518086E-5</v>
      </c>
      <c r="L1106" s="365">
        <f t="shared" si="172"/>
        <v>2.4185876028916854E-5</v>
      </c>
      <c r="M1106" s="365">
        <f t="shared" si="172"/>
        <v>1.23092038541588E-5</v>
      </c>
      <c r="N1106" s="365">
        <f t="shared" si="172"/>
        <v>0</v>
      </c>
      <c r="O1106" s="2"/>
      <c r="W1106" s="365"/>
      <c r="X1106" s="365"/>
      <c r="Y1106" s="365"/>
    </row>
    <row r="1107" spans="2:25" s="4" customFormat="1">
      <c r="B1107" s="358" t="s">
        <v>102</v>
      </c>
      <c r="C1107" s="4" t="s">
        <v>92</v>
      </c>
      <c r="D1107" s="2"/>
      <c r="E1107" s="2"/>
      <c r="F1107" s="365">
        <f t="shared" ref="F1107:N1107" si="173">(F1095-F913)*Conversion.to.average.power</f>
        <v>0</v>
      </c>
      <c r="G1107" s="365">
        <f t="shared" si="173"/>
        <v>0</v>
      </c>
      <c r="H1107" s="365">
        <f t="shared" si="173"/>
        <v>0</v>
      </c>
      <c r="I1107" s="365">
        <f t="shared" si="173"/>
        <v>0</v>
      </c>
      <c r="J1107" s="365">
        <f t="shared" si="173"/>
        <v>0</v>
      </c>
      <c r="K1107" s="365">
        <f t="shared" si="173"/>
        <v>0</v>
      </c>
      <c r="L1107" s="365">
        <f t="shared" si="173"/>
        <v>0</v>
      </c>
      <c r="M1107" s="365">
        <f t="shared" si="173"/>
        <v>0</v>
      </c>
      <c r="N1107" s="365">
        <f t="shared" si="173"/>
        <v>0</v>
      </c>
      <c r="O1107" s="2"/>
      <c r="Q1107" s="413"/>
      <c r="W1107" s="365"/>
      <c r="X1107" s="365"/>
      <c r="Y1107" s="365"/>
    </row>
    <row r="1108" spans="2:25" s="4" customFormat="1">
      <c r="B1108" s="358" t="s">
        <v>103</v>
      </c>
      <c r="C1108" s="4" t="s">
        <v>93</v>
      </c>
      <c r="D1108" s="2"/>
      <c r="E1108" s="2"/>
      <c r="F1108" s="365">
        <f t="shared" ref="F1108:N1108" si="174">(F1096-F914)*Conversion.to.average.power</f>
        <v>0</v>
      </c>
      <c r="G1108" s="365">
        <f t="shared" si="174"/>
        <v>0</v>
      </c>
      <c r="H1108" s="365">
        <f t="shared" si="174"/>
        <v>0</v>
      </c>
      <c r="I1108" s="365">
        <f t="shared" si="174"/>
        <v>0</v>
      </c>
      <c r="J1108" s="365">
        <f t="shared" si="174"/>
        <v>0</v>
      </c>
      <c r="K1108" s="365">
        <f t="shared" si="174"/>
        <v>0</v>
      </c>
      <c r="L1108" s="365">
        <f t="shared" si="174"/>
        <v>0</v>
      </c>
      <c r="M1108" s="365">
        <f t="shared" si="174"/>
        <v>0</v>
      </c>
      <c r="N1108" s="365">
        <f t="shared" si="174"/>
        <v>0</v>
      </c>
      <c r="O1108" s="2"/>
      <c r="W1108" s="365"/>
      <c r="X1108" s="365"/>
      <c r="Y1108" s="365"/>
    </row>
    <row r="1109" spans="2:25" s="4" customFormat="1">
      <c r="B1109" s="358"/>
      <c r="D1109" s="2"/>
      <c r="E1109" s="2" t="str">
        <f>Preferences.PowerUnits</f>
        <v>GW</v>
      </c>
      <c r="F1109" s="412">
        <f t="shared" ref="F1109:N1109" si="175">SUM(F1100:F1108)</f>
        <v>-1.0286368111456223E-17</v>
      </c>
      <c r="G1109" s="412">
        <f t="shared" si="175"/>
        <v>-6.3290301818841321E-18</v>
      </c>
      <c r="H1109" s="412">
        <f t="shared" si="175"/>
        <v>-6.3290301818841321E-18</v>
      </c>
      <c r="I1109" s="412">
        <f t="shared" si="175"/>
        <v>-2.0579512486490481E-17</v>
      </c>
      <c r="J1109" s="412">
        <f t="shared" si="175"/>
        <v>-1.8600843521704435E-17</v>
      </c>
      <c r="K1109" s="412">
        <f t="shared" si="175"/>
        <v>-1.0686167662560253E-17</v>
      </c>
      <c r="L1109" s="412">
        <f t="shared" si="175"/>
        <v>1.5436328430762369E-17</v>
      </c>
      <c r="M1109" s="412">
        <f t="shared" si="175"/>
        <v>2.285633704871004E-17</v>
      </c>
      <c r="N1109" s="412">
        <f t="shared" si="175"/>
        <v>0</v>
      </c>
      <c r="O1109" s="2"/>
      <c r="W1109" s="365"/>
      <c r="X1109" s="365"/>
      <c r="Y1109" s="365"/>
    </row>
    <row r="1110" spans="2:25" s="4" customFormat="1">
      <c r="B1110" s="2"/>
      <c r="C1110" s="2"/>
      <c r="D1110" s="2"/>
      <c r="E1110" s="2"/>
      <c r="F1110" s="365"/>
      <c r="G1110" s="2"/>
      <c r="H1110" s="2"/>
      <c r="I1110" s="2"/>
      <c r="J1110" s="2"/>
      <c r="K1110" s="2"/>
      <c r="L1110" s="2"/>
      <c r="M1110" s="2"/>
      <c r="N1110" s="2"/>
      <c r="O1110" s="2"/>
      <c r="W1110" s="365"/>
      <c r="X1110" s="365"/>
      <c r="Y1110" s="365"/>
    </row>
    <row r="1111" spans="2:25" s="4" customFormat="1">
      <c r="B1111" s="2"/>
      <c r="C1111" s="2" t="s">
        <v>281</v>
      </c>
      <c r="D1111" s="2"/>
      <c r="E1111" s="411" t="str">
        <f>Preferences.PowerUnits&amp;"e"</f>
        <v>GWe</v>
      </c>
      <c r="F1111" s="365">
        <f t="shared" ref="F1111:N1111" ca="1" si="176">-SUM(F1076:F1077)-SUM(F1100:F1101)+F1042</f>
        <v>3.0264039699571149E-4</v>
      </c>
      <c r="G1111" s="365">
        <f t="shared" ca="1" si="176"/>
        <v>3.6677932971593372E-4</v>
      </c>
      <c r="H1111" s="365">
        <f t="shared" ca="1" si="176"/>
        <v>4.1569798171931541E-4</v>
      </c>
      <c r="I1111" s="365">
        <f t="shared" ca="1" si="176"/>
        <v>4.7433429546943058E-4</v>
      </c>
      <c r="J1111" s="365">
        <f t="shared" ca="1" si="176"/>
        <v>6.0182255591866582E-4</v>
      </c>
      <c r="K1111" s="365">
        <f t="shared" ca="1" si="176"/>
        <v>6.8076642937723046E-4</v>
      </c>
      <c r="L1111" s="365">
        <f t="shared" ca="1" si="176"/>
        <v>7.665646804149611E-4</v>
      </c>
      <c r="M1111" s="365">
        <f t="shared" ca="1" si="176"/>
        <v>8.5761342998665643E-4</v>
      </c>
      <c r="N1111" s="365">
        <f t="shared" ca="1" si="176"/>
        <v>9.5620427171447253E-4</v>
      </c>
      <c r="O1111" s="2"/>
      <c r="W1111" s="365"/>
      <c r="X1111" s="365"/>
      <c r="Y1111" s="365"/>
    </row>
    <row r="1112" spans="2:25" s="4" customFormat="1">
      <c r="B1112" s="2"/>
      <c r="C1112" s="2"/>
      <c r="D1112" s="2"/>
      <c r="E1112" s="2"/>
      <c r="F1112" s="365"/>
      <c r="G1112" s="2"/>
      <c r="H1112" s="2"/>
      <c r="I1112" s="2"/>
      <c r="J1112" s="2"/>
      <c r="K1112" s="2"/>
      <c r="L1112" s="2"/>
      <c r="M1112" s="2"/>
      <c r="N1112" s="2"/>
      <c r="O1112" s="2"/>
      <c r="W1112" s="365"/>
      <c r="X1112" s="365"/>
      <c r="Y1112" s="365"/>
    </row>
    <row r="1113" spans="2:25" s="4" customFormat="1">
      <c r="B1113" s="354"/>
      <c r="C1113" s="354"/>
      <c r="D1113" s="2865" t="s">
        <v>5</v>
      </c>
      <c r="E1113" s="2"/>
      <c r="F1113" s="365"/>
      <c r="G1113" s="2"/>
      <c r="H1113" s="2"/>
      <c r="I1113" s="2"/>
      <c r="J1113" s="2"/>
      <c r="K1113" s="2"/>
      <c r="L1113" s="2"/>
      <c r="M1113" s="2"/>
      <c r="N1113" s="2"/>
      <c r="O1113" s="2"/>
      <c r="W1113" s="365"/>
      <c r="X1113" s="365"/>
      <c r="Y1113" s="365"/>
    </row>
    <row r="1114" spans="2:25" s="4" customFormat="1">
      <c r="B1114" s="354" t="s">
        <v>269</v>
      </c>
      <c r="C1114" s="354" t="s">
        <v>964</v>
      </c>
      <c r="D1114" s="2"/>
      <c r="E1114" s="2"/>
      <c r="F1114" s="365"/>
      <c r="G1114" s="2"/>
      <c r="H1114" s="2"/>
      <c r="I1114" s="2"/>
      <c r="J1114" s="2"/>
      <c r="K1114" s="2"/>
      <c r="L1114" s="2"/>
      <c r="M1114" s="2"/>
      <c r="N1114" s="2"/>
      <c r="O1114" s="2"/>
      <c r="W1114" s="365"/>
      <c r="X1114" s="365"/>
      <c r="Y1114" s="365"/>
    </row>
    <row r="1115" spans="2:25" s="4" customFormat="1">
      <c r="B1115" s="2"/>
      <c r="C1115" s="2"/>
      <c r="D1115" s="2"/>
      <c r="E1115" s="2"/>
      <c r="F1115" s="355">
        <v>2013</v>
      </c>
      <c r="G1115" s="355">
        <v>2015</v>
      </c>
      <c r="H1115" s="355">
        <v>2020</v>
      </c>
      <c r="I1115" s="355">
        <v>2025</v>
      </c>
      <c r="J1115" s="355">
        <v>2030</v>
      </c>
      <c r="K1115" s="355">
        <v>2035</v>
      </c>
      <c r="L1115" s="355">
        <v>2040</v>
      </c>
      <c r="M1115" s="355">
        <v>2045</v>
      </c>
      <c r="N1115" s="355">
        <v>2050</v>
      </c>
      <c r="O1115" s="2"/>
      <c r="W1115" s="365"/>
      <c r="X1115" s="365"/>
      <c r="Y1115" s="365"/>
    </row>
    <row r="1116" spans="2:25" s="4" customFormat="1">
      <c r="B1116" s="2"/>
      <c r="C1116" s="2" t="s">
        <v>282</v>
      </c>
      <c r="D1116" s="2"/>
      <c r="E1116" s="2" t="str">
        <f>Preferences.PowerUnits&amp;"th/degree"</f>
        <v>GWth/degree</v>
      </c>
      <c r="F1116" s="365">
        <f t="shared" ref="F1116:N1116" si="177">F821*F853*Unit.W</f>
        <v>0.41281029861616902</v>
      </c>
      <c r="G1116" s="365">
        <f t="shared" si="177"/>
        <v>0.42565228243693615</v>
      </c>
      <c r="H1116" s="365">
        <f t="shared" si="177"/>
        <v>0.44883355093874816</v>
      </c>
      <c r="I1116" s="365">
        <f t="shared" si="177"/>
        <v>0.47188295264375302</v>
      </c>
      <c r="J1116" s="365">
        <f t="shared" si="177"/>
        <v>0.4936136376835541</v>
      </c>
      <c r="K1116" s="365">
        <f t="shared" si="177"/>
        <v>0.51657131514563925</v>
      </c>
      <c r="L1116" s="365">
        <f t="shared" si="177"/>
        <v>0.54072153753430108</v>
      </c>
      <c r="M1116" s="365">
        <f t="shared" si="177"/>
        <v>0.56472459307059808</v>
      </c>
      <c r="N1116" s="365">
        <f t="shared" si="177"/>
        <v>0.5899780356478197</v>
      </c>
      <c r="O1116" s="365"/>
      <c r="W1116" s="365"/>
      <c r="X1116" s="365"/>
      <c r="Y1116" s="365"/>
    </row>
    <row r="1117" spans="2:25" s="4" customFormat="1">
      <c r="B1117" s="2"/>
      <c r="C1117" s="2"/>
      <c r="D1117" s="2"/>
      <c r="E1117" s="2"/>
      <c r="F1117" s="365"/>
      <c r="G1117" s="2"/>
      <c r="H1117" s="2"/>
      <c r="I1117" s="2"/>
      <c r="J1117" s="2"/>
      <c r="K1117" s="2"/>
      <c r="L1117" s="2"/>
      <c r="M1117" s="2"/>
      <c r="N1117" s="2"/>
      <c r="O1117" s="2"/>
      <c r="W1117" s="365"/>
      <c r="X1117" s="365"/>
      <c r="Y1117" s="365"/>
    </row>
    <row r="1118" spans="2:25" s="4" customFormat="1">
      <c r="B1118" s="2"/>
      <c r="C1118" s="354" t="s">
        <v>283</v>
      </c>
      <c r="D1118" s="2"/>
      <c r="E1118" s="2"/>
      <c r="F1118" s="355">
        <v>2013</v>
      </c>
      <c r="G1118" s="355">
        <v>2015</v>
      </c>
      <c r="H1118" s="355">
        <v>2020</v>
      </c>
      <c r="I1118" s="355">
        <v>2025</v>
      </c>
      <c r="J1118" s="355">
        <v>2030</v>
      </c>
      <c r="K1118" s="355">
        <v>2035</v>
      </c>
      <c r="L1118" s="355">
        <v>2040</v>
      </c>
      <c r="M1118" s="355">
        <v>2045</v>
      </c>
      <c r="N1118" s="355">
        <v>2050</v>
      </c>
      <c r="O1118" s="2"/>
      <c r="W1118" s="365"/>
      <c r="X1118" s="365"/>
      <c r="Y1118" s="365"/>
    </row>
    <row r="1119" spans="2:25" s="4" customFormat="1">
      <c r="B1119" s="358">
        <v>1</v>
      </c>
      <c r="C1119" s="2" t="s">
        <v>45</v>
      </c>
      <c r="D1119" s="2"/>
      <c r="E1119" s="2"/>
      <c r="F1119" s="2480">
        <f t="array" ref="F1119:F1131">F$1116*F$626:F$638</f>
        <v>7.0177750764748734E-2</v>
      </c>
      <c r="G1119" s="2480">
        <f t="array" ref="G1119:G1131">G$1116*G$626:G$638</f>
        <v>6.8449488662155958E-2</v>
      </c>
      <c r="H1119" s="2480">
        <f t="array" ref="H1119:H1131">H$1116*H$626:H$638</f>
        <v>6.1866246210476115E-2</v>
      </c>
      <c r="I1119" s="2480">
        <f t="array" ref="I1119:I1131">I$1116*I$626:I$638</f>
        <v>5.4202771587458135E-2</v>
      </c>
      <c r="J1119" s="2480">
        <f t="array" ref="J1119:J1131">J$1116*J$626:J$638</f>
        <v>4.535909103038066E-2</v>
      </c>
      <c r="K1119" s="2480">
        <f t="array" ref="K1119:K1131">K$1116*K$626:K$638</f>
        <v>3.5601536584361639E-2</v>
      </c>
      <c r="L1119" s="2480">
        <f t="array" ref="L1119:L1131">L$1116*L$626:L$638</f>
        <v>2.4843962535359795E-2</v>
      </c>
      <c r="M1119" s="2480">
        <f t="array" ref="M1119:M1131">M$1116*M$626:M$638</f>
        <v>1.2973402813784026E-2</v>
      </c>
      <c r="N1119" s="2480">
        <f t="array" ref="N1119:N1131">N$1116*N$626:N$638</f>
        <v>0</v>
      </c>
      <c r="O1119" s="2"/>
      <c r="W1119" s="365"/>
      <c r="X1119" s="365"/>
      <c r="Y1119" s="365"/>
    </row>
    <row r="1120" spans="2:25" s="4" customFormat="1">
      <c r="B1120" s="358">
        <v>2</v>
      </c>
      <c r="C1120" s="2" t="s">
        <v>46</v>
      </c>
      <c r="D1120" s="2"/>
      <c r="E1120" s="2"/>
      <c r="F1120" s="2480">
        <v>6.4398406584122367E-2</v>
      </c>
      <c r="G1120" s="2480">
        <v>8.3519880283571796E-2</v>
      </c>
      <c r="H1120" s="2480">
        <v>0.13319438890020147</v>
      </c>
      <c r="I1120" s="2480">
        <v>0.18747782172603158</v>
      </c>
      <c r="J1120" s="2480">
        <v>0.24573954611165041</v>
      </c>
      <c r="K1120" s="2480">
        <v>0.30910510587363382</v>
      </c>
      <c r="L1120" s="2480">
        <v>0.37792051244964925</v>
      </c>
      <c r="M1120" s="2480">
        <v>0.45147441791968346</v>
      </c>
      <c r="N1120" s="2480">
        <v>0.5309802320830378</v>
      </c>
      <c r="O1120" s="2"/>
      <c r="W1120" s="365"/>
      <c r="X1120" s="365"/>
      <c r="Y1120" s="365"/>
    </row>
    <row r="1121" spans="2:25" s="4" customFormat="1">
      <c r="B1121" s="358">
        <v>3</v>
      </c>
      <c r="C1121" s="2" t="s">
        <v>47</v>
      </c>
      <c r="D1121" s="2"/>
      <c r="E1121" s="2"/>
      <c r="F1121" s="2480">
        <v>1.4861170750182083E-2</v>
      </c>
      <c r="G1121" s="2480">
        <v>1.679600898264667E-2</v>
      </c>
      <c r="H1121" s="2480">
        <v>2.1592532991107343E-2</v>
      </c>
      <c r="I1121" s="2480">
        <v>2.6782545960861659E-2</v>
      </c>
      <c r="J1121" s="2480">
        <v>3.228500008632975E-2</v>
      </c>
      <c r="K1121" s="2480">
        <v>3.8254200094568959E-2</v>
      </c>
      <c r="L1121" s="2480">
        <v>4.4719132563647596E-2</v>
      </c>
      <c r="M1121" s="2480">
        <v>5.1588354718341112E-2</v>
      </c>
      <c r="N1121" s="2480">
        <v>5.8997803564781973E-2</v>
      </c>
      <c r="O1121" s="2"/>
      <c r="W1121" s="365"/>
      <c r="X1121" s="365"/>
      <c r="Y1121" s="365"/>
    </row>
    <row r="1122" spans="2:25" s="4" customFormat="1">
      <c r="B1122" s="358">
        <v>4</v>
      </c>
      <c r="C1122" s="2" t="s">
        <v>48</v>
      </c>
      <c r="D1122" s="2"/>
      <c r="E1122" s="2"/>
      <c r="F1122" s="2480">
        <v>0.2555295748434086</v>
      </c>
      <c r="G1122" s="2480">
        <v>0.24923666754043841</v>
      </c>
      <c r="H1122" s="2480">
        <v>0.22526592002520412</v>
      </c>
      <c r="I1122" s="2480">
        <v>0.19736185654492103</v>
      </c>
      <c r="J1122" s="2480">
        <v>0.16516045498709189</v>
      </c>
      <c r="K1122" s="2480">
        <v>0.12963147732776381</v>
      </c>
      <c r="L1122" s="2480">
        <v>9.0461251819927688E-2</v>
      </c>
      <c r="M1122" s="2480">
        <v>4.7238449069013561E-2</v>
      </c>
      <c r="N1122" s="2480">
        <v>0</v>
      </c>
      <c r="O1122" s="2"/>
      <c r="W1122" s="365"/>
      <c r="X1122" s="365"/>
      <c r="Y1122" s="365"/>
    </row>
    <row r="1123" spans="2:25" s="4" customFormat="1">
      <c r="B1123" s="358">
        <v>5</v>
      </c>
      <c r="C1123" s="2" t="s">
        <v>49</v>
      </c>
      <c r="D1123" s="2"/>
      <c r="E1123" s="2"/>
      <c r="F1123" s="2480">
        <v>6.1921544792425355E-3</v>
      </c>
      <c r="G1123" s="2480">
        <v>6.0396607643078771E-3</v>
      </c>
      <c r="H1123" s="2480">
        <v>5.4587864303361254E-3</v>
      </c>
      <c r="I1123" s="2480">
        <v>4.78259749301101E-3</v>
      </c>
      <c r="J1123" s="2480">
        <v>4.0022727379747623E-3</v>
      </c>
      <c r="K1123" s="2480">
        <v>3.1413120515613189E-3</v>
      </c>
      <c r="L1123" s="2480">
        <v>2.1921143413552737E-3</v>
      </c>
      <c r="M1123" s="2480">
        <v>1.1447120129809412E-3</v>
      </c>
      <c r="N1123" s="2480">
        <v>0</v>
      </c>
      <c r="O1123" s="2"/>
      <c r="W1123" s="365"/>
      <c r="X1123" s="365"/>
      <c r="Y1123" s="365"/>
    </row>
    <row r="1124" spans="2:25" s="4" customFormat="1">
      <c r="B1124" s="358">
        <v>6</v>
      </c>
      <c r="C1124" s="2" t="s">
        <v>50</v>
      </c>
      <c r="D1124" s="2"/>
      <c r="E1124" s="2"/>
      <c r="F1124" s="2480">
        <v>0</v>
      </c>
      <c r="G1124" s="2480">
        <v>0</v>
      </c>
      <c r="H1124" s="2480">
        <v>0</v>
      </c>
      <c r="I1124" s="2480">
        <v>0</v>
      </c>
      <c r="J1124" s="2480">
        <v>0</v>
      </c>
      <c r="K1124" s="2480">
        <v>0</v>
      </c>
      <c r="L1124" s="2480">
        <v>0</v>
      </c>
      <c r="M1124" s="2480">
        <v>0</v>
      </c>
      <c r="N1124" s="2480">
        <v>0</v>
      </c>
      <c r="O1124" s="2"/>
      <c r="W1124" s="365"/>
      <c r="X1124" s="365"/>
      <c r="Y1124" s="365"/>
    </row>
    <row r="1125" spans="2:25" s="4" customFormat="1">
      <c r="B1125" s="358">
        <v>7</v>
      </c>
      <c r="C1125" s="2" t="s">
        <v>51</v>
      </c>
      <c r="D1125" s="2"/>
      <c r="E1125" s="2"/>
      <c r="F1125" s="2480">
        <v>0</v>
      </c>
      <c r="G1125" s="2480">
        <v>0</v>
      </c>
      <c r="H1125" s="2480">
        <v>0</v>
      </c>
      <c r="I1125" s="2480">
        <v>0</v>
      </c>
      <c r="J1125" s="2480">
        <v>0</v>
      </c>
      <c r="K1125" s="2480">
        <v>0</v>
      </c>
      <c r="L1125" s="2480">
        <v>0</v>
      </c>
      <c r="M1125" s="2480">
        <v>0</v>
      </c>
      <c r="N1125" s="2480">
        <v>0</v>
      </c>
      <c r="O1125" s="2"/>
      <c r="W1125" s="365"/>
      <c r="X1125" s="365"/>
      <c r="Y1125" s="365"/>
    </row>
    <row r="1126" spans="2:25" s="4" customFormat="1">
      <c r="B1126" s="358">
        <v>8</v>
      </c>
      <c r="C1126" s="2" t="s">
        <v>52</v>
      </c>
      <c r="D1126" s="2"/>
      <c r="E1126" s="2"/>
      <c r="F1126" s="2480">
        <v>4.1281029861616901E-4</v>
      </c>
      <c r="G1126" s="2480">
        <v>4.026440509538585E-4</v>
      </c>
      <c r="H1126" s="2480">
        <v>3.6391909535574173E-4</v>
      </c>
      <c r="I1126" s="2480">
        <v>3.1883983286740066E-4</v>
      </c>
      <c r="J1126" s="2480">
        <v>2.6681818253165081E-4</v>
      </c>
      <c r="K1126" s="2480">
        <v>2.0942080343742126E-4</v>
      </c>
      <c r="L1126" s="2480">
        <v>1.4614095609035156E-4</v>
      </c>
      <c r="M1126" s="2480">
        <v>7.6314134198729374E-5</v>
      </c>
      <c r="N1126" s="2480">
        <v>0</v>
      </c>
      <c r="O1126" s="2"/>
      <c r="W1126" s="365"/>
      <c r="X1126" s="365"/>
      <c r="Y1126" s="365"/>
    </row>
    <row r="1127" spans="2:25" s="4" customFormat="1">
      <c r="B1127" s="358">
        <v>9</v>
      </c>
      <c r="C1127" s="2" t="s">
        <v>53</v>
      </c>
      <c r="D1127" s="2"/>
      <c r="E1127" s="2"/>
      <c r="F1127" s="2480">
        <v>8.2562059723233802E-4</v>
      </c>
      <c r="G1127" s="2480">
        <v>8.05288101907717E-4</v>
      </c>
      <c r="H1127" s="2480">
        <v>7.2783819071148346E-4</v>
      </c>
      <c r="I1127" s="2480">
        <v>6.3767966573480132E-4</v>
      </c>
      <c r="J1127" s="2480">
        <v>5.3363636506330162E-4</v>
      </c>
      <c r="K1127" s="2480">
        <v>4.1884160687484252E-4</v>
      </c>
      <c r="L1127" s="2480">
        <v>2.9228191218070313E-4</v>
      </c>
      <c r="M1127" s="2480">
        <v>1.5262826839745875E-4</v>
      </c>
      <c r="N1127" s="2480">
        <v>0</v>
      </c>
      <c r="O1127" s="2"/>
      <c r="W1127" s="365"/>
      <c r="X1127" s="365"/>
      <c r="Y1127" s="365"/>
    </row>
    <row r="1128" spans="2:25" s="4" customFormat="1">
      <c r="B1128" s="358">
        <v>10</v>
      </c>
      <c r="C1128" s="2" t="s">
        <v>54</v>
      </c>
      <c r="D1128" s="2"/>
      <c r="E1128" s="2"/>
      <c r="F1128" s="2480">
        <v>0</v>
      </c>
      <c r="G1128" s="2480">
        <v>0</v>
      </c>
      <c r="H1128" s="2480">
        <v>0</v>
      </c>
      <c r="I1128" s="2480">
        <v>0</v>
      </c>
      <c r="J1128" s="2480">
        <v>0</v>
      </c>
      <c r="K1128" s="2480">
        <v>0</v>
      </c>
      <c r="L1128" s="2480">
        <v>0</v>
      </c>
      <c r="M1128" s="2480">
        <v>0</v>
      </c>
      <c r="N1128" s="2480">
        <v>0</v>
      </c>
      <c r="O1128" s="2"/>
      <c r="W1128" s="365"/>
      <c r="X1128" s="365"/>
      <c r="Y1128" s="365"/>
    </row>
    <row r="1129" spans="2:25" s="4" customFormat="1">
      <c r="B1129" s="358">
        <v>11</v>
      </c>
      <c r="C1129" s="2" t="s">
        <v>55</v>
      </c>
      <c r="D1129" s="2"/>
      <c r="E1129" s="2"/>
      <c r="F1129" s="2480">
        <v>0</v>
      </c>
      <c r="G1129" s="2480">
        <v>0</v>
      </c>
      <c r="H1129" s="2480">
        <v>0</v>
      </c>
      <c r="I1129" s="2480">
        <v>0</v>
      </c>
      <c r="J1129" s="2480">
        <v>0</v>
      </c>
      <c r="K1129" s="2480">
        <v>0</v>
      </c>
      <c r="L1129" s="2480">
        <v>0</v>
      </c>
      <c r="M1129" s="2480">
        <v>0</v>
      </c>
      <c r="N1129" s="2480">
        <v>0</v>
      </c>
      <c r="O1129" s="2"/>
      <c r="W1129" s="365"/>
      <c r="X1129" s="365"/>
      <c r="Y1129" s="365"/>
    </row>
    <row r="1130" spans="2:25" s="4" customFormat="1">
      <c r="B1130" s="358">
        <v>12</v>
      </c>
      <c r="C1130" s="2" t="s">
        <v>56</v>
      </c>
      <c r="D1130" s="2"/>
      <c r="E1130" s="2"/>
      <c r="F1130" s="2480">
        <v>0</v>
      </c>
      <c r="G1130" s="2480">
        <v>0</v>
      </c>
      <c r="H1130" s="2480">
        <v>0</v>
      </c>
      <c r="I1130" s="2480">
        <v>0</v>
      </c>
      <c r="J1130" s="2480">
        <v>0</v>
      </c>
      <c r="K1130" s="2480">
        <v>0</v>
      </c>
      <c r="L1130" s="2480">
        <v>0</v>
      </c>
      <c r="M1130" s="2480">
        <v>0</v>
      </c>
      <c r="N1130" s="2480">
        <v>0</v>
      </c>
      <c r="O1130" s="2"/>
      <c r="W1130" s="365"/>
      <c r="X1130" s="365"/>
      <c r="Y1130" s="365"/>
    </row>
    <row r="1131" spans="2:25" s="4" customFormat="1">
      <c r="B1131" s="358">
        <v>13</v>
      </c>
      <c r="C1131" s="2" t="s">
        <v>57</v>
      </c>
      <c r="D1131" s="2"/>
      <c r="E1131" s="2"/>
      <c r="F1131" s="2480">
        <v>0</v>
      </c>
      <c r="G1131" s="2480">
        <v>0</v>
      </c>
      <c r="H1131" s="2480">
        <v>0</v>
      </c>
      <c r="I1131" s="2480">
        <v>0</v>
      </c>
      <c r="J1131" s="2480">
        <v>0</v>
      </c>
      <c r="K1131" s="2480">
        <v>0</v>
      </c>
      <c r="L1131" s="2480">
        <v>0</v>
      </c>
      <c r="M1131" s="2480">
        <v>0</v>
      </c>
      <c r="N1131" s="2480">
        <v>0</v>
      </c>
      <c r="O1131" s="2"/>
      <c r="W1131" s="365"/>
      <c r="X1131" s="365"/>
      <c r="Y1131" s="365"/>
    </row>
    <row r="1132" spans="2:25" s="4" customFormat="1">
      <c r="B1132" s="358"/>
      <c r="C1132" s="2"/>
      <c r="D1132" s="2"/>
      <c r="E1132" s="2" t="str">
        <f>Preferences.PowerUnits&amp;"th/degree"</f>
        <v>GWth/degree</v>
      </c>
      <c r="F1132" s="412">
        <f>SUM(F1119:F1131)</f>
        <v>0.41239748831755285</v>
      </c>
      <c r="G1132" s="412">
        <f t="shared" ref="G1132:N1132" si="178">SUM(G1119:G1131)</f>
        <v>0.42524963838598229</v>
      </c>
      <c r="H1132" s="412">
        <f t="shared" si="178"/>
        <v>0.44846963184339245</v>
      </c>
      <c r="I1132" s="412">
        <f t="shared" si="178"/>
        <v>0.47156411281088562</v>
      </c>
      <c r="J1132" s="412">
        <f t="shared" si="178"/>
        <v>0.49334681950102244</v>
      </c>
      <c r="K1132" s="412">
        <f t="shared" si="178"/>
        <v>0.51636189434220192</v>
      </c>
      <c r="L1132" s="412">
        <f t="shared" si="178"/>
        <v>0.54057539657821063</v>
      </c>
      <c r="M1132" s="412">
        <f t="shared" si="178"/>
        <v>0.56464827893639924</v>
      </c>
      <c r="N1132" s="412">
        <f t="shared" si="178"/>
        <v>0.58997803564781981</v>
      </c>
      <c r="O1132" s="2"/>
      <c r="W1132" s="365"/>
      <c r="X1132" s="365"/>
      <c r="Y1132" s="365"/>
    </row>
    <row r="1133" spans="2:25" s="4" customFormat="1">
      <c r="B1133" s="2"/>
      <c r="C1133" s="2"/>
      <c r="D1133" s="2"/>
      <c r="E1133" s="2"/>
      <c r="F1133" s="2"/>
      <c r="G1133" s="2"/>
      <c r="H1133" s="2"/>
      <c r="I1133" s="2"/>
      <c r="J1133" s="2"/>
      <c r="K1133" s="2"/>
      <c r="L1133" s="2"/>
      <c r="M1133" s="2"/>
      <c r="N1133" s="2"/>
      <c r="O1133" s="3578" t="s">
        <v>5</v>
      </c>
      <c r="W1133" s="365"/>
      <c r="X1133" s="365"/>
      <c r="Y1133" s="365"/>
    </row>
    <row r="1134" spans="2:25" s="4" customFormat="1">
      <c r="B1134" s="354"/>
      <c r="C1134" s="354" t="s">
        <v>276</v>
      </c>
      <c r="D1134" s="2"/>
      <c r="E1134" s="355"/>
      <c r="F1134" s="355">
        <v>2013</v>
      </c>
      <c r="G1134" s="355">
        <v>2015</v>
      </c>
      <c r="H1134" s="355">
        <v>2020</v>
      </c>
      <c r="I1134" s="355">
        <v>2025</v>
      </c>
      <c r="J1134" s="355">
        <v>2030</v>
      </c>
      <c r="K1134" s="355">
        <v>2035</v>
      </c>
      <c r="L1134" s="355">
        <v>2040</v>
      </c>
      <c r="M1134" s="355">
        <v>2045</v>
      </c>
      <c r="N1134" s="355">
        <v>2050</v>
      </c>
      <c r="O1134" s="2"/>
      <c r="W1134" s="365"/>
      <c r="X1134" s="365"/>
      <c r="Y1134" s="365"/>
    </row>
    <row r="1135" spans="2:25" s="4" customFormat="1">
      <c r="B1135" s="358" t="s">
        <v>95</v>
      </c>
      <c r="C1135" s="4" t="s">
        <v>85</v>
      </c>
      <c r="D1135" s="2"/>
      <c r="E1135" s="2"/>
      <c r="F1135" s="2407">
        <f t="array" ref="F1135">SUM(F$1119:F$1131/$M$167:$M$179*($B1135=$F$166:$N$166)*($F$167:$N$179))</f>
        <v>-1.5222553503179402E-2</v>
      </c>
      <c r="G1135" s="2407">
        <f t="array" ref="G1135">SUM(G$1119:G$1131/$M$167:$M$179*($B1135=$F$166:$N$166)*($F$167:$N$179))</f>
        <v>-1.7148491990215703E-2</v>
      </c>
      <c r="H1135" s="2407">
        <f t="array" ref="H1135">SUM(H$1119:H$1131/$M$167:$M$179*($B1135=$F$166:$N$166)*($F$167:$N$179))</f>
        <v>-2.1911115364146038E-2</v>
      </c>
      <c r="I1135" s="2407">
        <f t="array" ref="I1135">SUM(I$1119:I$1131/$M$167:$M$179*($B1135=$F$166:$N$166)*($F$167:$N$179))</f>
        <v>-2.7061665006469483E-2</v>
      </c>
      <c r="J1135" s="2407">
        <f t="array" ref="J1135">SUM(J$1119:J$1131/$M$167:$M$179*($B1135=$F$166:$N$166)*($F$167:$N$179))</f>
        <v>-3.2518578293259812E-2</v>
      </c>
      <c r="K1135" s="2407">
        <f t="array" ref="K1135">SUM(K$1119:K$1131/$M$167:$M$179*($B1135=$F$166:$N$166)*($F$167:$N$179))</f>
        <v>-3.8437531437645486E-2</v>
      </c>
      <c r="L1135" s="2407">
        <f t="array" ref="L1135">SUM(L$1119:L$1131/$M$167:$M$179*($B1135=$F$166:$N$166)*($F$167:$N$179))</f>
        <v>-4.4847067407363057E-2</v>
      </c>
      <c r="M1135" s="2407">
        <f t="array" ref="M1135">SUM(M$1119:M$1131/$M$167:$M$179*($B1135=$F$166:$N$166)*($F$167:$N$179))</f>
        <v>-5.1655161704508346E-2</v>
      </c>
      <c r="N1135" s="2407">
        <f t="array" ref="N1135">SUM(N$1119:N$1131/$M$167:$M$179*($B1135=$F$166:$N$166)*($F$167:$N$179))</f>
        <v>-5.8997803564781973E-2</v>
      </c>
      <c r="O1135" s="2"/>
      <c r="P1135" s="2480">
        <f t="array" ref="P1135">SUM(P$1119:P$1131/$M$167:$M$179*($B1136=$F$166:$N$166)*($F$167:$N$179))</f>
        <v>0</v>
      </c>
      <c r="W1135" s="365"/>
      <c r="X1135" s="365"/>
      <c r="Y1135" s="365"/>
    </row>
    <row r="1136" spans="2:25" s="4" customFormat="1">
      <c r="B1136" s="358" t="s">
        <v>96</v>
      </c>
      <c r="C1136" s="4" t="s">
        <v>86</v>
      </c>
      <c r="D1136" s="2"/>
      <c r="E1136" s="2"/>
      <c r="F1136" s="2480">
        <f t="array" ref="F1136">SUM(F$1119:F$1131/$M$167:$M$179*($B1136=$F$166:$N$166)*($F$167:$N$179))</f>
        <v>0</v>
      </c>
      <c r="G1136" s="2480">
        <f t="array" ref="G1136">SUM(G$1119:G$1131/$M$167:$M$179*($B1136=$F$166:$N$166)*($F$167:$N$179))</f>
        <v>0</v>
      </c>
      <c r="H1136" s="2480">
        <f t="array" ref="H1136">SUM(H$1119:H$1131/$M$167:$M$179*($B1136=$F$166:$N$166)*($F$167:$N$179))</f>
        <v>0</v>
      </c>
      <c r="I1136" s="2480">
        <f t="array" ref="I1136">SUM(I$1119:I$1131/$M$167:$M$179*($B1136=$F$166:$N$166)*($F$167:$N$179))</f>
        <v>0</v>
      </c>
      <c r="J1136" s="2480">
        <f t="array" ref="J1136">SUM(J$1119:J$1131/$M$167:$M$179*($B1136=$F$166:$N$166)*($F$167:$N$179))</f>
        <v>0</v>
      </c>
      <c r="K1136" s="2480">
        <f t="array" ref="K1136">SUM(K$1119:K$1131/$M$167:$M$179*($B1136=$F$166:$N$166)*($F$167:$N$179))</f>
        <v>0</v>
      </c>
      <c r="L1136" s="2480">
        <f t="array" ref="L1136">SUM(L$1119:L$1131/$M$167:$M$179*($B1136=$F$166:$N$166)*($F$167:$N$179))</f>
        <v>0</v>
      </c>
      <c r="M1136" s="2480">
        <f t="array" ref="M1136">SUM(M$1119:M$1131/$M$167:$M$179*($B1136=$F$166:$N$166)*($F$167:$N$179))</f>
        <v>0</v>
      </c>
      <c r="N1136" s="2480">
        <f t="array" ref="N1136">SUM(N$1119:N$1131/$M$167:$M$179*($B1136=$F$166:$N$166)*($F$167:$N$179))</f>
        <v>0</v>
      </c>
      <c r="O1136" s="2"/>
      <c r="W1136" s="365"/>
      <c r="X1136" s="365"/>
      <c r="Y1136" s="365"/>
    </row>
    <row r="1137" spans="2:25" s="4" customFormat="1">
      <c r="B1137" s="358" t="s">
        <v>97</v>
      </c>
      <c r="C1137" s="4" t="s">
        <v>87</v>
      </c>
      <c r="D1137" s="2"/>
      <c r="E1137" s="2"/>
      <c r="F1137" s="2480">
        <f t="array" ref="F1137">SUM(F$1119:F$1131/$M$167:$M$179*($B1137=$F$166:$N$166)*($F$167:$N$179))</f>
        <v>-7.1174189416580869E-3</v>
      </c>
      <c r="G1137" s="2480">
        <f t="array" ref="G1137">SUM(G$1119:G$1131/$M$167:$M$179*($B1137=$F$166:$N$166)*($F$167:$N$179))</f>
        <v>-6.942138809549284E-3</v>
      </c>
      <c r="H1137" s="2480">
        <f t="array" ref="H1137">SUM(H$1119:H$1131/$M$167:$M$179*($B1137=$F$166:$N$166)*($F$167:$N$179))</f>
        <v>-6.2744671613058911E-3</v>
      </c>
      <c r="I1137" s="2480">
        <f t="array" ref="I1137">SUM(I$1119:I$1131/$M$167:$M$179*($B1137=$F$166:$N$166)*($F$167:$N$179))</f>
        <v>-5.4972384977138048E-3</v>
      </c>
      <c r="J1137" s="2480">
        <f t="array" ref="J1137">SUM(J$1119:J$1131/$M$167:$M$179*($B1137=$F$166:$N$166)*($F$167:$N$179))</f>
        <v>-4.6003134919250146E-3</v>
      </c>
      <c r="K1137" s="2480">
        <f t="array" ref="K1137">SUM(K$1119:K$1131/$M$167:$M$179*($B1137=$F$166:$N$166)*($F$167:$N$179))</f>
        <v>-3.6107035075417459E-3</v>
      </c>
      <c r="L1137" s="2480">
        <f t="array" ref="L1137">SUM(L$1119:L$1131/$M$167:$M$179*($B1137=$F$166:$N$166)*($F$167:$N$179))</f>
        <v>-2.5196716567301995E-3</v>
      </c>
      <c r="M1137" s="2480">
        <f t="array" ref="M1137">SUM(M$1119:M$1131/$M$167:$M$179*($B1137=$F$166:$N$166)*($F$167:$N$179))</f>
        <v>-1.315760934460852E-3</v>
      </c>
      <c r="N1137" s="2480">
        <f t="array" ref="N1137">SUM(N$1119:N$1131/$M$167:$M$179*($B1137=$F$166:$N$166)*($F$167:$N$179))</f>
        <v>0</v>
      </c>
      <c r="O1137" s="2"/>
      <c r="W1137" s="365"/>
      <c r="X1137" s="365"/>
      <c r="Y1137" s="365"/>
    </row>
    <row r="1138" spans="2:25" s="4" customFormat="1">
      <c r="B1138" s="358" t="s">
        <v>98</v>
      </c>
      <c r="C1138" s="4" t="s">
        <v>88</v>
      </c>
      <c r="D1138" s="2"/>
      <c r="E1138" s="2"/>
      <c r="F1138" s="2480">
        <f t="array" ref="F1138">SUM(F$1119:F$1131/$M$167:$M$179*($B1138=$F$166:$N$166)*($F$167:$N$179))</f>
        <v>-0.2634325513849573</v>
      </c>
      <c r="G1138" s="2480">
        <f t="array" ref="G1138">SUM(G$1119:G$1131/$M$167:$M$179*($B1138=$F$166:$N$166)*($F$167:$N$179))</f>
        <v>-0.25694501808292619</v>
      </c>
      <c r="H1138" s="2480">
        <f t="array" ref="H1138">SUM(H$1119:H$1131/$M$167:$M$179*($B1138=$F$166:$N$166)*($F$167:$N$179))</f>
        <v>-0.2322329072424785</v>
      </c>
      <c r="I1138" s="2480">
        <f t="array" ref="I1138">SUM(I$1119:I$1131/$M$167:$M$179*($B1138=$F$166:$N$166)*($F$167:$N$179))</f>
        <v>-0.20346583148960931</v>
      </c>
      <c r="J1138" s="2480">
        <f t="array" ref="J1138">SUM(J$1119:J$1131/$M$167:$M$179*($B1138=$F$166:$N$166)*($F$167:$N$179))</f>
        <v>-0.17026851029597104</v>
      </c>
      <c r="K1138" s="2480">
        <f t="array" ref="K1138">SUM(K$1119:K$1131/$M$167:$M$179*($B1138=$F$166:$N$166)*($F$167:$N$179))</f>
        <v>-0.13364069827604516</v>
      </c>
      <c r="L1138" s="2480">
        <f t="array" ref="L1138">SUM(L$1119:L$1131/$M$167:$M$179*($B1138=$F$166:$N$166)*($F$167:$N$179))</f>
        <v>-9.3259022494770819E-2</v>
      </c>
      <c r="M1138" s="2480">
        <f t="array" ref="M1138">SUM(M$1119:M$1131/$M$167:$M$179*($B1138=$F$166:$N$166)*($F$167:$N$179))</f>
        <v>-4.8699432029910887E-2</v>
      </c>
      <c r="N1138" s="2480">
        <f t="array" ref="N1138">SUM(N$1119:N$1131/$M$167:$M$179*($B1138=$F$166:$N$166)*($F$167:$N$179))</f>
        <v>0</v>
      </c>
      <c r="O1138" s="2"/>
      <c r="W1138" s="365"/>
      <c r="X1138" s="365"/>
      <c r="Y1138" s="365"/>
    </row>
    <row r="1139" spans="2:25" s="4" customFormat="1">
      <c r="B1139" s="358" t="s">
        <v>99</v>
      </c>
      <c r="C1139" s="4" t="s">
        <v>89</v>
      </c>
      <c r="D1139" s="2"/>
      <c r="E1139" s="2"/>
      <c r="F1139" s="2480">
        <f t="array" ref="F1139">SUM(F$1119:F$1131/$M$167:$M$179*($B1139=$F$166:$N$166)*($F$167:$N$179))</f>
        <v>-0.16310662550586225</v>
      </c>
      <c r="G1139" s="2480">
        <f t="array" ref="G1139">SUM(G$1119:G$1131/$M$167:$M$179*($B1139=$F$166:$N$166)*($F$167:$N$179))</f>
        <v>-0.18184520488443678</v>
      </c>
      <c r="H1139" s="2480">
        <f t="array" ref="H1139">SUM(H$1119:H$1131/$M$167:$M$179*($B1139=$F$166:$N$166)*($F$167:$N$179))</f>
        <v>-0.22777041586999186</v>
      </c>
      <c r="I1139" s="2480">
        <f t="array" ref="I1139">SUM(I$1119:I$1131/$M$167:$M$179*($B1139=$F$166:$N$166)*($F$167:$N$179))</f>
        <v>-0.27733902061360743</v>
      </c>
      <c r="J1139" s="2480">
        <f t="array" ref="J1139">SUM(J$1119:J$1131/$M$167:$M$179*($B1139=$F$166:$N$166)*($F$167:$N$179))</f>
        <v>-0.32972647177920866</v>
      </c>
      <c r="K1139" s="2480">
        <f t="array" ref="K1139">SUM(K$1119:K$1131/$M$167:$M$179*($B1139=$F$166:$N$166)*($F$167:$N$179))</f>
        <v>-0.38652006760516311</v>
      </c>
      <c r="L1139" s="2480">
        <f t="array" ref="L1139">SUM(L$1119:L$1131/$M$167:$M$179*($B1139=$F$166:$N$166)*($F$167:$N$179))</f>
        <v>-0.4479866908168173</v>
      </c>
      <c r="M1139" s="2480">
        <f t="array" ref="M1139">SUM(M$1119:M$1131/$M$167:$M$179*($B1139=$F$166:$N$166)*($F$167:$N$179))</f>
        <v>-0.51319600083791628</v>
      </c>
      <c r="N1139" s="2480">
        <f t="array" ref="N1139">SUM(N$1119:N$1131/$M$167:$M$179*($B1139=$F$166:$N$166)*($F$167:$N$179))</f>
        <v>-0.58349476053081073</v>
      </c>
      <c r="O1139" s="2"/>
      <c r="W1139" s="365"/>
      <c r="X1139" s="365"/>
      <c r="Y1139" s="365"/>
    </row>
    <row r="1140" spans="2:25" s="4" customFormat="1">
      <c r="B1140" s="358" t="s">
        <v>100</v>
      </c>
      <c r="C1140" s="4" t="s">
        <v>90</v>
      </c>
      <c r="D1140" s="2"/>
      <c r="E1140" s="2"/>
      <c r="F1140" s="2480">
        <f t="array" ref="F1140">SUM(F$1119:F$1131/$M$167:$M$179*($B1140=$F$166:$N$166)*($F$167:$N$179))</f>
        <v>0</v>
      </c>
      <c r="G1140" s="2480">
        <f t="array" ref="G1140">SUM(G$1119:G$1131/$M$167:$M$179*($B1140=$F$166:$N$166)*($F$167:$N$179))</f>
        <v>0</v>
      </c>
      <c r="H1140" s="2480">
        <f t="array" ref="H1140">SUM(H$1119:H$1131/$M$167:$M$179*($B1140=$F$166:$N$166)*($F$167:$N$179))</f>
        <v>0</v>
      </c>
      <c r="I1140" s="2480">
        <f t="array" ref="I1140">SUM(I$1119:I$1131/$M$167:$M$179*($B1140=$F$166:$N$166)*($F$167:$N$179))</f>
        <v>0</v>
      </c>
      <c r="J1140" s="2480">
        <f t="array" ref="J1140">SUM(J$1119:J$1131/$M$167:$M$179*($B1140=$F$166:$N$166)*($F$167:$N$179))</f>
        <v>0</v>
      </c>
      <c r="K1140" s="2480">
        <f t="array" ref="K1140">SUM(K$1119:K$1131/$M$167:$M$179*($B1140=$F$166:$N$166)*($F$167:$N$179))</f>
        <v>0</v>
      </c>
      <c r="L1140" s="2480">
        <f t="array" ref="L1140">SUM(L$1119:L$1131/$M$167:$M$179*($B1140=$F$166:$N$166)*($F$167:$N$179))</f>
        <v>0</v>
      </c>
      <c r="M1140" s="2480">
        <f t="array" ref="M1140">SUM(M$1119:M$1131/$M$167:$M$179*($B1140=$F$166:$N$166)*($F$167:$N$179))</f>
        <v>0</v>
      </c>
      <c r="N1140" s="2480">
        <f t="array" ref="N1140">SUM(N$1119:N$1131/$M$167:$M$179*($B1140=$F$166:$N$166)*($F$167:$N$179))</f>
        <v>0</v>
      </c>
      <c r="O1140" s="2"/>
      <c r="W1140" s="365"/>
      <c r="X1140" s="365"/>
      <c r="Y1140" s="365"/>
    </row>
    <row r="1141" spans="2:25" s="4" customFormat="1">
      <c r="B1141" s="358" t="s">
        <v>101</v>
      </c>
      <c r="C1141" s="4" t="s">
        <v>91</v>
      </c>
      <c r="D1141" s="2"/>
      <c r="E1141" s="2"/>
      <c r="F1141" s="2480">
        <f t="array" ref="F1141">SUM(F$1119:F$1131/$M$167:$M$179*($B1141=$F$166:$N$166)*($F$167:$N$179))</f>
        <v>-8.7704814285118732E-4</v>
      </c>
      <c r="G1141" s="2480">
        <f t="array" ref="G1141">SUM(G$1119:G$1131/$M$167:$M$179*($B1141=$F$166:$N$166)*($F$167:$N$179))</f>
        <v>-8.5544914529254112E-4</v>
      </c>
      <c r="H1141" s="2480">
        <f t="array" ref="H1141">SUM(H$1119:H$1131/$M$167:$M$179*($B1141=$F$166:$N$166)*($F$167:$N$179))</f>
        <v>-7.7317491302852871E-4</v>
      </c>
      <c r="I1141" s="2480">
        <f t="array" ref="I1141">SUM(I$1119:I$1131/$M$167:$M$179*($B1141=$F$166:$N$166)*($F$167:$N$179))</f>
        <v>-6.7740045299437648E-4</v>
      </c>
      <c r="J1141" s="2480">
        <f t="array" ref="J1141">SUM(J$1119:J$1131/$M$167:$M$179*($B1141=$F$166:$N$166)*($F$167:$N$179))</f>
        <v>-5.668763406648878E-4</v>
      </c>
      <c r="K1141" s="2480">
        <f t="array" ref="K1141">SUM(K$1119:K$1131/$M$167:$M$179*($B1141=$F$166:$N$166)*($F$167:$N$179))</f>
        <v>-4.4493106723573345E-4</v>
      </c>
      <c r="L1141" s="2480">
        <f t="array" ref="L1141">SUM(L$1119:L$1131/$M$167:$M$179*($B1141=$F$166:$N$166)*($F$167:$N$179))</f>
        <v>-3.1048802455559539E-4</v>
      </c>
      <c r="M1141" s="2480">
        <f t="array" ref="M1141">SUM(M$1119:M$1131/$M$167:$M$179*($B1141=$F$166:$N$166)*($F$167:$N$179))</f>
        <v>-1.6213541642895029E-4</v>
      </c>
      <c r="N1141" s="2480">
        <f t="array" ref="N1141">SUM(N$1119:N$1131/$M$167:$M$179*($B1141=$F$166:$N$166)*($F$167:$N$179))</f>
        <v>0</v>
      </c>
      <c r="O1141" s="2"/>
      <c r="W1141" s="365"/>
      <c r="X1141" s="365"/>
      <c r="Y1141" s="365"/>
    </row>
    <row r="1142" spans="2:25" s="4" customFormat="1">
      <c r="B1142" s="358" t="s">
        <v>102</v>
      </c>
      <c r="C1142" s="4" t="s">
        <v>92</v>
      </c>
      <c r="D1142" s="2"/>
      <c r="E1142" s="3801" t="s">
        <v>5</v>
      </c>
      <c r="F1142" s="2480">
        <f t="array" ref="F1142">SUM(F$1119:F$1131/$M$167:$M$179*($B1142=$F$166:$N$166)*($F$167:$N$179))</f>
        <v>0.41239748831755285</v>
      </c>
      <c r="G1142" s="2480">
        <f t="array" ref="G1142">SUM(G$1119:G$1131/$M$167:$M$179*($B1142=$F$166:$N$166)*($F$167:$N$179))</f>
        <v>0.42524963838598229</v>
      </c>
      <c r="H1142" s="2480">
        <f t="array" ref="H1142">SUM(H$1119:H$1131/$M$167:$M$179*($B1142=$F$166:$N$166)*($F$167:$N$179))</f>
        <v>0.44846963184339239</v>
      </c>
      <c r="I1142" s="2480">
        <f t="array" ref="I1142">SUM(I$1119:I$1131/$M$167:$M$179*($B1142=$F$166:$N$166)*($F$167:$N$179))</f>
        <v>0.47156411281088562</v>
      </c>
      <c r="J1142" s="2480">
        <f t="array" ref="J1142">SUM(J$1119:J$1131/$M$167:$M$179*($B1142=$F$166:$N$166)*($F$167:$N$179))</f>
        <v>0.49334681950102244</v>
      </c>
      <c r="K1142" s="2480">
        <f t="array" ref="K1142">SUM(K$1119:K$1131/$M$167:$M$179*($B1142=$F$166:$N$166)*($F$167:$N$179))</f>
        <v>0.51636189434220192</v>
      </c>
      <c r="L1142" s="2480">
        <f t="array" ref="L1142">SUM(L$1119:L$1131/$M$167:$M$179*($B1142=$F$166:$N$166)*($F$167:$N$179))</f>
        <v>0.54057539657821063</v>
      </c>
      <c r="M1142" s="2480">
        <f t="array" ref="M1142">SUM(M$1119:M$1131/$M$167:$M$179*($B1142=$F$166:$N$166)*($F$167:$N$179))</f>
        <v>0.56464827893639924</v>
      </c>
      <c r="N1142" s="2480">
        <f t="array" ref="N1142">SUM(N$1119:N$1131/$M$167:$M$179*($B1142=$F$166:$N$166)*($F$167:$N$179))</f>
        <v>0.58997803564781981</v>
      </c>
      <c r="O1142" s="2"/>
      <c r="W1142" s="365"/>
      <c r="X1142" s="365"/>
      <c r="Y1142" s="365"/>
    </row>
    <row r="1143" spans="2:25" s="4" customFormat="1">
      <c r="B1143" s="358" t="s">
        <v>103</v>
      </c>
      <c r="C1143" s="4" t="s">
        <v>93</v>
      </c>
      <c r="D1143" s="2"/>
      <c r="E1143" s="2"/>
      <c r="F1143" s="2480">
        <f t="array" ref="F1143">SUM(F$1119:F$1131/$M$167:$M$179*($B1143=$F$166:$N$166)*($F$167:$N$179))</f>
        <v>3.735870916095544E-2</v>
      </c>
      <c r="G1143" s="2480">
        <f t="array" ref="G1143">SUM(G$1119:G$1131/$M$167:$M$179*($B1143=$F$166:$N$166)*($F$167:$N$179))</f>
        <v>3.848666452643823E-2</v>
      </c>
      <c r="H1143" s="2480">
        <f t="array" ref="H1143">SUM(H$1119:H$1131/$M$167:$M$179*($B1143=$F$166:$N$166)*($F$167:$N$179))</f>
        <v>4.0492448707558401E-2</v>
      </c>
      <c r="I1143" s="2480">
        <f t="array" ref="I1143">SUM(I$1119:I$1131/$M$167:$M$179*($B1143=$F$166:$N$166)*($F$167:$N$179))</f>
        <v>4.2477043249508788E-2</v>
      </c>
      <c r="J1143" s="2480">
        <f t="array" ref="J1143">SUM(J$1119:J$1131/$M$167:$M$179*($B1143=$F$166:$N$166)*($F$167:$N$179))</f>
        <v>4.4333930700006977E-2</v>
      </c>
      <c r="K1143" s="2480">
        <f t="array" ref="K1143">SUM(K$1119:K$1131/$M$167:$M$179*($B1143=$F$166:$N$166)*($F$167:$N$179))</f>
        <v>4.6292037551429417E-2</v>
      </c>
      <c r="L1143" s="2480">
        <f t="array" ref="L1143">SUM(L$1119:L$1131/$M$167:$M$179*($B1143=$F$166:$N$166)*($F$167:$N$179))</f>
        <v>4.8347543822026301E-2</v>
      </c>
      <c r="M1143" s="2480">
        <f t="array" ref="M1143">SUM(M$1119:M$1131/$M$167:$M$179*($B1143=$F$166:$N$166)*($F$167:$N$179))</f>
        <v>5.0380211986826025E-2</v>
      </c>
      <c r="N1143" s="2480">
        <f t="array" ref="N1143">SUM(N$1119:N$1131/$M$167:$M$179*($B1143=$F$166:$N$166)*($F$167:$N$179))</f>
        <v>5.2514528447772962E-2</v>
      </c>
      <c r="O1143" s="2480"/>
      <c r="W1143" s="365"/>
      <c r="X1143" s="365"/>
      <c r="Y1143" s="365"/>
    </row>
    <row r="1144" spans="2:25" s="4" customFormat="1">
      <c r="B1144" s="358"/>
      <c r="D1144" s="2"/>
      <c r="E1144" s="2" t="str">
        <f>Preferences.PowerUnits&amp;"/degree"</f>
        <v>GW/degree</v>
      </c>
      <c r="F1144" s="4087">
        <f>SUM(F1135:F1143)</f>
        <v>9.0205620750793969E-17</v>
      </c>
      <c r="G1144" s="412">
        <f t="shared" ref="G1144:N1144" si="179">SUM(G1135:G1143)</f>
        <v>0</v>
      </c>
      <c r="H1144" s="412">
        <f t="shared" si="179"/>
        <v>0</v>
      </c>
      <c r="I1144" s="412">
        <f t="shared" si="179"/>
        <v>0</v>
      </c>
      <c r="J1144" s="412">
        <f t="shared" si="179"/>
        <v>6.9388939039072284E-17</v>
      </c>
      <c r="K1144" s="412">
        <f t="shared" si="179"/>
        <v>1.1796119636642288E-16</v>
      </c>
      <c r="L1144" s="412">
        <f t="shared" si="179"/>
        <v>0</v>
      </c>
      <c r="M1144" s="412">
        <f t="shared" si="179"/>
        <v>0</v>
      </c>
      <c r="N1144" s="412">
        <f t="shared" si="179"/>
        <v>0</v>
      </c>
      <c r="O1144" s="2"/>
      <c r="W1144" s="365"/>
      <c r="X1144" s="365"/>
      <c r="Y1144" s="365"/>
    </row>
    <row r="1145" spans="2:25" s="4" customFormat="1">
      <c r="B1145" s="2"/>
      <c r="C1145" s="2"/>
      <c r="D1145" s="2"/>
      <c r="E1145" s="2"/>
      <c r="F1145" s="365"/>
      <c r="G1145" s="2"/>
      <c r="H1145" s="2"/>
      <c r="I1145" s="2"/>
      <c r="J1145" s="2"/>
      <c r="K1145" s="2"/>
      <c r="L1145" s="2"/>
      <c r="M1145" s="2"/>
      <c r="N1145" s="2"/>
      <c r="O1145" s="2"/>
      <c r="W1145" s="365"/>
      <c r="X1145" s="365"/>
      <c r="Y1145" s="365"/>
    </row>
    <row r="1146" spans="2:25" s="4" customFormat="1">
      <c r="B1146" s="2"/>
      <c r="C1146" s="2" t="s">
        <v>284</v>
      </c>
      <c r="D1146" s="2"/>
      <c r="E1146" s="411" t="str">
        <f>Preferences.PowerUnits&amp;"e/degree"</f>
        <v>GWe/degree</v>
      </c>
      <c r="F1146" s="1179">
        <f>-SUM(F1135:F1136)</f>
        <v>1.5222553503179402E-2</v>
      </c>
      <c r="G1146" s="365">
        <f t="shared" ref="G1146:N1146" si="180">-SUM(G1135:G1136)</f>
        <v>1.7148491990215703E-2</v>
      </c>
      <c r="H1146" s="365">
        <f t="shared" si="180"/>
        <v>2.1911115364146038E-2</v>
      </c>
      <c r="I1146" s="365">
        <f t="shared" si="180"/>
        <v>2.7061665006469483E-2</v>
      </c>
      <c r="J1146" s="365">
        <f t="shared" si="180"/>
        <v>3.2518578293259812E-2</v>
      </c>
      <c r="K1146" s="365">
        <f t="shared" si="180"/>
        <v>3.8437531437645486E-2</v>
      </c>
      <c r="L1146" s="365">
        <f t="shared" si="180"/>
        <v>4.4847067407363057E-2</v>
      </c>
      <c r="M1146" s="365">
        <f t="shared" si="180"/>
        <v>5.1655161704508346E-2</v>
      </c>
      <c r="N1146" s="365">
        <f t="shared" si="180"/>
        <v>5.8997803564781973E-2</v>
      </c>
      <c r="O1146" s="2"/>
      <c r="W1146" s="365"/>
      <c r="X1146" s="365"/>
      <c r="Y1146" s="365"/>
    </row>
    <row r="1147" spans="2:25" s="4" customFormat="1">
      <c r="B1147" s="2"/>
      <c r="C1147" s="2"/>
      <c r="D1147" s="2"/>
      <c r="E1147" s="2"/>
      <c r="F1147" s="365"/>
      <c r="G1147" s="2"/>
      <c r="H1147" s="2"/>
      <c r="I1147" s="2"/>
      <c r="J1147" s="2"/>
      <c r="K1147" s="2"/>
      <c r="L1147" s="2"/>
      <c r="M1147" s="2"/>
      <c r="N1147" s="2"/>
      <c r="O1147" s="2"/>
      <c r="W1147" s="365"/>
      <c r="X1147" s="365"/>
      <c r="Y1147" s="365"/>
    </row>
    <row r="1148" spans="2:25" s="4" customFormat="1">
      <c r="B1148" s="354">
        <v>9</v>
      </c>
      <c r="C1148" s="354" t="s">
        <v>2718</v>
      </c>
      <c r="D1148" s="2"/>
      <c r="E1148" s="2"/>
      <c r="F1148" s="404"/>
      <c r="G1148" s="404"/>
      <c r="H1148" s="404"/>
      <c r="I1148" s="404"/>
      <c r="J1148" s="404"/>
      <c r="K1148" s="404"/>
      <c r="L1148" s="404"/>
      <c r="M1148" s="404"/>
      <c r="N1148" s="414"/>
      <c r="O1148" s="2"/>
      <c r="W1148" s="365"/>
      <c r="X1148" s="365"/>
      <c r="Y1148" s="365"/>
    </row>
    <row r="1149" spans="2:25" s="4" customFormat="1" hidden="1">
      <c r="B1149" s="354"/>
      <c r="D1149" s="2"/>
      <c r="E1149" s="2"/>
      <c r="F1149" s="404"/>
      <c r="G1149" s="404"/>
      <c r="H1149" s="404"/>
      <c r="I1149" s="404"/>
      <c r="J1149" s="404"/>
      <c r="K1149" s="404"/>
      <c r="L1149" s="404"/>
      <c r="M1149" s="404"/>
      <c r="O1149" s="2"/>
      <c r="W1149" s="365"/>
      <c r="X1149" s="365"/>
      <c r="Y1149" s="365"/>
    </row>
    <row r="1150" spans="2:25" s="4" customFormat="1" hidden="1">
      <c r="B1150" s="354"/>
      <c r="C1150" s="354" t="s">
        <v>285</v>
      </c>
      <c r="D1150" s="2"/>
      <c r="E1150" s="2"/>
      <c r="F1150" s="355"/>
      <c r="G1150" s="355">
        <v>2015</v>
      </c>
      <c r="H1150" s="355">
        <v>2020</v>
      </c>
      <c r="I1150" s="355">
        <v>2025</v>
      </c>
      <c r="J1150" s="355">
        <v>2030</v>
      </c>
      <c r="K1150" s="355">
        <v>2035</v>
      </c>
      <c r="L1150" s="355">
        <v>2040</v>
      </c>
      <c r="M1150" s="355">
        <v>2045</v>
      </c>
      <c r="N1150" s="355">
        <v>2050</v>
      </c>
      <c r="O1150" s="2"/>
    </row>
    <row r="1151" spans="2:25" s="4" customFormat="1" hidden="1">
      <c r="B1151" s="354"/>
      <c r="C1151" s="201" t="s">
        <v>121</v>
      </c>
      <c r="D1151" s="2"/>
      <c r="E1151" s="2" t="s">
        <v>2736</v>
      </c>
      <c r="F1151" s="404"/>
      <c r="G1151" s="415">
        <v>192.44233600000007</v>
      </c>
      <c r="H1151" s="415">
        <v>148.20000000000005</v>
      </c>
      <c r="I1151" s="415">
        <v>148.20000000000007</v>
      </c>
      <c r="J1151" s="415">
        <v>148.19999999999999</v>
      </c>
      <c r="K1151" s="415">
        <v>148.19999999999999</v>
      </c>
      <c r="L1151" s="415">
        <v>148.20000000000016</v>
      </c>
      <c r="M1151" s="415">
        <v>148.19999999999999</v>
      </c>
      <c r="N1151" s="415">
        <v>148.19999999999999</v>
      </c>
      <c r="O1151" s="2"/>
    </row>
    <row r="1152" spans="2:25" s="4" customFormat="1" hidden="1">
      <c r="B1152" s="354"/>
      <c r="C1152" s="416" t="s">
        <v>122</v>
      </c>
      <c r="D1152" s="2"/>
      <c r="E1152" s="2" t="s">
        <v>2736</v>
      </c>
      <c r="F1152" s="404"/>
      <c r="G1152" s="415">
        <v>425.69387999999998</v>
      </c>
      <c r="H1152" s="415">
        <v>0</v>
      </c>
      <c r="I1152" s="415">
        <v>0</v>
      </c>
      <c r="J1152" s="415">
        <v>0</v>
      </c>
      <c r="K1152" s="415">
        <v>0</v>
      </c>
      <c r="L1152" s="415">
        <v>0</v>
      </c>
      <c r="M1152" s="415">
        <v>0</v>
      </c>
      <c r="N1152" s="415">
        <v>0</v>
      </c>
      <c r="O1152" s="2"/>
    </row>
    <row r="1153" spans="2:25" s="4" customFormat="1" hidden="1">
      <c r="B1153" s="354"/>
      <c r="C1153" s="416" t="s">
        <v>123</v>
      </c>
      <c r="D1153" s="2"/>
      <c r="E1153" s="2" t="s">
        <v>2736</v>
      </c>
      <c r="F1153" s="404"/>
      <c r="G1153" s="415">
        <v>107.51511627906976</v>
      </c>
      <c r="H1153" s="415">
        <v>107.51511627906977</v>
      </c>
      <c r="I1153" s="415">
        <v>107.51511627906979</v>
      </c>
      <c r="J1153" s="415">
        <v>107.51511627906973</v>
      </c>
      <c r="K1153" s="415">
        <v>107.51511627906973</v>
      </c>
      <c r="L1153" s="415">
        <v>107.51511627906984</v>
      </c>
      <c r="M1153" s="415">
        <v>107.51511627906973</v>
      </c>
      <c r="N1153" s="415">
        <v>107.51511627906973</v>
      </c>
      <c r="O1153" s="2"/>
    </row>
    <row r="1154" spans="2:25" s="4" customFormat="1" hidden="1">
      <c r="B1154" s="354"/>
      <c r="C1154" s="416" t="s">
        <v>124</v>
      </c>
      <c r="D1154" s="2"/>
      <c r="E1154" s="2" t="s">
        <v>2736</v>
      </c>
      <c r="F1154" s="404"/>
      <c r="G1154" s="415">
        <v>285.02046511627907</v>
      </c>
      <c r="H1154" s="415">
        <v>285.02046511627901</v>
      </c>
      <c r="I1154" s="415">
        <v>285.02046511627907</v>
      </c>
      <c r="J1154" s="415">
        <v>285.02046511627907</v>
      </c>
      <c r="K1154" s="415">
        <v>285.02046511627918</v>
      </c>
      <c r="L1154" s="415">
        <v>285.02046511627896</v>
      </c>
      <c r="M1154" s="415">
        <v>285.02046511627918</v>
      </c>
      <c r="N1154" s="415">
        <v>285.02046511627896</v>
      </c>
      <c r="O1154" s="2"/>
    </row>
    <row r="1155" spans="2:25" s="4" customFormat="1" hidden="1">
      <c r="B1155" s="354"/>
      <c r="C1155" s="416" t="s">
        <v>125</v>
      </c>
      <c r="D1155" s="2"/>
      <c r="E1155" s="2" t="s">
        <v>2736</v>
      </c>
      <c r="F1155" s="404"/>
      <c r="G1155" s="415">
        <v>158.36770559999999</v>
      </c>
      <c r="H1155" s="415">
        <v>12.389999999999999</v>
      </c>
      <c r="I1155" s="415">
        <v>12.389999999999999</v>
      </c>
      <c r="J1155" s="415">
        <v>12.389999999999999</v>
      </c>
      <c r="K1155" s="415">
        <v>12.389999999999999</v>
      </c>
      <c r="L1155" s="415">
        <v>12.389999999999999</v>
      </c>
      <c r="M1155" s="415">
        <v>12.389999999999999</v>
      </c>
      <c r="N1155" s="415">
        <v>12.389999999999999</v>
      </c>
      <c r="O1155" s="2"/>
    </row>
    <row r="1156" spans="2:25" s="4" customFormat="1" hidden="1">
      <c r="B1156" s="354"/>
      <c r="C1156" s="416" t="s">
        <v>126</v>
      </c>
      <c r="D1156" s="297"/>
      <c r="E1156" s="2" t="s">
        <v>2736</v>
      </c>
      <c r="F1156" s="417"/>
      <c r="G1156" s="415">
        <v>116.89663864791514</v>
      </c>
      <c r="H1156" s="415">
        <v>116.89663864791517</v>
      </c>
      <c r="I1156" s="415">
        <v>116.89663864791514</v>
      </c>
      <c r="J1156" s="415">
        <v>116.89663864791514</v>
      </c>
      <c r="K1156" s="415">
        <v>116.89663864791514</v>
      </c>
      <c r="L1156" s="415">
        <v>116.89663864791514</v>
      </c>
      <c r="M1156" s="415">
        <v>116.89663864791505</v>
      </c>
      <c r="N1156" s="415">
        <v>116.89663864791524</v>
      </c>
      <c r="O1156" s="2"/>
    </row>
    <row r="1157" spans="2:25" s="4" customFormat="1" hidden="1">
      <c r="B1157" s="354"/>
      <c r="C1157" s="418" t="s">
        <v>58</v>
      </c>
      <c r="D1157" s="419"/>
      <c r="E1157" s="419" t="s">
        <v>2736</v>
      </c>
      <c r="F1157" s="420"/>
      <c r="G1157" s="421">
        <v>1285.9361416432639</v>
      </c>
      <c r="H1157" s="421">
        <v>670.02222004326404</v>
      </c>
      <c r="I1157" s="421">
        <v>670.02222004326404</v>
      </c>
      <c r="J1157" s="421">
        <v>670.02222004326393</v>
      </c>
      <c r="K1157" s="421">
        <v>670.02222004326393</v>
      </c>
      <c r="L1157" s="421">
        <v>670.02222004326404</v>
      </c>
      <c r="M1157" s="421">
        <v>670.02222004326393</v>
      </c>
      <c r="N1157" s="421">
        <v>670.02222004326381</v>
      </c>
      <c r="O1157" s="2"/>
    </row>
    <row r="1158" spans="2:25" s="4" customFormat="1" hidden="1">
      <c r="B1158" s="354"/>
      <c r="C1158" s="416"/>
      <c r="D1158" s="297"/>
      <c r="E1158" s="297"/>
      <c r="F1158" s="417"/>
      <c r="G1158" s="422"/>
      <c r="H1158" s="422"/>
      <c r="I1158" s="422"/>
      <c r="J1158" s="422"/>
      <c r="K1158" s="422"/>
      <c r="L1158" s="422"/>
      <c r="M1158" s="422"/>
      <c r="N1158" s="422"/>
      <c r="O1158" s="2"/>
    </row>
    <row r="1159" spans="2:25" s="4" customFormat="1" hidden="1">
      <c r="B1159" s="354"/>
      <c r="C1159" s="423" t="s">
        <v>286</v>
      </c>
      <c r="D1159" s="297"/>
      <c r="E1159" s="297"/>
      <c r="F1159" s="424">
        <v>2013</v>
      </c>
      <c r="G1159" s="424">
        <v>2015</v>
      </c>
      <c r="H1159" s="424">
        <v>2020</v>
      </c>
      <c r="I1159" s="424">
        <v>2025</v>
      </c>
      <c r="J1159" s="424">
        <v>2030</v>
      </c>
      <c r="K1159" s="424">
        <v>2035</v>
      </c>
      <c r="L1159" s="424">
        <v>2040</v>
      </c>
      <c r="M1159" s="424">
        <v>2045</v>
      </c>
      <c r="N1159" s="424">
        <v>2050</v>
      </c>
      <c r="O1159" s="2"/>
    </row>
    <row r="1160" spans="2:25" s="4" customFormat="1" hidden="1">
      <c r="B1160" s="354"/>
      <c r="C1160" s="201" t="s">
        <v>121</v>
      </c>
      <c r="D1160" s="297"/>
      <c r="E1160" s="297" t="s">
        <v>2736</v>
      </c>
      <c r="F1160" s="417"/>
      <c r="G1160" s="422">
        <v>75.136301626774454</v>
      </c>
      <c r="H1160" s="422">
        <v>57.862527199253989</v>
      </c>
      <c r="I1160" s="422">
        <v>57.862527199254004</v>
      </c>
      <c r="J1160" s="422">
        <v>57.862527199253968</v>
      </c>
      <c r="K1160" s="422">
        <v>57.862527199253968</v>
      </c>
      <c r="L1160" s="422">
        <v>57.862527199254032</v>
      </c>
      <c r="M1160" s="422">
        <v>57.862527199253968</v>
      </c>
      <c r="N1160" s="422">
        <v>57.862527199253968</v>
      </c>
      <c r="O1160" s="2"/>
    </row>
    <row r="1161" spans="2:25" s="4" customFormat="1" hidden="1">
      <c r="B1161" s="354"/>
      <c r="C1161" s="416" t="s">
        <v>122</v>
      </c>
      <c r="D1161" s="297"/>
      <c r="E1161" s="297" t="s">
        <v>2736</v>
      </c>
      <c r="F1161" s="417"/>
      <c r="G1161" s="422">
        <v>106.52816029427001</v>
      </c>
      <c r="H1161" s="422">
        <v>0</v>
      </c>
      <c r="I1161" s="422">
        <v>0</v>
      </c>
      <c r="J1161" s="422">
        <v>0</v>
      </c>
      <c r="K1161" s="422">
        <v>0</v>
      </c>
      <c r="L1161" s="422">
        <v>0</v>
      </c>
      <c r="M1161" s="422">
        <v>0</v>
      </c>
      <c r="N1161" s="422">
        <v>0</v>
      </c>
      <c r="O1161" s="2"/>
    </row>
    <row r="1162" spans="2:25" s="4" customFormat="1" hidden="1">
      <c r="B1162" s="354"/>
      <c r="C1162" s="416" t="s">
        <v>123</v>
      </c>
      <c r="D1162" s="297"/>
      <c r="E1162" s="297" t="s">
        <v>2736</v>
      </c>
      <c r="F1162" s="417"/>
      <c r="G1162" s="422">
        <v>56.454265493634821</v>
      </c>
      <c r="H1162" s="422">
        <v>56.454265493634836</v>
      </c>
      <c r="I1162" s="422">
        <v>56.454265493634843</v>
      </c>
      <c r="J1162" s="422">
        <v>56.454265493634814</v>
      </c>
      <c r="K1162" s="422">
        <v>56.454265493634814</v>
      </c>
      <c r="L1162" s="422">
        <v>56.454265493634871</v>
      </c>
      <c r="M1162" s="422">
        <v>56.454265493634814</v>
      </c>
      <c r="N1162" s="422">
        <v>56.454265493634814</v>
      </c>
      <c r="O1162" s="2"/>
    </row>
    <row r="1163" spans="2:25" s="4" customFormat="1" hidden="1">
      <c r="B1163" s="354"/>
      <c r="C1163" s="416" t="s">
        <v>124</v>
      </c>
      <c r="D1163" s="297"/>
      <c r="E1163" s="297" t="s">
        <v>2736</v>
      </c>
      <c r="F1163" s="417"/>
      <c r="G1163" s="422">
        <v>142.53252464499403</v>
      </c>
      <c r="H1163" s="422">
        <v>142.532524644994</v>
      </c>
      <c r="I1163" s="422">
        <v>142.53252464499403</v>
      </c>
      <c r="J1163" s="422">
        <v>142.53252464499403</v>
      </c>
      <c r="K1163" s="422">
        <v>142.53252464499408</v>
      </c>
      <c r="L1163" s="422">
        <v>142.53252464499397</v>
      </c>
      <c r="M1163" s="422">
        <v>142.53252464499408</v>
      </c>
      <c r="N1163" s="422">
        <v>142.53252464499397</v>
      </c>
      <c r="O1163" s="2"/>
    </row>
    <row r="1164" spans="2:25" s="4" customFormat="1" hidden="1">
      <c r="B1164" s="354"/>
      <c r="C1164" s="416" t="s">
        <v>125</v>
      </c>
      <c r="D1164" s="297"/>
      <c r="E1164" s="297" t="s">
        <v>2736</v>
      </c>
      <c r="F1164" s="417"/>
      <c r="G1164" s="422">
        <v>158.36770559999999</v>
      </c>
      <c r="H1164" s="422">
        <v>12.389999999999999</v>
      </c>
      <c r="I1164" s="422">
        <v>12.389999999999999</v>
      </c>
      <c r="J1164" s="422">
        <v>12.389999999999999</v>
      </c>
      <c r="K1164" s="422">
        <v>12.389999999999999</v>
      </c>
      <c r="L1164" s="422">
        <v>12.389999999999999</v>
      </c>
      <c r="M1164" s="422">
        <v>12.389999999999999</v>
      </c>
      <c r="N1164" s="422">
        <v>12.389999999999999</v>
      </c>
      <c r="O1164" s="2"/>
    </row>
    <row r="1165" spans="2:25" s="4" customFormat="1" hidden="1">
      <c r="B1165" s="354"/>
      <c r="C1165" s="425" t="s">
        <v>126</v>
      </c>
      <c r="D1165" s="426"/>
      <c r="E1165" s="426" t="s">
        <v>2736</v>
      </c>
      <c r="F1165" s="427"/>
      <c r="G1165" s="428">
        <v>42.433479829193196</v>
      </c>
      <c r="H1165" s="428">
        <v>42.433479829193203</v>
      </c>
      <c r="I1165" s="428">
        <v>42.433479829193196</v>
      </c>
      <c r="J1165" s="428">
        <v>42.433479829193196</v>
      </c>
      <c r="K1165" s="428">
        <v>42.433479829193196</v>
      </c>
      <c r="L1165" s="428">
        <v>42.433479829193196</v>
      </c>
      <c r="M1165" s="428">
        <v>42.433479829193161</v>
      </c>
      <c r="N1165" s="428">
        <v>42.433479829193232</v>
      </c>
      <c r="O1165" s="2"/>
    </row>
    <row r="1166" spans="2:25" s="4" customFormat="1" hidden="1">
      <c r="B1166" s="354"/>
      <c r="C1166" s="418" t="s">
        <v>58</v>
      </c>
      <c r="D1166" s="419"/>
      <c r="E1166" s="419" t="s">
        <v>2736</v>
      </c>
      <c r="F1166" s="420"/>
      <c r="G1166" s="421">
        <v>581.45243748886651</v>
      </c>
      <c r="H1166" s="421">
        <v>311.67279716707606</v>
      </c>
      <c r="I1166" s="421">
        <v>311.67279716707606</v>
      </c>
      <c r="J1166" s="421">
        <v>311.67279716707594</v>
      </c>
      <c r="K1166" s="421">
        <v>311.67279716707606</v>
      </c>
      <c r="L1166" s="421">
        <v>311.67279716707606</v>
      </c>
      <c r="M1166" s="421">
        <v>311.67279716707606</v>
      </c>
      <c r="N1166" s="421">
        <v>311.672797167076</v>
      </c>
      <c r="O1166" s="2"/>
      <c r="W1166" s="365"/>
      <c r="X1166" s="365"/>
      <c r="Y1166" s="365"/>
    </row>
    <row r="1167" spans="2:25" s="4" customFormat="1" hidden="1">
      <c r="B1167" s="354"/>
      <c r="C1167" s="416"/>
      <c r="D1167" s="297"/>
      <c r="E1167" s="297"/>
      <c r="F1167" s="417"/>
      <c r="G1167" s="422"/>
      <c r="H1167" s="422"/>
      <c r="I1167" s="422"/>
      <c r="J1167" s="422"/>
      <c r="K1167" s="422"/>
      <c r="L1167" s="422"/>
      <c r="M1167" s="422"/>
      <c r="N1167" s="422"/>
      <c r="O1167" s="2"/>
      <c r="W1167" s="365"/>
      <c r="X1167" s="365"/>
      <c r="Y1167" s="365"/>
    </row>
    <row r="1168" spans="2:25" s="4" customFormat="1" hidden="1">
      <c r="B1168" s="354"/>
      <c r="C1168" s="423" t="s">
        <v>287</v>
      </c>
      <c r="D1168" s="297"/>
      <c r="E1168" s="297"/>
      <c r="F1168" s="424">
        <v>2013</v>
      </c>
      <c r="G1168" s="424">
        <v>2015</v>
      </c>
      <c r="H1168" s="424">
        <v>2020</v>
      </c>
      <c r="I1168" s="424">
        <v>2025</v>
      </c>
      <c r="J1168" s="424">
        <v>2030</v>
      </c>
      <c r="K1168" s="424">
        <v>2035</v>
      </c>
      <c r="L1168" s="424">
        <v>2040</v>
      </c>
      <c r="M1168" s="424">
        <v>2045</v>
      </c>
      <c r="N1168" s="424">
        <v>2050</v>
      </c>
      <c r="O1168" s="2"/>
      <c r="W1168" s="365"/>
      <c r="X1168" s="365"/>
      <c r="Y1168" s="365"/>
    </row>
    <row r="1169" spans="2:19" s="4" customFormat="1" hidden="1">
      <c r="B1169" s="354"/>
      <c r="C1169" s="201" t="s">
        <v>121</v>
      </c>
      <c r="D1169" s="297"/>
      <c r="E1169" s="297" t="s">
        <v>2736</v>
      </c>
      <c r="F1169" s="417"/>
      <c r="G1169" s="422">
        <v>42.930344316651016</v>
      </c>
      <c r="H1169" s="422">
        <v>33.060693192415215</v>
      </c>
      <c r="I1169" s="422">
        <v>33.060693192415215</v>
      </c>
      <c r="J1169" s="422">
        <v>33.060693192415201</v>
      </c>
      <c r="K1169" s="422">
        <v>33.060693192415201</v>
      </c>
      <c r="L1169" s="422">
        <v>33.060693192415236</v>
      </c>
      <c r="M1169" s="422">
        <v>33.060693192415201</v>
      </c>
      <c r="N1169" s="422">
        <v>33.060693192415201</v>
      </c>
      <c r="O1169" s="2"/>
    </row>
    <row r="1170" spans="2:19" s="4" customFormat="1" hidden="1">
      <c r="B1170" s="354"/>
      <c r="C1170" s="416" t="s">
        <v>122</v>
      </c>
      <c r="D1170" s="297"/>
      <c r="E1170" s="297" t="s">
        <v>2736</v>
      </c>
      <c r="F1170" s="417"/>
      <c r="G1170" s="422">
        <v>93.637872562499993</v>
      </c>
      <c r="H1170" s="422">
        <v>0</v>
      </c>
      <c r="I1170" s="422">
        <v>0</v>
      </c>
      <c r="J1170" s="422">
        <v>0</v>
      </c>
      <c r="K1170" s="422">
        <v>0</v>
      </c>
      <c r="L1170" s="422">
        <v>0</v>
      </c>
      <c r="M1170" s="422">
        <v>0</v>
      </c>
      <c r="N1170" s="422">
        <v>0</v>
      </c>
      <c r="O1170" s="2"/>
    </row>
    <row r="1171" spans="2:19" s="4" customFormat="1" hidden="1">
      <c r="B1171" s="354"/>
      <c r="C1171" s="416" t="s">
        <v>123</v>
      </c>
      <c r="D1171" s="297"/>
      <c r="E1171" s="297" t="s">
        <v>2736</v>
      </c>
      <c r="F1171" s="417"/>
      <c r="G1171" s="422">
        <v>5.3765967136795068</v>
      </c>
      <c r="H1171" s="422">
        <v>5.3765967136795076</v>
      </c>
      <c r="I1171" s="422">
        <v>5.3765967136795085</v>
      </c>
      <c r="J1171" s="422">
        <v>5.3765967136795059</v>
      </c>
      <c r="K1171" s="422">
        <v>5.3765967136795059</v>
      </c>
      <c r="L1171" s="422">
        <v>5.3765967136795112</v>
      </c>
      <c r="M1171" s="422">
        <v>5.3765967136795059</v>
      </c>
      <c r="N1171" s="422">
        <v>5.3765967136795059</v>
      </c>
      <c r="O1171" s="2"/>
    </row>
    <row r="1172" spans="2:19" s="4" customFormat="1" hidden="1">
      <c r="B1172" s="354"/>
      <c r="C1172" s="416" t="s">
        <v>124</v>
      </c>
      <c r="D1172" s="297"/>
      <c r="E1172" s="297" t="s">
        <v>2736</v>
      </c>
      <c r="F1172" s="417"/>
      <c r="G1172" s="422">
        <v>0</v>
      </c>
      <c r="H1172" s="422">
        <v>0</v>
      </c>
      <c r="I1172" s="422">
        <v>0</v>
      </c>
      <c r="J1172" s="422">
        <v>0</v>
      </c>
      <c r="K1172" s="422">
        <v>0</v>
      </c>
      <c r="L1172" s="422">
        <v>0</v>
      </c>
      <c r="M1172" s="422">
        <v>0</v>
      </c>
      <c r="N1172" s="422">
        <v>0</v>
      </c>
      <c r="O1172" s="2"/>
    </row>
    <row r="1173" spans="2:19" s="4" customFormat="1" hidden="1">
      <c r="B1173" s="354"/>
      <c r="C1173" s="416" t="s">
        <v>125</v>
      </c>
      <c r="D1173" s="297"/>
      <c r="E1173" s="297" t="s">
        <v>2736</v>
      </c>
      <c r="F1173" s="417"/>
      <c r="G1173" s="422">
        <v>57.2628992</v>
      </c>
      <c r="H1173" s="422">
        <v>4.4799999999999995</v>
      </c>
      <c r="I1173" s="422">
        <v>4.4799999999999995</v>
      </c>
      <c r="J1173" s="422">
        <v>4.4799999999999995</v>
      </c>
      <c r="K1173" s="422">
        <v>4.4799999999999995</v>
      </c>
      <c r="L1173" s="422">
        <v>4.4799999999999995</v>
      </c>
      <c r="M1173" s="422">
        <v>4.4799999999999995</v>
      </c>
      <c r="N1173" s="422">
        <v>4.4799999999999995</v>
      </c>
      <c r="O1173" s="2"/>
    </row>
    <row r="1174" spans="2:19" s="4" customFormat="1" hidden="1">
      <c r="B1174" s="354"/>
      <c r="C1174" s="425" t="s">
        <v>126</v>
      </c>
      <c r="D1174" s="426"/>
      <c r="E1174" s="426" t="s">
        <v>2736</v>
      </c>
      <c r="F1174" s="427"/>
      <c r="G1174" s="428">
        <v>2.3379327729583026</v>
      </c>
      <c r="H1174" s="428">
        <v>2.337932772958303</v>
      </c>
      <c r="I1174" s="428">
        <v>2.3379327729583026</v>
      </c>
      <c r="J1174" s="428">
        <v>2.3379327729583026</v>
      </c>
      <c r="K1174" s="428">
        <v>2.3379327729583026</v>
      </c>
      <c r="L1174" s="428">
        <v>2.3379327729583026</v>
      </c>
      <c r="M1174" s="428">
        <v>2.3379327729583008</v>
      </c>
      <c r="N1174" s="428">
        <v>2.3379327729583048</v>
      </c>
      <c r="O1174" s="2"/>
    </row>
    <row r="1175" spans="2:19" hidden="1">
      <c r="B1175" s="354"/>
      <c r="C1175" s="416" t="s">
        <v>58</v>
      </c>
      <c r="E1175" s="2" t="s">
        <v>2736</v>
      </c>
      <c r="F1175" s="404"/>
      <c r="G1175" s="415">
        <v>201.54564556578882</v>
      </c>
      <c r="H1175" s="415">
        <v>45.25522267905302</v>
      </c>
      <c r="I1175" s="415">
        <v>45.255222679053027</v>
      </c>
      <c r="J1175" s="415">
        <v>45.255222679053006</v>
      </c>
      <c r="K1175" s="415">
        <v>45.255222679053006</v>
      </c>
      <c r="L1175" s="415">
        <v>45.255222679053048</v>
      </c>
      <c r="M1175" s="415">
        <v>45.255222679053006</v>
      </c>
      <c r="N1175" s="415">
        <v>45.255222679053006</v>
      </c>
    </row>
    <row r="1176" spans="2:19" hidden="1">
      <c r="B1176" s="354"/>
      <c r="C1176" s="416"/>
      <c r="F1176" s="404"/>
      <c r="G1176" s="415"/>
      <c r="H1176" s="415"/>
      <c r="I1176" s="415"/>
      <c r="J1176" s="415"/>
      <c r="K1176" s="415"/>
      <c r="L1176" s="415"/>
      <c r="M1176" s="415"/>
      <c r="N1176" s="415"/>
    </row>
    <row r="1177" spans="2:19" hidden="1">
      <c r="B1177" s="354"/>
      <c r="C1177" s="429" t="s">
        <v>288</v>
      </c>
      <c r="F1177" s="404"/>
      <c r="G1177" s="415"/>
      <c r="H1177" s="415"/>
      <c r="I1177" s="415"/>
      <c r="J1177" s="415"/>
      <c r="K1177" s="415"/>
      <c r="L1177" s="415"/>
      <c r="M1177" s="415"/>
      <c r="N1177" s="415"/>
      <c r="Q1177" s="430"/>
    </row>
    <row r="1178" spans="2:19" hidden="1">
      <c r="B1178" s="354"/>
      <c r="C1178" s="416" t="s">
        <v>22</v>
      </c>
      <c r="E1178" s="2" t="s">
        <v>2736</v>
      </c>
      <c r="F1178" s="415">
        <v>0</v>
      </c>
      <c r="G1178" s="415">
        <v>0</v>
      </c>
      <c r="H1178" s="415">
        <v>0</v>
      </c>
      <c r="I1178" s="415">
        <v>0</v>
      </c>
      <c r="J1178" s="415">
        <v>0</v>
      </c>
      <c r="K1178" s="415">
        <v>0</v>
      </c>
      <c r="L1178" s="415">
        <v>0</v>
      </c>
      <c r="M1178" s="415">
        <v>0</v>
      </c>
      <c r="N1178" s="415">
        <v>0</v>
      </c>
      <c r="Q1178" s="430"/>
    </row>
    <row r="1179" spans="2:19" hidden="1">
      <c r="B1179" s="354"/>
      <c r="C1179" s="416" t="s">
        <v>160</v>
      </c>
      <c r="F1179" s="415"/>
      <c r="G1179" s="431">
        <v>0</v>
      </c>
      <c r="H1179" s="431">
        <v>0</v>
      </c>
      <c r="I1179" s="431">
        <v>0</v>
      </c>
      <c r="J1179" s="431">
        <v>0</v>
      </c>
      <c r="K1179" s="431">
        <v>0</v>
      </c>
      <c r="L1179" s="431">
        <v>0</v>
      </c>
      <c r="M1179" s="431">
        <v>0</v>
      </c>
      <c r="N1179" s="431">
        <v>0</v>
      </c>
      <c r="O1179" s="39"/>
      <c r="Q1179" s="432"/>
    </row>
    <row r="1180" spans="2:19" hidden="1">
      <c r="B1180" s="354"/>
      <c r="C1180" s="416" t="s">
        <v>20</v>
      </c>
      <c r="E1180" s="2" t="s">
        <v>2736</v>
      </c>
      <c r="F1180" s="415">
        <v>0</v>
      </c>
      <c r="G1180" s="415">
        <v>0</v>
      </c>
      <c r="H1180" s="415">
        <v>0</v>
      </c>
      <c r="I1180" s="415">
        <v>0</v>
      </c>
      <c r="J1180" s="415">
        <v>0</v>
      </c>
      <c r="K1180" s="415">
        <v>0</v>
      </c>
      <c r="L1180" s="415">
        <v>0</v>
      </c>
      <c r="M1180" s="415">
        <v>0</v>
      </c>
      <c r="N1180" s="415">
        <v>0</v>
      </c>
      <c r="Q1180" s="430"/>
      <c r="S1180"/>
    </row>
    <row r="1181" spans="2:19" hidden="1">
      <c r="B1181" s="354"/>
      <c r="C1181" s="416"/>
      <c r="F1181" s="415"/>
      <c r="G1181" s="415"/>
      <c r="H1181" s="415"/>
      <c r="I1181" s="415"/>
      <c r="J1181" s="415"/>
      <c r="K1181" s="415"/>
      <c r="L1181" s="415"/>
      <c r="M1181" s="415"/>
      <c r="N1181" s="415"/>
      <c r="Q1181" s="430"/>
    </row>
    <row r="1182" spans="2:19" hidden="1">
      <c r="B1182" s="354"/>
      <c r="C1182" s="429" t="s">
        <v>289</v>
      </c>
      <c r="F1182" s="415"/>
      <c r="G1182" s="415"/>
      <c r="H1182" s="415"/>
      <c r="I1182" s="415"/>
      <c r="J1182" s="415"/>
      <c r="K1182" s="415"/>
      <c r="L1182" s="415"/>
      <c r="M1182" s="415"/>
      <c r="N1182" s="415"/>
      <c r="Q1182" s="430"/>
    </row>
    <row r="1183" spans="2:19" hidden="1">
      <c r="B1183" s="354"/>
      <c r="C1183" s="416"/>
      <c r="F1183" s="415"/>
      <c r="G1183" s="415"/>
      <c r="H1183" s="415"/>
      <c r="I1183" s="415"/>
      <c r="J1183" s="415"/>
      <c r="K1183" s="415"/>
      <c r="L1183" s="415"/>
      <c r="M1183" s="415"/>
      <c r="N1183" s="415"/>
      <c r="Q1183" s="430"/>
    </row>
    <row r="1184" spans="2:19" hidden="1">
      <c r="B1184" s="2" t="s">
        <v>290</v>
      </c>
      <c r="F1184" s="374"/>
      <c r="G1184" s="374"/>
      <c r="H1184" s="374"/>
      <c r="I1184" s="374"/>
      <c r="J1184" s="374"/>
      <c r="K1184" s="374"/>
      <c r="L1184" s="374"/>
      <c r="M1184" s="374"/>
      <c r="N1184" s="374"/>
      <c r="O1184" s="374"/>
    </row>
    <row r="1185" spans="2:30" hidden="1">
      <c r="C1185" s="2" t="s">
        <v>168</v>
      </c>
      <c r="E1185" s="2" t="s">
        <v>2736</v>
      </c>
      <c r="F1185" s="374">
        <v>0</v>
      </c>
      <c r="G1185" s="374">
        <v>6807.8135979346498</v>
      </c>
      <c r="H1185" s="374">
        <v>7344.8465794510748</v>
      </c>
      <c r="I1185" s="374">
        <v>7526.0368988371656</v>
      </c>
      <c r="J1185" s="374">
        <v>7668.7848456542488</v>
      </c>
      <c r="K1185" s="374">
        <v>8098.7664792009136</v>
      </c>
      <c r="L1185" s="374">
        <v>8412.6224944498244</v>
      </c>
      <c r="M1185" s="374">
        <v>9302.7821283153498</v>
      </c>
      <c r="N1185" s="374">
        <v>10451.069836514764</v>
      </c>
      <c r="O1185" s="374"/>
    </row>
    <row r="1186" spans="2:30" hidden="1">
      <c r="C1186" s="2" t="s">
        <v>172</v>
      </c>
      <c r="E1186" s="2" t="s">
        <v>2736</v>
      </c>
      <c r="F1186" s="374">
        <v>5354.3585599999988</v>
      </c>
      <c r="G1186" s="374">
        <v>5600.1308904657362</v>
      </c>
      <c r="H1186" s="374">
        <v>5837.471193786715</v>
      </c>
      <c r="I1186" s="374">
        <v>6047.8261750269785</v>
      </c>
      <c r="J1186" s="374">
        <v>6229.179629924527</v>
      </c>
      <c r="K1186" s="374">
        <v>6472.6439667352133</v>
      </c>
      <c r="L1186" s="374">
        <v>6724.7380771402695</v>
      </c>
      <c r="M1186" s="374">
        <v>6985.7088711640799</v>
      </c>
      <c r="N1186" s="374">
        <v>7255.8059937280113</v>
      </c>
      <c r="O1186" s="374"/>
    </row>
    <row r="1187" spans="2:30" hidden="1">
      <c r="C1187" s="2" t="s">
        <v>291</v>
      </c>
      <c r="E1187" s="2" t="s">
        <v>2736</v>
      </c>
      <c r="F1187" s="374">
        <v>5354.3585599999988</v>
      </c>
      <c r="G1187" s="374">
        <v>12407.944488400386</v>
      </c>
      <c r="H1187" s="374">
        <v>13182.31777323779</v>
      </c>
      <c r="I1187" s="374">
        <v>13573.863073864144</v>
      </c>
      <c r="J1187" s="374">
        <v>13897.964475578776</v>
      </c>
      <c r="K1187" s="374">
        <v>14571.410445936126</v>
      </c>
      <c r="L1187" s="374">
        <v>15137.360571590094</v>
      </c>
      <c r="M1187" s="374">
        <v>16288.490999479429</v>
      </c>
      <c r="N1187" s="374">
        <v>17706.875830242774</v>
      </c>
      <c r="O1187" s="374"/>
    </row>
    <row r="1188" spans="2:30" hidden="1">
      <c r="F1188" s="374"/>
      <c r="G1188" s="374"/>
      <c r="H1188" s="374"/>
      <c r="I1188" s="374"/>
      <c r="J1188" s="374"/>
      <c r="K1188" s="374"/>
      <c r="L1188" s="374"/>
      <c r="M1188" s="374"/>
      <c r="N1188" s="374"/>
      <c r="O1188" s="433"/>
      <c r="Q1188" s="38"/>
      <c r="R1188" s="38"/>
    </row>
    <row r="1189" spans="2:30" hidden="1">
      <c r="B1189" t="s">
        <v>292</v>
      </c>
      <c r="F1189" s="374"/>
      <c r="G1189" s="374"/>
      <c r="H1189" s="374"/>
      <c r="I1189" s="374"/>
      <c r="J1189" s="374"/>
      <c r="K1189" s="374"/>
      <c r="L1189" s="374"/>
      <c r="M1189" s="374"/>
      <c r="N1189" s="374"/>
      <c r="O1189" s="433"/>
      <c r="Q1189" s="38"/>
      <c r="R1189" s="38"/>
      <c r="U1189" s="374"/>
      <c r="V1189" s="374"/>
      <c r="W1189" s="374"/>
      <c r="X1189" s="374"/>
      <c r="Y1189" s="374"/>
      <c r="Z1189" s="374"/>
      <c r="AA1189" s="374"/>
      <c r="AB1189" s="374"/>
      <c r="AC1189" s="374"/>
      <c r="AD1189" s="374"/>
    </row>
    <row r="1190" spans="2:30" hidden="1">
      <c r="C1190" s="2" t="s">
        <v>168</v>
      </c>
      <c r="E1190" s="2" t="s">
        <v>2736</v>
      </c>
      <c r="F1190" s="374">
        <v>0</v>
      </c>
      <c r="G1190" s="374">
        <v>5943.7802346040316</v>
      </c>
      <c r="H1190" s="374">
        <v>6337.1973939658064</v>
      </c>
      <c r="I1190" s="374">
        <v>6519.1859165735577</v>
      </c>
      <c r="J1190" s="374">
        <v>6669.5871259522683</v>
      </c>
      <c r="K1190" s="374">
        <v>7070.4045339208587</v>
      </c>
      <c r="L1190" s="374">
        <v>7374.2717003705493</v>
      </c>
      <c r="M1190" s="374">
        <v>8164.8579430814189</v>
      </c>
      <c r="N1190" s="374">
        <v>9175.5805607265174</v>
      </c>
      <c r="O1190" s="433"/>
      <c r="Q1190" s="433"/>
      <c r="R1190" s="432"/>
      <c r="U1190" s="374"/>
      <c r="V1190" s="374"/>
      <c r="W1190" s="374"/>
      <c r="X1190" s="374"/>
      <c r="Y1190" s="374"/>
      <c r="Z1190" s="374"/>
      <c r="AA1190" s="374"/>
      <c r="AB1190" s="374"/>
      <c r="AC1190" s="374"/>
      <c r="AD1190" s="374"/>
    </row>
    <row r="1191" spans="2:30" hidden="1">
      <c r="C1191" s="2" t="s">
        <v>172</v>
      </c>
      <c r="E1191" s="2" t="s">
        <v>2736</v>
      </c>
      <c r="F1191" s="374">
        <v>4880.3832399999992</v>
      </c>
      <c r="G1191" s="374">
        <v>5261.6723587404285</v>
      </c>
      <c r="H1191" s="374">
        <v>5531.7136363620011</v>
      </c>
      <c r="I1191" s="374">
        <v>5780.8847838125066</v>
      </c>
      <c r="J1191" s="374">
        <v>6006.7269986486262</v>
      </c>
      <c r="K1191" s="374">
        <v>6297.2940033785926</v>
      </c>
      <c r="L1191" s="374">
        <v>6601.8750279586184</v>
      </c>
      <c r="M1191" s="374">
        <v>6921.1437214261578</v>
      </c>
      <c r="N1191" s="374">
        <v>7255.8059937280113</v>
      </c>
      <c r="O1191" s="39"/>
      <c r="Q1191" s="38"/>
      <c r="R1191" s="38"/>
      <c r="U1191" s="374"/>
      <c r="V1191" s="374"/>
      <c r="W1191" s="374"/>
      <c r="X1191" s="374"/>
      <c r="Y1191" s="374"/>
      <c r="Z1191" s="374"/>
      <c r="AA1191" s="374"/>
      <c r="AB1191" s="374"/>
      <c r="AC1191" s="374"/>
      <c r="AD1191" s="374"/>
    </row>
    <row r="1192" spans="2:30" hidden="1">
      <c r="C1192" s="2" t="s">
        <v>291</v>
      </c>
      <c r="E1192" s="2" t="s">
        <v>2736</v>
      </c>
      <c r="F1192" s="374">
        <v>4880.3832399999992</v>
      </c>
      <c r="G1192" s="374">
        <v>11205.45259334446</v>
      </c>
      <c r="H1192" s="374">
        <v>11868.911030327807</v>
      </c>
      <c r="I1192" s="374">
        <v>12300.070700386064</v>
      </c>
      <c r="J1192" s="374">
        <v>12676.314124600895</v>
      </c>
      <c r="K1192" s="374">
        <v>13367.698537299451</v>
      </c>
      <c r="L1192" s="374">
        <v>13976.146728329168</v>
      </c>
      <c r="M1192" s="374">
        <v>15086.001664507578</v>
      </c>
      <c r="N1192" s="374">
        <v>16431.38655445453</v>
      </c>
      <c r="O1192" s="433"/>
      <c r="Q1192" s="38"/>
      <c r="R1192" s="38"/>
      <c r="U1192" s="374"/>
      <c r="V1192" s="374"/>
      <c r="W1192" s="374"/>
      <c r="X1192" s="374"/>
      <c r="Y1192" s="374"/>
      <c r="Z1192" s="374"/>
      <c r="AA1192" s="374"/>
      <c r="AB1192" s="374"/>
      <c r="AC1192" s="374"/>
      <c r="AD1192" s="374"/>
    </row>
    <row r="1193" spans="2:30" hidden="1">
      <c r="F1193" s="374"/>
      <c r="G1193" s="374"/>
      <c r="H1193" s="374"/>
      <c r="I1193" s="374"/>
      <c r="J1193" s="374"/>
      <c r="K1193" s="374"/>
      <c r="L1193" s="374"/>
      <c r="M1193" s="374"/>
      <c r="N1193" s="374"/>
      <c r="O1193" s="374"/>
      <c r="U1193" s="374"/>
      <c r="V1193" s="374"/>
      <c r="W1193" s="374"/>
      <c r="X1193" s="374"/>
      <c r="Y1193" s="374"/>
      <c r="Z1193" s="374"/>
      <c r="AA1193" s="374"/>
      <c r="AB1193" s="374"/>
      <c r="AC1193" s="374"/>
      <c r="AD1193" s="374"/>
    </row>
    <row r="1194" spans="2:30" s="4" customFormat="1" hidden="1">
      <c r="B1194" s="2" t="s">
        <v>293</v>
      </c>
      <c r="C1194" s="2"/>
      <c r="D1194" s="2"/>
      <c r="E1194" s="2"/>
      <c r="F1194" s="374"/>
      <c r="G1194" s="374"/>
      <c r="H1194" s="374"/>
      <c r="I1194" s="374"/>
      <c r="J1194" s="374"/>
      <c r="K1194" s="374"/>
      <c r="L1194" s="374"/>
      <c r="M1194" s="374"/>
      <c r="N1194" s="374"/>
      <c r="O1194" s="374"/>
      <c r="W1194" s="365"/>
      <c r="X1194" s="365"/>
      <c r="Y1194" s="365"/>
    </row>
    <row r="1195" spans="2:30" s="4" customFormat="1" hidden="1">
      <c r="B1195" s="2"/>
      <c r="C1195" s="2" t="s">
        <v>168</v>
      </c>
      <c r="D1195" s="2"/>
      <c r="E1195" s="2" t="s">
        <v>2736</v>
      </c>
      <c r="F1195" s="374">
        <v>0</v>
      </c>
      <c r="G1195" s="374">
        <v>5478.5315005029288</v>
      </c>
      <c r="H1195" s="374">
        <v>5794.6170633198935</v>
      </c>
      <c r="I1195" s="374">
        <v>5977.035387662384</v>
      </c>
      <c r="J1195" s="374">
        <v>6131.5575845742769</v>
      </c>
      <c r="K1195" s="374">
        <v>6516.6711787700615</v>
      </c>
      <c r="L1195" s="374">
        <v>6815.1597343278627</v>
      </c>
      <c r="M1195" s="374">
        <v>7552.1295356477658</v>
      </c>
      <c r="N1195" s="374">
        <v>8488.7786429943862</v>
      </c>
      <c r="O1195" s="374"/>
      <c r="W1195" s="365"/>
      <c r="X1195" s="365"/>
      <c r="Y1195" s="365"/>
    </row>
    <row r="1196" spans="2:30" s="4" customFormat="1" hidden="1">
      <c r="B1196" s="2"/>
      <c r="C1196" s="2" t="s">
        <v>172</v>
      </c>
      <c r="D1196" s="2"/>
      <c r="E1196" s="2" t="s">
        <v>2736</v>
      </c>
      <c r="F1196" s="374">
        <v>4625.165759999999</v>
      </c>
      <c r="G1196" s="374">
        <v>5079.4254570421845</v>
      </c>
      <c r="H1196" s="374">
        <v>5367.0749515948473</v>
      </c>
      <c r="I1196" s="374">
        <v>5637.1471116200983</v>
      </c>
      <c r="J1196" s="374">
        <v>5886.9448125769859</v>
      </c>
      <c r="K1196" s="374">
        <v>6202.8747923404107</v>
      </c>
      <c r="L1196" s="374">
        <v>6535.7180014761916</v>
      </c>
      <c r="M1196" s="374">
        <v>6886.3778715672761</v>
      </c>
      <c r="N1196" s="374">
        <v>7255.8059937280113</v>
      </c>
      <c r="O1196" s="374"/>
      <c r="W1196" s="365"/>
      <c r="X1196" s="365"/>
      <c r="Y1196" s="365"/>
    </row>
    <row r="1197" spans="2:30" s="4" customFormat="1" hidden="1">
      <c r="B1197" s="2"/>
      <c r="C1197" s="2" t="s">
        <v>291</v>
      </c>
      <c r="D1197" s="2"/>
      <c r="E1197" s="2" t="s">
        <v>2736</v>
      </c>
      <c r="F1197" s="374">
        <v>4625.165759999999</v>
      </c>
      <c r="G1197" s="374">
        <v>10557.956957545113</v>
      </c>
      <c r="H1197" s="374">
        <v>11161.692014914741</v>
      </c>
      <c r="I1197" s="374">
        <v>11614.182499282482</v>
      </c>
      <c r="J1197" s="374">
        <v>12018.502397151264</v>
      </c>
      <c r="K1197" s="374">
        <v>12719.545971110472</v>
      </c>
      <c r="L1197" s="374">
        <v>13350.877735804053</v>
      </c>
      <c r="M1197" s="374">
        <v>14438.507407215042</v>
      </c>
      <c r="N1197" s="374">
        <v>15744.584636722397</v>
      </c>
      <c r="O1197" s="2"/>
      <c r="W1197" s="365"/>
      <c r="X1197" s="365"/>
      <c r="Y1197" s="365"/>
    </row>
    <row r="1198" spans="2:30" s="4" customFormat="1" hidden="1">
      <c r="B1198" s="2"/>
      <c r="C1198" s="2"/>
      <c r="D1198" s="2"/>
      <c r="E1198" s="2"/>
      <c r="F1198" s="374"/>
      <c r="G1198" s="374"/>
      <c r="H1198" s="374"/>
      <c r="I1198" s="374"/>
      <c r="J1198" s="374"/>
      <c r="K1198" s="374"/>
      <c r="L1198" s="374"/>
      <c r="M1198" s="374"/>
      <c r="N1198" s="374"/>
      <c r="O1198" s="2"/>
      <c r="W1198" s="365"/>
      <c r="X1198" s="365"/>
      <c r="Y1198" s="365"/>
    </row>
    <row r="1199" spans="2:30" s="4" customFormat="1" hidden="1">
      <c r="B1199" s="2"/>
      <c r="C1199" s="354" t="s">
        <v>294</v>
      </c>
      <c r="D1199" s="2"/>
      <c r="E1199" s="2"/>
      <c r="F1199" s="374"/>
      <c r="G1199" s="374"/>
      <c r="H1199" s="374"/>
      <c r="I1199" s="374"/>
      <c r="J1199" s="374"/>
      <c r="K1199" s="374"/>
      <c r="L1199" s="374"/>
      <c r="M1199" s="374"/>
      <c r="N1199" s="374"/>
      <c r="O1199" s="2"/>
      <c r="W1199" s="365"/>
      <c r="X1199" s="365"/>
      <c r="Y1199" s="365"/>
    </row>
    <row r="1200" spans="2:30" s="4" customFormat="1" hidden="1">
      <c r="B1200" s="2"/>
      <c r="C1200" s="416" t="s">
        <v>22</v>
      </c>
      <c r="D1200" s="2" t="s">
        <v>168</v>
      </c>
      <c r="E1200" s="2" t="s">
        <v>2736</v>
      </c>
      <c r="F1200" s="374"/>
      <c r="G1200" s="374">
        <v>2960.3827921576944</v>
      </c>
      <c r="H1200" s="374">
        <v>2960.3827921576944</v>
      </c>
      <c r="I1200" s="374">
        <v>5920.765584315388</v>
      </c>
      <c r="J1200" s="374">
        <v>8881.1483764730838</v>
      </c>
      <c r="K1200" s="374">
        <v>11841.531168630778</v>
      </c>
      <c r="L1200" s="374">
        <v>14801.913960788472</v>
      </c>
      <c r="M1200" s="374">
        <v>17762.296752946168</v>
      </c>
      <c r="N1200" s="374">
        <v>20722.679545103856</v>
      </c>
      <c r="O1200" s="2"/>
      <c r="W1200" s="365"/>
      <c r="X1200" s="365"/>
      <c r="Y1200" s="365"/>
    </row>
    <row r="1201" spans="1:25" ht="23.5" hidden="1">
      <c r="A1201" s="7"/>
      <c r="C1201" s="416"/>
      <c r="D1201" s="2" t="s">
        <v>172</v>
      </c>
      <c r="E1201" s="2" t="s">
        <v>2736</v>
      </c>
      <c r="F1201" s="374">
        <v>0</v>
      </c>
      <c r="G1201" s="374">
        <v>898.98477345198376</v>
      </c>
      <c r="H1201" s="374">
        <v>1797.9695469039675</v>
      </c>
      <c r="I1201" s="374">
        <v>2696.954320355951</v>
      </c>
      <c r="J1201" s="374">
        <v>3595.939093807935</v>
      </c>
      <c r="K1201" s="374">
        <v>4494.9238672599186</v>
      </c>
      <c r="L1201" s="374">
        <v>5393.908640711903</v>
      </c>
      <c r="M1201" s="374">
        <v>6292.8934141638865</v>
      </c>
      <c r="N1201" s="374">
        <v>7191.87818761587</v>
      </c>
      <c r="Q1201" s="373"/>
      <c r="R1201"/>
      <c r="W1201" s="365"/>
      <c r="X1201" s="365"/>
      <c r="Y1201" s="365"/>
    </row>
    <row r="1202" spans="1:25" ht="23.5" hidden="1">
      <c r="A1202" s="7"/>
      <c r="C1202" s="416" t="s">
        <v>160</v>
      </c>
      <c r="D1202" s="2" t="s">
        <v>168</v>
      </c>
      <c r="E1202" s="2" t="s">
        <v>2736</v>
      </c>
      <c r="F1202" s="374"/>
      <c r="G1202" s="374">
        <v>1685.4007580816258</v>
      </c>
      <c r="H1202" s="374">
        <v>1685.4007580816258</v>
      </c>
      <c r="I1202" s="374">
        <v>3370.8015161632511</v>
      </c>
      <c r="J1202" s="374">
        <v>5056.202274244878</v>
      </c>
      <c r="K1202" s="374">
        <v>6741.6030323265031</v>
      </c>
      <c r="L1202" s="374">
        <v>8427.0037904081291</v>
      </c>
      <c r="M1202" s="374">
        <v>10112.404548489756</v>
      </c>
      <c r="N1202" s="433">
        <v>11797.805306571379</v>
      </c>
      <c r="O1202" s="39"/>
      <c r="Q1202" s="433"/>
      <c r="R1202" s="430"/>
      <c r="W1202" s="365"/>
      <c r="X1202" s="365"/>
      <c r="Y1202" s="365"/>
    </row>
    <row r="1203" spans="1:25" ht="23.5" hidden="1">
      <c r="A1203" s="7"/>
      <c r="C1203" s="416"/>
      <c r="D1203" s="2" t="s">
        <v>172</v>
      </c>
      <c r="E1203" s="2" t="s">
        <v>2736</v>
      </c>
      <c r="F1203" s="374">
        <v>0</v>
      </c>
      <c r="G1203" s="374">
        <v>509.42470495612412</v>
      </c>
      <c r="H1203" s="374">
        <v>1018.8494099122482</v>
      </c>
      <c r="I1203" s="374">
        <v>1528.2741148683722</v>
      </c>
      <c r="J1203" s="374">
        <v>2037.6988198244965</v>
      </c>
      <c r="K1203" s="374">
        <v>2547.1235247806208</v>
      </c>
      <c r="L1203" s="374">
        <v>3056.5482297367448</v>
      </c>
      <c r="M1203" s="374">
        <v>3565.9729346928689</v>
      </c>
      <c r="N1203" s="374">
        <v>4075.3976396489929</v>
      </c>
      <c r="W1203" s="365"/>
      <c r="X1203" s="365"/>
      <c r="Y1203" s="365"/>
    </row>
    <row r="1204" spans="1:25" hidden="1">
      <c r="B1204" s="354"/>
      <c r="C1204" s="416" t="s">
        <v>20</v>
      </c>
      <c r="D1204" s="2" t="s">
        <v>168</v>
      </c>
      <c r="E1204" s="2" t="s">
        <v>2736</v>
      </c>
      <c r="F1204" s="374"/>
      <c r="G1204" s="374">
        <v>998.87197050220425</v>
      </c>
      <c r="H1204" s="374">
        <v>998.87197050220425</v>
      </c>
      <c r="I1204" s="374">
        <v>1997.743941004408</v>
      </c>
      <c r="J1204" s="374">
        <v>2996.615911506613</v>
      </c>
      <c r="K1204" s="374">
        <v>3995.487882008817</v>
      </c>
      <c r="L1204" s="374">
        <v>4994.3598525110219</v>
      </c>
      <c r="M1204" s="374">
        <v>5993.2318230132259</v>
      </c>
      <c r="N1204" s="374">
        <v>6992.1037935154291</v>
      </c>
      <c r="W1204" s="365"/>
      <c r="X1204" s="365"/>
      <c r="Y1204" s="365"/>
    </row>
    <row r="1205" spans="1:25" hidden="1">
      <c r="B1205" s="354"/>
      <c r="C1205" s="416"/>
      <c r="D1205" s="2" t="s">
        <v>172</v>
      </c>
      <c r="E1205" s="2" t="s">
        <v>2736</v>
      </c>
      <c r="F1205" s="374">
        <v>0</v>
      </c>
      <c r="G1205" s="374">
        <v>299.66159115066125</v>
      </c>
      <c r="H1205" s="374">
        <v>599.3231823013225</v>
      </c>
      <c r="I1205" s="374">
        <v>898.98477345198376</v>
      </c>
      <c r="J1205" s="374">
        <v>1198.646364602645</v>
      </c>
      <c r="K1205" s="374">
        <v>1498.3079557533063</v>
      </c>
      <c r="L1205" s="374">
        <v>1797.9695469039675</v>
      </c>
      <c r="M1205" s="374">
        <v>2097.631138054629</v>
      </c>
      <c r="N1205" s="374">
        <v>2397.29272920529</v>
      </c>
      <c r="R1205" s="354"/>
      <c r="W1205" s="365"/>
      <c r="X1205" s="365"/>
      <c r="Y1205" s="365"/>
    </row>
    <row r="1206" spans="1:25" hidden="1">
      <c r="B1206" s="354"/>
      <c r="C1206" s="416"/>
      <c r="F1206" s="374"/>
      <c r="G1206" s="374"/>
      <c r="H1206" s="374"/>
      <c r="I1206" s="374"/>
      <c r="J1206" s="374"/>
      <c r="K1206" s="374"/>
      <c r="L1206" s="374"/>
      <c r="M1206" s="374"/>
      <c r="N1206" s="374"/>
      <c r="W1206" s="365"/>
      <c r="X1206" s="365"/>
      <c r="Y1206" s="365"/>
    </row>
    <row r="1207" spans="1:25" ht="15.5" hidden="1">
      <c r="A1207" s="434"/>
      <c r="B1207" s="354"/>
      <c r="C1207" s="429" t="s">
        <v>295</v>
      </c>
      <c r="F1207" s="374"/>
      <c r="G1207" s="374"/>
      <c r="H1207" s="374"/>
      <c r="I1207" s="374"/>
      <c r="J1207" s="374"/>
      <c r="K1207" s="374"/>
      <c r="L1207" s="374"/>
      <c r="M1207" s="374"/>
      <c r="N1207" s="374"/>
    </row>
    <row r="1208" spans="1:25" ht="15.5" hidden="1">
      <c r="A1208" s="434"/>
      <c r="B1208" s="354"/>
      <c r="C1208" s="416" t="s">
        <v>22</v>
      </c>
      <c r="E1208" s="2" t="s">
        <v>2736</v>
      </c>
      <c r="F1208" s="374"/>
      <c r="G1208" s="374">
        <v>0</v>
      </c>
      <c r="H1208" s="374">
        <v>0</v>
      </c>
      <c r="I1208" s="374">
        <v>0</v>
      </c>
      <c r="J1208" s="374">
        <v>0</v>
      </c>
      <c r="K1208" s="374">
        <v>0</v>
      </c>
      <c r="L1208" s="374">
        <v>0</v>
      </c>
      <c r="M1208" s="374">
        <v>0</v>
      </c>
      <c r="N1208" s="374">
        <v>0</v>
      </c>
      <c r="O1208" s="39"/>
    </row>
    <row r="1209" spans="1:25" ht="15.5" hidden="1">
      <c r="A1209" s="434"/>
      <c r="B1209" s="354"/>
      <c r="C1209" s="416" t="s">
        <v>160</v>
      </c>
      <c r="F1209" s="374"/>
      <c r="G1209" s="435">
        <v>0</v>
      </c>
      <c r="H1209" s="435">
        <v>0</v>
      </c>
      <c r="I1209" s="435">
        <v>0</v>
      </c>
      <c r="J1209" s="435">
        <v>0</v>
      </c>
      <c r="K1209" s="435">
        <v>0</v>
      </c>
      <c r="L1209" s="435">
        <v>0</v>
      </c>
      <c r="M1209" s="435">
        <v>0</v>
      </c>
      <c r="N1209" s="435">
        <v>0</v>
      </c>
      <c r="O1209" s="39"/>
    </row>
    <row r="1210" spans="1:25" ht="15.5" hidden="1">
      <c r="A1210" s="434"/>
      <c r="B1210" s="354"/>
      <c r="C1210" s="416" t="s">
        <v>20</v>
      </c>
      <c r="E1210" s="2" t="s">
        <v>2736</v>
      </c>
      <c r="F1210" s="374"/>
      <c r="G1210" s="374">
        <v>0</v>
      </c>
      <c r="H1210" s="374">
        <v>0</v>
      </c>
      <c r="I1210" s="374">
        <v>0</v>
      </c>
      <c r="J1210" s="374">
        <v>0</v>
      </c>
      <c r="K1210" s="374">
        <v>0</v>
      </c>
      <c r="L1210" s="374">
        <v>0</v>
      </c>
      <c r="M1210" s="374">
        <v>0</v>
      </c>
      <c r="N1210" s="374">
        <v>0</v>
      </c>
      <c r="O1210" s="38"/>
    </row>
    <row r="1211" spans="1:25" ht="15.5">
      <c r="A1211" s="434"/>
      <c r="B1211" s="4"/>
      <c r="C1211" s="4"/>
      <c r="D1211" s="4"/>
      <c r="E1211" s="4"/>
      <c r="F1211" s="365"/>
      <c r="G1211" s="4"/>
      <c r="H1211" s="4"/>
      <c r="I1211" s="4"/>
      <c r="J1211" s="4"/>
      <c r="K1211" s="4"/>
      <c r="L1211" s="4"/>
      <c r="M1211" s="4"/>
      <c r="N1211" s="4"/>
      <c r="O1211" s="4"/>
    </row>
    <row r="1212" spans="1:25" ht="15.5">
      <c r="A1212" s="434"/>
      <c r="B1212" s="8" t="s">
        <v>296</v>
      </c>
      <c r="C1212" s="436"/>
      <c r="D1212" s="9"/>
      <c r="E1212" s="9"/>
      <c r="F1212" s="9"/>
      <c r="G1212" s="9"/>
      <c r="H1212" s="9"/>
      <c r="I1212" s="9"/>
      <c r="J1212" s="9"/>
      <c r="K1212" s="9"/>
      <c r="L1212" s="9"/>
      <c r="M1212" s="9"/>
      <c r="N1212" s="9"/>
      <c r="O1212" s="10"/>
    </row>
    <row r="1213" spans="1:25" ht="15.5">
      <c r="A1213" s="434"/>
      <c r="B1213" s="437"/>
      <c r="C1213" s="438"/>
      <c r="D1213" s="438"/>
      <c r="E1213" s="438"/>
      <c r="F1213" s="438"/>
      <c r="G1213" s="438"/>
      <c r="H1213" s="438"/>
      <c r="I1213" s="438"/>
      <c r="J1213" s="438"/>
      <c r="K1213" s="438"/>
      <c r="L1213" s="438"/>
      <c r="M1213" s="438"/>
      <c r="N1213" s="438"/>
      <c r="O1213" s="439"/>
    </row>
    <row r="1214" spans="1:25" ht="15.5">
      <c r="A1214" s="434"/>
      <c r="B1214" s="11"/>
      <c r="C1214" s="34" t="s">
        <v>297</v>
      </c>
      <c r="D1214" s="12"/>
      <c r="E1214" s="14"/>
      <c r="F1214" s="12"/>
      <c r="G1214" s="12"/>
      <c r="H1214" s="12"/>
      <c r="I1214" s="12"/>
      <c r="J1214" s="12"/>
      <c r="K1214" s="12"/>
      <c r="L1214" s="12"/>
      <c r="M1214" s="12"/>
      <c r="N1214" s="14" t="str">
        <f>Preferences.EnergyUnits</f>
        <v>TWh</v>
      </c>
      <c r="O1214" s="13"/>
    </row>
    <row r="1215" spans="1:25" ht="15.5">
      <c r="A1215" s="434"/>
      <c r="B1215" s="11"/>
      <c r="C1215" s="12"/>
      <c r="D1215" s="12"/>
      <c r="E1215" s="12"/>
      <c r="F1215" s="12"/>
      <c r="G1215" s="12"/>
      <c r="H1215" s="12"/>
      <c r="I1215" s="12"/>
      <c r="J1215" s="12"/>
      <c r="K1215" s="12"/>
      <c r="L1215" s="12"/>
      <c r="M1215" s="12"/>
      <c r="N1215" s="12"/>
      <c r="O1215" s="13"/>
    </row>
    <row r="1216" spans="1:25" ht="15.5">
      <c r="A1216" s="434"/>
      <c r="B1216" s="15"/>
      <c r="C1216" s="716" t="s">
        <v>28</v>
      </c>
      <c r="D1216" s="716" t="s">
        <v>29</v>
      </c>
      <c r="E1216" s="716" t="s">
        <v>30</v>
      </c>
      <c r="F1216" s="716" t="s">
        <v>588</v>
      </c>
      <c r="G1216" s="716" t="s">
        <v>132</v>
      </c>
      <c r="H1216" s="716" t="s">
        <v>133</v>
      </c>
      <c r="I1216" s="716" t="s">
        <v>134</v>
      </c>
      <c r="J1216" s="716" t="s">
        <v>135</v>
      </c>
      <c r="K1216" s="716" t="s">
        <v>136</v>
      </c>
      <c r="L1216" s="716" t="s">
        <v>137</v>
      </c>
      <c r="M1216" s="716" t="s">
        <v>138</v>
      </c>
      <c r="N1216" s="716" t="s">
        <v>139</v>
      </c>
      <c r="O1216" s="13"/>
    </row>
    <row r="1217" spans="1:25" ht="15.5">
      <c r="A1217" s="434"/>
      <c r="B1217" s="15"/>
      <c r="C1217" s="716" t="s">
        <v>95</v>
      </c>
      <c r="D1217" s="1716" t="str">
        <f>INDEX(Vectors[Description], MATCH(IX.a.NoCHP.Outputs[Vector], Vectors[Code], 0))</f>
        <v>Electricity (delivered to end user)</v>
      </c>
      <c r="E1217" s="716"/>
      <c r="F1217" s="717">
        <f t="shared" ref="F1217:F1224" ca="1" si="181">F1246-F1231-F1232</f>
        <v>-0.88256437808531207</v>
      </c>
      <c r="G1217" s="717">
        <f t="shared" ref="G1217:N1224" ca="1" si="182">G1246-G1231</f>
        <v>-0.962793920118858</v>
      </c>
      <c r="H1217" s="717">
        <f t="shared" ca="1" si="182"/>
        <v>-1.1454171196981839</v>
      </c>
      <c r="I1217" s="717">
        <f t="shared" ca="1" si="182"/>
        <v>-1.3895260738128647</v>
      </c>
      <c r="J1217" s="717">
        <f t="shared" ca="1" si="182"/>
        <v>-1.639370956886139</v>
      </c>
      <c r="K1217" s="717">
        <f t="shared" ca="1" si="182"/>
        <v>-1.9030564366680982</v>
      </c>
      <c r="L1217" s="717">
        <f t="shared" ca="1" si="182"/>
        <v>-2.1804320076135117</v>
      </c>
      <c r="M1217" s="717">
        <f t="shared" ca="1" si="182"/>
        <v>-2.4660030407149582</v>
      </c>
      <c r="N1217" s="717">
        <f t="shared" ca="1" si="182"/>
        <v>-2.76531347349606</v>
      </c>
      <c r="O1217" s="13"/>
    </row>
    <row r="1218" spans="1:25" ht="15.5">
      <c r="A1218" s="434"/>
      <c r="B1218" s="15"/>
      <c r="C1218" s="716" t="s">
        <v>96</v>
      </c>
      <c r="D1218" s="1716" t="str">
        <f>INDEX(Vectors[Description], MATCH(IX.a.NoCHP.Outputs[Vector], Vectors[Code], 0))</f>
        <v>Electricity (supplied to grid)</v>
      </c>
      <c r="E1218" s="716"/>
      <c r="F1218" s="717">
        <f t="shared" ca="1" si="181"/>
        <v>0</v>
      </c>
      <c r="G1218" s="717">
        <f t="shared" ca="1" si="182"/>
        <v>0</v>
      </c>
      <c r="H1218" s="717">
        <f t="shared" ca="1" si="182"/>
        <v>0</v>
      </c>
      <c r="I1218" s="717">
        <f t="shared" ca="1" si="182"/>
        <v>0</v>
      </c>
      <c r="J1218" s="717">
        <f t="shared" ca="1" si="182"/>
        <v>0</v>
      </c>
      <c r="K1218" s="717">
        <f t="shared" ca="1" si="182"/>
        <v>0</v>
      </c>
      <c r="L1218" s="717">
        <f t="shared" ca="1" si="182"/>
        <v>0</v>
      </c>
      <c r="M1218" s="717">
        <f t="shared" ca="1" si="182"/>
        <v>0</v>
      </c>
      <c r="N1218" s="717">
        <f t="shared" ca="1" si="182"/>
        <v>0</v>
      </c>
      <c r="O1218" s="13"/>
    </row>
    <row r="1219" spans="1:25" ht="15.5">
      <c r="A1219" s="434"/>
      <c r="B1219" s="15"/>
      <c r="C1219" s="716" t="s">
        <v>97</v>
      </c>
      <c r="D1219" s="1716" t="str">
        <f>INDEX(Vectors[Description], MATCH(IX.a.NoCHP.Outputs[Vector], Vectors[Code], 0))</f>
        <v>Solid hydrocarbons</v>
      </c>
      <c r="E1219" s="716"/>
      <c r="F1219" s="717">
        <f t="shared" ca="1" si="181"/>
        <v>-0.41220752781623782</v>
      </c>
      <c r="G1219" s="717">
        <f t="shared" ca="1" si="182"/>
        <v>-0.38937857957942934</v>
      </c>
      <c r="H1219" s="717">
        <f t="shared" ca="1" si="182"/>
        <v>-0.32773892123175546</v>
      </c>
      <c r="I1219" s="717">
        <f t="shared" ca="1" si="182"/>
        <v>-0.28209903725583046</v>
      </c>
      <c r="J1219" s="717">
        <f t="shared" ca="1" si="182"/>
        <v>-0.23181941749696361</v>
      </c>
      <c r="K1219" s="717">
        <f t="shared" ca="1" si="182"/>
        <v>-0.17871552254345516</v>
      </c>
      <c r="L1219" s="717">
        <f t="shared" ca="1" si="182"/>
        <v>-0.12248271111511547</v>
      </c>
      <c r="M1219" s="717">
        <f t="shared" ca="1" si="182"/>
        <v>-6.2808803458401619E-2</v>
      </c>
      <c r="N1219" s="717">
        <f t="shared" ca="1" si="182"/>
        <v>0</v>
      </c>
      <c r="O1219" s="13"/>
    </row>
    <row r="1220" spans="1:25" ht="15.5">
      <c r="B1220" s="15"/>
      <c r="C1220" s="716" t="s">
        <v>98</v>
      </c>
      <c r="D1220" s="1716" t="str">
        <f>INDEX(Vectors[Description], MATCH(IX.a.NoCHP.Outputs[Vector], Vectors[Code], 0))</f>
        <v>Liquid hydrocarbons</v>
      </c>
      <c r="E1220" s="716"/>
      <c r="F1220" s="717">
        <f t="shared" ca="1" si="181"/>
        <v>-15.256778003771721</v>
      </c>
      <c r="G1220" s="717">
        <f t="shared" ca="1" si="182"/>
        <v>-14.411824499031621</v>
      </c>
      <c r="H1220" s="717">
        <f t="shared" ca="1" si="182"/>
        <v>-12.130394587693283</v>
      </c>
      <c r="I1220" s="717">
        <f t="shared" ca="1" si="182"/>
        <v>-10.441154263462709</v>
      </c>
      <c r="J1220" s="717">
        <f t="shared" ca="1" si="182"/>
        <v>-8.5801863164700922</v>
      </c>
      <c r="K1220" s="717">
        <f t="shared" ca="1" si="182"/>
        <v>-6.6146852477887945</v>
      </c>
      <c r="L1220" s="717">
        <f t="shared" ca="1" si="182"/>
        <v>-4.5333755612936892</v>
      </c>
      <c r="M1220" s="717">
        <f t="shared" ca="1" si="182"/>
        <v>-2.324702744086121</v>
      </c>
      <c r="N1220" s="717">
        <f t="shared" ca="1" si="182"/>
        <v>0</v>
      </c>
      <c r="O1220" s="13"/>
      <c r="W1220" s="365"/>
      <c r="X1220" s="365"/>
      <c r="Y1220" s="365"/>
    </row>
    <row r="1221" spans="1:25" ht="15.5">
      <c r="B1221" s="15"/>
      <c r="C1221" s="716" t="s">
        <v>99</v>
      </c>
      <c r="D1221" s="1716" t="str">
        <f>INDEX(Vectors[Description], MATCH(IX.a.NoCHP.Outputs[Vector], Vectors[Code], 0))</f>
        <v>Gaseous hydrocarbons</v>
      </c>
      <c r="E1221" s="716"/>
      <c r="F1221" s="717">
        <f t="shared" ca="1" si="181"/>
        <v>-9.4463708573767775</v>
      </c>
      <c r="G1221" s="717">
        <f t="shared" ca="1" si="182"/>
        <v>-10.199540735750485</v>
      </c>
      <c r="H1221" s="717">
        <f t="shared" ca="1" si="182"/>
        <v>-11.897301948776613</v>
      </c>
      <c r="I1221" s="717">
        <f t="shared" ca="1" si="182"/>
        <v>-14.23206774476146</v>
      </c>
      <c r="J1221" s="717">
        <f t="shared" ca="1" si="182"/>
        <v>-16.615606470158163</v>
      </c>
      <c r="K1221" s="717">
        <f t="shared" ca="1" si="182"/>
        <v>-19.131212438602503</v>
      </c>
      <c r="L1221" s="717">
        <f t="shared" ca="1" si="182"/>
        <v>-21.776894734744477</v>
      </c>
      <c r="M1221" s="717">
        <f t="shared" ca="1" si="182"/>
        <v>-24.497783683989923</v>
      </c>
      <c r="N1221" s="717">
        <f t="shared" ca="1" si="182"/>
        <v>-27.349254133477515</v>
      </c>
      <c r="O1221" s="13"/>
      <c r="W1221" s="365"/>
      <c r="X1221" s="365"/>
      <c r="Y1221" s="365"/>
    </row>
    <row r="1222" spans="1:25" ht="15.5">
      <c r="A1222" s="434"/>
      <c r="B1222" s="15"/>
      <c r="C1222" s="716" t="s">
        <v>100</v>
      </c>
      <c r="D1222" s="1716" t="str">
        <f>INDEX(Vectors[Description], MATCH(IX.a.NoCHP.Outputs[Vector], Vectors[Code], 0))</f>
        <v>Heat transport</v>
      </c>
      <c r="E1222" s="716"/>
      <c r="F1222" s="717">
        <f t="shared" ca="1" si="181"/>
        <v>0</v>
      </c>
      <c r="G1222" s="717">
        <f t="shared" ca="1" si="182"/>
        <v>0</v>
      </c>
      <c r="H1222" s="717">
        <f t="shared" ca="1" si="182"/>
        <v>0</v>
      </c>
      <c r="I1222" s="717">
        <f t="shared" ca="1" si="182"/>
        <v>0</v>
      </c>
      <c r="J1222" s="717">
        <f t="shared" ca="1" si="182"/>
        <v>0</v>
      </c>
      <c r="K1222" s="717">
        <f t="shared" ca="1" si="182"/>
        <v>0</v>
      </c>
      <c r="L1222" s="717">
        <f t="shared" ca="1" si="182"/>
        <v>0</v>
      </c>
      <c r="M1222" s="717">
        <f t="shared" ca="1" si="182"/>
        <v>0</v>
      </c>
      <c r="N1222" s="717">
        <f t="shared" ca="1" si="182"/>
        <v>0</v>
      </c>
      <c r="O1222" s="13"/>
    </row>
    <row r="1223" spans="1:25" ht="15.5">
      <c r="A1223" s="434"/>
      <c r="B1223" s="15"/>
      <c r="C1223" s="716" t="s">
        <v>31</v>
      </c>
      <c r="D1223" s="1716" t="str">
        <f>INDEX(Vectors[Description], MATCH(IX.a.NoCHP.Outputs[Vector], Vectors[Code], 0))</f>
        <v>Domestic solar thermal</v>
      </c>
      <c r="E1223" s="716"/>
      <c r="F1223" s="717">
        <f t="shared" ca="1" si="181"/>
        <v>-4.1054887428987621E-2</v>
      </c>
      <c r="G1223" s="717">
        <f t="shared" ca="1" si="182"/>
        <v>-5.2915063522883464E-2</v>
      </c>
      <c r="H1223" s="717">
        <f t="shared" ca="1" si="182"/>
        <v>-5.5796848364472185E-2</v>
      </c>
      <c r="I1223" s="717">
        <f t="shared" ca="1" si="182"/>
        <v>-5.8662240154226032E-2</v>
      </c>
      <c r="J1223" s="717">
        <f t="shared" ca="1" si="182"/>
        <v>-7.0129937567812564E-2</v>
      </c>
      <c r="K1223" s="717">
        <f t="shared" ca="1" si="182"/>
        <v>-7.3391639360886121E-2</v>
      </c>
      <c r="L1223" s="717">
        <f t="shared" ca="1" si="182"/>
        <v>-7.68227714428798E-2</v>
      </c>
      <c r="M1223" s="717">
        <f t="shared" ca="1" si="182"/>
        <v>-8.0232994859916751E-2</v>
      </c>
      <c r="N1223" s="717">
        <f t="shared" ca="1" si="182"/>
        <v>-8.3820866458489254E-2</v>
      </c>
      <c r="O1223" s="13"/>
    </row>
    <row r="1224" spans="1:25" ht="15.5">
      <c r="A1224" s="434"/>
      <c r="B1224" s="15"/>
      <c r="C1224" s="716" t="s">
        <v>101</v>
      </c>
      <c r="D1224" s="1716" t="str">
        <f>INDEX(Vectors[Description], MATCH(IX.a.NoCHP.Outputs[Vector], Vectors[Code], 0))</f>
        <v>Environmental heat</v>
      </c>
      <c r="E1224" s="716"/>
      <c r="F1224" s="717">
        <f t="shared" ca="1" si="181"/>
        <v>-4.9849049835017811E-2</v>
      </c>
      <c r="G1224" s="717">
        <f t="shared" ca="1" si="182"/>
        <v>-4.7031613264707811E-2</v>
      </c>
      <c r="H1224" s="717">
        <f t="shared" ca="1" si="182"/>
        <v>-3.9468326861689378E-2</v>
      </c>
      <c r="I1224" s="717">
        <f t="shared" ca="1" si="182"/>
        <v>-3.3945668180055968E-2</v>
      </c>
      <c r="J1224" s="717">
        <f t="shared" ca="1" si="182"/>
        <v>-2.7874293752023344E-2</v>
      </c>
      <c r="K1224" s="717">
        <f t="shared" ca="1" si="182"/>
        <v>-2.147145376152286E-2</v>
      </c>
      <c r="L1224" s="717">
        <f t="shared" ca="1" si="182"/>
        <v>-1.4703140991588266E-2</v>
      </c>
      <c r="M1224" s="717">
        <f t="shared" ca="1" si="182"/>
        <v>-7.5332570838156426E-3</v>
      </c>
      <c r="N1224" s="717">
        <f t="shared" ca="1" si="182"/>
        <v>0</v>
      </c>
      <c r="O1224" s="13"/>
    </row>
    <row r="1225" spans="1:25" ht="15.5">
      <c r="A1225" s="434"/>
      <c r="B1225" s="15"/>
      <c r="C1225" s="716" t="s">
        <v>102</v>
      </c>
      <c r="D1225" s="1716" t="str">
        <f>INDEX(Vectors[Description], MATCH(IX.a.NoCHP.Outputs[Vector], Vectors[Code], 0))</f>
        <v>Heating and cooling</v>
      </c>
      <c r="E1225" s="716"/>
      <c r="F1225" s="717">
        <f ca="1">F1254-F1239-F1240</f>
        <v>26.088824704314053</v>
      </c>
      <c r="G1225" s="717">
        <f t="shared" ref="G1225:N1225" ca="1" si="183">G1254-G1239-G1240</f>
        <v>26.063484411267986</v>
      </c>
      <c r="H1225" s="717">
        <f t="shared" ca="1" si="183"/>
        <v>25.596117752625997</v>
      </c>
      <c r="I1225" s="717">
        <f t="shared" ca="1" si="183"/>
        <v>26.437455027627145</v>
      </c>
      <c r="J1225" s="717">
        <f t="shared" ca="1" si="183"/>
        <v>27.164987392331195</v>
      </c>
      <c r="K1225" s="717">
        <f t="shared" ca="1" si="183"/>
        <v>27.922532738725263</v>
      </c>
      <c r="L1225" s="717">
        <f t="shared" ca="1" si="183"/>
        <v>28.704710927201262</v>
      </c>
      <c r="M1225" s="717">
        <f t="shared" ca="1" si="183"/>
        <v>29.439064524193139</v>
      </c>
      <c r="N1225" s="717">
        <f t="shared" ca="1" si="183"/>
        <v>30.198388473432065</v>
      </c>
      <c r="O1225" s="13"/>
    </row>
    <row r="1226" spans="1:25" ht="15.5">
      <c r="A1226" s="434"/>
      <c r="B1226" s="15"/>
      <c r="C1226" s="2433" t="s">
        <v>58</v>
      </c>
      <c r="D1226" s="2433"/>
      <c r="E1226" s="2433"/>
      <c r="F1226" s="2434">
        <f ca="1">SUBTOTAL(109,IX.a.NoCHP.Outputs[2013])</f>
        <v>0</v>
      </c>
      <c r="G1226" s="2434">
        <f ca="1">SUBTOTAL(109,IX.a.NoCHP.Outputs[2015])</f>
        <v>0</v>
      </c>
      <c r="H1226" s="2434">
        <f ca="1">SUBTOTAL(109,IX.a.NoCHP.Outputs[2020])</f>
        <v>0</v>
      </c>
      <c r="I1226" s="2434">
        <f ca="1">SUBTOTAL(109,IX.a.NoCHP.Outputs[2025])</f>
        <v>0</v>
      </c>
      <c r="J1226" s="2434">
        <f ca="1">SUBTOTAL(109,IX.a.NoCHP.Outputs[2030])</f>
        <v>0</v>
      </c>
      <c r="K1226" s="2434">
        <f ca="1">SUBTOTAL(109,IX.a.NoCHP.Outputs[2035])</f>
        <v>0</v>
      </c>
      <c r="L1226" s="2434">
        <f ca="1">SUBTOTAL(109,IX.a.NoCHP.Outputs[2040])</f>
        <v>0</v>
      </c>
      <c r="M1226" s="2434">
        <f ca="1">SUBTOTAL(109,IX.a.NoCHP.Outputs[2045])</f>
        <v>0</v>
      </c>
      <c r="N1226" s="2434">
        <f ca="1">SUBTOTAL(109,IX.a.NoCHP.Outputs[2050])</f>
        <v>0</v>
      </c>
      <c r="O1226" s="13"/>
    </row>
    <row r="1227" spans="1:25" ht="15.5">
      <c r="A1227" s="434"/>
      <c r="B1227" s="11"/>
      <c r="C1227" s="18"/>
      <c r="D1227" s="18"/>
      <c r="E1227" s="18"/>
      <c r="F1227" s="440"/>
      <c r="G1227" s="440"/>
      <c r="H1227" s="440"/>
      <c r="I1227" s="440"/>
      <c r="J1227" s="440"/>
      <c r="K1227" s="440"/>
      <c r="L1227" s="440"/>
      <c r="M1227" s="440"/>
      <c r="N1227" s="440"/>
      <c r="O1227" s="13"/>
    </row>
    <row r="1228" spans="1:25" ht="15.5">
      <c r="A1228" s="434"/>
      <c r="B1228" s="11"/>
      <c r="C1228" s="34" t="s">
        <v>298</v>
      </c>
      <c r="D1228" s="12"/>
      <c r="E1228" s="14"/>
      <c r="F1228" s="12"/>
      <c r="G1228" s="12"/>
      <c r="H1228" s="12"/>
      <c r="I1228" s="12"/>
      <c r="J1228" s="12"/>
      <c r="K1228" s="12"/>
      <c r="L1228" s="12"/>
      <c r="M1228" s="12"/>
      <c r="N1228" s="14" t="str">
        <f>Preferences.EnergyUnits</f>
        <v>TWh</v>
      </c>
      <c r="O1228" s="13"/>
    </row>
    <row r="1229" spans="1:25" ht="15.5">
      <c r="A1229" s="434"/>
      <c r="B1229" s="15"/>
      <c r="C1229" s="12"/>
      <c r="D1229" s="12"/>
      <c r="E1229" s="12"/>
      <c r="F1229" s="12"/>
      <c r="G1229" s="12"/>
      <c r="H1229" s="12"/>
      <c r="I1229" s="12"/>
      <c r="J1229" s="12"/>
      <c r="K1229" s="12"/>
      <c r="L1229" s="12"/>
      <c r="M1229" s="12"/>
      <c r="N1229" s="12"/>
      <c r="O1229" s="13"/>
    </row>
    <row r="1230" spans="1:25" ht="15.5">
      <c r="A1230" s="434"/>
      <c r="B1230" s="15"/>
      <c r="C1230" s="716" t="s">
        <v>28</v>
      </c>
      <c r="D1230" s="716" t="s">
        <v>29</v>
      </c>
      <c r="E1230" s="716" t="s">
        <v>30</v>
      </c>
      <c r="F1230" s="716" t="s">
        <v>588</v>
      </c>
      <c r="G1230" s="716" t="s">
        <v>132</v>
      </c>
      <c r="H1230" s="716" t="s">
        <v>133</v>
      </c>
      <c r="I1230" s="716" t="s">
        <v>134</v>
      </c>
      <c r="J1230" s="716" t="s">
        <v>135</v>
      </c>
      <c r="K1230" s="716" t="s">
        <v>136</v>
      </c>
      <c r="L1230" s="716" t="s">
        <v>137</v>
      </c>
      <c r="M1230" s="716" t="s">
        <v>138</v>
      </c>
      <c r="N1230" s="716" t="s">
        <v>139</v>
      </c>
      <c r="O1230" s="13"/>
    </row>
    <row r="1231" spans="1:25" ht="15.5">
      <c r="A1231" s="434"/>
      <c r="B1231" s="15"/>
      <c r="C1231" s="716" t="s">
        <v>95</v>
      </c>
      <c r="D1231" s="1716" t="str">
        <f>INDEX(Vectors[Description], MATCH(IX.a.CHP.Outputs[Vector], Vectors[Code], 0))</f>
        <v>Electricity (delivered to end user)</v>
      </c>
      <c r="E1231" s="716"/>
      <c r="F1231" s="717">
        <f ca="1">INDEX(F$1021:F$1029, MATCH(IX.a.CHP.Outputs[Vector], $B$1021:$B$1029, 0))</f>
        <v>0</v>
      </c>
      <c r="G1231" s="717">
        <f ca="1">INDEX(G$1021:G$1029, MATCH(IX.a.CHP.Outputs[Vector], $B$1021:$B$1029, 0))</f>
        <v>0</v>
      </c>
      <c r="H1231" s="717">
        <f ca="1">INDEX(H$1021:H$1029, MATCH(IX.a.CHP.Outputs[Vector], $B$1021:$B$1029, 0))</f>
        <v>0</v>
      </c>
      <c r="I1231" s="717">
        <f ca="1">INDEX(I$1021:I$1029, MATCH(IX.a.CHP.Outputs[Vector], $B$1021:$B$1029, 0))</f>
        <v>0</v>
      </c>
      <c r="J1231" s="717">
        <f ca="1">INDEX(J$1021:J$1029, MATCH(IX.a.CHP.Outputs[Vector], $B$1021:$B$1029, 0))</f>
        <v>0</v>
      </c>
      <c r="K1231" s="717">
        <f ca="1">INDEX(K$1021:K$1029, MATCH(IX.a.CHP.Outputs[Vector], $B$1021:$B$1029, 0))</f>
        <v>0</v>
      </c>
      <c r="L1231" s="717">
        <f ca="1">INDEX(L$1021:L$1029, MATCH(IX.a.CHP.Outputs[Vector], $B$1021:$B$1029, 0))</f>
        <v>0</v>
      </c>
      <c r="M1231" s="717">
        <f ca="1">INDEX(M$1021:M$1029, MATCH(IX.a.CHP.Outputs[Vector], $B$1021:$B$1029, 0))</f>
        <v>0</v>
      </c>
      <c r="N1231" s="717">
        <f ca="1">INDEX(N$1021:N$1029, MATCH(IX.a.CHP.Outputs[Vector], $B$1021:$B$1029, 0))</f>
        <v>0</v>
      </c>
      <c r="O1231" s="13"/>
    </row>
    <row r="1232" spans="1:25" ht="15.5">
      <c r="A1232" s="434"/>
      <c r="B1232" s="15"/>
      <c r="C1232" s="716" t="s">
        <v>96</v>
      </c>
      <c r="D1232" s="1716" t="str">
        <f>INDEX(Vectors[Description], MATCH(IX.a.CHP.Outputs[Vector], Vectors[Code], 0))</f>
        <v>Electricity (supplied to grid)</v>
      </c>
      <c r="E1232" s="716"/>
      <c r="F1232" s="717">
        <f ca="1">INDEX(F$1021:F$1029, MATCH(IX.a.CHP.Outputs[Vector], $B$1021:$B$1029, 0))</f>
        <v>0</v>
      </c>
      <c r="G1232" s="717">
        <f ca="1">INDEX(G$1021:G$1029, MATCH(IX.a.CHP.Outputs[Vector], $B$1021:$B$1029, 0))</f>
        <v>0</v>
      </c>
      <c r="H1232" s="717">
        <f ca="1">INDEX(H$1021:H$1029, MATCH(IX.a.CHP.Outputs[Vector], $B$1021:$B$1029, 0))</f>
        <v>0</v>
      </c>
      <c r="I1232" s="717">
        <f ca="1">INDEX(I$1021:I$1029, MATCH(IX.a.CHP.Outputs[Vector], $B$1021:$B$1029, 0))</f>
        <v>0</v>
      </c>
      <c r="J1232" s="717">
        <f ca="1">INDEX(J$1021:J$1029, MATCH(IX.a.CHP.Outputs[Vector], $B$1021:$B$1029, 0))</f>
        <v>0</v>
      </c>
      <c r="K1232" s="717">
        <f ca="1">INDEX(K$1021:K$1029, MATCH(IX.a.CHP.Outputs[Vector], $B$1021:$B$1029, 0))</f>
        <v>0</v>
      </c>
      <c r="L1232" s="717">
        <f ca="1">INDEX(L$1021:L$1029, MATCH(IX.a.CHP.Outputs[Vector], $B$1021:$B$1029, 0))</f>
        <v>0</v>
      </c>
      <c r="M1232" s="717">
        <f ca="1">INDEX(M$1021:M$1029, MATCH(IX.a.CHP.Outputs[Vector], $B$1021:$B$1029, 0))</f>
        <v>0</v>
      </c>
      <c r="N1232" s="717">
        <f ca="1">INDEX(N$1021:N$1029, MATCH(IX.a.CHP.Outputs[Vector], $B$1021:$B$1029, 0))</f>
        <v>0</v>
      </c>
      <c r="O1232" s="13"/>
    </row>
    <row r="1233" spans="1:25" ht="15.5">
      <c r="A1233" s="434"/>
      <c r="B1233" s="15"/>
      <c r="C1233" s="716" t="s">
        <v>97</v>
      </c>
      <c r="D1233" s="1716" t="str">
        <f>INDEX(Vectors[Description], MATCH(IX.a.CHP.Outputs[Vector], Vectors[Code], 0))</f>
        <v>Solid hydrocarbons</v>
      </c>
      <c r="E1233" s="716"/>
      <c r="F1233" s="717">
        <f ca="1">INDEX(F$1021:F$1029, MATCH(IX.a.CHP.Outputs[Vector], $B$1021:$B$1029, 0))</f>
        <v>0</v>
      </c>
      <c r="G1233" s="717">
        <f ca="1">INDEX(G$1021:G$1029, MATCH(IX.a.CHP.Outputs[Vector], $B$1021:$B$1029, 0))</f>
        <v>0</v>
      </c>
      <c r="H1233" s="717">
        <f ca="1">INDEX(H$1021:H$1029, MATCH(IX.a.CHP.Outputs[Vector], $B$1021:$B$1029, 0))</f>
        <v>0</v>
      </c>
      <c r="I1233" s="717">
        <f ca="1">INDEX(I$1021:I$1029, MATCH(IX.a.CHP.Outputs[Vector], $B$1021:$B$1029, 0))</f>
        <v>0</v>
      </c>
      <c r="J1233" s="717">
        <f ca="1">INDEX(J$1021:J$1029, MATCH(IX.a.CHP.Outputs[Vector], $B$1021:$B$1029, 0))</f>
        <v>0</v>
      </c>
      <c r="K1233" s="717">
        <f ca="1">INDEX(K$1021:K$1029, MATCH(IX.a.CHP.Outputs[Vector], $B$1021:$B$1029, 0))</f>
        <v>0</v>
      </c>
      <c r="L1233" s="717">
        <f ca="1">INDEX(L$1021:L$1029, MATCH(IX.a.CHP.Outputs[Vector], $B$1021:$B$1029, 0))</f>
        <v>0</v>
      </c>
      <c r="M1233" s="717">
        <f ca="1">INDEX(M$1021:M$1029, MATCH(IX.a.CHP.Outputs[Vector], $B$1021:$B$1029, 0))</f>
        <v>0</v>
      </c>
      <c r="N1233" s="717">
        <f ca="1">INDEX(N$1021:N$1029, MATCH(IX.a.CHP.Outputs[Vector], $B$1021:$B$1029, 0))</f>
        <v>0</v>
      </c>
      <c r="O1233" s="13"/>
    </row>
    <row r="1234" spans="1:25" ht="15.5">
      <c r="B1234" s="15"/>
      <c r="C1234" s="716" t="s">
        <v>98</v>
      </c>
      <c r="D1234" s="1716" t="str">
        <f>INDEX(Vectors[Description], MATCH(IX.a.CHP.Outputs[Vector], Vectors[Code], 0))</f>
        <v>Liquid hydrocarbons</v>
      </c>
      <c r="E1234" s="716"/>
      <c r="F1234" s="717">
        <f ca="1">INDEX(F$1021:F$1029, MATCH(IX.a.CHP.Outputs[Vector], $B$1021:$B$1029, 0))</f>
        <v>0</v>
      </c>
      <c r="G1234" s="717">
        <f ca="1">INDEX(G$1021:G$1029, MATCH(IX.a.CHP.Outputs[Vector], $B$1021:$B$1029, 0))</f>
        <v>0</v>
      </c>
      <c r="H1234" s="717">
        <f ca="1">INDEX(H$1021:H$1029, MATCH(IX.a.CHP.Outputs[Vector], $B$1021:$B$1029, 0))</f>
        <v>0</v>
      </c>
      <c r="I1234" s="717">
        <f ca="1">INDEX(I$1021:I$1029, MATCH(IX.a.CHP.Outputs[Vector], $B$1021:$B$1029, 0))</f>
        <v>0</v>
      </c>
      <c r="J1234" s="717">
        <f ca="1">INDEX(J$1021:J$1029, MATCH(IX.a.CHP.Outputs[Vector], $B$1021:$B$1029, 0))</f>
        <v>0</v>
      </c>
      <c r="K1234" s="717">
        <f ca="1">INDEX(K$1021:K$1029, MATCH(IX.a.CHP.Outputs[Vector], $B$1021:$B$1029, 0))</f>
        <v>0</v>
      </c>
      <c r="L1234" s="717">
        <f ca="1">INDEX(L$1021:L$1029, MATCH(IX.a.CHP.Outputs[Vector], $B$1021:$B$1029, 0))</f>
        <v>0</v>
      </c>
      <c r="M1234" s="717">
        <f ca="1">INDEX(M$1021:M$1029, MATCH(IX.a.CHP.Outputs[Vector], $B$1021:$B$1029, 0))</f>
        <v>0</v>
      </c>
      <c r="N1234" s="717">
        <f ca="1">INDEX(N$1021:N$1029, MATCH(IX.a.CHP.Outputs[Vector], $B$1021:$B$1029, 0))</f>
        <v>0</v>
      </c>
      <c r="O1234" s="13"/>
      <c r="W1234" s="365"/>
      <c r="X1234" s="365"/>
      <c r="Y1234" s="365"/>
    </row>
    <row r="1235" spans="1:25" ht="15.5">
      <c r="B1235" s="15"/>
      <c r="C1235" s="716" t="s">
        <v>99</v>
      </c>
      <c r="D1235" s="1716" t="str">
        <f>INDEX(Vectors[Description], MATCH(IX.a.CHP.Outputs[Vector], Vectors[Code], 0))</f>
        <v>Gaseous hydrocarbons</v>
      </c>
      <c r="E1235" s="716"/>
      <c r="F1235" s="717">
        <f ca="1">INDEX(F$1021:F$1029, MATCH(IX.a.CHP.Outputs[Vector], $B$1021:$B$1029, 0))</f>
        <v>0</v>
      </c>
      <c r="G1235" s="717">
        <f ca="1">INDEX(G$1021:G$1029, MATCH(IX.a.CHP.Outputs[Vector], $B$1021:$B$1029, 0))</f>
        <v>0</v>
      </c>
      <c r="H1235" s="717">
        <f ca="1">INDEX(H$1021:H$1029, MATCH(IX.a.CHP.Outputs[Vector], $B$1021:$B$1029, 0))</f>
        <v>0</v>
      </c>
      <c r="I1235" s="717">
        <f ca="1">INDEX(I$1021:I$1029, MATCH(IX.a.CHP.Outputs[Vector], $B$1021:$B$1029, 0))</f>
        <v>0</v>
      </c>
      <c r="J1235" s="717">
        <f ca="1">INDEX(J$1021:J$1029, MATCH(IX.a.CHP.Outputs[Vector], $B$1021:$B$1029, 0))</f>
        <v>0</v>
      </c>
      <c r="K1235" s="717">
        <f ca="1">INDEX(K$1021:K$1029, MATCH(IX.a.CHP.Outputs[Vector], $B$1021:$B$1029, 0))</f>
        <v>0</v>
      </c>
      <c r="L1235" s="717">
        <f ca="1">INDEX(L$1021:L$1029, MATCH(IX.a.CHP.Outputs[Vector], $B$1021:$B$1029, 0))</f>
        <v>0</v>
      </c>
      <c r="M1235" s="717">
        <f ca="1">INDEX(M$1021:M$1029, MATCH(IX.a.CHP.Outputs[Vector], $B$1021:$B$1029, 0))</f>
        <v>0</v>
      </c>
      <c r="N1235" s="717">
        <f ca="1">INDEX(N$1021:N$1029, MATCH(IX.a.CHP.Outputs[Vector], $B$1021:$B$1029, 0))</f>
        <v>0</v>
      </c>
      <c r="O1235" s="13"/>
      <c r="W1235" s="365"/>
      <c r="X1235" s="365"/>
      <c r="Y1235" s="365"/>
    </row>
    <row r="1236" spans="1:25" ht="15.5">
      <c r="A1236" s="434"/>
      <c r="B1236" s="15"/>
      <c r="C1236" s="716" t="s">
        <v>100</v>
      </c>
      <c r="D1236" s="1716" t="str">
        <f>INDEX(Vectors[Description], MATCH(IX.a.CHP.Outputs[Vector], Vectors[Code], 0))</f>
        <v>Heat transport</v>
      </c>
      <c r="E1236" s="716"/>
      <c r="F1236" s="717">
        <f ca="1">INDEX(F$1021:F$1029, MATCH(IX.a.CHP.Outputs[Vector], $B$1021:$B$1029, 0))</f>
        <v>0</v>
      </c>
      <c r="G1236" s="717">
        <f ca="1">INDEX(G$1021:G$1029, MATCH(IX.a.CHP.Outputs[Vector], $B$1021:$B$1029, 0))</f>
        <v>0</v>
      </c>
      <c r="H1236" s="717">
        <f ca="1">INDEX(H$1021:H$1029, MATCH(IX.a.CHP.Outputs[Vector], $B$1021:$B$1029, 0))</f>
        <v>0</v>
      </c>
      <c r="I1236" s="717">
        <f ca="1">INDEX(I$1021:I$1029, MATCH(IX.a.CHP.Outputs[Vector], $B$1021:$B$1029, 0))</f>
        <v>0</v>
      </c>
      <c r="J1236" s="717">
        <f ca="1">INDEX(J$1021:J$1029, MATCH(IX.a.CHP.Outputs[Vector], $B$1021:$B$1029, 0))</f>
        <v>0</v>
      </c>
      <c r="K1236" s="717">
        <f ca="1">INDEX(K$1021:K$1029, MATCH(IX.a.CHP.Outputs[Vector], $B$1021:$B$1029, 0))</f>
        <v>0</v>
      </c>
      <c r="L1236" s="717">
        <f ca="1">INDEX(L$1021:L$1029, MATCH(IX.a.CHP.Outputs[Vector], $B$1021:$B$1029, 0))</f>
        <v>0</v>
      </c>
      <c r="M1236" s="717">
        <f ca="1">INDEX(M$1021:M$1029, MATCH(IX.a.CHP.Outputs[Vector], $B$1021:$B$1029, 0))</f>
        <v>0</v>
      </c>
      <c r="N1236" s="717">
        <f ca="1">INDEX(N$1021:N$1029, MATCH(IX.a.CHP.Outputs[Vector], $B$1021:$B$1029, 0))</f>
        <v>0</v>
      </c>
      <c r="O1236" s="13"/>
    </row>
    <row r="1237" spans="1:25" ht="15.5">
      <c r="A1237" s="434"/>
      <c r="B1237" s="15"/>
      <c r="C1237" s="716" t="s">
        <v>31</v>
      </c>
      <c r="D1237" s="1716" t="str">
        <f>INDEX(Vectors[Description], MATCH(IX.a.CHP.Outputs[Vector], Vectors[Code], 0))</f>
        <v>Domestic solar thermal</v>
      </c>
      <c r="E1237" s="716"/>
      <c r="F1237" s="717"/>
      <c r="G1237" s="717"/>
      <c r="H1237" s="717"/>
      <c r="I1237" s="717"/>
      <c r="J1237" s="717"/>
      <c r="K1237" s="717"/>
      <c r="L1237" s="717"/>
      <c r="M1237" s="717"/>
      <c r="N1237" s="717"/>
      <c r="O1237" s="13"/>
    </row>
    <row r="1238" spans="1:25" ht="15.5">
      <c r="A1238" s="434"/>
      <c r="B1238" s="15"/>
      <c r="C1238" s="716" t="s">
        <v>101</v>
      </c>
      <c r="D1238" s="1716" t="str">
        <f>INDEX(Vectors[Description], MATCH(IX.a.CHP.Outputs[Vector], Vectors[Code], 0))</f>
        <v>Environmental heat</v>
      </c>
      <c r="E1238" s="716"/>
      <c r="F1238" s="717">
        <f ca="1">INDEX(F$1021:F$1029, MATCH(IX.a.CHP.Outputs[Vector], $B$1021:$B$1029, 0))</f>
        <v>0</v>
      </c>
      <c r="G1238" s="717">
        <f ca="1">INDEX(G$1021:G$1029, MATCH(IX.a.CHP.Outputs[Vector], $B$1021:$B$1029, 0))</f>
        <v>0</v>
      </c>
      <c r="H1238" s="717">
        <f ca="1">INDEX(H$1021:H$1029, MATCH(IX.a.CHP.Outputs[Vector], $B$1021:$B$1029, 0))</f>
        <v>0</v>
      </c>
      <c r="I1238" s="717">
        <f ca="1">INDEX(I$1021:I$1029, MATCH(IX.a.CHP.Outputs[Vector], $B$1021:$B$1029, 0))</f>
        <v>0</v>
      </c>
      <c r="J1238" s="717">
        <f ca="1">INDEX(J$1021:J$1029, MATCH(IX.a.CHP.Outputs[Vector], $B$1021:$B$1029, 0))</f>
        <v>0</v>
      </c>
      <c r="K1238" s="717">
        <f ca="1">INDEX(K$1021:K$1029, MATCH(IX.a.CHP.Outputs[Vector], $B$1021:$B$1029, 0))</f>
        <v>0</v>
      </c>
      <c r="L1238" s="717">
        <f ca="1">INDEX(L$1021:L$1029, MATCH(IX.a.CHP.Outputs[Vector], $B$1021:$B$1029, 0))</f>
        <v>0</v>
      </c>
      <c r="M1238" s="717">
        <f ca="1">INDEX(M$1021:M$1029, MATCH(IX.a.CHP.Outputs[Vector], $B$1021:$B$1029, 0))</f>
        <v>0</v>
      </c>
      <c r="N1238" s="717">
        <f ca="1">INDEX(N$1021:N$1029, MATCH(IX.a.CHP.Outputs[Vector], $B$1021:$B$1029, 0))</f>
        <v>0</v>
      </c>
      <c r="O1238" s="13"/>
    </row>
    <row r="1239" spans="1:25" ht="15.5">
      <c r="A1239" s="434"/>
      <c r="B1239" s="15"/>
      <c r="C1239" s="716" t="s">
        <v>102</v>
      </c>
      <c r="D1239" s="1716" t="str">
        <f>INDEX(Vectors[Description], MATCH(IX.a.CHP.Outputs[Vector], Vectors[Code], 0))</f>
        <v>Heating and cooling</v>
      </c>
      <c r="E1239" s="716"/>
      <c r="F1239" s="717">
        <f ca="1">INDEX(F$1021:F$1029, MATCH(IX.a.CHP.Outputs[Vector], $B$1021:$B$1029, 0))</f>
        <v>0</v>
      </c>
      <c r="G1239" s="717">
        <f ca="1">INDEX(G$1021:G$1029, MATCH(IX.a.CHP.Outputs[Vector], $B$1021:$B$1029, 0))</f>
        <v>0</v>
      </c>
      <c r="H1239" s="717">
        <f ca="1">INDEX(H$1021:H$1029, MATCH(IX.a.CHP.Outputs[Vector], $B$1021:$B$1029, 0))</f>
        <v>0</v>
      </c>
      <c r="I1239" s="717">
        <f ca="1">INDEX(I$1021:I$1029, MATCH(IX.a.CHP.Outputs[Vector], $B$1021:$B$1029, 0))</f>
        <v>0</v>
      </c>
      <c r="J1239" s="717">
        <f ca="1">INDEX(J$1021:J$1029, MATCH(IX.a.CHP.Outputs[Vector], $B$1021:$B$1029, 0))</f>
        <v>0</v>
      </c>
      <c r="K1239" s="717">
        <f ca="1">INDEX(K$1021:K$1029, MATCH(IX.a.CHP.Outputs[Vector], $B$1021:$B$1029, 0))</f>
        <v>0</v>
      </c>
      <c r="L1239" s="717">
        <f ca="1">INDEX(L$1021:L$1029, MATCH(IX.a.CHP.Outputs[Vector], $B$1021:$B$1029, 0))</f>
        <v>0</v>
      </c>
      <c r="M1239" s="717">
        <f ca="1">INDEX(M$1021:M$1029, MATCH(IX.a.CHP.Outputs[Vector], $B$1021:$B$1029, 0))</f>
        <v>0</v>
      </c>
      <c r="N1239" s="717">
        <f ca="1">INDEX(N$1021:N$1029, MATCH(IX.a.CHP.Outputs[Vector], $B$1021:$B$1029, 0))</f>
        <v>0</v>
      </c>
      <c r="O1239" s="13"/>
    </row>
    <row r="1240" spans="1:25" ht="15.5">
      <c r="A1240" s="434"/>
      <c r="B1240" s="15"/>
      <c r="C1240" s="716" t="s">
        <v>103</v>
      </c>
      <c r="D1240" s="1716" t="str">
        <f>INDEX(Vectors[Description], MATCH(IX.a.CHP.Outputs[Vector], Vectors[Code], 0))</f>
        <v>Conversion losses</v>
      </c>
      <c r="E1240" s="716"/>
      <c r="F1240" s="717">
        <f ca="1">INDEX(F$1021:F$1029, MATCH(IX.a.CHP.Outputs[Vector], $B$1021:$B$1029, 0))</f>
        <v>0</v>
      </c>
      <c r="G1240" s="717">
        <f ca="1">INDEX(G$1021:G$1029, MATCH(IX.a.CHP.Outputs[Vector], $B$1021:$B$1029, 0))</f>
        <v>0</v>
      </c>
      <c r="H1240" s="717">
        <f ca="1">INDEX(H$1021:H$1029, MATCH(IX.a.CHP.Outputs[Vector], $B$1021:$B$1029, 0))</f>
        <v>0</v>
      </c>
      <c r="I1240" s="717">
        <f ca="1">INDEX(I$1021:I$1029, MATCH(IX.a.CHP.Outputs[Vector], $B$1021:$B$1029, 0))</f>
        <v>0</v>
      </c>
      <c r="J1240" s="717">
        <f ca="1">INDEX(J$1021:J$1029, MATCH(IX.a.CHP.Outputs[Vector], $B$1021:$B$1029, 0))</f>
        <v>0</v>
      </c>
      <c r="K1240" s="717">
        <f ca="1">INDEX(K$1021:K$1029, MATCH(IX.a.CHP.Outputs[Vector], $B$1021:$B$1029, 0))</f>
        <v>0</v>
      </c>
      <c r="L1240" s="717">
        <f ca="1">INDEX(L$1021:L$1029, MATCH(IX.a.CHP.Outputs[Vector], $B$1021:$B$1029, 0))</f>
        <v>0</v>
      </c>
      <c r="M1240" s="717">
        <f ca="1">INDEX(M$1021:M$1029, MATCH(IX.a.CHP.Outputs[Vector], $B$1021:$B$1029, 0))</f>
        <v>0</v>
      </c>
      <c r="N1240" s="717">
        <f ca="1">INDEX(N$1021:N$1029, MATCH(IX.a.CHP.Outputs[Vector], $B$1021:$B$1029, 0))</f>
        <v>0</v>
      </c>
      <c r="O1240" s="13"/>
    </row>
    <row r="1241" spans="1:25" ht="15.5">
      <c r="A1241" s="434"/>
      <c r="B1241" s="15"/>
      <c r="C1241" s="3930" t="s">
        <v>58</v>
      </c>
      <c r="D1241" s="3930"/>
      <c r="E1241" s="3930"/>
      <c r="F1241" s="3931">
        <f ca="1">SUBTOTAL(109,IX.a.CHP.Outputs[2013])</f>
        <v>0</v>
      </c>
      <c r="G1241" s="3931">
        <f ca="1">SUBTOTAL(109,IX.a.CHP.Outputs[2015])</f>
        <v>0</v>
      </c>
      <c r="H1241" s="3931">
        <f ca="1">SUBTOTAL(109,IX.a.CHP.Outputs[2020])</f>
        <v>0</v>
      </c>
      <c r="I1241" s="3931">
        <f ca="1">SUBTOTAL(109,IX.a.CHP.Outputs[2025])</f>
        <v>0</v>
      </c>
      <c r="J1241" s="3931">
        <f ca="1">SUBTOTAL(109,IX.a.CHP.Outputs[2030])</f>
        <v>0</v>
      </c>
      <c r="K1241" s="3931">
        <f ca="1">SUBTOTAL(109,IX.a.CHP.Outputs[2035])</f>
        <v>0</v>
      </c>
      <c r="L1241" s="3931">
        <f ca="1">SUBTOTAL(109,IX.a.CHP.Outputs[2040])</f>
        <v>0</v>
      </c>
      <c r="M1241" s="3931">
        <f ca="1">SUBTOTAL(109,IX.a.CHP.Outputs[2045])</f>
        <v>0</v>
      </c>
      <c r="N1241" s="3931">
        <f ca="1">SUBTOTAL(109,IX.a.CHP.Outputs[2050])</f>
        <v>0</v>
      </c>
      <c r="O1241" s="13"/>
    </row>
    <row r="1242" spans="1:25" ht="15.5">
      <c r="A1242" s="434"/>
      <c r="B1242" s="11"/>
      <c r="C1242" s="18"/>
      <c r="D1242" s="18"/>
      <c r="E1242" s="18"/>
      <c r="F1242" s="440"/>
      <c r="G1242" s="440"/>
      <c r="H1242" s="440"/>
      <c r="I1242" s="440"/>
      <c r="J1242" s="440"/>
      <c r="K1242" s="440"/>
      <c r="L1242" s="440"/>
      <c r="M1242" s="440"/>
      <c r="N1242" s="440"/>
      <c r="O1242" s="13"/>
    </row>
    <row r="1243" spans="1:25" ht="15.5">
      <c r="A1243" s="434"/>
      <c r="B1243" s="15"/>
      <c r="C1243" s="34" t="s">
        <v>299</v>
      </c>
      <c r="D1243" s="12"/>
      <c r="E1243" s="14"/>
      <c r="F1243" s="12"/>
      <c r="G1243" s="12"/>
      <c r="H1243" s="12"/>
      <c r="I1243" s="12"/>
      <c r="J1243" s="12"/>
      <c r="K1243" s="12"/>
      <c r="L1243" s="12"/>
      <c r="M1243" s="12"/>
      <c r="N1243" s="14" t="str">
        <f>Preferences.EnergyUnits</f>
        <v>TWh</v>
      </c>
      <c r="O1243" s="13"/>
    </row>
    <row r="1244" spans="1:25" ht="15.5">
      <c r="A1244" s="434"/>
      <c r="B1244" s="15"/>
      <c r="C1244" s="12"/>
      <c r="D1244" s="12"/>
      <c r="E1244" s="12"/>
      <c r="F1244" s="12"/>
      <c r="G1244" s="12"/>
      <c r="H1244" s="12"/>
      <c r="I1244" s="12"/>
      <c r="J1244" s="12"/>
      <c r="K1244" s="12"/>
      <c r="L1244" s="12"/>
      <c r="M1244" s="12"/>
      <c r="N1244" s="12"/>
      <c r="O1244" s="13"/>
    </row>
    <row r="1245" spans="1:25" ht="15.5">
      <c r="A1245" s="434"/>
      <c r="B1245" s="15"/>
      <c r="C1245" s="716" t="s">
        <v>28</v>
      </c>
      <c r="D1245" s="716" t="s">
        <v>29</v>
      </c>
      <c r="E1245" s="716" t="s">
        <v>30</v>
      </c>
      <c r="F1245" s="716" t="s">
        <v>588</v>
      </c>
      <c r="G1245" s="716" t="s">
        <v>132</v>
      </c>
      <c r="H1245" s="716" t="s">
        <v>133</v>
      </c>
      <c r="I1245" s="716" t="s">
        <v>134</v>
      </c>
      <c r="J1245" s="716" t="s">
        <v>135</v>
      </c>
      <c r="K1245" s="716" t="s">
        <v>136</v>
      </c>
      <c r="L1245" s="716" t="s">
        <v>137</v>
      </c>
      <c r="M1245" s="716" t="s">
        <v>138</v>
      </c>
      <c r="N1245" s="716" t="s">
        <v>139</v>
      </c>
      <c r="O1245" s="13"/>
    </row>
    <row r="1246" spans="1:25" ht="15.5">
      <c r="A1246" s="434"/>
      <c r="B1246" s="15"/>
      <c r="C1246" s="716" t="s">
        <v>95</v>
      </c>
      <c r="D1246" s="1716" t="str">
        <f>INDEX(Vectors[Description], MATCH(IX.a.Outputs[Vector], Vectors[Code], 0))</f>
        <v>Electricity (delivered to end user)</v>
      </c>
      <c r="E1246" s="716"/>
      <c r="F1246" s="717">
        <f ca="1">INDEX(F$957:F$965, MATCH(IX.a.Outputs[Vector], $B$957:$B$965, 0))</f>
        <v>-0.88256437808531207</v>
      </c>
      <c r="G1246" s="717">
        <f ca="1">INDEX(G$957:G$965, MATCH(IX.a.Outputs[Vector], $B$957:$B$965, 0))</f>
        <v>-0.962793920118858</v>
      </c>
      <c r="H1246" s="717">
        <f ca="1">INDEX(H$957:H$965, MATCH(IX.a.Outputs[Vector], $B$957:$B$965, 0))</f>
        <v>-1.1454171196981839</v>
      </c>
      <c r="I1246" s="717">
        <f ca="1">INDEX(I$957:I$965, MATCH(IX.a.Outputs[Vector], $B$957:$B$965, 0))</f>
        <v>-1.3895260738128647</v>
      </c>
      <c r="J1246" s="717">
        <f ca="1">INDEX(J$957:J$965, MATCH(IX.a.Outputs[Vector], $B$957:$B$965, 0))</f>
        <v>-1.639370956886139</v>
      </c>
      <c r="K1246" s="717">
        <f ca="1">INDEX(K$957:K$965, MATCH(IX.a.Outputs[Vector], $B$957:$B$965, 0))</f>
        <v>-1.9030564366680982</v>
      </c>
      <c r="L1246" s="717">
        <f ca="1">INDEX(L$957:L$965, MATCH(IX.a.Outputs[Vector], $B$957:$B$965, 0))</f>
        <v>-2.1804320076135117</v>
      </c>
      <c r="M1246" s="717">
        <f ca="1">INDEX(M$957:M$965, MATCH(IX.a.Outputs[Vector], $B$957:$B$965, 0))</f>
        <v>-2.4660030407149582</v>
      </c>
      <c r="N1246" s="717">
        <f ca="1">INDEX(N$957:N$965, MATCH(IX.a.Outputs[Vector], $B$957:$B$965, 0))</f>
        <v>-2.76531347349606</v>
      </c>
      <c r="O1246" s="858" t="s">
        <v>5</v>
      </c>
    </row>
    <row r="1247" spans="1:25" ht="15.5">
      <c r="A1247" s="434"/>
      <c r="B1247" s="15"/>
      <c r="C1247" s="716" t="s">
        <v>96</v>
      </c>
      <c r="D1247" s="1716" t="str">
        <f>INDEX(Vectors[Description], MATCH(IX.a.Outputs[Vector], Vectors[Code], 0))</f>
        <v>Electricity (supplied to grid)</v>
      </c>
      <c r="E1247" s="716"/>
      <c r="F1247" s="717">
        <f ca="1">INDEX(F$957:F$965, MATCH(IX.a.Outputs[Vector], $B$957:$B$965, 0))</f>
        <v>0</v>
      </c>
      <c r="G1247" s="717">
        <f ca="1">INDEX(G$957:G$965, MATCH(IX.a.Outputs[Vector], $B$957:$B$965, 0))</f>
        <v>0</v>
      </c>
      <c r="H1247" s="717">
        <f ca="1">INDEX(H$957:H$965, MATCH(IX.a.Outputs[Vector], $B$957:$B$965, 0))</f>
        <v>0</v>
      </c>
      <c r="I1247" s="717">
        <f ca="1">INDEX(I$957:I$965, MATCH(IX.a.Outputs[Vector], $B$957:$B$965, 0))</f>
        <v>0</v>
      </c>
      <c r="J1247" s="717">
        <f ca="1">INDEX(J$957:J$965, MATCH(IX.a.Outputs[Vector], $B$957:$B$965, 0))</f>
        <v>0</v>
      </c>
      <c r="K1247" s="717">
        <f ca="1">INDEX(K$957:K$965, MATCH(IX.a.Outputs[Vector], $B$957:$B$965, 0))</f>
        <v>0</v>
      </c>
      <c r="L1247" s="717">
        <f ca="1">INDEX(L$957:L$965, MATCH(IX.a.Outputs[Vector], $B$957:$B$965, 0))</f>
        <v>0</v>
      </c>
      <c r="M1247" s="717">
        <f ca="1">INDEX(M$957:M$965, MATCH(IX.a.Outputs[Vector], $B$957:$B$965, 0))</f>
        <v>0</v>
      </c>
      <c r="N1247" s="717">
        <f ca="1">INDEX(N$957:N$965, MATCH(IX.a.Outputs[Vector], $B$957:$B$965, 0))</f>
        <v>0</v>
      </c>
      <c r="O1247" s="13"/>
    </row>
    <row r="1248" spans="1:25" ht="23.5">
      <c r="A1248" s="7"/>
      <c r="B1248" s="15"/>
      <c r="C1248" s="716" t="s">
        <v>97</v>
      </c>
      <c r="D1248" s="1716" t="str">
        <f>INDEX(Vectors[Description], MATCH(IX.a.Outputs[Vector], Vectors[Code], 0))</f>
        <v>Solid hydrocarbons</v>
      </c>
      <c r="E1248" s="716"/>
      <c r="F1248" s="717">
        <f ca="1">INDEX(F$957:F$965, MATCH(IX.a.Outputs[Vector], $B$957:$B$965, 0))</f>
        <v>-0.41220752781623782</v>
      </c>
      <c r="G1248" s="717">
        <f ca="1">INDEX(G$957:G$965, MATCH(IX.a.Outputs[Vector], $B$957:$B$965, 0))</f>
        <v>-0.38937857957942934</v>
      </c>
      <c r="H1248" s="717">
        <f ca="1">INDEX(H$957:H$965, MATCH(IX.a.Outputs[Vector], $B$957:$B$965, 0))</f>
        <v>-0.32773892123175546</v>
      </c>
      <c r="I1248" s="717">
        <f ca="1">INDEX(I$957:I$965, MATCH(IX.a.Outputs[Vector], $B$957:$B$965, 0))</f>
        <v>-0.28209903725583046</v>
      </c>
      <c r="J1248" s="717">
        <f ca="1">INDEX(J$957:J$965, MATCH(IX.a.Outputs[Vector], $B$957:$B$965, 0))</f>
        <v>-0.23181941749696361</v>
      </c>
      <c r="K1248" s="717">
        <f ca="1">INDEX(K$957:K$965, MATCH(IX.a.Outputs[Vector], $B$957:$B$965, 0))</f>
        <v>-0.17871552254345516</v>
      </c>
      <c r="L1248" s="717">
        <f ca="1">INDEX(L$957:L$965, MATCH(IX.a.Outputs[Vector], $B$957:$B$965, 0))</f>
        <v>-0.12248271111511547</v>
      </c>
      <c r="M1248" s="717">
        <f ca="1">INDEX(M$957:M$965, MATCH(IX.a.Outputs[Vector], $B$957:$B$965, 0))</f>
        <v>-6.2808803458401619E-2</v>
      </c>
      <c r="N1248" s="717">
        <f ca="1">INDEX(N$957:N$965, MATCH(IX.a.Outputs[Vector], $B$957:$B$965, 0))</f>
        <v>0</v>
      </c>
      <c r="O1248" s="13"/>
    </row>
    <row r="1249" spans="1:15" ht="23.5">
      <c r="A1249" s="7"/>
      <c r="B1249" s="15"/>
      <c r="C1249" s="716" t="s">
        <v>98</v>
      </c>
      <c r="D1249" s="1716" t="str">
        <f>INDEX(Vectors[Description], MATCH(IX.a.Outputs[Vector], Vectors[Code], 0))</f>
        <v>Liquid hydrocarbons</v>
      </c>
      <c r="E1249" s="716"/>
      <c r="F1249" s="717">
        <f ca="1">INDEX(F$957:F$965, MATCH(IX.a.Outputs[Vector], $B$957:$B$965, 0))</f>
        <v>-15.256778003771721</v>
      </c>
      <c r="G1249" s="717">
        <f ca="1">INDEX(G$957:G$965, MATCH(IX.a.Outputs[Vector], $B$957:$B$965, 0))</f>
        <v>-14.411824499031621</v>
      </c>
      <c r="H1249" s="717">
        <f ca="1">INDEX(H$957:H$965, MATCH(IX.a.Outputs[Vector], $B$957:$B$965, 0))</f>
        <v>-12.130394587693283</v>
      </c>
      <c r="I1249" s="717">
        <f ca="1">INDEX(I$957:I$965, MATCH(IX.a.Outputs[Vector], $B$957:$B$965, 0))</f>
        <v>-10.441154263462709</v>
      </c>
      <c r="J1249" s="717">
        <f ca="1">INDEX(J$957:J$965, MATCH(IX.a.Outputs[Vector], $B$957:$B$965, 0))</f>
        <v>-8.5801863164700922</v>
      </c>
      <c r="K1249" s="717">
        <f ca="1">INDEX(K$957:K$965, MATCH(IX.a.Outputs[Vector], $B$957:$B$965, 0))</f>
        <v>-6.6146852477887945</v>
      </c>
      <c r="L1249" s="717">
        <f ca="1">INDEX(L$957:L$965, MATCH(IX.a.Outputs[Vector], $B$957:$B$965, 0))</f>
        <v>-4.5333755612936892</v>
      </c>
      <c r="M1249" s="717">
        <f ca="1">INDEX(M$957:M$965, MATCH(IX.a.Outputs[Vector], $B$957:$B$965, 0))</f>
        <v>-2.324702744086121</v>
      </c>
      <c r="N1249" s="717">
        <f ca="1">INDEX(N$957:N$965, MATCH(IX.a.Outputs[Vector], $B$957:$B$965, 0))</f>
        <v>0</v>
      </c>
      <c r="O1249" s="13"/>
    </row>
    <row r="1250" spans="1:15" ht="15.5">
      <c r="B1250" s="15"/>
      <c r="C1250" s="716" t="s">
        <v>99</v>
      </c>
      <c r="D1250" s="1716" t="str">
        <f>INDEX(Vectors[Description], MATCH(IX.a.Outputs[Vector], Vectors[Code], 0))</f>
        <v>Gaseous hydrocarbons</v>
      </c>
      <c r="E1250" s="716"/>
      <c r="F1250" s="717">
        <f ca="1">INDEX(F$957:F$965, MATCH(IX.a.Outputs[Vector], $B$957:$B$965, 0))</f>
        <v>-9.4463708573767775</v>
      </c>
      <c r="G1250" s="717">
        <f ca="1">INDEX(G$957:G$965, MATCH(IX.a.Outputs[Vector], $B$957:$B$965, 0))</f>
        <v>-10.199540735750485</v>
      </c>
      <c r="H1250" s="717">
        <f ca="1">INDEX(H$957:H$965, MATCH(IX.a.Outputs[Vector], $B$957:$B$965, 0))</f>
        <v>-11.897301948776613</v>
      </c>
      <c r="I1250" s="717">
        <f ca="1">INDEX(I$957:I$965, MATCH(IX.a.Outputs[Vector], $B$957:$B$965, 0))</f>
        <v>-14.23206774476146</v>
      </c>
      <c r="J1250" s="717">
        <f ca="1">INDEX(J$957:J$965, MATCH(IX.a.Outputs[Vector], $B$957:$B$965, 0))</f>
        <v>-16.615606470158163</v>
      </c>
      <c r="K1250" s="717">
        <f ca="1">INDEX(K$957:K$965, MATCH(IX.a.Outputs[Vector], $B$957:$B$965, 0))</f>
        <v>-19.131212438602503</v>
      </c>
      <c r="L1250" s="717">
        <f ca="1">INDEX(L$957:L$965, MATCH(IX.a.Outputs[Vector], $B$957:$B$965, 0))</f>
        <v>-21.776894734744477</v>
      </c>
      <c r="M1250" s="717">
        <f ca="1">INDEX(M$957:M$965, MATCH(IX.a.Outputs[Vector], $B$957:$B$965, 0))</f>
        <v>-24.497783683989923</v>
      </c>
      <c r="N1250" s="717">
        <f ca="1">INDEX(N$957:N$965, MATCH(IX.a.Outputs[Vector], $B$957:$B$965, 0))</f>
        <v>-27.349254133477515</v>
      </c>
      <c r="O1250" s="13"/>
    </row>
    <row r="1251" spans="1:15" ht="15.5">
      <c r="B1251" s="15"/>
      <c r="C1251" s="716" t="s">
        <v>100</v>
      </c>
      <c r="D1251" s="1716" t="str">
        <f>INDEX(Vectors[Description], MATCH(IX.a.Outputs[Vector], Vectors[Code], 0))</f>
        <v>Heat transport</v>
      </c>
      <c r="E1251" s="716"/>
      <c r="F1251" s="717">
        <f ca="1">INDEX(F$957:F$965, MATCH(IX.a.Outputs[Vector], $B$957:$B$965, 0))</f>
        <v>0</v>
      </c>
      <c r="G1251" s="717">
        <f ca="1">INDEX(G$957:G$965, MATCH(IX.a.Outputs[Vector], $B$957:$B$965, 0))</f>
        <v>0</v>
      </c>
      <c r="H1251" s="717">
        <f ca="1">INDEX(H$957:H$965, MATCH(IX.a.Outputs[Vector], $B$957:$B$965, 0))</f>
        <v>0</v>
      </c>
      <c r="I1251" s="717">
        <f ca="1">INDEX(I$957:I$965, MATCH(IX.a.Outputs[Vector], $B$957:$B$965, 0))</f>
        <v>0</v>
      </c>
      <c r="J1251" s="717">
        <f ca="1">INDEX(J$957:J$965, MATCH(IX.a.Outputs[Vector], $B$957:$B$965, 0))</f>
        <v>0</v>
      </c>
      <c r="K1251" s="717">
        <f ca="1">INDEX(K$957:K$965, MATCH(IX.a.Outputs[Vector], $B$957:$B$965, 0))</f>
        <v>0</v>
      </c>
      <c r="L1251" s="717">
        <f ca="1">INDEX(L$957:L$965, MATCH(IX.a.Outputs[Vector], $B$957:$B$965, 0))</f>
        <v>0</v>
      </c>
      <c r="M1251" s="717">
        <f ca="1">INDEX(M$957:M$965, MATCH(IX.a.Outputs[Vector], $B$957:$B$965, 0))</f>
        <v>0</v>
      </c>
      <c r="N1251" s="717">
        <f ca="1">INDEX(N$957:N$965, MATCH(IX.a.Outputs[Vector], $B$957:$B$965, 0))</f>
        <v>0</v>
      </c>
      <c r="O1251" s="13"/>
    </row>
    <row r="1252" spans="1:15" ht="15.5">
      <c r="B1252" s="15"/>
      <c r="C1252" s="716" t="s">
        <v>31</v>
      </c>
      <c r="D1252" s="1716" t="str">
        <f>INDEX(Vectors[Description], MATCH(IX.a.Outputs[Vector], Vectors[Code], 0))</f>
        <v>Domestic solar thermal</v>
      </c>
      <c r="E1252" s="716"/>
      <c r="F1252" s="717">
        <f t="shared" ref="F1252:N1252" ca="1" si="184">-F$758</f>
        <v>-4.1054887428987621E-2</v>
      </c>
      <c r="G1252" s="717">
        <f t="shared" ca="1" si="184"/>
        <v>-5.2915063522883464E-2</v>
      </c>
      <c r="H1252" s="717">
        <f t="shared" ca="1" si="184"/>
        <v>-5.5796848364472185E-2</v>
      </c>
      <c r="I1252" s="717">
        <f t="shared" ca="1" si="184"/>
        <v>-5.8662240154226032E-2</v>
      </c>
      <c r="J1252" s="717">
        <f t="shared" ca="1" si="184"/>
        <v>-7.0129937567812564E-2</v>
      </c>
      <c r="K1252" s="717">
        <f t="shared" ca="1" si="184"/>
        <v>-7.3391639360886121E-2</v>
      </c>
      <c r="L1252" s="717">
        <f t="shared" ca="1" si="184"/>
        <v>-7.68227714428798E-2</v>
      </c>
      <c r="M1252" s="717">
        <f t="shared" ca="1" si="184"/>
        <v>-8.0232994859916751E-2</v>
      </c>
      <c r="N1252" s="717">
        <f t="shared" ca="1" si="184"/>
        <v>-8.3820866458489254E-2</v>
      </c>
      <c r="O1252" s="13"/>
    </row>
    <row r="1253" spans="1:15" ht="15.5">
      <c r="B1253" s="15"/>
      <c r="C1253" s="716" t="s">
        <v>101</v>
      </c>
      <c r="D1253" s="1716" t="str">
        <f>INDEX(Vectors[Description], MATCH(IX.a.Outputs[Vector], Vectors[Code], 0))</f>
        <v>Environmental heat</v>
      </c>
      <c r="E1253" s="716"/>
      <c r="F1253" s="717">
        <f ca="1">INDEX(F$957:F$965, MATCH(IX.a.Outputs[Vector], $B$957:$B$965, 0))</f>
        <v>-4.9849049835017811E-2</v>
      </c>
      <c r="G1253" s="717">
        <f ca="1">INDEX(G$957:G$965, MATCH(IX.a.Outputs[Vector], $B$957:$B$965, 0))</f>
        <v>-4.7031613264707811E-2</v>
      </c>
      <c r="H1253" s="717">
        <f ca="1">INDEX(H$957:H$965, MATCH(IX.a.Outputs[Vector], $B$957:$B$965, 0))</f>
        <v>-3.9468326861689378E-2</v>
      </c>
      <c r="I1253" s="717">
        <f ca="1">INDEX(I$957:I$965, MATCH(IX.a.Outputs[Vector], $B$957:$B$965, 0))</f>
        <v>-3.3945668180055968E-2</v>
      </c>
      <c r="J1253" s="717">
        <f ca="1">INDEX(J$957:J$965, MATCH(IX.a.Outputs[Vector], $B$957:$B$965, 0))</f>
        <v>-2.7874293752023344E-2</v>
      </c>
      <c r="K1253" s="717">
        <f ca="1">INDEX(K$957:K$965, MATCH(IX.a.Outputs[Vector], $B$957:$B$965, 0))</f>
        <v>-2.147145376152286E-2</v>
      </c>
      <c r="L1253" s="717">
        <f ca="1">INDEX(L$957:L$965, MATCH(IX.a.Outputs[Vector], $B$957:$B$965, 0))</f>
        <v>-1.4703140991588266E-2</v>
      </c>
      <c r="M1253" s="717">
        <f ca="1">INDEX(M$957:M$965, MATCH(IX.a.Outputs[Vector], $B$957:$B$965, 0))</f>
        <v>-7.5332570838156426E-3</v>
      </c>
      <c r="N1253" s="717">
        <f ca="1">INDEX(N$957:N$965, MATCH(IX.a.Outputs[Vector], $B$957:$B$965, 0))</f>
        <v>0</v>
      </c>
      <c r="O1253" s="13"/>
    </row>
    <row r="1254" spans="1:15" ht="15.5">
      <c r="B1254" s="15"/>
      <c r="C1254" s="716" t="s">
        <v>102</v>
      </c>
      <c r="D1254" s="1716" t="str">
        <f>INDEX(Vectors[Description], MATCH(IX.a.Outputs[Vector], Vectors[Code], 0))</f>
        <v>Heating and cooling</v>
      </c>
      <c r="E1254" s="1717"/>
      <c r="F1254" s="717">
        <f ca="1">F$964+F$965+F$758</f>
        <v>26.088824704314053</v>
      </c>
      <c r="G1254" s="717">
        <f t="shared" ref="G1254:N1254" ca="1" si="185">G$964+G$965+G$758</f>
        <v>26.063484411267986</v>
      </c>
      <c r="H1254" s="717">
        <f t="shared" ca="1" si="185"/>
        <v>25.596117752625997</v>
      </c>
      <c r="I1254" s="717">
        <f t="shared" ca="1" si="185"/>
        <v>26.437455027627145</v>
      </c>
      <c r="J1254" s="717">
        <f t="shared" ca="1" si="185"/>
        <v>27.164987392331195</v>
      </c>
      <c r="K1254" s="717">
        <f t="shared" ca="1" si="185"/>
        <v>27.922532738725263</v>
      </c>
      <c r="L1254" s="717">
        <f t="shared" ca="1" si="185"/>
        <v>28.704710927201262</v>
      </c>
      <c r="M1254" s="717">
        <f t="shared" ca="1" si="185"/>
        <v>29.439064524193139</v>
      </c>
      <c r="N1254" s="717">
        <f t="shared" ca="1" si="185"/>
        <v>30.198388473432065</v>
      </c>
      <c r="O1254" s="13"/>
    </row>
    <row r="1255" spans="1:15" ht="15.5">
      <c r="B1255" s="35"/>
      <c r="C1255" s="2433" t="s">
        <v>58</v>
      </c>
      <c r="D1255" s="2433"/>
      <c r="E1255" s="2433"/>
      <c r="F1255" s="2434">
        <f ca="1">SUBTOTAL(109,IX.a.Outputs[2013])</f>
        <v>0</v>
      </c>
      <c r="G1255" s="2434">
        <f ca="1">SUBTOTAL(109,IX.a.Outputs[2015])</f>
        <v>0</v>
      </c>
      <c r="H1255" s="2434">
        <f ca="1">SUBTOTAL(109,IX.a.Outputs[2020])</f>
        <v>0</v>
      </c>
      <c r="I1255" s="2434">
        <f ca="1">SUBTOTAL(109,IX.a.Outputs[2025])</f>
        <v>0</v>
      </c>
      <c r="J1255" s="2434">
        <f ca="1">SUBTOTAL(109,IX.a.Outputs[2030])</f>
        <v>0</v>
      </c>
      <c r="K1255" s="2434">
        <f ca="1">SUBTOTAL(109,IX.a.Outputs[2035])</f>
        <v>0</v>
      </c>
      <c r="L1255" s="2434">
        <f ca="1">SUBTOTAL(109,IX.a.Outputs[2040])</f>
        <v>0</v>
      </c>
      <c r="M1255" s="2434">
        <f ca="1">SUBTOTAL(109,IX.a.Outputs[2045])</f>
        <v>0</v>
      </c>
      <c r="N1255" s="2434">
        <f ca="1">SUBTOTAL(109,IX.a.Outputs[2050])</f>
        <v>0</v>
      </c>
      <c r="O1255" s="35"/>
    </row>
    <row r="1256" spans="1:15" ht="15.5">
      <c r="B1256" s="35"/>
      <c r="C1256" s="442"/>
      <c r="D1256" s="443" t="s">
        <v>5</v>
      </c>
      <c r="E1256" s="442"/>
      <c r="F1256" s="442"/>
      <c r="G1256" s="442"/>
      <c r="H1256" s="442"/>
      <c r="I1256" s="442"/>
      <c r="J1256" s="442"/>
      <c r="K1256" s="442"/>
      <c r="L1256" s="442"/>
      <c r="M1256" s="442"/>
      <c r="N1256" s="442"/>
      <c r="O1256" s="35"/>
    </row>
    <row r="1257" spans="1:15">
      <c r="C1257" s="4151" t="s">
        <v>3456</v>
      </c>
      <c r="E1257" s="3052" t="s">
        <v>5</v>
      </c>
      <c r="F1257" s="4159">
        <f ca="1">F1258/F853*10^9</f>
        <v>18858.005678049489</v>
      </c>
      <c r="G1257" s="4159"/>
      <c r="H1257" s="4159"/>
      <c r="I1257" s="4159"/>
      <c r="J1257" s="4159"/>
      <c r="K1257" s="4159"/>
      <c r="L1257" s="4159"/>
      <c r="M1257" s="4159"/>
      <c r="N1257" s="4159">
        <f ca="1">N1258/N853*10^9</f>
        <v>15404.218070388526</v>
      </c>
    </row>
    <row r="1258" spans="1:15" ht="15.5">
      <c r="B1258" s="445" t="s">
        <v>300</v>
      </c>
      <c r="C1258" s="446"/>
      <c r="D1258" s="447"/>
      <c r="E1258" s="447"/>
      <c r="F1258" s="4220">
        <f ca="1">F1254+X.a!F182</f>
        <v>31.542864486470904</v>
      </c>
      <c r="G1258" s="447"/>
      <c r="H1258" s="447"/>
      <c r="I1258" s="447"/>
      <c r="J1258" s="447"/>
      <c r="K1258" s="447"/>
      <c r="L1258" s="447"/>
      <c r="M1258" s="447"/>
      <c r="N1258" s="4220">
        <f ca="1">N1254+X.a!N182</f>
        <v>36.823947803316322</v>
      </c>
      <c r="O1258" s="448"/>
    </row>
    <row r="1259" spans="1:15">
      <c r="B1259" s="449"/>
      <c r="C1259" s="450"/>
      <c r="D1259" s="450"/>
      <c r="E1259" s="450"/>
      <c r="F1259" s="450"/>
      <c r="G1259" s="450"/>
      <c r="H1259" s="450"/>
      <c r="I1259" s="450"/>
      <c r="J1259" s="450"/>
      <c r="K1259" s="450"/>
      <c r="L1259" s="450"/>
      <c r="M1259" s="450"/>
      <c r="N1259" s="450"/>
      <c r="O1259" s="451"/>
    </row>
    <row r="1260" spans="1:15">
      <c r="B1260" s="452"/>
      <c r="C1260" s="453" t="s">
        <v>301</v>
      </c>
      <c r="D1260" s="454"/>
      <c r="E1260" s="455"/>
      <c r="F1260" s="454"/>
      <c r="G1260" s="454"/>
      <c r="H1260" s="454"/>
      <c r="I1260" s="454"/>
      <c r="J1260" s="454"/>
      <c r="K1260" s="454"/>
      <c r="L1260" s="454"/>
      <c r="M1260" s="454"/>
      <c r="N1260" s="455" t="s">
        <v>251</v>
      </c>
      <c r="O1260" s="456"/>
    </row>
    <row r="1261" spans="1:15">
      <c r="B1261" s="452"/>
      <c r="C1261" s="454"/>
      <c r="D1261" s="454"/>
      <c r="E1261" s="454"/>
      <c r="F1261" s="454"/>
      <c r="G1261" s="454"/>
      <c r="H1261" s="454"/>
      <c r="I1261" s="454"/>
      <c r="J1261" s="454"/>
      <c r="K1261" s="454"/>
      <c r="L1261" s="454"/>
      <c r="M1261" s="454"/>
      <c r="N1261" s="454"/>
      <c r="O1261" s="456"/>
    </row>
    <row r="1262" spans="1:15">
      <c r="B1262" s="452"/>
      <c r="C1262" s="457" t="s">
        <v>302</v>
      </c>
      <c r="D1262" s="457" t="s">
        <v>303</v>
      </c>
      <c r="E1262" s="457" t="s">
        <v>30</v>
      </c>
      <c r="F1262" s="457" t="s">
        <v>588</v>
      </c>
      <c r="G1262" s="457" t="s">
        <v>132</v>
      </c>
      <c r="H1262" s="457" t="s">
        <v>133</v>
      </c>
      <c r="I1262" s="457" t="s">
        <v>134</v>
      </c>
      <c r="J1262" s="457" t="s">
        <v>135</v>
      </c>
      <c r="K1262" s="457" t="s">
        <v>136</v>
      </c>
      <c r="L1262" s="457" t="s">
        <v>137</v>
      </c>
      <c r="M1262" s="457" t="s">
        <v>138</v>
      </c>
      <c r="N1262" s="457" t="s">
        <v>139</v>
      </c>
      <c r="O1262" s="456"/>
    </row>
    <row r="1263" spans="1:15" ht="15.5">
      <c r="B1263" s="458"/>
      <c r="C1263" s="459" t="s">
        <v>250</v>
      </c>
      <c r="D1263" s="460" t="s">
        <v>304</v>
      </c>
      <c r="E1263" s="460" t="str">
        <f>INDEX(IPCC[Sector_description], MATCH(IX.a.NoCHP.Emissions[IPCC Sector], IPCC[Sector_code], 0))</f>
        <v>Fuel Combustion</v>
      </c>
      <c r="F1263" s="461">
        <f t="shared" ref="F1263:N1263" ca="1" si="186">F1279-F1271</f>
        <v>6.0990014520418683</v>
      </c>
      <c r="G1263" s="461">
        <f t="shared" ca="1" si="186"/>
        <v>6.0225173982223836</v>
      </c>
      <c r="H1263" s="461">
        <f t="shared" ca="1" si="186"/>
        <v>5.747250456676066</v>
      </c>
      <c r="I1263" s="461">
        <f t="shared" ca="1" si="186"/>
        <v>5.7640607282274017</v>
      </c>
      <c r="J1263" s="461">
        <f t="shared" ca="1" si="186"/>
        <v>5.7439738885905971</v>
      </c>
      <c r="K1263" s="461">
        <f t="shared" ca="1" si="186"/>
        <v>5.7223862747105132</v>
      </c>
      <c r="L1263" s="461">
        <f t="shared" ca="1" si="186"/>
        <v>5.6958120723699412</v>
      </c>
      <c r="M1263" s="461">
        <f t="shared" ca="1" si="186"/>
        <v>5.6498638922010365</v>
      </c>
      <c r="N1263" s="461">
        <f t="shared" ca="1" si="186"/>
        <v>5.5989721253104765</v>
      </c>
      <c r="O1263" s="456"/>
    </row>
    <row r="1264" spans="1:15" ht="15.5">
      <c r="B1264" s="458"/>
      <c r="C1264" s="459" t="s">
        <v>252</v>
      </c>
      <c r="D1264" s="460" t="s">
        <v>304</v>
      </c>
      <c r="E1264" s="460" t="str">
        <f>INDEX(IPCC[Sector_description], MATCH(IX.a.NoCHP.Emissions[IPCC Sector], IPCC[Sector_code], 0))</f>
        <v>Fuel Combustion</v>
      </c>
      <c r="F1264" s="461">
        <f t="shared" ref="F1264:N1264" ca="1" si="187">F1280-F1272</f>
        <v>4.1961969104451465E-3</v>
      </c>
      <c r="G1264" s="461">
        <f t="shared" ca="1" si="187"/>
        <v>4.0602929904344515E-3</v>
      </c>
      <c r="H1264" s="461">
        <f t="shared" ca="1" si="187"/>
        <v>3.6679534635279333E-3</v>
      </c>
      <c r="I1264" s="461">
        <f t="shared" ca="1" si="187"/>
        <v>3.4589267895088873E-3</v>
      </c>
      <c r="J1264" s="461">
        <f t="shared" ca="1" si="187"/>
        <v>3.2143939892933134E-3</v>
      </c>
      <c r="K1264" s="461">
        <f t="shared" ca="1" si="187"/>
        <v>2.9559879000098472E-3</v>
      </c>
      <c r="L1264" s="461">
        <f t="shared" ca="1" si="187"/>
        <v>2.680984604320303E-3</v>
      </c>
      <c r="M1264" s="461">
        <f t="shared" ca="1" si="187"/>
        <v>2.3825988707473892E-3</v>
      </c>
      <c r="N1264" s="461">
        <f t="shared" ca="1" si="187"/>
        <v>2.0676036124909003E-3</v>
      </c>
      <c r="O1264" s="456"/>
    </row>
    <row r="1265" spans="2:22" ht="15.5">
      <c r="B1265" s="458"/>
      <c r="C1265" s="459" t="s">
        <v>253</v>
      </c>
      <c r="D1265" s="460" t="s">
        <v>304</v>
      </c>
      <c r="E1265" s="460" t="str">
        <f>INDEX(IPCC[Sector_description], MATCH(IX.a.NoCHP.Emissions[IPCC Sector], IPCC[Sector_code], 0))</f>
        <v>Fuel Combustion</v>
      </c>
      <c r="F1265" s="461">
        <f t="shared" ref="F1265:N1265" ca="1" si="188">F1281-F1273</f>
        <v>4.1018184994661207E-2</v>
      </c>
      <c r="G1265" s="461">
        <f t="shared" ca="1" si="188"/>
        <v>4.2877224569139769E-2</v>
      </c>
      <c r="H1265" s="461">
        <f t="shared" ca="1" si="188"/>
        <v>4.6809818560987371E-2</v>
      </c>
      <c r="I1265" s="461">
        <f t="shared" ca="1" si="188"/>
        <v>5.3209472206749368E-2</v>
      </c>
      <c r="J1265" s="461">
        <f t="shared" ca="1" si="188"/>
        <v>5.9649396772491557E-2</v>
      </c>
      <c r="K1265" s="461">
        <f t="shared" ca="1" si="188"/>
        <v>6.6445172439791769E-2</v>
      </c>
      <c r="L1265" s="461">
        <f t="shared" ca="1" si="188"/>
        <v>7.3582635748171518E-2</v>
      </c>
      <c r="M1265" s="461">
        <f t="shared" ca="1" si="188"/>
        <v>8.0876295384634839E-2</v>
      </c>
      <c r="N1265" s="461">
        <f t="shared" ca="1" si="188"/>
        <v>8.8513126077586629E-2</v>
      </c>
      <c r="O1265" s="456"/>
    </row>
    <row r="1266" spans="2:22" ht="15.5">
      <c r="B1266" s="458"/>
      <c r="C1266" s="3053" t="s">
        <v>58</v>
      </c>
      <c r="D1266" s="3053"/>
      <c r="E1266" s="3053"/>
      <c r="F1266" s="2437">
        <f ca="1">SUBTOTAL(109,IX.a.NoCHP.Emissions[2013])</f>
        <v>6.1442158339469746</v>
      </c>
      <c r="G1266" s="2437">
        <f ca="1">SUBTOTAL(109,IX.a.NoCHP.Emissions[2015])</f>
        <v>6.0694549157819582</v>
      </c>
      <c r="H1266" s="2437">
        <f ca="1">SUBTOTAL(109,IX.a.NoCHP.Emissions[2020])</f>
        <v>5.7977282287005814</v>
      </c>
      <c r="I1266" s="2437">
        <f ca="1">SUBTOTAL(109,IX.a.NoCHP.Emissions[2025])</f>
        <v>5.8207291272236601</v>
      </c>
      <c r="J1266" s="2437">
        <f ca="1">SUBTOTAL(109,IX.a.NoCHP.Emissions[2030])</f>
        <v>5.8068376793523822</v>
      </c>
      <c r="K1266" s="2437">
        <f ca="1">SUBTOTAL(109,IX.a.NoCHP.Emissions[2035])</f>
        <v>5.7917874350503151</v>
      </c>
      <c r="L1266" s="2437">
        <f ca="1">SUBTOTAL(109,IX.a.NoCHP.Emissions[2040])</f>
        <v>5.7720756927224333</v>
      </c>
      <c r="M1266" s="2437">
        <f ca="1">SUBTOTAL(109,IX.a.NoCHP.Emissions[2045])</f>
        <v>5.7331227864564189</v>
      </c>
      <c r="N1266" s="2437">
        <f ca="1">SUBTOTAL(109,IX.a.NoCHP.Emissions[2050])</f>
        <v>5.6895528550005539</v>
      </c>
      <c r="O1266" s="456"/>
    </row>
    <row r="1267" spans="2:22">
      <c r="B1267" s="452"/>
      <c r="C1267" s="459"/>
      <c r="D1267" s="459"/>
      <c r="E1267" s="459"/>
      <c r="F1267" s="462"/>
      <c r="G1267" s="462"/>
      <c r="H1267" s="462"/>
      <c r="I1267" s="462"/>
      <c r="J1267" s="462"/>
      <c r="K1267" s="462"/>
      <c r="L1267" s="462"/>
      <c r="M1267" s="462"/>
      <c r="N1267" s="462"/>
      <c r="O1267" s="456"/>
    </row>
    <row r="1268" spans="2:22">
      <c r="B1268" s="452"/>
      <c r="C1268" s="453" t="s">
        <v>306</v>
      </c>
      <c r="D1268" s="454"/>
      <c r="E1268" s="455"/>
      <c r="F1268" s="454"/>
      <c r="G1268" s="454"/>
      <c r="H1268" s="454"/>
      <c r="I1268" s="454"/>
      <c r="J1268" s="454"/>
      <c r="K1268" s="454"/>
      <c r="L1268" s="454"/>
      <c r="M1268" s="454"/>
      <c r="N1268" s="455" t="s">
        <v>251</v>
      </c>
      <c r="O1268" s="456"/>
    </row>
    <row r="1269" spans="2:22">
      <c r="B1269" s="452"/>
      <c r="C1269" s="454"/>
      <c r="D1269" s="454"/>
      <c r="E1269" s="454"/>
      <c r="F1269" s="454"/>
      <c r="G1269" s="454"/>
      <c r="H1269" s="454"/>
      <c r="I1269" s="454"/>
      <c r="J1269" s="454"/>
      <c r="K1269" s="454"/>
      <c r="L1269" s="454"/>
      <c r="M1269" s="454"/>
      <c r="N1269" s="454"/>
      <c r="O1269" s="456"/>
    </row>
    <row r="1270" spans="2:22" ht="15.5">
      <c r="B1270" s="458"/>
      <c r="C1270" s="457" t="s">
        <v>302</v>
      </c>
      <c r="D1270" s="457" t="s">
        <v>303</v>
      </c>
      <c r="E1270" s="457" t="s">
        <v>30</v>
      </c>
      <c r="F1270" s="457" t="s">
        <v>588</v>
      </c>
      <c r="G1270" s="457" t="s">
        <v>132</v>
      </c>
      <c r="H1270" s="457" t="s">
        <v>133</v>
      </c>
      <c r="I1270" s="457" t="s">
        <v>134</v>
      </c>
      <c r="J1270" s="457" t="s">
        <v>135</v>
      </c>
      <c r="K1270" s="457" t="s">
        <v>136</v>
      </c>
      <c r="L1270" s="457" t="s">
        <v>137</v>
      </c>
      <c r="M1270" s="457" t="s">
        <v>138</v>
      </c>
      <c r="N1270" s="457" t="s">
        <v>139</v>
      </c>
      <c r="O1270" s="456"/>
    </row>
    <row r="1271" spans="2:22" ht="15.5">
      <c r="B1271" s="458"/>
      <c r="C1271" s="459" t="s">
        <v>250</v>
      </c>
      <c r="D1271" s="460" t="s">
        <v>304</v>
      </c>
      <c r="E1271" s="460" t="str">
        <f>INDEX(IPCC[Sector_description], MATCH(IX.a.CHP.Emissions[IPCC Sector], IPCC[Sector_code], 0))</f>
        <v>Fuel Combustion</v>
      </c>
      <c r="F1271" s="461">
        <v>0</v>
      </c>
      <c r="G1271" s="461">
        <v>0</v>
      </c>
      <c r="H1271" s="461">
        <v>0</v>
      </c>
      <c r="I1271" s="461">
        <v>0</v>
      </c>
      <c r="J1271" s="461">
        <v>0</v>
      </c>
      <c r="K1271" s="461">
        <v>0</v>
      </c>
      <c r="L1271" s="461">
        <v>0</v>
      </c>
      <c r="M1271" s="461">
        <v>0</v>
      </c>
      <c r="N1271" s="461">
        <v>0</v>
      </c>
      <c r="O1271" s="456"/>
    </row>
    <row r="1272" spans="2:22" ht="15.5">
      <c r="B1272" s="458"/>
      <c r="C1272" s="459" t="s">
        <v>252</v>
      </c>
      <c r="D1272" s="460" t="s">
        <v>304</v>
      </c>
      <c r="E1272" s="460" t="str">
        <f>INDEX(IPCC[Sector_description], MATCH(IX.a.CHP.Emissions[IPCC Sector], IPCC[Sector_code], 0))</f>
        <v>Fuel Combustion</v>
      </c>
      <c r="F1272" s="461">
        <v>0</v>
      </c>
      <c r="G1272" s="461">
        <v>0</v>
      </c>
      <c r="H1272" s="461">
        <v>0</v>
      </c>
      <c r="I1272" s="461">
        <v>0</v>
      </c>
      <c r="J1272" s="461">
        <v>0</v>
      </c>
      <c r="K1272" s="461">
        <v>0</v>
      </c>
      <c r="L1272" s="461">
        <v>0</v>
      </c>
      <c r="M1272" s="461">
        <v>0</v>
      </c>
      <c r="N1272" s="461">
        <v>0</v>
      </c>
      <c r="O1272" s="456"/>
    </row>
    <row r="1273" spans="2:22" ht="15.5">
      <c r="B1273" s="458"/>
      <c r="C1273" s="459" t="s">
        <v>253</v>
      </c>
      <c r="D1273" s="460" t="s">
        <v>304</v>
      </c>
      <c r="E1273" s="460" t="str">
        <f>INDEX(IPCC[Sector_description], MATCH(IX.a.CHP.Emissions[IPCC Sector], IPCC[Sector_code], 0))</f>
        <v>Fuel Combustion</v>
      </c>
      <c r="F1273" s="461">
        <v>0</v>
      </c>
      <c r="G1273" s="461">
        <v>0</v>
      </c>
      <c r="H1273" s="461">
        <v>0</v>
      </c>
      <c r="I1273" s="461">
        <v>0</v>
      </c>
      <c r="J1273" s="461">
        <v>0</v>
      </c>
      <c r="K1273" s="461">
        <v>0</v>
      </c>
      <c r="L1273" s="461">
        <v>0</v>
      </c>
      <c r="M1273" s="461">
        <v>0</v>
      </c>
      <c r="N1273" s="461">
        <v>0</v>
      </c>
      <c r="O1273" s="456"/>
    </row>
    <row r="1274" spans="2:22" ht="15.5">
      <c r="B1274" s="458"/>
      <c r="C1274" s="3053" t="s">
        <v>58</v>
      </c>
      <c r="D1274" s="3053"/>
      <c r="E1274" s="3053"/>
      <c r="F1274" s="2437">
        <f>SUBTOTAL(109,IX.a.CHP.Emissions[2013])</f>
        <v>0</v>
      </c>
      <c r="G1274" s="2437">
        <f>SUBTOTAL(109,IX.a.CHP.Emissions[2015])</f>
        <v>0</v>
      </c>
      <c r="H1274" s="2437">
        <f>SUBTOTAL(109,IX.a.CHP.Emissions[2020])</f>
        <v>0</v>
      </c>
      <c r="I1274" s="2437">
        <f>SUBTOTAL(109,IX.a.CHP.Emissions[2025])</f>
        <v>0</v>
      </c>
      <c r="J1274" s="2437">
        <f>SUBTOTAL(109,IX.a.CHP.Emissions[2030])</f>
        <v>0</v>
      </c>
      <c r="K1274" s="2437">
        <f>SUBTOTAL(109,IX.a.CHP.Emissions[2035])</f>
        <v>0</v>
      </c>
      <c r="L1274" s="2437">
        <f>SUBTOTAL(109,IX.a.CHP.Emissions[2040])</f>
        <v>0</v>
      </c>
      <c r="M1274" s="2437">
        <f>SUBTOTAL(109,IX.a.CHP.Emissions[2045])</f>
        <v>0</v>
      </c>
      <c r="N1274" s="2437">
        <f>SUBTOTAL(109,IX.a.CHP.Emissions[2050])</f>
        <v>0</v>
      </c>
      <c r="O1274" s="456"/>
      <c r="S1274" s="463"/>
      <c r="T1274" s="464"/>
      <c r="U1274" s="463"/>
      <c r="V1274" s="463"/>
    </row>
    <row r="1275" spans="2:22">
      <c r="B1275" s="452"/>
      <c r="C1275" s="459"/>
      <c r="D1275" s="459"/>
      <c r="E1275" s="459"/>
      <c r="F1275" s="462"/>
      <c r="G1275" s="462"/>
      <c r="H1275" s="462"/>
      <c r="I1275" s="462"/>
      <c r="J1275" s="462"/>
      <c r="K1275" s="462"/>
      <c r="L1275" s="462"/>
      <c r="M1275" s="462"/>
      <c r="N1275" s="462"/>
      <c r="O1275" s="456"/>
      <c r="T1275" s="4"/>
    </row>
    <row r="1276" spans="2:22">
      <c r="B1276" s="452"/>
      <c r="C1276" s="453" t="s">
        <v>307</v>
      </c>
      <c r="D1276" s="454"/>
      <c r="E1276" s="455"/>
      <c r="F1276" s="454"/>
      <c r="G1276" s="454"/>
      <c r="H1276" s="454"/>
      <c r="I1276" s="454"/>
      <c r="J1276" s="454"/>
      <c r="K1276" s="454"/>
      <c r="L1276" s="454"/>
      <c r="M1276" s="454"/>
      <c r="N1276" s="455" t="s">
        <v>251</v>
      </c>
      <c r="O1276" s="456"/>
      <c r="T1276" s="4"/>
    </row>
    <row r="1277" spans="2:22" ht="15.5">
      <c r="B1277" s="458"/>
      <c r="C1277" s="454"/>
      <c r="D1277" s="454"/>
      <c r="E1277" s="454"/>
      <c r="F1277" s="454"/>
      <c r="G1277" s="454"/>
      <c r="H1277" s="454"/>
      <c r="I1277" s="454"/>
      <c r="J1277" s="454"/>
      <c r="K1277" s="454"/>
      <c r="L1277" s="454"/>
      <c r="M1277" s="454"/>
      <c r="N1277" s="454"/>
      <c r="O1277" s="456"/>
    </row>
    <row r="1278" spans="2:22" ht="15.5">
      <c r="B1278" s="458"/>
      <c r="C1278" s="457" t="s">
        <v>302</v>
      </c>
      <c r="D1278" s="457" t="s">
        <v>303</v>
      </c>
      <c r="E1278" s="457" t="s">
        <v>30</v>
      </c>
      <c r="F1278" s="457" t="s">
        <v>588</v>
      </c>
      <c r="G1278" s="457" t="s">
        <v>132</v>
      </c>
      <c r="H1278" s="457" t="s">
        <v>133</v>
      </c>
      <c r="I1278" s="457" t="s">
        <v>134</v>
      </c>
      <c r="J1278" s="457" t="s">
        <v>135</v>
      </c>
      <c r="K1278" s="457" t="s">
        <v>136</v>
      </c>
      <c r="L1278" s="457" t="s">
        <v>137</v>
      </c>
      <c r="M1278" s="457" t="s">
        <v>138</v>
      </c>
      <c r="N1278" s="457" t="s">
        <v>139</v>
      </c>
      <c r="O1278" s="456"/>
    </row>
    <row r="1279" spans="2:22" ht="15.5">
      <c r="B1279" s="458"/>
      <c r="C1279" s="459" t="s">
        <v>250</v>
      </c>
      <c r="D1279" s="460" t="s">
        <v>304</v>
      </c>
      <c r="E1279" s="460" t="str">
        <f>INDEX(IPCC[Sector_description], MATCH(IX.a.Emissions[IPCC Sector], IPCC[Sector_code], 0))</f>
        <v>Fuel Combustion</v>
      </c>
      <c r="F1279" s="461">
        <f t="shared" ref="F1279:N1279" ca="1" si="189">F$969</f>
        <v>6.0990014520418683</v>
      </c>
      <c r="G1279" s="461">
        <f t="shared" ca="1" si="189"/>
        <v>6.0225173982223836</v>
      </c>
      <c r="H1279" s="461">
        <f t="shared" ca="1" si="189"/>
        <v>5.747250456676066</v>
      </c>
      <c r="I1279" s="461">
        <f t="shared" ca="1" si="189"/>
        <v>5.7640607282274017</v>
      </c>
      <c r="J1279" s="461">
        <f t="shared" ca="1" si="189"/>
        <v>5.7439738885905971</v>
      </c>
      <c r="K1279" s="461">
        <f t="shared" ca="1" si="189"/>
        <v>5.7223862747105132</v>
      </c>
      <c r="L1279" s="461">
        <f t="shared" ca="1" si="189"/>
        <v>5.6958120723699412</v>
      </c>
      <c r="M1279" s="461">
        <f t="shared" ca="1" si="189"/>
        <v>5.6498638922010365</v>
      </c>
      <c r="N1279" s="461">
        <f t="shared" ca="1" si="189"/>
        <v>5.5989721253104765</v>
      </c>
      <c r="O1279" s="456"/>
    </row>
    <row r="1280" spans="2:22" ht="15.5">
      <c r="B1280" s="458"/>
      <c r="C1280" s="459" t="s">
        <v>252</v>
      </c>
      <c r="D1280" s="460" t="s">
        <v>304</v>
      </c>
      <c r="E1280" s="460" t="str">
        <f>INDEX(IPCC[Sector_description], MATCH(IX.a.Emissions[IPCC Sector], IPCC[Sector_code], 0))</f>
        <v>Fuel Combustion</v>
      </c>
      <c r="F1280" s="461">
        <f t="shared" ref="F1280:N1280" ca="1" si="190">F$970</f>
        <v>4.1961969104451465E-3</v>
      </c>
      <c r="G1280" s="461">
        <f t="shared" ca="1" si="190"/>
        <v>4.0602929904344515E-3</v>
      </c>
      <c r="H1280" s="461">
        <f t="shared" ca="1" si="190"/>
        <v>3.6679534635279333E-3</v>
      </c>
      <c r="I1280" s="461">
        <f t="shared" ca="1" si="190"/>
        <v>3.4589267895088873E-3</v>
      </c>
      <c r="J1280" s="461">
        <f t="shared" ca="1" si="190"/>
        <v>3.2143939892933134E-3</v>
      </c>
      <c r="K1280" s="461">
        <f t="shared" ca="1" si="190"/>
        <v>2.9559879000098472E-3</v>
      </c>
      <c r="L1280" s="461">
        <f t="shared" ca="1" si="190"/>
        <v>2.680984604320303E-3</v>
      </c>
      <c r="M1280" s="461">
        <f t="shared" ca="1" si="190"/>
        <v>2.3825988707473892E-3</v>
      </c>
      <c r="N1280" s="461">
        <f t="shared" ca="1" si="190"/>
        <v>2.0676036124909003E-3</v>
      </c>
      <c r="O1280" s="456"/>
    </row>
    <row r="1281" spans="2:15" ht="15.5">
      <c r="B1281" s="465"/>
      <c r="C1281" s="459" t="s">
        <v>253</v>
      </c>
      <c r="D1281" s="460" t="s">
        <v>304</v>
      </c>
      <c r="E1281" s="460" t="str">
        <f>INDEX(IPCC[Sector_description], MATCH(IX.a.Emissions[IPCC Sector], IPCC[Sector_code], 0))</f>
        <v>Fuel Combustion</v>
      </c>
      <c r="F1281" s="461">
        <f t="shared" ref="F1281:N1281" ca="1" si="191">F$971</f>
        <v>4.1018184994661207E-2</v>
      </c>
      <c r="G1281" s="461">
        <f t="shared" ca="1" si="191"/>
        <v>4.2877224569139769E-2</v>
      </c>
      <c r="H1281" s="461">
        <f t="shared" ca="1" si="191"/>
        <v>4.6809818560987371E-2</v>
      </c>
      <c r="I1281" s="461">
        <f t="shared" ca="1" si="191"/>
        <v>5.3209472206749368E-2</v>
      </c>
      <c r="J1281" s="461">
        <f t="shared" ca="1" si="191"/>
        <v>5.9649396772491557E-2</v>
      </c>
      <c r="K1281" s="461">
        <f t="shared" ca="1" si="191"/>
        <v>6.6445172439791769E-2</v>
      </c>
      <c r="L1281" s="461">
        <f t="shared" ca="1" si="191"/>
        <v>7.3582635748171518E-2</v>
      </c>
      <c r="M1281" s="461">
        <f t="shared" ca="1" si="191"/>
        <v>8.0876295384634839E-2</v>
      </c>
      <c r="N1281" s="461">
        <f t="shared" ca="1" si="191"/>
        <v>8.8513126077586629E-2</v>
      </c>
      <c r="O1281" s="454"/>
    </row>
    <row r="1282" spans="2:15" ht="15.5">
      <c r="B1282" s="465"/>
      <c r="C1282" s="3053" t="s">
        <v>58</v>
      </c>
      <c r="D1282" s="3053"/>
      <c r="E1282" s="3053"/>
      <c r="F1282" s="2437">
        <f ca="1">SUBTOTAL(109,IX.a.Emissions[2013])</f>
        <v>6.1442158339469746</v>
      </c>
      <c r="G1282" s="2437">
        <f ca="1">SUBTOTAL(109,IX.a.Emissions[2015])</f>
        <v>6.0694549157819582</v>
      </c>
      <c r="H1282" s="2437">
        <f ca="1">SUBTOTAL(109,IX.a.Emissions[2020])</f>
        <v>5.7977282287005814</v>
      </c>
      <c r="I1282" s="2437">
        <f ca="1">SUBTOTAL(109,IX.a.Emissions[2025])</f>
        <v>5.8207291272236601</v>
      </c>
      <c r="J1282" s="2437">
        <f ca="1">SUBTOTAL(109,IX.a.Emissions[2030])</f>
        <v>5.8068376793523822</v>
      </c>
      <c r="K1282" s="2437">
        <f ca="1">SUBTOTAL(109,IX.a.Emissions[2035])</f>
        <v>5.7917874350503151</v>
      </c>
      <c r="L1282" s="2437">
        <f ca="1">SUBTOTAL(109,IX.a.Emissions[2040])</f>
        <v>5.7720756927224333</v>
      </c>
      <c r="M1282" s="2437">
        <f ca="1">SUBTOTAL(109,IX.a.Emissions[2045])</f>
        <v>5.7331227864564189</v>
      </c>
      <c r="N1282" s="2437">
        <f ca="1">SUBTOTAL(109,IX.a.Emissions[2050])</f>
        <v>5.6895528550005539</v>
      </c>
      <c r="O1282" s="454"/>
    </row>
    <row r="1283" spans="2:15">
      <c r="B1283" s="468"/>
      <c r="C1283" s="459"/>
      <c r="D1283" s="459"/>
      <c r="E1283" s="459"/>
      <c r="F1283" s="462"/>
      <c r="G1283" s="462"/>
      <c r="H1283" s="462"/>
      <c r="I1283" s="462"/>
      <c r="J1283" s="462"/>
      <c r="K1283" s="462"/>
      <c r="L1283" s="462"/>
      <c r="M1283" s="462"/>
      <c r="N1283" s="462"/>
      <c r="O1283" s="468"/>
    </row>
    <row r="1284" spans="2:15">
      <c r="B1284" s="468"/>
      <c r="C1284" s="466" t="s">
        <v>308</v>
      </c>
      <c r="D1284" s="459"/>
      <c r="E1284" s="459"/>
      <c r="F1284" s="462"/>
      <c r="G1284" s="462"/>
      <c r="H1284" s="462"/>
      <c r="I1284" s="462"/>
      <c r="J1284" s="462"/>
      <c r="K1284" s="462"/>
      <c r="L1284" s="462"/>
      <c r="M1284" s="462"/>
      <c r="N1284" s="467" t="s">
        <v>309</v>
      </c>
      <c r="O1284" s="468"/>
    </row>
    <row r="1285" spans="2:15">
      <c r="B1285" s="468"/>
      <c r="C1285" s="459"/>
      <c r="D1285" s="459"/>
      <c r="E1285" s="459"/>
      <c r="F1285" s="462"/>
      <c r="G1285" s="462"/>
      <c r="H1285" s="462"/>
      <c r="I1285" s="462"/>
      <c r="J1285" s="462"/>
      <c r="K1285" s="462"/>
      <c r="L1285" s="462"/>
      <c r="M1285" s="462"/>
      <c r="N1285" s="462"/>
      <c r="O1285" s="468"/>
    </row>
    <row r="1286" spans="2:15">
      <c r="B1286" s="468"/>
      <c r="C1286" s="3054" t="s">
        <v>28</v>
      </c>
      <c r="D1286" s="3054" t="s">
        <v>29</v>
      </c>
      <c r="E1286" s="3054" t="s">
        <v>30</v>
      </c>
      <c r="F1286" s="3054" t="s">
        <v>588</v>
      </c>
      <c r="G1286" s="3054" t="s">
        <v>132</v>
      </c>
      <c r="H1286" s="3054" t="s">
        <v>133</v>
      </c>
      <c r="I1286" s="3054" t="s">
        <v>134</v>
      </c>
      <c r="J1286" s="3054" t="s">
        <v>135</v>
      </c>
      <c r="K1286" s="3054" t="s">
        <v>136</v>
      </c>
      <c r="L1286" s="3054" t="s">
        <v>137</v>
      </c>
      <c r="M1286" s="3054" t="s">
        <v>138</v>
      </c>
      <c r="N1286" s="3054" t="s">
        <v>139</v>
      </c>
      <c r="O1286" s="468"/>
    </row>
    <row r="1287" spans="2:15">
      <c r="B1287" s="468"/>
      <c r="C1287" s="3309" t="str">
        <f>INDEX(AirQualityVectors[Code],MATCH(D1287,AirQualityVectors[Description],0))</f>
        <v>AQ.01</v>
      </c>
      <c r="D1287" s="3055" t="s">
        <v>258</v>
      </c>
      <c r="E1287" s="1126"/>
      <c r="F1287" s="3056">
        <f ca="1">F994</f>
        <v>0.52475339775735286</v>
      </c>
      <c r="G1287" s="3056">
        <f t="shared" ref="G1287:N1287" ca="1" si="192">G994</f>
        <v>0.45178368378945</v>
      </c>
      <c r="H1287" s="3056">
        <f t="shared" ca="1" si="192"/>
        <v>0.33434905652691316</v>
      </c>
      <c r="I1287" s="3056">
        <f t="shared" ca="1" si="192"/>
        <v>0.24333274947171363</v>
      </c>
      <c r="J1287" s="3056">
        <f t="shared" ca="1" si="192"/>
        <v>0.16453266117412613</v>
      </c>
      <c r="K1287" s="3056">
        <f t="shared" ca="1" si="192"/>
        <v>0.16760125132700598</v>
      </c>
      <c r="L1287" s="3056">
        <f t="shared" ca="1" si="192"/>
        <v>0.12652280482432679</v>
      </c>
      <c r="M1287" s="3056">
        <f t="shared" ca="1" si="192"/>
        <v>8.8200938623802072E-2</v>
      </c>
      <c r="N1287" s="3056">
        <f t="shared" ca="1" si="192"/>
        <v>5.231856584484048E-2</v>
      </c>
      <c r="O1287" s="468"/>
    </row>
    <row r="1288" spans="2:15" ht="15.5">
      <c r="B1288" s="458"/>
      <c r="C1288" s="3310" t="str">
        <f>INDEX(AirQualityVectors[Code],MATCH(D1288,AirQualityVectors[Description],0))</f>
        <v>AQ.02</v>
      </c>
      <c r="D1288" s="3055" t="s">
        <v>260</v>
      </c>
      <c r="E1288" s="1126"/>
      <c r="F1288" s="3056">
        <f ca="1">F995</f>
        <v>4.6088194390232173</v>
      </c>
      <c r="G1288" s="3056">
        <f t="shared" ref="G1288:N1288" ca="1" si="193">G995</f>
        <v>4.4363145189327904</v>
      </c>
      <c r="H1288" s="3056">
        <f t="shared" ca="1" si="193"/>
        <v>3.9650990762783938</v>
      </c>
      <c r="I1288" s="3056">
        <f t="shared" ca="1" si="193"/>
        <v>3.6903221146098675</v>
      </c>
      <c r="J1288" s="3056">
        <f t="shared" ca="1" si="193"/>
        <v>3.3849751050114545</v>
      </c>
      <c r="K1288" s="3056">
        <f t="shared" ca="1" si="193"/>
        <v>3.047826211023783</v>
      </c>
      <c r="L1288" s="3056">
        <f t="shared" ca="1" si="193"/>
        <v>2.6959126287678514</v>
      </c>
      <c r="M1288" s="3056">
        <f t="shared" ca="1" si="193"/>
        <v>2.313717161819306</v>
      </c>
      <c r="N1288" s="3056">
        <f t="shared" ca="1" si="193"/>
        <v>1.9087882998132717</v>
      </c>
      <c r="O1288" s="454"/>
    </row>
    <row r="1289" spans="2:15" ht="15.5">
      <c r="B1289" s="465"/>
      <c r="C1289" s="3310" t="str">
        <f>INDEX(AirQualityVectors[Code],MATCH(D1289,AirQualityVectors[Description],0))</f>
        <v>AQ.03</v>
      </c>
      <c r="D1289" s="3055" t="s">
        <v>262</v>
      </c>
      <c r="E1289" s="1126"/>
      <c r="F1289" s="3056">
        <f ca="1">F996</f>
        <v>1.8682948885721502</v>
      </c>
      <c r="G1289" s="3056">
        <f t="shared" ref="G1289:N1289" ca="1" si="194">G996</f>
        <v>1.7387263425178023</v>
      </c>
      <c r="H1289" s="3056">
        <f t="shared" ca="1" si="194"/>
        <v>1.4392083702683889</v>
      </c>
      <c r="I1289" s="3056">
        <f t="shared" ca="1" si="194"/>
        <v>1.2222327381297537</v>
      </c>
      <c r="J1289" s="3056">
        <f t="shared" ca="1" si="194"/>
        <v>0.94299012157208628</v>
      </c>
      <c r="K1289" s="3056">
        <f t="shared" ca="1" si="194"/>
        <v>0.41434032453787834</v>
      </c>
      <c r="L1289" s="3056">
        <f t="shared" ca="1" si="194"/>
        <v>0.33440888130696583</v>
      </c>
      <c r="M1289" s="3056">
        <f t="shared" ca="1" si="194"/>
        <v>0.19531579761930304</v>
      </c>
      <c r="N1289" s="3056">
        <f t="shared" ca="1" si="194"/>
        <v>0</v>
      </c>
      <c r="O1289" s="454"/>
    </row>
    <row r="1290" spans="2:15" ht="15.5">
      <c r="B1290" s="465"/>
      <c r="C1290" s="3311" t="str">
        <f>INDEX(AirQualityVectors[Code],MATCH(D1290,AirQualityVectors[Description],0))</f>
        <v>AQ.04</v>
      </c>
      <c r="D1290" s="3055" t="s">
        <v>264</v>
      </c>
      <c r="E1290" s="1126"/>
      <c r="F1290" s="3056">
        <f ca="1">F997</f>
        <v>0.81102088544939488</v>
      </c>
      <c r="G1290" s="3056">
        <f t="shared" ref="G1290:N1290" ca="1" si="195">G997</f>
        <v>0.88032238128850138</v>
      </c>
      <c r="H1290" s="3056">
        <f t="shared" ca="1" si="195"/>
        <v>0.86785315539806041</v>
      </c>
      <c r="I1290" s="3056">
        <f t="shared" ca="1" si="195"/>
        <v>0.84708244320832282</v>
      </c>
      <c r="J1290" s="3056">
        <f t="shared" ca="1" si="195"/>
        <v>0.9943179460082272</v>
      </c>
      <c r="K1290" s="3056">
        <f t="shared" ca="1" si="195"/>
        <v>2.1067406156386155</v>
      </c>
      <c r="L1290" s="3056">
        <f t="shared" ca="1" si="195"/>
        <v>1.3069058336883177</v>
      </c>
      <c r="M1290" s="3056">
        <f t="shared" ca="1" si="195"/>
        <v>0.67997248676484345</v>
      </c>
      <c r="N1290" s="3056">
        <f t="shared" ca="1" si="195"/>
        <v>0.22031584601812343</v>
      </c>
      <c r="O1290" s="454"/>
    </row>
    <row r="1291" spans="2:15" ht="15.5">
      <c r="B1291" s="465"/>
      <c r="C1291" s="470"/>
      <c r="D1291" s="470"/>
      <c r="E1291" s="470"/>
      <c r="F1291" s="470"/>
      <c r="G1291" s="470"/>
      <c r="H1291" s="470"/>
      <c r="I1291" s="470"/>
      <c r="J1291" s="470"/>
      <c r="K1291" s="470"/>
      <c r="L1291" s="470"/>
      <c r="M1291" s="470"/>
      <c r="N1291" s="470"/>
      <c r="O1291" s="454"/>
    </row>
    <row r="1293" spans="2:15" ht="15.5">
      <c r="B1293" s="471" t="s">
        <v>310</v>
      </c>
      <c r="C1293" s="472"/>
      <c r="D1293" s="473"/>
      <c r="E1293" s="473"/>
      <c r="F1293" s="473"/>
      <c r="G1293" s="473"/>
      <c r="H1293" s="473"/>
      <c r="I1293" s="473"/>
      <c r="J1293" s="473"/>
      <c r="K1293" s="473"/>
      <c r="L1293" s="473"/>
      <c r="M1293" s="473"/>
      <c r="N1293" s="473"/>
      <c r="O1293" s="474"/>
    </row>
    <row r="1294" spans="2:15">
      <c r="B1294" s="475"/>
      <c r="C1294" s="476"/>
      <c r="D1294" s="476"/>
      <c r="E1294" s="476"/>
      <c r="F1294" s="476"/>
      <c r="G1294" s="476"/>
      <c r="H1294" s="476"/>
      <c r="I1294" s="476"/>
      <c r="J1294" s="476"/>
      <c r="K1294" s="476"/>
      <c r="L1294" s="476"/>
      <c r="M1294" s="476"/>
      <c r="N1294" s="476"/>
      <c r="O1294" s="477"/>
    </row>
    <row r="1295" spans="2:15">
      <c r="B1295" s="478"/>
      <c r="C1295" s="479" t="s">
        <v>311</v>
      </c>
      <c r="D1295" s="480"/>
      <c r="E1295" s="481"/>
      <c r="F1295" s="480"/>
      <c r="G1295" s="480"/>
      <c r="H1295" s="480"/>
      <c r="I1295" s="480"/>
      <c r="J1295" s="480"/>
      <c r="K1295" s="480"/>
      <c r="L1295" s="480"/>
      <c r="M1295" s="480"/>
      <c r="N1295" s="481"/>
      <c r="O1295" s="482"/>
    </row>
    <row r="1296" spans="2:15">
      <c r="B1296" s="478"/>
      <c r="C1296" s="480"/>
      <c r="D1296" s="480"/>
      <c r="E1296" s="480"/>
      <c r="F1296" s="480"/>
      <c r="G1296" s="480"/>
      <c r="H1296" s="480"/>
      <c r="I1296" s="480"/>
      <c r="J1296" s="480"/>
      <c r="K1296" s="480"/>
      <c r="L1296" s="480"/>
      <c r="M1296" s="480"/>
      <c r="N1296" s="480"/>
      <c r="O1296" s="482"/>
    </row>
    <row r="1297" spans="1:15">
      <c r="B1297" s="478"/>
      <c r="C1297" s="484" t="s">
        <v>28</v>
      </c>
      <c r="D1297" s="484" t="s">
        <v>312</v>
      </c>
      <c r="E1297" s="484" t="s">
        <v>30</v>
      </c>
      <c r="F1297" s="484" t="s">
        <v>588</v>
      </c>
      <c r="G1297" s="484" t="s">
        <v>132</v>
      </c>
      <c r="H1297" s="484" t="s">
        <v>133</v>
      </c>
      <c r="I1297" s="484" t="s">
        <v>134</v>
      </c>
      <c r="J1297" s="484" t="s">
        <v>135</v>
      </c>
      <c r="K1297" s="484" t="s">
        <v>136</v>
      </c>
      <c r="L1297" s="484" t="s">
        <v>137</v>
      </c>
      <c r="M1297" s="484" t="s">
        <v>138</v>
      </c>
      <c r="N1297" s="484" t="s">
        <v>139</v>
      </c>
      <c r="O1297" s="482"/>
    </row>
    <row r="1298" spans="1:15">
      <c r="B1298" s="478"/>
      <c r="C1298" s="485" t="s">
        <v>313</v>
      </c>
      <c r="D1298" s="3032" t="str">
        <f>INDEX(Vectors[Description], MATCH(IX.a.info[Vector], Vectors[Code], 0))</f>
        <v>Number of thermal power stations</v>
      </c>
      <c r="E1298" s="485"/>
      <c r="F1298" s="486">
        <f>F667</f>
        <v>1672651.1289147851</v>
      </c>
      <c r="G1298" s="486">
        <f t="shared" ref="G1298:N1298" si="196">G667</f>
        <v>1724685.0990151383</v>
      </c>
      <c r="H1298" s="486">
        <f t="shared" si="196"/>
        <v>1818612.4430257217</v>
      </c>
      <c r="I1298" s="486">
        <f t="shared" si="196"/>
        <v>1912005.4807283345</v>
      </c>
      <c r="J1298" s="486">
        <f t="shared" si="196"/>
        <v>2000055.258037091</v>
      </c>
      <c r="K1298" s="486">
        <f t="shared" si="196"/>
        <v>2093076.6415949722</v>
      </c>
      <c r="L1298" s="486">
        <f t="shared" si="196"/>
        <v>2190930.0548391449</v>
      </c>
      <c r="M1298" s="486">
        <f t="shared" si="196"/>
        <v>2288187.1680332171</v>
      </c>
      <c r="N1298" s="486">
        <f t="shared" si="196"/>
        <v>2390510.6792861409</v>
      </c>
      <c r="O1298" s="482"/>
    </row>
    <row r="1299" spans="1:15">
      <c r="B1299" s="478"/>
      <c r="C1299" s="485" t="s">
        <v>315</v>
      </c>
      <c r="D1299" s="3032" t="str">
        <f>INDEX(Vectors[Description], MATCH(IX.a.info[Vector], Vectors[Code], 0))</f>
        <v>Additional electricity at peak</v>
      </c>
      <c r="E1299" s="485" t="str">
        <f>Preferences.PowerUnits</f>
        <v>GW</v>
      </c>
      <c r="F1299" s="4085">
        <f ca="1">F1111</f>
        <v>3.0264039699571149E-4</v>
      </c>
      <c r="G1299" s="999">
        <f t="shared" ref="G1299:N1299" ca="1" si="197">G1111</f>
        <v>3.6677932971593372E-4</v>
      </c>
      <c r="H1299" s="999">
        <f t="shared" ca="1" si="197"/>
        <v>4.1569798171931541E-4</v>
      </c>
      <c r="I1299" s="999">
        <f t="shared" ca="1" si="197"/>
        <v>4.7433429546943058E-4</v>
      </c>
      <c r="J1299" s="999">
        <f t="shared" ca="1" si="197"/>
        <v>6.0182255591866582E-4</v>
      </c>
      <c r="K1299" s="999">
        <f t="shared" ca="1" si="197"/>
        <v>6.8076642937723046E-4</v>
      </c>
      <c r="L1299" s="999">
        <f t="shared" ca="1" si="197"/>
        <v>7.665646804149611E-4</v>
      </c>
      <c r="M1299" s="999">
        <f t="shared" ca="1" si="197"/>
        <v>8.5761342998665643E-4</v>
      </c>
      <c r="N1299" s="999">
        <f t="shared" ca="1" si="197"/>
        <v>9.5620427171447253E-4</v>
      </c>
      <c r="O1299" s="482"/>
    </row>
    <row r="1300" spans="1:15">
      <c r="B1300" s="478"/>
      <c r="C1300" s="485" t="s">
        <v>317</v>
      </c>
      <c r="D1300" s="3032" t="str">
        <f>INDEX(Vectors[Description], MATCH(IX.a.info[Vector], Vectors[Code], 0))</f>
        <v>Temperature related additional electricity demand</v>
      </c>
      <c r="E1300" s="485" t="str">
        <f>Preferences.PowerUnits</f>
        <v>GW</v>
      </c>
      <c r="F1300" s="4086">
        <f>F1146</f>
        <v>1.5222553503179402E-2</v>
      </c>
      <c r="G1300" s="1184">
        <f t="shared" ref="G1300:N1300" si="198">G1146</f>
        <v>1.7148491990215703E-2</v>
      </c>
      <c r="H1300" s="1184">
        <f t="shared" si="198"/>
        <v>2.1911115364146038E-2</v>
      </c>
      <c r="I1300" s="1184">
        <f t="shared" si="198"/>
        <v>2.7061665006469483E-2</v>
      </c>
      <c r="J1300" s="1184">
        <f t="shared" si="198"/>
        <v>3.2518578293259812E-2</v>
      </c>
      <c r="K1300" s="1184">
        <f t="shared" si="198"/>
        <v>3.8437531437645486E-2</v>
      </c>
      <c r="L1300" s="1184">
        <f t="shared" si="198"/>
        <v>4.4847067407363057E-2</v>
      </c>
      <c r="M1300" s="1184">
        <f t="shared" si="198"/>
        <v>5.1655161704508346E-2</v>
      </c>
      <c r="N1300" s="1184">
        <f t="shared" si="198"/>
        <v>5.8997803564781973E-2</v>
      </c>
      <c r="O1300" s="482"/>
    </row>
    <row r="1301" spans="1:15">
      <c r="B1301" s="478"/>
      <c r="C1301" s="489"/>
      <c r="D1301" s="489"/>
      <c r="E1301" s="489"/>
      <c r="F1301" s="489"/>
      <c r="G1301" s="489"/>
      <c r="H1301" s="489"/>
      <c r="I1301" s="489"/>
      <c r="J1301" s="489"/>
      <c r="K1301" s="489"/>
      <c r="L1301" s="489"/>
      <c r="M1301" s="489"/>
      <c r="N1301" s="489"/>
      <c r="O1301" s="482"/>
    </row>
    <row r="1302" spans="1:15">
      <c r="B1302"/>
      <c r="O1302"/>
    </row>
    <row r="1303" spans="1:15" ht="15.5">
      <c r="B1303" s="471" t="s">
        <v>2720</v>
      </c>
      <c r="C1303" s="473"/>
      <c r="D1303" s="473"/>
      <c r="E1303" s="473"/>
      <c r="F1303" s="473"/>
      <c r="G1303" s="473"/>
      <c r="H1303" s="473"/>
      <c r="I1303" s="473"/>
      <c r="J1303" s="473"/>
      <c r="K1303" s="473"/>
      <c r="L1303" s="473"/>
      <c r="M1303" s="473"/>
      <c r="N1303" s="473"/>
      <c r="O1303" s="474"/>
    </row>
    <row r="1304" spans="1:15" hidden="1">
      <c r="A1304"/>
      <c r="B1304" s="475"/>
      <c r="C1304" s="480"/>
      <c r="D1304" s="480"/>
      <c r="E1304" s="480"/>
      <c r="F1304" s="480"/>
      <c r="G1304" s="480"/>
      <c r="H1304" s="480"/>
      <c r="I1304" s="480"/>
      <c r="J1304" s="480"/>
      <c r="K1304" s="480"/>
      <c r="L1304" s="480"/>
      <c r="M1304" s="480"/>
      <c r="N1304" s="480"/>
      <c r="O1304" s="477"/>
    </row>
    <row r="1305" spans="1:15" hidden="1">
      <c r="B1305" s="478"/>
      <c r="C1305" s="491" t="s">
        <v>320</v>
      </c>
      <c r="D1305" s="492"/>
      <c r="E1305" s="492"/>
      <c r="F1305" s="492"/>
      <c r="G1305" s="492"/>
      <c r="H1305" s="492"/>
      <c r="I1305" s="492"/>
      <c r="J1305" s="492"/>
      <c r="K1305" s="492"/>
      <c r="L1305" s="492"/>
      <c r="M1305" s="492"/>
      <c r="N1305" s="492"/>
      <c r="O1305" s="482"/>
    </row>
    <row r="1306" spans="1:15" hidden="1">
      <c r="B1306" s="478"/>
      <c r="C1306" s="480"/>
      <c r="D1306" s="480"/>
      <c r="E1306" s="480"/>
      <c r="F1306" s="480"/>
      <c r="G1306" s="480"/>
      <c r="H1306" s="480"/>
      <c r="I1306" s="480"/>
      <c r="J1306" s="480"/>
      <c r="K1306" s="480"/>
      <c r="L1306" s="480"/>
      <c r="M1306" s="480"/>
      <c r="N1306" s="480"/>
      <c r="O1306" s="482"/>
    </row>
    <row r="1307" spans="1:15" hidden="1">
      <c r="B1307" s="478"/>
      <c r="C1307" s="484" t="s">
        <v>28</v>
      </c>
      <c r="D1307" s="484" t="s">
        <v>29</v>
      </c>
      <c r="E1307" s="484" t="s">
        <v>30</v>
      </c>
      <c r="F1307" s="484">
        <v>2013</v>
      </c>
      <c r="G1307" s="484" t="s">
        <v>132</v>
      </c>
      <c r="H1307" s="484" t="s">
        <v>133</v>
      </c>
      <c r="I1307" s="484" t="s">
        <v>134</v>
      </c>
      <c r="J1307" s="484" t="s">
        <v>135</v>
      </c>
      <c r="K1307" s="484" t="s">
        <v>136</v>
      </c>
      <c r="L1307" s="484" t="s">
        <v>137</v>
      </c>
      <c r="M1307" s="484" t="s">
        <v>138</v>
      </c>
      <c r="N1307" s="484" t="s">
        <v>139</v>
      </c>
      <c r="O1307" s="482"/>
    </row>
    <row r="1308" spans="1:15" hidden="1">
      <c r="B1308" s="478"/>
      <c r="C1308" s="485" t="s">
        <v>321</v>
      </c>
      <c r="D1308" s="485" t="s">
        <v>322</v>
      </c>
      <c r="E1308" s="485"/>
      <c r="F1308" s="493"/>
      <c r="G1308" s="486"/>
      <c r="H1308" s="486"/>
      <c r="I1308" s="486"/>
      <c r="J1308" s="486"/>
      <c r="K1308" s="486"/>
      <c r="L1308" s="486"/>
      <c r="M1308" s="486"/>
      <c r="N1308" s="486"/>
      <c r="O1308" s="482"/>
    </row>
    <row r="1309" spans="1:15" hidden="1">
      <c r="B1309" s="478"/>
      <c r="C1309" s="495" t="s">
        <v>323</v>
      </c>
      <c r="D1309" s="485" t="s">
        <v>324</v>
      </c>
      <c r="E1309" s="495"/>
      <c r="F1309" s="496"/>
      <c r="G1309" s="497"/>
      <c r="H1309" s="497"/>
      <c r="I1309" s="497"/>
      <c r="J1309" s="497"/>
      <c r="K1309" s="497"/>
      <c r="L1309" s="497"/>
      <c r="M1309" s="497"/>
      <c r="N1309" s="497"/>
      <c r="O1309" s="482"/>
    </row>
    <row r="1310" spans="1:15" hidden="1">
      <c r="B1310" s="478"/>
      <c r="C1310" s="485" t="s">
        <v>325</v>
      </c>
      <c r="D1310" s="485" t="s">
        <v>326</v>
      </c>
      <c r="E1310" s="485"/>
      <c r="F1310" s="493"/>
      <c r="G1310" s="486"/>
      <c r="H1310" s="486"/>
      <c r="I1310" s="486"/>
      <c r="J1310" s="486"/>
      <c r="K1310" s="486"/>
      <c r="L1310" s="486"/>
      <c r="M1310" s="486"/>
      <c r="N1310" s="486"/>
      <c r="O1310" s="482"/>
    </row>
    <row r="1311" spans="1:15" hidden="1">
      <c r="B1311" s="478"/>
      <c r="C1311" s="480"/>
      <c r="D1311" s="480"/>
      <c r="E1311" s="480"/>
      <c r="F1311" s="480"/>
      <c r="G1311" s="480"/>
      <c r="H1311" s="480"/>
      <c r="I1311" s="480"/>
      <c r="J1311" s="480"/>
      <c r="K1311" s="480"/>
      <c r="L1311" s="480"/>
      <c r="M1311" s="480"/>
      <c r="N1311" s="480"/>
      <c r="O1311" s="482"/>
    </row>
    <row r="1312" spans="1:15" hidden="1">
      <c r="B1312" s="478"/>
      <c r="C1312" s="491" t="s">
        <v>327</v>
      </c>
      <c r="D1312" s="492"/>
      <c r="E1312" s="492"/>
      <c r="F1312" s="492"/>
      <c r="G1312" s="492"/>
      <c r="H1312" s="492"/>
      <c r="I1312" s="492"/>
      <c r="J1312" s="492"/>
      <c r="K1312" s="492"/>
      <c r="L1312" s="492"/>
      <c r="M1312" s="492"/>
      <c r="N1312" s="492"/>
      <c r="O1312" s="482"/>
    </row>
    <row r="1313" spans="2:15" hidden="1">
      <c r="B1313" s="478"/>
      <c r="C1313" s="480"/>
      <c r="D1313" s="480"/>
      <c r="E1313" s="480"/>
      <c r="F1313" s="480"/>
      <c r="G1313" s="480"/>
      <c r="H1313" s="480"/>
      <c r="I1313" s="480"/>
      <c r="J1313" s="480"/>
      <c r="K1313" s="480"/>
      <c r="L1313" s="480"/>
      <c r="M1313" s="480"/>
      <c r="N1313" s="480"/>
      <c r="O1313" s="482"/>
    </row>
    <row r="1314" spans="2:15" hidden="1">
      <c r="B1314" s="478"/>
      <c r="C1314" s="484" t="s">
        <v>28</v>
      </c>
      <c r="D1314" s="484" t="s">
        <v>29</v>
      </c>
      <c r="E1314" s="484" t="s">
        <v>30</v>
      </c>
      <c r="F1314" s="484">
        <v>2013</v>
      </c>
      <c r="G1314" s="484" t="s">
        <v>132</v>
      </c>
      <c r="H1314" s="484" t="s">
        <v>133</v>
      </c>
      <c r="I1314" s="484" t="s">
        <v>134</v>
      </c>
      <c r="J1314" s="484" t="s">
        <v>135</v>
      </c>
      <c r="K1314" s="484" t="s">
        <v>136</v>
      </c>
      <c r="L1314" s="484" t="s">
        <v>137</v>
      </c>
      <c r="M1314" s="484" t="s">
        <v>138</v>
      </c>
      <c r="N1314" s="484" t="s">
        <v>139</v>
      </c>
      <c r="O1314" s="482"/>
    </row>
    <row r="1315" spans="2:15" hidden="1">
      <c r="B1315" s="478"/>
      <c r="C1315" s="485" t="s">
        <v>321</v>
      </c>
      <c r="D1315" s="485" t="s">
        <v>322</v>
      </c>
      <c r="E1315" s="485"/>
      <c r="F1315" s="486"/>
      <c r="G1315" s="486"/>
      <c r="H1315" s="486"/>
      <c r="I1315" s="486"/>
      <c r="J1315" s="486"/>
      <c r="K1315" s="486"/>
      <c r="L1315" s="486"/>
      <c r="M1315" s="486"/>
      <c r="N1315" s="486"/>
      <c r="O1315" s="482"/>
    </row>
    <row r="1316" spans="2:15" hidden="1">
      <c r="B1316" s="478"/>
      <c r="C1316" s="485" t="s">
        <v>328</v>
      </c>
      <c r="D1316" s="485" t="s">
        <v>329</v>
      </c>
      <c r="E1316" s="485"/>
      <c r="F1316" s="486"/>
      <c r="G1316" s="486"/>
      <c r="H1316" s="486"/>
      <c r="I1316" s="486"/>
      <c r="J1316" s="486"/>
      <c r="K1316" s="486"/>
      <c r="L1316" s="486"/>
      <c r="M1316" s="486"/>
      <c r="N1316" s="486"/>
      <c r="O1316" s="482"/>
    </row>
    <row r="1317" spans="2:15" hidden="1">
      <c r="B1317" s="478"/>
      <c r="C1317" s="495" t="s">
        <v>323</v>
      </c>
      <c r="D1317" s="485" t="s">
        <v>324</v>
      </c>
      <c r="E1317" s="495"/>
      <c r="F1317" s="486"/>
      <c r="G1317" s="486"/>
      <c r="H1317" s="486"/>
      <c r="I1317" s="486"/>
      <c r="J1317" s="486"/>
      <c r="K1317" s="486"/>
      <c r="L1317" s="486"/>
      <c r="M1317" s="486"/>
      <c r="N1317" s="486"/>
      <c r="O1317" s="482"/>
    </row>
    <row r="1318" spans="2:15" hidden="1">
      <c r="B1318" s="478"/>
      <c r="C1318" s="495" t="s">
        <v>330</v>
      </c>
      <c r="D1318" s="485" t="s">
        <v>331</v>
      </c>
      <c r="E1318" s="495"/>
      <c r="F1318" s="486"/>
      <c r="G1318" s="486"/>
      <c r="H1318" s="486"/>
      <c r="I1318" s="486"/>
      <c r="J1318" s="486"/>
      <c r="K1318" s="486"/>
      <c r="L1318" s="486"/>
      <c r="M1318" s="486"/>
      <c r="N1318" s="486"/>
      <c r="O1318" s="482"/>
    </row>
    <row r="1319" spans="2:15" hidden="1">
      <c r="B1319" s="478"/>
      <c r="C1319" s="485" t="s">
        <v>325</v>
      </c>
      <c r="D1319" s="485" t="s">
        <v>326</v>
      </c>
      <c r="E1319" s="485"/>
      <c r="F1319" s="486"/>
      <c r="G1319" s="486"/>
      <c r="H1319" s="486"/>
      <c r="I1319" s="486"/>
      <c r="J1319" s="486"/>
      <c r="K1319" s="486"/>
      <c r="L1319" s="486"/>
      <c r="M1319" s="486"/>
      <c r="N1319" s="486"/>
      <c r="O1319" s="482"/>
    </row>
    <row r="1320" spans="2:15" hidden="1">
      <c r="B1320" s="478"/>
      <c r="C1320" s="485" t="s">
        <v>332</v>
      </c>
      <c r="D1320" s="485" t="s">
        <v>333</v>
      </c>
      <c r="E1320" s="485"/>
      <c r="F1320" s="486"/>
      <c r="G1320" s="486"/>
      <c r="H1320" s="486"/>
      <c r="I1320" s="486"/>
      <c r="J1320" s="486"/>
      <c r="K1320" s="486"/>
      <c r="L1320" s="486"/>
      <c r="M1320" s="486"/>
      <c r="N1320" s="486"/>
      <c r="O1320" s="482"/>
    </row>
    <row r="1321" spans="2:15" hidden="1">
      <c r="B1321" s="478"/>
      <c r="C1321" s="489"/>
      <c r="D1321" s="489"/>
      <c r="E1321" s="489"/>
      <c r="F1321" s="489"/>
      <c r="G1321" s="489"/>
      <c r="H1321" s="489"/>
      <c r="I1321" s="489"/>
      <c r="J1321" s="489"/>
      <c r="K1321" s="489"/>
      <c r="L1321" s="489"/>
      <c r="M1321" s="489"/>
      <c r="N1321" s="489"/>
      <c r="O1321" s="482"/>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9"/>
  </sheetPr>
  <dimension ref="A1:AJ1054"/>
  <sheetViews>
    <sheetView showGridLines="0" topLeftCell="A311" zoomScale="80" zoomScaleNormal="80" workbookViewId="0">
      <selection activeCell="M319" sqref="M319:M320"/>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9.1796875" customWidth="1"/>
    <col min="17" max="17" width="10.81640625" customWidth="1"/>
    <col min="20" max="20" width="16.453125" customWidth="1"/>
    <col min="21" max="21" width="2.1796875" customWidth="1"/>
    <col min="39" max="39" width="37.7265625" customWidth="1"/>
    <col min="50" max="50" width="22.453125" customWidth="1"/>
    <col min="52" max="55" width="9.26953125" bestFit="1" customWidth="1"/>
    <col min="56" max="56" width="10.453125" bestFit="1" customWidth="1"/>
    <col min="57" max="57" width="9.26953125" bestFit="1" customWidth="1"/>
    <col min="58" max="58" width="12.453125" bestFit="1" customWidth="1"/>
    <col min="59" max="59" width="9.26953125" bestFit="1" customWidth="1"/>
    <col min="60" max="60" width="14.81640625" bestFit="1" customWidth="1"/>
    <col min="61" max="61" width="9.26953125" bestFit="1" customWidth="1"/>
    <col min="62" max="62" width="17.7265625" bestFit="1" customWidth="1"/>
    <col min="63" max="63" width="9.26953125" bestFit="1" customWidth="1"/>
    <col min="64" max="64" width="20.1796875" bestFit="1" customWidth="1"/>
  </cols>
  <sheetData>
    <row r="1" spans="1:16" ht="20">
      <c r="A1" s="1007" t="s">
        <v>0</v>
      </c>
      <c r="B1" s="1007" t="s">
        <v>1</v>
      </c>
      <c r="C1" s="1007"/>
      <c r="D1" s="1234"/>
    </row>
    <row r="2" spans="1:16" s="6" customFormat="1" ht="15">
      <c r="A2" s="855" t="s">
        <v>456</v>
      </c>
      <c r="B2" s="855" t="s">
        <v>457</v>
      </c>
      <c r="C2" s="855"/>
      <c r="E2" s="5"/>
    </row>
    <row r="3" spans="1:16">
      <c r="H3" s="3801" t="s">
        <v>5</v>
      </c>
    </row>
    <row r="4" spans="1:16" ht="23.5">
      <c r="A4" s="7"/>
      <c r="B4" s="502" t="s">
        <v>6</v>
      </c>
      <c r="C4" s="503"/>
      <c r="D4" s="503"/>
      <c r="E4" s="503"/>
      <c r="F4" s="503"/>
      <c r="G4" s="503"/>
      <c r="H4" s="503"/>
      <c r="I4" s="503"/>
      <c r="J4" s="503"/>
      <c r="K4" s="503"/>
      <c r="L4" s="503"/>
      <c r="M4" s="503"/>
      <c r="N4" s="503"/>
      <c r="O4" s="503"/>
      <c r="P4" s="857"/>
    </row>
    <row r="5" spans="1:16">
      <c r="B5" s="505"/>
      <c r="C5" s="506"/>
      <c r="D5" s="506"/>
      <c r="E5" s="506"/>
      <c r="F5" s="506"/>
      <c r="G5" s="506"/>
      <c r="H5" s="506"/>
      <c r="I5" s="506"/>
      <c r="J5" s="506"/>
      <c r="K5" s="506"/>
      <c r="L5" s="506"/>
      <c r="M5" s="506"/>
      <c r="N5" s="506"/>
      <c r="O5" s="506"/>
      <c r="P5" s="858"/>
    </row>
    <row r="6" spans="1:16">
      <c r="B6" s="505"/>
      <c r="C6" s="12"/>
      <c r="D6" s="506"/>
      <c r="E6" s="507"/>
      <c r="F6" s="506"/>
      <c r="G6" s="506"/>
      <c r="H6" s="506"/>
      <c r="I6" s="506"/>
      <c r="J6" s="506"/>
      <c r="K6" s="506"/>
      <c r="L6" s="506"/>
      <c r="M6" s="506"/>
      <c r="N6" s="506"/>
      <c r="O6" s="506"/>
      <c r="P6" s="858"/>
    </row>
    <row r="7" spans="1:16" ht="15.5">
      <c r="B7" s="15"/>
      <c r="C7" s="506"/>
      <c r="D7" s="16" t="s">
        <v>7</v>
      </c>
      <c r="E7" s="16" t="s">
        <v>8</v>
      </c>
      <c r="F7" s="506"/>
      <c r="G7" s="506"/>
      <c r="H7" s="506"/>
      <c r="I7" s="506"/>
      <c r="J7" s="506"/>
      <c r="K7" s="506"/>
      <c r="L7" s="506"/>
      <c r="M7" s="506"/>
      <c r="N7" s="506"/>
      <c r="O7" s="506"/>
      <c r="P7" s="858"/>
    </row>
    <row r="8" spans="1:16" ht="15.5">
      <c r="B8" s="15"/>
      <c r="C8" s="506"/>
      <c r="D8" s="1009" t="s">
        <v>924</v>
      </c>
      <c r="E8" s="1009">
        <f>IX.c.1.Scenario</f>
        <v>1</v>
      </c>
      <c r="F8" s="506"/>
      <c r="G8" s="506"/>
      <c r="H8" s="506"/>
      <c r="I8" s="506"/>
      <c r="J8" s="506"/>
      <c r="K8" s="506"/>
      <c r="L8" s="506"/>
      <c r="M8" s="506"/>
      <c r="N8" s="506"/>
      <c r="O8" s="506"/>
      <c r="P8" s="858"/>
    </row>
    <row r="9" spans="1:16" ht="15.5">
      <c r="B9" s="15"/>
      <c r="C9" s="506"/>
      <c r="D9" s="17" t="s">
        <v>925</v>
      </c>
      <c r="E9" s="17">
        <f>MAX(IX.c.2.Scenario,2)</f>
        <v>2</v>
      </c>
      <c r="F9" s="506"/>
      <c r="G9" s="506"/>
      <c r="H9" s="506"/>
      <c r="I9" s="506"/>
      <c r="J9" s="506"/>
      <c r="K9" s="506"/>
      <c r="L9" s="506"/>
      <c r="M9" s="506"/>
      <c r="N9" s="506"/>
      <c r="O9" s="506"/>
      <c r="P9" s="858"/>
    </row>
    <row r="10" spans="1:16" ht="15.5">
      <c r="B10" s="15"/>
      <c r="C10" s="506"/>
      <c r="D10" s="508" t="s">
        <v>926</v>
      </c>
      <c r="E10" s="508">
        <f>IX.c.3.Scenario</f>
        <v>1</v>
      </c>
      <c r="F10" s="506"/>
      <c r="G10" s="506"/>
      <c r="H10" s="506"/>
      <c r="I10" s="506"/>
      <c r="J10" s="506"/>
      <c r="K10" s="506"/>
      <c r="L10" s="506"/>
      <c r="M10" s="506"/>
      <c r="N10" s="506"/>
      <c r="O10" s="506"/>
      <c r="P10" s="858"/>
    </row>
    <row r="11" spans="1:16" ht="15.5">
      <c r="B11" s="15"/>
      <c r="C11" s="506"/>
      <c r="D11" s="17"/>
      <c r="E11" s="17"/>
      <c r="F11" s="506"/>
      <c r="G11" s="506"/>
      <c r="H11" s="506"/>
      <c r="I11" s="506"/>
      <c r="J11" s="506"/>
      <c r="K11" s="506"/>
      <c r="L11" s="506"/>
      <c r="M11" s="506"/>
      <c r="N11" s="506"/>
      <c r="O11" s="506"/>
      <c r="P11" s="858"/>
    </row>
    <row r="12" spans="1:16" ht="15.5">
      <c r="B12" s="15"/>
      <c r="C12" s="23" t="s">
        <v>927</v>
      </c>
      <c r="D12" s="17"/>
      <c r="E12" s="17"/>
      <c r="F12" s="22"/>
      <c r="G12" s="17"/>
      <c r="H12" s="17"/>
      <c r="I12" s="506"/>
      <c r="J12" s="506"/>
      <c r="K12" s="506"/>
      <c r="L12" s="506"/>
      <c r="M12" s="506"/>
      <c r="N12" s="506"/>
      <c r="O12" s="506"/>
      <c r="P12" s="858"/>
    </row>
    <row r="13" spans="1:16" ht="15.5">
      <c r="B13" s="15"/>
      <c r="C13" s="17"/>
      <c r="D13" s="17"/>
      <c r="E13" s="17"/>
      <c r="F13" s="22"/>
      <c r="G13" s="17"/>
      <c r="H13" s="17"/>
      <c r="I13" s="506"/>
      <c r="J13" s="506"/>
      <c r="K13" s="506"/>
      <c r="L13" s="506"/>
      <c r="M13" s="506"/>
      <c r="N13" s="506"/>
      <c r="O13" s="506"/>
      <c r="P13" s="858"/>
    </row>
    <row r="14" spans="1:16" ht="15.5">
      <c r="B14" s="15"/>
      <c r="C14" s="1235"/>
      <c r="D14" s="1235"/>
      <c r="E14" s="1236" t="s">
        <v>14</v>
      </c>
      <c r="F14" s="26"/>
      <c r="G14" s="1236"/>
      <c r="H14" s="1236"/>
      <c r="I14" s="506"/>
      <c r="J14" s="506"/>
      <c r="K14" s="506"/>
      <c r="L14" s="506"/>
      <c r="M14" s="506"/>
      <c r="N14" s="506"/>
      <c r="O14" s="506"/>
      <c r="P14" s="858"/>
    </row>
    <row r="15" spans="1:16" ht="15.5">
      <c r="B15" s="15"/>
      <c r="C15" s="17"/>
      <c r="D15" s="17"/>
      <c r="E15" s="27">
        <v>1</v>
      </c>
      <c r="F15" s="27">
        <v>2</v>
      </c>
      <c r="G15" s="27">
        <v>3</v>
      </c>
      <c r="H15" s="27">
        <v>4</v>
      </c>
      <c r="I15" s="506"/>
      <c r="J15" s="506"/>
      <c r="K15" s="506"/>
      <c r="L15" s="506"/>
      <c r="M15" s="506"/>
      <c r="N15" s="506"/>
      <c r="O15" s="506"/>
      <c r="P15" s="858"/>
    </row>
    <row r="16" spans="1:16" ht="15.5">
      <c r="B16" s="15"/>
      <c r="C16" s="1237" t="s">
        <v>11</v>
      </c>
      <c r="D16" s="1237"/>
      <c r="E16" s="1238" t="s">
        <v>15</v>
      </c>
      <c r="F16" s="30" t="s">
        <v>16</v>
      </c>
      <c r="G16" s="1238" t="s">
        <v>17</v>
      </c>
      <c r="H16" s="1238" t="s">
        <v>18</v>
      </c>
      <c r="I16" s="506"/>
      <c r="J16" s="506"/>
      <c r="K16" s="506"/>
      <c r="L16" s="506"/>
      <c r="M16" s="506"/>
      <c r="N16" s="506"/>
      <c r="O16" s="506"/>
      <c r="P16" s="858"/>
    </row>
    <row r="17" spans="1:21" ht="15.5">
      <c r="B17" s="15"/>
      <c r="C17" s="17"/>
      <c r="D17" s="1239" t="s">
        <v>928</v>
      </c>
      <c r="E17" s="1240">
        <v>9</v>
      </c>
      <c r="F17" s="1240">
        <v>6</v>
      </c>
      <c r="G17" s="1240">
        <v>15</v>
      </c>
      <c r="H17" s="1240">
        <v>7</v>
      </c>
      <c r="I17" s="506"/>
      <c r="J17" s="506"/>
      <c r="K17" s="506"/>
      <c r="L17" s="506"/>
      <c r="M17" s="506"/>
      <c r="N17" s="506"/>
      <c r="O17" s="506"/>
      <c r="P17" s="858"/>
    </row>
    <row r="18" spans="1:21" ht="15.5">
      <c r="B18" s="15"/>
      <c r="C18" s="17">
        <v>2</v>
      </c>
      <c r="D18" s="18" t="s">
        <v>20</v>
      </c>
      <c r="E18" s="31">
        <v>11</v>
      </c>
      <c r="F18" s="31">
        <v>5</v>
      </c>
      <c r="G18" s="31">
        <v>14</v>
      </c>
      <c r="H18" s="31">
        <v>12</v>
      </c>
      <c r="I18" s="506"/>
      <c r="J18" s="506"/>
      <c r="K18" s="506"/>
      <c r="L18" s="506"/>
      <c r="M18" s="506"/>
      <c r="N18" s="506"/>
      <c r="O18" s="506"/>
      <c r="P18" s="858"/>
    </row>
    <row r="19" spans="1:21" ht="15.5">
      <c r="B19" s="15"/>
      <c r="C19" s="17">
        <v>3</v>
      </c>
      <c r="D19" s="17" t="s">
        <v>21</v>
      </c>
      <c r="E19" s="1241">
        <v>10</v>
      </c>
      <c r="F19" s="1241">
        <v>8</v>
      </c>
      <c r="G19" s="1241">
        <v>13</v>
      </c>
      <c r="H19" s="1241">
        <v>16</v>
      </c>
      <c r="I19" s="506"/>
      <c r="J19" s="506"/>
      <c r="K19" s="506"/>
      <c r="L19" s="506"/>
      <c r="M19" s="506"/>
      <c r="N19" s="506"/>
      <c r="O19" s="506"/>
      <c r="P19" s="858"/>
    </row>
    <row r="20" spans="1:21" ht="15.5">
      <c r="B20" s="15"/>
      <c r="C20" s="508">
        <v>4</v>
      </c>
      <c r="D20" s="508" t="s">
        <v>22</v>
      </c>
      <c r="E20" s="1242">
        <v>3</v>
      </c>
      <c r="F20" s="1242">
        <v>2</v>
      </c>
      <c r="G20" s="1242">
        <v>4</v>
      </c>
      <c r="H20" s="1242">
        <v>1</v>
      </c>
      <c r="I20" s="506"/>
      <c r="J20" s="506"/>
      <c r="K20" s="506"/>
      <c r="L20" s="506"/>
      <c r="M20" s="506"/>
      <c r="N20" s="506"/>
      <c r="O20" s="506"/>
      <c r="P20" s="858"/>
    </row>
    <row r="21" spans="1:21" ht="15.5">
      <c r="B21" s="15"/>
      <c r="C21" s="17"/>
      <c r="D21" s="17"/>
      <c r="E21" s="17"/>
      <c r="F21" s="22"/>
      <c r="G21" s="17"/>
      <c r="H21" s="17"/>
      <c r="I21" s="506"/>
      <c r="J21" s="506"/>
      <c r="K21" s="506"/>
      <c r="L21" s="506"/>
      <c r="M21" s="506"/>
      <c r="N21" s="506"/>
      <c r="O21" s="506"/>
      <c r="P21" s="858"/>
    </row>
    <row r="22" spans="1:21" ht="15.5">
      <c r="B22" s="15"/>
      <c r="C22" s="17"/>
      <c r="D22" s="17" t="s">
        <v>929</v>
      </c>
      <c r="E22" s="17">
        <f>INDEX($E$17:$H$20, MATCH($E$9, $C$17:$C$20, 0), MATCH($E$10, $E$15:$H$15, 0))</f>
        <v>11</v>
      </c>
      <c r="F22" s="22"/>
      <c r="G22" s="17"/>
      <c r="H22" s="17"/>
      <c r="I22" s="506"/>
      <c r="J22" s="506"/>
      <c r="K22" s="506"/>
      <c r="L22" s="506"/>
      <c r="M22" s="506"/>
      <c r="N22" s="506"/>
      <c r="O22" s="506"/>
      <c r="P22" s="858"/>
    </row>
    <row r="23" spans="1:21" ht="15.5">
      <c r="B23" s="15"/>
      <c r="C23" s="506"/>
      <c r="D23" s="17"/>
      <c r="E23" s="17"/>
      <c r="F23" s="506"/>
      <c r="G23" s="506"/>
      <c r="H23" s="506"/>
      <c r="I23" s="506"/>
      <c r="J23" s="506"/>
      <c r="K23" s="506"/>
      <c r="L23" s="506"/>
      <c r="M23" s="506"/>
      <c r="N23" s="506"/>
      <c r="O23" s="506"/>
      <c r="P23" s="858"/>
    </row>
    <row r="24" spans="1:21">
      <c r="B24" s="1243"/>
      <c r="C24" s="860"/>
      <c r="D24" s="860"/>
      <c r="E24" s="860"/>
      <c r="F24" s="860"/>
      <c r="G24" s="860"/>
      <c r="H24" s="860"/>
      <c r="I24" s="860"/>
      <c r="J24" s="860"/>
      <c r="K24" s="860"/>
      <c r="L24" s="860"/>
      <c r="M24" s="860"/>
      <c r="N24" s="860"/>
      <c r="O24" s="860"/>
      <c r="P24" s="861"/>
    </row>
    <row r="26" spans="1:21" s="6" customFormat="1" ht="23.5">
      <c r="A26" s="40"/>
      <c r="B26" s="869" t="s">
        <v>33</v>
      </c>
      <c r="C26" s="870"/>
      <c r="D26" s="870"/>
      <c r="E26" s="870"/>
      <c r="F26" s="870"/>
      <c r="G26" s="870"/>
      <c r="H26" s="870"/>
      <c r="I26" s="870"/>
      <c r="J26" s="870"/>
      <c r="K26" s="870"/>
      <c r="L26" s="870"/>
      <c r="M26" s="870"/>
      <c r="N26" s="870"/>
      <c r="O26" s="870"/>
      <c r="P26" s="870"/>
      <c r="Q26" s="870"/>
      <c r="R26" s="870"/>
      <c r="S26" s="870"/>
      <c r="T26" s="870"/>
      <c r="U26" s="871"/>
    </row>
    <row r="27" spans="1:21">
      <c r="B27" s="105"/>
      <c r="C27" s="67"/>
      <c r="D27" s="67"/>
      <c r="E27" s="67"/>
      <c r="F27" s="67"/>
      <c r="G27" s="67"/>
      <c r="H27" s="67"/>
      <c r="I27" s="67"/>
      <c r="J27" s="67"/>
      <c r="K27" s="67"/>
      <c r="L27" s="67"/>
      <c r="M27" s="67"/>
      <c r="N27" s="67"/>
      <c r="O27" s="67"/>
      <c r="P27" s="67"/>
      <c r="Q27" s="67"/>
      <c r="R27" s="67"/>
      <c r="S27" s="67"/>
      <c r="T27" s="67"/>
      <c r="U27" s="876"/>
    </row>
    <row r="28" spans="1:21">
      <c r="B28" s="105"/>
      <c r="C28" s="49" t="s">
        <v>3038</v>
      </c>
      <c r="D28" s="67"/>
      <c r="E28" s="50"/>
      <c r="F28" s="67"/>
      <c r="G28" s="67"/>
      <c r="H28" s="67"/>
      <c r="I28" s="67"/>
      <c r="J28" s="67"/>
      <c r="K28" s="67"/>
      <c r="L28" s="67"/>
      <c r="M28" s="67"/>
      <c r="N28" s="50" t="str">
        <f>Preferences.EnergyUnits</f>
        <v>TWh</v>
      </c>
      <c r="O28" s="50"/>
      <c r="P28" s="67"/>
      <c r="Q28" s="67"/>
      <c r="R28" s="67"/>
      <c r="S28" s="67"/>
      <c r="T28" s="67"/>
      <c r="U28" s="876"/>
    </row>
    <row r="29" spans="1:21">
      <c r="B29" s="105"/>
      <c r="C29" s="67"/>
      <c r="D29" s="67"/>
      <c r="E29" s="67"/>
      <c r="F29" s="67"/>
      <c r="G29" s="67"/>
      <c r="H29" s="67"/>
      <c r="I29" s="67"/>
      <c r="J29" s="67"/>
      <c r="K29" s="67"/>
      <c r="L29" s="67"/>
      <c r="M29" s="67"/>
      <c r="N29" s="67"/>
      <c r="O29" s="67"/>
      <c r="P29" s="67"/>
      <c r="Q29" s="67"/>
      <c r="R29" s="67"/>
      <c r="S29" s="67"/>
      <c r="T29" s="67"/>
      <c r="U29" s="876"/>
    </row>
    <row r="30" spans="1:21">
      <c r="B30" s="105"/>
      <c r="C30" s="878" t="s">
        <v>8</v>
      </c>
      <c r="D30" s="878" t="s">
        <v>34</v>
      </c>
      <c r="E30" s="1187" t="s">
        <v>30</v>
      </c>
      <c r="F30" s="87">
        <v>2013</v>
      </c>
      <c r="G30" s="87">
        <v>2015</v>
      </c>
      <c r="H30" s="87">
        <v>2020</v>
      </c>
      <c r="I30" s="87">
        <v>2025</v>
      </c>
      <c r="J30" s="87">
        <v>2030</v>
      </c>
      <c r="K30" s="87">
        <v>2035</v>
      </c>
      <c r="L30" s="87">
        <v>2040</v>
      </c>
      <c r="M30" s="87">
        <v>2045</v>
      </c>
      <c r="N30" s="87">
        <v>2050</v>
      </c>
      <c r="O30" s="67"/>
      <c r="P30" s="87" t="s">
        <v>980</v>
      </c>
      <c r="Q30" s="67"/>
      <c r="R30" s="67"/>
      <c r="S30" s="67"/>
      <c r="T30" s="67"/>
      <c r="U30" s="876"/>
    </row>
    <row r="31" spans="1:21" ht="15.5">
      <c r="B31" s="55"/>
      <c r="C31" s="65">
        <v>1</v>
      </c>
      <c r="D31" s="103" t="s">
        <v>930</v>
      </c>
      <c r="E31" s="1244"/>
      <c r="F31" s="1245">
        <f>(Unit.TWh)*8.13</f>
        <v>8.1300000000000008</v>
      </c>
      <c r="G31" s="1245">
        <f>(Unit.TWh)*8.35</f>
        <v>8.35</v>
      </c>
      <c r="H31" s="1245">
        <f>(Unit.TWh)*9.0225</f>
        <v>9.0225000000000009</v>
      </c>
      <c r="I31" s="1245">
        <f>(Unit.TWh)*9.46875</f>
        <v>9.46875</v>
      </c>
      <c r="J31" s="1245">
        <f>(Unit.TWh)*9.915</f>
        <v>9.9149999999999991</v>
      </c>
      <c r="K31" s="1245">
        <f>(Unit.TWh)*10.36125</f>
        <v>10.36125</v>
      </c>
      <c r="L31" s="1245">
        <f>(Unit.TWh)*10.8075</f>
        <v>10.807499999999999</v>
      </c>
      <c r="M31" s="1245">
        <f>(Unit.TWh)*11.25375</f>
        <v>11.25375</v>
      </c>
      <c r="N31" s="1245">
        <f>(Unit.TWh)*11.7</f>
        <v>11.7</v>
      </c>
      <c r="O31" s="75"/>
      <c r="P31" s="4133">
        <f>(N31-F31)/F31</f>
        <v>0.43911439114391121</v>
      </c>
      <c r="Q31" s="67"/>
      <c r="R31" s="67"/>
      <c r="S31" s="67"/>
      <c r="T31" s="67"/>
      <c r="U31" s="876"/>
    </row>
    <row r="32" spans="1:21" ht="15.5">
      <c r="B32" s="55"/>
      <c r="C32" s="65">
        <v>2</v>
      </c>
      <c r="D32" s="103" t="s">
        <v>930</v>
      </c>
      <c r="E32" s="1244"/>
      <c r="F32" s="1245">
        <f>(Unit.TWh)*8.13</f>
        <v>8.1300000000000008</v>
      </c>
      <c r="G32" s="1245">
        <f>(Unit.TWh)*8.2</f>
        <v>8.1999999999999993</v>
      </c>
      <c r="H32" s="1245">
        <f>(Unit.TWh)*8.4475</f>
        <v>8.4474999999999998</v>
      </c>
      <c r="I32" s="1245">
        <f>(Unit.TWh)*8.60625</f>
        <v>8.6062499999999993</v>
      </c>
      <c r="J32" s="1245">
        <f>(Unit.TWh)*8.765</f>
        <v>8.7650000000000006</v>
      </c>
      <c r="K32" s="1245">
        <f>(Unit.TWh)*8.92375</f>
        <v>8.9237500000000001</v>
      </c>
      <c r="L32" s="1245">
        <f>(Unit.TWh)*9.0825</f>
        <v>9.0824999999999996</v>
      </c>
      <c r="M32" s="1245">
        <f>(Unit.TWh)*9.24125</f>
        <v>9.2412500000000009</v>
      </c>
      <c r="N32" s="1245">
        <f>(Unit.TWh)*9.4</f>
        <v>9.4</v>
      </c>
      <c r="O32" s="75"/>
      <c r="P32" s="4133">
        <f>(N32-F32)/F32</f>
        <v>0.15621156211562109</v>
      </c>
      <c r="Q32" s="67"/>
      <c r="R32" s="67"/>
      <c r="S32" s="67"/>
      <c r="T32" s="67"/>
      <c r="U32" s="876"/>
    </row>
    <row r="33" spans="2:21" ht="15.5">
      <c r="B33" s="55"/>
      <c r="C33" s="65">
        <v>3</v>
      </c>
      <c r="D33" s="103" t="s">
        <v>930</v>
      </c>
      <c r="E33" s="1244"/>
      <c r="F33" s="1245">
        <f>(Unit.TWh)*8.13</f>
        <v>8.1300000000000008</v>
      </c>
      <c r="G33" s="1245">
        <f>(Unit.TWh)*8.13</f>
        <v>8.1300000000000008</v>
      </c>
      <c r="H33" s="1245">
        <f t="shared" ref="H33:N33" si="0">(Unit.TWh)*8.13</f>
        <v>8.1300000000000008</v>
      </c>
      <c r="I33" s="1245">
        <f t="shared" si="0"/>
        <v>8.1300000000000008</v>
      </c>
      <c r="J33" s="1245">
        <f t="shared" si="0"/>
        <v>8.1300000000000008</v>
      </c>
      <c r="K33" s="1245">
        <f t="shared" si="0"/>
        <v>8.1300000000000008</v>
      </c>
      <c r="L33" s="1245">
        <f t="shared" si="0"/>
        <v>8.1300000000000008</v>
      </c>
      <c r="M33" s="1245">
        <f t="shared" si="0"/>
        <v>8.1300000000000008</v>
      </c>
      <c r="N33" s="1245">
        <f t="shared" si="0"/>
        <v>8.1300000000000008</v>
      </c>
      <c r="O33" s="75"/>
      <c r="P33" s="4133">
        <f>(N33-F33)/F33</f>
        <v>0</v>
      </c>
      <c r="Q33" s="67"/>
      <c r="R33" s="67"/>
      <c r="S33" s="67"/>
      <c r="T33" s="67"/>
      <c r="U33" s="876"/>
    </row>
    <row r="34" spans="2:21" ht="15.5">
      <c r="B34" s="55"/>
      <c r="C34" s="887">
        <v>4</v>
      </c>
      <c r="D34" s="888" t="s">
        <v>930</v>
      </c>
      <c r="E34" s="1246"/>
      <c r="F34" s="1247">
        <f>(Unit.TWh)*8.13</f>
        <v>8.1300000000000008</v>
      </c>
      <c r="G34" s="1247">
        <f>(Unit.TWh)*8</f>
        <v>8</v>
      </c>
      <c r="H34" s="1247">
        <f>(Unit.TWh)*7.8475</f>
        <v>7.8475000000000001</v>
      </c>
      <c r="I34" s="1247">
        <f>(Unit.TWh)*7.70625</f>
        <v>7.7062499999999998</v>
      </c>
      <c r="J34" s="1247">
        <f>(Unit.TWh)*7.565</f>
        <v>7.5650000000000004</v>
      </c>
      <c r="K34" s="1247">
        <f>(Unit.TWh)*7.42375</f>
        <v>7.4237500000000001</v>
      </c>
      <c r="L34" s="1247">
        <f>(Unit.TWh)*7.2825</f>
        <v>7.2824999999999998</v>
      </c>
      <c r="M34" s="1247">
        <f>(Unit.TWh)*7.14125</f>
        <v>7.1412500000000003</v>
      </c>
      <c r="N34" s="1247">
        <f>(Unit.TWh)*7</f>
        <v>7</v>
      </c>
      <c r="O34" s="75"/>
      <c r="P34" s="4134">
        <f>(N34-F34)/F34</f>
        <v>-0.13899138991389923</v>
      </c>
      <c r="Q34" s="67"/>
      <c r="R34" s="47"/>
      <c r="S34" s="67"/>
      <c r="T34" s="47"/>
      <c r="U34" s="876"/>
    </row>
    <row r="35" spans="2:21">
      <c r="B35" s="105"/>
      <c r="C35" s="67"/>
      <c r="D35" s="67"/>
      <c r="E35" s="934"/>
      <c r="F35" s="67"/>
      <c r="G35" s="67"/>
      <c r="H35" s="67"/>
      <c r="I35" s="67"/>
      <c r="J35" s="67"/>
      <c r="K35" s="67"/>
      <c r="L35" s="67"/>
      <c r="M35" s="67"/>
      <c r="N35" s="67"/>
      <c r="O35" s="67"/>
      <c r="P35" s="67"/>
      <c r="Q35" s="67"/>
      <c r="R35" s="47"/>
      <c r="S35" s="67"/>
      <c r="T35" s="47"/>
      <c r="U35" s="876"/>
    </row>
    <row r="36" spans="2:21">
      <c r="B36" s="105"/>
      <c r="C36" s="49" t="s">
        <v>3039</v>
      </c>
      <c r="D36" s="67"/>
      <c r="E36" s="1248"/>
      <c r="F36" s="67"/>
      <c r="G36" s="67"/>
      <c r="H36" s="67"/>
      <c r="I36" s="67"/>
      <c r="J36" s="67"/>
      <c r="K36" s="67"/>
      <c r="L36" s="67"/>
      <c r="M36" s="67"/>
      <c r="N36" s="50" t="str">
        <f>Preferences.EnergyUnits</f>
        <v>TWh</v>
      </c>
      <c r="O36" s="67"/>
      <c r="P36" s="67"/>
      <c r="Q36" s="67"/>
      <c r="R36" s="67"/>
      <c r="S36" s="47"/>
      <c r="T36" s="67"/>
      <c r="U36" s="876"/>
    </row>
    <row r="37" spans="2:21">
      <c r="B37" s="105"/>
      <c r="C37" s="67"/>
      <c r="D37" s="67"/>
      <c r="E37" s="934"/>
      <c r="F37" s="67"/>
      <c r="G37" s="67"/>
      <c r="H37" s="67"/>
      <c r="I37" s="67"/>
      <c r="J37" s="67"/>
      <c r="K37" s="67"/>
      <c r="L37" s="67"/>
      <c r="M37" s="67"/>
      <c r="N37" s="67"/>
      <c r="O37" s="67"/>
      <c r="P37" s="67"/>
      <c r="Q37" s="67"/>
      <c r="R37" s="67"/>
      <c r="S37" s="47"/>
      <c r="T37" s="67"/>
      <c r="U37" s="876"/>
    </row>
    <row r="38" spans="2:21">
      <c r="B38" s="105"/>
      <c r="C38" s="878" t="s">
        <v>8</v>
      </c>
      <c r="D38" s="878" t="s">
        <v>34</v>
      </c>
      <c r="E38" s="1187" t="s">
        <v>30</v>
      </c>
      <c r="F38" s="87">
        <v>2013</v>
      </c>
      <c r="G38" s="87">
        <v>2015</v>
      </c>
      <c r="H38" s="87">
        <v>2020</v>
      </c>
      <c r="I38" s="87">
        <v>2025</v>
      </c>
      <c r="J38" s="87">
        <v>2030</v>
      </c>
      <c r="K38" s="87">
        <v>2035</v>
      </c>
      <c r="L38" s="87">
        <v>2040</v>
      </c>
      <c r="M38" s="87">
        <v>2045</v>
      </c>
      <c r="N38" s="87">
        <v>2050</v>
      </c>
      <c r="O38" s="67"/>
      <c r="P38" s="87" t="s">
        <v>980</v>
      </c>
      <c r="Q38" s="67"/>
      <c r="R38" s="67"/>
      <c r="S38" s="67"/>
      <c r="T38" s="67"/>
      <c r="U38" s="876"/>
    </row>
    <row r="39" spans="2:21" ht="15.5">
      <c r="B39" s="55"/>
      <c r="C39" s="65">
        <v>1</v>
      </c>
      <c r="D39" s="103" t="s">
        <v>931</v>
      </c>
      <c r="E39" s="1244"/>
      <c r="F39" s="1245">
        <f>(Unit.TWh)*1.43</f>
        <v>1.43</v>
      </c>
      <c r="G39" s="1245">
        <f>(Unit.TWh)*1.49</f>
        <v>1.49</v>
      </c>
      <c r="H39" s="1245">
        <f>(Unit.TWh)*1.59</f>
        <v>1.59</v>
      </c>
      <c r="I39" s="1245">
        <f>(Unit.TWh)*1.67</f>
        <v>1.67</v>
      </c>
      <c r="J39" s="1245">
        <f>(Unit.TWh)*1.75</f>
        <v>1.75</v>
      </c>
      <c r="K39" s="1245">
        <f>(Unit.TWh)*1.83</f>
        <v>1.83</v>
      </c>
      <c r="L39" s="1245">
        <f>(Unit.TWh)*1.91</f>
        <v>1.91</v>
      </c>
      <c r="M39" s="1245">
        <f>(Unit.TWh)*1.99</f>
        <v>1.99</v>
      </c>
      <c r="N39" s="1245">
        <f>(Unit.TWh)*2.07</f>
        <v>2.0699999999999998</v>
      </c>
      <c r="O39" s="75"/>
      <c r="P39" s="4133">
        <f>(N39-F39)/F39</f>
        <v>0.4475524475524475</v>
      </c>
      <c r="Q39" s="67"/>
      <c r="R39" s="67"/>
      <c r="S39" s="67"/>
      <c r="T39" s="67"/>
      <c r="U39" s="876"/>
    </row>
    <row r="40" spans="2:21" ht="15.5">
      <c r="B40" s="55"/>
      <c r="C40" s="65">
        <v>2</v>
      </c>
      <c r="D40" s="103" t="s">
        <v>931</v>
      </c>
      <c r="E40" s="1244"/>
      <c r="F40" s="1245">
        <f>(Unit.TWh)*1.43</f>
        <v>1.43</v>
      </c>
      <c r="G40" s="1245">
        <f>(Unit.TWh)*1.45</f>
        <v>1.45</v>
      </c>
      <c r="H40" s="1245">
        <f>(Unit.TWh)*1.5475</f>
        <v>1.5475000000000001</v>
      </c>
      <c r="I40" s="1245">
        <f>(Unit.TWh)*1.60625</f>
        <v>1.60625</v>
      </c>
      <c r="J40" s="1245">
        <f>(Unit.TWh)*1.665</f>
        <v>1.665</v>
      </c>
      <c r="K40" s="1245">
        <f>(Unit.TWh)*1.72375</f>
        <v>1.7237499999999999</v>
      </c>
      <c r="L40" s="1245">
        <f>(Unit.TWh)*1.7825</f>
        <v>1.7825</v>
      </c>
      <c r="M40" s="1245">
        <f>(Unit.TWh)*1.84125</f>
        <v>1.8412500000000001</v>
      </c>
      <c r="N40" s="1245">
        <f>(Unit.TWh)*1.9</f>
        <v>1.9</v>
      </c>
      <c r="O40" s="75"/>
      <c r="P40" s="4133">
        <f>(N40-F40)/F40</f>
        <v>0.32867132867132864</v>
      </c>
      <c r="Q40" s="67"/>
      <c r="R40" s="67"/>
      <c r="S40" s="67"/>
      <c r="T40" s="67"/>
      <c r="U40" s="876"/>
    </row>
    <row r="41" spans="2:21" ht="15.5">
      <c r="B41" s="55"/>
      <c r="C41" s="65">
        <v>3</v>
      </c>
      <c r="D41" s="103" t="s">
        <v>931</v>
      </c>
      <c r="E41" s="1244"/>
      <c r="F41" s="1245">
        <f>(Unit.TWh)*1.43</f>
        <v>1.43</v>
      </c>
      <c r="G41" s="1245">
        <f t="shared" ref="G41:N41" si="1">(Unit.TWh)*1.43</f>
        <v>1.43</v>
      </c>
      <c r="H41" s="1245">
        <f t="shared" si="1"/>
        <v>1.43</v>
      </c>
      <c r="I41" s="1245">
        <f t="shared" si="1"/>
        <v>1.43</v>
      </c>
      <c r="J41" s="1245">
        <f t="shared" si="1"/>
        <v>1.43</v>
      </c>
      <c r="K41" s="1245">
        <f t="shared" si="1"/>
        <v>1.43</v>
      </c>
      <c r="L41" s="1245">
        <f t="shared" si="1"/>
        <v>1.43</v>
      </c>
      <c r="M41" s="1245">
        <f t="shared" si="1"/>
        <v>1.43</v>
      </c>
      <c r="N41" s="1245">
        <f t="shared" si="1"/>
        <v>1.43</v>
      </c>
      <c r="O41" s="75"/>
      <c r="P41" s="4133">
        <f>(N41-F41)/F41</f>
        <v>0</v>
      </c>
      <c r="Q41" s="67"/>
      <c r="R41" s="67"/>
      <c r="S41" s="67"/>
      <c r="T41" s="67"/>
      <c r="U41" s="876"/>
    </row>
    <row r="42" spans="2:21" ht="15.5">
      <c r="B42" s="55"/>
      <c r="C42" s="887">
        <v>4</v>
      </c>
      <c r="D42" s="888" t="s">
        <v>931</v>
      </c>
      <c r="E42" s="1246"/>
      <c r="F42" s="1247">
        <f>(Unit.TWh)*1.43</f>
        <v>1.43</v>
      </c>
      <c r="G42" s="1247">
        <f>(Unit.TWh)*1.431</f>
        <v>1.431</v>
      </c>
      <c r="H42" s="1247">
        <f>(Unit.TWh)*1.435</f>
        <v>1.4350000000000001</v>
      </c>
      <c r="I42" s="1247">
        <f>(Unit.TWh)*1.4375</f>
        <v>1.4375</v>
      </c>
      <c r="J42" s="1247">
        <f>(Unit.TWh)*1.44</f>
        <v>1.44</v>
      </c>
      <c r="K42" s="1247">
        <f>(Unit.TWh)*1.4425</f>
        <v>1.4424999999999999</v>
      </c>
      <c r="L42" s="1247">
        <f>(Unit.TWh)*1.445</f>
        <v>1.4450000000000001</v>
      </c>
      <c r="M42" s="1247">
        <f>(Unit.TWh)*1.4475</f>
        <v>1.4475</v>
      </c>
      <c r="N42" s="1247">
        <f>(Unit.TWh)*1.45</f>
        <v>1.45</v>
      </c>
      <c r="O42" s="75"/>
      <c r="P42" s="4134">
        <f>(N42-F42)/F42</f>
        <v>1.3986013986014E-2</v>
      </c>
      <c r="Q42" s="67"/>
      <c r="R42" s="67"/>
      <c r="S42" s="67"/>
      <c r="T42" s="67"/>
      <c r="U42" s="876"/>
    </row>
    <row r="43" spans="2:21">
      <c r="B43" s="105"/>
      <c r="C43" s="67"/>
      <c r="D43" s="67"/>
      <c r="E43" s="934"/>
      <c r="F43" s="67"/>
      <c r="G43" s="67"/>
      <c r="H43" s="67"/>
      <c r="I43" s="67"/>
      <c r="J43" s="67"/>
      <c r="K43" s="67"/>
      <c r="L43" s="67"/>
      <c r="M43" s="67"/>
      <c r="N43" s="67"/>
      <c r="O43" s="67"/>
      <c r="P43" s="67"/>
      <c r="Q43" s="67"/>
      <c r="R43" s="67"/>
      <c r="S43" s="67"/>
      <c r="T43" s="67"/>
      <c r="U43" s="876"/>
    </row>
    <row r="44" spans="2:21">
      <c r="B44" s="105"/>
      <c r="C44" s="49" t="s">
        <v>3040</v>
      </c>
      <c r="D44" s="67"/>
      <c r="E44" s="1248"/>
      <c r="F44" s="67"/>
      <c r="G44" s="67"/>
      <c r="H44" s="67"/>
      <c r="I44" s="67"/>
      <c r="J44" s="67"/>
      <c r="K44" s="67"/>
      <c r="L44" s="67"/>
      <c r="M44" s="67"/>
      <c r="N44" s="50" t="str">
        <f>Preferences.EnergyUnits</f>
        <v>TWh</v>
      </c>
      <c r="O44" s="67"/>
      <c r="P44" s="67"/>
      <c r="Q44" s="67"/>
      <c r="R44" s="67"/>
      <c r="S44" s="67"/>
      <c r="T44" s="67"/>
      <c r="U44" s="876"/>
    </row>
    <row r="45" spans="2:21">
      <c r="B45" s="105"/>
      <c r="C45" s="67"/>
      <c r="D45" s="67"/>
      <c r="E45" s="934"/>
      <c r="F45" s="67"/>
      <c r="G45" s="67"/>
      <c r="H45" s="67"/>
      <c r="I45" s="67"/>
      <c r="J45" s="67"/>
      <c r="K45" s="67"/>
      <c r="L45" s="67"/>
      <c r="M45" s="67"/>
      <c r="N45" s="67"/>
      <c r="O45" s="67"/>
      <c r="P45" s="67"/>
      <c r="Q45" s="67"/>
      <c r="R45" s="67"/>
      <c r="S45" s="67"/>
      <c r="T45" s="67"/>
      <c r="U45" s="876"/>
    </row>
    <row r="46" spans="2:21">
      <c r="B46" s="105"/>
      <c r="C46" s="878" t="s">
        <v>8</v>
      </c>
      <c r="D46" s="878" t="s">
        <v>34</v>
      </c>
      <c r="E46" s="1187" t="s">
        <v>30</v>
      </c>
      <c r="F46" s="87">
        <v>2013</v>
      </c>
      <c r="G46" s="87">
        <v>2015</v>
      </c>
      <c r="H46" s="87">
        <v>2020</v>
      </c>
      <c r="I46" s="87">
        <v>2025</v>
      </c>
      <c r="J46" s="87">
        <v>2030</v>
      </c>
      <c r="K46" s="87">
        <v>2035</v>
      </c>
      <c r="L46" s="87">
        <v>2040</v>
      </c>
      <c r="M46" s="87">
        <v>2045</v>
      </c>
      <c r="N46" s="87">
        <v>2050</v>
      </c>
      <c r="O46" s="67"/>
      <c r="P46" s="87" t="s">
        <v>980</v>
      </c>
      <c r="Q46" s="67"/>
      <c r="R46" s="67"/>
      <c r="S46" s="67"/>
      <c r="T46" s="67"/>
      <c r="U46" s="876"/>
    </row>
    <row r="47" spans="2:21" ht="15.5">
      <c r="B47" s="55"/>
      <c r="C47" s="65">
        <v>1</v>
      </c>
      <c r="D47" s="103" t="s">
        <v>932</v>
      </c>
      <c r="E47" s="296"/>
      <c r="F47" s="1025">
        <f>(Unit.TWh)*1</f>
        <v>1</v>
      </c>
      <c r="G47" s="1025">
        <f>(Unit.TWh)*1.2</f>
        <v>1.2</v>
      </c>
      <c r="H47" s="1025">
        <f>(Unit.TWh)*1.5</f>
        <v>1.5</v>
      </c>
      <c r="I47" s="1025">
        <f>(Unit.TWh)*1.75</f>
        <v>1.75</v>
      </c>
      <c r="J47" s="1025">
        <f>(Unit.TWh)*2</f>
        <v>2</v>
      </c>
      <c r="K47" s="1025">
        <f>(Unit.TWh)*2.25</f>
        <v>2.25</v>
      </c>
      <c r="L47" s="1025">
        <f>(Unit.TWh)*2.5</f>
        <v>2.5</v>
      </c>
      <c r="M47" s="1025">
        <f>(Unit.TWh)*2.75</f>
        <v>2.75</v>
      </c>
      <c r="N47" s="1025">
        <f>(Unit.TWh)*3</f>
        <v>3</v>
      </c>
      <c r="O47" s="75"/>
      <c r="P47" s="4133">
        <f>(N47-F47)/F47</f>
        <v>2</v>
      </c>
      <c r="Q47" s="67"/>
      <c r="R47" s="67"/>
      <c r="S47" s="67"/>
      <c r="T47" s="67"/>
      <c r="U47" s="876"/>
    </row>
    <row r="48" spans="2:21" ht="15.5">
      <c r="B48" s="55"/>
      <c r="C48" s="65">
        <v>2</v>
      </c>
      <c r="D48" s="103" t="s">
        <v>932</v>
      </c>
      <c r="E48" s="296"/>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5"/>
      <c r="P48" s="4133">
        <f>(N48-F48)/F48</f>
        <v>0.39999999999999991</v>
      </c>
      <c r="Q48" s="67"/>
      <c r="R48" s="67"/>
      <c r="S48" s="67"/>
      <c r="T48" s="67"/>
      <c r="U48" s="876"/>
    </row>
    <row r="49" spans="2:23" ht="15.5">
      <c r="B49" s="55"/>
      <c r="C49" s="65">
        <v>3</v>
      </c>
      <c r="D49" s="103" t="s">
        <v>932</v>
      </c>
      <c r="E49" s="296"/>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5"/>
      <c r="P49" s="4133">
        <f>(N49-F49)/F49</f>
        <v>0</v>
      </c>
      <c r="Q49" s="67"/>
      <c r="R49" s="67"/>
      <c r="S49" s="67"/>
      <c r="T49" s="67"/>
      <c r="U49" s="876"/>
    </row>
    <row r="50" spans="2:23" ht="15.5">
      <c r="B50" s="55"/>
      <c r="C50" s="887">
        <v>4</v>
      </c>
      <c r="D50" s="888" t="s">
        <v>932</v>
      </c>
      <c r="E50" s="1028"/>
      <c r="F50" s="1014">
        <f>(Unit.TWh)*1</f>
        <v>1</v>
      </c>
      <c r="G50" s="1014">
        <f>(Unit.TWh)*0.95</f>
        <v>0.95</v>
      </c>
      <c r="H50" s="1014">
        <f>(Unit.TWh)*0.8875</f>
        <v>0.88749999999999996</v>
      </c>
      <c r="I50" s="1014">
        <f>(Unit.TWh)*0.83125</f>
        <v>0.83125000000000004</v>
      </c>
      <c r="J50" s="1014">
        <f>(Unit.TWh)*0.775</f>
        <v>0.77500000000000002</v>
      </c>
      <c r="K50" s="1014">
        <f>(Unit.TWh)*0.71875</f>
        <v>0.71875</v>
      </c>
      <c r="L50" s="1014">
        <f>(Unit.TWh)*0.6625</f>
        <v>0.66249999999999998</v>
      </c>
      <c r="M50" s="1014">
        <f>(Unit.TWh)*0.60625</f>
        <v>0.60624999999999996</v>
      </c>
      <c r="N50" s="1014">
        <f>(Unit.TWh)*0.55</f>
        <v>0.55000000000000004</v>
      </c>
      <c r="O50" s="75"/>
      <c r="P50" s="4134">
        <f>(N50-F50)/F50</f>
        <v>-0.44999999999999996</v>
      </c>
      <c r="Q50" s="67"/>
      <c r="R50" s="67"/>
      <c r="S50" s="67"/>
      <c r="T50" s="67"/>
      <c r="U50" s="876"/>
    </row>
    <row r="51" spans="2:23">
      <c r="B51" s="105"/>
      <c r="C51" s="67"/>
      <c r="D51" s="67"/>
      <c r="E51" s="67"/>
      <c r="F51" s="67"/>
      <c r="G51" s="67"/>
      <c r="H51" s="67"/>
      <c r="I51" s="67"/>
      <c r="J51" s="67"/>
      <c r="K51" s="67"/>
      <c r="L51" s="67"/>
      <c r="M51" s="67"/>
      <c r="N51" s="67"/>
      <c r="O51" s="67"/>
      <c r="P51" s="67"/>
      <c r="Q51" s="1250"/>
      <c r="R51" s="1250"/>
      <c r="S51" s="1250"/>
      <c r="T51" s="1250"/>
      <c r="U51" s="1249"/>
    </row>
    <row r="52" spans="2:23" ht="15.5">
      <c r="B52" s="55"/>
      <c r="C52" s="84" t="s">
        <v>3041</v>
      </c>
      <c r="D52" s="103"/>
      <c r="E52" s="1250"/>
      <c r="F52" s="59"/>
      <c r="G52" s="1217"/>
      <c r="H52" s="1217"/>
      <c r="I52" s="1217"/>
      <c r="J52" s="1217"/>
      <c r="K52" s="1217"/>
      <c r="L52" s="1217"/>
      <c r="M52" s="1217"/>
      <c r="N52" s="1217"/>
      <c r="O52" s="1250"/>
      <c r="P52" s="1250"/>
      <c r="Q52" s="1250"/>
      <c r="R52" s="1250"/>
      <c r="S52" s="1250"/>
      <c r="T52" s="1250" t="s">
        <v>42</v>
      </c>
      <c r="U52" s="1251"/>
    </row>
    <row r="53" spans="2:23" ht="15.5">
      <c r="B53" s="55"/>
      <c r="C53" s="65" t="s">
        <v>5</v>
      </c>
      <c r="D53" s="103"/>
      <c r="E53" s="103"/>
      <c r="F53" s="59"/>
      <c r="G53" s="1217"/>
      <c r="H53" s="1217"/>
      <c r="I53" s="1217"/>
      <c r="J53" s="1217"/>
      <c r="K53" s="1217"/>
      <c r="L53" s="1217"/>
      <c r="M53" s="1217"/>
      <c r="N53" s="1217"/>
      <c r="O53" s="1217"/>
      <c r="P53" s="1217"/>
      <c r="Q53" s="1217"/>
      <c r="R53" s="1217"/>
      <c r="S53" s="1217"/>
      <c r="T53" s="1217"/>
      <c r="U53" s="1252"/>
    </row>
    <row r="54" spans="2:23" ht="15.5">
      <c r="B54" s="55"/>
      <c r="C54" s="878" t="s">
        <v>43</v>
      </c>
      <c r="D54" s="878" t="s">
        <v>44</v>
      </c>
      <c r="E54" s="1253">
        <v>9</v>
      </c>
      <c r="F54" s="87">
        <v>1</v>
      </c>
      <c r="G54" s="87">
        <v>3</v>
      </c>
      <c r="H54" s="878">
        <v>11</v>
      </c>
      <c r="I54" s="87">
        <v>2</v>
      </c>
      <c r="J54" s="878">
        <v>5</v>
      </c>
      <c r="K54" s="87">
        <v>4</v>
      </c>
      <c r="L54" s="87">
        <v>13</v>
      </c>
      <c r="M54" s="87">
        <v>10</v>
      </c>
      <c r="N54" s="87">
        <v>8</v>
      </c>
      <c r="O54" s="87">
        <v>16</v>
      </c>
      <c r="P54" s="1253">
        <v>7</v>
      </c>
      <c r="Q54" s="1253">
        <v>15</v>
      </c>
      <c r="R54" s="1253">
        <v>6</v>
      </c>
      <c r="S54" s="878">
        <v>14</v>
      </c>
      <c r="T54" s="878">
        <v>12</v>
      </c>
      <c r="U54" s="1254"/>
    </row>
    <row r="55" spans="2:23" ht="15.5">
      <c r="B55" s="55"/>
      <c r="C55" s="65">
        <v>1</v>
      </c>
      <c r="D55" s="1255" t="s">
        <v>45</v>
      </c>
      <c r="E55" s="88"/>
      <c r="F55" s="89"/>
      <c r="G55" s="89"/>
      <c r="H55" s="88"/>
      <c r="I55" s="89"/>
      <c r="J55" s="88"/>
      <c r="K55" s="89"/>
      <c r="L55" s="89"/>
      <c r="M55" s="89"/>
      <c r="N55" s="89"/>
      <c r="O55" s="89"/>
      <c r="P55" s="89"/>
      <c r="Q55" s="89"/>
      <c r="R55" s="89"/>
      <c r="S55" s="89"/>
      <c r="T55" s="89"/>
      <c r="U55" s="90"/>
      <c r="V55" s="2"/>
      <c r="W55" s="2"/>
    </row>
    <row r="56" spans="2:23" ht="15.5">
      <c r="B56" s="55"/>
      <c r="C56" s="65">
        <v>2</v>
      </c>
      <c r="D56" s="103" t="s">
        <v>46</v>
      </c>
      <c r="E56" s="88">
        <v>0.9</v>
      </c>
      <c r="F56" s="89">
        <v>0.15</v>
      </c>
      <c r="G56" s="89">
        <v>0.25</v>
      </c>
      <c r="H56" s="88">
        <v>0.8</v>
      </c>
      <c r="I56" s="89"/>
      <c r="J56" s="88"/>
      <c r="K56" s="89"/>
      <c r="L56" s="89"/>
      <c r="M56" s="91">
        <v>0.2</v>
      </c>
      <c r="N56" s="89">
        <v>1E-3</v>
      </c>
      <c r="O56" s="89"/>
      <c r="P56" s="91"/>
      <c r="Q56" s="91">
        <v>0.2</v>
      </c>
      <c r="R56" s="91"/>
      <c r="S56" s="89"/>
      <c r="T56" s="91"/>
      <c r="U56" s="90"/>
      <c r="V56" s="2"/>
      <c r="W56" s="2"/>
    </row>
    <row r="57" spans="2:23" ht="15.5">
      <c r="B57" s="55"/>
      <c r="C57" s="65">
        <v>3</v>
      </c>
      <c r="D57" s="103" t="s">
        <v>47</v>
      </c>
      <c r="E57" s="88">
        <v>0.1</v>
      </c>
      <c r="F57" s="89"/>
      <c r="G57" s="89"/>
      <c r="H57" s="88">
        <v>0.1</v>
      </c>
      <c r="I57" s="89"/>
      <c r="J57" s="88"/>
      <c r="K57" s="89"/>
      <c r="L57" s="89">
        <v>0.15</v>
      </c>
      <c r="M57" s="89">
        <v>0.1</v>
      </c>
      <c r="N57" s="89"/>
      <c r="O57" s="89"/>
      <c r="P57" s="89"/>
      <c r="Q57" s="89"/>
      <c r="R57" s="89"/>
      <c r="S57" s="89"/>
      <c r="T57" s="89"/>
      <c r="U57" s="90"/>
      <c r="V57" s="2"/>
      <c r="W57" s="2"/>
    </row>
    <row r="58" spans="2:23" ht="15.5">
      <c r="B58" s="55"/>
      <c r="C58" s="65">
        <v>4</v>
      </c>
      <c r="D58" s="103" t="s">
        <v>48</v>
      </c>
      <c r="E58" s="88"/>
      <c r="F58" s="89">
        <v>0.1</v>
      </c>
      <c r="G58" s="89" t="s">
        <v>5</v>
      </c>
      <c r="H58" s="88"/>
      <c r="I58" s="89"/>
      <c r="J58" s="88"/>
      <c r="K58" s="89"/>
      <c r="L58" s="89"/>
      <c r="M58" s="89"/>
      <c r="N58" s="89"/>
      <c r="O58" s="89">
        <v>1E-3</v>
      </c>
      <c r="P58" s="91">
        <v>0.2</v>
      </c>
      <c r="Q58" s="89"/>
      <c r="R58" s="89"/>
      <c r="S58" s="89"/>
      <c r="T58" s="91">
        <v>0.17</v>
      </c>
      <c r="U58" s="90"/>
      <c r="V58" s="2"/>
      <c r="W58" s="2"/>
    </row>
    <row r="59" spans="2:23" ht="15.5">
      <c r="B59" s="55"/>
      <c r="C59" s="65">
        <v>5</v>
      </c>
      <c r="D59" s="103" t="s">
        <v>49</v>
      </c>
      <c r="E59" s="88">
        <v>0</v>
      </c>
      <c r="F59" s="89">
        <v>0</v>
      </c>
      <c r="G59" s="89">
        <v>0</v>
      </c>
      <c r="H59" s="88">
        <v>0</v>
      </c>
      <c r="I59" s="91">
        <v>0.3</v>
      </c>
      <c r="J59" s="89">
        <v>0.4</v>
      </c>
      <c r="K59" s="89">
        <v>0</v>
      </c>
      <c r="L59" s="89">
        <v>0</v>
      </c>
      <c r="M59" s="89">
        <v>0</v>
      </c>
      <c r="N59" s="89">
        <v>0.2</v>
      </c>
      <c r="O59" s="89">
        <v>0.1</v>
      </c>
      <c r="P59" s="89">
        <v>0.1</v>
      </c>
      <c r="Q59" s="89">
        <v>0.1</v>
      </c>
      <c r="R59" s="89">
        <v>0.3</v>
      </c>
      <c r="S59" s="89">
        <v>0.15</v>
      </c>
      <c r="T59" s="89">
        <v>0.05</v>
      </c>
      <c r="U59" s="90"/>
      <c r="V59" s="2"/>
      <c r="W59" s="2"/>
    </row>
    <row r="60" spans="2:23" ht="15.5">
      <c r="B60" s="55"/>
      <c r="C60" s="65">
        <v>6</v>
      </c>
      <c r="D60" s="1255" t="s">
        <v>50</v>
      </c>
      <c r="E60" s="88"/>
      <c r="F60" s="89"/>
      <c r="G60" s="91"/>
      <c r="H60" s="88"/>
      <c r="I60" s="91"/>
      <c r="J60" s="91"/>
      <c r="K60" s="91"/>
      <c r="L60" s="91"/>
      <c r="M60" s="91"/>
      <c r="N60" s="91"/>
      <c r="O60" s="91"/>
      <c r="P60" s="91"/>
      <c r="Q60" s="91"/>
      <c r="R60" s="91"/>
      <c r="S60" s="91"/>
      <c r="T60" s="91"/>
      <c r="U60" s="92"/>
      <c r="V60" s="2"/>
      <c r="W60" s="2"/>
    </row>
    <row r="61" spans="2:23" ht="15.5">
      <c r="B61" s="55"/>
      <c r="C61" s="65">
        <v>7</v>
      </c>
      <c r="D61" s="1255" t="s">
        <v>51</v>
      </c>
      <c r="E61" s="88"/>
      <c r="F61" s="89"/>
      <c r="G61" s="91"/>
      <c r="H61" s="88"/>
      <c r="I61" s="91"/>
      <c r="J61" s="91"/>
      <c r="K61" s="91"/>
      <c r="L61" s="91"/>
      <c r="M61" s="91"/>
      <c r="N61" s="91"/>
      <c r="O61" s="91"/>
      <c r="P61" s="91"/>
      <c r="Q61" s="91"/>
      <c r="R61" s="91"/>
      <c r="S61" s="91"/>
      <c r="T61" s="91"/>
      <c r="U61" s="92"/>
      <c r="V61" s="2"/>
      <c r="W61" s="2"/>
    </row>
    <row r="62" spans="2:23" ht="15.5">
      <c r="B62" s="55"/>
      <c r="C62" s="65">
        <v>8</v>
      </c>
      <c r="D62" s="103" t="s">
        <v>52</v>
      </c>
      <c r="E62" s="88"/>
      <c r="F62" s="89">
        <v>0.5</v>
      </c>
      <c r="G62" s="91">
        <v>0.55000000000000004</v>
      </c>
      <c r="H62" s="88">
        <v>0.05</v>
      </c>
      <c r="I62" s="91">
        <v>0.45</v>
      </c>
      <c r="J62" s="91"/>
      <c r="K62" s="91">
        <v>0.57999999999999996</v>
      </c>
      <c r="L62" s="91">
        <v>0.45</v>
      </c>
      <c r="M62" s="91"/>
      <c r="N62" s="91">
        <v>0.18</v>
      </c>
      <c r="O62" s="91">
        <v>0.25</v>
      </c>
      <c r="P62" s="91"/>
      <c r="Q62" s="91"/>
      <c r="R62" s="91"/>
      <c r="S62" s="91">
        <v>0.14000000000000001</v>
      </c>
      <c r="T62" s="91"/>
      <c r="U62" s="92"/>
      <c r="V62" s="2"/>
      <c r="W62" s="2"/>
    </row>
    <row r="63" spans="2:23" ht="15.5">
      <c r="B63" s="55"/>
      <c r="C63" s="65">
        <v>9</v>
      </c>
      <c r="D63" s="103" t="s">
        <v>53</v>
      </c>
      <c r="E63" s="88"/>
      <c r="F63" s="89">
        <v>0.25</v>
      </c>
      <c r="G63" s="91">
        <v>0.2</v>
      </c>
      <c r="H63" s="88">
        <v>0.05</v>
      </c>
      <c r="I63" s="91">
        <v>0.25</v>
      </c>
      <c r="J63" s="91">
        <v>0.2</v>
      </c>
      <c r="K63" s="91">
        <v>0.3</v>
      </c>
      <c r="L63" s="91">
        <v>0.25</v>
      </c>
      <c r="M63" s="91">
        <v>0.3</v>
      </c>
      <c r="N63" s="91">
        <v>0.3</v>
      </c>
      <c r="O63" s="91">
        <v>0.25</v>
      </c>
      <c r="P63" s="91"/>
      <c r="Q63" s="91"/>
      <c r="R63" s="91"/>
      <c r="S63" s="91">
        <v>0.2</v>
      </c>
      <c r="T63" s="91">
        <v>0.25</v>
      </c>
      <c r="U63" s="92"/>
      <c r="V63" s="2"/>
      <c r="W63" s="2"/>
    </row>
    <row r="64" spans="2:23" ht="15.5">
      <c r="B64" s="55"/>
      <c r="C64" s="65">
        <v>10</v>
      </c>
      <c r="D64" s="1255" t="s">
        <v>54</v>
      </c>
      <c r="E64" s="88"/>
      <c r="F64" s="89"/>
      <c r="G64" s="91"/>
      <c r="H64" s="88"/>
      <c r="I64" s="73"/>
      <c r="J64" s="91"/>
      <c r="K64" s="91"/>
      <c r="L64" s="91"/>
      <c r="M64" s="91"/>
      <c r="N64" s="91"/>
      <c r="O64" s="91"/>
      <c r="P64" s="91"/>
      <c r="Q64" s="91"/>
      <c r="R64" s="91"/>
      <c r="S64" s="91"/>
      <c r="T64" s="91"/>
      <c r="U64" s="92"/>
      <c r="V64" s="2"/>
      <c r="W64" s="2"/>
    </row>
    <row r="65" spans="2:25" ht="15.5">
      <c r="B65" s="55"/>
      <c r="C65" s="65">
        <v>11</v>
      </c>
      <c r="D65" s="103" t="s">
        <v>55</v>
      </c>
      <c r="E65" s="88"/>
      <c r="F65" s="89"/>
      <c r="G65" s="91" t="s">
        <v>5</v>
      </c>
      <c r="H65" s="88"/>
      <c r="I65" s="91"/>
      <c r="J65" s="91"/>
      <c r="K65" s="91"/>
      <c r="L65" s="91"/>
      <c r="M65" s="91">
        <v>0.33</v>
      </c>
      <c r="N65" s="91"/>
      <c r="O65" s="91">
        <v>0.13</v>
      </c>
      <c r="P65" s="91">
        <v>0.3</v>
      </c>
      <c r="Q65" s="91">
        <v>0.24</v>
      </c>
      <c r="R65" s="91"/>
      <c r="S65" s="91">
        <v>0.15</v>
      </c>
      <c r="T65" s="91">
        <v>0.23</v>
      </c>
      <c r="U65" s="92"/>
      <c r="V65" s="2"/>
      <c r="W65" s="2"/>
    </row>
    <row r="66" spans="2:25" ht="15.5">
      <c r="B66" s="55"/>
      <c r="C66" s="65">
        <v>12</v>
      </c>
      <c r="D66" s="103" t="s">
        <v>56</v>
      </c>
      <c r="E66" s="88"/>
      <c r="F66" s="89"/>
      <c r="G66" s="91"/>
      <c r="H66" s="88"/>
      <c r="I66" s="91"/>
      <c r="J66" s="91">
        <v>0.4</v>
      </c>
      <c r="K66" s="91"/>
      <c r="L66" s="91"/>
      <c r="M66" s="91"/>
      <c r="N66" s="91">
        <v>0.25</v>
      </c>
      <c r="O66" s="91">
        <v>0.2</v>
      </c>
      <c r="P66" s="91">
        <v>0.33</v>
      </c>
      <c r="Q66" s="91">
        <v>0.35</v>
      </c>
      <c r="R66" s="91">
        <v>0.63</v>
      </c>
      <c r="S66" s="91">
        <v>0.25</v>
      </c>
      <c r="T66" s="91">
        <v>0.23</v>
      </c>
      <c r="U66" s="92"/>
      <c r="V66" s="2"/>
      <c r="W66" s="2"/>
    </row>
    <row r="67" spans="2:25" ht="15.5">
      <c r="B67" s="55"/>
      <c r="C67" s="887">
        <v>13</v>
      </c>
      <c r="D67" s="888" t="s">
        <v>57</v>
      </c>
      <c r="E67" s="93"/>
      <c r="F67" s="94"/>
      <c r="G67" s="95"/>
      <c r="H67" s="93"/>
      <c r="I67" s="95"/>
      <c r="J67" s="93"/>
      <c r="K67" s="95">
        <v>0.12</v>
      </c>
      <c r="L67" s="95">
        <v>0.15</v>
      </c>
      <c r="M67" s="95">
        <v>7.0000000000000007E-2</v>
      </c>
      <c r="N67" s="95">
        <v>7.0000000000000007E-2</v>
      </c>
      <c r="O67" s="95">
        <v>7.0000000000000007E-2</v>
      </c>
      <c r="P67" s="95">
        <v>7.0000000000000007E-2</v>
      </c>
      <c r="Q67" s="95">
        <v>0.11</v>
      </c>
      <c r="R67" s="95">
        <v>7.0000000000000007E-2</v>
      </c>
      <c r="S67" s="95">
        <v>0.11</v>
      </c>
      <c r="T67" s="95">
        <v>7.0000000000000007E-2</v>
      </c>
      <c r="U67" s="92"/>
      <c r="V67" s="2"/>
      <c r="W67" s="2"/>
    </row>
    <row r="68" spans="2:25" ht="15.5">
      <c r="B68" s="55"/>
      <c r="C68" s="65"/>
      <c r="D68" s="103" t="s">
        <v>58</v>
      </c>
      <c r="E68" s="1256">
        <f>SUM(E55:E67)</f>
        <v>1</v>
      </c>
      <c r="F68" s="1256">
        <f t="shared" ref="F68:T68" si="3">SUM(F55:F67)</f>
        <v>1</v>
      </c>
      <c r="G68" s="1256">
        <f t="shared" si="3"/>
        <v>1</v>
      </c>
      <c r="H68" s="1256">
        <f t="shared" si="3"/>
        <v>1</v>
      </c>
      <c r="I68" s="1256">
        <f t="shared" si="3"/>
        <v>1</v>
      </c>
      <c r="J68" s="1256">
        <f t="shared" si="3"/>
        <v>1</v>
      </c>
      <c r="K68" s="1256">
        <f t="shared" si="3"/>
        <v>0.99999999999999989</v>
      </c>
      <c r="L68" s="1256">
        <f t="shared" si="3"/>
        <v>1</v>
      </c>
      <c r="M68" s="1256">
        <f t="shared" si="3"/>
        <v>1.0000000000000002</v>
      </c>
      <c r="N68" s="1256">
        <f t="shared" si="3"/>
        <v>1.0010000000000001</v>
      </c>
      <c r="O68" s="1256">
        <f t="shared" si="3"/>
        <v>1.0010000000000001</v>
      </c>
      <c r="P68" s="1256">
        <f t="shared" si="3"/>
        <v>1.0000000000000002</v>
      </c>
      <c r="Q68" s="1256">
        <f t="shared" si="3"/>
        <v>1</v>
      </c>
      <c r="R68" s="1256">
        <f t="shared" si="3"/>
        <v>1</v>
      </c>
      <c r="S68" s="1256">
        <f t="shared" si="3"/>
        <v>1</v>
      </c>
      <c r="T68" s="1256">
        <f t="shared" si="3"/>
        <v>1</v>
      </c>
      <c r="U68" s="98"/>
    </row>
    <row r="69" spans="2:25" ht="15.5">
      <c r="B69" s="55"/>
      <c r="C69" s="65"/>
      <c r="D69" s="103" t="s">
        <v>5</v>
      </c>
      <c r="E69" s="103"/>
      <c r="F69" s="88"/>
      <c r="G69" s="88"/>
      <c r="H69" s="88"/>
      <c r="I69" s="88"/>
      <c r="J69" s="88"/>
      <c r="K69" s="88"/>
      <c r="L69" s="88"/>
      <c r="M69" s="88"/>
      <c r="N69" s="88"/>
      <c r="O69" s="88"/>
      <c r="P69" s="88"/>
      <c r="Q69" s="88"/>
      <c r="R69" s="88"/>
      <c r="S69" s="88"/>
      <c r="T69" s="88"/>
      <c r="U69" s="98"/>
    </row>
    <row r="70" spans="2:25" ht="15.5">
      <c r="B70" s="55"/>
      <c r="C70" s="84" t="s">
        <v>59</v>
      </c>
      <c r="D70" s="103"/>
      <c r="E70" s="103"/>
      <c r="F70" s="88"/>
      <c r="G70" s="88"/>
      <c r="H70" s="88"/>
      <c r="I70" s="88"/>
      <c r="J70" s="88"/>
      <c r="K70" s="88"/>
      <c r="L70" s="88"/>
      <c r="M70" s="88"/>
      <c r="N70" s="88"/>
      <c r="O70" s="88"/>
      <c r="P70" s="67"/>
      <c r="Q70" s="67"/>
      <c r="R70" s="67"/>
      <c r="S70" s="67"/>
      <c r="T70" s="51" t="s">
        <v>42</v>
      </c>
      <c r="U70" s="876"/>
    </row>
    <row r="71" spans="2:25" ht="15.5">
      <c r="B71" s="55"/>
      <c r="C71" s="65"/>
      <c r="D71" s="103"/>
      <c r="E71" s="103"/>
      <c r="F71" s="88"/>
      <c r="G71" s="88"/>
      <c r="H71" s="88"/>
      <c r="I71" s="88"/>
      <c r="J71" s="88"/>
      <c r="K71" s="88"/>
      <c r="L71" s="88"/>
      <c r="M71" s="88"/>
      <c r="N71" s="88"/>
      <c r="O71" s="88"/>
      <c r="P71" s="67"/>
      <c r="Q71" s="67"/>
      <c r="R71" s="67"/>
      <c r="S71" s="67"/>
      <c r="T71" s="67"/>
      <c r="U71" s="876"/>
    </row>
    <row r="72" spans="2:25" ht="15.5">
      <c r="B72" s="55"/>
      <c r="C72" s="878" t="s">
        <v>43</v>
      </c>
      <c r="D72" s="878" t="s">
        <v>44</v>
      </c>
      <c r="E72" s="878">
        <v>9</v>
      </c>
      <c r="F72" s="87">
        <v>1</v>
      </c>
      <c r="G72" s="87">
        <v>3</v>
      </c>
      <c r="H72" s="87">
        <v>11</v>
      </c>
      <c r="I72" s="87">
        <v>2</v>
      </c>
      <c r="J72" s="87">
        <v>5</v>
      </c>
      <c r="K72" s="87">
        <v>4</v>
      </c>
      <c r="L72" s="87">
        <v>13</v>
      </c>
      <c r="M72" s="87">
        <v>10</v>
      </c>
      <c r="N72" s="87">
        <v>8</v>
      </c>
      <c r="O72" s="87">
        <v>16</v>
      </c>
      <c r="P72" s="87">
        <v>7</v>
      </c>
      <c r="Q72" s="87">
        <v>15</v>
      </c>
      <c r="R72" s="87">
        <v>6</v>
      </c>
      <c r="S72" s="87">
        <v>14</v>
      </c>
      <c r="T72" s="87">
        <v>12</v>
      </c>
      <c r="U72" s="876"/>
      <c r="X72" s="1068"/>
      <c r="Y72" s="1068"/>
    </row>
    <row r="73" spans="2:25" ht="15.5">
      <c r="B73" s="55"/>
      <c r="C73" s="65">
        <v>1</v>
      </c>
      <c r="D73" s="103" t="s">
        <v>60</v>
      </c>
      <c r="E73" s="88"/>
      <c r="F73" s="89"/>
      <c r="G73" s="89"/>
      <c r="H73" s="89"/>
      <c r="I73" s="89"/>
      <c r="J73" s="89"/>
      <c r="K73" s="89"/>
      <c r="L73" s="89"/>
      <c r="M73" s="89"/>
      <c r="N73" s="89"/>
      <c r="O73" s="89"/>
      <c r="P73" s="89"/>
      <c r="Q73" s="89"/>
      <c r="R73" s="89"/>
      <c r="S73" s="89"/>
      <c r="T73" s="89"/>
      <c r="U73" s="876"/>
    </row>
    <row r="74" spans="2:25" ht="15.5">
      <c r="B74" s="55"/>
      <c r="C74" s="65">
        <v>2</v>
      </c>
      <c r="D74" s="103" t="s">
        <v>61</v>
      </c>
      <c r="E74" s="88">
        <v>1</v>
      </c>
      <c r="F74" s="89">
        <v>1</v>
      </c>
      <c r="G74" s="89">
        <v>1</v>
      </c>
      <c r="H74" s="89">
        <v>1</v>
      </c>
      <c r="I74" s="89">
        <v>1</v>
      </c>
      <c r="J74" s="89">
        <v>1</v>
      </c>
      <c r="K74" s="89">
        <v>0.97</v>
      </c>
      <c r="L74" s="89">
        <v>0.88</v>
      </c>
      <c r="M74" s="89">
        <v>0.93</v>
      </c>
      <c r="N74" s="89">
        <v>0.93</v>
      </c>
      <c r="O74" s="89">
        <v>0.93</v>
      </c>
      <c r="P74" s="89">
        <v>0.92</v>
      </c>
      <c r="Q74" s="89">
        <v>0.88</v>
      </c>
      <c r="R74" s="89">
        <v>0.92</v>
      </c>
      <c r="S74" s="89">
        <v>0.89</v>
      </c>
      <c r="T74" s="89">
        <v>0.92</v>
      </c>
      <c r="U74" s="876"/>
    </row>
    <row r="75" spans="2:25" ht="15.5">
      <c r="B75" s="55"/>
      <c r="C75" s="65">
        <v>3</v>
      </c>
      <c r="D75" s="103" t="s">
        <v>62</v>
      </c>
      <c r="E75" s="88"/>
      <c r="F75" s="89"/>
      <c r="G75" s="89"/>
      <c r="H75" s="88"/>
      <c r="I75" s="89"/>
      <c r="J75" s="88"/>
      <c r="K75" s="89">
        <v>0.03</v>
      </c>
      <c r="L75" s="89">
        <v>0.12</v>
      </c>
      <c r="M75" s="88">
        <v>7.0000000000000007E-2</v>
      </c>
      <c r="N75" s="88">
        <v>7.0000000000000007E-2</v>
      </c>
      <c r="O75" s="89">
        <v>7.0000000000000007E-2</v>
      </c>
      <c r="P75" s="89">
        <v>0.08</v>
      </c>
      <c r="Q75" s="89">
        <v>0.12</v>
      </c>
      <c r="R75" s="89">
        <v>0.08</v>
      </c>
      <c r="S75" s="89">
        <v>0.11</v>
      </c>
      <c r="T75" s="89">
        <v>0.08</v>
      </c>
      <c r="U75" s="876"/>
    </row>
    <row r="76" spans="2:25" ht="15.5">
      <c r="B76" s="55"/>
      <c r="C76" s="1170"/>
      <c r="D76" s="968" t="s">
        <v>58</v>
      </c>
      <c r="E76" s="1257">
        <v>1</v>
      </c>
      <c r="F76" s="1257">
        <v>1</v>
      </c>
      <c r="G76" s="1257">
        <v>1</v>
      </c>
      <c r="H76" s="1257">
        <v>1</v>
      </c>
      <c r="I76" s="1257">
        <v>1</v>
      </c>
      <c r="J76" s="1257">
        <v>1</v>
      </c>
      <c r="K76" s="1257">
        <v>1</v>
      </c>
      <c r="L76" s="1257">
        <v>1</v>
      </c>
      <c r="M76" s="1257">
        <v>1</v>
      </c>
      <c r="N76" s="1257">
        <v>1</v>
      </c>
      <c r="O76" s="1257">
        <v>1</v>
      </c>
      <c r="P76" s="1257">
        <v>1</v>
      </c>
      <c r="Q76" s="1257">
        <v>1</v>
      </c>
      <c r="R76" s="1257">
        <v>1</v>
      </c>
      <c r="S76" s="1257">
        <v>1</v>
      </c>
      <c r="T76" s="1257">
        <v>1</v>
      </c>
      <c r="U76" s="876"/>
    </row>
    <row r="77" spans="2:25" ht="15.5">
      <c r="B77" s="55"/>
      <c r="C77" s="65"/>
      <c r="D77" s="103"/>
      <c r="E77" s="103"/>
      <c r="F77" s="88"/>
      <c r="G77" s="88"/>
      <c r="H77" s="88"/>
      <c r="I77" s="88"/>
      <c r="J77" s="88"/>
      <c r="K77" s="88"/>
      <c r="L77" s="88"/>
      <c r="M77" s="88"/>
      <c r="N77" s="88"/>
      <c r="O77" s="88"/>
      <c r="P77" s="67"/>
      <c r="Q77" s="1065"/>
      <c r="R77" s="1065"/>
      <c r="S77" s="1065"/>
      <c r="T77" s="1065"/>
      <c r="U77" s="1100"/>
    </row>
    <row r="78" spans="2:25">
      <c r="B78" s="105"/>
      <c r="C78" s="3850" t="s">
        <v>63</v>
      </c>
      <c r="D78" s="67"/>
      <c r="E78" s="67"/>
      <c r="F78" s="67"/>
      <c r="G78" s="67"/>
      <c r="H78" s="67"/>
      <c r="I78" s="67"/>
      <c r="J78" s="67"/>
      <c r="K78" s="67"/>
      <c r="L78" s="67"/>
      <c r="M78" s="67"/>
      <c r="N78" s="67"/>
      <c r="O78" s="67"/>
      <c r="P78" s="67"/>
      <c r="Q78" s="67"/>
      <c r="R78" s="67"/>
      <c r="S78" s="67"/>
      <c r="T78" s="67"/>
      <c r="U78" s="876"/>
    </row>
    <row r="79" spans="2:25">
      <c r="B79" s="45"/>
      <c r="C79" s="920" t="s">
        <v>64</v>
      </c>
      <c r="D79" s="3848" t="s">
        <v>3417</v>
      </c>
      <c r="E79" s="67"/>
      <c r="F79" s="67"/>
      <c r="G79" s="67"/>
      <c r="H79" s="67"/>
      <c r="I79" s="67"/>
      <c r="J79" s="67"/>
      <c r="K79" s="67"/>
      <c r="L79" s="67"/>
      <c r="M79" s="67"/>
      <c r="N79" s="67"/>
      <c r="O79" s="67"/>
      <c r="P79" s="67"/>
      <c r="Q79" s="67"/>
      <c r="R79" s="67"/>
      <c r="S79" s="67"/>
      <c r="T79" s="67"/>
      <c r="U79" s="876"/>
    </row>
    <row r="80" spans="2:25">
      <c r="B80" s="45"/>
      <c r="C80" s="920" t="s">
        <v>66</v>
      </c>
      <c r="D80" s="3848" t="s">
        <v>3046</v>
      </c>
      <c r="E80" s="67"/>
      <c r="F80" s="67"/>
      <c r="G80" s="67"/>
      <c r="H80" s="67"/>
      <c r="I80" s="67"/>
      <c r="J80" s="67"/>
      <c r="K80" s="67"/>
      <c r="L80" s="67"/>
      <c r="M80" s="67"/>
      <c r="N80" s="67"/>
      <c r="O80" s="67"/>
      <c r="P80" s="67"/>
      <c r="Q80" s="67"/>
      <c r="R80" s="67"/>
      <c r="S80" s="67"/>
      <c r="T80" s="67"/>
      <c r="U80" s="876"/>
    </row>
    <row r="81" spans="1:21">
      <c r="B81" s="45"/>
      <c r="C81" s="920"/>
      <c r="D81" s="3848" t="s">
        <v>3045</v>
      </c>
      <c r="E81" s="67"/>
      <c r="F81" s="67"/>
      <c r="G81" s="67"/>
      <c r="H81" s="67"/>
      <c r="I81" s="67"/>
      <c r="J81" s="67"/>
      <c r="K81" s="67"/>
      <c r="L81" s="67"/>
      <c r="M81" s="67"/>
      <c r="N81" s="67"/>
      <c r="O81" s="67"/>
      <c r="P81" s="67"/>
      <c r="Q81" s="67"/>
      <c r="R81" s="67"/>
      <c r="S81" s="67"/>
      <c r="T81" s="67"/>
      <c r="U81" s="876"/>
    </row>
    <row r="82" spans="1:21" ht="15.5">
      <c r="B82" s="1097"/>
      <c r="C82" s="1098"/>
      <c r="D82" s="1258"/>
      <c r="E82" s="1258"/>
      <c r="F82" s="108"/>
      <c r="G82" s="1259"/>
      <c r="H82" s="1259"/>
      <c r="I82" s="1259"/>
      <c r="J82" s="1259"/>
      <c r="K82" s="1259"/>
      <c r="L82" s="1259"/>
      <c r="M82" s="1259"/>
      <c r="N82" s="1259"/>
      <c r="O82" s="1259"/>
      <c r="P82" s="1259"/>
      <c r="Q82" s="1259"/>
      <c r="R82" s="1259"/>
      <c r="S82" s="1259"/>
      <c r="T82" s="1259"/>
      <c r="U82" s="1100"/>
    </row>
    <row r="84" spans="1:21" s="6" customFormat="1" ht="23.5">
      <c r="A84" s="40"/>
      <c r="B84" s="869" t="s">
        <v>69</v>
      </c>
      <c r="C84" s="870"/>
      <c r="D84" s="870"/>
      <c r="E84" s="870"/>
      <c r="F84" s="870"/>
      <c r="G84" s="870"/>
      <c r="H84" s="870"/>
      <c r="I84" s="870"/>
      <c r="J84" s="870"/>
      <c r="K84" s="870"/>
      <c r="L84" s="870"/>
      <c r="M84" s="870"/>
      <c r="N84" s="870"/>
      <c r="O84" s="870"/>
      <c r="P84" s="871"/>
    </row>
    <row r="85" spans="1:21">
      <c r="B85" s="105"/>
      <c r="C85" s="67"/>
      <c r="D85" s="67"/>
      <c r="E85" s="67"/>
      <c r="F85" s="67"/>
      <c r="G85" s="67"/>
      <c r="H85" s="67"/>
      <c r="I85" s="67"/>
      <c r="J85" s="67"/>
      <c r="K85" s="67"/>
      <c r="L85" s="67"/>
      <c r="M85" s="67"/>
      <c r="N85" s="67"/>
      <c r="O85" s="67"/>
      <c r="P85" s="876"/>
    </row>
    <row r="86" spans="1:21">
      <c r="B86" s="105"/>
      <c r="C86" s="49" t="s">
        <v>933</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76"/>
    </row>
    <row r="87" spans="1:21">
      <c r="B87" s="105"/>
      <c r="C87" s="67"/>
      <c r="D87" s="67"/>
      <c r="E87" s="67"/>
      <c r="F87" s="67"/>
      <c r="G87" s="67"/>
      <c r="H87" s="67"/>
      <c r="I87" s="67"/>
      <c r="J87" s="67"/>
      <c r="K87" s="67"/>
      <c r="L87" s="67"/>
      <c r="M87" s="67"/>
      <c r="N87" s="67"/>
      <c r="O87" s="67"/>
      <c r="P87" s="876"/>
    </row>
    <row r="88" spans="1:21">
      <c r="B88" s="105"/>
      <c r="C88" s="49" t="s">
        <v>934</v>
      </c>
      <c r="D88" s="67"/>
      <c r="E88" s="67"/>
      <c r="F88" s="67"/>
      <c r="G88" s="67"/>
      <c r="H88" s="67"/>
      <c r="I88" s="67"/>
      <c r="J88" s="67"/>
      <c r="K88" s="67"/>
      <c r="L88" s="67"/>
      <c r="M88" s="67"/>
      <c r="N88" s="51" t="s">
        <v>935</v>
      </c>
      <c r="O88" s="67"/>
      <c r="P88" s="876"/>
    </row>
    <row r="89" spans="1:21">
      <c r="B89" s="105"/>
      <c r="C89" s="67"/>
      <c r="D89" s="67"/>
      <c r="E89" s="67"/>
      <c r="F89" s="67"/>
      <c r="G89" s="67"/>
      <c r="H89" s="67"/>
      <c r="I89" s="67"/>
      <c r="J89" s="67"/>
      <c r="K89" s="67"/>
      <c r="L89" s="67"/>
      <c r="M89" s="67"/>
      <c r="N89" s="67"/>
      <c r="O89" s="67"/>
      <c r="P89" s="876"/>
    </row>
    <row r="90" spans="1:21" ht="15.5">
      <c r="B90" s="55"/>
      <c r="C90" s="878"/>
      <c r="D90" s="878" t="s">
        <v>71</v>
      </c>
      <c r="E90" s="900"/>
      <c r="F90" s="87">
        <v>2013</v>
      </c>
      <c r="G90" s="87">
        <v>2015</v>
      </c>
      <c r="H90" s="87">
        <v>2020</v>
      </c>
      <c r="I90" s="87">
        <v>2025</v>
      </c>
      <c r="J90" s="87">
        <v>2030</v>
      </c>
      <c r="K90" s="87">
        <v>2035</v>
      </c>
      <c r="L90" s="87">
        <v>2040</v>
      </c>
      <c r="M90" s="87">
        <v>2045</v>
      </c>
      <c r="N90" s="87">
        <v>2050</v>
      </c>
      <c r="O90" s="67"/>
      <c r="P90" s="876"/>
    </row>
    <row r="91" spans="1:21" ht="15.5">
      <c r="B91" s="55"/>
      <c r="C91" s="917"/>
      <c r="D91" s="194" t="s">
        <v>936</v>
      </c>
      <c r="E91" s="1151"/>
      <c r="F91" s="142">
        <v>0</v>
      </c>
      <c r="G91" s="142">
        <v>0.04</v>
      </c>
      <c r="H91" s="142">
        <v>0.08</v>
      </c>
      <c r="I91" s="142">
        <v>0.08</v>
      </c>
      <c r="J91" s="142">
        <v>0.08</v>
      </c>
      <c r="K91" s="142">
        <v>0.08</v>
      </c>
      <c r="L91" s="142">
        <v>0.08</v>
      </c>
      <c r="M91" s="142">
        <v>0.08</v>
      </c>
      <c r="N91" s="142">
        <v>0.08</v>
      </c>
      <c r="O91" s="67"/>
      <c r="P91" s="876"/>
    </row>
    <row r="92" spans="1:21">
      <c r="B92" s="105"/>
      <c r="C92" s="67"/>
      <c r="D92" s="67"/>
      <c r="E92" s="67"/>
      <c r="F92" s="67"/>
      <c r="G92" s="67"/>
      <c r="H92" s="67"/>
      <c r="I92" s="67"/>
      <c r="J92" s="67"/>
      <c r="K92" s="67"/>
      <c r="L92" s="67"/>
      <c r="M92" s="67"/>
      <c r="N92" s="67"/>
      <c r="O92" s="67"/>
      <c r="P92" s="876"/>
    </row>
    <row r="93" spans="1:21">
      <c r="B93" s="105"/>
      <c r="C93" s="49" t="s">
        <v>937</v>
      </c>
      <c r="D93" s="67"/>
      <c r="E93" s="67"/>
      <c r="F93" s="67"/>
      <c r="G93" s="51"/>
      <c r="H93" s="67"/>
      <c r="I93" s="67"/>
      <c r="J93" s="67"/>
      <c r="K93" s="67"/>
      <c r="L93" s="67"/>
      <c r="M93" s="67"/>
      <c r="N93" s="67"/>
      <c r="O93" s="51" t="s">
        <v>84</v>
      </c>
      <c r="P93" s="876"/>
    </row>
    <row r="94" spans="1:21">
      <c r="B94" s="105"/>
      <c r="C94" s="67"/>
      <c r="D94" s="67"/>
      <c r="E94" s="67"/>
      <c r="F94" s="67"/>
      <c r="G94" s="67"/>
      <c r="H94" s="67"/>
      <c r="I94" s="67"/>
      <c r="J94" s="67"/>
      <c r="K94" s="67"/>
      <c r="L94" s="67"/>
      <c r="M94" s="67"/>
      <c r="N94" s="67"/>
      <c r="O94" s="67"/>
      <c r="P94" s="876"/>
    </row>
    <row r="95" spans="1:21" ht="21">
      <c r="B95" s="105"/>
      <c r="C95" s="1260"/>
      <c r="D95" s="1260"/>
      <c r="E95" s="1260"/>
      <c r="F95" s="1261" t="s">
        <v>85</v>
      </c>
      <c r="G95" s="1261" t="s">
        <v>86</v>
      </c>
      <c r="H95" s="1261" t="s">
        <v>87</v>
      </c>
      <c r="I95" s="1261" t="s">
        <v>88</v>
      </c>
      <c r="J95" s="1261" t="s">
        <v>89</v>
      </c>
      <c r="K95" s="1261" t="s">
        <v>90</v>
      </c>
      <c r="L95" s="1261" t="s">
        <v>91</v>
      </c>
      <c r="M95" s="1261" t="s">
        <v>92</v>
      </c>
      <c r="N95" s="1261" t="s">
        <v>93</v>
      </c>
      <c r="O95" s="1262" t="s">
        <v>94</v>
      </c>
      <c r="P95" s="876"/>
    </row>
    <row r="96" spans="1:21" ht="15.5">
      <c r="B96" s="55"/>
      <c r="C96" s="1019" t="s">
        <v>43</v>
      </c>
      <c r="D96" s="1019" t="s">
        <v>44</v>
      </c>
      <c r="E96" s="1019" t="s">
        <v>30</v>
      </c>
      <c r="F96" s="1263" t="s">
        <v>95</v>
      </c>
      <c r="G96" s="1263" t="s">
        <v>96</v>
      </c>
      <c r="H96" s="1263" t="s">
        <v>97</v>
      </c>
      <c r="I96" s="1263" t="s">
        <v>98</v>
      </c>
      <c r="J96" s="1263" t="s">
        <v>99</v>
      </c>
      <c r="K96" s="1263" t="s">
        <v>100</v>
      </c>
      <c r="L96" s="1263" t="s">
        <v>101</v>
      </c>
      <c r="M96" s="1263" t="s">
        <v>102</v>
      </c>
      <c r="N96" s="1263" t="s">
        <v>103</v>
      </c>
      <c r="O96" s="1264"/>
      <c r="P96" s="876"/>
    </row>
    <row r="97" spans="2:16" ht="15.5">
      <c r="B97" s="55"/>
      <c r="C97" s="65">
        <v>1</v>
      </c>
      <c r="D97" s="103" t="s">
        <v>45</v>
      </c>
      <c r="E97" s="103"/>
      <c r="F97" s="88"/>
      <c r="G97" s="88"/>
      <c r="H97" s="88"/>
      <c r="I97" s="88"/>
      <c r="J97" s="88">
        <v>-1</v>
      </c>
      <c r="K97" s="88"/>
      <c r="L97" s="88"/>
      <c r="M97" s="88">
        <v>0.76</v>
      </c>
      <c r="N97" s="88">
        <v>0.24</v>
      </c>
      <c r="O97" s="138">
        <v>0</v>
      </c>
      <c r="P97" s="876"/>
    </row>
    <row r="98" spans="2:16" ht="15.5">
      <c r="B98" s="55"/>
      <c r="C98" s="65">
        <v>2</v>
      </c>
      <c r="D98" s="103" t="s">
        <v>46</v>
      </c>
      <c r="E98" s="103"/>
      <c r="F98" s="88"/>
      <c r="G98" s="88"/>
      <c r="H98" s="88"/>
      <c r="I98" s="88"/>
      <c r="J98" s="88">
        <v>-1</v>
      </c>
      <c r="K98" s="88"/>
      <c r="L98" s="88"/>
      <c r="M98" s="88">
        <v>0.91</v>
      </c>
      <c r="N98" s="88">
        <v>0.09</v>
      </c>
      <c r="O98" s="138">
        <v>0</v>
      </c>
      <c r="P98" s="876"/>
    </row>
    <row r="99" spans="2:16" ht="15.5">
      <c r="B99" s="55"/>
      <c r="C99" s="65">
        <v>3</v>
      </c>
      <c r="D99" s="103" t="s">
        <v>47</v>
      </c>
      <c r="E99" s="103"/>
      <c r="F99" s="88">
        <v>-1</v>
      </c>
      <c r="G99" s="88"/>
      <c r="H99" s="88"/>
      <c r="I99" s="88"/>
      <c r="J99" s="88"/>
      <c r="K99" s="88"/>
      <c r="L99" s="88"/>
      <c r="M99" s="88">
        <v>1</v>
      </c>
      <c r="N99" s="88">
        <v>0</v>
      </c>
      <c r="O99" s="138">
        <v>0</v>
      </c>
      <c r="P99" s="876"/>
    </row>
    <row r="100" spans="2:16" ht="15.5">
      <c r="B100" s="55"/>
      <c r="C100" s="65">
        <v>4</v>
      </c>
      <c r="D100" s="103" t="s">
        <v>48</v>
      </c>
      <c r="E100" s="103"/>
      <c r="F100" s="88"/>
      <c r="G100" s="88"/>
      <c r="H100" s="88"/>
      <c r="I100" s="88">
        <v>-1</v>
      </c>
      <c r="J100" s="88"/>
      <c r="K100" s="88"/>
      <c r="L100" s="88"/>
      <c r="M100" s="88">
        <v>0.97</v>
      </c>
      <c r="N100" s="88">
        <v>0.03</v>
      </c>
      <c r="O100" s="138">
        <v>-2.7755575615628914E-17</v>
      </c>
      <c r="P100" s="876"/>
    </row>
    <row r="101" spans="2:16" ht="15.5">
      <c r="B101" s="55"/>
      <c r="C101" s="65">
        <v>5</v>
      </c>
      <c r="D101" s="103" t="s">
        <v>49</v>
      </c>
      <c r="E101" s="103"/>
      <c r="F101" s="88"/>
      <c r="G101" s="88"/>
      <c r="H101" s="88">
        <v>-1</v>
      </c>
      <c r="I101" s="88"/>
      <c r="J101" s="88"/>
      <c r="K101" s="88"/>
      <c r="L101" s="88"/>
      <c r="M101" s="88">
        <v>0.87</v>
      </c>
      <c r="N101" s="88">
        <v>0.13</v>
      </c>
      <c r="O101" s="138">
        <v>0</v>
      </c>
      <c r="P101" s="876"/>
    </row>
    <row r="102" spans="2:16" ht="15.5">
      <c r="B102" s="55"/>
      <c r="C102" s="65">
        <v>6</v>
      </c>
      <c r="D102" s="103" t="s">
        <v>50</v>
      </c>
      <c r="E102" s="103"/>
      <c r="F102" s="88"/>
      <c r="G102" s="88">
        <v>0.22500000000000001</v>
      </c>
      <c r="H102" s="88"/>
      <c r="I102" s="88"/>
      <c r="J102" s="88">
        <v>-1</v>
      </c>
      <c r="K102" s="88"/>
      <c r="L102" s="88"/>
      <c r="M102" s="88">
        <v>0.63</v>
      </c>
      <c r="N102" s="88">
        <v>0.14499999999999999</v>
      </c>
      <c r="O102" s="138">
        <v>0</v>
      </c>
      <c r="P102" s="876"/>
    </row>
    <row r="103" spans="2:16" ht="15.5">
      <c r="B103" s="55"/>
      <c r="C103" s="65">
        <v>7</v>
      </c>
      <c r="D103" s="103" t="s">
        <v>51</v>
      </c>
      <c r="E103" s="103"/>
      <c r="F103" s="88"/>
      <c r="G103" s="88">
        <v>0.45</v>
      </c>
      <c r="H103" s="88"/>
      <c r="I103" s="88"/>
      <c r="J103" s="88">
        <v>-1</v>
      </c>
      <c r="K103" s="88"/>
      <c r="L103" s="88"/>
      <c r="M103" s="88">
        <v>0.45</v>
      </c>
      <c r="N103" s="88">
        <v>0.1</v>
      </c>
      <c r="O103" s="138">
        <v>0</v>
      </c>
      <c r="P103" s="876"/>
    </row>
    <row r="104" spans="2:16" ht="15.5">
      <c r="B104" s="55"/>
      <c r="C104" s="65">
        <v>8</v>
      </c>
      <c r="D104" s="103" t="s">
        <v>52</v>
      </c>
      <c r="E104" s="103"/>
      <c r="F104" s="88">
        <v>-1</v>
      </c>
      <c r="G104" s="88"/>
      <c r="H104" s="88"/>
      <c r="I104" s="88"/>
      <c r="J104" s="88"/>
      <c r="K104" s="88"/>
      <c r="L104" s="88">
        <v>-2</v>
      </c>
      <c r="M104" s="88">
        <v>3</v>
      </c>
      <c r="N104" s="88"/>
      <c r="O104" s="138">
        <v>0</v>
      </c>
      <c r="P104" s="876"/>
    </row>
    <row r="105" spans="2:16" ht="15.5">
      <c r="B105" s="55"/>
      <c r="C105" s="65">
        <v>9</v>
      </c>
      <c r="D105" s="103" t="s">
        <v>53</v>
      </c>
      <c r="E105" s="103"/>
      <c r="F105" s="88">
        <v>-1</v>
      </c>
      <c r="G105" s="88"/>
      <c r="H105" s="88"/>
      <c r="I105" s="88"/>
      <c r="J105" s="88"/>
      <c r="K105" s="88"/>
      <c r="L105" s="88">
        <v>-3</v>
      </c>
      <c r="M105" s="88">
        <v>4</v>
      </c>
      <c r="N105" s="88"/>
      <c r="O105" s="138">
        <v>0</v>
      </c>
      <c r="P105" s="876"/>
    </row>
    <row r="106" spans="2:16" ht="15.5">
      <c r="B106" s="55"/>
      <c r="C106" s="65">
        <v>10</v>
      </c>
      <c r="D106" s="103" t="s">
        <v>54</v>
      </c>
      <c r="E106" s="103"/>
      <c r="F106" s="88"/>
      <c r="G106" s="88"/>
      <c r="H106" s="88"/>
      <c r="I106" s="88"/>
      <c r="J106" s="88"/>
      <c r="K106" s="88"/>
      <c r="L106" s="88">
        <v>-1</v>
      </c>
      <c r="M106" s="88">
        <v>0.85</v>
      </c>
      <c r="N106" s="88">
        <v>0.15</v>
      </c>
      <c r="O106" s="138">
        <v>0</v>
      </c>
      <c r="P106" s="876"/>
    </row>
    <row r="107" spans="2:16" ht="15.5">
      <c r="B107" s="55"/>
      <c r="C107" s="65">
        <v>11</v>
      </c>
      <c r="D107" s="103" t="s">
        <v>55</v>
      </c>
      <c r="E107" s="103"/>
      <c r="F107" s="88"/>
      <c r="G107" s="88">
        <v>0.38</v>
      </c>
      <c r="H107" s="88"/>
      <c r="I107" s="88"/>
      <c r="J107" s="88">
        <v>-1</v>
      </c>
      <c r="K107" s="88"/>
      <c r="L107" s="88"/>
      <c r="M107" s="88">
        <v>0.38</v>
      </c>
      <c r="N107" s="88">
        <v>0.24</v>
      </c>
      <c r="O107" s="138">
        <v>0</v>
      </c>
      <c r="P107" s="876"/>
    </row>
    <row r="108" spans="2:16" ht="15.5">
      <c r="B108" s="55"/>
      <c r="C108" s="65">
        <v>12</v>
      </c>
      <c r="D108" s="103" t="s">
        <v>56</v>
      </c>
      <c r="E108" s="103"/>
      <c r="F108" s="88"/>
      <c r="G108" s="88">
        <v>0.17</v>
      </c>
      <c r="H108" s="88">
        <v>-1</v>
      </c>
      <c r="I108" s="88"/>
      <c r="J108" s="88"/>
      <c r="K108" s="88"/>
      <c r="L108" s="88"/>
      <c r="M108" s="88">
        <v>0.56999999999999995</v>
      </c>
      <c r="N108" s="88">
        <v>0.26</v>
      </c>
      <c r="O108" s="138">
        <v>0</v>
      </c>
      <c r="P108" s="876"/>
    </row>
    <row r="109" spans="2:16" ht="15.5">
      <c r="B109" s="55"/>
      <c r="C109" s="887">
        <v>13</v>
      </c>
      <c r="D109" s="888" t="s">
        <v>57</v>
      </c>
      <c r="E109" s="888"/>
      <c r="F109" s="93"/>
      <c r="G109" s="139"/>
      <c r="H109" s="139"/>
      <c r="I109" s="139"/>
      <c r="J109" s="139"/>
      <c r="K109" s="139">
        <v>-1</v>
      </c>
      <c r="L109" s="139"/>
      <c r="M109" s="139">
        <v>0.9</v>
      </c>
      <c r="N109" s="139">
        <v>0.1</v>
      </c>
      <c r="O109" s="140">
        <v>0</v>
      </c>
      <c r="P109" s="876"/>
    </row>
    <row r="110" spans="2:16">
      <c r="B110" s="105"/>
      <c r="C110" s="67"/>
      <c r="D110" s="67"/>
      <c r="E110" s="67"/>
      <c r="F110" s="67"/>
      <c r="G110" s="67"/>
      <c r="H110" s="67"/>
      <c r="I110" s="67"/>
      <c r="J110" s="67"/>
      <c r="K110" s="67"/>
      <c r="L110" s="67"/>
      <c r="M110" s="67"/>
      <c r="N110" s="67"/>
      <c r="O110" s="67"/>
      <c r="P110" s="876"/>
    </row>
    <row r="111" spans="2:16">
      <c r="B111" s="105"/>
      <c r="C111" s="49" t="s">
        <v>938</v>
      </c>
      <c r="D111" s="67"/>
      <c r="E111" s="67"/>
      <c r="F111" s="67"/>
      <c r="G111" s="51"/>
      <c r="H111" s="67"/>
      <c r="I111" s="67"/>
      <c r="J111" s="67"/>
      <c r="K111" s="67"/>
      <c r="L111" s="67"/>
      <c r="M111" s="67"/>
      <c r="N111" s="67"/>
      <c r="O111" s="51" t="s">
        <v>84</v>
      </c>
      <c r="P111" s="876"/>
    </row>
    <row r="112" spans="2:16">
      <c r="B112" s="105"/>
      <c r="C112" s="67"/>
      <c r="D112" s="67"/>
      <c r="E112" s="67"/>
      <c r="F112" s="67"/>
      <c r="G112" s="67"/>
      <c r="H112" s="67"/>
      <c r="I112" s="67"/>
      <c r="J112" s="67"/>
      <c r="K112" s="67"/>
      <c r="L112" s="67"/>
      <c r="M112" s="67"/>
      <c r="N112" s="67"/>
      <c r="O112" s="67"/>
      <c r="P112" s="876"/>
    </row>
    <row r="113" spans="2:16" ht="21">
      <c r="B113" s="105"/>
      <c r="C113" s="1260"/>
      <c r="D113" s="1260"/>
      <c r="E113" s="1260"/>
      <c r="F113" s="1261" t="s">
        <v>85</v>
      </c>
      <c r="G113" s="1261" t="s">
        <v>86</v>
      </c>
      <c r="H113" s="1261" t="s">
        <v>87</v>
      </c>
      <c r="I113" s="1261" t="s">
        <v>88</v>
      </c>
      <c r="J113" s="1261" t="s">
        <v>89</v>
      </c>
      <c r="K113" s="1261" t="s">
        <v>90</v>
      </c>
      <c r="L113" s="1261" t="s">
        <v>91</v>
      </c>
      <c r="M113" s="1261" t="s">
        <v>92</v>
      </c>
      <c r="N113" s="1261" t="s">
        <v>93</v>
      </c>
      <c r="O113" s="1262" t="s">
        <v>94</v>
      </c>
      <c r="P113" s="876"/>
    </row>
    <row r="114" spans="2:16" ht="15.5">
      <c r="B114" s="55"/>
      <c r="C114" s="1019" t="s">
        <v>43</v>
      </c>
      <c r="D114" s="1019" t="s">
        <v>44</v>
      </c>
      <c r="E114" s="1019" t="s">
        <v>30</v>
      </c>
      <c r="F114" s="1263" t="s">
        <v>95</v>
      </c>
      <c r="G114" s="1263" t="s">
        <v>96</v>
      </c>
      <c r="H114" s="1263" t="s">
        <v>97</v>
      </c>
      <c r="I114" s="1263" t="s">
        <v>98</v>
      </c>
      <c r="J114" s="1263" t="s">
        <v>99</v>
      </c>
      <c r="K114" s="1263" t="s">
        <v>100</v>
      </c>
      <c r="L114" s="1263" t="s">
        <v>101</v>
      </c>
      <c r="M114" s="1263" t="s">
        <v>102</v>
      </c>
      <c r="N114" s="1263" t="s">
        <v>103</v>
      </c>
      <c r="O114" s="1264"/>
      <c r="P114" s="876"/>
    </row>
    <row r="115" spans="2:16" ht="15.5">
      <c r="B115" s="55"/>
      <c r="C115" s="65">
        <v>1</v>
      </c>
      <c r="D115" s="103" t="s">
        <v>45</v>
      </c>
      <c r="E115" s="103"/>
      <c r="F115" s="88"/>
      <c r="G115" s="88"/>
      <c r="H115" s="88"/>
      <c r="I115" s="88"/>
      <c r="J115" s="88">
        <v>-1</v>
      </c>
      <c r="K115" s="88"/>
      <c r="L115" s="88"/>
      <c r="M115" s="88">
        <v>0.76</v>
      </c>
      <c r="N115" s="88">
        <v>0.24</v>
      </c>
      <c r="O115" s="138">
        <v>0</v>
      </c>
      <c r="P115" s="876"/>
    </row>
    <row r="116" spans="2:16" ht="15.5">
      <c r="B116" s="55"/>
      <c r="C116" s="65">
        <v>2</v>
      </c>
      <c r="D116" s="103" t="s">
        <v>46</v>
      </c>
      <c r="E116" s="103"/>
      <c r="F116" s="88"/>
      <c r="G116" s="88"/>
      <c r="H116" s="88"/>
      <c r="I116" s="88"/>
      <c r="J116" s="88">
        <v>-1</v>
      </c>
      <c r="K116" s="88"/>
      <c r="L116" s="88"/>
      <c r="M116" s="88">
        <v>0.91</v>
      </c>
      <c r="N116" s="88">
        <v>0.09</v>
      </c>
      <c r="O116" s="138">
        <v>0</v>
      </c>
      <c r="P116" s="876"/>
    </row>
    <row r="117" spans="2:16" ht="15.5">
      <c r="B117" s="55"/>
      <c r="C117" s="65">
        <v>3</v>
      </c>
      <c r="D117" s="103" t="s">
        <v>47</v>
      </c>
      <c r="E117" s="103"/>
      <c r="F117" s="88">
        <v>-1</v>
      </c>
      <c r="G117" s="88"/>
      <c r="H117" s="88"/>
      <c r="I117" s="88"/>
      <c r="J117" s="88"/>
      <c r="K117" s="88"/>
      <c r="L117" s="88"/>
      <c r="M117" s="88">
        <v>1</v>
      </c>
      <c r="N117" s="88">
        <v>0</v>
      </c>
      <c r="O117" s="138">
        <v>0</v>
      </c>
      <c r="P117" s="876"/>
    </row>
    <row r="118" spans="2:16" ht="15.5">
      <c r="B118" s="55"/>
      <c r="C118" s="65">
        <v>4</v>
      </c>
      <c r="D118" s="103" t="s">
        <v>48</v>
      </c>
      <c r="E118" s="103"/>
      <c r="F118" s="88"/>
      <c r="G118" s="88"/>
      <c r="H118" s="88"/>
      <c r="I118" s="88">
        <v>-1</v>
      </c>
      <c r="J118" s="88"/>
      <c r="K118" s="88"/>
      <c r="L118" s="88"/>
      <c r="M118" s="88">
        <v>0.97</v>
      </c>
      <c r="N118" s="88">
        <v>0.03</v>
      </c>
      <c r="O118" s="138">
        <v>-2.7755575615628914E-17</v>
      </c>
      <c r="P118" s="876"/>
    </row>
    <row r="119" spans="2:16" ht="15.5">
      <c r="B119" s="55"/>
      <c r="C119" s="65">
        <v>5</v>
      </c>
      <c r="D119" s="103" t="s">
        <v>49</v>
      </c>
      <c r="E119" s="103"/>
      <c r="F119" s="88"/>
      <c r="G119" s="88"/>
      <c r="H119" s="88">
        <v>-1</v>
      </c>
      <c r="I119" s="88"/>
      <c r="J119" s="88"/>
      <c r="K119" s="88"/>
      <c r="L119" s="88"/>
      <c r="M119" s="88">
        <v>0.87</v>
      </c>
      <c r="N119" s="88">
        <v>0.13</v>
      </c>
      <c r="O119" s="138">
        <v>0</v>
      </c>
      <c r="P119" s="876"/>
    </row>
    <row r="120" spans="2:16" ht="15.5">
      <c r="B120" s="55"/>
      <c r="C120" s="65">
        <v>6</v>
      </c>
      <c r="D120" s="103" t="s">
        <v>50</v>
      </c>
      <c r="E120" s="103"/>
      <c r="F120" s="88"/>
      <c r="G120" s="88">
        <v>0.22500000000000001</v>
      </c>
      <c r="H120" s="88"/>
      <c r="I120" s="88"/>
      <c r="J120" s="88">
        <v>-1</v>
      </c>
      <c r="K120" s="88"/>
      <c r="L120" s="88"/>
      <c r="M120" s="88">
        <v>0.63</v>
      </c>
      <c r="N120" s="88">
        <v>0.14499999999999999</v>
      </c>
      <c r="O120" s="138">
        <v>0</v>
      </c>
      <c r="P120" s="876"/>
    </row>
    <row r="121" spans="2:16" ht="15.5">
      <c r="B121" s="55"/>
      <c r="C121" s="65">
        <v>7</v>
      </c>
      <c r="D121" s="57" t="s">
        <v>51</v>
      </c>
      <c r="E121" s="103"/>
      <c r="F121" s="88"/>
      <c r="G121" s="88">
        <v>0.45</v>
      </c>
      <c r="H121" s="88"/>
      <c r="I121" s="88"/>
      <c r="J121" s="88">
        <v>-1</v>
      </c>
      <c r="K121" s="88"/>
      <c r="L121" s="88"/>
      <c r="M121" s="88">
        <v>0.45</v>
      </c>
      <c r="N121" s="88">
        <v>0.1</v>
      </c>
      <c r="O121" s="138">
        <v>0</v>
      </c>
      <c r="P121" s="876"/>
    </row>
    <row r="122" spans="2:16" ht="15.5">
      <c r="B122" s="55"/>
      <c r="C122" s="65">
        <v>8</v>
      </c>
      <c r="D122" s="103" t="s">
        <v>52</v>
      </c>
      <c r="E122" s="103"/>
      <c r="F122" s="88">
        <v>-1</v>
      </c>
      <c r="G122" s="88"/>
      <c r="H122" s="88"/>
      <c r="I122" s="88"/>
      <c r="J122" s="88"/>
      <c r="K122" s="88"/>
      <c r="L122" s="88">
        <v>-1</v>
      </c>
      <c r="M122" s="88">
        <v>2</v>
      </c>
      <c r="N122" s="88"/>
      <c r="O122" s="138">
        <v>0</v>
      </c>
      <c r="P122" s="876"/>
    </row>
    <row r="123" spans="2:16" ht="15.5">
      <c r="B123" s="55"/>
      <c r="C123" s="65">
        <v>9</v>
      </c>
      <c r="D123" s="103" t="s">
        <v>53</v>
      </c>
      <c r="E123" s="103"/>
      <c r="F123" s="88">
        <v>-1</v>
      </c>
      <c r="G123" s="88"/>
      <c r="H123" s="88"/>
      <c r="I123" s="88"/>
      <c r="J123" s="88"/>
      <c r="K123" s="88"/>
      <c r="L123" s="88">
        <v>-2</v>
      </c>
      <c r="M123" s="88">
        <v>3</v>
      </c>
      <c r="N123" s="88"/>
      <c r="O123" s="138">
        <v>0</v>
      </c>
      <c r="P123" s="876"/>
    </row>
    <row r="124" spans="2:16" ht="15.5">
      <c r="B124" s="55"/>
      <c r="C124" s="65">
        <v>10</v>
      </c>
      <c r="D124" s="103" t="s">
        <v>54</v>
      </c>
      <c r="E124" s="103"/>
      <c r="F124" s="88"/>
      <c r="G124" s="88"/>
      <c r="H124" s="88"/>
      <c r="I124" s="88"/>
      <c r="J124" s="88"/>
      <c r="K124" s="88"/>
      <c r="L124" s="88">
        <v>-1</v>
      </c>
      <c r="M124" s="88">
        <v>0.85</v>
      </c>
      <c r="N124" s="88">
        <v>0.15</v>
      </c>
      <c r="O124" s="138">
        <v>0</v>
      </c>
      <c r="P124" s="876"/>
    </row>
    <row r="125" spans="2:16" ht="15.5">
      <c r="B125" s="55"/>
      <c r="C125" s="65">
        <v>11</v>
      </c>
      <c r="D125" s="103" t="s">
        <v>55</v>
      </c>
      <c r="E125" s="103"/>
      <c r="F125" s="88"/>
      <c r="G125" s="88">
        <v>0.38</v>
      </c>
      <c r="H125" s="88"/>
      <c r="I125" s="88"/>
      <c r="J125" s="88">
        <v>-1</v>
      </c>
      <c r="K125" s="88"/>
      <c r="L125" s="88"/>
      <c r="M125" s="88">
        <v>0.38</v>
      </c>
      <c r="N125" s="88">
        <v>0.24</v>
      </c>
      <c r="O125" s="138">
        <v>0</v>
      </c>
      <c r="P125" s="876"/>
    </row>
    <row r="126" spans="2:16" ht="15.5">
      <c r="B126" s="55"/>
      <c r="C126" s="65">
        <v>12</v>
      </c>
      <c r="D126" s="103" t="s">
        <v>56</v>
      </c>
      <c r="E126" s="103"/>
      <c r="F126" s="88"/>
      <c r="G126" s="88">
        <v>0.17</v>
      </c>
      <c r="H126" s="88">
        <v>-1</v>
      </c>
      <c r="I126" s="88"/>
      <c r="J126" s="88"/>
      <c r="K126" s="88"/>
      <c r="L126" s="88"/>
      <c r="M126" s="88">
        <v>0.56999999999999995</v>
      </c>
      <c r="N126" s="88">
        <v>0.26</v>
      </c>
      <c r="O126" s="138">
        <v>0</v>
      </c>
      <c r="P126" s="876"/>
    </row>
    <row r="127" spans="2:16" ht="15.5">
      <c r="B127" s="55"/>
      <c r="C127" s="887">
        <v>13</v>
      </c>
      <c r="D127" s="888" t="s">
        <v>57</v>
      </c>
      <c r="E127" s="888"/>
      <c r="F127" s="93"/>
      <c r="G127" s="139"/>
      <c r="H127" s="139"/>
      <c r="I127" s="139"/>
      <c r="J127" s="139"/>
      <c r="K127" s="139">
        <v>-1</v>
      </c>
      <c r="L127" s="139"/>
      <c r="M127" s="139">
        <v>0.9</v>
      </c>
      <c r="N127" s="139">
        <v>0.1</v>
      </c>
      <c r="O127" s="140">
        <v>0</v>
      </c>
      <c r="P127" s="876"/>
    </row>
    <row r="128" spans="2:16" ht="15.5">
      <c r="B128" s="55"/>
      <c r="C128" s="67"/>
      <c r="D128" s="67"/>
      <c r="E128" s="67"/>
      <c r="F128" s="67"/>
      <c r="G128" s="67"/>
      <c r="H128" s="67"/>
      <c r="I128" s="67"/>
      <c r="J128" s="67"/>
      <c r="K128" s="67"/>
      <c r="L128" s="67"/>
      <c r="M128" s="67"/>
      <c r="N128" s="67"/>
      <c r="O128" s="67"/>
      <c r="P128" s="876"/>
    </row>
    <row r="129" spans="2:16">
      <c r="B129" s="130"/>
      <c r="C129" s="49" t="s">
        <v>106</v>
      </c>
      <c r="D129" s="67"/>
      <c r="E129" s="67"/>
      <c r="F129" s="67"/>
      <c r="G129" s="51"/>
      <c r="H129" s="67"/>
      <c r="I129" s="67"/>
      <c r="J129" s="67"/>
      <c r="K129" s="67"/>
      <c r="L129" s="67"/>
      <c r="M129" s="67"/>
      <c r="N129" s="67"/>
      <c r="O129" s="51" t="s">
        <v>84</v>
      </c>
      <c r="P129" s="876"/>
    </row>
    <row r="130" spans="2:16">
      <c r="B130" s="105"/>
      <c r="C130" s="67"/>
      <c r="D130" s="67"/>
      <c r="E130" s="67"/>
      <c r="F130" s="67"/>
      <c r="G130" s="67"/>
      <c r="H130" s="67"/>
      <c r="I130" s="67"/>
      <c r="J130" s="67"/>
      <c r="K130" s="67"/>
      <c r="L130" s="67"/>
      <c r="M130" s="67"/>
      <c r="N130" s="67"/>
      <c r="O130" s="67"/>
      <c r="P130" s="876"/>
    </row>
    <row r="131" spans="2:16" ht="21">
      <c r="B131" s="55"/>
      <c r="C131" s="1260"/>
      <c r="D131" s="1260"/>
      <c r="E131" s="1260"/>
      <c r="F131" s="1261" t="s">
        <v>85</v>
      </c>
      <c r="G131" s="1261" t="s">
        <v>86</v>
      </c>
      <c r="H131" s="1261" t="s">
        <v>87</v>
      </c>
      <c r="I131" s="1261" t="s">
        <v>88</v>
      </c>
      <c r="J131" s="1261" t="s">
        <v>89</v>
      </c>
      <c r="K131" s="1261" t="s">
        <v>90</v>
      </c>
      <c r="L131" s="1261" t="s">
        <v>91</v>
      </c>
      <c r="M131" s="1261" t="s">
        <v>92</v>
      </c>
      <c r="N131" s="1261" t="s">
        <v>93</v>
      </c>
      <c r="O131" s="1262" t="s">
        <v>94</v>
      </c>
      <c r="P131" s="876"/>
    </row>
    <row r="132" spans="2:16" ht="15.5">
      <c r="B132" s="55"/>
      <c r="C132" s="1019" t="s">
        <v>43</v>
      </c>
      <c r="D132" s="1019" t="s">
        <v>44</v>
      </c>
      <c r="E132" s="1019" t="s">
        <v>30</v>
      </c>
      <c r="F132" s="1263" t="s">
        <v>95</v>
      </c>
      <c r="G132" s="1263" t="s">
        <v>96</v>
      </c>
      <c r="H132" s="1263" t="s">
        <v>97</v>
      </c>
      <c r="I132" s="1263" t="s">
        <v>98</v>
      </c>
      <c r="J132" s="1263" t="s">
        <v>99</v>
      </c>
      <c r="K132" s="1263" t="s">
        <v>100</v>
      </c>
      <c r="L132" s="1263" t="s">
        <v>101</v>
      </c>
      <c r="M132" s="1263" t="s">
        <v>102</v>
      </c>
      <c r="N132" s="1263" t="s">
        <v>103</v>
      </c>
      <c r="O132" s="1264"/>
      <c r="P132" s="876"/>
    </row>
    <row r="133" spans="2:16" ht="15.5">
      <c r="B133" s="55"/>
      <c r="C133" s="65">
        <v>1</v>
      </c>
      <c r="D133" s="103" t="s">
        <v>45</v>
      </c>
      <c r="E133" s="103"/>
      <c r="F133" s="88">
        <v>0</v>
      </c>
      <c r="G133" s="88">
        <v>0</v>
      </c>
      <c r="H133" s="88">
        <v>0</v>
      </c>
      <c r="I133" s="88">
        <v>0</v>
      </c>
      <c r="J133" s="88">
        <v>-1</v>
      </c>
      <c r="K133" s="88">
        <v>0</v>
      </c>
      <c r="L133" s="88">
        <v>0</v>
      </c>
      <c r="M133" s="88">
        <v>0.76</v>
      </c>
      <c r="N133" s="88">
        <v>0.24</v>
      </c>
      <c r="O133" s="138">
        <v>0</v>
      </c>
      <c r="P133" s="876"/>
    </row>
    <row r="134" spans="2:16" ht="15.5">
      <c r="B134" s="55"/>
      <c r="C134" s="65">
        <v>2</v>
      </c>
      <c r="D134" s="103" t="s">
        <v>46</v>
      </c>
      <c r="E134" s="103"/>
      <c r="F134" s="88">
        <v>0</v>
      </c>
      <c r="G134" s="88">
        <v>0</v>
      </c>
      <c r="H134" s="88">
        <v>0</v>
      </c>
      <c r="I134" s="88">
        <v>0</v>
      </c>
      <c r="J134" s="88">
        <v>-1</v>
      </c>
      <c r="K134" s="88">
        <v>0</v>
      </c>
      <c r="L134" s="88">
        <v>0</v>
      </c>
      <c r="M134" s="88">
        <v>0.91</v>
      </c>
      <c r="N134" s="88">
        <v>0.09</v>
      </c>
      <c r="O134" s="138">
        <v>0</v>
      </c>
      <c r="P134" s="876"/>
    </row>
    <row r="135" spans="2:16" ht="15.5">
      <c r="B135" s="55"/>
      <c r="C135" s="65">
        <v>3</v>
      </c>
      <c r="D135" s="103" t="s">
        <v>47</v>
      </c>
      <c r="E135" s="103"/>
      <c r="F135" s="88">
        <v>-1</v>
      </c>
      <c r="G135" s="88">
        <v>0</v>
      </c>
      <c r="H135" s="88">
        <v>0</v>
      </c>
      <c r="I135" s="88">
        <v>0</v>
      </c>
      <c r="J135" s="88">
        <v>0</v>
      </c>
      <c r="K135" s="88">
        <v>0</v>
      </c>
      <c r="L135" s="88">
        <v>0</v>
      </c>
      <c r="M135" s="88">
        <v>1</v>
      </c>
      <c r="N135" s="88">
        <v>0</v>
      </c>
      <c r="O135" s="138">
        <v>0</v>
      </c>
      <c r="P135" s="876"/>
    </row>
    <row r="136" spans="2:16" ht="15.5">
      <c r="B136" s="55"/>
      <c r="C136" s="65">
        <v>4</v>
      </c>
      <c r="D136" s="103" t="s">
        <v>48</v>
      </c>
      <c r="E136" s="103"/>
      <c r="F136" s="88">
        <v>0</v>
      </c>
      <c r="G136" s="88">
        <v>0</v>
      </c>
      <c r="H136" s="88">
        <v>0</v>
      </c>
      <c r="I136" s="88">
        <v>-1</v>
      </c>
      <c r="J136" s="88">
        <v>0</v>
      </c>
      <c r="K136" s="88">
        <v>0</v>
      </c>
      <c r="L136" s="88">
        <v>0</v>
      </c>
      <c r="M136" s="88">
        <v>0.97</v>
      </c>
      <c r="N136" s="88">
        <v>0.03</v>
      </c>
      <c r="O136" s="138">
        <v>-2.7755575615628914E-17</v>
      </c>
      <c r="P136" s="876"/>
    </row>
    <row r="137" spans="2:16" ht="15.5">
      <c r="B137" s="55"/>
      <c r="C137" s="65">
        <v>5</v>
      </c>
      <c r="D137" s="103" t="s">
        <v>49</v>
      </c>
      <c r="E137" s="103" t="s">
        <v>66</v>
      </c>
      <c r="F137" s="88">
        <v>0</v>
      </c>
      <c r="G137" s="88">
        <v>0</v>
      </c>
      <c r="H137" s="88">
        <v>-1</v>
      </c>
      <c r="I137" s="88">
        <v>0</v>
      </c>
      <c r="J137" s="88">
        <v>0</v>
      </c>
      <c r="K137" s="88">
        <v>0</v>
      </c>
      <c r="L137" s="88">
        <v>0</v>
      </c>
      <c r="M137" s="88">
        <v>0.87</v>
      </c>
      <c r="N137" s="88">
        <v>0.13</v>
      </c>
      <c r="O137" s="138">
        <v>0</v>
      </c>
      <c r="P137" s="876"/>
    </row>
    <row r="138" spans="2:16" ht="15.5">
      <c r="B138" s="55"/>
      <c r="C138" s="65">
        <v>6</v>
      </c>
      <c r="D138" s="103" t="s">
        <v>50</v>
      </c>
      <c r="E138" s="103"/>
      <c r="F138" s="88">
        <v>0</v>
      </c>
      <c r="G138" s="88">
        <v>0.22500000000000001</v>
      </c>
      <c r="H138" s="88">
        <v>0</v>
      </c>
      <c r="I138" s="88">
        <v>0</v>
      </c>
      <c r="J138" s="88">
        <v>-1</v>
      </c>
      <c r="K138" s="88">
        <v>0</v>
      </c>
      <c r="L138" s="88">
        <v>0</v>
      </c>
      <c r="M138" s="88">
        <v>0.63</v>
      </c>
      <c r="N138" s="88">
        <v>0.14499999999999999</v>
      </c>
      <c r="O138" s="138">
        <v>0</v>
      </c>
      <c r="P138" s="876"/>
    </row>
    <row r="139" spans="2:16" ht="15.5">
      <c r="B139" s="55"/>
      <c r="C139" s="65">
        <v>7</v>
      </c>
      <c r="D139" s="57" t="s">
        <v>51</v>
      </c>
      <c r="E139" s="103"/>
      <c r="F139" s="88">
        <v>0</v>
      </c>
      <c r="G139" s="88">
        <v>0.45</v>
      </c>
      <c r="H139" s="88">
        <v>0</v>
      </c>
      <c r="I139" s="88">
        <v>0</v>
      </c>
      <c r="J139" s="88">
        <v>-1</v>
      </c>
      <c r="K139" s="88">
        <v>0</v>
      </c>
      <c r="L139" s="88">
        <v>0</v>
      </c>
      <c r="M139" s="88">
        <v>0.45</v>
      </c>
      <c r="N139" s="88">
        <v>0.1</v>
      </c>
      <c r="O139" s="138">
        <v>0</v>
      </c>
      <c r="P139" s="876"/>
    </row>
    <row r="140" spans="2:16" ht="15.5">
      <c r="B140" s="55"/>
      <c r="C140" s="65">
        <v>8</v>
      </c>
      <c r="D140" s="103" t="s">
        <v>52</v>
      </c>
      <c r="E140" s="103"/>
      <c r="F140" s="88">
        <v>-1</v>
      </c>
      <c r="G140" s="88">
        <v>0</v>
      </c>
      <c r="H140" s="88">
        <v>0</v>
      </c>
      <c r="I140" s="88">
        <v>0</v>
      </c>
      <c r="J140" s="88">
        <v>0</v>
      </c>
      <c r="K140" s="88">
        <v>0</v>
      </c>
      <c r="L140" s="88">
        <v>-1.7000000000000002</v>
      </c>
      <c r="M140" s="88">
        <v>2.7</v>
      </c>
      <c r="N140" s="88">
        <v>0</v>
      </c>
      <c r="O140" s="138">
        <v>0</v>
      </c>
      <c r="P140" s="876"/>
    </row>
    <row r="141" spans="2:16" ht="15.5">
      <c r="B141" s="55"/>
      <c r="C141" s="65">
        <v>9</v>
      </c>
      <c r="D141" s="103" t="s">
        <v>53</v>
      </c>
      <c r="E141" s="103"/>
      <c r="F141" s="88">
        <v>-1</v>
      </c>
      <c r="G141" s="88">
        <v>0</v>
      </c>
      <c r="H141" s="88">
        <v>0</v>
      </c>
      <c r="I141" s="88">
        <v>0</v>
      </c>
      <c r="J141" s="88">
        <v>0</v>
      </c>
      <c r="K141" s="88">
        <v>0</v>
      </c>
      <c r="L141" s="88">
        <v>-2.96</v>
      </c>
      <c r="M141" s="88">
        <v>3.96</v>
      </c>
      <c r="N141" s="88">
        <v>0</v>
      </c>
      <c r="O141" s="138">
        <v>0</v>
      </c>
      <c r="P141" s="876"/>
    </row>
    <row r="142" spans="2:16" ht="15.5">
      <c r="B142" s="55"/>
      <c r="C142" s="65">
        <v>10</v>
      </c>
      <c r="D142" s="103" t="s">
        <v>54</v>
      </c>
      <c r="E142" s="103"/>
      <c r="F142" s="88">
        <v>0</v>
      </c>
      <c r="G142" s="88">
        <v>0</v>
      </c>
      <c r="H142" s="88">
        <v>0</v>
      </c>
      <c r="I142" s="88">
        <v>0</v>
      </c>
      <c r="J142" s="88">
        <v>0</v>
      </c>
      <c r="K142" s="88">
        <v>0</v>
      </c>
      <c r="L142" s="88">
        <v>-1</v>
      </c>
      <c r="M142" s="88">
        <v>0.85</v>
      </c>
      <c r="N142" s="88">
        <v>0.15</v>
      </c>
      <c r="O142" s="138">
        <v>0</v>
      </c>
      <c r="P142" s="876"/>
    </row>
    <row r="143" spans="2:16" ht="15.5">
      <c r="B143" s="55"/>
      <c r="C143" s="65">
        <v>11</v>
      </c>
      <c r="D143" s="103" t="s">
        <v>55</v>
      </c>
      <c r="E143" s="103"/>
      <c r="F143" s="88">
        <v>0</v>
      </c>
      <c r="G143" s="88">
        <v>0.38</v>
      </c>
      <c r="H143" s="88">
        <v>0</v>
      </c>
      <c r="I143" s="88">
        <v>0</v>
      </c>
      <c r="J143" s="88">
        <v>-1</v>
      </c>
      <c r="K143" s="88">
        <v>0</v>
      </c>
      <c r="L143" s="88">
        <v>0</v>
      </c>
      <c r="M143" s="88">
        <v>0.38</v>
      </c>
      <c r="N143" s="88">
        <v>0.24</v>
      </c>
      <c r="O143" s="138">
        <v>0</v>
      </c>
      <c r="P143" s="876"/>
    </row>
    <row r="144" spans="2:16" ht="15.5">
      <c r="B144" s="55"/>
      <c r="C144" s="65">
        <v>12</v>
      </c>
      <c r="D144" s="103" t="s">
        <v>56</v>
      </c>
      <c r="E144" s="103"/>
      <c r="F144" s="88">
        <v>0</v>
      </c>
      <c r="G144" s="88">
        <v>0.17</v>
      </c>
      <c r="H144" s="88">
        <v>-1</v>
      </c>
      <c r="I144" s="88">
        <v>0</v>
      </c>
      <c r="J144" s="88">
        <v>0</v>
      </c>
      <c r="K144" s="88">
        <v>0</v>
      </c>
      <c r="L144" s="88">
        <v>0</v>
      </c>
      <c r="M144" s="88">
        <v>0.56999999999999995</v>
      </c>
      <c r="N144" s="88">
        <v>0.26</v>
      </c>
      <c r="O144" s="138">
        <v>0</v>
      </c>
      <c r="P144" s="876"/>
    </row>
    <row r="145" spans="2:16" ht="15.5">
      <c r="B145" s="55"/>
      <c r="C145" s="887">
        <v>13</v>
      </c>
      <c r="D145" s="888" t="s">
        <v>57</v>
      </c>
      <c r="E145" s="888" t="s">
        <v>104</v>
      </c>
      <c r="F145" s="93">
        <v>0</v>
      </c>
      <c r="G145" s="139">
        <v>0</v>
      </c>
      <c r="H145" s="139">
        <v>0</v>
      </c>
      <c r="I145" s="139">
        <v>0</v>
      </c>
      <c r="J145" s="139">
        <v>0</v>
      </c>
      <c r="K145" s="139">
        <v>-1</v>
      </c>
      <c r="L145" s="139">
        <v>0</v>
      </c>
      <c r="M145" s="139">
        <v>0.9</v>
      </c>
      <c r="N145" s="139">
        <v>0.1</v>
      </c>
      <c r="O145" s="140">
        <v>0</v>
      </c>
      <c r="P145" s="876"/>
    </row>
    <row r="146" spans="2:16">
      <c r="B146" s="105"/>
      <c r="C146" s="67"/>
      <c r="D146" s="67"/>
      <c r="E146" s="67"/>
      <c r="F146" s="67"/>
      <c r="G146" s="67"/>
      <c r="H146" s="67"/>
      <c r="I146" s="67"/>
      <c r="J146" s="67"/>
      <c r="K146" s="67"/>
      <c r="L146" s="67"/>
      <c r="M146" s="67"/>
      <c r="N146" s="67"/>
      <c r="O146" s="67"/>
      <c r="P146" s="876"/>
    </row>
    <row r="147" spans="2:16">
      <c r="B147" s="105"/>
      <c r="C147" s="49" t="s">
        <v>107</v>
      </c>
      <c r="D147" s="67"/>
      <c r="E147" s="67"/>
      <c r="F147" s="67"/>
      <c r="G147" s="51"/>
      <c r="H147" s="67"/>
      <c r="I147" s="67"/>
      <c r="J147" s="67"/>
      <c r="K147" s="67"/>
      <c r="L147" s="67"/>
      <c r="M147" s="67"/>
      <c r="N147" s="67"/>
      <c r="O147" s="51" t="s">
        <v>84</v>
      </c>
      <c r="P147" s="876"/>
    </row>
    <row r="148" spans="2:16">
      <c r="B148" s="105"/>
      <c r="C148" s="67"/>
      <c r="D148" s="67"/>
      <c r="E148" s="67"/>
      <c r="F148" s="67"/>
      <c r="G148" s="67"/>
      <c r="H148" s="67"/>
      <c r="I148" s="67"/>
      <c r="J148" s="67"/>
      <c r="K148" s="67"/>
      <c r="L148" s="67"/>
      <c r="M148" s="67"/>
      <c r="N148" s="67"/>
      <c r="O148" s="67"/>
      <c r="P148" s="876"/>
    </row>
    <row r="149" spans="2:16" ht="21">
      <c r="B149" s="105"/>
      <c r="C149" s="1260"/>
      <c r="D149" s="1260"/>
      <c r="E149" s="1260"/>
      <c r="F149" s="1261" t="s">
        <v>85</v>
      </c>
      <c r="G149" s="1261" t="s">
        <v>86</v>
      </c>
      <c r="H149" s="1261" t="s">
        <v>87</v>
      </c>
      <c r="I149" s="1261" t="s">
        <v>88</v>
      </c>
      <c r="J149" s="1261" t="s">
        <v>89</v>
      </c>
      <c r="K149" s="1261" t="s">
        <v>90</v>
      </c>
      <c r="L149" s="1261" t="s">
        <v>91</v>
      </c>
      <c r="M149" s="1261" t="s">
        <v>92</v>
      </c>
      <c r="N149" s="1261" t="s">
        <v>93</v>
      </c>
      <c r="O149" s="1262" t="s">
        <v>94</v>
      </c>
      <c r="P149" s="876"/>
    </row>
    <row r="150" spans="2:16">
      <c r="B150" s="105"/>
      <c r="C150" s="1019" t="s">
        <v>43</v>
      </c>
      <c r="D150" s="1019" t="s">
        <v>44</v>
      </c>
      <c r="E150" s="1019" t="s">
        <v>30</v>
      </c>
      <c r="F150" s="1263" t="s">
        <v>95</v>
      </c>
      <c r="G150" s="1263" t="s">
        <v>96</v>
      </c>
      <c r="H150" s="1263" t="s">
        <v>97</v>
      </c>
      <c r="I150" s="1263" t="s">
        <v>98</v>
      </c>
      <c r="J150" s="1263" t="s">
        <v>99</v>
      </c>
      <c r="K150" s="1263" t="s">
        <v>100</v>
      </c>
      <c r="L150" s="1263" t="s">
        <v>101</v>
      </c>
      <c r="M150" s="1263" t="s">
        <v>102</v>
      </c>
      <c r="N150" s="1263" t="s">
        <v>103</v>
      </c>
      <c r="O150" s="1264"/>
      <c r="P150" s="876"/>
    </row>
    <row r="151" spans="2:16" ht="15.5">
      <c r="B151" s="55"/>
      <c r="C151" s="65">
        <v>1</v>
      </c>
      <c r="D151" s="103" t="s">
        <v>45</v>
      </c>
      <c r="E151" s="103"/>
      <c r="F151" s="88">
        <v>0</v>
      </c>
      <c r="G151" s="88">
        <v>0</v>
      </c>
      <c r="H151" s="88">
        <v>0</v>
      </c>
      <c r="I151" s="88">
        <v>0</v>
      </c>
      <c r="J151" s="88">
        <v>-1</v>
      </c>
      <c r="K151" s="88">
        <v>0</v>
      </c>
      <c r="L151" s="88">
        <v>0</v>
      </c>
      <c r="M151" s="88">
        <v>0.76</v>
      </c>
      <c r="N151" s="88">
        <v>0.24</v>
      </c>
      <c r="O151" s="138">
        <v>0</v>
      </c>
      <c r="P151" s="876"/>
    </row>
    <row r="152" spans="2:16" ht="15.5">
      <c r="B152" s="55"/>
      <c r="C152" s="65">
        <v>2</v>
      </c>
      <c r="D152" s="103" t="s">
        <v>46</v>
      </c>
      <c r="E152" s="103"/>
      <c r="F152" s="88">
        <v>0</v>
      </c>
      <c r="G152" s="88">
        <v>0</v>
      </c>
      <c r="H152" s="88">
        <v>0</v>
      </c>
      <c r="I152" s="88">
        <v>0</v>
      </c>
      <c r="J152" s="88">
        <v>-1</v>
      </c>
      <c r="K152" s="88">
        <v>0</v>
      </c>
      <c r="L152" s="88">
        <v>0</v>
      </c>
      <c r="M152" s="88">
        <v>0.91</v>
      </c>
      <c r="N152" s="88">
        <v>0.09</v>
      </c>
      <c r="O152" s="138">
        <v>0</v>
      </c>
      <c r="P152" s="876"/>
    </row>
    <row r="153" spans="2:16" ht="15.5">
      <c r="B153" s="55"/>
      <c r="C153" s="65">
        <v>3</v>
      </c>
      <c r="D153" s="103" t="s">
        <v>47</v>
      </c>
      <c r="E153" s="103"/>
      <c r="F153" s="88">
        <v>-1</v>
      </c>
      <c r="G153" s="88">
        <v>0</v>
      </c>
      <c r="H153" s="88">
        <v>0</v>
      </c>
      <c r="I153" s="88">
        <v>0</v>
      </c>
      <c r="J153" s="88">
        <v>0</v>
      </c>
      <c r="K153" s="88">
        <v>0</v>
      </c>
      <c r="L153" s="88">
        <v>0</v>
      </c>
      <c r="M153" s="88">
        <v>1</v>
      </c>
      <c r="N153" s="88">
        <v>0</v>
      </c>
      <c r="O153" s="138">
        <v>0</v>
      </c>
      <c r="P153" s="876"/>
    </row>
    <row r="154" spans="2:16" ht="15.5">
      <c r="B154" s="55"/>
      <c r="C154" s="65">
        <v>4</v>
      </c>
      <c r="D154" s="103" t="s">
        <v>48</v>
      </c>
      <c r="E154" s="103"/>
      <c r="F154" s="88">
        <v>0</v>
      </c>
      <c r="G154" s="88">
        <v>0</v>
      </c>
      <c r="H154" s="88">
        <v>0</v>
      </c>
      <c r="I154" s="88">
        <v>-1</v>
      </c>
      <c r="J154" s="88">
        <v>0</v>
      </c>
      <c r="K154" s="88">
        <v>0</v>
      </c>
      <c r="L154" s="88">
        <v>0</v>
      </c>
      <c r="M154" s="88">
        <v>0.97</v>
      </c>
      <c r="N154" s="88">
        <v>0.03</v>
      </c>
      <c r="O154" s="138">
        <v>-2.7755575615628914E-17</v>
      </c>
      <c r="P154" s="876"/>
    </row>
    <row r="155" spans="2:16" ht="15.5">
      <c r="B155" s="55"/>
      <c r="C155" s="65">
        <v>5</v>
      </c>
      <c r="D155" s="103" t="s">
        <v>49</v>
      </c>
      <c r="E155" s="103" t="s">
        <v>66</v>
      </c>
      <c r="F155" s="88">
        <v>0</v>
      </c>
      <c r="G155" s="88">
        <v>0</v>
      </c>
      <c r="H155" s="88">
        <v>-1</v>
      </c>
      <c r="I155" s="88">
        <v>0</v>
      </c>
      <c r="J155" s="88">
        <v>0</v>
      </c>
      <c r="K155" s="88">
        <v>0</v>
      </c>
      <c r="L155" s="88">
        <v>0</v>
      </c>
      <c r="M155" s="88">
        <v>0.87</v>
      </c>
      <c r="N155" s="88">
        <v>0.13</v>
      </c>
      <c r="O155" s="138">
        <v>0</v>
      </c>
      <c r="P155" s="876"/>
    </row>
    <row r="156" spans="2:16" ht="15.5">
      <c r="B156" s="55"/>
      <c r="C156" s="65">
        <v>6</v>
      </c>
      <c r="D156" s="103" t="s">
        <v>50</v>
      </c>
      <c r="E156" s="103" t="s">
        <v>105</v>
      </c>
      <c r="F156" s="88">
        <v>0</v>
      </c>
      <c r="G156" s="88">
        <v>0.22500000000000001</v>
      </c>
      <c r="H156" s="88">
        <v>0</v>
      </c>
      <c r="I156" s="88">
        <v>0</v>
      </c>
      <c r="J156" s="88">
        <v>-1</v>
      </c>
      <c r="K156" s="88">
        <v>0</v>
      </c>
      <c r="L156" s="88">
        <v>0</v>
      </c>
      <c r="M156" s="88">
        <v>0.63</v>
      </c>
      <c r="N156" s="88">
        <v>0.14499999999999999</v>
      </c>
      <c r="O156" s="138">
        <v>0</v>
      </c>
      <c r="P156" s="876"/>
    </row>
    <row r="157" spans="2:16" ht="15.5">
      <c r="B157" s="55"/>
      <c r="C157" s="65">
        <v>7</v>
      </c>
      <c r="D157" s="57" t="s">
        <v>51</v>
      </c>
      <c r="E157" s="103" t="s">
        <v>105</v>
      </c>
      <c r="F157" s="88">
        <v>0</v>
      </c>
      <c r="G157" s="88">
        <v>0.45</v>
      </c>
      <c r="H157" s="88">
        <v>0</v>
      </c>
      <c r="I157" s="88">
        <v>0</v>
      </c>
      <c r="J157" s="88">
        <v>-1</v>
      </c>
      <c r="K157" s="88">
        <v>0</v>
      </c>
      <c r="L157" s="88">
        <v>0</v>
      </c>
      <c r="M157" s="88">
        <v>0.45</v>
      </c>
      <c r="N157" s="88">
        <v>0.1</v>
      </c>
      <c r="O157" s="138">
        <v>0</v>
      </c>
      <c r="P157" s="876"/>
    </row>
    <row r="158" spans="2:16" ht="15.5">
      <c r="B158" s="55"/>
      <c r="C158" s="65">
        <v>8</v>
      </c>
      <c r="D158" s="103" t="s">
        <v>52</v>
      </c>
      <c r="E158" s="103"/>
      <c r="F158" s="88">
        <v>-1</v>
      </c>
      <c r="G158" s="88">
        <v>0</v>
      </c>
      <c r="H158" s="88">
        <v>0</v>
      </c>
      <c r="I158" s="88">
        <v>0</v>
      </c>
      <c r="J158" s="88">
        <v>0</v>
      </c>
      <c r="K158" s="88">
        <v>0</v>
      </c>
      <c r="L158" s="88">
        <v>-0.8</v>
      </c>
      <c r="M158" s="88">
        <v>1.8</v>
      </c>
      <c r="N158" s="88">
        <v>0</v>
      </c>
      <c r="O158" s="138">
        <v>0</v>
      </c>
      <c r="P158" s="876"/>
    </row>
    <row r="159" spans="2:16" ht="15.5">
      <c r="B159" s="55"/>
      <c r="C159" s="65">
        <v>9</v>
      </c>
      <c r="D159" s="103" t="s">
        <v>53</v>
      </c>
      <c r="E159" s="103"/>
      <c r="F159" s="88">
        <v>-1</v>
      </c>
      <c r="G159" s="88">
        <v>0</v>
      </c>
      <c r="H159" s="88">
        <v>0</v>
      </c>
      <c r="I159" s="88">
        <v>0</v>
      </c>
      <c r="J159" s="88">
        <v>0</v>
      </c>
      <c r="K159" s="88">
        <v>0</v>
      </c>
      <c r="L159" s="88">
        <v>-1.9699999999999998</v>
      </c>
      <c r="M159" s="88">
        <v>2.9699999999999998</v>
      </c>
      <c r="N159" s="88">
        <v>0</v>
      </c>
      <c r="O159" s="138">
        <v>0</v>
      </c>
      <c r="P159" s="876"/>
    </row>
    <row r="160" spans="2:16" ht="15.5">
      <c r="B160" s="55"/>
      <c r="C160" s="65">
        <v>10</v>
      </c>
      <c r="D160" s="103" t="s">
        <v>54</v>
      </c>
      <c r="E160" s="103"/>
      <c r="F160" s="88">
        <v>0</v>
      </c>
      <c r="G160" s="88">
        <v>0</v>
      </c>
      <c r="H160" s="88">
        <v>0</v>
      </c>
      <c r="I160" s="88">
        <v>0</v>
      </c>
      <c r="J160" s="88">
        <v>0</v>
      </c>
      <c r="K160" s="88">
        <v>0</v>
      </c>
      <c r="L160" s="88">
        <v>-1</v>
      </c>
      <c r="M160" s="88">
        <v>0.85</v>
      </c>
      <c r="N160" s="88">
        <v>0.15</v>
      </c>
      <c r="O160" s="138">
        <v>0</v>
      </c>
      <c r="P160" s="876"/>
    </row>
    <row r="161" spans="2:16" ht="15.5">
      <c r="B161" s="55"/>
      <c r="C161" s="65">
        <v>11</v>
      </c>
      <c r="D161" s="103" t="s">
        <v>55</v>
      </c>
      <c r="E161" s="103"/>
      <c r="F161" s="88">
        <v>0</v>
      </c>
      <c r="G161" s="88">
        <v>0.38</v>
      </c>
      <c r="H161" s="88">
        <v>0</v>
      </c>
      <c r="I161" s="88">
        <v>0</v>
      </c>
      <c r="J161" s="88">
        <v>-1</v>
      </c>
      <c r="K161" s="88">
        <v>0</v>
      </c>
      <c r="L161" s="88">
        <v>0</v>
      </c>
      <c r="M161" s="88">
        <v>0.38</v>
      </c>
      <c r="N161" s="88">
        <v>0.24</v>
      </c>
      <c r="O161" s="138">
        <v>0</v>
      </c>
      <c r="P161" s="876"/>
    </row>
    <row r="162" spans="2:16" ht="15.5">
      <c r="B162" s="55"/>
      <c r="C162" s="65">
        <v>12</v>
      </c>
      <c r="D162" s="103" t="s">
        <v>56</v>
      </c>
      <c r="E162" s="103"/>
      <c r="F162" s="88">
        <v>0</v>
      </c>
      <c r="G162" s="88">
        <v>0.17</v>
      </c>
      <c r="H162" s="88">
        <v>-1</v>
      </c>
      <c r="I162" s="88">
        <v>0</v>
      </c>
      <c r="J162" s="88">
        <v>0</v>
      </c>
      <c r="K162" s="88">
        <v>0</v>
      </c>
      <c r="L162" s="88">
        <v>0</v>
      </c>
      <c r="M162" s="88">
        <v>0.56999999999999995</v>
      </c>
      <c r="N162" s="88">
        <v>0.26</v>
      </c>
      <c r="O162" s="138">
        <v>0</v>
      </c>
      <c r="P162" s="876"/>
    </row>
    <row r="163" spans="2:16" ht="15.5">
      <c r="B163" s="55"/>
      <c r="C163" s="887">
        <v>13</v>
      </c>
      <c r="D163" s="888" t="s">
        <v>57</v>
      </c>
      <c r="E163" s="888" t="s">
        <v>104</v>
      </c>
      <c r="F163" s="93">
        <v>0</v>
      </c>
      <c r="G163" s="139">
        <v>0</v>
      </c>
      <c r="H163" s="139">
        <v>0</v>
      </c>
      <c r="I163" s="139">
        <v>0</v>
      </c>
      <c r="J163" s="139">
        <v>0</v>
      </c>
      <c r="K163" s="139">
        <v>-1</v>
      </c>
      <c r="L163" s="139">
        <v>0</v>
      </c>
      <c r="M163" s="139">
        <v>0.9</v>
      </c>
      <c r="N163" s="139">
        <v>0.1</v>
      </c>
      <c r="O163" s="140">
        <v>0</v>
      </c>
      <c r="P163" s="876"/>
    </row>
    <row r="164" spans="2:16">
      <c r="B164" s="105"/>
      <c r="C164" s="67"/>
      <c r="D164" s="67"/>
      <c r="E164" s="67"/>
      <c r="F164" s="67"/>
      <c r="G164" s="67"/>
      <c r="H164" s="67"/>
      <c r="I164" s="67"/>
      <c r="J164" s="67"/>
      <c r="K164" s="67"/>
      <c r="L164" s="67"/>
      <c r="M164" s="67"/>
      <c r="N164" s="67"/>
      <c r="O164" s="67"/>
      <c r="P164" s="876"/>
    </row>
    <row r="165" spans="2:16">
      <c r="B165" s="105"/>
      <c r="C165" s="49" t="s">
        <v>108</v>
      </c>
      <c r="D165" s="67"/>
      <c r="E165" s="67"/>
      <c r="F165" s="67"/>
      <c r="G165" s="51"/>
      <c r="H165" s="67"/>
      <c r="I165" s="67"/>
      <c r="J165" s="67"/>
      <c r="K165" s="67"/>
      <c r="L165" s="67"/>
      <c r="M165" s="67"/>
      <c r="N165" s="67"/>
      <c r="O165" s="51" t="s">
        <v>84</v>
      </c>
      <c r="P165" s="876"/>
    </row>
    <row r="166" spans="2:16">
      <c r="B166" s="105"/>
      <c r="C166" s="67"/>
      <c r="D166" s="67"/>
      <c r="E166" s="67"/>
      <c r="F166" s="67"/>
      <c r="G166" s="67"/>
      <c r="H166" s="67"/>
      <c r="I166" s="67"/>
      <c r="J166" s="67"/>
      <c r="K166" s="67"/>
      <c r="L166" s="67"/>
      <c r="M166" s="67"/>
      <c r="N166" s="67"/>
      <c r="O166" s="67"/>
      <c r="P166" s="876"/>
    </row>
    <row r="167" spans="2:16" ht="21">
      <c r="B167" s="105"/>
      <c r="C167" s="1260"/>
      <c r="D167" s="1260"/>
      <c r="E167" s="1260"/>
      <c r="F167" s="1261" t="s">
        <v>85</v>
      </c>
      <c r="G167" s="1261" t="s">
        <v>86</v>
      </c>
      <c r="H167" s="1261" t="s">
        <v>87</v>
      </c>
      <c r="I167" s="1261" t="s">
        <v>88</v>
      </c>
      <c r="J167" s="1261" t="s">
        <v>89</v>
      </c>
      <c r="K167" s="1261" t="s">
        <v>90</v>
      </c>
      <c r="L167" s="1261" t="s">
        <v>91</v>
      </c>
      <c r="M167" s="1261" t="s">
        <v>92</v>
      </c>
      <c r="N167" s="1261" t="s">
        <v>93</v>
      </c>
      <c r="O167" s="1262" t="s">
        <v>94</v>
      </c>
      <c r="P167" s="876"/>
    </row>
    <row r="168" spans="2:16">
      <c r="B168" s="105"/>
      <c r="C168" s="1019" t="s">
        <v>43</v>
      </c>
      <c r="D168" s="1019" t="s">
        <v>44</v>
      </c>
      <c r="E168" s="1019" t="s">
        <v>30</v>
      </c>
      <c r="F168" s="1263" t="s">
        <v>95</v>
      </c>
      <c r="G168" s="1263" t="s">
        <v>96</v>
      </c>
      <c r="H168" s="1263" t="s">
        <v>97</v>
      </c>
      <c r="I168" s="1263" t="s">
        <v>98</v>
      </c>
      <c r="J168" s="1263" t="s">
        <v>99</v>
      </c>
      <c r="K168" s="1263" t="s">
        <v>100</v>
      </c>
      <c r="L168" s="1263" t="s">
        <v>101</v>
      </c>
      <c r="M168" s="1263" t="s">
        <v>102</v>
      </c>
      <c r="N168" s="1263" t="s">
        <v>103</v>
      </c>
      <c r="O168" s="1264"/>
      <c r="P168" s="876"/>
    </row>
    <row r="169" spans="2:16" ht="15.5">
      <c r="B169" s="55"/>
      <c r="C169" s="65">
        <v>1</v>
      </c>
      <c r="D169" s="103" t="s">
        <v>60</v>
      </c>
      <c r="E169" s="103"/>
      <c r="F169" s="88">
        <v>-1</v>
      </c>
      <c r="G169" s="88"/>
      <c r="H169" s="88"/>
      <c r="I169" s="88"/>
      <c r="J169" s="88"/>
      <c r="K169" s="88"/>
      <c r="L169" s="88"/>
      <c r="M169" s="88">
        <v>1</v>
      </c>
      <c r="N169" s="88"/>
      <c r="O169" s="138">
        <v>0</v>
      </c>
      <c r="P169" s="876"/>
    </row>
    <row r="170" spans="2:16" ht="15.5">
      <c r="B170" s="55"/>
      <c r="C170" s="65">
        <v>2</v>
      </c>
      <c r="D170" s="103" t="s">
        <v>61</v>
      </c>
      <c r="E170" s="103"/>
      <c r="F170" s="88">
        <v>-1</v>
      </c>
      <c r="G170" s="88"/>
      <c r="H170" s="88"/>
      <c r="I170" s="88"/>
      <c r="J170" s="88"/>
      <c r="K170" s="88"/>
      <c r="L170" s="88"/>
      <c r="M170" s="88">
        <v>1</v>
      </c>
      <c r="N170" s="88"/>
      <c r="O170" s="138">
        <v>0</v>
      </c>
      <c r="P170" s="876"/>
    </row>
    <row r="171" spans="2:16" ht="15.5">
      <c r="B171" s="55"/>
      <c r="C171" s="917">
        <v>3</v>
      </c>
      <c r="D171" s="194" t="s">
        <v>62</v>
      </c>
      <c r="E171" s="194"/>
      <c r="F171" s="142"/>
      <c r="G171" s="142"/>
      <c r="H171" s="142"/>
      <c r="I171" s="142"/>
      <c r="J171" s="142"/>
      <c r="K171" s="142">
        <v>-1</v>
      </c>
      <c r="L171" s="142">
        <v>0.3</v>
      </c>
      <c r="M171" s="142">
        <v>0.7</v>
      </c>
      <c r="N171" s="142"/>
      <c r="O171" s="143">
        <v>0</v>
      </c>
      <c r="P171" s="876"/>
    </row>
    <row r="172" spans="2:16">
      <c r="B172" s="105"/>
      <c r="C172" s="67"/>
      <c r="D172" s="67"/>
      <c r="E172" s="67"/>
      <c r="F172" s="67"/>
      <c r="G172" s="67"/>
      <c r="H172" s="67"/>
      <c r="I172" s="67"/>
      <c r="J172" s="67"/>
      <c r="K172" s="67"/>
      <c r="L172" s="67"/>
      <c r="M172" s="67" t="s">
        <v>5</v>
      </c>
      <c r="N172" s="67"/>
      <c r="O172" s="67"/>
      <c r="P172" s="876"/>
    </row>
    <row r="173" spans="2:16">
      <c r="B173" s="105"/>
      <c r="C173" s="84" t="s">
        <v>939</v>
      </c>
      <c r="D173" s="103"/>
      <c r="E173" s="1250"/>
      <c r="F173" s="59"/>
      <c r="G173" s="1217"/>
      <c r="H173" s="67"/>
      <c r="I173" s="67"/>
      <c r="J173" s="67"/>
      <c r="K173" s="67"/>
      <c r="L173" s="67"/>
      <c r="M173" s="67"/>
      <c r="N173" s="67"/>
      <c r="O173" s="67"/>
      <c r="P173" s="876"/>
    </row>
    <row r="174" spans="2:16">
      <c r="B174" s="105"/>
      <c r="C174" s="65"/>
      <c r="D174" s="103"/>
      <c r="E174" s="103"/>
      <c r="F174" s="59"/>
      <c r="G174" s="1217"/>
      <c r="H174" s="67"/>
      <c r="I174" s="67"/>
      <c r="J174" s="3826" t="s">
        <v>63</v>
      </c>
      <c r="K174" s="67"/>
      <c r="L174" s="67"/>
      <c r="M174" s="67"/>
      <c r="N174" s="67"/>
      <c r="O174" s="67"/>
      <c r="P174" s="876"/>
    </row>
    <row r="175" spans="2:16" ht="15.5">
      <c r="B175" s="55"/>
      <c r="C175" s="878" t="s">
        <v>43</v>
      </c>
      <c r="D175" s="878" t="s">
        <v>109</v>
      </c>
      <c r="E175" s="878" t="s">
        <v>30</v>
      </c>
      <c r="F175" s="87">
        <v>2013</v>
      </c>
      <c r="G175" s="1265" t="s">
        <v>110</v>
      </c>
      <c r="H175" s="1266" t="s">
        <v>111</v>
      </c>
      <c r="I175" s="1215"/>
      <c r="J175" s="3827" t="s">
        <v>64</v>
      </c>
      <c r="K175" s="3828" t="s">
        <v>3042</v>
      </c>
      <c r="L175" s="67"/>
      <c r="M175" s="67"/>
      <c r="N175" s="67"/>
      <c r="O175" s="67"/>
      <c r="P175" s="876"/>
    </row>
    <row r="176" spans="2:16" ht="15.5">
      <c r="B176" s="55"/>
      <c r="C176" s="65">
        <v>1</v>
      </c>
      <c r="D176" s="103" t="s">
        <v>45</v>
      </c>
      <c r="E176" s="103"/>
      <c r="F176" s="89">
        <v>0.2</v>
      </c>
      <c r="G176" s="147">
        <v>0.9</v>
      </c>
      <c r="H176" s="148">
        <v>2013</v>
      </c>
      <c r="I176" s="59"/>
      <c r="J176" s="3828"/>
      <c r="K176" s="3828" t="s">
        <v>3044</v>
      </c>
      <c r="L176" s="67"/>
      <c r="M176" s="67"/>
      <c r="N176" s="67"/>
      <c r="O176" s="67"/>
      <c r="P176" s="876"/>
    </row>
    <row r="177" spans="2:16" ht="15.5">
      <c r="B177" s="55"/>
      <c r="C177" s="65">
        <v>2</v>
      </c>
      <c r="D177" s="103" t="s">
        <v>46</v>
      </c>
      <c r="E177" s="103"/>
      <c r="F177" s="89">
        <v>0.23</v>
      </c>
      <c r="G177" s="147">
        <v>0.9</v>
      </c>
      <c r="H177" s="148">
        <v>2013</v>
      </c>
      <c r="I177" s="59"/>
      <c r="J177" s="3828"/>
      <c r="K177" s="3828" t="s">
        <v>3043</v>
      </c>
      <c r="L177" s="67"/>
      <c r="M177" s="67"/>
      <c r="N177" s="67"/>
      <c r="O177" s="67"/>
      <c r="P177" s="876"/>
    </row>
    <row r="178" spans="2:16" ht="15.5">
      <c r="B178" s="55"/>
      <c r="C178" s="65">
        <v>3</v>
      </c>
      <c r="D178" s="103" t="s">
        <v>47</v>
      </c>
      <c r="E178" s="103"/>
      <c r="F178" s="89">
        <v>0.3</v>
      </c>
      <c r="G178" s="147">
        <v>1</v>
      </c>
      <c r="H178" s="148">
        <v>2015</v>
      </c>
      <c r="I178" s="59"/>
      <c r="J178" s="67"/>
      <c r="K178" s="3828"/>
      <c r="L178" s="67"/>
      <c r="M178" s="67"/>
      <c r="N178" s="67"/>
      <c r="O178" s="67"/>
      <c r="P178" s="876"/>
    </row>
    <row r="179" spans="2:16" ht="15.5">
      <c r="B179" s="55"/>
      <c r="C179" s="65">
        <v>4</v>
      </c>
      <c r="D179" s="103" t="s">
        <v>48</v>
      </c>
      <c r="E179" s="103"/>
      <c r="F179" s="89">
        <v>0.23</v>
      </c>
      <c r="G179" s="147">
        <v>0.74</v>
      </c>
      <c r="H179" s="148">
        <v>2013</v>
      </c>
      <c r="I179" s="59"/>
      <c r="J179" s="67"/>
      <c r="K179" s="3828"/>
      <c r="L179" s="67"/>
      <c r="M179" s="67"/>
      <c r="N179" s="67"/>
      <c r="O179" s="67"/>
      <c r="P179" s="876"/>
    </row>
    <row r="180" spans="2:16" ht="15.5">
      <c r="B180" s="55"/>
      <c r="C180" s="65">
        <v>5</v>
      </c>
      <c r="D180" s="103" t="s">
        <v>49</v>
      </c>
      <c r="E180" s="103"/>
      <c r="F180" s="89">
        <v>0.03</v>
      </c>
      <c r="G180" s="147">
        <v>0.74</v>
      </c>
      <c r="H180" s="148">
        <v>2013</v>
      </c>
      <c r="I180" s="59"/>
      <c r="J180" s="67"/>
      <c r="K180" s="67"/>
      <c r="L180" s="67"/>
      <c r="M180" s="67"/>
      <c r="N180" s="67"/>
      <c r="O180" s="67"/>
      <c r="P180" s="876"/>
    </row>
    <row r="181" spans="2:16" ht="15.5">
      <c r="B181" s="55"/>
      <c r="C181" s="65">
        <v>6</v>
      </c>
      <c r="D181" s="103" t="s">
        <v>50</v>
      </c>
      <c r="E181" s="103"/>
      <c r="F181" s="89">
        <v>0</v>
      </c>
      <c r="G181" s="150">
        <v>0.9</v>
      </c>
      <c r="H181" s="148">
        <v>2025</v>
      </c>
      <c r="I181" s="60"/>
      <c r="J181" s="67"/>
      <c r="K181" s="67"/>
      <c r="L181" s="67"/>
      <c r="M181" s="67"/>
      <c r="N181" s="67"/>
      <c r="O181" s="67"/>
      <c r="P181" s="876"/>
    </row>
    <row r="182" spans="2:16" ht="15.5">
      <c r="B182" s="55"/>
      <c r="C182" s="65">
        <v>7</v>
      </c>
      <c r="D182" s="57" t="s">
        <v>51</v>
      </c>
      <c r="E182" s="103"/>
      <c r="F182" s="89">
        <v>0</v>
      </c>
      <c r="G182" s="150">
        <v>0.9</v>
      </c>
      <c r="H182" s="148">
        <v>2025</v>
      </c>
      <c r="I182" s="60"/>
      <c r="J182" s="67"/>
      <c r="K182" s="67"/>
      <c r="L182" s="67"/>
      <c r="M182" s="67"/>
      <c r="N182" s="67"/>
      <c r="O182" s="67"/>
      <c r="P182" s="876"/>
    </row>
    <row r="183" spans="2:16" ht="15.5">
      <c r="B183" s="55"/>
      <c r="C183" s="65">
        <v>8</v>
      </c>
      <c r="D183" s="103" t="s">
        <v>52</v>
      </c>
      <c r="E183" s="103"/>
      <c r="F183" s="89">
        <v>0.01</v>
      </c>
      <c r="G183" s="150">
        <v>1</v>
      </c>
      <c r="H183" s="148">
        <v>2013</v>
      </c>
      <c r="I183" s="60" t="s">
        <v>5</v>
      </c>
      <c r="J183" s="67"/>
      <c r="K183" s="67"/>
      <c r="L183" s="67"/>
      <c r="M183" s="67"/>
      <c r="N183" s="67"/>
      <c r="O183" s="67"/>
      <c r="P183" s="876"/>
    </row>
    <row r="184" spans="2:16" ht="15.5">
      <c r="B184" s="55"/>
      <c r="C184" s="65">
        <v>9</v>
      </c>
      <c r="D184" s="103" t="s">
        <v>53</v>
      </c>
      <c r="E184" s="103"/>
      <c r="F184" s="89">
        <v>0</v>
      </c>
      <c r="G184" s="150">
        <v>0.28999999999999998</v>
      </c>
      <c r="H184" s="148">
        <v>2013</v>
      </c>
      <c r="I184" s="60"/>
      <c r="J184" s="67"/>
      <c r="K184" s="67"/>
      <c r="L184" s="67"/>
      <c r="M184" s="67"/>
      <c r="N184" s="67"/>
      <c r="O184" s="67"/>
      <c r="P184" s="876"/>
    </row>
    <row r="185" spans="2:16" ht="15.5">
      <c r="B185" s="55"/>
      <c r="C185" s="65">
        <v>10</v>
      </c>
      <c r="D185" s="103" t="s">
        <v>54</v>
      </c>
      <c r="E185" s="103"/>
      <c r="F185" s="89">
        <v>0</v>
      </c>
      <c r="G185" s="150">
        <v>0.01</v>
      </c>
      <c r="H185" s="148">
        <v>2015</v>
      </c>
      <c r="I185" s="60"/>
      <c r="J185" s="67"/>
      <c r="K185" s="67"/>
      <c r="L185" s="67"/>
      <c r="M185" s="67"/>
      <c r="N185" s="67"/>
      <c r="O185" s="67"/>
      <c r="P185" s="876"/>
    </row>
    <row r="186" spans="2:16" ht="15.5">
      <c r="B186" s="55"/>
      <c r="C186" s="65">
        <v>11</v>
      </c>
      <c r="D186" s="103" t="s">
        <v>55</v>
      </c>
      <c r="E186" s="103"/>
      <c r="F186" s="89">
        <v>0</v>
      </c>
      <c r="G186" s="150">
        <v>0.68</v>
      </c>
      <c r="H186" s="148">
        <v>2020</v>
      </c>
      <c r="I186" s="60"/>
      <c r="J186" s="67"/>
      <c r="K186" s="67"/>
      <c r="L186" s="67"/>
      <c r="M186" s="67"/>
      <c r="N186" s="67"/>
      <c r="O186" s="67"/>
      <c r="P186" s="876"/>
    </row>
    <row r="187" spans="2:16" ht="15.5">
      <c r="B187" s="55"/>
      <c r="C187" s="65">
        <v>12</v>
      </c>
      <c r="D187" s="103" t="s">
        <v>56</v>
      </c>
      <c r="E187" s="103"/>
      <c r="F187" s="89">
        <v>0</v>
      </c>
      <c r="G187" s="150">
        <v>0.68</v>
      </c>
      <c r="H187" s="148">
        <v>2020</v>
      </c>
      <c r="I187" s="60"/>
      <c r="J187" s="67"/>
      <c r="K187" s="67"/>
      <c r="L187" s="67"/>
      <c r="M187" s="67"/>
      <c r="N187" s="67"/>
      <c r="O187" s="67"/>
      <c r="P187" s="876"/>
    </row>
    <row r="188" spans="2:16" ht="15.5">
      <c r="B188" s="55"/>
      <c r="C188" s="887">
        <v>13</v>
      </c>
      <c r="D188" s="888" t="s">
        <v>57</v>
      </c>
      <c r="E188" s="888"/>
      <c r="F188" s="94">
        <v>0</v>
      </c>
      <c r="G188" s="151">
        <v>0.4</v>
      </c>
      <c r="H188" s="152">
        <v>2015</v>
      </c>
      <c r="I188" s="60"/>
      <c r="J188" s="67"/>
      <c r="K188" s="67"/>
      <c r="L188" s="67"/>
      <c r="M188" s="67"/>
      <c r="N188" s="67"/>
      <c r="O188" s="67"/>
      <c r="P188" s="876"/>
    </row>
    <row r="189" spans="2:16" ht="15.5">
      <c r="B189" s="55"/>
      <c r="C189" s="65"/>
      <c r="D189" s="103" t="s">
        <v>58</v>
      </c>
      <c r="E189" s="103"/>
      <c r="F189" s="88">
        <v>1.0000000000000002</v>
      </c>
      <c r="G189" s="88"/>
      <c r="H189" s="67"/>
      <c r="I189" s="67"/>
      <c r="J189" s="67"/>
      <c r="K189" s="67"/>
      <c r="L189" s="67"/>
      <c r="M189" s="67"/>
      <c r="N189" s="67"/>
      <c r="O189" s="67"/>
      <c r="P189" s="876"/>
    </row>
    <row r="190" spans="2:16">
      <c r="B190" s="105"/>
      <c r="C190" s="67"/>
      <c r="D190" s="67"/>
      <c r="E190" s="67"/>
      <c r="F190" s="67"/>
      <c r="G190" s="67"/>
      <c r="H190" s="67"/>
      <c r="I190" s="67"/>
      <c r="J190" s="67"/>
      <c r="K190" s="67"/>
      <c r="L190" s="67"/>
      <c r="M190" s="67"/>
      <c r="N190" s="67"/>
      <c r="O190" s="67"/>
      <c r="P190" s="876"/>
    </row>
    <row r="191" spans="2:16" ht="15.5">
      <c r="B191" s="55"/>
      <c r="C191" s="878" t="s">
        <v>43</v>
      </c>
      <c r="D191" s="878" t="s">
        <v>109</v>
      </c>
      <c r="E191" s="878" t="s">
        <v>30</v>
      </c>
      <c r="F191" s="87">
        <v>2013</v>
      </c>
      <c r="G191" s="1265" t="s">
        <v>110</v>
      </c>
      <c r="H191" s="1266" t="s">
        <v>111</v>
      </c>
      <c r="I191" s="67"/>
      <c r="J191" s="67"/>
      <c r="K191" s="67"/>
      <c r="L191" s="67"/>
      <c r="M191" s="67"/>
      <c r="N191" s="67"/>
      <c r="O191" s="67"/>
      <c r="P191" s="876"/>
    </row>
    <row r="192" spans="2:16" ht="15.5">
      <c r="B192" s="55"/>
      <c r="C192" s="65">
        <v>1</v>
      </c>
      <c r="D192" s="103" t="s">
        <v>60</v>
      </c>
      <c r="E192" s="103"/>
      <c r="F192" s="89">
        <v>1</v>
      </c>
      <c r="G192" s="147">
        <v>1</v>
      </c>
      <c r="H192" s="148">
        <v>2013</v>
      </c>
      <c r="I192" s="67"/>
      <c r="J192" s="67"/>
      <c r="K192" s="67"/>
      <c r="L192" s="67"/>
      <c r="M192" s="67"/>
      <c r="N192" s="67"/>
      <c r="O192" s="67"/>
      <c r="P192" s="876"/>
    </row>
    <row r="193" spans="2:17" ht="15.5">
      <c r="B193" s="55"/>
      <c r="C193" s="65">
        <v>2</v>
      </c>
      <c r="D193" s="103" t="s">
        <v>61</v>
      </c>
      <c r="E193" s="103"/>
      <c r="F193" s="89">
        <v>0</v>
      </c>
      <c r="G193" s="147">
        <v>1</v>
      </c>
      <c r="H193" s="148">
        <v>2010</v>
      </c>
      <c r="I193" s="67"/>
      <c r="J193" s="67"/>
      <c r="K193" s="67"/>
      <c r="L193" s="67"/>
      <c r="M193" s="67"/>
      <c r="N193" s="67"/>
      <c r="O193" s="67"/>
      <c r="P193" s="876"/>
    </row>
    <row r="194" spans="2:17" ht="15.5">
      <c r="B194" s="55"/>
      <c r="C194" s="917">
        <v>3</v>
      </c>
      <c r="D194" s="194" t="s">
        <v>62</v>
      </c>
      <c r="E194" s="194"/>
      <c r="F194" s="153">
        <v>0</v>
      </c>
      <c r="G194" s="154">
        <v>1</v>
      </c>
      <c r="H194" s="152">
        <v>2015</v>
      </c>
      <c r="I194" s="67"/>
      <c r="J194" s="67"/>
      <c r="K194" s="67"/>
      <c r="L194" s="67"/>
      <c r="M194" s="67"/>
      <c r="N194" s="67"/>
      <c r="O194" s="67"/>
      <c r="P194" s="876"/>
    </row>
    <row r="195" spans="2:17">
      <c r="B195" s="105"/>
      <c r="C195" s="67"/>
      <c r="D195" s="67" t="s">
        <v>58</v>
      </c>
      <c r="E195" s="67"/>
      <c r="F195" s="1267">
        <v>1</v>
      </c>
      <c r="G195" s="67"/>
      <c r="H195" s="67"/>
      <c r="I195" s="67"/>
      <c r="J195" s="67"/>
      <c r="K195" s="67"/>
      <c r="L195" s="67"/>
      <c r="M195" s="67"/>
      <c r="N195" s="67"/>
      <c r="O195" s="67"/>
      <c r="P195" s="876"/>
    </row>
    <row r="196" spans="2:17">
      <c r="B196" s="105"/>
      <c r="C196" s="51"/>
      <c r="D196" s="67"/>
      <c r="E196" s="67"/>
      <c r="F196" s="67"/>
      <c r="G196" s="67"/>
      <c r="H196" s="67"/>
      <c r="I196" s="67"/>
      <c r="J196" s="67"/>
      <c r="K196" s="67"/>
      <c r="L196" s="67"/>
      <c r="M196" s="67"/>
      <c r="N196" s="67"/>
      <c r="O196" s="67"/>
      <c r="P196" s="876"/>
    </row>
    <row r="197" spans="2:17" s="2" customFormat="1" ht="15.5">
      <c r="B197" s="55"/>
      <c r="C197" s="186" t="s">
        <v>129</v>
      </c>
      <c r="D197" s="166"/>
      <c r="E197" s="57"/>
      <c r="F197" s="3376"/>
      <c r="G197" s="184"/>
      <c r="H197" s="184"/>
      <c r="I197" s="184"/>
      <c r="J197" s="184"/>
      <c r="K197" s="184"/>
      <c r="L197" s="184"/>
      <c r="M197" s="184"/>
      <c r="N197" s="187" t="str">
        <f>"kt/"&amp;Preferences.EnergyUnits</f>
        <v>kt/TWh</v>
      </c>
      <c r="O197" s="67"/>
      <c r="P197" s="185"/>
      <c r="Q197"/>
    </row>
    <row r="198" spans="2:17" s="2" customFormat="1" ht="15.5">
      <c r="B198" s="55"/>
      <c r="C198" s="186"/>
      <c r="D198" s="166"/>
      <c r="E198" s="57"/>
      <c r="F198" s="3376"/>
      <c r="G198" s="184"/>
      <c r="H198" s="184"/>
      <c r="I198" s="184"/>
      <c r="J198" s="184"/>
      <c r="K198" s="184"/>
      <c r="L198" s="184"/>
      <c r="M198" s="184"/>
      <c r="N198" s="184"/>
      <c r="O198" s="67"/>
      <c r="P198" s="185"/>
      <c r="Q198"/>
    </row>
    <row r="199" spans="2:17" s="2" customFormat="1" ht="15.5">
      <c r="B199" s="55"/>
      <c r="C199" s="52" t="s">
        <v>43</v>
      </c>
      <c r="D199" s="52" t="s">
        <v>130</v>
      </c>
      <c r="E199" s="52" t="s">
        <v>131</v>
      </c>
      <c r="F199" s="144">
        <v>2013</v>
      </c>
      <c r="G199" s="53" t="s">
        <v>132</v>
      </c>
      <c r="H199" s="53" t="s">
        <v>133</v>
      </c>
      <c r="I199" s="53" t="s">
        <v>134</v>
      </c>
      <c r="J199" s="53" t="s">
        <v>135</v>
      </c>
      <c r="K199" s="53" t="s">
        <v>136</v>
      </c>
      <c r="L199" s="53" t="s">
        <v>137</v>
      </c>
      <c r="M199" s="53" t="s">
        <v>138</v>
      </c>
      <c r="N199" s="53" t="s">
        <v>139</v>
      </c>
      <c r="O199" s="67"/>
      <c r="P199" s="185"/>
      <c r="Q199"/>
    </row>
    <row r="200" spans="2:17" s="2" customFormat="1" ht="15.5">
      <c r="B200" s="55"/>
      <c r="C200" s="188">
        <v>1</v>
      </c>
      <c r="D200" s="189" t="s">
        <v>140</v>
      </c>
      <c r="E200" s="103" t="s">
        <v>141</v>
      </c>
      <c r="F200" s="2430">
        <f t="shared" ref="F200:N200" si="4">0.00319820625663352*(1/Unit.TWh)</f>
        <v>3.1982062566335199E-3</v>
      </c>
      <c r="G200" s="2430">
        <f t="shared" si="4"/>
        <v>3.1982062566335199E-3</v>
      </c>
      <c r="H200" s="2430">
        <f t="shared" si="4"/>
        <v>3.1982062566335199E-3</v>
      </c>
      <c r="I200" s="2430">
        <f t="shared" si="4"/>
        <v>3.1982062566335199E-3</v>
      </c>
      <c r="J200" s="2430">
        <f t="shared" si="4"/>
        <v>3.1982062566335199E-3</v>
      </c>
      <c r="K200" s="2430">
        <f t="shared" si="4"/>
        <v>3.1982062566335199E-3</v>
      </c>
      <c r="L200" s="2430">
        <f t="shared" si="4"/>
        <v>3.1982062566335199E-3</v>
      </c>
      <c r="M200" s="2430">
        <f t="shared" si="4"/>
        <v>3.1982062566335199E-3</v>
      </c>
      <c r="N200" s="2430">
        <f t="shared" si="4"/>
        <v>3.1982062566335199E-3</v>
      </c>
      <c r="O200" s="67"/>
      <c r="P200" s="185"/>
      <c r="Q200"/>
    </row>
    <row r="201" spans="2:17" s="2" customFormat="1" ht="15.5">
      <c r="B201" s="55"/>
      <c r="C201" s="188">
        <v>1</v>
      </c>
      <c r="D201" s="189" t="s">
        <v>140</v>
      </c>
      <c r="E201" s="103" t="s">
        <v>142</v>
      </c>
      <c r="F201" s="2430">
        <f>F200*Constants!$F$37</f>
        <v>3.210959993376606E-2</v>
      </c>
      <c r="G201" s="2430">
        <f>G200*Constants!$F$37</f>
        <v>3.210959993376606E-2</v>
      </c>
      <c r="H201" s="2430">
        <f>H200*Constants!$F$37</f>
        <v>3.210959993376606E-2</v>
      </c>
      <c r="I201" s="2430">
        <f>I200*Constants!$F$37</f>
        <v>3.210959993376606E-2</v>
      </c>
      <c r="J201" s="2430">
        <f>J200*Constants!$F$37</f>
        <v>3.210959993376606E-2</v>
      </c>
      <c r="K201" s="2430">
        <f>K200*Constants!$F$37</f>
        <v>3.210959993376606E-2</v>
      </c>
      <c r="L201" s="2430">
        <f>L200*Constants!$F$37</f>
        <v>3.210959993376606E-2</v>
      </c>
      <c r="M201" s="2430">
        <f>M200*Constants!$F$37</f>
        <v>3.210959993376606E-2</v>
      </c>
      <c r="N201" s="2430">
        <f>N200*Constants!$F$37</f>
        <v>3.210959993376606E-2</v>
      </c>
      <c r="O201" s="67"/>
      <c r="P201" s="185"/>
      <c r="Q201"/>
    </row>
    <row r="202" spans="2:17" s="2" customFormat="1" ht="15.5">
      <c r="B202" s="55"/>
      <c r="C202" s="188">
        <v>2</v>
      </c>
      <c r="D202" s="189" t="s">
        <v>143</v>
      </c>
      <c r="E202" s="103" t="s">
        <v>141</v>
      </c>
      <c r="F202" s="2430">
        <f t="shared" ref="F202:N202" si="5">0.00319820625663352*(1/Unit.TWh)</f>
        <v>3.1982062566335199E-3</v>
      </c>
      <c r="G202" s="2430">
        <f t="shared" si="5"/>
        <v>3.1982062566335199E-3</v>
      </c>
      <c r="H202" s="2430">
        <f t="shared" si="5"/>
        <v>3.1982062566335199E-3</v>
      </c>
      <c r="I202" s="2430">
        <f t="shared" si="5"/>
        <v>3.1982062566335199E-3</v>
      </c>
      <c r="J202" s="2430">
        <f t="shared" si="5"/>
        <v>3.1982062566335199E-3</v>
      </c>
      <c r="K202" s="2430">
        <f t="shared" si="5"/>
        <v>3.1982062566335199E-3</v>
      </c>
      <c r="L202" s="2430">
        <f t="shared" si="5"/>
        <v>3.1982062566335199E-3</v>
      </c>
      <c r="M202" s="2430">
        <f t="shared" si="5"/>
        <v>3.1982062566335199E-3</v>
      </c>
      <c r="N202" s="2430">
        <f t="shared" si="5"/>
        <v>3.1982062566335199E-3</v>
      </c>
      <c r="O202" s="67"/>
      <c r="P202" s="185"/>
      <c r="Q202"/>
    </row>
    <row r="203" spans="2:17" s="2" customFormat="1" ht="15.5">
      <c r="B203" s="55"/>
      <c r="C203" s="188">
        <v>2</v>
      </c>
      <c r="D203" s="189" t="s">
        <v>143</v>
      </c>
      <c r="E203" s="103" t="s">
        <v>142</v>
      </c>
      <c r="F203" s="2430">
        <f>F202*Constants!$F$37</f>
        <v>3.210959993376606E-2</v>
      </c>
      <c r="G203" s="2430">
        <f>G202*Constants!$F$37</f>
        <v>3.210959993376606E-2</v>
      </c>
      <c r="H203" s="2430">
        <f>H202*Constants!$F$37</f>
        <v>3.210959993376606E-2</v>
      </c>
      <c r="I203" s="2430">
        <f>I202*Constants!$F$37</f>
        <v>3.210959993376606E-2</v>
      </c>
      <c r="J203" s="2430">
        <f>J202*Constants!$F$37</f>
        <v>3.210959993376606E-2</v>
      </c>
      <c r="K203" s="2430">
        <f>K202*Constants!$F$37</f>
        <v>3.210959993376606E-2</v>
      </c>
      <c r="L203" s="2430">
        <f>L202*Constants!$F$37</f>
        <v>3.210959993376606E-2</v>
      </c>
      <c r="M203" s="2430">
        <f>M202*Constants!$F$37</f>
        <v>3.210959993376606E-2</v>
      </c>
      <c r="N203" s="2430">
        <f>N202*Constants!$F$37</f>
        <v>3.210959993376606E-2</v>
      </c>
      <c r="O203" s="67"/>
      <c r="P203" s="185"/>
      <c r="Q203"/>
    </row>
    <row r="204" spans="2:17" s="2" customFormat="1" ht="15.5">
      <c r="B204" s="55"/>
      <c r="C204" s="188">
        <v>4</v>
      </c>
      <c r="D204" s="189" t="s">
        <v>48</v>
      </c>
      <c r="E204" s="103" t="s">
        <v>144</v>
      </c>
      <c r="F204" s="2430">
        <f t="shared" ref="F204:N204" si="6">0.0257261207244135*(1/Unit.TWh)</f>
        <v>2.57261207244135E-2</v>
      </c>
      <c r="G204" s="2430">
        <f t="shared" si="6"/>
        <v>2.57261207244135E-2</v>
      </c>
      <c r="H204" s="2430">
        <f t="shared" si="6"/>
        <v>2.57261207244135E-2</v>
      </c>
      <c r="I204" s="2430">
        <f t="shared" si="6"/>
        <v>2.57261207244135E-2</v>
      </c>
      <c r="J204" s="2430">
        <f t="shared" si="6"/>
        <v>2.57261207244135E-2</v>
      </c>
      <c r="K204" s="2430">
        <f t="shared" si="6"/>
        <v>2.57261207244135E-2</v>
      </c>
      <c r="L204" s="2430">
        <f t="shared" si="6"/>
        <v>2.57261207244135E-2</v>
      </c>
      <c r="M204" s="2430">
        <f t="shared" si="6"/>
        <v>2.57261207244135E-2</v>
      </c>
      <c r="N204" s="2430">
        <f t="shared" si="6"/>
        <v>2.57261207244135E-2</v>
      </c>
      <c r="O204" s="67"/>
      <c r="P204" s="185"/>
      <c r="Q204"/>
    </row>
    <row r="205" spans="2:17" s="2" customFormat="1" ht="15.5">
      <c r="B205" s="55"/>
      <c r="C205" s="188">
        <v>4</v>
      </c>
      <c r="D205" s="189" t="s">
        <v>48</v>
      </c>
      <c r="E205" s="103" t="s">
        <v>145</v>
      </c>
      <c r="F205" s="2430">
        <f>F204*Constants!$F$36</f>
        <v>0.12051356951983901</v>
      </c>
      <c r="G205" s="2430">
        <f>G204*Constants!$F$36</f>
        <v>0.12051356951983901</v>
      </c>
      <c r="H205" s="2430">
        <f>H204*Constants!$F$36</f>
        <v>0.12051356951983901</v>
      </c>
      <c r="I205" s="2430">
        <f>I204*Constants!$F$36</f>
        <v>0.12051356951983901</v>
      </c>
      <c r="J205" s="2430">
        <f>J204*Constants!$F$36</f>
        <v>0.12051356951983901</v>
      </c>
      <c r="K205" s="2430">
        <f>K204*Constants!$F$36</f>
        <v>0.12051356951983901</v>
      </c>
      <c r="L205" s="2430">
        <f>L204*Constants!$F$36</f>
        <v>0.12051356951983901</v>
      </c>
      <c r="M205" s="2430">
        <f>M204*Constants!$F$36</f>
        <v>0.12051356951983901</v>
      </c>
      <c r="N205" s="2430">
        <f>N204*Constants!$F$36</f>
        <v>0.12051356951983901</v>
      </c>
      <c r="O205" s="67"/>
      <c r="P205" s="185"/>
      <c r="Q205"/>
    </row>
    <row r="206" spans="2:17" s="2" customFormat="1" ht="15.5">
      <c r="B206" s="55"/>
      <c r="C206" s="188">
        <v>5</v>
      </c>
      <c r="D206" s="189" t="s">
        <v>49</v>
      </c>
      <c r="E206" s="103" t="s">
        <v>146</v>
      </c>
      <c r="F206" s="2430">
        <f t="shared" ref="F206:N206" si="7">0.356249246094979*(1/Unit.TWh)</f>
        <v>0.35624924609497899</v>
      </c>
      <c r="G206" s="2430">
        <f t="shared" si="7"/>
        <v>0.35624924609497899</v>
      </c>
      <c r="H206" s="2430">
        <f t="shared" si="7"/>
        <v>0.35624924609497899</v>
      </c>
      <c r="I206" s="2430">
        <f t="shared" si="7"/>
        <v>0.35624924609497899</v>
      </c>
      <c r="J206" s="2430">
        <f t="shared" si="7"/>
        <v>0.35624924609497899</v>
      </c>
      <c r="K206" s="2430">
        <f t="shared" si="7"/>
        <v>0.35624924609497899</v>
      </c>
      <c r="L206" s="2430">
        <f t="shared" si="7"/>
        <v>0.35624924609497899</v>
      </c>
      <c r="M206" s="2430">
        <f t="shared" si="7"/>
        <v>0.35624924609497899</v>
      </c>
      <c r="N206" s="2430">
        <f t="shared" si="7"/>
        <v>0.35624924609497899</v>
      </c>
      <c r="O206" s="67"/>
      <c r="P206" s="185"/>
      <c r="Q206"/>
    </row>
    <row r="207" spans="2:17" s="2" customFormat="1" ht="15.5">
      <c r="B207" s="55"/>
      <c r="C207" s="188">
        <v>5</v>
      </c>
      <c r="D207" s="189" t="s">
        <v>49</v>
      </c>
      <c r="E207" s="103" t="s">
        <v>147</v>
      </c>
      <c r="F207" s="2430">
        <f>F206*Constants!$F$35</f>
        <v>1.4920942289889192</v>
      </c>
      <c r="G207" s="2430">
        <f>G206*Constants!$F$35</f>
        <v>1.4920942289889192</v>
      </c>
      <c r="H207" s="2430">
        <f>H206*Constants!$F$35</f>
        <v>1.4920942289889192</v>
      </c>
      <c r="I207" s="2430">
        <f>I206*Constants!$F$35</f>
        <v>1.4920942289889192</v>
      </c>
      <c r="J207" s="2430">
        <f>J206*Constants!$F$35</f>
        <v>1.4920942289889192</v>
      </c>
      <c r="K207" s="2430">
        <f>K206*Constants!$F$35</f>
        <v>1.4920942289889192</v>
      </c>
      <c r="L207" s="2430">
        <f>L206*Constants!$F$35</f>
        <v>1.4920942289889192</v>
      </c>
      <c r="M207" s="2430">
        <f>M206*Constants!$F$35</f>
        <v>1.4920942289889192</v>
      </c>
      <c r="N207" s="2430">
        <f>N206*Constants!$F$35</f>
        <v>1.4920942289889192</v>
      </c>
      <c r="O207" s="67"/>
      <c r="P207" s="185"/>
      <c r="Q207"/>
    </row>
    <row r="208" spans="2:17" s="2" customFormat="1" ht="15.5">
      <c r="B208" s="55"/>
      <c r="C208" s="188">
        <v>6</v>
      </c>
      <c r="D208" s="189" t="s">
        <v>50</v>
      </c>
      <c r="E208" s="103" t="s">
        <v>141</v>
      </c>
      <c r="F208" s="2430">
        <f t="shared" ref="F208:N208" si="8">0.00319820625663352*(1/Unit.TWh)</f>
        <v>3.1982062566335199E-3</v>
      </c>
      <c r="G208" s="2430">
        <f t="shared" si="8"/>
        <v>3.1982062566335199E-3</v>
      </c>
      <c r="H208" s="2430">
        <f t="shared" si="8"/>
        <v>3.1982062566335199E-3</v>
      </c>
      <c r="I208" s="2430">
        <f t="shared" si="8"/>
        <v>3.1982062566335199E-3</v>
      </c>
      <c r="J208" s="2430">
        <f t="shared" si="8"/>
        <v>3.1982062566335199E-3</v>
      </c>
      <c r="K208" s="2430">
        <f t="shared" si="8"/>
        <v>3.1982062566335199E-3</v>
      </c>
      <c r="L208" s="2430">
        <f t="shared" si="8"/>
        <v>3.1982062566335199E-3</v>
      </c>
      <c r="M208" s="2430">
        <f t="shared" si="8"/>
        <v>3.1982062566335199E-3</v>
      </c>
      <c r="N208" s="2430">
        <f t="shared" si="8"/>
        <v>3.1982062566335199E-3</v>
      </c>
      <c r="O208" s="67"/>
      <c r="P208" s="185"/>
      <c r="Q208"/>
    </row>
    <row r="209" spans="2:17" s="2" customFormat="1" ht="15.5">
      <c r="B209" s="55"/>
      <c r="C209" s="188">
        <v>6</v>
      </c>
      <c r="D209" s="189" t="s">
        <v>50</v>
      </c>
      <c r="E209" s="103" t="s">
        <v>142</v>
      </c>
      <c r="F209" s="2430">
        <f>F208*Constants!$F$37</f>
        <v>3.210959993376606E-2</v>
      </c>
      <c r="G209" s="2430">
        <f>G208*Constants!$F$37</f>
        <v>3.210959993376606E-2</v>
      </c>
      <c r="H209" s="2430">
        <f>H208*Constants!$F$37</f>
        <v>3.210959993376606E-2</v>
      </c>
      <c r="I209" s="2430">
        <f>I208*Constants!$F$37</f>
        <v>3.210959993376606E-2</v>
      </c>
      <c r="J209" s="2430">
        <f>J208*Constants!$F$37</f>
        <v>3.210959993376606E-2</v>
      </c>
      <c r="K209" s="2430">
        <f>K208*Constants!$F$37</f>
        <v>3.210959993376606E-2</v>
      </c>
      <c r="L209" s="2430">
        <f>L208*Constants!$F$37</f>
        <v>3.210959993376606E-2</v>
      </c>
      <c r="M209" s="2430">
        <f>M208*Constants!$F$37</f>
        <v>3.210959993376606E-2</v>
      </c>
      <c r="N209" s="2430">
        <f>N208*Constants!$F$37</f>
        <v>3.210959993376606E-2</v>
      </c>
      <c r="O209" s="67"/>
      <c r="P209" s="185"/>
      <c r="Q209"/>
    </row>
    <row r="210" spans="2:17" s="2" customFormat="1" ht="15.5">
      <c r="B210" s="55"/>
      <c r="C210" s="188">
        <v>7</v>
      </c>
      <c r="D210" s="189" t="s">
        <v>51</v>
      </c>
      <c r="E210" s="103" t="s">
        <v>141</v>
      </c>
      <c r="F210" s="2430">
        <f t="shared" ref="F210:N210" si="9">0*(1/Unit.GWh)</f>
        <v>0</v>
      </c>
      <c r="G210" s="2430">
        <f t="shared" si="9"/>
        <v>0</v>
      </c>
      <c r="H210" s="2430">
        <f t="shared" si="9"/>
        <v>0</v>
      </c>
      <c r="I210" s="2430">
        <f t="shared" si="9"/>
        <v>0</v>
      </c>
      <c r="J210" s="2430">
        <f t="shared" si="9"/>
        <v>0</v>
      </c>
      <c r="K210" s="2430">
        <f t="shared" si="9"/>
        <v>0</v>
      </c>
      <c r="L210" s="2430">
        <f t="shared" si="9"/>
        <v>0</v>
      </c>
      <c r="M210" s="2430">
        <f t="shared" si="9"/>
        <v>0</v>
      </c>
      <c r="N210" s="2430">
        <f t="shared" si="9"/>
        <v>0</v>
      </c>
      <c r="O210" s="67"/>
      <c r="P210" s="67"/>
      <c r="Q210"/>
    </row>
    <row r="211" spans="2:17" s="2" customFormat="1" ht="15.5">
      <c r="B211" s="55"/>
      <c r="C211" s="188">
        <v>7</v>
      </c>
      <c r="D211" s="189" t="s">
        <v>51</v>
      </c>
      <c r="E211" s="103" t="s">
        <v>142</v>
      </c>
      <c r="F211" s="2430">
        <f>F210*Constants!$F$37</f>
        <v>0</v>
      </c>
      <c r="G211" s="2430">
        <f>G210*Constants!$F$37</f>
        <v>0</v>
      </c>
      <c r="H211" s="2430">
        <f>H210*Constants!$F$37</f>
        <v>0</v>
      </c>
      <c r="I211" s="2430">
        <f>I210*Constants!$F$37</f>
        <v>0</v>
      </c>
      <c r="J211" s="2430">
        <f>J210*Constants!$F$37</f>
        <v>0</v>
      </c>
      <c r="K211" s="2430">
        <f>K210*Constants!$F$37</f>
        <v>0</v>
      </c>
      <c r="L211" s="2430">
        <f>L210*Constants!$F$37</f>
        <v>0</v>
      </c>
      <c r="M211" s="2430">
        <f>M210*Constants!$F$37</f>
        <v>0</v>
      </c>
      <c r="N211" s="2430">
        <f>N210*Constants!$F$37</f>
        <v>0</v>
      </c>
      <c r="O211" s="67"/>
      <c r="P211" s="185"/>
      <c r="Q211"/>
    </row>
    <row r="212" spans="2:17" s="2" customFormat="1" ht="15.5">
      <c r="B212" s="55"/>
      <c r="C212" s="188">
        <v>11</v>
      </c>
      <c r="D212" s="189" t="s">
        <v>55</v>
      </c>
      <c r="E212" s="103" t="s">
        <v>141</v>
      </c>
      <c r="F212" s="2430">
        <f t="shared" ref="F212:N212" si="10">0.00319820625663352*(1/Unit.TWh)</f>
        <v>3.1982062566335199E-3</v>
      </c>
      <c r="G212" s="2430">
        <f t="shared" si="10"/>
        <v>3.1982062566335199E-3</v>
      </c>
      <c r="H212" s="2430">
        <f t="shared" si="10"/>
        <v>3.1982062566335199E-3</v>
      </c>
      <c r="I212" s="2430">
        <f t="shared" si="10"/>
        <v>3.1982062566335199E-3</v>
      </c>
      <c r="J212" s="2430">
        <f t="shared" si="10"/>
        <v>3.1982062566335199E-3</v>
      </c>
      <c r="K212" s="2430">
        <f t="shared" si="10"/>
        <v>3.1982062566335199E-3</v>
      </c>
      <c r="L212" s="2430">
        <f t="shared" si="10"/>
        <v>3.1982062566335199E-3</v>
      </c>
      <c r="M212" s="2430">
        <f t="shared" si="10"/>
        <v>3.1982062566335199E-3</v>
      </c>
      <c r="N212" s="2430">
        <f t="shared" si="10"/>
        <v>3.1982062566335199E-3</v>
      </c>
      <c r="O212" s="67"/>
      <c r="P212" s="185"/>
      <c r="Q212"/>
    </row>
    <row r="213" spans="2:17" s="2" customFormat="1" ht="15.5">
      <c r="B213" s="55"/>
      <c r="C213" s="188">
        <v>11</v>
      </c>
      <c r="D213" s="189" t="s">
        <v>55</v>
      </c>
      <c r="E213" s="103" t="s">
        <v>142</v>
      </c>
      <c r="F213" s="2430">
        <f>F212*Constants!$F$37</f>
        <v>3.210959993376606E-2</v>
      </c>
      <c r="G213" s="2430">
        <f>G212*Constants!$F$37</f>
        <v>3.210959993376606E-2</v>
      </c>
      <c r="H213" s="2430">
        <f>H212*Constants!$F$37</f>
        <v>3.210959993376606E-2</v>
      </c>
      <c r="I213" s="2430">
        <f>I212*Constants!$F$37</f>
        <v>3.210959993376606E-2</v>
      </c>
      <c r="J213" s="2430">
        <f>J212*Constants!$F$37</f>
        <v>3.210959993376606E-2</v>
      </c>
      <c r="K213" s="2430">
        <f>K212*Constants!$F$37</f>
        <v>3.210959993376606E-2</v>
      </c>
      <c r="L213" s="2430">
        <f>L212*Constants!$F$37</f>
        <v>3.210959993376606E-2</v>
      </c>
      <c r="M213" s="2430">
        <f>M212*Constants!$F$37</f>
        <v>3.210959993376606E-2</v>
      </c>
      <c r="N213" s="2430">
        <f>N212*Constants!$F$37</f>
        <v>3.210959993376606E-2</v>
      </c>
      <c r="O213" s="67"/>
      <c r="P213" s="185"/>
      <c r="Q213"/>
    </row>
    <row r="214" spans="2:17" s="2" customFormat="1" ht="15.5">
      <c r="B214" s="55"/>
      <c r="C214" s="188">
        <v>12</v>
      </c>
      <c r="D214" s="189" t="s">
        <v>56</v>
      </c>
      <c r="E214" s="103" t="s">
        <v>146</v>
      </c>
      <c r="F214" s="2430">
        <f t="shared" ref="F214:N214" si="11">0.356249246094979*(1/Unit.TWh)</f>
        <v>0.35624924609497899</v>
      </c>
      <c r="G214" s="2430">
        <f t="shared" si="11"/>
        <v>0.35624924609497899</v>
      </c>
      <c r="H214" s="2430">
        <f t="shared" si="11"/>
        <v>0.35624924609497899</v>
      </c>
      <c r="I214" s="2430">
        <f t="shared" si="11"/>
        <v>0.35624924609497899</v>
      </c>
      <c r="J214" s="2430">
        <f t="shared" si="11"/>
        <v>0.35624924609497899</v>
      </c>
      <c r="K214" s="2430">
        <f t="shared" si="11"/>
        <v>0.35624924609497899</v>
      </c>
      <c r="L214" s="2430">
        <f t="shared" si="11"/>
        <v>0.35624924609497899</v>
      </c>
      <c r="M214" s="2430">
        <f t="shared" si="11"/>
        <v>0.35624924609497899</v>
      </c>
      <c r="N214" s="2430">
        <f t="shared" si="11"/>
        <v>0.35624924609497899</v>
      </c>
      <c r="O214" s="67"/>
      <c r="P214" s="185"/>
      <c r="Q214"/>
    </row>
    <row r="215" spans="2:17" s="2" customFormat="1" ht="15.5">
      <c r="B215" s="55"/>
      <c r="C215" s="192">
        <v>12</v>
      </c>
      <c r="D215" s="193" t="s">
        <v>56</v>
      </c>
      <c r="E215" s="194" t="s">
        <v>147</v>
      </c>
      <c r="F215" s="3809">
        <f>F214*Constants!$F$35</f>
        <v>1.4920942289889192</v>
      </c>
      <c r="G215" s="3809">
        <f>G214*Constants!$F$35</f>
        <v>1.4920942289889192</v>
      </c>
      <c r="H215" s="3809">
        <f>H214*Constants!$F$35</f>
        <v>1.4920942289889192</v>
      </c>
      <c r="I215" s="3809">
        <f>I214*Constants!$F$35</f>
        <v>1.4920942289889192</v>
      </c>
      <c r="J215" s="3809">
        <f>J214*Constants!$F$35</f>
        <v>1.4920942289889192</v>
      </c>
      <c r="K215" s="3809">
        <f>K214*Constants!$F$35</f>
        <v>1.4920942289889192</v>
      </c>
      <c r="L215" s="3809">
        <f>L214*Constants!$F$35</f>
        <v>1.4920942289889192</v>
      </c>
      <c r="M215" s="3809">
        <f>M214*Constants!$F$35</f>
        <v>1.4920942289889192</v>
      </c>
      <c r="N215" s="3809">
        <f>N214*Constants!$F$35</f>
        <v>1.4920942289889192</v>
      </c>
      <c r="O215" s="67"/>
      <c r="P215" s="185"/>
      <c r="Q215"/>
    </row>
    <row r="216" spans="2:17" s="2" customFormat="1" ht="15.5">
      <c r="B216" s="55"/>
      <c r="C216" s="188"/>
      <c r="D216" s="189"/>
      <c r="E216" s="103"/>
      <c r="F216" s="2430"/>
      <c r="G216" s="2430"/>
      <c r="H216" s="2430"/>
      <c r="I216" s="2430"/>
      <c r="J216" s="2430"/>
      <c r="K216" s="2430"/>
      <c r="L216" s="2430"/>
      <c r="M216" s="2430"/>
      <c r="N216" s="2430"/>
      <c r="O216" s="67"/>
      <c r="P216" s="185"/>
      <c r="Q216"/>
    </row>
    <row r="217" spans="2:17" s="2" customFormat="1" ht="15.5">
      <c r="B217" s="55"/>
      <c r="C217" s="186" t="s">
        <v>148</v>
      </c>
      <c r="D217" s="166"/>
      <c r="E217" s="57"/>
      <c r="F217" s="3376"/>
      <c r="G217" s="184"/>
      <c r="H217" s="184"/>
      <c r="I217" s="184"/>
      <c r="J217" s="184"/>
      <c r="K217" s="184"/>
      <c r="L217" s="184"/>
      <c r="M217" s="184"/>
      <c r="N217" s="187" t="str">
        <f>"kt/"&amp;Preferences.EnergyUnits</f>
        <v>kt/TWh</v>
      </c>
      <c r="O217" s="67"/>
      <c r="P217" s="185"/>
      <c r="Q217"/>
    </row>
    <row r="218" spans="2:17" s="2" customFormat="1" ht="15.5">
      <c r="B218" s="55"/>
      <c r="C218" s="186"/>
      <c r="D218" s="166"/>
      <c r="E218" s="57"/>
      <c r="F218" s="3376"/>
      <c r="G218" s="184"/>
      <c r="H218" s="184"/>
      <c r="I218" s="184"/>
      <c r="J218" s="184"/>
      <c r="K218" s="184"/>
      <c r="L218" s="184"/>
      <c r="M218" s="184"/>
      <c r="N218" s="184"/>
      <c r="O218" s="67"/>
      <c r="P218" s="185"/>
      <c r="Q218"/>
    </row>
    <row r="219" spans="2:17" s="2" customFormat="1" ht="15.5">
      <c r="B219" s="55"/>
      <c r="C219" s="52" t="s">
        <v>43</v>
      </c>
      <c r="D219" s="52" t="s">
        <v>130</v>
      </c>
      <c r="E219" s="52" t="s">
        <v>131</v>
      </c>
      <c r="F219" s="144">
        <v>2013</v>
      </c>
      <c r="G219" s="53" t="s">
        <v>132</v>
      </c>
      <c r="H219" s="53" t="s">
        <v>133</v>
      </c>
      <c r="I219" s="53" t="s">
        <v>134</v>
      </c>
      <c r="J219" s="53" t="s">
        <v>135</v>
      </c>
      <c r="K219" s="53" t="s">
        <v>136</v>
      </c>
      <c r="L219" s="53" t="s">
        <v>137</v>
      </c>
      <c r="M219" s="53" t="s">
        <v>138</v>
      </c>
      <c r="N219" s="53" t="s">
        <v>139</v>
      </c>
      <c r="O219" s="67"/>
      <c r="P219" s="185"/>
      <c r="Q219"/>
    </row>
    <row r="220" spans="2:17" s="2" customFormat="1" ht="15.5">
      <c r="B220" s="55"/>
      <c r="C220" s="188">
        <v>1</v>
      </c>
      <c r="D220" s="189" t="s">
        <v>140</v>
      </c>
      <c r="E220" s="103" t="s">
        <v>141</v>
      </c>
      <c r="F220" s="2430">
        <f t="shared" ref="F220:N220" si="12">0.200281814193719*(1/Unit.TWh)</f>
        <v>0.20028181419371899</v>
      </c>
      <c r="G220" s="2430">
        <f t="shared" si="12"/>
        <v>0.20028181419371899</v>
      </c>
      <c r="H220" s="2430">
        <f t="shared" si="12"/>
        <v>0.20028181419371899</v>
      </c>
      <c r="I220" s="2430">
        <f t="shared" si="12"/>
        <v>0.20028181419371899</v>
      </c>
      <c r="J220" s="2430">
        <f t="shared" si="12"/>
        <v>0.20028181419371899</v>
      </c>
      <c r="K220" s="2430">
        <f t="shared" si="12"/>
        <v>0.20028181419371899</v>
      </c>
      <c r="L220" s="2430">
        <f t="shared" si="12"/>
        <v>0.20028181419371899</v>
      </c>
      <c r="M220" s="2430">
        <f t="shared" si="12"/>
        <v>0.20028181419371899</v>
      </c>
      <c r="N220" s="2430">
        <f t="shared" si="12"/>
        <v>0.20028181419371899</v>
      </c>
      <c r="O220" s="67"/>
      <c r="P220" s="185"/>
      <c r="Q220"/>
    </row>
    <row r="221" spans="2:17" s="2" customFormat="1" ht="15.5">
      <c r="B221" s="55"/>
      <c r="C221" s="188">
        <v>1</v>
      </c>
      <c r="D221" s="189" t="s">
        <v>140</v>
      </c>
      <c r="E221" s="103" t="s">
        <v>142</v>
      </c>
      <c r="F221" s="2430">
        <f>F220*Constants!$G$37</f>
        <v>0.11492502327280311</v>
      </c>
      <c r="G221" s="2430">
        <f>G220*Constants!$G$37</f>
        <v>0.11492502327280311</v>
      </c>
      <c r="H221" s="2430">
        <f>H220*Constants!$G$37</f>
        <v>0.11492502327280311</v>
      </c>
      <c r="I221" s="2430">
        <f>I220*Constants!$G$37</f>
        <v>0.11492502327280311</v>
      </c>
      <c r="J221" s="2430">
        <f>J220*Constants!$G$37</f>
        <v>0.11492502327280311</v>
      </c>
      <c r="K221" s="2430">
        <f>K220*Constants!$G$37</f>
        <v>0.11492502327280311</v>
      </c>
      <c r="L221" s="2430">
        <f>L220*Constants!$G$37</f>
        <v>0.11492502327280311</v>
      </c>
      <c r="M221" s="2430">
        <f>M220*Constants!$G$37</f>
        <v>0.11492502327280311</v>
      </c>
      <c r="N221" s="2430">
        <f>N220*Constants!$G$37</f>
        <v>0.11492502327280311</v>
      </c>
      <c r="O221" s="67"/>
      <c r="P221" s="185"/>
      <c r="Q221"/>
    </row>
    <row r="222" spans="2:17" s="2" customFormat="1" ht="15.5">
      <c r="B222" s="55"/>
      <c r="C222" s="188">
        <v>2</v>
      </c>
      <c r="D222" s="189" t="s">
        <v>143</v>
      </c>
      <c r="E222" s="103" t="s">
        <v>141</v>
      </c>
      <c r="F222" s="2430">
        <f t="shared" ref="F222:N222" si="13">0.200281814193719*(1/Unit.TWh)</f>
        <v>0.20028181419371899</v>
      </c>
      <c r="G222" s="2430">
        <f t="shared" si="13"/>
        <v>0.20028181419371899</v>
      </c>
      <c r="H222" s="2430">
        <f t="shared" si="13"/>
        <v>0.20028181419371899</v>
      </c>
      <c r="I222" s="2430">
        <f t="shared" si="13"/>
        <v>0.20028181419371899</v>
      </c>
      <c r="J222" s="2430">
        <f t="shared" si="13"/>
        <v>0.20028181419371899</v>
      </c>
      <c r="K222" s="2430">
        <f t="shared" si="13"/>
        <v>0.20028181419371899</v>
      </c>
      <c r="L222" s="2430">
        <f t="shared" si="13"/>
        <v>0.20028181419371899</v>
      </c>
      <c r="M222" s="2430">
        <f t="shared" si="13"/>
        <v>0.20028181419371899</v>
      </c>
      <c r="N222" s="2430">
        <f t="shared" si="13"/>
        <v>0.20028181419371899</v>
      </c>
      <c r="O222" s="67"/>
      <c r="P222" s="185"/>
      <c r="Q222"/>
    </row>
    <row r="223" spans="2:17" s="2" customFormat="1" ht="15.5">
      <c r="B223" s="55"/>
      <c r="C223" s="188">
        <v>2</v>
      </c>
      <c r="D223" s="189" t="s">
        <v>143</v>
      </c>
      <c r="E223" s="103" t="s">
        <v>142</v>
      </c>
      <c r="F223" s="2430">
        <f>F222*Constants!$G$37</f>
        <v>0.11492502327280311</v>
      </c>
      <c r="G223" s="2430">
        <f>G222*Constants!$G$37</f>
        <v>0.11492502327280311</v>
      </c>
      <c r="H223" s="2430">
        <f>H222*Constants!$G$37</f>
        <v>0.11492502327280311</v>
      </c>
      <c r="I223" s="2430">
        <f>I222*Constants!$G$37</f>
        <v>0.11492502327280311</v>
      </c>
      <c r="J223" s="2430">
        <f>J222*Constants!$G$37</f>
        <v>0.11492502327280311</v>
      </c>
      <c r="K223" s="2430">
        <f>K222*Constants!$G$37</f>
        <v>0.11492502327280311</v>
      </c>
      <c r="L223" s="2430">
        <f>L222*Constants!$G$37</f>
        <v>0.11492502327280311</v>
      </c>
      <c r="M223" s="2430">
        <f>M222*Constants!$G$37</f>
        <v>0.11492502327280311</v>
      </c>
      <c r="N223" s="2430">
        <f>N222*Constants!$G$37</f>
        <v>0.11492502327280311</v>
      </c>
      <c r="O223" s="67"/>
      <c r="P223" s="185"/>
      <c r="Q223"/>
    </row>
    <row r="224" spans="2:17" s="2" customFormat="1" ht="15.5">
      <c r="B224" s="55"/>
      <c r="C224" s="188">
        <v>4</v>
      </c>
      <c r="D224" s="189" t="s">
        <v>48</v>
      </c>
      <c r="E224" s="103" t="s">
        <v>144</v>
      </c>
      <c r="F224" s="2430">
        <f t="shared" ref="F224:N224" si="14">0.216692935914172*(1/Unit.TWh)</f>
        <v>0.21669293591417199</v>
      </c>
      <c r="G224" s="2430">
        <f t="shared" si="14"/>
        <v>0.21669293591417199</v>
      </c>
      <c r="H224" s="2430">
        <f t="shared" si="14"/>
        <v>0.21669293591417199</v>
      </c>
      <c r="I224" s="2430">
        <f t="shared" si="14"/>
        <v>0.21669293591417199</v>
      </c>
      <c r="J224" s="2430">
        <f t="shared" si="14"/>
        <v>0.21669293591417199</v>
      </c>
      <c r="K224" s="2430">
        <f t="shared" si="14"/>
        <v>0.21669293591417199</v>
      </c>
      <c r="L224" s="2430">
        <f t="shared" si="14"/>
        <v>0.21669293591417199</v>
      </c>
      <c r="M224" s="2430">
        <f t="shared" si="14"/>
        <v>0.21669293591417199</v>
      </c>
      <c r="N224" s="2430">
        <f t="shared" si="14"/>
        <v>0.21669293591417199</v>
      </c>
      <c r="O224" s="67"/>
      <c r="P224" s="185"/>
      <c r="Q224"/>
    </row>
    <row r="225" spans="2:17" s="2" customFormat="1" ht="15.5">
      <c r="B225" s="55"/>
      <c r="C225" s="188">
        <v>4</v>
      </c>
      <c r="D225" s="189" t="s">
        <v>48</v>
      </c>
      <c r="E225" s="103" t="s">
        <v>145</v>
      </c>
      <c r="F225" s="2430">
        <f>F224*Constants!$G$36</f>
        <v>4.994275673516943E-2</v>
      </c>
      <c r="G225" s="2430">
        <f>G224*Constants!$G$36</f>
        <v>4.994275673516943E-2</v>
      </c>
      <c r="H225" s="2430">
        <f>H224*Constants!$G$36</f>
        <v>4.994275673516943E-2</v>
      </c>
      <c r="I225" s="2430">
        <f>I224*Constants!$G$36</f>
        <v>4.994275673516943E-2</v>
      </c>
      <c r="J225" s="2430">
        <f>J224*Constants!$G$36</f>
        <v>4.994275673516943E-2</v>
      </c>
      <c r="K225" s="2430">
        <f>K224*Constants!$G$36</f>
        <v>4.994275673516943E-2</v>
      </c>
      <c r="L225" s="2430">
        <f>L224*Constants!$G$36</f>
        <v>4.994275673516943E-2</v>
      </c>
      <c r="M225" s="2430">
        <f>M224*Constants!$G$36</f>
        <v>4.994275673516943E-2</v>
      </c>
      <c r="N225" s="2430">
        <f>N224*Constants!$G$36</f>
        <v>4.994275673516943E-2</v>
      </c>
      <c r="O225" s="67"/>
      <c r="P225" s="185"/>
      <c r="Q225"/>
    </row>
    <row r="226" spans="2:17" s="2" customFormat="1" ht="15.5">
      <c r="B226" s="55"/>
      <c r="C226" s="188">
        <v>5</v>
      </c>
      <c r="D226" s="189" t="s">
        <v>49</v>
      </c>
      <c r="E226" s="103" t="s">
        <v>146</v>
      </c>
      <c r="F226" s="2430">
        <f t="shared" ref="F226:N226" si="15">0.641348621453717*(1/Unit.TWh)</f>
        <v>0.64134862145371696</v>
      </c>
      <c r="G226" s="2430">
        <f t="shared" si="15"/>
        <v>0.64134862145371696</v>
      </c>
      <c r="H226" s="2430">
        <f t="shared" si="15"/>
        <v>0.64134862145371696</v>
      </c>
      <c r="I226" s="2430">
        <f t="shared" si="15"/>
        <v>0.64134862145371696</v>
      </c>
      <c r="J226" s="2430">
        <f t="shared" si="15"/>
        <v>0.64134862145371696</v>
      </c>
      <c r="K226" s="2430">
        <f t="shared" si="15"/>
        <v>0.64134862145371696</v>
      </c>
      <c r="L226" s="2430">
        <f t="shared" si="15"/>
        <v>0.64134862145371696</v>
      </c>
      <c r="M226" s="2430">
        <f t="shared" si="15"/>
        <v>0.64134862145371696</v>
      </c>
      <c r="N226" s="2430">
        <f t="shared" si="15"/>
        <v>0.64134862145371696</v>
      </c>
      <c r="O226" s="67"/>
      <c r="P226" s="185"/>
      <c r="Q226"/>
    </row>
    <row r="227" spans="2:17" s="2" customFormat="1" ht="15.5">
      <c r="B227" s="55"/>
      <c r="C227" s="188">
        <v>5</v>
      </c>
      <c r="D227" s="189" t="s">
        <v>49</v>
      </c>
      <c r="E227" s="103" t="s">
        <v>147</v>
      </c>
      <c r="F227" s="2430">
        <f>F226*Constants!$G$35</f>
        <v>0.49310010891867129</v>
      </c>
      <c r="G227" s="2430">
        <f>G226*Constants!$G$35</f>
        <v>0.49310010891867129</v>
      </c>
      <c r="H227" s="2430">
        <f>H226*Constants!$G$35</f>
        <v>0.49310010891867129</v>
      </c>
      <c r="I227" s="2430">
        <f>I226*Constants!$G$35</f>
        <v>0.49310010891867129</v>
      </c>
      <c r="J227" s="2430">
        <f>J226*Constants!$G$35</f>
        <v>0.49310010891867129</v>
      </c>
      <c r="K227" s="2430">
        <f>K226*Constants!$G$35</f>
        <v>0.49310010891867129</v>
      </c>
      <c r="L227" s="2430">
        <f>L226*Constants!$G$35</f>
        <v>0.49310010891867129</v>
      </c>
      <c r="M227" s="2430">
        <f>M226*Constants!$G$35</f>
        <v>0.49310010891867129</v>
      </c>
      <c r="N227" s="2430">
        <f>N226*Constants!$G$35</f>
        <v>0.49310010891867129</v>
      </c>
      <c r="O227" s="67"/>
      <c r="P227" s="185"/>
      <c r="Q227"/>
    </row>
    <row r="228" spans="2:17" s="2" customFormat="1" ht="15.5">
      <c r="B228" s="55"/>
      <c r="C228" s="188">
        <v>6</v>
      </c>
      <c r="D228" s="189" t="s">
        <v>50</v>
      </c>
      <c r="E228" s="103" t="s">
        <v>141</v>
      </c>
      <c r="F228" s="2430">
        <f t="shared" ref="F228:N228" si="16">0.200281814193719*(1/Unit.TWh)</f>
        <v>0.20028181419371899</v>
      </c>
      <c r="G228" s="2430">
        <f t="shared" si="16"/>
        <v>0.20028181419371899</v>
      </c>
      <c r="H228" s="2430">
        <f t="shared" si="16"/>
        <v>0.20028181419371899</v>
      </c>
      <c r="I228" s="2430">
        <f t="shared" si="16"/>
        <v>0.20028181419371899</v>
      </c>
      <c r="J228" s="2430">
        <f t="shared" si="16"/>
        <v>0.20028181419371899</v>
      </c>
      <c r="K228" s="2430">
        <f t="shared" si="16"/>
        <v>0.20028181419371899</v>
      </c>
      <c r="L228" s="2430">
        <f t="shared" si="16"/>
        <v>0.20028181419371899</v>
      </c>
      <c r="M228" s="2430">
        <f t="shared" si="16"/>
        <v>0.20028181419371899</v>
      </c>
      <c r="N228" s="2430">
        <f t="shared" si="16"/>
        <v>0.20028181419371899</v>
      </c>
      <c r="O228" s="67"/>
      <c r="P228" s="185"/>
      <c r="Q228"/>
    </row>
    <row r="229" spans="2:17" s="2" customFormat="1" ht="15.5">
      <c r="B229" s="55"/>
      <c r="C229" s="188">
        <v>6</v>
      </c>
      <c r="D229" s="189" t="s">
        <v>50</v>
      </c>
      <c r="E229" s="103" t="s">
        <v>142</v>
      </c>
      <c r="F229" s="2430">
        <f>F228*Constants!$G$37</f>
        <v>0.11492502327280311</v>
      </c>
      <c r="G229" s="2430">
        <f>G228*Constants!$G$37</f>
        <v>0.11492502327280311</v>
      </c>
      <c r="H229" s="2430">
        <f>H228*Constants!$G$37</f>
        <v>0.11492502327280311</v>
      </c>
      <c r="I229" s="2430">
        <f>I228*Constants!$G$37</f>
        <v>0.11492502327280311</v>
      </c>
      <c r="J229" s="2430">
        <f>J228*Constants!$G$37</f>
        <v>0.11492502327280311</v>
      </c>
      <c r="K229" s="2430">
        <f>K228*Constants!$G$37</f>
        <v>0.11492502327280311</v>
      </c>
      <c r="L229" s="2430">
        <f>L228*Constants!$G$37</f>
        <v>0.11492502327280311</v>
      </c>
      <c r="M229" s="2430">
        <f>M228*Constants!$G$37</f>
        <v>0.11492502327280311</v>
      </c>
      <c r="N229" s="2430">
        <f>N228*Constants!$G$37</f>
        <v>0.11492502327280311</v>
      </c>
      <c r="O229" s="67"/>
      <c r="P229" s="185"/>
      <c r="Q229"/>
    </row>
    <row r="230" spans="2:17" s="2" customFormat="1" ht="15.5">
      <c r="B230" s="55"/>
      <c r="C230" s="188">
        <v>7</v>
      </c>
      <c r="D230" s="189" t="s">
        <v>51</v>
      </c>
      <c r="E230" s="103" t="s">
        <v>141</v>
      </c>
      <c r="F230" s="2430">
        <f t="shared" ref="F230:N230" si="17">0*(1/Unit.GWh)</f>
        <v>0</v>
      </c>
      <c r="G230" s="2430">
        <f t="shared" si="17"/>
        <v>0</v>
      </c>
      <c r="H230" s="2430">
        <f t="shared" si="17"/>
        <v>0</v>
      </c>
      <c r="I230" s="2430">
        <f t="shared" si="17"/>
        <v>0</v>
      </c>
      <c r="J230" s="2430">
        <f t="shared" si="17"/>
        <v>0</v>
      </c>
      <c r="K230" s="2430">
        <f t="shared" si="17"/>
        <v>0</v>
      </c>
      <c r="L230" s="2430">
        <f t="shared" si="17"/>
        <v>0</v>
      </c>
      <c r="M230" s="2430">
        <f t="shared" si="17"/>
        <v>0</v>
      </c>
      <c r="N230" s="2430">
        <f t="shared" si="17"/>
        <v>0</v>
      </c>
      <c r="O230" s="67"/>
      <c r="P230" s="185"/>
      <c r="Q230"/>
    </row>
    <row r="231" spans="2:17" s="2" customFormat="1" ht="15.5">
      <c r="B231" s="55"/>
      <c r="C231" s="188">
        <v>7</v>
      </c>
      <c r="D231" s="189" t="s">
        <v>51</v>
      </c>
      <c r="E231" s="103" t="s">
        <v>142</v>
      </c>
      <c r="F231" s="2430">
        <f>F230*Constants!$G$37</f>
        <v>0</v>
      </c>
      <c r="G231" s="2430">
        <f>G230*Constants!$G$37</f>
        <v>0</v>
      </c>
      <c r="H231" s="2430">
        <f>H230*Constants!$G$37</f>
        <v>0</v>
      </c>
      <c r="I231" s="2430">
        <f>I230*Constants!$G$37</f>
        <v>0</v>
      </c>
      <c r="J231" s="2430">
        <f>J230*Constants!$G$37</f>
        <v>0</v>
      </c>
      <c r="K231" s="2430">
        <f>K230*Constants!$G$37</f>
        <v>0</v>
      </c>
      <c r="L231" s="2430">
        <f>L230*Constants!$G$37</f>
        <v>0</v>
      </c>
      <c r="M231" s="2430">
        <f>M230*Constants!$G$37</f>
        <v>0</v>
      </c>
      <c r="N231" s="2430">
        <f>N230*Constants!$G$37</f>
        <v>0</v>
      </c>
      <c r="O231" s="67"/>
      <c r="P231" s="185"/>
      <c r="Q231"/>
    </row>
    <row r="232" spans="2:17" s="2" customFormat="1" ht="15.5">
      <c r="B232" s="55"/>
      <c r="C232" s="188">
        <v>11</v>
      </c>
      <c r="D232" s="189" t="s">
        <v>55</v>
      </c>
      <c r="E232" s="103" t="s">
        <v>141</v>
      </c>
      <c r="F232" s="2430">
        <f t="shared" ref="F232:N232" si="18">0.183142935153584*(1/Unit.TWh)</f>
        <v>0.18314293515358401</v>
      </c>
      <c r="G232" s="2430">
        <f t="shared" si="18"/>
        <v>0.18314293515358401</v>
      </c>
      <c r="H232" s="2430">
        <f t="shared" si="18"/>
        <v>0.18314293515358401</v>
      </c>
      <c r="I232" s="2430">
        <f t="shared" si="18"/>
        <v>0.18314293515358401</v>
      </c>
      <c r="J232" s="2430">
        <f t="shared" si="18"/>
        <v>0.18314293515358401</v>
      </c>
      <c r="K232" s="2430">
        <f t="shared" si="18"/>
        <v>0.18314293515358401</v>
      </c>
      <c r="L232" s="2430">
        <f t="shared" si="18"/>
        <v>0.18314293515358401</v>
      </c>
      <c r="M232" s="2430">
        <f t="shared" si="18"/>
        <v>0.18314293515358401</v>
      </c>
      <c r="N232" s="2430">
        <f t="shared" si="18"/>
        <v>0.18314293515358401</v>
      </c>
      <c r="O232" s="67"/>
      <c r="P232" s="185"/>
      <c r="Q232"/>
    </row>
    <row r="233" spans="2:17" s="2" customFormat="1" ht="15.5">
      <c r="B233" s="55"/>
      <c r="C233" s="188">
        <v>11</v>
      </c>
      <c r="D233" s="189" t="s">
        <v>55</v>
      </c>
      <c r="E233" s="103" t="s">
        <v>142</v>
      </c>
      <c r="F233" s="2430">
        <f>F232*Constants!$G$37</f>
        <v>0.10509045052096991</v>
      </c>
      <c r="G233" s="2430">
        <f>G232*Constants!$G$37</f>
        <v>0.10509045052096991</v>
      </c>
      <c r="H233" s="2430">
        <f>H232*Constants!$G$37</f>
        <v>0.10509045052096991</v>
      </c>
      <c r="I233" s="2430">
        <f>I232*Constants!$G$37</f>
        <v>0.10509045052096991</v>
      </c>
      <c r="J233" s="2430">
        <f>J232*Constants!$G$37</f>
        <v>0.10509045052096991</v>
      </c>
      <c r="K233" s="2430">
        <f>K232*Constants!$G$37</f>
        <v>0.10509045052096991</v>
      </c>
      <c r="L233" s="2430">
        <f>L232*Constants!$G$37</f>
        <v>0.10509045052096991</v>
      </c>
      <c r="M233" s="2430">
        <f>M232*Constants!$G$37</f>
        <v>0.10509045052096991</v>
      </c>
      <c r="N233" s="2430">
        <f>N232*Constants!$G$37</f>
        <v>0.10509045052096991</v>
      </c>
      <c r="O233" s="67"/>
      <c r="P233" s="185"/>
      <c r="Q233"/>
    </row>
    <row r="234" spans="2:17" s="2" customFormat="1" ht="15.5">
      <c r="B234" s="55"/>
      <c r="C234" s="188">
        <v>12</v>
      </c>
      <c r="D234" s="189" t="s">
        <v>56</v>
      </c>
      <c r="E234" s="103" t="s">
        <v>146</v>
      </c>
      <c r="F234" s="2430">
        <f t="shared" ref="F234:N234" si="19">0.714407232434977*(1/Unit.TWh)</f>
        <v>0.71440723243497695</v>
      </c>
      <c r="G234" s="2430">
        <f t="shared" si="19"/>
        <v>0.71440723243497695</v>
      </c>
      <c r="H234" s="2430">
        <f t="shared" si="19"/>
        <v>0.71440723243497695</v>
      </c>
      <c r="I234" s="2430">
        <f t="shared" si="19"/>
        <v>0.71440723243497695</v>
      </c>
      <c r="J234" s="2430">
        <f t="shared" si="19"/>
        <v>0.71440723243497695</v>
      </c>
      <c r="K234" s="2430">
        <f t="shared" si="19"/>
        <v>0.71440723243497695</v>
      </c>
      <c r="L234" s="2430">
        <f t="shared" si="19"/>
        <v>0.71440723243497695</v>
      </c>
      <c r="M234" s="2430">
        <f t="shared" si="19"/>
        <v>0.71440723243497695</v>
      </c>
      <c r="N234" s="2430">
        <f t="shared" si="19"/>
        <v>0.71440723243497695</v>
      </c>
      <c r="O234" s="67"/>
      <c r="P234" s="185"/>
      <c r="Q234"/>
    </row>
    <row r="235" spans="2:17" s="2" customFormat="1" ht="15.5">
      <c r="B235" s="55"/>
      <c r="C235" s="192">
        <v>12</v>
      </c>
      <c r="D235" s="193" t="s">
        <v>56</v>
      </c>
      <c r="E235" s="194" t="s">
        <v>147</v>
      </c>
      <c r="F235" s="3809">
        <f>F234*Constants!$G$35</f>
        <v>0.54927113326834454</v>
      </c>
      <c r="G235" s="3809">
        <f>G234*Constants!$G$35</f>
        <v>0.54927113326834454</v>
      </c>
      <c r="H235" s="3809">
        <f>H234*Constants!$G$35</f>
        <v>0.54927113326834454</v>
      </c>
      <c r="I235" s="3809">
        <f>I234*Constants!$G$35</f>
        <v>0.54927113326834454</v>
      </c>
      <c r="J235" s="3809">
        <f>J234*Constants!$G$35</f>
        <v>0.54927113326834454</v>
      </c>
      <c r="K235" s="3809">
        <f>K234*Constants!$G$35</f>
        <v>0.54927113326834454</v>
      </c>
      <c r="L235" s="3809">
        <f>L234*Constants!$G$35</f>
        <v>0.54927113326834454</v>
      </c>
      <c r="M235" s="3809">
        <f>M234*Constants!$G$35</f>
        <v>0.54927113326834454</v>
      </c>
      <c r="N235" s="3809">
        <f>N234*Constants!$G$35</f>
        <v>0.54927113326834454</v>
      </c>
      <c r="O235" s="67"/>
      <c r="P235" s="185"/>
      <c r="Q235"/>
    </row>
    <row r="236" spans="2:17" s="2" customFormat="1" ht="15.5">
      <c r="B236" s="55"/>
      <c r="C236" s="166"/>
      <c r="D236" s="166"/>
      <c r="E236" s="57"/>
      <c r="F236" s="3376"/>
      <c r="G236" s="184"/>
      <c r="H236" s="184"/>
      <c r="I236" s="184"/>
      <c r="J236" s="184"/>
      <c r="K236" s="184"/>
      <c r="L236" s="184"/>
      <c r="M236" s="184"/>
      <c r="N236" s="184"/>
      <c r="O236" s="67"/>
      <c r="P236" s="185"/>
      <c r="Q236"/>
    </row>
    <row r="237" spans="2:17" s="2" customFormat="1" ht="15.5">
      <c r="B237" s="55"/>
      <c r="C237" s="186" t="s">
        <v>149</v>
      </c>
      <c r="D237" s="166"/>
      <c r="E237" s="57"/>
      <c r="F237" s="3376"/>
      <c r="G237" s="184"/>
      <c r="H237" s="184"/>
      <c r="I237" s="184"/>
      <c r="J237" s="184"/>
      <c r="K237" s="184"/>
      <c r="L237" s="184"/>
      <c r="M237" s="184"/>
      <c r="N237" s="187" t="str">
        <f>"kt/"&amp;Preferences.EnergyUnits</f>
        <v>kt/TWh</v>
      </c>
      <c r="O237" s="67"/>
      <c r="P237" s="185"/>
      <c r="Q237"/>
    </row>
    <row r="238" spans="2:17" s="2" customFormat="1" ht="15.5">
      <c r="B238" s="55"/>
      <c r="C238" s="186"/>
      <c r="D238" s="166"/>
      <c r="E238" s="57"/>
      <c r="F238" s="3376"/>
      <c r="G238" s="184"/>
      <c r="H238" s="184"/>
      <c r="I238" s="184"/>
      <c r="J238" s="184"/>
      <c r="K238" s="184"/>
      <c r="L238" s="184"/>
      <c r="M238" s="184"/>
      <c r="N238" s="184"/>
      <c r="O238" s="67"/>
      <c r="P238" s="185"/>
      <c r="Q238"/>
    </row>
    <row r="239" spans="2:17" s="2" customFormat="1" ht="15.5">
      <c r="B239" s="55"/>
      <c r="C239" s="52" t="s">
        <v>43</v>
      </c>
      <c r="D239" s="52" t="s">
        <v>130</v>
      </c>
      <c r="E239" s="52" t="s">
        <v>131</v>
      </c>
      <c r="F239" s="144">
        <v>2013</v>
      </c>
      <c r="G239" s="53" t="s">
        <v>132</v>
      </c>
      <c r="H239" s="53" t="s">
        <v>133</v>
      </c>
      <c r="I239" s="53" t="s">
        <v>134</v>
      </c>
      <c r="J239" s="53" t="s">
        <v>135</v>
      </c>
      <c r="K239" s="53" t="s">
        <v>136</v>
      </c>
      <c r="L239" s="53" t="s">
        <v>137</v>
      </c>
      <c r="M239" s="53" t="s">
        <v>138</v>
      </c>
      <c r="N239" s="53" t="s">
        <v>139</v>
      </c>
      <c r="O239" s="67"/>
      <c r="P239" s="185"/>
      <c r="Q239"/>
    </row>
    <row r="240" spans="2:17" s="2" customFormat="1" ht="15.5">
      <c r="B240" s="55"/>
      <c r="C240" s="188">
        <v>1</v>
      </c>
      <c r="D240" s="189" t="s">
        <v>140</v>
      </c>
      <c r="E240" s="103" t="s">
        <v>141</v>
      </c>
      <c r="F240" s="2430">
        <f t="shared" ref="F240:N242" si="20">0*(1/Unit.GWh)</f>
        <v>0</v>
      </c>
      <c r="G240" s="2430">
        <f t="shared" si="20"/>
        <v>0</v>
      </c>
      <c r="H240" s="2430">
        <f t="shared" si="20"/>
        <v>0</v>
      </c>
      <c r="I240" s="2430">
        <f t="shared" si="20"/>
        <v>0</v>
      </c>
      <c r="J240" s="2430">
        <f t="shared" si="20"/>
        <v>0</v>
      </c>
      <c r="K240" s="2430">
        <f t="shared" si="20"/>
        <v>0</v>
      </c>
      <c r="L240" s="2430">
        <f t="shared" si="20"/>
        <v>0</v>
      </c>
      <c r="M240" s="2430">
        <f t="shared" si="20"/>
        <v>0</v>
      </c>
      <c r="N240" s="2430">
        <f t="shared" si="20"/>
        <v>0</v>
      </c>
      <c r="O240" s="67"/>
      <c r="P240" s="185"/>
      <c r="Q240"/>
    </row>
    <row r="241" spans="2:17" s="2" customFormat="1" ht="15.5">
      <c r="B241" s="55"/>
      <c r="C241" s="188">
        <v>1</v>
      </c>
      <c r="D241" s="189" t="s">
        <v>140</v>
      </c>
      <c r="E241" s="103" t="s">
        <v>142</v>
      </c>
      <c r="F241" s="2430">
        <f>F240*Constants!$H$37</f>
        <v>0</v>
      </c>
      <c r="G241" s="2430">
        <f>G240*Constants!$H$37</f>
        <v>0</v>
      </c>
      <c r="H241" s="2430">
        <f>H240*Constants!$H$37</f>
        <v>0</v>
      </c>
      <c r="I241" s="2430">
        <f>I240*Constants!$H$37</f>
        <v>0</v>
      </c>
      <c r="J241" s="2430">
        <f>J240*Constants!$H$37</f>
        <v>0</v>
      </c>
      <c r="K241" s="2430">
        <f>K240*Constants!$H$37</f>
        <v>0</v>
      </c>
      <c r="L241" s="2430">
        <f>L240*Constants!$H$37</f>
        <v>0</v>
      </c>
      <c r="M241" s="2430">
        <f>M240*Constants!$H$37</f>
        <v>0</v>
      </c>
      <c r="N241" s="2430">
        <f>N240*Constants!$H$37</f>
        <v>0</v>
      </c>
      <c r="O241" s="67"/>
      <c r="P241" s="185"/>
      <c r="Q241"/>
    </row>
    <row r="242" spans="2:17" s="2" customFormat="1" ht="15.5">
      <c r="B242" s="55"/>
      <c r="C242" s="188">
        <v>2</v>
      </c>
      <c r="D242" s="189" t="s">
        <v>143</v>
      </c>
      <c r="E242" s="103" t="s">
        <v>141</v>
      </c>
      <c r="F242" s="2430">
        <f t="shared" si="20"/>
        <v>0</v>
      </c>
      <c r="G242" s="2430">
        <f t="shared" si="20"/>
        <v>0</v>
      </c>
      <c r="H242" s="2430">
        <f t="shared" si="20"/>
        <v>0</v>
      </c>
      <c r="I242" s="2430">
        <f t="shared" si="20"/>
        <v>0</v>
      </c>
      <c r="J242" s="2430">
        <f t="shared" si="20"/>
        <v>0</v>
      </c>
      <c r="K242" s="2430">
        <f t="shared" si="20"/>
        <v>0</v>
      </c>
      <c r="L242" s="2430">
        <f t="shared" si="20"/>
        <v>0</v>
      </c>
      <c r="M242" s="2430">
        <f t="shared" si="20"/>
        <v>0</v>
      </c>
      <c r="N242" s="2430">
        <f t="shared" si="20"/>
        <v>0</v>
      </c>
      <c r="O242" s="67"/>
      <c r="P242" s="185"/>
      <c r="Q242"/>
    </row>
    <row r="243" spans="2:17" s="2" customFormat="1" ht="15.5">
      <c r="B243" s="55"/>
      <c r="C243" s="188">
        <v>2</v>
      </c>
      <c r="D243" s="189" t="s">
        <v>143</v>
      </c>
      <c r="E243" s="103" t="s">
        <v>142</v>
      </c>
      <c r="F243" s="2430">
        <f>F242*Constants!$H$37</f>
        <v>0</v>
      </c>
      <c r="G243" s="2430">
        <f>G242*Constants!$H$37</f>
        <v>0</v>
      </c>
      <c r="H243" s="2430">
        <f>H242*Constants!$H$37</f>
        <v>0</v>
      </c>
      <c r="I243" s="2430">
        <f>I242*Constants!$H$37</f>
        <v>0</v>
      </c>
      <c r="J243" s="2430">
        <f>J242*Constants!$H$37</f>
        <v>0</v>
      </c>
      <c r="K243" s="2430">
        <f>K242*Constants!$H$37</f>
        <v>0</v>
      </c>
      <c r="L243" s="2430">
        <f>L242*Constants!$H$37</f>
        <v>0</v>
      </c>
      <c r="M243" s="2430">
        <f>M242*Constants!$H$37</f>
        <v>0</v>
      </c>
      <c r="N243" s="2430">
        <f>N242*Constants!$H$37</f>
        <v>0</v>
      </c>
      <c r="O243" s="67"/>
      <c r="P243" s="185"/>
      <c r="Q243"/>
    </row>
    <row r="244" spans="2:17" s="2" customFormat="1" ht="15.5">
      <c r="B244" s="55"/>
      <c r="C244" s="188">
        <v>4</v>
      </c>
      <c r="D244" s="189" t="s">
        <v>48</v>
      </c>
      <c r="E244" s="103" t="s">
        <v>144</v>
      </c>
      <c r="F244" s="2430">
        <f t="shared" ref="F244:N244" si="21">0.808362521107038*(1/Unit.TWh)</f>
        <v>0.80836252110703799</v>
      </c>
      <c r="G244" s="2430">
        <f t="shared" si="21"/>
        <v>0.80836252110703799</v>
      </c>
      <c r="H244" s="2430">
        <f t="shared" si="21"/>
        <v>0.80836252110703799</v>
      </c>
      <c r="I244" s="2430">
        <f t="shared" si="21"/>
        <v>0.80836252110703799</v>
      </c>
      <c r="J244" s="2430">
        <f t="shared" si="21"/>
        <v>0.80836252110703799</v>
      </c>
      <c r="K244" s="2430">
        <f t="shared" si="21"/>
        <v>0.80836252110703799</v>
      </c>
      <c r="L244" s="2430">
        <f t="shared" si="21"/>
        <v>0.80836252110703799</v>
      </c>
      <c r="M244" s="2430">
        <f t="shared" si="21"/>
        <v>0.80836252110703799</v>
      </c>
      <c r="N244" s="2430">
        <f t="shared" si="21"/>
        <v>0.80836252110703799</v>
      </c>
      <c r="O244" s="67"/>
      <c r="P244" s="185"/>
      <c r="Q244"/>
    </row>
    <row r="245" spans="2:17" s="2" customFormat="1" ht="15.5">
      <c r="B245" s="55"/>
      <c r="C245" s="188">
        <v>4</v>
      </c>
      <c r="D245" s="189" t="s">
        <v>48</v>
      </c>
      <c r="E245" s="103" t="s">
        <v>145</v>
      </c>
      <c r="F245" s="2430">
        <f>F244*Constants!$H$36</f>
        <v>1.0561376649987171E-2</v>
      </c>
      <c r="G245" s="2430">
        <f>G244*Constants!$H$36</f>
        <v>1.0561376649987171E-2</v>
      </c>
      <c r="H245" s="2430">
        <f>H244*Constants!$H$36</f>
        <v>1.0561376649987171E-2</v>
      </c>
      <c r="I245" s="2430">
        <f>I244*Constants!$H$36</f>
        <v>1.0561376649987171E-2</v>
      </c>
      <c r="J245" s="2430">
        <f>J244*Constants!$H$36</f>
        <v>1.0561376649987171E-2</v>
      </c>
      <c r="K245" s="2430">
        <f>K244*Constants!$H$36</f>
        <v>1.0561376649987171E-2</v>
      </c>
      <c r="L245" s="2430">
        <f>L244*Constants!$H$36</f>
        <v>1.0561376649987171E-2</v>
      </c>
      <c r="M245" s="2430">
        <f>M244*Constants!$H$36</f>
        <v>1.0561376649987171E-2</v>
      </c>
      <c r="N245" s="2430">
        <f>N244*Constants!$H$36</f>
        <v>1.0561376649987171E-2</v>
      </c>
      <c r="O245" s="67"/>
      <c r="P245" s="185"/>
      <c r="Q245"/>
    </row>
    <row r="246" spans="2:17" s="2" customFormat="1" ht="15.5">
      <c r="B246" s="55"/>
      <c r="C246" s="188">
        <v>5</v>
      </c>
      <c r="D246" s="189" t="s">
        <v>49</v>
      </c>
      <c r="E246" s="103" t="s">
        <v>146</v>
      </c>
      <c r="F246" s="2430">
        <f t="shared" ref="F246:N246" si="22">2.40023223873546*(1/Unit.TWh)</f>
        <v>2.4002322387354602</v>
      </c>
      <c r="G246" s="2430">
        <f t="shared" si="22"/>
        <v>2.4002322387354602</v>
      </c>
      <c r="H246" s="2430">
        <f t="shared" si="22"/>
        <v>2.4002322387354602</v>
      </c>
      <c r="I246" s="2430">
        <f t="shared" si="22"/>
        <v>2.4002322387354602</v>
      </c>
      <c r="J246" s="2430">
        <f t="shared" si="22"/>
        <v>2.4002322387354602</v>
      </c>
      <c r="K246" s="2430">
        <f t="shared" si="22"/>
        <v>2.4002322387354602</v>
      </c>
      <c r="L246" s="2430">
        <f t="shared" si="22"/>
        <v>2.4002322387354602</v>
      </c>
      <c r="M246" s="2430">
        <f t="shared" si="22"/>
        <v>2.4002322387354602</v>
      </c>
      <c r="N246" s="2430">
        <f t="shared" si="22"/>
        <v>2.4002322387354602</v>
      </c>
      <c r="O246" s="67"/>
      <c r="P246" s="185"/>
      <c r="Q246"/>
    </row>
    <row r="247" spans="2:17" s="2" customFormat="1" ht="15.5">
      <c r="B247" s="55"/>
      <c r="C247" s="188">
        <v>5</v>
      </c>
      <c r="D247" s="189" t="s">
        <v>49</v>
      </c>
      <c r="E247" s="103" t="s">
        <v>147</v>
      </c>
      <c r="F247" s="2430">
        <f>F246*Constants!$H$35</f>
        <v>2.7947883198018216E-2</v>
      </c>
      <c r="G247" s="2430">
        <f>G246*Constants!$H$35</f>
        <v>2.7947883198018216E-2</v>
      </c>
      <c r="H247" s="2430">
        <f>H246*Constants!$H$35</f>
        <v>2.7947883198018216E-2</v>
      </c>
      <c r="I247" s="2430">
        <f>I246*Constants!$H$35</f>
        <v>2.7947883198018216E-2</v>
      </c>
      <c r="J247" s="2430">
        <f>J246*Constants!$H$35</f>
        <v>2.7947883198018216E-2</v>
      </c>
      <c r="K247" s="2430">
        <f>K246*Constants!$H$35</f>
        <v>2.7947883198018216E-2</v>
      </c>
      <c r="L247" s="2430">
        <f>L246*Constants!$H$35</f>
        <v>2.7947883198018216E-2</v>
      </c>
      <c r="M247" s="2430">
        <f>M246*Constants!$H$35</f>
        <v>2.7947883198018216E-2</v>
      </c>
      <c r="N247" s="2430">
        <f>N246*Constants!$H$35</f>
        <v>2.7947883198018216E-2</v>
      </c>
      <c r="O247" s="67"/>
      <c r="P247" s="185"/>
      <c r="Q247"/>
    </row>
    <row r="248" spans="2:17" s="2" customFormat="1" ht="15.5">
      <c r="B248" s="55"/>
      <c r="C248" s="188">
        <v>6</v>
      </c>
      <c r="D248" s="189" t="s">
        <v>50</v>
      </c>
      <c r="E248" s="103" t="s">
        <v>141</v>
      </c>
      <c r="F248" s="2430">
        <f t="shared" ref="F248:N252" si="23">0*(1/Unit.GWh)</f>
        <v>0</v>
      </c>
      <c r="G248" s="2430">
        <f t="shared" si="23"/>
        <v>0</v>
      </c>
      <c r="H248" s="2430">
        <f t="shared" si="23"/>
        <v>0</v>
      </c>
      <c r="I248" s="2430">
        <f t="shared" si="23"/>
        <v>0</v>
      </c>
      <c r="J248" s="2430">
        <f t="shared" si="23"/>
        <v>0</v>
      </c>
      <c r="K248" s="2430">
        <f t="shared" si="23"/>
        <v>0</v>
      </c>
      <c r="L248" s="2430">
        <f t="shared" si="23"/>
        <v>0</v>
      </c>
      <c r="M248" s="2430">
        <f t="shared" si="23"/>
        <v>0</v>
      </c>
      <c r="N248" s="2430">
        <f t="shared" si="23"/>
        <v>0</v>
      </c>
      <c r="O248" s="67"/>
      <c r="P248" s="185"/>
      <c r="Q248"/>
    </row>
    <row r="249" spans="2:17" s="2" customFormat="1" ht="15.5">
      <c r="B249" s="55"/>
      <c r="C249" s="188">
        <v>6</v>
      </c>
      <c r="D249" s="189" t="s">
        <v>50</v>
      </c>
      <c r="E249" s="103" t="s">
        <v>142</v>
      </c>
      <c r="F249" s="2430">
        <f>F248*Constants!$H$37</f>
        <v>0</v>
      </c>
      <c r="G249" s="2430">
        <f>G248*Constants!$H$37</f>
        <v>0</v>
      </c>
      <c r="H249" s="2430">
        <f>H248*Constants!$H$37</f>
        <v>0</v>
      </c>
      <c r="I249" s="2430">
        <f>I248*Constants!$H$37</f>
        <v>0</v>
      </c>
      <c r="J249" s="2430">
        <f>J248*Constants!$H$37</f>
        <v>0</v>
      </c>
      <c r="K249" s="2430">
        <f>K248*Constants!$H$37</f>
        <v>0</v>
      </c>
      <c r="L249" s="2430">
        <f>L248*Constants!$H$37</f>
        <v>0</v>
      </c>
      <c r="M249" s="2430">
        <f>M248*Constants!$H$37</f>
        <v>0</v>
      </c>
      <c r="N249" s="2430">
        <f>N248*Constants!$H$37</f>
        <v>0</v>
      </c>
      <c r="O249" s="67"/>
      <c r="P249" s="185"/>
      <c r="Q249"/>
    </row>
    <row r="250" spans="2:17" s="2" customFormat="1" ht="15.5">
      <c r="B250" s="55"/>
      <c r="C250" s="188">
        <v>7</v>
      </c>
      <c r="D250" s="189" t="s">
        <v>51</v>
      </c>
      <c r="E250" s="103" t="s">
        <v>141</v>
      </c>
      <c r="F250" s="2430">
        <f t="shared" si="23"/>
        <v>0</v>
      </c>
      <c r="G250" s="2430">
        <f t="shared" si="23"/>
        <v>0</v>
      </c>
      <c r="H250" s="2430">
        <f t="shared" si="23"/>
        <v>0</v>
      </c>
      <c r="I250" s="2430">
        <f t="shared" si="23"/>
        <v>0</v>
      </c>
      <c r="J250" s="2430">
        <f t="shared" si="23"/>
        <v>0</v>
      </c>
      <c r="K250" s="2430">
        <f t="shared" si="23"/>
        <v>0</v>
      </c>
      <c r="L250" s="2430">
        <f t="shared" si="23"/>
        <v>0</v>
      </c>
      <c r="M250" s="2430">
        <f t="shared" si="23"/>
        <v>0</v>
      </c>
      <c r="N250" s="2430">
        <f t="shared" si="23"/>
        <v>0</v>
      </c>
      <c r="O250" s="67"/>
      <c r="P250" s="185"/>
      <c r="Q250"/>
    </row>
    <row r="251" spans="2:17" s="2" customFormat="1" ht="15.5">
      <c r="B251" s="55"/>
      <c r="C251" s="188">
        <v>7</v>
      </c>
      <c r="D251" s="189" t="s">
        <v>51</v>
      </c>
      <c r="E251" s="103" t="s">
        <v>142</v>
      </c>
      <c r="F251" s="2430">
        <f>F250*Constants!$H$37</f>
        <v>0</v>
      </c>
      <c r="G251" s="2430">
        <f>G250*Constants!$H$37</f>
        <v>0</v>
      </c>
      <c r="H251" s="2430">
        <f>H250*Constants!$H$37</f>
        <v>0</v>
      </c>
      <c r="I251" s="2430">
        <f>I250*Constants!$H$37</f>
        <v>0</v>
      </c>
      <c r="J251" s="2430">
        <f>J250*Constants!$H$37</f>
        <v>0</v>
      </c>
      <c r="K251" s="2430">
        <f>K250*Constants!$H$37</f>
        <v>0</v>
      </c>
      <c r="L251" s="2430">
        <f>L250*Constants!$H$37</f>
        <v>0</v>
      </c>
      <c r="M251" s="2430">
        <f>M250*Constants!$H$37</f>
        <v>0</v>
      </c>
      <c r="N251" s="2430">
        <f>N250*Constants!$H$37</f>
        <v>0</v>
      </c>
      <c r="O251" s="67"/>
      <c r="P251" s="185"/>
      <c r="Q251"/>
    </row>
    <row r="252" spans="2:17" s="2" customFormat="1" ht="15.5">
      <c r="B252" s="55"/>
      <c r="C252" s="188">
        <v>11</v>
      </c>
      <c r="D252" s="189" t="s">
        <v>55</v>
      </c>
      <c r="E252" s="103" t="s">
        <v>141</v>
      </c>
      <c r="F252" s="2430">
        <f t="shared" si="23"/>
        <v>0</v>
      </c>
      <c r="G252" s="2430">
        <f t="shared" si="23"/>
        <v>0</v>
      </c>
      <c r="H252" s="2430">
        <f t="shared" si="23"/>
        <v>0</v>
      </c>
      <c r="I252" s="2430">
        <f t="shared" si="23"/>
        <v>0</v>
      </c>
      <c r="J252" s="2430">
        <f t="shared" si="23"/>
        <v>0</v>
      </c>
      <c r="K252" s="2430">
        <f t="shared" si="23"/>
        <v>0</v>
      </c>
      <c r="L252" s="2430">
        <f t="shared" si="23"/>
        <v>0</v>
      </c>
      <c r="M252" s="2430">
        <f t="shared" si="23"/>
        <v>0</v>
      </c>
      <c r="N252" s="2430">
        <f t="shared" si="23"/>
        <v>0</v>
      </c>
      <c r="O252" s="67"/>
      <c r="P252" s="185"/>
      <c r="Q252"/>
    </row>
    <row r="253" spans="2:17" s="2" customFormat="1" ht="15.5">
      <c r="B253" s="55"/>
      <c r="C253" s="188">
        <v>11</v>
      </c>
      <c r="D253" s="189" t="s">
        <v>55</v>
      </c>
      <c r="E253" s="103" t="s">
        <v>142</v>
      </c>
      <c r="F253" s="2430">
        <f>F252*Constants!$H$37</f>
        <v>0</v>
      </c>
      <c r="G253" s="2430">
        <f>G252*Constants!$H$37</f>
        <v>0</v>
      </c>
      <c r="H253" s="2430">
        <f>H252*Constants!$H$37</f>
        <v>0</v>
      </c>
      <c r="I253" s="2430">
        <f>I252*Constants!$H$37</f>
        <v>0</v>
      </c>
      <c r="J253" s="2430">
        <f>J252*Constants!$H$37</f>
        <v>0</v>
      </c>
      <c r="K253" s="2430">
        <f>K252*Constants!$H$37</f>
        <v>0</v>
      </c>
      <c r="L253" s="2430">
        <f>L252*Constants!$H$37</f>
        <v>0</v>
      </c>
      <c r="M253" s="2430">
        <f>M252*Constants!$H$37</f>
        <v>0</v>
      </c>
      <c r="N253" s="2430">
        <f>N252*Constants!$H$37</f>
        <v>0</v>
      </c>
      <c r="O253" s="67"/>
      <c r="P253" s="185"/>
      <c r="Q253"/>
    </row>
    <row r="254" spans="2:17" s="2" customFormat="1" ht="15.5">
      <c r="B254" s="55"/>
      <c r="C254" s="188">
        <v>12</v>
      </c>
      <c r="D254" s="189" t="s">
        <v>56</v>
      </c>
      <c r="E254" s="103" t="s">
        <v>146</v>
      </c>
      <c r="F254" s="2430">
        <f t="shared" ref="F254:N254" si="24">2.40023223873546*(1/Unit.TWh)</f>
        <v>2.4002322387354602</v>
      </c>
      <c r="G254" s="2430">
        <f t="shared" si="24"/>
        <v>2.4002322387354602</v>
      </c>
      <c r="H254" s="2430">
        <f t="shared" si="24"/>
        <v>2.4002322387354602</v>
      </c>
      <c r="I254" s="2430">
        <f t="shared" si="24"/>
        <v>2.4002322387354602</v>
      </c>
      <c r="J254" s="2430">
        <f t="shared" si="24"/>
        <v>2.4002322387354602</v>
      </c>
      <c r="K254" s="2430">
        <f t="shared" si="24"/>
        <v>2.4002322387354602</v>
      </c>
      <c r="L254" s="2430">
        <f t="shared" si="24"/>
        <v>2.4002322387354602</v>
      </c>
      <c r="M254" s="2430">
        <f t="shared" si="24"/>
        <v>2.4002322387354602</v>
      </c>
      <c r="N254" s="2430">
        <f t="shared" si="24"/>
        <v>2.4002322387354602</v>
      </c>
      <c r="O254" s="67"/>
      <c r="P254" s="185"/>
      <c r="Q254"/>
    </row>
    <row r="255" spans="2:17" s="2" customFormat="1" ht="15.5">
      <c r="B255" s="55"/>
      <c r="C255" s="192">
        <v>12</v>
      </c>
      <c r="D255" s="193" t="s">
        <v>56</v>
      </c>
      <c r="E255" s="194" t="s">
        <v>147</v>
      </c>
      <c r="F255" s="3809">
        <f>F254*Constants!$H$35</f>
        <v>2.7947883198018216E-2</v>
      </c>
      <c r="G255" s="3809">
        <f>G254*Constants!$H$35</f>
        <v>2.7947883198018216E-2</v>
      </c>
      <c r="H255" s="3809">
        <f>H254*Constants!$H$35</f>
        <v>2.7947883198018216E-2</v>
      </c>
      <c r="I255" s="3809">
        <f>I254*Constants!$H$35</f>
        <v>2.7947883198018216E-2</v>
      </c>
      <c r="J255" s="3809">
        <f>J254*Constants!$H$35</f>
        <v>2.7947883198018216E-2</v>
      </c>
      <c r="K255" s="3809">
        <f>K254*Constants!$H$35</f>
        <v>2.7947883198018216E-2</v>
      </c>
      <c r="L255" s="3809">
        <f>L254*Constants!$H$35</f>
        <v>2.7947883198018216E-2</v>
      </c>
      <c r="M255" s="3809">
        <f>M254*Constants!$H$35</f>
        <v>2.7947883198018216E-2</v>
      </c>
      <c r="N255" s="3809">
        <f>N254*Constants!$H$35</f>
        <v>2.7947883198018216E-2</v>
      </c>
      <c r="O255" s="67"/>
      <c r="P255" s="185"/>
      <c r="Q255"/>
    </row>
    <row r="256" spans="2:17" s="2" customFormat="1" ht="15.5">
      <c r="B256" s="55"/>
      <c r="C256" s="166"/>
      <c r="D256" s="166"/>
      <c r="E256" s="57"/>
      <c r="F256" s="3376"/>
      <c r="G256" s="184"/>
      <c r="H256" s="184"/>
      <c r="I256" s="184"/>
      <c r="J256" s="184"/>
      <c r="K256" s="184"/>
      <c r="L256" s="184"/>
      <c r="M256" s="184"/>
      <c r="N256" s="184"/>
      <c r="O256" s="67"/>
      <c r="P256" s="185"/>
      <c r="Q256"/>
    </row>
    <row r="257" spans="2:17" s="2" customFormat="1" ht="15.5">
      <c r="B257" s="55"/>
      <c r="C257" s="186" t="s">
        <v>150</v>
      </c>
      <c r="D257" s="166"/>
      <c r="E257" s="57"/>
      <c r="F257" s="3376"/>
      <c r="G257" s="184"/>
      <c r="H257" s="184"/>
      <c r="I257" s="184"/>
      <c r="J257" s="184"/>
      <c r="K257" s="184"/>
      <c r="L257" s="184"/>
      <c r="M257" s="184"/>
      <c r="N257" s="187" t="str">
        <f>"kt/"&amp;Preferences.EnergyUnits</f>
        <v>kt/TWh</v>
      </c>
      <c r="O257" s="67"/>
      <c r="P257" s="185"/>
      <c r="Q257"/>
    </row>
    <row r="258" spans="2:17" s="2" customFormat="1" ht="15.5">
      <c r="B258" s="55"/>
      <c r="C258" s="186"/>
      <c r="D258" s="166"/>
      <c r="E258" s="57"/>
      <c r="F258" s="3376"/>
      <c r="G258" s="184"/>
      <c r="H258" s="184"/>
      <c r="I258" s="184"/>
      <c r="J258" s="184"/>
      <c r="K258" s="184"/>
      <c r="L258" s="184"/>
      <c r="M258" s="184"/>
      <c r="N258" s="184"/>
      <c r="O258" s="67"/>
      <c r="P258" s="185"/>
      <c r="Q258"/>
    </row>
    <row r="259" spans="2:17" s="2" customFormat="1" ht="15.5">
      <c r="B259" s="55"/>
      <c r="C259" s="52" t="s">
        <v>43</v>
      </c>
      <c r="D259" s="52" t="s">
        <v>130</v>
      </c>
      <c r="E259" s="52" t="s">
        <v>131</v>
      </c>
      <c r="F259" s="144">
        <v>2013</v>
      </c>
      <c r="G259" s="53" t="s">
        <v>132</v>
      </c>
      <c r="H259" s="53" t="s">
        <v>133</v>
      </c>
      <c r="I259" s="53" t="s">
        <v>134</v>
      </c>
      <c r="J259" s="53" t="s">
        <v>135</v>
      </c>
      <c r="K259" s="53" t="s">
        <v>136</v>
      </c>
      <c r="L259" s="53" t="s">
        <v>137</v>
      </c>
      <c r="M259" s="53" t="s">
        <v>138</v>
      </c>
      <c r="N259" s="53" t="s">
        <v>139</v>
      </c>
      <c r="O259" s="67"/>
      <c r="P259" s="185"/>
      <c r="Q259"/>
    </row>
    <row r="260" spans="2:17" s="2" customFormat="1" ht="15.5">
      <c r="B260" s="55"/>
      <c r="C260" s="188">
        <v>1</v>
      </c>
      <c r="D260" s="189" t="s">
        <v>140</v>
      </c>
      <c r="E260" s="103" t="s">
        <v>141</v>
      </c>
      <c r="F260" s="2430">
        <f t="shared" ref="F260:N260" si="25">0.00802071964139672*(1/Unit.TWh)</f>
        <v>8.0207196413967195E-3</v>
      </c>
      <c r="G260" s="2430">
        <f t="shared" si="25"/>
        <v>8.0207196413967195E-3</v>
      </c>
      <c r="H260" s="2430">
        <f t="shared" si="25"/>
        <v>8.0207196413967195E-3</v>
      </c>
      <c r="I260" s="2430">
        <f t="shared" si="25"/>
        <v>8.0207196413967195E-3</v>
      </c>
      <c r="J260" s="2430">
        <f t="shared" si="25"/>
        <v>8.0207196413967195E-3</v>
      </c>
      <c r="K260" s="2430">
        <f t="shared" si="25"/>
        <v>8.0207196413967195E-3</v>
      </c>
      <c r="L260" s="2430">
        <f t="shared" si="25"/>
        <v>8.0207196413967195E-3</v>
      </c>
      <c r="M260" s="2430">
        <f t="shared" si="25"/>
        <v>8.0207196413967195E-3</v>
      </c>
      <c r="N260" s="2430">
        <f t="shared" si="25"/>
        <v>8.0207196413967195E-3</v>
      </c>
      <c r="O260" s="67"/>
      <c r="P260" s="185"/>
      <c r="Q260"/>
    </row>
    <row r="261" spans="2:17" s="2" customFormat="1" ht="15.5">
      <c r="B261" s="55"/>
      <c r="C261" s="188">
        <v>1</v>
      </c>
      <c r="D261" s="189" t="s">
        <v>140</v>
      </c>
      <c r="E261" s="103" t="s">
        <v>142</v>
      </c>
      <c r="F261" s="2430">
        <f>F260*Constants!$I$37</f>
        <v>1.3055577325261421E-2</v>
      </c>
      <c r="G261" s="2430">
        <f>G260*Constants!$I$37</f>
        <v>1.3055577325261421E-2</v>
      </c>
      <c r="H261" s="2430">
        <f>H260*Constants!$I$37</f>
        <v>1.3055577325261421E-2</v>
      </c>
      <c r="I261" s="2430">
        <f>I260*Constants!$I$37</f>
        <v>1.3055577325261421E-2</v>
      </c>
      <c r="J261" s="2430">
        <f>J260*Constants!$I$37</f>
        <v>1.3055577325261421E-2</v>
      </c>
      <c r="K261" s="2430">
        <f>K260*Constants!$I$37</f>
        <v>1.3055577325261421E-2</v>
      </c>
      <c r="L261" s="2430">
        <f>L260*Constants!$I$37</f>
        <v>1.3055577325261421E-2</v>
      </c>
      <c r="M261" s="2430">
        <f>M260*Constants!$I$37</f>
        <v>1.3055577325261421E-2</v>
      </c>
      <c r="N261" s="2430">
        <f>N260*Constants!$I$37</f>
        <v>1.3055577325261421E-2</v>
      </c>
      <c r="O261" s="67"/>
      <c r="P261" s="185"/>
      <c r="Q261"/>
    </row>
    <row r="262" spans="2:17" s="2" customFormat="1" ht="15.5">
      <c r="B262" s="55"/>
      <c r="C262" s="188">
        <v>2</v>
      </c>
      <c r="D262" s="189" t="s">
        <v>143</v>
      </c>
      <c r="E262" s="103" t="s">
        <v>141</v>
      </c>
      <c r="F262" s="2430">
        <f t="shared" ref="F262:N262" si="26">0.00802071964139672*(1/Unit.TWh)</f>
        <v>8.0207196413967195E-3</v>
      </c>
      <c r="G262" s="2430">
        <f t="shared" si="26"/>
        <v>8.0207196413967195E-3</v>
      </c>
      <c r="H262" s="2430">
        <f t="shared" si="26"/>
        <v>8.0207196413967195E-3</v>
      </c>
      <c r="I262" s="2430">
        <f t="shared" si="26"/>
        <v>8.0207196413967195E-3</v>
      </c>
      <c r="J262" s="2430">
        <f t="shared" si="26"/>
        <v>8.0207196413967195E-3</v>
      </c>
      <c r="K262" s="2430">
        <f t="shared" si="26"/>
        <v>8.0207196413967195E-3</v>
      </c>
      <c r="L262" s="2430">
        <f t="shared" si="26"/>
        <v>8.0207196413967195E-3</v>
      </c>
      <c r="M262" s="2430">
        <f t="shared" si="26"/>
        <v>8.0207196413967195E-3</v>
      </c>
      <c r="N262" s="2430">
        <f t="shared" si="26"/>
        <v>8.0207196413967195E-3</v>
      </c>
      <c r="O262" s="67"/>
      <c r="P262" s="185"/>
      <c r="Q262"/>
    </row>
    <row r="263" spans="2:17" s="2" customFormat="1" ht="15.5">
      <c r="B263" s="55"/>
      <c r="C263" s="188">
        <v>2</v>
      </c>
      <c r="D263" s="189" t="s">
        <v>143</v>
      </c>
      <c r="E263" s="103" t="s">
        <v>142</v>
      </c>
      <c r="F263" s="2430">
        <f>F262*Constants!$I$37</f>
        <v>1.3055577325261421E-2</v>
      </c>
      <c r="G263" s="2430">
        <f>G262*Constants!$I$37</f>
        <v>1.3055577325261421E-2</v>
      </c>
      <c r="H263" s="2430">
        <f>H262*Constants!$I$37</f>
        <v>1.3055577325261421E-2</v>
      </c>
      <c r="I263" s="2430">
        <f>I262*Constants!$I$37</f>
        <v>1.3055577325261421E-2</v>
      </c>
      <c r="J263" s="2430">
        <f>J262*Constants!$I$37</f>
        <v>1.3055577325261421E-2</v>
      </c>
      <c r="K263" s="2430">
        <f>K262*Constants!$I$37</f>
        <v>1.3055577325261421E-2</v>
      </c>
      <c r="L263" s="2430">
        <f>L262*Constants!$I$37</f>
        <v>1.3055577325261421E-2</v>
      </c>
      <c r="M263" s="2430">
        <f>M262*Constants!$I$37</f>
        <v>1.3055577325261421E-2</v>
      </c>
      <c r="N263" s="2430">
        <f>N262*Constants!$I$37</f>
        <v>1.3055577325261421E-2</v>
      </c>
      <c r="O263" s="67"/>
      <c r="P263" s="185"/>
      <c r="Q263"/>
    </row>
    <row r="264" spans="2:17" s="2" customFormat="1" ht="15.5">
      <c r="B264" s="55"/>
      <c r="C264" s="188">
        <v>4</v>
      </c>
      <c r="D264" s="189" t="s">
        <v>48</v>
      </c>
      <c r="E264" s="103" t="s">
        <v>144</v>
      </c>
      <c r="F264" s="2430">
        <f t="shared" ref="F264:N264" si="27">0.00851823394100547*(1/Unit.TWh)</f>
        <v>8.5182339410054698E-3</v>
      </c>
      <c r="G264" s="2430">
        <f t="shared" si="27"/>
        <v>8.5182339410054698E-3</v>
      </c>
      <c r="H264" s="2430">
        <f t="shared" si="27"/>
        <v>8.5182339410054698E-3</v>
      </c>
      <c r="I264" s="2430">
        <f t="shared" si="27"/>
        <v>8.5182339410054698E-3</v>
      </c>
      <c r="J264" s="2430">
        <f t="shared" si="27"/>
        <v>8.5182339410054698E-3</v>
      </c>
      <c r="K264" s="2430">
        <f t="shared" si="27"/>
        <v>8.5182339410054698E-3</v>
      </c>
      <c r="L264" s="2430">
        <f t="shared" si="27"/>
        <v>8.5182339410054698E-3</v>
      </c>
      <c r="M264" s="2430">
        <f t="shared" si="27"/>
        <v>8.5182339410054698E-3</v>
      </c>
      <c r="N264" s="2430">
        <f t="shared" si="27"/>
        <v>8.5182339410054698E-3</v>
      </c>
      <c r="O264" s="67"/>
      <c r="P264" s="185"/>
      <c r="Q264"/>
    </row>
    <row r="265" spans="2:17" s="2" customFormat="1" ht="15.5">
      <c r="B265" s="55"/>
      <c r="C265" s="188">
        <v>4</v>
      </c>
      <c r="D265" s="189" t="s">
        <v>48</v>
      </c>
      <c r="E265" s="103" t="s">
        <v>145</v>
      </c>
      <c r="F265" s="2430">
        <f>F264*Constants!$I$36</f>
        <v>7.3177210805694115E-2</v>
      </c>
      <c r="G265" s="2430">
        <f>G264*Constants!$I$36</f>
        <v>7.3177210805694115E-2</v>
      </c>
      <c r="H265" s="2430">
        <f>H264*Constants!$I$36</f>
        <v>7.3177210805694115E-2</v>
      </c>
      <c r="I265" s="2430">
        <f>I264*Constants!$I$36</f>
        <v>7.3177210805694115E-2</v>
      </c>
      <c r="J265" s="2430">
        <f>J264*Constants!$I$36</f>
        <v>7.3177210805694115E-2</v>
      </c>
      <c r="K265" s="2430">
        <f>K264*Constants!$I$36</f>
        <v>7.3177210805694115E-2</v>
      </c>
      <c r="L265" s="2430">
        <f>L264*Constants!$I$36</f>
        <v>7.3177210805694115E-2</v>
      </c>
      <c r="M265" s="2430">
        <f>M264*Constants!$I$36</f>
        <v>7.3177210805694115E-2</v>
      </c>
      <c r="N265" s="2430">
        <f>N264*Constants!$I$36</f>
        <v>7.3177210805694115E-2</v>
      </c>
      <c r="O265" s="67"/>
      <c r="P265" s="185"/>
      <c r="Q265"/>
    </row>
    <row r="266" spans="2:17" s="2" customFormat="1" ht="15.5">
      <c r="B266" s="55"/>
      <c r="C266" s="188">
        <v>5</v>
      </c>
      <c r="D266" s="189" t="s">
        <v>49</v>
      </c>
      <c r="E266" s="103" t="s">
        <v>146</v>
      </c>
      <c r="F266" s="2430">
        <f t="shared" ref="F266:N266" si="28">0.00705882352941176*(1/Unit.TWh)</f>
        <v>7.0588235294117598E-3</v>
      </c>
      <c r="G266" s="2430">
        <f t="shared" si="28"/>
        <v>7.0588235294117598E-3</v>
      </c>
      <c r="H266" s="2430">
        <f t="shared" si="28"/>
        <v>7.0588235294117598E-3</v>
      </c>
      <c r="I266" s="2430">
        <f t="shared" si="28"/>
        <v>7.0588235294117598E-3</v>
      </c>
      <c r="J266" s="2430">
        <f t="shared" si="28"/>
        <v>7.0588235294117598E-3</v>
      </c>
      <c r="K266" s="2430">
        <f t="shared" si="28"/>
        <v>7.0588235294117598E-3</v>
      </c>
      <c r="L266" s="2430">
        <f t="shared" si="28"/>
        <v>7.0588235294117598E-3</v>
      </c>
      <c r="M266" s="2430">
        <f t="shared" si="28"/>
        <v>7.0588235294117598E-3</v>
      </c>
      <c r="N266" s="2430">
        <f t="shared" si="28"/>
        <v>7.0588235294117598E-3</v>
      </c>
      <c r="O266" s="67"/>
      <c r="P266" s="185"/>
      <c r="Q266"/>
    </row>
    <row r="267" spans="2:17" s="2" customFormat="1" ht="15.5">
      <c r="B267" s="55"/>
      <c r="C267" s="188">
        <v>5</v>
      </c>
      <c r="D267" s="189" t="s">
        <v>49</v>
      </c>
      <c r="E267" s="103" t="s">
        <v>147</v>
      </c>
      <c r="F267" s="2430">
        <f>F266*Constants!$I$35</f>
        <v>0.10814832499774214</v>
      </c>
      <c r="G267" s="2430">
        <f>G266*Constants!$I$35</f>
        <v>0.10814832499774214</v>
      </c>
      <c r="H267" s="2430">
        <f>H266*Constants!$I$35</f>
        <v>0.10814832499774214</v>
      </c>
      <c r="I267" s="2430">
        <f>I266*Constants!$I$35</f>
        <v>0.10814832499774214</v>
      </c>
      <c r="J267" s="2430">
        <f>J266*Constants!$I$35</f>
        <v>0.10814832499774214</v>
      </c>
      <c r="K267" s="2430">
        <f>K266*Constants!$I$35</f>
        <v>0.10814832499774214</v>
      </c>
      <c r="L267" s="2430">
        <f>L266*Constants!$I$35</f>
        <v>0.10814832499774214</v>
      </c>
      <c r="M267" s="2430">
        <f>M266*Constants!$I$35</f>
        <v>0.10814832499774214</v>
      </c>
      <c r="N267" s="2430">
        <f>N266*Constants!$I$35</f>
        <v>0.10814832499774214</v>
      </c>
      <c r="O267" s="67"/>
      <c r="P267" s="185"/>
      <c r="Q267"/>
    </row>
    <row r="268" spans="2:17" s="2" customFormat="1" ht="15.5">
      <c r="B268" s="55"/>
      <c r="C268" s="188">
        <v>6</v>
      </c>
      <c r="D268" s="189" t="s">
        <v>50</v>
      </c>
      <c r="E268" s="103" t="s">
        <v>141</v>
      </c>
      <c r="F268" s="2430">
        <f t="shared" ref="F268:N268" si="29">0.00802071964139672*(1/Unit.TWh)</f>
        <v>8.0207196413967195E-3</v>
      </c>
      <c r="G268" s="2430">
        <f t="shared" si="29"/>
        <v>8.0207196413967195E-3</v>
      </c>
      <c r="H268" s="2430">
        <f t="shared" si="29"/>
        <v>8.0207196413967195E-3</v>
      </c>
      <c r="I268" s="2430">
        <f t="shared" si="29"/>
        <v>8.0207196413967195E-3</v>
      </c>
      <c r="J268" s="2430">
        <f t="shared" si="29"/>
        <v>8.0207196413967195E-3</v>
      </c>
      <c r="K268" s="2430">
        <f t="shared" si="29"/>
        <v>8.0207196413967195E-3</v>
      </c>
      <c r="L268" s="2430">
        <f t="shared" si="29"/>
        <v>8.0207196413967195E-3</v>
      </c>
      <c r="M268" s="2430">
        <f t="shared" si="29"/>
        <v>8.0207196413967195E-3</v>
      </c>
      <c r="N268" s="2430">
        <f t="shared" si="29"/>
        <v>8.0207196413967195E-3</v>
      </c>
      <c r="O268" s="67"/>
      <c r="P268" s="185"/>
      <c r="Q268"/>
    </row>
    <row r="269" spans="2:17" s="2" customFormat="1" ht="15.5">
      <c r="B269" s="55"/>
      <c r="C269" s="188">
        <v>6</v>
      </c>
      <c r="D269" s="189" t="s">
        <v>50</v>
      </c>
      <c r="E269" s="103" t="s">
        <v>142</v>
      </c>
      <c r="F269" s="2430">
        <f>F268*Constants!$I$37</f>
        <v>1.3055577325261421E-2</v>
      </c>
      <c r="G269" s="2430">
        <f>G268*Constants!$I$37</f>
        <v>1.3055577325261421E-2</v>
      </c>
      <c r="H269" s="2430">
        <f>H268*Constants!$I$37</f>
        <v>1.3055577325261421E-2</v>
      </c>
      <c r="I269" s="2430">
        <f>I268*Constants!$I$37</f>
        <v>1.3055577325261421E-2</v>
      </c>
      <c r="J269" s="2430">
        <f>J268*Constants!$I$37</f>
        <v>1.3055577325261421E-2</v>
      </c>
      <c r="K269" s="2430">
        <f>K268*Constants!$I$37</f>
        <v>1.3055577325261421E-2</v>
      </c>
      <c r="L269" s="2430">
        <f>L268*Constants!$I$37</f>
        <v>1.3055577325261421E-2</v>
      </c>
      <c r="M269" s="2430">
        <f>M268*Constants!$I$37</f>
        <v>1.3055577325261421E-2</v>
      </c>
      <c r="N269" s="2430">
        <f>N268*Constants!$I$37</f>
        <v>1.3055577325261421E-2</v>
      </c>
      <c r="O269" s="67"/>
      <c r="P269" s="185"/>
      <c r="Q269"/>
    </row>
    <row r="270" spans="2:17" s="2" customFormat="1" ht="15.5">
      <c r="B270" s="55"/>
      <c r="C270" s="188">
        <v>7</v>
      </c>
      <c r="D270" s="189" t="s">
        <v>51</v>
      </c>
      <c r="E270" s="103" t="s">
        <v>141</v>
      </c>
      <c r="F270" s="2430">
        <f t="shared" ref="F270:N270" si="30">0*(1/Unit.GWh)</f>
        <v>0</v>
      </c>
      <c r="G270" s="2430">
        <f t="shared" si="30"/>
        <v>0</v>
      </c>
      <c r="H270" s="2430">
        <f t="shared" si="30"/>
        <v>0</v>
      </c>
      <c r="I270" s="2430">
        <f t="shared" si="30"/>
        <v>0</v>
      </c>
      <c r="J270" s="2430">
        <f t="shared" si="30"/>
        <v>0</v>
      </c>
      <c r="K270" s="2430">
        <f t="shared" si="30"/>
        <v>0</v>
      </c>
      <c r="L270" s="2430">
        <f t="shared" si="30"/>
        <v>0</v>
      </c>
      <c r="M270" s="2430">
        <f t="shared" si="30"/>
        <v>0</v>
      </c>
      <c r="N270" s="2430">
        <f t="shared" si="30"/>
        <v>0</v>
      </c>
      <c r="O270" s="67"/>
      <c r="P270" s="185"/>
      <c r="Q270"/>
    </row>
    <row r="271" spans="2:17" s="2" customFormat="1" ht="15.5">
      <c r="B271" s="55"/>
      <c r="C271" s="188">
        <v>7</v>
      </c>
      <c r="D271" s="189" t="s">
        <v>51</v>
      </c>
      <c r="E271" s="103" t="s">
        <v>142</v>
      </c>
      <c r="F271" s="2430">
        <f>F270*Constants!$I$37</f>
        <v>0</v>
      </c>
      <c r="G271" s="2430">
        <f>G270*Constants!$I$37</f>
        <v>0</v>
      </c>
      <c r="H271" s="2430">
        <f>H270*Constants!$I$37</f>
        <v>0</v>
      </c>
      <c r="I271" s="2430">
        <f>I270*Constants!$I$37</f>
        <v>0</v>
      </c>
      <c r="J271" s="2430">
        <f>J270*Constants!$I$37</f>
        <v>0</v>
      </c>
      <c r="K271" s="2430">
        <f>K270*Constants!$I$37</f>
        <v>0</v>
      </c>
      <c r="L271" s="2430">
        <f>L270*Constants!$I$37</f>
        <v>0</v>
      </c>
      <c r="M271" s="2430">
        <f>M270*Constants!$I$37</f>
        <v>0</v>
      </c>
      <c r="N271" s="2430">
        <f>N270*Constants!$I$37</f>
        <v>0</v>
      </c>
      <c r="O271" s="67"/>
      <c r="P271" s="185"/>
      <c r="Q271"/>
    </row>
    <row r="272" spans="2:17" s="2" customFormat="1" ht="15.5">
      <c r="B272" s="55"/>
      <c r="C272" s="188">
        <v>11</v>
      </c>
      <c r="D272" s="189" t="s">
        <v>55</v>
      </c>
      <c r="E272" s="103" t="s">
        <v>141</v>
      </c>
      <c r="F272" s="2430">
        <f t="shared" ref="F272:N272" si="31">0.00802071964139672*(1/Unit.TWh)</f>
        <v>8.0207196413967195E-3</v>
      </c>
      <c r="G272" s="2430">
        <f t="shared" si="31"/>
        <v>8.0207196413967195E-3</v>
      </c>
      <c r="H272" s="2430">
        <f t="shared" si="31"/>
        <v>8.0207196413967195E-3</v>
      </c>
      <c r="I272" s="2430">
        <f t="shared" si="31"/>
        <v>8.0207196413967195E-3</v>
      </c>
      <c r="J272" s="2430">
        <f t="shared" si="31"/>
        <v>8.0207196413967195E-3</v>
      </c>
      <c r="K272" s="2430">
        <f t="shared" si="31"/>
        <v>8.0207196413967195E-3</v>
      </c>
      <c r="L272" s="2430">
        <f t="shared" si="31"/>
        <v>8.0207196413967195E-3</v>
      </c>
      <c r="M272" s="2430">
        <f t="shared" si="31"/>
        <v>8.0207196413967195E-3</v>
      </c>
      <c r="N272" s="2430">
        <f t="shared" si="31"/>
        <v>8.0207196413967195E-3</v>
      </c>
      <c r="O272" s="67"/>
      <c r="P272" s="185"/>
      <c r="Q272"/>
    </row>
    <row r="273" spans="1:18" s="2" customFormat="1" ht="15.5">
      <c r="B273" s="55"/>
      <c r="C273" s="188">
        <v>11</v>
      </c>
      <c r="D273" s="189" t="s">
        <v>55</v>
      </c>
      <c r="E273" s="103" t="s">
        <v>142</v>
      </c>
      <c r="F273" s="2430">
        <f>F272*Constants!$I$37</f>
        <v>1.3055577325261421E-2</v>
      </c>
      <c r="G273" s="2430">
        <f>G272*Constants!$I$37</f>
        <v>1.3055577325261421E-2</v>
      </c>
      <c r="H273" s="2430">
        <f>H272*Constants!$I$37</f>
        <v>1.3055577325261421E-2</v>
      </c>
      <c r="I273" s="2430">
        <f>I272*Constants!$I$37</f>
        <v>1.3055577325261421E-2</v>
      </c>
      <c r="J273" s="2430">
        <f>J272*Constants!$I$37</f>
        <v>1.3055577325261421E-2</v>
      </c>
      <c r="K273" s="2430">
        <f>K272*Constants!$I$37</f>
        <v>1.3055577325261421E-2</v>
      </c>
      <c r="L273" s="2430">
        <f>L272*Constants!$I$37</f>
        <v>1.3055577325261421E-2</v>
      </c>
      <c r="M273" s="2430">
        <f>M272*Constants!$I$37</f>
        <v>1.3055577325261421E-2</v>
      </c>
      <c r="N273" s="2430">
        <f>N272*Constants!$I$37</f>
        <v>1.3055577325261421E-2</v>
      </c>
      <c r="O273" s="67"/>
      <c r="P273" s="185"/>
      <c r="Q273"/>
    </row>
    <row r="274" spans="1:18" s="2" customFormat="1" ht="15.5">
      <c r="B274" s="55"/>
      <c r="C274" s="188">
        <v>12</v>
      </c>
      <c r="D274" s="189" t="s">
        <v>56</v>
      </c>
      <c r="E274" s="103" t="s">
        <v>146</v>
      </c>
      <c r="F274" s="2430">
        <f t="shared" ref="F274:N274" si="32">0.00705882352941176*(1/Unit.TWh)</f>
        <v>7.0588235294117598E-3</v>
      </c>
      <c r="G274" s="2430">
        <f t="shared" si="32"/>
        <v>7.0588235294117598E-3</v>
      </c>
      <c r="H274" s="2430">
        <f t="shared" si="32"/>
        <v>7.0588235294117598E-3</v>
      </c>
      <c r="I274" s="2430">
        <f t="shared" si="32"/>
        <v>7.0588235294117598E-3</v>
      </c>
      <c r="J274" s="2430">
        <f t="shared" si="32"/>
        <v>7.0588235294117598E-3</v>
      </c>
      <c r="K274" s="2430">
        <f t="shared" si="32"/>
        <v>7.0588235294117598E-3</v>
      </c>
      <c r="L274" s="2430">
        <f t="shared" si="32"/>
        <v>7.0588235294117598E-3</v>
      </c>
      <c r="M274" s="2430">
        <f t="shared" si="32"/>
        <v>7.0588235294117598E-3</v>
      </c>
      <c r="N274" s="2430">
        <f t="shared" si="32"/>
        <v>7.0588235294117598E-3</v>
      </c>
      <c r="O274" s="67"/>
      <c r="P274" s="185"/>
      <c r="Q274"/>
    </row>
    <row r="275" spans="1:18" s="2" customFormat="1" ht="15.5">
      <c r="B275" s="55"/>
      <c r="C275" s="192">
        <v>12</v>
      </c>
      <c r="D275" s="193" t="s">
        <v>56</v>
      </c>
      <c r="E275" s="194" t="s">
        <v>147</v>
      </c>
      <c r="F275" s="3809">
        <f>F274*Constants!$I$35</f>
        <v>0.10814832499774214</v>
      </c>
      <c r="G275" s="3809">
        <f>G274*Constants!$I$35</f>
        <v>0.10814832499774214</v>
      </c>
      <c r="H275" s="3809">
        <f>H274*Constants!$I$35</f>
        <v>0.10814832499774214</v>
      </c>
      <c r="I275" s="3809">
        <f>I274*Constants!$I$35</f>
        <v>0.10814832499774214</v>
      </c>
      <c r="J275" s="3809">
        <f>J274*Constants!$I$35</f>
        <v>0.10814832499774214</v>
      </c>
      <c r="K275" s="3809">
        <f>K274*Constants!$I$35</f>
        <v>0.10814832499774214</v>
      </c>
      <c r="L275" s="3809">
        <f>L274*Constants!$I$35</f>
        <v>0.10814832499774214</v>
      </c>
      <c r="M275" s="3809">
        <f>M274*Constants!$I$35</f>
        <v>0.10814832499774214</v>
      </c>
      <c r="N275" s="3809">
        <f>N274*Constants!$I$35</f>
        <v>0.10814832499774214</v>
      </c>
      <c r="O275" s="67"/>
      <c r="P275" s="185"/>
      <c r="Q275"/>
    </row>
    <row r="276" spans="1:18">
      <c r="B276" s="105"/>
      <c r="C276" s="67"/>
      <c r="D276" s="67"/>
      <c r="E276" s="67"/>
      <c r="F276" s="67"/>
      <c r="G276" s="67"/>
      <c r="H276" s="67"/>
      <c r="I276" s="67"/>
      <c r="J276" s="67"/>
      <c r="K276" s="67"/>
      <c r="L276" s="67"/>
      <c r="M276" s="67"/>
      <c r="N276" s="67"/>
      <c r="O276" s="67"/>
      <c r="P276" s="876"/>
    </row>
    <row r="277" spans="1:18">
      <c r="B277" s="105"/>
      <c r="C277" s="3826" t="s">
        <v>63</v>
      </c>
      <c r="D277" s="3828" t="s">
        <v>940</v>
      </c>
      <c r="E277" s="67"/>
      <c r="F277" s="67"/>
      <c r="G277" s="67"/>
      <c r="H277" s="67"/>
      <c r="I277" s="67"/>
      <c r="J277" s="67"/>
      <c r="K277" s="67"/>
      <c r="L277" s="67"/>
      <c r="M277" s="67"/>
      <c r="N277" s="67"/>
      <c r="O277" s="67"/>
      <c r="P277" s="876"/>
    </row>
    <row r="278" spans="1:18">
      <c r="B278" s="105"/>
      <c r="C278" s="51"/>
      <c r="D278" s="3828"/>
      <c r="E278" s="67"/>
      <c r="F278" s="67"/>
      <c r="G278" s="67"/>
      <c r="H278" s="67"/>
      <c r="I278" s="67"/>
      <c r="J278" s="67"/>
      <c r="K278" s="67"/>
      <c r="L278" s="67"/>
      <c r="M278" s="67"/>
      <c r="N278" s="67"/>
      <c r="O278" s="67"/>
      <c r="P278" s="876"/>
    </row>
    <row r="279" spans="1:18" s="918" customFormat="1">
      <c r="B279" s="1268"/>
      <c r="C279" s="1269"/>
      <c r="D279" s="3851"/>
      <c r="E279" s="1270"/>
      <c r="F279" s="1270"/>
      <c r="G279" s="1270"/>
      <c r="H279" s="1270"/>
      <c r="I279" s="1270"/>
      <c r="J279" s="1270"/>
      <c r="K279" s="1270"/>
      <c r="L279" s="1270"/>
      <c r="M279" s="1270"/>
      <c r="N279" s="1270"/>
      <c r="O279" s="1270"/>
      <c r="P279" s="1271"/>
      <c r="Q279"/>
    </row>
    <row r="280" spans="1:18">
      <c r="E280" t="s">
        <v>5</v>
      </c>
    </row>
    <row r="281" spans="1:18" ht="23.5">
      <c r="A281" s="7"/>
      <c r="B281" s="869" t="s">
        <v>2719</v>
      </c>
      <c r="C281" s="1272"/>
      <c r="D281" s="1272"/>
      <c r="E281" s="1272"/>
      <c r="F281" s="1272"/>
      <c r="G281" s="1272"/>
      <c r="H281" s="1272"/>
      <c r="I281" s="1272"/>
      <c r="J281" s="1272"/>
      <c r="K281" s="1272"/>
      <c r="L281" s="1272"/>
      <c r="M281" s="1272"/>
      <c r="N281" s="1272"/>
      <c r="O281" s="1272"/>
      <c r="P281" s="1273"/>
      <c r="Q281" s="1273"/>
      <c r="R281" s="1273"/>
    </row>
    <row r="282" spans="1:18" s="39" customFormat="1" hidden="1">
      <c r="B282" s="80"/>
      <c r="C282" s="1274"/>
      <c r="D282" s="189"/>
      <c r="E282" s="1275"/>
      <c r="F282" s="1275"/>
      <c r="G282" s="1275"/>
      <c r="H282" s="1275"/>
      <c r="I282" s="1275"/>
      <c r="J282" s="1275"/>
      <c r="K282" s="80"/>
      <c r="L282" s="80"/>
      <c r="M282" s="80"/>
      <c r="N282" s="80"/>
      <c r="O282" s="80"/>
      <c r="P282" s="80"/>
      <c r="Q282" s="47"/>
      <c r="R282" s="47"/>
    </row>
    <row r="283" spans="1:18" s="39" customFormat="1" hidden="1">
      <c r="B283" s="80"/>
      <c r="C283" s="1276"/>
      <c r="D283" s="189"/>
      <c r="E283" s="1275"/>
      <c r="F283" s="1275"/>
      <c r="G283" s="1275"/>
      <c r="H283" s="1275"/>
      <c r="I283" s="1275"/>
      <c r="J283" s="1275"/>
      <c r="K283" s="1277"/>
      <c r="L283" s="80"/>
      <c r="M283" s="80"/>
      <c r="N283" s="80"/>
      <c r="O283" s="80"/>
      <c r="P283" s="80"/>
      <c r="Q283" s="47"/>
      <c r="R283" s="47"/>
    </row>
    <row r="284" spans="1:18" s="39" customFormat="1" hidden="1">
      <c r="B284" s="80"/>
      <c r="C284" s="1276" t="s">
        <v>941</v>
      </c>
      <c r="D284" s="189"/>
      <c r="E284" s="1275"/>
      <c r="F284" s="1275"/>
      <c r="G284" s="1275"/>
      <c r="H284" s="1275"/>
      <c r="I284" s="1275"/>
      <c r="J284" s="1275"/>
      <c r="K284" s="1277" t="s">
        <v>942</v>
      </c>
      <c r="L284" s="80"/>
      <c r="M284" s="80"/>
      <c r="N284" s="80"/>
      <c r="O284" s="80"/>
      <c r="P284" s="80"/>
      <c r="Q284" s="47"/>
      <c r="R284" s="47"/>
    </row>
    <row r="285" spans="1:18" s="39" customFormat="1" hidden="1">
      <c r="B285" s="80"/>
      <c r="C285" s="1274"/>
      <c r="D285" s="189"/>
      <c r="E285" s="1275"/>
      <c r="F285" s="1275"/>
      <c r="G285" s="1275"/>
      <c r="H285" s="1275"/>
      <c r="I285" s="1275"/>
      <c r="J285" s="1275"/>
      <c r="K285" s="80"/>
      <c r="L285" s="80" t="s">
        <v>2742</v>
      </c>
      <c r="M285" s="80"/>
      <c r="N285" s="80"/>
      <c r="O285" s="80"/>
      <c r="P285" s="80"/>
      <c r="Q285" s="47"/>
      <c r="R285" s="47"/>
    </row>
    <row r="286" spans="1:18" s="39" customFormat="1" hidden="1">
      <c r="B286" s="80"/>
      <c r="C286" s="1274"/>
      <c r="D286" s="189" t="s">
        <v>2757</v>
      </c>
      <c r="E286" s="1275"/>
      <c r="F286" s="4341" t="s">
        <v>943</v>
      </c>
      <c r="G286" s="4342"/>
      <c r="H286" s="4342"/>
      <c r="I286" s="4341" t="s">
        <v>944</v>
      </c>
      <c r="J286" s="4342"/>
      <c r="K286" s="4342"/>
      <c r="L286" s="4341" t="s">
        <v>943</v>
      </c>
      <c r="M286" s="4342"/>
      <c r="N286" s="4342"/>
      <c r="O286" s="4341" t="s">
        <v>944</v>
      </c>
      <c r="P286" s="4342"/>
      <c r="Q286" s="4342"/>
      <c r="R286" s="47"/>
    </row>
    <row r="287" spans="1:18" s="39" customFormat="1" hidden="1">
      <c r="B287" s="80"/>
      <c r="C287" s="80"/>
      <c r="D287" s="80"/>
      <c r="E287" s="80"/>
      <c r="F287" s="1278" t="s">
        <v>174</v>
      </c>
      <c r="G287" s="1279" t="s">
        <v>160</v>
      </c>
      <c r="H287" s="1278" t="s">
        <v>20</v>
      </c>
      <c r="I287" s="1280" t="s">
        <v>174</v>
      </c>
      <c r="J287" s="1280" t="s">
        <v>160</v>
      </c>
      <c r="K287" s="1278" t="s">
        <v>20</v>
      </c>
      <c r="L287" s="1281" t="s">
        <v>174</v>
      </c>
      <c r="M287" s="1278" t="s">
        <v>160</v>
      </c>
      <c r="N287" s="1281" t="s">
        <v>20</v>
      </c>
      <c r="O287" s="1282" t="s">
        <v>174</v>
      </c>
      <c r="P287" s="1282" t="s">
        <v>160</v>
      </c>
      <c r="Q287" s="1281" t="s">
        <v>20</v>
      </c>
      <c r="R287" s="47"/>
    </row>
    <row r="288" spans="1:18" s="39" customFormat="1" hidden="1">
      <c r="B288" s="1283"/>
      <c r="C288" s="1284">
        <v>1</v>
      </c>
      <c r="D288" s="1285" t="s">
        <v>45</v>
      </c>
      <c r="E288" s="1286"/>
      <c r="F288" s="1287">
        <v>55</v>
      </c>
      <c r="G288" s="1279">
        <v>43.95</v>
      </c>
      <c r="H288" s="1287">
        <v>38</v>
      </c>
      <c r="I288" s="1287">
        <v>12</v>
      </c>
      <c r="J288" s="1279">
        <v>6.15</v>
      </c>
      <c r="K288" s="1287">
        <v>3</v>
      </c>
      <c r="L288" s="1288">
        <v>110</v>
      </c>
      <c r="M288" s="1279">
        <v>87.9</v>
      </c>
      <c r="N288" s="1288">
        <v>76</v>
      </c>
      <c r="O288" s="1288">
        <v>24</v>
      </c>
      <c r="P288" s="1279">
        <v>12.3</v>
      </c>
      <c r="Q288" s="1288">
        <v>6</v>
      </c>
      <c r="R288" s="47"/>
    </row>
    <row r="289" spans="2:18" s="39" customFormat="1" hidden="1">
      <c r="B289" s="1283"/>
      <c r="C289" s="1289">
        <v>2</v>
      </c>
      <c r="D289" s="189" t="s">
        <v>46</v>
      </c>
      <c r="E289" s="57"/>
      <c r="F289" s="1287">
        <v>55</v>
      </c>
      <c r="G289" s="1279">
        <v>43.95</v>
      </c>
      <c r="H289" s="1287">
        <v>38</v>
      </c>
      <c r="I289" s="1287">
        <v>12</v>
      </c>
      <c r="J289" s="1279">
        <v>6.15</v>
      </c>
      <c r="K289" s="1287">
        <v>3</v>
      </c>
      <c r="L289" s="1288">
        <v>110</v>
      </c>
      <c r="M289" s="1279">
        <v>87.9</v>
      </c>
      <c r="N289" s="1288">
        <v>76</v>
      </c>
      <c r="O289" s="1288">
        <v>24</v>
      </c>
      <c r="P289" s="1279">
        <v>12.3</v>
      </c>
      <c r="Q289" s="1288">
        <v>6</v>
      </c>
      <c r="R289" s="47"/>
    </row>
    <row r="290" spans="2:18" s="39" customFormat="1" hidden="1">
      <c r="B290" s="1283"/>
      <c r="C290" s="1289">
        <v>3</v>
      </c>
      <c r="D290" s="189" t="s">
        <v>47</v>
      </c>
      <c r="E290" s="57"/>
      <c r="F290" s="1287">
        <v>195</v>
      </c>
      <c r="G290" s="1279">
        <v>110.5</v>
      </c>
      <c r="H290" s="1287">
        <v>65</v>
      </c>
      <c r="I290" s="1287">
        <v>1.5</v>
      </c>
      <c r="J290" s="1279">
        <v>0.85</v>
      </c>
      <c r="K290" s="1287">
        <v>0.5</v>
      </c>
      <c r="L290" s="1288">
        <v>390</v>
      </c>
      <c r="M290" s="1279">
        <v>221</v>
      </c>
      <c r="N290" s="1288">
        <v>130</v>
      </c>
      <c r="O290" s="1288">
        <v>3</v>
      </c>
      <c r="P290" s="1279">
        <v>1.7</v>
      </c>
      <c r="Q290" s="1288">
        <v>1</v>
      </c>
      <c r="R290" s="47"/>
    </row>
    <row r="291" spans="2:18" s="39" customFormat="1" hidden="1">
      <c r="B291" s="1283"/>
      <c r="C291" s="1289">
        <v>4</v>
      </c>
      <c r="D291" s="189" t="s">
        <v>48</v>
      </c>
      <c r="E291" s="57"/>
      <c r="F291" s="1287">
        <v>55.5</v>
      </c>
      <c r="G291" s="1279">
        <v>31.45</v>
      </c>
      <c r="H291" s="1287">
        <v>18.5</v>
      </c>
      <c r="I291" s="1287">
        <v>4.5</v>
      </c>
      <c r="J291" s="1279">
        <v>2.5499999999999998</v>
      </c>
      <c r="K291" s="1287">
        <v>1.5</v>
      </c>
      <c r="L291" s="1288">
        <v>111</v>
      </c>
      <c r="M291" s="1279">
        <v>62.9</v>
      </c>
      <c r="N291" s="1288">
        <v>37</v>
      </c>
      <c r="O291" s="1288">
        <v>9</v>
      </c>
      <c r="P291" s="1279">
        <v>5.0999999999999996</v>
      </c>
      <c r="Q291" s="1288">
        <v>3</v>
      </c>
      <c r="R291" s="47"/>
    </row>
    <row r="292" spans="2:18" s="39" customFormat="1" hidden="1">
      <c r="B292" s="1283"/>
      <c r="C292" s="1289">
        <v>5</v>
      </c>
      <c r="D292" s="189" t="s">
        <v>49</v>
      </c>
      <c r="E292" s="57"/>
      <c r="F292" s="1287">
        <v>384</v>
      </c>
      <c r="G292" s="1279">
        <v>154.55000000000001</v>
      </c>
      <c r="H292" s="1287">
        <v>31</v>
      </c>
      <c r="I292" s="1287">
        <v>5</v>
      </c>
      <c r="J292" s="1279">
        <v>3.7</v>
      </c>
      <c r="K292" s="1287">
        <v>3</v>
      </c>
      <c r="L292" s="1288">
        <v>768</v>
      </c>
      <c r="M292" s="1279">
        <v>309.10000000000002</v>
      </c>
      <c r="N292" s="1288">
        <v>62</v>
      </c>
      <c r="O292" s="1288">
        <v>10</v>
      </c>
      <c r="P292" s="1279">
        <v>7.4</v>
      </c>
      <c r="Q292" s="1288">
        <v>6</v>
      </c>
      <c r="R292" s="47"/>
    </row>
    <row r="293" spans="2:18" s="39" customFormat="1" hidden="1">
      <c r="B293" s="1283"/>
      <c r="C293" s="1289">
        <v>6</v>
      </c>
      <c r="D293" s="189" t="s">
        <v>50</v>
      </c>
      <c r="E293" s="57"/>
      <c r="F293" s="1287">
        <v>196</v>
      </c>
      <c r="G293" s="1279">
        <v>183</v>
      </c>
      <c r="H293" s="1287">
        <v>176</v>
      </c>
      <c r="I293" s="1287">
        <v>12</v>
      </c>
      <c r="J293" s="1279">
        <v>6.15</v>
      </c>
      <c r="K293" s="1287">
        <v>3</v>
      </c>
      <c r="L293" s="1288">
        <v>392</v>
      </c>
      <c r="M293" s="1279">
        <v>366</v>
      </c>
      <c r="N293" s="1288">
        <v>352</v>
      </c>
      <c r="O293" s="1288">
        <v>24</v>
      </c>
      <c r="P293" s="1279">
        <v>12.3</v>
      </c>
      <c r="Q293" s="1288">
        <v>6</v>
      </c>
      <c r="R293" s="47"/>
    </row>
    <row r="294" spans="2:18" s="39" customFormat="1" hidden="1">
      <c r="B294" s="1283"/>
      <c r="C294" s="1289">
        <v>7</v>
      </c>
      <c r="D294" s="189" t="s">
        <v>51</v>
      </c>
      <c r="E294" s="57"/>
      <c r="F294" s="1287">
        <v>276</v>
      </c>
      <c r="G294" s="1279">
        <v>237.65</v>
      </c>
      <c r="H294" s="1287">
        <v>217</v>
      </c>
      <c r="I294" s="1287">
        <v>12</v>
      </c>
      <c r="J294" s="1279">
        <v>6.15</v>
      </c>
      <c r="K294" s="1287">
        <v>3</v>
      </c>
      <c r="L294" s="1288">
        <v>552</v>
      </c>
      <c r="M294" s="1279">
        <v>475.3</v>
      </c>
      <c r="N294" s="1288">
        <v>434</v>
      </c>
      <c r="O294" s="1288">
        <v>24</v>
      </c>
      <c r="P294" s="1279">
        <v>12.3</v>
      </c>
      <c r="Q294" s="1288">
        <v>6</v>
      </c>
      <c r="R294" s="67"/>
    </row>
    <row r="295" spans="2:18" s="39" customFormat="1" hidden="1">
      <c r="B295" s="1283"/>
      <c r="C295" s="1289">
        <v>8</v>
      </c>
      <c r="D295" s="189" t="s">
        <v>52</v>
      </c>
      <c r="E295" s="57"/>
      <c r="F295" s="1290">
        <v>205</v>
      </c>
      <c r="G295" s="1279">
        <v>163.4</v>
      </c>
      <c r="H295" s="1290">
        <v>141</v>
      </c>
      <c r="I295" s="1291">
        <v>2</v>
      </c>
      <c r="J295" s="1279">
        <v>0.83000000000000007</v>
      </c>
      <c r="K295" s="1290">
        <v>0.2</v>
      </c>
      <c r="L295" s="1288">
        <v>410</v>
      </c>
      <c r="M295" s="1279">
        <v>326.8</v>
      </c>
      <c r="N295" s="1288">
        <v>282</v>
      </c>
      <c r="O295" s="1288">
        <v>4</v>
      </c>
      <c r="P295" s="1279">
        <v>1.6600000000000001</v>
      </c>
      <c r="Q295" s="1288">
        <v>0.4</v>
      </c>
      <c r="R295" s="47"/>
    </row>
    <row r="296" spans="2:18" s="39" customFormat="1" hidden="1">
      <c r="B296" s="1283"/>
      <c r="C296" s="1289">
        <v>9</v>
      </c>
      <c r="D296" s="189" t="s">
        <v>53</v>
      </c>
      <c r="E296" s="57"/>
      <c r="F296" s="1290">
        <v>183</v>
      </c>
      <c r="G296" s="1279">
        <v>147.25</v>
      </c>
      <c r="H296" s="1290">
        <v>128</v>
      </c>
      <c r="I296" s="1291">
        <v>0.6</v>
      </c>
      <c r="J296" s="1279">
        <v>0.27500000000000002</v>
      </c>
      <c r="K296" s="1290">
        <v>0.1</v>
      </c>
      <c r="L296" s="1288">
        <v>366</v>
      </c>
      <c r="M296" s="1279">
        <v>294.5</v>
      </c>
      <c r="N296" s="1288">
        <v>256</v>
      </c>
      <c r="O296" s="1288">
        <v>1.2</v>
      </c>
      <c r="P296" s="1279">
        <v>0.55000000000000004</v>
      </c>
      <c r="Q296" s="1288">
        <v>0.2</v>
      </c>
      <c r="R296" s="47"/>
    </row>
    <row r="297" spans="2:18" s="39" customFormat="1" hidden="1">
      <c r="B297" s="1283"/>
      <c r="C297" s="1289">
        <v>10</v>
      </c>
      <c r="D297" s="189" t="s">
        <v>54</v>
      </c>
      <c r="E297" s="57"/>
      <c r="F297" s="1287">
        <v>733</v>
      </c>
      <c r="G297" s="1279">
        <v>415.15</v>
      </c>
      <c r="H297" s="1290">
        <v>244</v>
      </c>
      <c r="I297" s="1290">
        <v>15</v>
      </c>
      <c r="J297" s="1279">
        <v>8.5</v>
      </c>
      <c r="K297" s="1290">
        <v>5</v>
      </c>
      <c r="L297" s="1288">
        <v>1530.8</v>
      </c>
      <c r="M297" s="1279">
        <v>711.54</v>
      </c>
      <c r="N297" s="1288">
        <v>270.39999999999998</v>
      </c>
      <c r="O297" s="1288">
        <v>15</v>
      </c>
      <c r="P297" s="1279">
        <v>8.5</v>
      </c>
      <c r="Q297" s="1288">
        <v>5</v>
      </c>
      <c r="R297" s="47"/>
    </row>
    <row r="298" spans="2:18" s="39" customFormat="1" hidden="1">
      <c r="B298" s="1283"/>
      <c r="C298" s="1289">
        <v>11</v>
      </c>
      <c r="D298" s="189" t="s">
        <v>55</v>
      </c>
      <c r="E298" s="57"/>
      <c r="F298" s="1287">
        <v>134</v>
      </c>
      <c r="G298" s="1279">
        <v>109.3</v>
      </c>
      <c r="H298" s="1290">
        <v>96</v>
      </c>
      <c r="I298" s="1290">
        <v>10</v>
      </c>
      <c r="J298" s="1279">
        <v>6.75</v>
      </c>
      <c r="K298" s="1290">
        <v>5</v>
      </c>
      <c r="L298" s="1288">
        <v>332.8</v>
      </c>
      <c r="M298" s="1279">
        <v>196.04000000000002</v>
      </c>
      <c r="N298" s="1288">
        <v>122.4</v>
      </c>
      <c r="O298" s="1288">
        <v>10</v>
      </c>
      <c r="P298" s="1279">
        <v>6.75</v>
      </c>
      <c r="Q298" s="1288">
        <v>5</v>
      </c>
      <c r="R298" s="47"/>
    </row>
    <row r="299" spans="2:18" s="39" customFormat="1" hidden="1">
      <c r="B299" s="1283"/>
      <c r="C299" s="1289">
        <v>12</v>
      </c>
      <c r="D299" s="189" t="s">
        <v>56</v>
      </c>
      <c r="E299" s="57"/>
      <c r="F299" s="1287">
        <v>194</v>
      </c>
      <c r="G299" s="1279">
        <v>147.85</v>
      </c>
      <c r="H299" s="1290">
        <v>123</v>
      </c>
      <c r="I299" s="1287">
        <v>11</v>
      </c>
      <c r="J299" s="1279">
        <v>5.8</v>
      </c>
      <c r="K299" s="1290">
        <v>3</v>
      </c>
      <c r="L299" s="1288">
        <v>452.8</v>
      </c>
      <c r="M299" s="1279">
        <v>255.58999999999997</v>
      </c>
      <c r="N299" s="1288">
        <v>149.4</v>
      </c>
      <c r="O299" s="1288">
        <v>11</v>
      </c>
      <c r="P299" s="1279">
        <v>5.8</v>
      </c>
      <c r="Q299" s="1288">
        <v>3</v>
      </c>
      <c r="R299" s="47"/>
    </row>
    <row r="300" spans="2:18" s="39" customFormat="1" hidden="1">
      <c r="B300" s="1283"/>
      <c r="C300" s="1289">
        <v>13</v>
      </c>
      <c r="D300" s="189" t="s">
        <v>57</v>
      </c>
      <c r="E300" s="57"/>
      <c r="F300" s="1292"/>
      <c r="G300" s="1279">
        <v>0</v>
      </c>
      <c r="H300" s="1287"/>
      <c r="I300" s="1287"/>
      <c r="J300" s="1279">
        <v>0</v>
      </c>
      <c r="K300" s="1292"/>
      <c r="L300" s="1288">
        <v>64.8</v>
      </c>
      <c r="M300" s="1279">
        <v>39.839999999999996</v>
      </c>
      <c r="N300" s="1288">
        <v>26.4</v>
      </c>
      <c r="O300" s="1288">
        <v>0</v>
      </c>
      <c r="P300" s="1279">
        <v>0</v>
      </c>
      <c r="Q300" s="1288">
        <v>0</v>
      </c>
      <c r="R300" s="47"/>
    </row>
    <row r="301" spans="2:18" hidden="1">
      <c r="B301" s="46"/>
      <c r="C301" s="1293"/>
      <c r="D301" s="176" t="s">
        <v>945</v>
      </c>
      <c r="E301" s="176"/>
      <c r="F301" s="1291">
        <v>671</v>
      </c>
      <c r="G301" s="1279">
        <v>545.54999999999995</v>
      </c>
      <c r="H301" s="1291">
        <v>478</v>
      </c>
      <c r="I301" s="1291">
        <v>4</v>
      </c>
      <c r="J301" s="1279">
        <v>3.35</v>
      </c>
      <c r="K301" s="1291">
        <v>3</v>
      </c>
      <c r="L301" s="1288">
        <v>671</v>
      </c>
      <c r="M301" s="1279">
        <v>545.54999999999995</v>
      </c>
      <c r="N301" s="1288">
        <v>478</v>
      </c>
      <c r="O301" s="1288">
        <v>3.9999999999999998E-6</v>
      </c>
      <c r="P301" s="1279">
        <v>3.3500000000000001E-6</v>
      </c>
      <c r="Q301" s="1288">
        <v>3.0000000000000001E-6</v>
      </c>
      <c r="R301" s="67"/>
    </row>
    <row r="302" spans="2:18" hidden="1">
      <c r="B302" s="46"/>
      <c r="C302" s="46"/>
      <c r="D302" s="46"/>
      <c r="E302" s="46"/>
      <c r="F302" s="46"/>
      <c r="G302" s="46"/>
      <c r="H302" s="46"/>
      <c r="I302" s="46"/>
      <c r="J302" s="46"/>
      <c r="K302" s="46"/>
      <c r="L302" s="1294"/>
      <c r="M302" s="1294"/>
      <c r="N302" s="46"/>
      <c r="O302" s="46"/>
      <c r="P302" s="67"/>
      <c r="Q302" s="47"/>
      <c r="R302" s="47"/>
    </row>
    <row r="303" spans="2:18" hidden="1">
      <c r="B303" s="46"/>
      <c r="C303" s="46"/>
      <c r="D303" s="245" t="s">
        <v>946</v>
      </c>
      <c r="E303" s="245"/>
      <c r="F303" s="245">
        <v>64.8</v>
      </c>
      <c r="G303" s="245">
        <v>26.4</v>
      </c>
      <c r="H303" s="46"/>
      <c r="I303" s="46"/>
      <c r="J303" s="46"/>
      <c r="K303" s="46"/>
      <c r="L303" s="1294"/>
      <c r="M303" s="1294"/>
      <c r="N303" s="46"/>
      <c r="O303" s="46"/>
      <c r="P303" s="67"/>
      <c r="Q303" s="47"/>
      <c r="R303" s="47"/>
    </row>
    <row r="304" spans="2:18" hidden="1">
      <c r="B304" s="46"/>
      <c r="C304" s="46"/>
      <c r="D304" s="46"/>
      <c r="E304" s="46"/>
      <c r="F304" s="46"/>
      <c r="G304" s="46"/>
      <c r="H304" s="46"/>
      <c r="I304" s="46"/>
      <c r="J304" s="46"/>
      <c r="K304" s="46"/>
      <c r="L304" s="1294"/>
      <c r="M304" s="1294"/>
      <c r="N304" s="46"/>
      <c r="O304" s="46"/>
      <c r="P304" s="67"/>
      <c r="Q304" s="47"/>
      <c r="R304" s="47"/>
    </row>
    <row r="305" spans="1:21" hidden="1">
      <c r="B305" s="46"/>
      <c r="C305" s="46"/>
      <c r="D305" s="46"/>
      <c r="E305" s="46"/>
      <c r="F305" s="46"/>
      <c r="G305" s="46"/>
      <c r="H305" s="46"/>
      <c r="I305" s="46"/>
      <c r="J305" s="46"/>
      <c r="K305" s="46"/>
      <c r="L305" s="1294"/>
      <c r="M305" s="1294"/>
      <c r="N305" s="46"/>
      <c r="O305" s="46"/>
      <c r="P305" s="67"/>
      <c r="Q305" s="47"/>
      <c r="R305" s="47"/>
    </row>
    <row r="306" spans="1:21" hidden="1">
      <c r="B306" s="46"/>
      <c r="C306" s="49" t="s">
        <v>947</v>
      </c>
      <c r="D306" s="46"/>
      <c r="E306" s="46"/>
      <c r="F306" s="46"/>
      <c r="G306" s="46"/>
      <c r="H306" s="46"/>
      <c r="I306" s="46"/>
      <c r="J306" s="46"/>
      <c r="K306" s="46"/>
      <c r="L306" s="1294"/>
      <c r="M306" s="1294"/>
      <c r="N306" s="46"/>
      <c r="O306" s="46"/>
      <c r="P306" s="67"/>
      <c r="Q306" s="47"/>
      <c r="R306" s="47"/>
    </row>
    <row r="307" spans="1:21" hidden="1">
      <c r="B307" s="46"/>
      <c r="C307" s="67"/>
      <c r="D307" s="46"/>
      <c r="E307" s="46"/>
      <c r="F307" s="46"/>
      <c r="G307" s="46"/>
      <c r="H307" s="46"/>
      <c r="I307" s="46"/>
      <c r="J307" s="46"/>
      <c r="K307" s="46"/>
      <c r="L307" s="1294"/>
      <c r="M307" s="1294"/>
      <c r="N307" s="46"/>
      <c r="O307" s="46"/>
      <c r="P307" s="67"/>
      <c r="Q307" s="47"/>
      <c r="R307" s="47"/>
    </row>
    <row r="308" spans="1:21" hidden="1">
      <c r="B308" s="46"/>
      <c r="C308" s="46"/>
      <c r="D308" s="46" t="s">
        <v>948</v>
      </c>
      <c r="E308" s="46">
        <v>2</v>
      </c>
      <c r="F308" s="46"/>
      <c r="G308" s="46"/>
      <c r="H308" s="46"/>
      <c r="I308" s="46"/>
      <c r="J308" s="46"/>
      <c r="K308" s="46"/>
      <c r="L308" s="1294"/>
      <c r="M308" s="1294"/>
      <c r="N308" s="46"/>
      <c r="O308" s="46"/>
      <c r="P308" s="67"/>
      <c r="Q308" s="47"/>
      <c r="R308" s="47"/>
    </row>
    <row r="309" spans="1:21" hidden="1">
      <c r="B309" s="46"/>
      <c r="C309" s="46"/>
      <c r="D309" s="46" t="s">
        <v>949</v>
      </c>
      <c r="E309" s="46">
        <v>20</v>
      </c>
      <c r="F309" s="46" t="s">
        <v>950</v>
      </c>
      <c r="G309" s="46"/>
      <c r="H309" s="46"/>
      <c r="I309" s="46"/>
      <c r="J309" s="46"/>
      <c r="K309" s="46"/>
      <c r="L309" s="1294"/>
      <c r="M309" s="1294"/>
      <c r="N309" s="46"/>
      <c r="O309" s="46"/>
      <c r="P309" s="67"/>
      <c r="Q309" s="47"/>
      <c r="R309" s="47"/>
    </row>
    <row r="310" spans="1:21" s="39" customFormat="1" hidden="1">
      <c r="B310" s="80"/>
      <c r="C310" s="1295"/>
      <c r="D310" s="1296"/>
      <c r="E310" s="80"/>
      <c r="F310" s="1297"/>
      <c r="G310" s="1297"/>
      <c r="H310" s="1295"/>
      <c r="I310" s="80"/>
      <c r="J310" s="80"/>
      <c r="K310" s="80"/>
      <c r="L310" s="80"/>
      <c r="M310" s="80"/>
      <c r="N310" s="80"/>
      <c r="O310" s="80"/>
      <c r="P310" s="80"/>
      <c r="Q310" s="67"/>
      <c r="R310" s="67"/>
      <c r="S310" s="1162"/>
      <c r="T310" s="1298"/>
      <c r="U310" s="1298"/>
    </row>
    <row r="311" spans="1:21">
      <c r="S311" s="918"/>
      <c r="T311" s="918"/>
      <c r="U311" s="918"/>
    </row>
    <row r="312" spans="1:21" ht="23.5">
      <c r="A312" s="7"/>
      <c r="B312" s="869" t="s">
        <v>177</v>
      </c>
      <c r="C312" s="1272"/>
      <c r="D312" s="1272"/>
      <c r="E312" s="1272"/>
      <c r="F312" s="1272"/>
      <c r="G312" s="1272"/>
      <c r="H312" s="1272"/>
      <c r="I312" s="1272"/>
      <c r="J312" s="1272"/>
      <c r="K312" s="1272"/>
      <c r="L312" s="1272"/>
      <c r="M312" s="1272"/>
      <c r="N312" s="1272"/>
      <c r="O312" s="1273"/>
      <c r="S312" s="918"/>
      <c r="T312" s="918"/>
    </row>
    <row r="313" spans="1:21">
      <c r="B313" s="105"/>
      <c r="C313" s="67"/>
      <c r="D313" s="67"/>
      <c r="E313" s="67"/>
      <c r="F313" s="67"/>
      <c r="G313" s="67"/>
      <c r="H313" s="67"/>
      <c r="I313" s="67"/>
      <c r="J313" s="67"/>
      <c r="K313" s="67"/>
      <c r="L313" s="67"/>
      <c r="M313" s="67"/>
      <c r="N313" s="67"/>
      <c r="O313" s="876"/>
    </row>
    <row r="314" spans="1:21">
      <c r="B314" s="105"/>
      <c r="C314" s="146" t="s">
        <v>951</v>
      </c>
      <c r="D314" s="103"/>
      <c r="E314" s="1256"/>
      <c r="F314" s="1299"/>
      <c r="G314" s="1300"/>
      <c r="H314" s="1300"/>
      <c r="I314" s="1300"/>
      <c r="J314" s="77"/>
      <c r="K314" s="77"/>
      <c r="L314" s="77"/>
      <c r="M314" s="4313" t="s">
        <v>3799</v>
      </c>
      <c r="N314" s="77"/>
      <c r="O314" s="77" t="s">
        <v>952</v>
      </c>
    </row>
    <row r="315" spans="1:21">
      <c r="B315" s="105"/>
      <c r="C315" s="943"/>
      <c r="D315" s="103"/>
      <c r="E315" s="1256"/>
      <c r="F315" s="1299"/>
      <c r="G315" s="1300"/>
      <c r="H315" s="1300"/>
      <c r="I315" s="1300"/>
      <c r="J315" s="77"/>
      <c r="K315" s="77"/>
      <c r="L315" s="77"/>
      <c r="M315" s="77"/>
      <c r="N315" s="77"/>
      <c r="O315" s="876"/>
    </row>
    <row r="316" spans="1:21" ht="15.5">
      <c r="B316" s="55"/>
      <c r="C316" s="878" t="s">
        <v>43</v>
      </c>
      <c r="D316" s="878" t="s">
        <v>109</v>
      </c>
      <c r="E316" s="87">
        <v>2013</v>
      </c>
      <c r="F316" s="1265">
        <v>2015</v>
      </c>
      <c r="G316" s="87">
        <v>2020</v>
      </c>
      <c r="H316" s="87">
        <v>2025</v>
      </c>
      <c r="I316" s="87">
        <v>2030</v>
      </c>
      <c r="J316" s="87">
        <v>2035</v>
      </c>
      <c r="K316" s="87">
        <v>2040</v>
      </c>
      <c r="L316" s="87">
        <v>2045</v>
      </c>
      <c r="M316" s="87">
        <v>2050</v>
      </c>
      <c r="N316" s="77"/>
      <c r="O316" s="1301" t="s">
        <v>159</v>
      </c>
    </row>
    <row r="317" spans="1:21" ht="15.5">
      <c r="B317" s="55"/>
      <c r="C317" s="65">
        <v>1</v>
      </c>
      <c r="D317" s="103" t="s">
        <v>45</v>
      </c>
      <c r="E317" s="1302">
        <f t="array" ref="E317:E329">$F$176:$F$188</f>
        <v>0.2</v>
      </c>
      <c r="F317" s="1304">
        <f>E317+($O317*(F$316-E$316))</f>
        <v>0.1891891891891892</v>
      </c>
      <c r="G317" s="1304">
        <f t="shared" ref="G317:L317" si="33">F317+($O317*(G$316-F$316))</f>
        <v>0.16216216216216217</v>
      </c>
      <c r="H317" s="1304">
        <f t="shared" si="33"/>
        <v>0.13513513513513514</v>
      </c>
      <c r="I317" s="1304">
        <f t="shared" si="33"/>
        <v>0.10810810810810811</v>
      </c>
      <c r="J317" s="1304">
        <f t="shared" si="33"/>
        <v>8.1081081081081086E-2</v>
      </c>
      <c r="K317" s="1304">
        <f t="shared" si="33"/>
        <v>5.4054054054054057E-2</v>
      </c>
      <c r="L317" s="1304">
        <f t="shared" si="33"/>
        <v>2.7027027027027029E-2</v>
      </c>
      <c r="M317" s="4314">
        <f>INDEX($E55:$T55, MATCH($E$22, $E$54:$T$54, 0))</f>
        <v>0</v>
      </c>
      <c r="N317" s="77"/>
      <c r="O317" s="4316">
        <f>(M317-E317)/(M$316-E$316)</f>
        <v>-5.4054054054054057E-3</v>
      </c>
    </row>
    <row r="318" spans="1:21" ht="15.5">
      <c r="B318" s="55"/>
      <c r="C318" s="65">
        <v>2</v>
      </c>
      <c r="D318" s="103" t="s">
        <v>46</v>
      </c>
      <c r="E318" s="1060">
        <v>0.23</v>
      </c>
      <c r="F318" s="1307">
        <f t="shared" ref="F318:L329" si="34">E318+($O318*(F$316-E$316))</f>
        <v>0.26081081081081081</v>
      </c>
      <c r="G318" s="1307">
        <f t="shared" si="34"/>
        <v>0.33783783783783783</v>
      </c>
      <c r="H318" s="1307">
        <f t="shared" si="34"/>
        <v>0.41486486486486485</v>
      </c>
      <c r="I318" s="1307">
        <f t="shared" si="34"/>
        <v>0.49189189189189186</v>
      </c>
      <c r="J318" s="1307">
        <f t="shared" si="34"/>
        <v>0.56891891891891888</v>
      </c>
      <c r="K318" s="1307">
        <f t="shared" si="34"/>
        <v>0.6459459459459459</v>
      </c>
      <c r="L318" s="1307">
        <f t="shared" si="34"/>
        <v>0.72297297297297292</v>
      </c>
      <c r="M318" s="4225">
        <f t="shared" ref="M318:M329" si="35">INDEX($E56:$T56, MATCH($E$22, $E$54:$T$54, 0))</f>
        <v>0.8</v>
      </c>
      <c r="N318" s="77"/>
      <c r="O318" s="4317">
        <f t="shared" ref="O318:O329" si="36">(M318-E318)/(M$316-E$316)</f>
        <v>1.5405405405405408E-2</v>
      </c>
    </row>
    <row r="319" spans="1:21" ht="15.5">
      <c r="B319" s="55"/>
      <c r="C319" s="65">
        <v>3</v>
      </c>
      <c r="D319" s="103" t="s">
        <v>47</v>
      </c>
      <c r="E319" s="1060">
        <v>0.3</v>
      </c>
      <c r="F319" s="1307">
        <f t="shared" si="34"/>
        <v>0.28918918918918918</v>
      </c>
      <c r="G319" s="1307">
        <f t="shared" si="34"/>
        <v>0.26216216216216215</v>
      </c>
      <c r="H319" s="1307">
        <f t="shared" si="34"/>
        <v>0.23513513513513512</v>
      </c>
      <c r="I319" s="1307">
        <f t="shared" si="34"/>
        <v>0.20810810810810809</v>
      </c>
      <c r="J319" s="1307">
        <f t="shared" si="34"/>
        <v>0.18108108108108106</v>
      </c>
      <c r="K319" s="1307">
        <f t="shared" si="34"/>
        <v>0.15405405405405403</v>
      </c>
      <c r="L319" s="1307">
        <f t="shared" si="34"/>
        <v>0.12702702702702701</v>
      </c>
      <c r="M319" s="4225">
        <f t="shared" si="35"/>
        <v>0.1</v>
      </c>
      <c r="N319" s="77"/>
      <c r="O319" s="4317">
        <f t="shared" si="36"/>
        <v>-5.4054054054054048E-3</v>
      </c>
    </row>
    <row r="320" spans="1:21" ht="15.5">
      <c r="B320" s="55"/>
      <c r="C320" s="65">
        <v>4</v>
      </c>
      <c r="D320" s="103" t="s">
        <v>48</v>
      </c>
      <c r="E320" s="1060">
        <v>0.23</v>
      </c>
      <c r="F320" s="1307">
        <f t="shared" si="34"/>
        <v>0.21756756756756757</v>
      </c>
      <c r="G320" s="1307">
        <f t="shared" si="34"/>
        <v>0.18648648648648647</v>
      </c>
      <c r="H320" s="1307">
        <f t="shared" si="34"/>
        <v>0.15540540540540537</v>
      </c>
      <c r="I320" s="1307">
        <f t="shared" si="34"/>
        <v>0.12432432432432429</v>
      </c>
      <c r="J320" s="1307">
        <f t="shared" si="34"/>
        <v>9.3243243243243207E-2</v>
      </c>
      <c r="K320" s="1307">
        <f t="shared" si="34"/>
        <v>6.2162162162162124E-2</v>
      </c>
      <c r="L320" s="1307">
        <f t="shared" si="34"/>
        <v>3.1081081081081041E-2</v>
      </c>
      <c r="M320" s="4225">
        <f t="shared" si="35"/>
        <v>0</v>
      </c>
      <c r="N320" s="77"/>
      <c r="O320" s="4317">
        <f t="shared" si="36"/>
        <v>-6.2162162162162169E-3</v>
      </c>
    </row>
    <row r="321" spans="2:16" ht="15.5">
      <c r="B321" s="55"/>
      <c r="C321" s="65">
        <v>5</v>
      </c>
      <c r="D321" s="103" t="s">
        <v>49</v>
      </c>
      <c r="E321" s="1060">
        <v>0.03</v>
      </c>
      <c r="F321" s="1307">
        <f t="shared" si="34"/>
        <v>2.8378378378378376E-2</v>
      </c>
      <c r="G321" s="1307">
        <f t="shared" si="34"/>
        <v>2.4324324324324322E-2</v>
      </c>
      <c r="H321" s="1307">
        <f t="shared" si="34"/>
        <v>2.0270270270270268E-2</v>
      </c>
      <c r="I321" s="1307">
        <f t="shared" si="34"/>
        <v>1.6216216216216214E-2</v>
      </c>
      <c r="J321" s="1307">
        <f t="shared" si="34"/>
        <v>1.2162162162162159E-2</v>
      </c>
      <c r="K321" s="1307">
        <f t="shared" si="34"/>
        <v>8.1081081081081051E-3</v>
      </c>
      <c r="L321" s="1307">
        <f t="shared" si="34"/>
        <v>4.0540540540540508E-3</v>
      </c>
      <c r="M321" s="4225">
        <f t="shared" si="35"/>
        <v>0</v>
      </c>
      <c r="N321" s="77" t="s">
        <v>5</v>
      </c>
      <c r="O321" s="4317">
        <f t="shared" si="36"/>
        <v>-8.1081081081081077E-4</v>
      </c>
      <c r="P321" s="4146" t="s">
        <v>5</v>
      </c>
    </row>
    <row r="322" spans="2:16" ht="15.5">
      <c r="B322" s="55"/>
      <c r="C322" s="65">
        <v>6</v>
      </c>
      <c r="D322" s="103" t="s">
        <v>50</v>
      </c>
      <c r="E322" s="1060">
        <v>0</v>
      </c>
      <c r="F322" s="1307">
        <f t="shared" si="34"/>
        <v>0</v>
      </c>
      <c r="G322" s="1307">
        <f t="shared" si="34"/>
        <v>0</v>
      </c>
      <c r="H322" s="1307">
        <f t="shared" si="34"/>
        <v>0</v>
      </c>
      <c r="I322" s="1307">
        <f t="shared" si="34"/>
        <v>0</v>
      </c>
      <c r="J322" s="1307">
        <f t="shared" si="34"/>
        <v>0</v>
      </c>
      <c r="K322" s="1307">
        <f t="shared" si="34"/>
        <v>0</v>
      </c>
      <c r="L322" s="1307">
        <f t="shared" si="34"/>
        <v>0</v>
      </c>
      <c r="M322" s="4225">
        <f t="shared" si="35"/>
        <v>0</v>
      </c>
      <c r="N322" s="77" t="s">
        <v>5</v>
      </c>
      <c r="O322" s="4317">
        <f t="shared" si="36"/>
        <v>0</v>
      </c>
    </row>
    <row r="323" spans="2:16" ht="15.5">
      <c r="B323" s="55"/>
      <c r="C323" s="65">
        <v>7</v>
      </c>
      <c r="D323" s="57" t="s">
        <v>51</v>
      </c>
      <c r="E323" s="1060">
        <v>0</v>
      </c>
      <c r="F323" s="1307">
        <f t="shared" si="34"/>
        <v>0</v>
      </c>
      <c r="G323" s="1307">
        <f t="shared" si="34"/>
        <v>0</v>
      </c>
      <c r="H323" s="1307">
        <f t="shared" si="34"/>
        <v>0</v>
      </c>
      <c r="I323" s="1307">
        <f t="shared" si="34"/>
        <v>0</v>
      </c>
      <c r="J323" s="1307">
        <f t="shared" si="34"/>
        <v>0</v>
      </c>
      <c r="K323" s="1307">
        <f t="shared" si="34"/>
        <v>0</v>
      </c>
      <c r="L323" s="1307">
        <f t="shared" si="34"/>
        <v>0</v>
      </c>
      <c r="M323" s="4225">
        <f t="shared" si="35"/>
        <v>0</v>
      </c>
      <c r="N323" s="77"/>
      <c r="O323" s="4317">
        <f t="shared" si="36"/>
        <v>0</v>
      </c>
    </row>
    <row r="324" spans="2:16" ht="15.5">
      <c r="B324" s="55"/>
      <c r="C324" s="65">
        <v>8</v>
      </c>
      <c r="D324" s="103" t="s">
        <v>52</v>
      </c>
      <c r="E324" s="1060">
        <v>0.01</v>
      </c>
      <c r="F324" s="1307">
        <f t="shared" si="34"/>
        <v>1.2162162162162163E-2</v>
      </c>
      <c r="G324" s="1307">
        <f t="shared" si="34"/>
        <v>1.7567567567567569E-2</v>
      </c>
      <c r="H324" s="1307">
        <f t="shared" si="34"/>
        <v>2.2972972972972974E-2</v>
      </c>
      <c r="I324" s="1307">
        <f t="shared" si="34"/>
        <v>2.837837837837838E-2</v>
      </c>
      <c r="J324" s="1307">
        <f t="shared" si="34"/>
        <v>3.3783783783783786E-2</v>
      </c>
      <c r="K324" s="1307">
        <f t="shared" si="34"/>
        <v>3.9189189189189191E-2</v>
      </c>
      <c r="L324" s="1307">
        <f t="shared" si="34"/>
        <v>4.4594594594594597E-2</v>
      </c>
      <c r="M324" s="4225">
        <f t="shared" si="35"/>
        <v>0.05</v>
      </c>
      <c r="N324" s="77"/>
      <c r="O324" s="4317">
        <f t="shared" si="36"/>
        <v>1.0810810810810811E-3</v>
      </c>
    </row>
    <row r="325" spans="2:16" ht="15.5">
      <c r="B325" s="55"/>
      <c r="C325" s="65">
        <v>9</v>
      </c>
      <c r="D325" s="103" t="s">
        <v>53</v>
      </c>
      <c r="E325" s="1060">
        <v>0</v>
      </c>
      <c r="F325" s="1307">
        <f t="shared" si="34"/>
        <v>2.7027027027027029E-3</v>
      </c>
      <c r="G325" s="1307">
        <f t="shared" si="34"/>
        <v>9.45945945945946E-3</v>
      </c>
      <c r="H325" s="1307">
        <f t="shared" si="34"/>
        <v>1.6216216216216217E-2</v>
      </c>
      <c r="I325" s="1307">
        <f t="shared" si="34"/>
        <v>2.2972972972972974E-2</v>
      </c>
      <c r="J325" s="1307">
        <f t="shared" si="34"/>
        <v>2.9729729729729731E-2</v>
      </c>
      <c r="K325" s="1307">
        <f t="shared" si="34"/>
        <v>3.6486486486486489E-2</v>
      </c>
      <c r="L325" s="1307">
        <f t="shared" si="34"/>
        <v>4.3243243243243246E-2</v>
      </c>
      <c r="M325" s="4225">
        <f t="shared" si="35"/>
        <v>0.05</v>
      </c>
      <c r="N325" s="77"/>
      <c r="O325" s="4317">
        <f t="shared" si="36"/>
        <v>1.3513513513513514E-3</v>
      </c>
    </row>
    <row r="326" spans="2:16" ht="15.5">
      <c r="B326" s="55"/>
      <c r="C326" s="65">
        <v>10</v>
      </c>
      <c r="D326" s="103" t="s">
        <v>54</v>
      </c>
      <c r="E326" s="1060">
        <v>0</v>
      </c>
      <c r="F326" s="1307">
        <f t="shared" si="34"/>
        <v>0</v>
      </c>
      <c r="G326" s="1307">
        <f t="shared" si="34"/>
        <v>0</v>
      </c>
      <c r="H326" s="1307">
        <f t="shared" si="34"/>
        <v>0</v>
      </c>
      <c r="I326" s="1307">
        <f t="shared" si="34"/>
        <v>0</v>
      </c>
      <c r="J326" s="1307">
        <f t="shared" si="34"/>
        <v>0</v>
      </c>
      <c r="K326" s="1307">
        <f t="shared" si="34"/>
        <v>0</v>
      </c>
      <c r="L326" s="1307">
        <f t="shared" si="34"/>
        <v>0</v>
      </c>
      <c r="M326" s="4225">
        <f t="shared" si="35"/>
        <v>0</v>
      </c>
      <c r="N326" s="77"/>
      <c r="O326" s="4317">
        <f t="shared" si="36"/>
        <v>0</v>
      </c>
    </row>
    <row r="327" spans="2:16" ht="15.5">
      <c r="B327" s="55"/>
      <c r="C327" s="65">
        <v>11</v>
      </c>
      <c r="D327" s="103" t="s">
        <v>55</v>
      </c>
      <c r="E327" s="1060">
        <v>0</v>
      </c>
      <c r="F327" s="1307">
        <f t="shared" si="34"/>
        <v>0</v>
      </c>
      <c r="G327" s="1307">
        <f t="shared" si="34"/>
        <v>0</v>
      </c>
      <c r="H327" s="1307">
        <f t="shared" si="34"/>
        <v>0</v>
      </c>
      <c r="I327" s="1307">
        <f t="shared" si="34"/>
        <v>0</v>
      </c>
      <c r="J327" s="1307">
        <f t="shared" si="34"/>
        <v>0</v>
      </c>
      <c r="K327" s="1307">
        <f t="shared" si="34"/>
        <v>0</v>
      </c>
      <c r="L327" s="1307">
        <f t="shared" si="34"/>
        <v>0</v>
      </c>
      <c r="M327" s="4225">
        <v>0</v>
      </c>
      <c r="N327" s="77"/>
      <c r="O327" s="4317">
        <f t="shared" si="36"/>
        <v>0</v>
      </c>
    </row>
    <row r="328" spans="2:16" ht="15.5">
      <c r="B328" s="55"/>
      <c r="C328" s="65">
        <v>12</v>
      </c>
      <c r="D328" s="103" t="s">
        <v>56</v>
      </c>
      <c r="E328" s="1060">
        <v>0</v>
      </c>
      <c r="F328" s="1307">
        <f t="shared" si="34"/>
        <v>0</v>
      </c>
      <c r="G328" s="1307">
        <f t="shared" si="34"/>
        <v>0</v>
      </c>
      <c r="H328" s="1307">
        <f t="shared" si="34"/>
        <v>0</v>
      </c>
      <c r="I328" s="1307">
        <f t="shared" si="34"/>
        <v>0</v>
      </c>
      <c r="J328" s="1307">
        <f t="shared" si="34"/>
        <v>0</v>
      </c>
      <c r="K328" s="1307">
        <f t="shared" si="34"/>
        <v>0</v>
      </c>
      <c r="L328" s="1307">
        <f t="shared" si="34"/>
        <v>0</v>
      </c>
      <c r="M328" s="4225">
        <f t="shared" si="35"/>
        <v>0</v>
      </c>
      <c r="N328" s="77"/>
      <c r="O328" s="4317">
        <f t="shared" si="36"/>
        <v>0</v>
      </c>
    </row>
    <row r="329" spans="2:16" ht="15.5">
      <c r="B329" s="55"/>
      <c r="C329" s="887">
        <v>13</v>
      </c>
      <c r="D329" s="888" t="s">
        <v>57</v>
      </c>
      <c r="E329" s="1303">
        <v>0</v>
      </c>
      <c r="F329" s="1309">
        <f t="shared" si="34"/>
        <v>0</v>
      </c>
      <c r="G329" s="1309">
        <f t="shared" si="34"/>
        <v>0</v>
      </c>
      <c r="H329" s="1309">
        <f t="shared" si="34"/>
        <v>0</v>
      </c>
      <c r="I329" s="1309">
        <f t="shared" si="34"/>
        <v>0</v>
      </c>
      <c r="J329" s="1309">
        <f t="shared" si="34"/>
        <v>0</v>
      </c>
      <c r="K329" s="1309">
        <f t="shared" si="34"/>
        <v>0</v>
      </c>
      <c r="L329" s="1309">
        <f t="shared" si="34"/>
        <v>0</v>
      </c>
      <c r="M329" s="4315">
        <f t="shared" si="35"/>
        <v>0</v>
      </c>
      <c r="N329" s="77"/>
      <c r="O329" s="4318">
        <f t="shared" si="36"/>
        <v>0</v>
      </c>
    </row>
    <row r="330" spans="2:16">
      <c r="B330" s="105"/>
      <c r="C330" s="67"/>
      <c r="D330" s="67"/>
      <c r="E330" s="1089">
        <f>SUM(E317:E329)</f>
        <v>1</v>
      </c>
      <c r="F330" s="1089">
        <f t="shared" ref="F330:M330" si="37">SUM(F317:F329)</f>
        <v>1</v>
      </c>
      <c r="G330" s="1089">
        <f t="shared" si="37"/>
        <v>1</v>
      </c>
      <c r="H330" s="1089">
        <f t="shared" si="37"/>
        <v>1</v>
      </c>
      <c r="I330" s="1089">
        <f t="shared" si="37"/>
        <v>0.99999999999999989</v>
      </c>
      <c r="J330" s="1089">
        <f t="shared" si="37"/>
        <v>0.99999999999999978</v>
      </c>
      <c r="K330" s="1089">
        <f t="shared" si="37"/>
        <v>0.99999999999999989</v>
      </c>
      <c r="L330" s="1089">
        <f t="shared" si="37"/>
        <v>1</v>
      </c>
      <c r="M330" s="1089">
        <f t="shared" si="37"/>
        <v>1</v>
      </c>
      <c r="N330" s="77"/>
      <c r="O330" s="876"/>
    </row>
    <row r="331" spans="2:16">
      <c r="B331" s="105"/>
      <c r="C331" s="146" t="s">
        <v>953</v>
      </c>
      <c r="D331" s="103"/>
      <c r="E331" s="1299"/>
      <c r="F331" s="1299"/>
      <c r="G331" s="1300"/>
      <c r="H331" s="1300"/>
      <c r="I331" s="77"/>
      <c r="J331" s="77"/>
      <c r="K331" s="77"/>
      <c r="L331" s="77"/>
      <c r="M331" s="77"/>
      <c r="N331" s="77"/>
      <c r="O331" s="77" t="s">
        <v>954</v>
      </c>
    </row>
    <row r="332" spans="2:16">
      <c r="B332" s="105"/>
      <c r="C332" s="943"/>
      <c r="D332" s="103"/>
      <c r="E332" s="1299"/>
      <c r="F332" s="1300"/>
      <c r="G332" s="1300"/>
      <c r="H332" s="1300"/>
      <c r="I332" s="77"/>
      <c r="J332" s="77"/>
      <c r="K332" s="77"/>
      <c r="L332" s="77"/>
      <c r="M332" s="77"/>
      <c r="N332" s="77"/>
      <c r="O332" s="876"/>
    </row>
    <row r="333" spans="2:16" ht="15.5">
      <c r="B333" s="55"/>
      <c r="C333" s="878" t="s">
        <v>43</v>
      </c>
      <c r="D333" s="878" t="s">
        <v>109</v>
      </c>
      <c r="E333" s="87">
        <v>2013</v>
      </c>
      <c r="F333" s="1265">
        <v>2015</v>
      </c>
      <c r="G333" s="87">
        <v>2020</v>
      </c>
      <c r="H333" s="87">
        <v>2025</v>
      </c>
      <c r="I333" s="87">
        <v>2030</v>
      </c>
      <c r="J333" s="87">
        <v>2035</v>
      </c>
      <c r="K333" s="87">
        <v>2040</v>
      </c>
      <c r="L333" s="87">
        <v>2045</v>
      </c>
      <c r="M333" s="87">
        <v>2050</v>
      </c>
      <c r="N333" s="77"/>
      <c r="O333" s="1301" t="s">
        <v>159</v>
      </c>
    </row>
    <row r="334" spans="2:16" ht="15.5">
      <c r="B334" s="55"/>
      <c r="C334" s="65">
        <v>1</v>
      </c>
      <c r="D334" s="103" t="s">
        <v>60</v>
      </c>
      <c r="E334" s="1302">
        <f t="array" ref="E334:E336">$F$192:$F$194</f>
        <v>1</v>
      </c>
      <c r="F334" s="1312">
        <v>1</v>
      </c>
      <c r="G334" s="1305">
        <f t="shared" ref="G334:L336" si="38">F334+$O334</f>
        <v>0.85714285714285721</v>
      </c>
      <c r="H334" s="1305">
        <f t="shared" si="38"/>
        <v>0.71428571428571441</v>
      </c>
      <c r="I334" s="1305">
        <f t="shared" si="38"/>
        <v>0.57142857142857162</v>
      </c>
      <c r="J334" s="1305">
        <f t="shared" si="38"/>
        <v>0.42857142857142877</v>
      </c>
      <c r="K334" s="1305">
        <f t="shared" si="38"/>
        <v>0.28571428571428592</v>
      </c>
      <c r="L334" s="1305">
        <f t="shared" si="38"/>
        <v>0.14285714285714307</v>
      </c>
      <c r="M334" s="1305">
        <f>INDEX($E73:$T73, MATCH($E$22, $E$72:$T$72, 0))</f>
        <v>0</v>
      </c>
      <c r="N334" s="77"/>
      <c r="O334" s="1308">
        <f>(M334-F334)/7</f>
        <v>-0.14285714285714285</v>
      </c>
    </row>
    <row r="335" spans="2:16" ht="15.5">
      <c r="B335" s="55"/>
      <c r="C335" s="65">
        <v>2</v>
      </c>
      <c r="D335" s="103" t="s">
        <v>61</v>
      </c>
      <c r="E335" s="1060">
        <v>0</v>
      </c>
      <c r="F335" s="1307">
        <v>0</v>
      </c>
      <c r="G335" s="1060">
        <f t="shared" si="38"/>
        <v>0.14285714285714285</v>
      </c>
      <c r="H335" s="1060">
        <f t="shared" si="38"/>
        <v>0.2857142857142857</v>
      </c>
      <c r="I335" s="1060">
        <f t="shared" si="38"/>
        <v>0.42857142857142855</v>
      </c>
      <c r="J335" s="1060">
        <f t="shared" si="38"/>
        <v>0.5714285714285714</v>
      </c>
      <c r="K335" s="1060">
        <f t="shared" si="38"/>
        <v>0.71428571428571419</v>
      </c>
      <c r="L335" s="1060">
        <f t="shared" si="38"/>
        <v>0.85714285714285698</v>
      </c>
      <c r="M335" s="1060">
        <f>INDEX($E74:$T74, MATCH($E$22, $E$72:$T$72, 0))</f>
        <v>1</v>
      </c>
      <c r="N335" s="77"/>
      <c r="O335" s="1308">
        <f>(M335-F335)/7</f>
        <v>0.14285714285714285</v>
      </c>
    </row>
    <row r="336" spans="2:16" ht="15.5">
      <c r="B336" s="55"/>
      <c r="C336" s="917">
        <v>3</v>
      </c>
      <c r="D336" s="194" t="s">
        <v>62</v>
      </c>
      <c r="E336" s="1303">
        <v>0</v>
      </c>
      <c r="F336" s="1309">
        <v>0</v>
      </c>
      <c r="G336" s="1303">
        <f t="shared" si="38"/>
        <v>0</v>
      </c>
      <c r="H336" s="1303">
        <f t="shared" si="38"/>
        <v>0</v>
      </c>
      <c r="I336" s="1303">
        <f t="shared" si="38"/>
        <v>0</v>
      </c>
      <c r="J336" s="1303">
        <f t="shared" si="38"/>
        <v>0</v>
      </c>
      <c r="K336" s="1303">
        <f t="shared" si="38"/>
        <v>0</v>
      </c>
      <c r="L336" s="1303">
        <f t="shared" si="38"/>
        <v>0</v>
      </c>
      <c r="M336" s="1303">
        <f>INDEX($E75:$T75, MATCH($E$22, $E$72:$T$72, 0))</f>
        <v>0</v>
      </c>
      <c r="N336" s="77"/>
      <c r="O336" s="1311">
        <f>(M336-F336)/7</f>
        <v>0</v>
      </c>
    </row>
    <row r="337" spans="1:20">
      <c r="B337" s="1163"/>
      <c r="C337" s="1065"/>
      <c r="D337" s="1065"/>
      <c r="E337" s="1065"/>
      <c r="F337" s="1065"/>
      <c r="G337" s="1065"/>
      <c r="H337" s="1065"/>
      <c r="I337" s="1065"/>
      <c r="J337" s="1065"/>
      <c r="K337" s="1065"/>
      <c r="L337" s="1065"/>
      <c r="M337" s="1065"/>
      <c r="N337" s="1065"/>
      <c r="O337" s="1100"/>
    </row>
    <row r="338" spans="1:20">
      <c r="T338" s="918"/>
    </row>
    <row r="339" spans="1:20" ht="18.5">
      <c r="A339" s="346"/>
      <c r="B339" s="1101" t="s">
        <v>206</v>
      </c>
    </row>
    <row r="340" spans="1:20" s="2" customFormat="1">
      <c r="B340" s="354">
        <v>1</v>
      </c>
      <c r="C340" t="s">
        <v>955</v>
      </c>
    </row>
    <row r="341" spans="1:20" s="2" customFormat="1">
      <c r="B341" s="354">
        <v>2</v>
      </c>
      <c r="C341" t="s">
        <v>956</v>
      </c>
    </row>
    <row r="342" spans="1:20" s="2" customFormat="1">
      <c r="B342" s="354">
        <v>3</v>
      </c>
      <c r="C342" t="s">
        <v>211</v>
      </c>
    </row>
    <row r="343" spans="1:20" s="2" customFormat="1">
      <c r="B343" s="354">
        <v>4</v>
      </c>
      <c r="C343" t="s">
        <v>957</v>
      </c>
    </row>
    <row r="344" spans="1:20" s="2" customFormat="1">
      <c r="B344" s="354">
        <v>5</v>
      </c>
      <c r="C344" t="s">
        <v>213</v>
      </c>
    </row>
    <row r="346" spans="1:20">
      <c r="B346" s="354">
        <v>1</v>
      </c>
      <c r="C346" s="354" t="s">
        <v>216</v>
      </c>
    </row>
    <row r="347" spans="1:20">
      <c r="F347" s="1313">
        <v>2013</v>
      </c>
      <c r="G347" s="1313">
        <v>2015</v>
      </c>
      <c r="H347" s="1313">
        <v>2020</v>
      </c>
      <c r="I347" s="1313">
        <v>2025</v>
      </c>
      <c r="J347" s="1313">
        <v>2030</v>
      </c>
      <c r="K347" s="1313">
        <v>2035</v>
      </c>
      <c r="L347" s="1313">
        <v>2040</v>
      </c>
      <c r="M347" s="1313">
        <v>2045</v>
      </c>
      <c r="N347" s="1313">
        <v>2050</v>
      </c>
    </row>
    <row r="348" spans="1:20">
      <c r="B348" s="373"/>
      <c r="F348" s="1314"/>
      <c r="G348" s="1314"/>
      <c r="H348" s="1314"/>
      <c r="I348" s="1314"/>
      <c r="J348" s="1314"/>
      <c r="K348" s="1314"/>
      <c r="L348" s="1314"/>
      <c r="M348" s="1314"/>
      <c r="N348" s="1314"/>
    </row>
    <row r="349" spans="1:20">
      <c r="B349" s="373"/>
      <c r="C349" s="354" t="s">
        <v>958</v>
      </c>
      <c r="E349" s="354" t="str">
        <f>Preferences.EnergyUnits</f>
        <v>TWh</v>
      </c>
      <c r="F349" s="1315">
        <f>INDEX(F$39:F$42, MATCH($E$8, $C$39:$C$42, 0))</f>
        <v>1.43</v>
      </c>
      <c r="G349" s="1315">
        <f t="shared" ref="G349:N349" si="39">INDEX(G$39:G$42, MATCH($E$8, $C$39:$C$42, 0))</f>
        <v>1.49</v>
      </c>
      <c r="H349" s="1315">
        <f t="shared" si="39"/>
        <v>1.59</v>
      </c>
      <c r="I349" s="1315">
        <f t="shared" si="39"/>
        <v>1.67</v>
      </c>
      <c r="J349" s="1315">
        <f t="shared" si="39"/>
        <v>1.75</v>
      </c>
      <c r="K349" s="1315">
        <f t="shared" si="39"/>
        <v>1.83</v>
      </c>
      <c r="L349" s="1315">
        <f t="shared" si="39"/>
        <v>1.91</v>
      </c>
      <c r="M349" s="1315">
        <f t="shared" si="39"/>
        <v>1.99</v>
      </c>
      <c r="N349" s="1315">
        <f t="shared" si="39"/>
        <v>2.0699999999999998</v>
      </c>
    </row>
    <row r="350" spans="1:20">
      <c r="B350">
        <v>1</v>
      </c>
      <c r="C350" t="s">
        <v>45</v>
      </c>
      <c r="F350" s="1314">
        <f t="array" ref="F350:F362">F$349*E$317:E$329</f>
        <v>0.28599999999999998</v>
      </c>
      <c r="G350" s="1314">
        <f t="array" ref="G350:G362">G$349*F$317:F$329</f>
        <v>0.2818918918918919</v>
      </c>
      <c r="H350" s="1314">
        <f t="array" ref="H350:H362">H$349*G$317:G$329</f>
        <v>0.25783783783783787</v>
      </c>
      <c r="I350" s="1314">
        <f t="array" ref="I350:I362">I$349*H$317:H$329</f>
        <v>0.22567567567567567</v>
      </c>
      <c r="J350" s="1314">
        <f t="array" ref="J350:J362">J$349*I$317:I$329</f>
        <v>0.1891891891891892</v>
      </c>
      <c r="K350" s="1314">
        <f t="array" ref="K350:K362">K$349*J$317:J$329</f>
        <v>0.14837837837837839</v>
      </c>
      <c r="L350" s="1314">
        <f t="array" ref="L350:L362">L$349*K$317:K$329</f>
        <v>0.10324324324324324</v>
      </c>
      <c r="M350" s="1314">
        <f t="array" ref="M350:M362">M$349*L$317:L$329</f>
        <v>5.378378378378379E-2</v>
      </c>
      <c r="N350" s="1314">
        <f t="array" ref="N350:N362">N$349*M$317:M$329</f>
        <v>0</v>
      </c>
      <c r="O350" s="1314"/>
    </row>
    <row r="351" spans="1:20">
      <c r="B351">
        <v>2</v>
      </c>
      <c r="C351" t="s">
        <v>46</v>
      </c>
      <c r="D351" s="373"/>
      <c r="F351" s="1314">
        <v>0.32890000000000003</v>
      </c>
      <c r="G351" s="1314">
        <v>0.38860810810810809</v>
      </c>
      <c r="H351" s="1314">
        <v>0.53716216216216217</v>
      </c>
      <c r="I351" s="1314">
        <v>0.69282432432432428</v>
      </c>
      <c r="J351" s="1314">
        <v>0.86081081081081079</v>
      </c>
      <c r="K351" s="1314">
        <v>1.0411216216216217</v>
      </c>
      <c r="L351" s="1314">
        <v>1.2337567567567567</v>
      </c>
      <c r="M351" s="1314">
        <v>1.4387162162162161</v>
      </c>
      <c r="N351" s="1314">
        <v>1.6559999999999999</v>
      </c>
    </row>
    <row r="352" spans="1:20">
      <c r="B352">
        <v>3</v>
      </c>
      <c r="C352" t="s">
        <v>47</v>
      </c>
      <c r="D352" s="373"/>
      <c r="F352" s="1314">
        <v>0.42899999999999999</v>
      </c>
      <c r="G352" s="1314">
        <v>0.43089189189189187</v>
      </c>
      <c r="H352" s="1314">
        <v>0.41683783783783784</v>
      </c>
      <c r="I352" s="1314">
        <v>0.39267567567567563</v>
      </c>
      <c r="J352" s="1314">
        <v>0.36418918918918919</v>
      </c>
      <c r="K352" s="1314">
        <v>0.33137837837837836</v>
      </c>
      <c r="L352" s="1314">
        <v>0.29424324324324319</v>
      </c>
      <c r="M352" s="1314">
        <v>0.25278378378378374</v>
      </c>
      <c r="N352" s="1314">
        <v>0.20699999999999999</v>
      </c>
    </row>
    <row r="353" spans="2:17">
      <c r="B353">
        <v>4</v>
      </c>
      <c r="C353" t="s">
        <v>48</v>
      </c>
      <c r="D353" s="373"/>
      <c r="F353" s="1314">
        <v>0.32890000000000003</v>
      </c>
      <c r="G353" s="1314">
        <v>0.32417567567567568</v>
      </c>
      <c r="H353" s="1314">
        <v>0.29651351351351352</v>
      </c>
      <c r="I353" s="1314">
        <v>0.25952702702702696</v>
      </c>
      <c r="J353" s="1314">
        <v>0.21756756756756751</v>
      </c>
      <c r="K353" s="1314">
        <v>0.17063513513513506</v>
      </c>
      <c r="L353" s="1314">
        <v>0.11872972972972966</v>
      </c>
      <c r="M353" s="1314">
        <v>6.1851351351351273E-2</v>
      </c>
      <c r="N353" s="1314">
        <v>0</v>
      </c>
    </row>
    <row r="354" spans="2:17">
      <c r="B354">
        <v>5</v>
      </c>
      <c r="C354" t="s">
        <v>49</v>
      </c>
      <c r="D354" s="373"/>
      <c r="F354" s="1314">
        <v>4.2899999999999994E-2</v>
      </c>
      <c r="G354" s="1314">
        <v>4.2283783783783779E-2</v>
      </c>
      <c r="H354" s="1314">
        <v>3.8675675675675675E-2</v>
      </c>
      <c r="I354" s="1314">
        <v>3.3851351351351346E-2</v>
      </c>
      <c r="J354" s="1314">
        <v>2.8378378378378373E-2</v>
      </c>
      <c r="K354" s="1314">
        <v>2.2256756756756754E-2</v>
      </c>
      <c r="L354" s="1314">
        <v>1.548648648648648E-2</v>
      </c>
      <c r="M354" s="1314">
        <v>8.0675675675675618E-3</v>
      </c>
      <c r="N354" s="1314">
        <v>0</v>
      </c>
    </row>
    <row r="355" spans="2:17">
      <c r="B355">
        <v>6</v>
      </c>
      <c r="C355" t="s">
        <v>50</v>
      </c>
      <c r="D355" s="373"/>
      <c r="F355" s="1314">
        <v>0</v>
      </c>
      <c r="G355" s="1314">
        <v>0</v>
      </c>
      <c r="H355" s="1314">
        <v>0</v>
      </c>
      <c r="I355" s="1314">
        <v>0</v>
      </c>
      <c r="J355" s="1314">
        <v>0</v>
      </c>
      <c r="K355" s="1314">
        <v>0</v>
      </c>
      <c r="L355" s="1314">
        <v>0</v>
      </c>
      <c r="M355" s="1314">
        <v>0</v>
      </c>
      <c r="N355" s="1314">
        <v>0</v>
      </c>
    </row>
    <row r="356" spans="2:17">
      <c r="B356">
        <v>7</v>
      </c>
      <c r="C356" t="s">
        <v>51</v>
      </c>
      <c r="D356" s="373"/>
      <c r="F356" s="1314">
        <v>0</v>
      </c>
      <c r="G356" s="1314">
        <v>0</v>
      </c>
      <c r="H356" s="1314">
        <v>0</v>
      </c>
      <c r="I356" s="1314">
        <v>0</v>
      </c>
      <c r="J356" s="1314">
        <v>0</v>
      </c>
      <c r="K356" s="1314">
        <v>0</v>
      </c>
      <c r="L356" s="1314">
        <v>0</v>
      </c>
      <c r="M356" s="1314">
        <v>0</v>
      </c>
      <c r="N356" s="1314">
        <v>0</v>
      </c>
    </row>
    <row r="357" spans="2:17">
      <c r="B357">
        <v>8</v>
      </c>
      <c r="C357" t="s">
        <v>52</v>
      </c>
      <c r="D357" s="373"/>
      <c r="F357" s="1314">
        <v>1.43E-2</v>
      </c>
      <c r="G357" s="1314">
        <v>1.8121621621621623E-2</v>
      </c>
      <c r="H357" s="1314">
        <v>2.7932432432432434E-2</v>
      </c>
      <c r="I357" s="1314">
        <v>3.8364864864864866E-2</v>
      </c>
      <c r="J357" s="1314">
        <v>4.9662162162162168E-2</v>
      </c>
      <c r="K357" s="1314">
        <v>6.1824324324324331E-2</v>
      </c>
      <c r="L357" s="1314">
        <v>7.4851351351351347E-2</v>
      </c>
      <c r="M357" s="1314">
        <v>8.8743243243243244E-2</v>
      </c>
      <c r="N357" s="1314">
        <v>0.10349999999999999</v>
      </c>
    </row>
    <row r="358" spans="2:17">
      <c r="B358">
        <v>9</v>
      </c>
      <c r="C358" t="s">
        <v>53</v>
      </c>
      <c r="D358" s="373"/>
      <c r="F358" s="1314">
        <v>0</v>
      </c>
      <c r="G358" s="1314">
        <v>4.0270270270270272E-3</v>
      </c>
      <c r="H358" s="1314">
        <v>1.5040540540540543E-2</v>
      </c>
      <c r="I358" s="1314">
        <v>2.7081081081081083E-2</v>
      </c>
      <c r="J358" s="1314">
        <v>4.0202702702702708E-2</v>
      </c>
      <c r="K358" s="1314">
        <v>5.4405405405405408E-2</v>
      </c>
      <c r="L358" s="1314">
        <v>6.9689189189189191E-2</v>
      </c>
      <c r="M358" s="1314">
        <v>8.6054054054054058E-2</v>
      </c>
      <c r="N358" s="1314">
        <v>0.10349999999999999</v>
      </c>
    </row>
    <row r="359" spans="2:17">
      <c r="B359">
        <v>10</v>
      </c>
      <c r="C359" t="s">
        <v>54</v>
      </c>
      <c r="D359" s="373"/>
      <c r="F359" s="1314">
        <v>0</v>
      </c>
      <c r="G359" s="1314">
        <v>0</v>
      </c>
      <c r="H359" s="1314">
        <v>0</v>
      </c>
      <c r="I359" s="1314">
        <v>0</v>
      </c>
      <c r="J359" s="1314">
        <v>0</v>
      </c>
      <c r="K359" s="1314">
        <v>0</v>
      </c>
      <c r="L359" s="1314">
        <v>0</v>
      </c>
      <c r="M359" s="1314">
        <v>0</v>
      </c>
      <c r="N359" s="1314">
        <v>0</v>
      </c>
    </row>
    <row r="360" spans="2:17">
      <c r="B360">
        <v>11</v>
      </c>
      <c r="C360" t="s">
        <v>55</v>
      </c>
      <c r="D360" s="373"/>
      <c r="F360" s="1314">
        <v>0</v>
      </c>
      <c r="G360" s="1314">
        <v>0</v>
      </c>
      <c r="H360" s="1314">
        <v>0</v>
      </c>
      <c r="I360" s="1314">
        <v>0</v>
      </c>
      <c r="J360" s="1314">
        <v>0</v>
      </c>
      <c r="K360" s="1314">
        <v>0</v>
      </c>
      <c r="L360" s="1314">
        <v>0</v>
      </c>
      <c r="M360" s="1314">
        <v>0</v>
      </c>
      <c r="N360" s="1314">
        <v>0</v>
      </c>
    </row>
    <row r="361" spans="2:17">
      <c r="B361">
        <v>12</v>
      </c>
      <c r="C361" t="s">
        <v>56</v>
      </c>
      <c r="D361" s="373"/>
      <c r="F361" s="1314">
        <v>0</v>
      </c>
      <c r="G361" s="1314">
        <v>0</v>
      </c>
      <c r="H361" s="1314">
        <v>0</v>
      </c>
      <c r="I361" s="1314">
        <v>0</v>
      </c>
      <c r="J361" s="1314">
        <v>0</v>
      </c>
      <c r="K361" s="1314">
        <v>0</v>
      </c>
      <c r="L361" s="1314">
        <v>0</v>
      </c>
      <c r="M361" s="1314">
        <v>0</v>
      </c>
      <c r="N361" s="1314">
        <v>0</v>
      </c>
    </row>
    <row r="362" spans="2:17">
      <c r="B362">
        <v>13</v>
      </c>
      <c r="C362" t="s">
        <v>57</v>
      </c>
      <c r="D362" s="373"/>
      <c r="F362" s="1314">
        <v>0</v>
      </c>
      <c r="G362" s="1314">
        <v>0</v>
      </c>
      <c r="H362" s="1314">
        <v>0</v>
      </c>
      <c r="I362" s="1314">
        <v>0</v>
      </c>
      <c r="J362" s="1314">
        <v>0</v>
      </c>
      <c r="K362" s="1314">
        <v>0</v>
      </c>
      <c r="L362" s="1314">
        <v>0</v>
      </c>
      <c r="M362" s="1314">
        <v>0</v>
      </c>
      <c r="N362" s="1314">
        <v>0</v>
      </c>
    </row>
    <row r="363" spans="2:17">
      <c r="E363" s="373"/>
      <c r="F363" s="1316">
        <f>SUM(F350:F362)</f>
        <v>1.43</v>
      </c>
      <c r="G363" s="1316">
        <f t="shared" ref="G363:N363" si="40">SUM(G350:G362)</f>
        <v>1.49</v>
      </c>
      <c r="H363" s="1316">
        <f t="shared" si="40"/>
        <v>1.5899999999999999</v>
      </c>
      <c r="I363" s="1316">
        <f t="shared" si="40"/>
        <v>1.67</v>
      </c>
      <c r="J363" s="1316">
        <f t="shared" si="40"/>
        <v>1.75</v>
      </c>
      <c r="K363" s="1316">
        <f t="shared" si="40"/>
        <v>1.83</v>
      </c>
      <c r="L363" s="1316">
        <f t="shared" si="40"/>
        <v>1.9099999999999997</v>
      </c>
      <c r="M363" s="1316">
        <f t="shared" si="40"/>
        <v>1.99</v>
      </c>
      <c r="N363" s="1316">
        <f t="shared" si="40"/>
        <v>2.0699999999999998</v>
      </c>
      <c r="O363" s="1317"/>
    </row>
    <row r="364" spans="2:17">
      <c r="E364" s="373"/>
      <c r="F364" s="1314"/>
      <c r="G364" s="1314"/>
      <c r="H364" s="1314"/>
      <c r="I364" s="1314"/>
      <c r="J364" s="1314"/>
      <c r="K364" s="1314"/>
      <c r="L364" s="1314"/>
      <c r="M364" s="1314"/>
      <c r="N364" s="1314"/>
    </row>
    <row r="365" spans="2:17">
      <c r="B365" s="354"/>
      <c r="C365" s="354" t="s">
        <v>226</v>
      </c>
      <c r="E365" s="355"/>
    </row>
    <row r="366" spans="2:17">
      <c r="F366" s="365"/>
    </row>
    <row r="367" spans="2:17">
      <c r="B367" s="373" t="s">
        <v>95</v>
      </c>
      <c r="C367" s="6" t="s">
        <v>85</v>
      </c>
      <c r="F367" s="365">
        <f t="array" ref="F367">SUM(F$350:F$362/$M$115:$M$127*($B367=$F$114:$N$114)*($F$115:$N$127))</f>
        <v>-0.43614999999999998</v>
      </c>
      <c r="G367" s="365">
        <f t="array" ref="G367">SUM(G$350:G$362/$M$115:$M$127*($B367=$F$114:$N$114)*($F$115:$N$127))</f>
        <v>-0.44129504504504502</v>
      </c>
      <c r="H367" s="365">
        <f t="array" ref="H367">SUM(H$350:H$362/$M$115:$M$127*($B367=$F$114:$N$114)*($F$115:$N$127))</f>
        <v>-0.43581756756756762</v>
      </c>
      <c r="I367" s="365">
        <f t="array" ref="I367">SUM(I$350:I$362/$M$115:$M$127*($B367=$F$114:$N$114)*($F$115:$N$127))</f>
        <v>-0.42088513513513509</v>
      </c>
      <c r="J367" s="365">
        <f t="array" ref="J367">SUM(J$350:J$362/$M$115:$M$127*($B367=$F$114:$N$114)*($F$115:$N$127))</f>
        <v>-0.40242117117117115</v>
      </c>
      <c r="K367" s="365">
        <f t="array" ref="K367">SUM(K$350:K$362/$M$115:$M$127*($B367=$F$114:$N$114)*($F$115:$N$127))</f>
        <v>-0.3804256756756757</v>
      </c>
      <c r="L367" s="365">
        <f t="array" ref="L367">SUM(L$350:L$362/$M$115:$M$127*($B367=$F$114:$N$114)*($F$115:$N$127))</f>
        <v>-0.35489864864864862</v>
      </c>
      <c r="M367" s="365">
        <f t="array" ref="M367">SUM(M$350:M$362/$M$115:$M$127*($B367=$F$114:$N$114)*($F$115:$N$127))</f>
        <v>-0.32584009009009007</v>
      </c>
      <c r="N367" s="365">
        <f t="array" ref="N367">SUM(N$350:N$362/$M$115:$M$127*($B367=$F$114:$N$114)*($F$115:$N$127))</f>
        <v>-0.29324999999999996</v>
      </c>
      <c r="Q367" s="365"/>
    </row>
    <row r="368" spans="2:17">
      <c r="B368" s="373" t="s">
        <v>96</v>
      </c>
      <c r="C368" s="6" t="s">
        <v>86</v>
      </c>
      <c r="F368" s="365">
        <f t="array" ref="F368">SUM(F$350:F$362/$M$115:$M$127*($B368=$F$114:$N$114)*($F$115:$N$127))</f>
        <v>0</v>
      </c>
      <c r="G368" s="365">
        <f t="array" ref="G368">SUM(G$350:G$362/$M$115:$M$127*($B368=$F$114:$N$114)*($F$115:$N$127))</f>
        <v>0</v>
      </c>
      <c r="H368" s="365">
        <f t="array" ref="H368">SUM(H$350:H$362/$M$115:$M$127*($B368=$F$114:$N$114)*($F$115:$N$127))</f>
        <v>0</v>
      </c>
      <c r="I368" s="365">
        <f t="array" ref="I368">SUM(I$350:I$362/$M$115:$M$127*($B368=$F$114:$N$114)*($F$115:$N$127))</f>
        <v>0</v>
      </c>
      <c r="J368" s="365">
        <f t="array" ref="J368">SUM(J$350:J$362/$M$115:$M$127*($B368=$F$114:$N$114)*($F$115:$N$127))</f>
        <v>0</v>
      </c>
      <c r="K368" s="365">
        <f t="array" ref="K368">SUM(K$350:K$362/$M$115:$M$127*($B368=$F$114:$N$114)*($F$115:$N$127))</f>
        <v>0</v>
      </c>
      <c r="L368" s="365">
        <f t="array" ref="L368">SUM(L$350:L$362/$M$115:$M$127*($B368=$F$114:$N$114)*($F$115:$N$127))</f>
        <v>0</v>
      </c>
      <c r="M368" s="365">
        <f t="array" ref="M368">SUM(M$350:M$362/$M$115:$M$127*($B368=$F$114:$N$114)*($F$115:$N$127))</f>
        <v>0</v>
      </c>
      <c r="N368" s="365">
        <f t="array" ref="N368">SUM(N$350:N$362/$M$115:$M$127*($B368=$F$114:$N$114)*($F$115:$N$127))</f>
        <v>0</v>
      </c>
    </row>
    <row r="369" spans="2:14">
      <c r="B369" s="373" t="s">
        <v>97</v>
      </c>
      <c r="C369" s="6" t="s">
        <v>87</v>
      </c>
      <c r="F369" s="365">
        <f t="array" ref="F369">SUM(F$350:F$362/$M$115:$M$127*($B369=$F$114:$N$114)*($F$115:$N$127))</f>
        <v>-4.93103448275862E-2</v>
      </c>
      <c r="G369" s="365">
        <f t="array" ref="G369">SUM(G$350:G$362/$M$115:$M$127*($B369=$F$114:$N$114)*($F$115:$N$127))</f>
        <v>-4.8602050326188251E-2</v>
      </c>
      <c r="H369" s="365">
        <f t="array" ref="H369">SUM(H$350:H$362/$M$115:$M$127*($B369=$F$114:$N$114)*($F$115:$N$127))</f>
        <v>-4.4454799627213416E-2</v>
      </c>
      <c r="I369" s="365">
        <f t="array" ref="I369">SUM(I$350:I$362/$M$115:$M$127*($B369=$F$114:$N$114)*($F$115:$N$127))</f>
        <v>-3.8909599254426837E-2</v>
      </c>
      <c r="J369" s="365">
        <f t="array" ref="J369">SUM(J$350:J$362/$M$115:$M$127*($B369=$F$114:$N$114)*($F$115:$N$127))</f>
        <v>-3.2618825722273995E-2</v>
      </c>
      <c r="K369" s="365">
        <f t="array" ref="K369">SUM(K$350:K$362/$M$115:$M$127*($B369=$F$114:$N$114)*($F$115:$N$127))</f>
        <v>-2.558247903075489E-2</v>
      </c>
      <c r="L369" s="365">
        <f t="array" ref="L369">SUM(L$350:L$362/$M$115:$M$127*($B369=$F$114:$N$114)*($F$115:$N$127))</f>
        <v>-1.7800559179869519E-2</v>
      </c>
      <c r="M369" s="365">
        <f t="array" ref="M369">SUM(M$350:M$362/$M$115:$M$127*($B369=$F$114:$N$114)*($F$115:$N$127))</f>
        <v>-9.2730661696178874E-3</v>
      </c>
      <c r="N369" s="365">
        <f t="array" ref="N369">SUM(N$350:N$362/$M$115:$M$127*($B369=$F$114:$N$114)*($F$115:$N$127))</f>
        <v>0</v>
      </c>
    </row>
    <row r="370" spans="2:14">
      <c r="B370" s="373" t="s">
        <v>98</v>
      </c>
      <c r="C370" s="6" t="s">
        <v>88</v>
      </c>
      <c r="F370" s="365">
        <f t="array" ref="F370">SUM(F$350:F$362/$M$115:$M$127*($B370=$F$114:$N$114)*($F$115:$N$127))</f>
        <v>-0.33907216494845366</v>
      </c>
      <c r="G370" s="365">
        <f t="array" ref="G370">SUM(G$350:G$362/$M$115:$M$127*($B370=$F$114:$N$114)*($F$115:$N$127))</f>
        <v>-0.3342017275006966</v>
      </c>
      <c r="H370" s="365">
        <f t="array" ref="H370">SUM(H$350:H$362/$M$115:$M$127*($B370=$F$114:$N$114)*($F$115:$N$127))</f>
        <v>-0.30568403455001392</v>
      </c>
      <c r="I370" s="365">
        <f t="array" ref="I370">SUM(I$350:I$362/$M$115:$M$127*($B370=$F$114:$N$114)*($F$115:$N$127))</f>
        <v>-0.26755363611033706</v>
      </c>
      <c r="J370" s="365">
        <f t="array" ref="J370">SUM(J$350:J$362/$M$115:$M$127*($B370=$F$114:$N$114)*($F$115:$N$127))</f>
        <v>-0.22429646140986342</v>
      </c>
      <c r="K370" s="365">
        <f t="array" ref="K370">SUM(K$350:K$362/$M$115:$M$127*($B370=$F$114:$N$114)*($F$115:$N$127))</f>
        <v>-0.17591251044859285</v>
      </c>
      <c r="L370" s="365">
        <f t="array" ref="L370">SUM(L$350:L$362/$M$115:$M$127*($B370=$F$114:$N$114)*($F$115:$N$127))</f>
        <v>-0.12240178322652542</v>
      </c>
      <c r="M370" s="365">
        <f t="array" ref="M370">SUM(M$350:M$362/$M$115:$M$127*($B370=$F$114:$N$114)*($F$115:$N$127))</f>
        <v>-6.3764279743661112E-2</v>
      </c>
      <c r="N370" s="365">
        <f t="array" ref="N370">SUM(N$350:N$362/$M$115:$M$127*($B370=$F$114:$N$114)*($F$115:$N$127))</f>
        <v>0</v>
      </c>
    </row>
    <row r="371" spans="2:14">
      <c r="B371" s="373" t="s">
        <v>99</v>
      </c>
      <c r="C371" s="6" t="s">
        <v>89</v>
      </c>
      <c r="F371" s="365">
        <f t="array" ref="F371">SUM(F$350:F$362/$M$115:$M$127*($B371=$F$114:$N$114)*($F$115:$N$127))</f>
        <v>-0.73774436090225559</v>
      </c>
      <c r="G371" s="365">
        <f t="array" ref="G371">SUM(G$350:G$362/$M$115:$M$127*($B371=$F$114:$N$114)*($F$115:$N$127))</f>
        <v>-0.79795226111015582</v>
      </c>
      <c r="H371" s="365">
        <f t="array" ref="H371">SUM(H$350:H$362/$M$115:$M$127*($B371=$F$114:$N$114)*($F$115:$N$127))</f>
        <v>-0.92954840323261378</v>
      </c>
      <c r="I371" s="365">
        <f t="array" ref="I371">SUM(I$350:I$362/$M$115:$M$127*($B371=$F$114:$N$114)*($F$115:$N$127))</f>
        <v>-1.058287089866037</v>
      </c>
      <c r="J371" s="365">
        <f t="array" ref="J371">SUM(J$350:J$362/$M$115:$M$127*($B371=$F$114:$N$114)*($F$115:$N$127))</f>
        <v>-1.1948790896159318</v>
      </c>
      <c r="K371" s="365">
        <f t="array" ref="K371">SUM(K$350:K$362/$M$115:$M$127*($B371=$F$114:$N$114)*($F$115:$N$127))</f>
        <v>-1.3393244024822972</v>
      </c>
      <c r="L371" s="365">
        <f t="array" ref="L371">SUM(L$350:L$362/$M$115:$M$127*($B371=$F$114:$N$114)*($F$115:$N$127))</f>
        <v>-1.4916230284651337</v>
      </c>
      <c r="M371" s="365">
        <f t="array" ref="M371">SUM(M$350:M$362/$M$115:$M$127*($B371=$F$114:$N$114)*($F$115:$N$127))</f>
        <v>-1.6517749675644411</v>
      </c>
      <c r="N371" s="365">
        <f t="array" ref="N371">SUM(N$350:N$362/$M$115:$M$127*($B371=$F$114:$N$114)*($F$115:$N$127))</f>
        <v>-1.8197802197802195</v>
      </c>
    </row>
    <row r="372" spans="2:14">
      <c r="B372" s="373" t="s">
        <v>100</v>
      </c>
      <c r="C372" s="6" t="s">
        <v>90</v>
      </c>
      <c r="F372" s="365">
        <f t="array" ref="F372">SUM(F$350:F$362/$M$115:$M$127*($B372=$F$114:$N$114)*($F$115:$N$127))</f>
        <v>0</v>
      </c>
      <c r="G372" s="365">
        <f t="array" ref="G372">SUM(G$350:G$362/$M$115:$M$127*($B372=$F$114:$N$114)*($F$115:$N$127))</f>
        <v>0</v>
      </c>
      <c r="H372" s="365">
        <f t="array" ref="H372">SUM(H$350:H$362/$M$115:$M$127*($B372=$F$114:$N$114)*($F$115:$N$127))</f>
        <v>0</v>
      </c>
      <c r="I372" s="365">
        <f t="array" ref="I372">SUM(I$350:I$362/$M$115:$M$127*($B372=$F$114:$N$114)*($F$115:$N$127))</f>
        <v>0</v>
      </c>
      <c r="J372" s="365">
        <f t="array" ref="J372">SUM(J$350:J$362/$M$115:$M$127*($B372=$F$114:$N$114)*($F$115:$N$127))</f>
        <v>0</v>
      </c>
      <c r="K372" s="365">
        <f t="array" ref="K372">SUM(K$350:K$362/$M$115:$M$127*($B372=$F$114:$N$114)*($F$115:$N$127))</f>
        <v>0</v>
      </c>
      <c r="L372" s="365">
        <f t="array" ref="L372">SUM(L$350:L$362/$M$115:$M$127*($B372=$F$114:$N$114)*($F$115:$N$127))</f>
        <v>0</v>
      </c>
      <c r="M372" s="365">
        <f t="array" ref="M372">SUM(M$350:M$362/$M$115:$M$127*($B372=$F$114:$N$114)*($F$115:$N$127))</f>
        <v>0</v>
      </c>
      <c r="N372" s="365">
        <f t="array" ref="N372">SUM(N$350:N$362/$M$115:$M$127*($B372=$F$114:$N$114)*($F$115:$N$127))</f>
        <v>0</v>
      </c>
    </row>
    <row r="373" spans="2:14">
      <c r="B373" s="373" t="s">
        <v>101</v>
      </c>
      <c r="C373" s="6" t="s">
        <v>91</v>
      </c>
      <c r="F373" s="365">
        <f t="array" ref="F373">SUM(F$350:F$362/$M$115:$M$127*($B373=$F$114:$N$114)*($F$115:$N$127))</f>
        <v>-7.1500000000000001E-3</v>
      </c>
      <c r="G373" s="365">
        <f t="array" ref="G373">SUM(G$350:G$362/$M$115:$M$127*($B373=$F$114:$N$114)*($F$115:$N$127))</f>
        <v>-1.1745495495495497E-2</v>
      </c>
      <c r="H373" s="365">
        <f t="array" ref="H373">SUM(H$350:H$362/$M$115:$M$127*($B373=$F$114:$N$114)*($F$115:$N$127))</f>
        <v>-2.3993243243243246E-2</v>
      </c>
      <c r="I373" s="365">
        <f t="array" ref="I373">SUM(I$350:I$362/$M$115:$M$127*($B373=$F$114:$N$114)*($F$115:$N$127))</f>
        <v>-3.7236486486486489E-2</v>
      </c>
      <c r="J373" s="365">
        <f t="array" ref="J373">SUM(J$350:J$362/$M$115:$M$127*($B373=$F$114:$N$114)*($F$115:$N$127))</f>
        <v>-5.163288288288289E-2</v>
      </c>
      <c r="K373" s="365">
        <f t="array" ref="K373">SUM(K$350:K$362/$M$115:$M$127*($B373=$F$114:$N$114)*($F$115:$N$127))</f>
        <v>-6.7182432432432437E-2</v>
      </c>
      <c r="L373" s="365">
        <f t="array" ref="L373">SUM(L$350:L$362/$M$115:$M$127*($B373=$F$114:$N$114)*($F$115:$N$127))</f>
        <v>-8.3885135135135125E-2</v>
      </c>
      <c r="M373" s="365">
        <f t="array" ref="M373">SUM(M$350:M$362/$M$115:$M$127*($B373=$F$114:$N$114)*($F$115:$N$127))</f>
        <v>-0.10174099099099099</v>
      </c>
      <c r="N373" s="365">
        <f t="array" ref="N373">SUM(N$350:N$362/$M$115:$M$127*($B373=$F$114:$N$114)*($F$115:$N$127))</f>
        <v>-0.12075</v>
      </c>
    </row>
    <row r="374" spans="2:14">
      <c r="B374" s="373" t="s">
        <v>102</v>
      </c>
      <c r="C374" s="6" t="s">
        <v>92</v>
      </c>
      <c r="F374" s="365">
        <f t="array" ref="F374">SUM(F$350:F$362/$M$115:$M$127*($B374=$F$114:$N$114)*($F$115:$N$127))</f>
        <v>1.43</v>
      </c>
      <c r="G374" s="365">
        <f t="array" ref="G374">SUM(G$350:G$362/$M$115:$M$127*($B374=$F$114:$N$114)*($F$115:$N$127))</f>
        <v>1.49</v>
      </c>
      <c r="H374" s="365">
        <f t="array" ref="H374">SUM(H$350:H$362/$M$115:$M$127*($B374=$F$114:$N$114)*($F$115:$N$127))</f>
        <v>1.5899999999999999</v>
      </c>
      <c r="I374" s="365">
        <f t="array" ref="I374">SUM(I$350:I$362/$M$115:$M$127*($B374=$F$114:$N$114)*($F$115:$N$127))</f>
        <v>1.6699999999999997</v>
      </c>
      <c r="J374" s="365">
        <f t="array" ref="J374">SUM(J$350:J$362/$M$115:$M$127*($B374=$F$114:$N$114)*($F$115:$N$127))</f>
        <v>1.75</v>
      </c>
      <c r="K374" s="365">
        <f t="array" ref="K374">SUM(K$350:K$362/$M$115:$M$127*($B374=$F$114:$N$114)*($F$115:$N$127))</f>
        <v>1.83</v>
      </c>
      <c r="L374" s="365">
        <f t="array" ref="L374">SUM(L$350:L$362/$M$115:$M$127*($B374=$F$114:$N$114)*($F$115:$N$127))</f>
        <v>1.9099999999999997</v>
      </c>
      <c r="M374" s="365">
        <f t="array" ref="M374">SUM(M$350:M$362/$M$115:$M$127*($B374=$F$114:$N$114)*($F$115:$N$127))</f>
        <v>1.99</v>
      </c>
      <c r="N374" s="365">
        <f t="array" ref="N374">SUM(N$350:N$362/$M$115:$M$127*($B374=$F$114:$N$114)*($F$115:$N$127))</f>
        <v>2.0699999999999998</v>
      </c>
    </row>
    <row r="375" spans="2:14">
      <c r="B375" s="373" t="s">
        <v>103</v>
      </c>
      <c r="C375" s="6" t="s">
        <v>93</v>
      </c>
      <c r="F375" s="365">
        <f t="array" ref="F375">SUM(F$350:F$362/$M$115:$M$127*($B375=$F$114:$N$114)*($F$115:$N$127))</f>
        <v>0.13942687067829543</v>
      </c>
      <c r="G375" s="365">
        <f t="array" ref="G375">SUM(G$350:G$362/$M$115:$M$127*($B375=$F$114:$N$114)*($F$115:$N$127))</f>
        <v>0.1437965794775812</v>
      </c>
      <c r="H375" s="365">
        <f t="array" ref="H375">SUM(H$350:H$362/$M$115:$M$127*($B375=$F$114:$N$114)*($F$115:$N$127))</f>
        <v>0.14949804822065194</v>
      </c>
      <c r="I375" s="365">
        <f t="array" ref="I375">SUM(I$350:I$362/$M$115:$M$127*($B375=$F$114:$N$114)*($F$115:$N$127))</f>
        <v>0.15287194685242281</v>
      </c>
      <c r="J375" s="365">
        <f t="array" ref="J375">SUM(J$350:J$362/$M$115:$M$127*($B375=$F$114:$N$114)*($F$115:$N$127))</f>
        <v>0.15584843080212324</v>
      </c>
      <c r="K375" s="365">
        <f t="array" ref="K375">SUM(K$350:K$362/$M$115:$M$127*($B375=$F$114:$N$114)*($F$115:$N$127))</f>
        <v>0.15842750006975315</v>
      </c>
      <c r="L375" s="365">
        <f t="array" ref="L375">SUM(L$350:L$362/$M$115:$M$127*($B375=$F$114:$N$114)*($F$115:$N$127))</f>
        <v>0.16060915465531253</v>
      </c>
      <c r="M375" s="365">
        <f t="array" ref="M375">SUM(M$350:M$362/$M$115:$M$127*($B375=$F$114:$N$114)*($F$115:$N$127))</f>
        <v>0.16239339455880139</v>
      </c>
      <c r="N375" s="365">
        <f t="array" ref="N375">SUM(N$350:N$362/$M$115:$M$127*($B375=$F$114:$N$114)*($F$115:$N$127))</f>
        <v>0.16378021978021975</v>
      </c>
    </row>
    <row r="376" spans="2:14">
      <c r="B376" s="373"/>
      <c r="C376" s="6"/>
      <c r="E376" s="355" t="str">
        <f>Preferences.EnergyUnits</f>
        <v>TWh</v>
      </c>
      <c r="F376" s="371">
        <f t="shared" ref="F376:N376" si="41">SUM(F367:F375)</f>
        <v>0</v>
      </c>
      <c r="G376" s="371">
        <f t="shared" si="41"/>
        <v>0</v>
      </c>
      <c r="H376" s="371">
        <f t="shared" si="41"/>
        <v>-3.3306690738754696E-16</v>
      </c>
      <c r="I376" s="371">
        <f t="shared" si="41"/>
        <v>0</v>
      </c>
      <c r="J376" s="371">
        <f t="shared" si="41"/>
        <v>0</v>
      </c>
      <c r="K376" s="371">
        <f t="shared" si="41"/>
        <v>0</v>
      </c>
      <c r="L376" s="371">
        <f t="shared" si="41"/>
        <v>0</v>
      </c>
      <c r="M376" s="371">
        <f t="shared" si="41"/>
        <v>0</v>
      </c>
      <c r="N376" s="371">
        <f t="shared" si="41"/>
        <v>0</v>
      </c>
    </row>
    <row r="377" spans="2:14">
      <c r="E377" s="373"/>
      <c r="F377" s="1314"/>
      <c r="G377" s="1314"/>
      <c r="H377" s="1314"/>
      <c r="I377" s="1314"/>
      <c r="J377" s="1314"/>
      <c r="K377" s="1314"/>
      <c r="L377" s="1314"/>
      <c r="M377" s="1314"/>
      <c r="N377" s="1314"/>
    </row>
    <row r="378" spans="2:14">
      <c r="B378" s="354">
        <v>2</v>
      </c>
      <c r="C378" s="354" t="s">
        <v>227</v>
      </c>
      <c r="E378" s="3801"/>
    </row>
    <row r="379" spans="2:14">
      <c r="E379" s="3801"/>
      <c r="F379" s="1313">
        <v>2013</v>
      </c>
      <c r="G379" s="1313">
        <v>2015</v>
      </c>
      <c r="H379" s="1313">
        <v>2020</v>
      </c>
      <c r="I379" s="1313">
        <v>2025</v>
      </c>
      <c r="J379" s="1313">
        <v>2030</v>
      </c>
      <c r="K379" s="1313">
        <v>2035</v>
      </c>
      <c r="L379" s="1313">
        <v>2040</v>
      </c>
      <c r="M379" s="1313">
        <v>2045</v>
      </c>
      <c r="N379" s="1313">
        <v>2050</v>
      </c>
    </row>
    <row r="380" spans="2:14">
      <c r="B380" s="373"/>
      <c r="E380" s="3801"/>
      <c r="F380" s="1314"/>
      <c r="G380" s="1314"/>
      <c r="H380" s="1314"/>
      <c r="I380" s="1314"/>
      <c r="J380" s="1314"/>
      <c r="K380" s="1314"/>
      <c r="L380" s="1314"/>
      <c r="M380" s="1314"/>
      <c r="N380" s="1314"/>
    </row>
    <row r="381" spans="2:14">
      <c r="B381" s="373"/>
      <c r="C381" s="354" t="s">
        <v>959</v>
      </c>
      <c r="E381" s="355" t="str">
        <f>Preferences.EnergyUnits</f>
        <v>TWh</v>
      </c>
      <c r="F381" s="1315">
        <f>INDEX(F$31:F$34, MATCH($E$8, $C$31:$C$34, 0))</f>
        <v>8.1300000000000008</v>
      </c>
      <c r="G381" s="1315">
        <f t="shared" ref="G381:N381" si="42">INDEX(G$31:G$34, MATCH($E$8, $C$31:$C$34, 0))</f>
        <v>8.35</v>
      </c>
      <c r="H381" s="1315">
        <f t="shared" si="42"/>
        <v>9.0225000000000009</v>
      </c>
      <c r="I381" s="1315">
        <f t="shared" si="42"/>
        <v>9.46875</v>
      </c>
      <c r="J381" s="1315">
        <f t="shared" si="42"/>
        <v>9.9149999999999991</v>
      </c>
      <c r="K381" s="1315">
        <f t="shared" si="42"/>
        <v>10.36125</v>
      </c>
      <c r="L381" s="1315">
        <f t="shared" si="42"/>
        <v>10.807499999999999</v>
      </c>
      <c r="M381" s="1315">
        <f t="shared" si="42"/>
        <v>11.25375</v>
      </c>
      <c r="N381" s="1315">
        <f t="shared" si="42"/>
        <v>11.7</v>
      </c>
    </row>
    <row r="382" spans="2:14">
      <c r="B382">
        <v>1</v>
      </c>
      <c r="C382" t="s">
        <v>45</v>
      </c>
      <c r="D382" s="373"/>
      <c r="E382" s="3801"/>
      <c r="F382" s="1314">
        <f t="array" ref="F382:F394">F$381*E317:E329</f>
        <v>1.6260000000000003</v>
      </c>
      <c r="G382" s="1314">
        <f t="array" ref="G382:G394">G$381*F317:F329</f>
        <v>1.5797297297297297</v>
      </c>
      <c r="H382" s="1314">
        <f t="array" ref="H382:H394">H$381*G317:G329</f>
        <v>1.4631081081081083</v>
      </c>
      <c r="I382" s="1314">
        <f t="array" ref="I382:I394">I$381*H317:H329</f>
        <v>1.279560810810811</v>
      </c>
      <c r="J382" s="1314">
        <f t="array" ref="J382:J394">J$381*I317:I329</f>
        <v>1.0718918918918918</v>
      </c>
      <c r="K382" s="1314">
        <f t="array" ref="K382:K394">K$381*J317:J329</f>
        <v>0.84010135135135144</v>
      </c>
      <c r="L382" s="1314">
        <f t="array" ref="L382:L394">L$381*K317:K329</f>
        <v>0.58418918918918916</v>
      </c>
      <c r="M382" s="1314">
        <f t="array" ref="M382:M394">M$381*L317:L329</f>
        <v>0.30415540540540542</v>
      </c>
      <c r="N382" s="1314">
        <f t="array" ref="N382:N394">N$381*M317:M329</f>
        <v>0</v>
      </c>
    </row>
    <row r="383" spans="2:14">
      <c r="B383">
        <v>2</v>
      </c>
      <c r="C383" t="s">
        <v>46</v>
      </c>
      <c r="D383" s="373"/>
      <c r="E383" s="3801"/>
      <c r="F383" s="1314">
        <v>1.8699000000000003</v>
      </c>
      <c r="G383" s="1314">
        <v>2.1777702702702704</v>
      </c>
      <c r="H383" s="1314">
        <v>3.0481418918918921</v>
      </c>
      <c r="I383" s="1314">
        <v>3.9282516891891892</v>
      </c>
      <c r="J383" s="1314">
        <v>4.8771081081081071</v>
      </c>
      <c r="K383" s="1314">
        <v>5.8947111486486481</v>
      </c>
      <c r="L383" s="1314">
        <v>6.9810608108108099</v>
      </c>
      <c r="M383" s="1314">
        <v>8.1361570945945942</v>
      </c>
      <c r="N383" s="1314">
        <v>9.36</v>
      </c>
    </row>
    <row r="384" spans="2:14">
      <c r="B384" s="354">
        <v>3</v>
      </c>
      <c r="C384" t="s">
        <v>47</v>
      </c>
      <c r="D384" s="373"/>
      <c r="E384" s="3801"/>
      <c r="F384" s="1314">
        <v>2.4390000000000001</v>
      </c>
      <c r="G384" s="1314">
        <v>2.4147297297297294</v>
      </c>
      <c r="H384" s="1314">
        <v>2.3653581081081083</v>
      </c>
      <c r="I384" s="1314">
        <v>2.2264358108108109</v>
      </c>
      <c r="J384" s="1314">
        <v>2.0633918918918916</v>
      </c>
      <c r="K384" s="1314">
        <v>1.8762263513513511</v>
      </c>
      <c r="L384" s="1314">
        <v>1.6649391891891889</v>
      </c>
      <c r="M384" s="1314">
        <v>1.4295304054054052</v>
      </c>
      <c r="N384" s="1314">
        <v>1.17</v>
      </c>
    </row>
    <row r="385" spans="2:14">
      <c r="B385">
        <v>4</v>
      </c>
      <c r="C385" t="s">
        <v>48</v>
      </c>
      <c r="D385" s="373"/>
      <c r="E385" s="3801"/>
      <c r="F385" s="1314">
        <v>1.8699000000000003</v>
      </c>
      <c r="G385" s="1314">
        <v>1.8166891891891892</v>
      </c>
      <c r="H385" s="1314">
        <v>1.6825743243243243</v>
      </c>
      <c r="I385" s="1314">
        <v>1.471494932432432</v>
      </c>
      <c r="J385" s="1314">
        <v>1.2326756756756752</v>
      </c>
      <c r="K385" s="1314">
        <v>0.96611655405405372</v>
      </c>
      <c r="L385" s="1314">
        <v>0.67181756756756705</v>
      </c>
      <c r="M385" s="1314">
        <v>0.34977871621621576</v>
      </c>
      <c r="N385" s="1314">
        <v>0</v>
      </c>
    </row>
    <row r="386" spans="2:14">
      <c r="B386">
        <v>5</v>
      </c>
      <c r="C386" t="s">
        <v>49</v>
      </c>
      <c r="D386" s="373"/>
      <c r="E386" s="3801"/>
      <c r="F386" s="1314">
        <v>0.24390000000000001</v>
      </c>
      <c r="G386" s="1314">
        <v>0.23695945945945943</v>
      </c>
      <c r="H386" s="1314">
        <v>0.21946621621621623</v>
      </c>
      <c r="I386" s="1314">
        <v>0.1919341216216216</v>
      </c>
      <c r="J386" s="1314">
        <v>0.16078378378378375</v>
      </c>
      <c r="K386" s="1314">
        <v>0.12601520270270267</v>
      </c>
      <c r="L386" s="1314">
        <v>8.7628378378378335E-2</v>
      </c>
      <c r="M386" s="1314">
        <v>4.5623310810810773E-2</v>
      </c>
      <c r="N386" s="1314">
        <v>0</v>
      </c>
    </row>
    <row r="387" spans="2:14">
      <c r="B387">
        <v>6</v>
      </c>
      <c r="C387" t="s">
        <v>50</v>
      </c>
      <c r="D387" s="373"/>
      <c r="E387" s="3801"/>
      <c r="F387" s="1314">
        <v>0</v>
      </c>
      <c r="G387" s="1314">
        <v>0</v>
      </c>
      <c r="H387" s="1314">
        <v>0</v>
      </c>
      <c r="I387" s="1314">
        <v>0</v>
      </c>
      <c r="J387" s="1314">
        <v>0</v>
      </c>
      <c r="K387" s="1314">
        <v>0</v>
      </c>
      <c r="L387" s="1314">
        <v>0</v>
      </c>
      <c r="M387" s="1314">
        <v>0</v>
      </c>
      <c r="N387" s="1314">
        <v>0</v>
      </c>
    </row>
    <row r="388" spans="2:14">
      <c r="B388">
        <v>7</v>
      </c>
      <c r="C388" t="s">
        <v>51</v>
      </c>
      <c r="D388" s="373"/>
      <c r="E388" s="3801"/>
      <c r="F388" s="1314">
        <v>0</v>
      </c>
      <c r="G388" s="1314">
        <v>0</v>
      </c>
      <c r="H388" s="1314">
        <v>0</v>
      </c>
      <c r="I388" s="1314">
        <v>0</v>
      </c>
      <c r="J388" s="1314">
        <v>0</v>
      </c>
      <c r="K388" s="1314">
        <v>0</v>
      </c>
      <c r="L388" s="1314">
        <v>0</v>
      </c>
      <c r="M388" s="1314">
        <v>0</v>
      </c>
      <c r="N388" s="1314">
        <v>0</v>
      </c>
    </row>
    <row r="389" spans="2:14">
      <c r="B389">
        <v>8</v>
      </c>
      <c r="C389" t="s">
        <v>52</v>
      </c>
      <c r="D389" s="373"/>
      <c r="E389" s="3801"/>
      <c r="F389" s="1314">
        <v>8.1300000000000011E-2</v>
      </c>
      <c r="G389" s="1314">
        <v>0.10155405405405406</v>
      </c>
      <c r="H389" s="1314">
        <v>0.15850337837837841</v>
      </c>
      <c r="I389" s="1314">
        <v>0.21752533783783784</v>
      </c>
      <c r="J389" s="1314">
        <v>0.2813716216216216</v>
      </c>
      <c r="K389" s="1314">
        <v>0.35004222972972976</v>
      </c>
      <c r="L389" s="1314">
        <v>0.42353716216216214</v>
      </c>
      <c r="M389" s="1314">
        <v>0.50185641891891897</v>
      </c>
      <c r="N389" s="1314">
        <v>0.58499999999999996</v>
      </c>
    </row>
    <row r="390" spans="2:14">
      <c r="B390">
        <v>9</v>
      </c>
      <c r="C390" t="s">
        <v>53</v>
      </c>
      <c r="D390" s="373"/>
      <c r="E390" s="3801"/>
      <c r="F390" s="1314">
        <v>0</v>
      </c>
      <c r="G390" s="1314">
        <v>2.256756756756757E-2</v>
      </c>
      <c r="H390" s="1314">
        <v>8.5347972972972988E-2</v>
      </c>
      <c r="I390" s="1314">
        <v>0.1535472972972973</v>
      </c>
      <c r="J390" s="1314">
        <v>0.22777702702702701</v>
      </c>
      <c r="K390" s="1314">
        <v>0.3080371621621622</v>
      </c>
      <c r="L390" s="1314">
        <v>0.39432770270270268</v>
      </c>
      <c r="M390" s="1314">
        <v>0.48664864864864871</v>
      </c>
      <c r="N390" s="1314">
        <v>0.58499999999999996</v>
      </c>
    </row>
    <row r="391" spans="2:14">
      <c r="B391">
        <v>10</v>
      </c>
      <c r="C391" t="s">
        <v>54</v>
      </c>
      <c r="D391" s="373"/>
      <c r="E391" s="3801"/>
      <c r="F391" s="1314">
        <v>0</v>
      </c>
      <c r="G391" s="1314">
        <v>0</v>
      </c>
      <c r="H391" s="1314">
        <v>0</v>
      </c>
      <c r="I391" s="1314">
        <v>0</v>
      </c>
      <c r="J391" s="1314">
        <v>0</v>
      </c>
      <c r="K391" s="1314">
        <v>0</v>
      </c>
      <c r="L391" s="1314">
        <v>0</v>
      </c>
      <c r="M391" s="1314">
        <v>0</v>
      </c>
      <c r="N391" s="1314">
        <v>0</v>
      </c>
    </row>
    <row r="392" spans="2:14">
      <c r="B392">
        <v>11</v>
      </c>
      <c r="C392" t="s">
        <v>55</v>
      </c>
      <c r="D392" s="373"/>
      <c r="E392" s="3801"/>
      <c r="F392" s="1314">
        <v>0</v>
      </c>
      <c r="G392" s="1314">
        <v>0</v>
      </c>
      <c r="H392" s="1314">
        <v>0</v>
      </c>
      <c r="I392" s="1314">
        <v>0</v>
      </c>
      <c r="J392" s="1314">
        <v>0</v>
      </c>
      <c r="K392" s="1314">
        <v>0</v>
      </c>
      <c r="L392" s="1314">
        <v>0</v>
      </c>
      <c r="M392" s="1314">
        <v>0</v>
      </c>
      <c r="N392" s="1314">
        <v>0</v>
      </c>
    </row>
    <row r="393" spans="2:14">
      <c r="B393">
        <v>12</v>
      </c>
      <c r="C393" t="s">
        <v>56</v>
      </c>
      <c r="D393" s="373"/>
      <c r="E393" s="3801"/>
      <c r="F393" s="1314">
        <v>0</v>
      </c>
      <c r="G393" s="1314">
        <v>0</v>
      </c>
      <c r="H393" s="1314">
        <v>0</v>
      </c>
      <c r="I393" s="1314">
        <v>0</v>
      </c>
      <c r="J393" s="1314">
        <v>0</v>
      </c>
      <c r="K393" s="1314">
        <v>0</v>
      </c>
      <c r="L393" s="1314">
        <v>0</v>
      </c>
      <c r="M393" s="1314">
        <v>0</v>
      </c>
      <c r="N393" s="1314">
        <v>0</v>
      </c>
    </row>
    <row r="394" spans="2:14">
      <c r="B394">
        <v>13</v>
      </c>
      <c r="C394" t="s">
        <v>57</v>
      </c>
      <c r="D394" s="373"/>
      <c r="E394" s="3801"/>
      <c r="F394" s="1314">
        <v>0</v>
      </c>
      <c r="G394" s="1314">
        <v>0</v>
      </c>
      <c r="H394" s="1314">
        <v>0</v>
      </c>
      <c r="I394" s="1314">
        <v>0</v>
      </c>
      <c r="J394" s="1314">
        <v>0</v>
      </c>
      <c r="K394" s="1314">
        <v>0</v>
      </c>
      <c r="L394" s="1314">
        <v>0</v>
      </c>
      <c r="M394" s="1314">
        <v>0</v>
      </c>
      <c r="N394" s="1314">
        <v>0</v>
      </c>
    </row>
    <row r="395" spans="2:14">
      <c r="E395" s="373"/>
      <c r="F395" s="1316">
        <f>SUM(F382:F394)</f>
        <v>8.1300000000000008</v>
      </c>
      <c r="G395" s="1316">
        <f>SUM(G382:G394)</f>
        <v>8.3499999999999979</v>
      </c>
      <c r="H395" s="1316">
        <f t="shared" ref="H395:N395" si="43">SUM(H382:H394)</f>
        <v>9.0225000000000026</v>
      </c>
      <c r="I395" s="1316">
        <f t="shared" si="43"/>
        <v>9.46875</v>
      </c>
      <c r="J395" s="1316">
        <f t="shared" si="43"/>
        <v>9.9149999999999991</v>
      </c>
      <c r="K395" s="1316">
        <f t="shared" si="43"/>
        <v>10.36125</v>
      </c>
      <c r="L395" s="1316">
        <f t="shared" si="43"/>
        <v>10.807499999999997</v>
      </c>
      <c r="M395" s="1316">
        <f t="shared" si="43"/>
        <v>11.253749999999998</v>
      </c>
      <c r="N395" s="1316">
        <f t="shared" si="43"/>
        <v>11.7</v>
      </c>
    </row>
    <row r="396" spans="2:14">
      <c r="E396" s="373"/>
      <c r="F396" s="1314"/>
      <c r="G396" s="1314"/>
      <c r="H396" s="1314"/>
      <c r="I396" s="1314"/>
      <c r="J396" s="1314"/>
      <c r="K396" s="1314"/>
      <c r="L396" s="1314"/>
      <c r="M396" s="1314"/>
      <c r="N396" s="1314"/>
    </row>
    <row r="397" spans="2:14">
      <c r="B397" s="354"/>
      <c r="C397" s="354" t="s">
        <v>226</v>
      </c>
      <c r="E397" s="355"/>
    </row>
    <row r="398" spans="2:14">
      <c r="E398" s="373"/>
      <c r="F398" s="365"/>
    </row>
    <row r="399" spans="2:14">
      <c r="B399" s="373" t="s">
        <v>95</v>
      </c>
      <c r="C399" s="6" t="s">
        <v>85</v>
      </c>
      <c r="E399" s="373"/>
      <c r="F399" s="365">
        <f t="array" ref="F399">SUM(F$382:F$394/$M$97:$M$109*($B399=$F$96:$N$96)*($F$97:$N$109))</f>
        <v>-2.4661</v>
      </c>
      <c r="G399" s="365">
        <f t="array" ref="G399">SUM(G$382:G$394/$M$97:$M$109*($B399=$F$96:$N$96)*($F$97:$N$109))</f>
        <v>-2.4542229729729725</v>
      </c>
      <c r="H399" s="365">
        <f t="array" ref="H399">SUM(H$382:H$394/$M$97:$M$109*($B399=$F$96:$N$96)*($F$97:$N$109))</f>
        <v>-2.4395295608108114</v>
      </c>
      <c r="I399" s="365">
        <f t="array" ref="I399">SUM(I$382:I$394/$M$97:$M$109*($B399=$F$96:$N$96)*($F$97:$N$109))</f>
        <v>-2.3373310810810812</v>
      </c>
      <c r="J399" s="365">
        <f t="array" ref="J399">SUM(J$382:J$394/$M$97:$M$109*($B399=$F$96:$N$96)*($F$97:$N$109))</f>
        <v>-2.2141266891891891</v>
      </c>
      <c r="K399" s="365">
        <f t="array" ref="K399">SUM(K$382:K$394/$M$97:$M$109*($B399=$F$96:$N$96)*($F$97:$N$109))</f>
        <v>-2.069916385135135</v>
      </c>
      <c r="L399" s="365">
        <f t="array" ref="L399">SUM(L$382:L$394/$M$97:$M$109*($B399=$F$96:$N$96)*($F$97:$N$109))</f>
        <v>-1.9047001689189187</v>
      </c>
      <c r="M399" s="365">
        <f t="array" ref="M399">SUM(M$382:M$394/$M$97:$M$109*($B399=$F$96:$N$96)*($F$97:$N$109))</f>
        <v>-1.7184780405405402</v>
      </c>
      <c r="N399" s="365">
        <f t="array" ref="N399">SUM(N$382:N$394/$M$97:$M$109*($B399=$F$96:$N$96)*($F$97:$N$109))</f>
        <v>-1.51125</v>
      </c>
    </row>
    <row r="400" spans="2:14">
      <c r="B400" s="373" t="s">
        <v>96</v>
      </c>
      <c r="C400" s="6" t="s">
        <v>86</v>
      </c>
      <c r="E400" s="373"/>
      <c r="F400" s="365">
        <f t="array" ref="F400">SUM(F$382:F$394/$M$97:$M$109*($B400=$F$96:$N$96)*($F$97:$N$109))</f>
        <v>0</v>
      </c>
      <c r="G400" s="365">
        <f t="array" ref="G400">SUM(G$382:G$394/$M$97:$M$109*($B400=$F$96:$N$96)*($F$97:$N$109))</f>
        <v>0</v>
      </c>
      <c r="H400" s="365">
        <f t="array" ref="H400">SUM(H$382:H$394/$M$97:$M$109*($B400=$F$96:$N$96)*($F$97:$N$109))</f>
        <v>0</v>
      </c>
      <c r="I400" s="365">
        <f t="array" ref="I400">SUM(I$382:I$394/$M$97:$M$109*($B400=$F$96:$N$96)*($F$97:$N$109))</f>
        <v>0</v>
      </c>
      <c r="J400" s="365">
        <f t="array" ref="J400">SUM(J$382:J$394/$M$97:$M$109*($B400=$F$96:$N$96)*($F$97:$N$109))</f>
        <v>0</v>
      </c>
      <c r="K400" s="365">
        <f t="array" ref="K400">SUM(K$382:K$394/$M$97:$M$109*($B400=$F$96:$N$96)*($F$97:$N$109))</f>
        <v>0</v>
      </c>
      <c r="L400" s="365">
        <f t="array" ref="L400">SUM(L$382:L$394/$M$97:$M$109*($B400=$F$96:$N$96)*($F$97:$N$109))</f>
        <v>0</v>
      </c>
      <c r="M400" s="365">
        <f t="array" ref="M400">SUM(M$382:M$394/$M$97:$M$109*($B400=$F$96:$N$96)*($F$97:$N$109))</f>
        <v>0</v>
      </c>
      <c r="N400" s="365">
        <f t="array" ref="N400">SUM(N$382:N$394/$M$97:$M$109*($B400=$F$96:$N$96)*($F$97:$N$109))</f>
        <v>0</v>
      </c>
    </row>
    <row r="401" spans="2:14">
      <c r="B401" s="373" t="s">
        <v>97</v>
      </c>
      <c r="C401" s="6" t="s">
        <v>87</v>
      </c>
      <c r="E401" s="373"/>
      <c r="F401" s="365">
        <f t="array" ref="F401">SUM(F$382:F$394/$M$97:$M$109*($B401=$F$96:$N$96)*($F$97:$N$109))</f>
        <v>-0.28034482758620688</v>
      </c>
      <c r="G401" s="365">
        <f t="array" ref="G401">SUM(G$382:G$394/$M$97:$M$109*($B401=$F$96:$N$96)*($F$97:$N$109))</f>
        <v>-0.27236719478098786</v>
      </c>
      <c r="H401" s="365">
        <f t="array" ref="H401">SUM(H$382:H$394/$M$97:$M$109*($B401=$F$96:$N$96)*($F$97:$N$109))</f>
        <v>-0.25226001863932901</v>
      </c>
      <c r="I401" s="365">
        <f t="array" ref="I401">SUM(I$382:I$394/$M$97:$M$109*($B401=$F$96:$N$96)*($F$97:$N$109))</f>
        <v>-0.22061393289841563</v>
      </c>
      <c r="J401" s="365">
        <f t="array" ref="J401">SUM(J$382:J$394/$M$97:$M$109*($B401=$F$96:$N$96)*($F$97:$N$109))</f>
        <v>-0.18480894687791236</v>
      </c>
      <c r="K401" s="365">
        <f t="array" ref="K401">SUM(K$382:K$394/$M$97:$M$109*($B401=$F$96:$N$96)*($F$97:$N$109))</f>
        <v>-0.14484506057781915</v>
      </c>
      <c r="L401" s="365">
        <f t="array" ref="L401">SUM(L$382:L$394/$M$97:$M$109*($B401=$F$96:$N$96)*($F$97:$N$109))</f>
        <v>-0.10072227399813602</v>
      </c>
      <c r="M401" s="365">
        <f t="array" ref="M401">SUM(M$382:M$394/$M$97:$M$109*($B401=$F$96:$N$96)*($F$97:$N$109))</f>
        <v>-5.244058713886296E-2</v>
      </c>
      <c r="N401" s="365">
        <f t="array" ref="N401">SUM(N$382:N$394/$M$97:$M$109*($B401=$F$96:$N$96)*($F$97:$N$109))</f>
        <v>0</v>
      </c>
    </row>
    <row r="402" spans="2:14">
      <c r="B402" s="373" t="s">
        <v>98</v>
      </c>
      <c r="C402" s="6" t="s">
        <v>88</v>
      </c>
      <c r="E402" s="373"/>
      <c r="F402" s="365">
        <f t="array" ref="F402">SUM(F$382:F$394/$M$97:$M$109*($B402=$F$96:$N$96)*($F$97:$N$109))</f>
        <v>-1.9277319587628869</v>
      </c>
      <c r="G402" s="365">
        <f t="array" ref="G402">SUM(G$382:G$394/$M$97:$M$109*($B402=$F$96:$N$96)*($F$97:$N$109))</f>
        <v>-1.8728754527723601</v>
      </c>
      <c r="H402" s="365">
        <f t="array" ref="H402">SUM(H$382:H$394/$M$97:$M$109*($B402=$F$96:$N$96)*($F$97:$N$109))</f>
        <v>-1.7346127054889942</v>
      </c>
      <c r="I402" s="365">
        <f t="array" ref="I402">SUM(I$382:I$394/$M$97:$M$109*($B402=$F$96:$N$96)*($F$97:$N$109))</f>
        <v>-1.5170050849818888</v>
      </c>
      <c r="J402" s="365">
        <f t="array" ref="J402">SUM(J$382:J$394/$M$97:$M$109*($B402=$F$96:$N$96)*($F$97:$N$109))</f>
        <v>-1.270799665645026</v>
      </c>
      <c r="K402" s="365">
        <f t="array" ref="K402">SUM(K$382:K$394/$M$97:$M$109*($B402=$F$96:$N$96)*($F$97:$N$109))</f>
        <v>-0.99599644747840588</v>
      </c>
      <c r="L402" s="365">
        <f t="array" ref="L402">SUM(L$382:L$394/$M$97:$M$109*($B402=$F$96:$N$96)*($F$97:$N$109))</f>
        <v>-0.69259543048202787</v>
      </c>
      <c r="M402" s="365">
        <f t="array" ref="M402">SUM(M$382:M$394/$M$97:$M$109*($B402=$F$96:$N$96)*($F$97:$N$109))</f>
        <v>-0.36059661465589254</v>
      </c>
      <c r="N402" s="365">
        <f t="array" ref="N402">SUM(N$382:N$394/$M$97:$M$109*($B402=$F$96:$N$96)*($F$97:$N$109))</f>
        <v>0</v>
      </c>
    </row>
    <row r="403" spans="2:14">
      <c r="B403" s="373" t="s">
        <v>99</v>
      </c>
      <c r="C403" s="6" t="s">
        <v>89</v>
      </c>
      <c r="E403" s="373"/>
      <c r="F403" s="365">
        <f t="array" ref="F403">SUM(F$382:F$394/$M$97:$M$109*($B403=$F$96:$N$96)*($F$97:$N$109))</f>
        <v>-4.1943088490456919</v>
      </c>
      <c r="G403" s="365">
        <f t="array" ref="G403">SUM(G$382:G$394/$M$97:$M$109*($B403=$F$96:$N$96)*($F$97:$N$109))</f>
        <v>-4.4717458927985243</v>
      </c>
      <c r="H403" s="365">
        <f t="array" ref="H403">SUM(H$382:H$394/$M$97:$M$109*($B403=$F$96:$N$96)*($F$97:$N$109))</f>
        <v>-5.2747487221171436</v>
      </c>
      <c r="I403" s="365">
        <f t="array" ref="I403">SUM(I$382:I$394/$M$97:$M$109*($B403=$F$96:$N$96)*($F$97:$N$109))</f>
        <v>-6.0003927438137969</v>
      </c>
      <c r="J403" s="365">
        <f t="array" ref="J403">SUM(J$382:J$394/$M$97:$M$109*($B403=$F$96:$N$96)*($F$97:$N$109))</f>
        <v>-6.7698435277382636</v>
      </c>
      <c r="K403" s="365">
        <f t="array" ref="K403">SUM(K$382:K$394/$M$97:$M$109*($B403=$F$96:$N$96)*($F$97:$N$109))</f>
        <v>-7.5831010738905471</v>
      </c>
      <c r="L403" s="365">
        <f t="array" ref="L403">SUM(L$382:L$394/$M$97:$M$109*($B403=$F$96:$N$96)*($F$97:$N$109))</f>
        <v>-8.4401653822706439</v>
      </c>
      <c r="M403" s="365">
        <f t="array" ref="M403">SUM(M$382:M$394/$M$97:$M$109*($B403=$F$96:$N$96)*($F$97:$N$109))</f>
        <v>-9.3410364528785568</v>
      </c>
      <c r="N403" s="365">
        <f t="array" ref="N403">SUM(N$382:N$394/$M$97:$M$109*($B403=$F$96:$N$96)*($F$97:$N$109))</f>
        <v>-10.285714285714285</v>
      </c>
    </row>
    <row r="404" spans="2:14">
      <c r="B404" s="373" t="s">
        <v>100</v>
      </c>
      <c r="C404" s="6" t="s">
        <v>90</v>
      </c>
      <c r="E404" s="373"/>
      <c r="F404" s="365">
        <f t="array" ref="F404">SUM(F$382:F$394/$M$97:$M$109*($B404=$F$96:$N$96)*($F$97:$N$109))</f>
        <v>0</v>
      </c>
      <c r="G404" s="365">
        <f t="array" ref="G404">SUM(G$382:G$394/$M$97:$M$109*($B404=$F$96:$N$96)*($F$97:$N$109))</f>
        <v>0</v>
      </c>
      <c r="H404" s="365">
        <f t="array" ref="H404">SUM(H$382:H$394/$M$97:$M$109*($B404=$F$96:$N$96)*($F$97:$N$109))</f>
        <v>0</v>
      </c>
      <c r="I404" s="365">
        <f t="array" ref="I404">SUM(I$382:I$394/$M$97:$M$109*($B404=$F$96:$N$96)*($F$97:$N$109))</f>
        <v>0</v>
      </c>
      <c r="J404" s="365">
        <f t="array" ref="J404">SUM(J$382:J$394/$M$97:$M$109*($B404=$F$96:$N$96)*($F$97:$N$109))</f>
        <v>0</v>
      </c>
      <c r="K404" s="365">
        <f t="array" ref="K404">SUM(K$382:K$394/$M$97:$M$109*($B404=$F$96:$N$96)*($F$97:$N$109))</f>
        <v>0</v>
      </c>
      <c r="L404" s="365">
        <f t="array" ref="L404">SUM(L$382:L$394/$M$97:$M$109*($B404=$F$96:$N$96)*($F$97:$N$109))</f>
        <v>0</v>
      </c>
      <c r="M404" s="365">
        <f t="array" ref="M404">SUM(M$382:M$394/$M$97:$M$109*($B404=$F$96:$N$96)*($F$97:$N$109))</f>
        <v>0</v>
      </c>
      <c r="N404" s="365">
        <f t="array" ref="N404">SUM(N$382:N$394/$M$97:$M$109*($B404=$F$96:$N$96)*($F$97:$N$109))</f>
        <v>0</v>
      </c>
    </row>
    <row r="405" spans="2:14">
      <c r="B405" s="373" t="s">
        <v>101</v>
      </c>
      <c r="C405" s="6" t="s">
        <v>91</v>
      </c>
      <c r="E405" s="373"/>
      <c r="F405" s="365">
        <f t="array" ref="F405">SUM(F$382:F$394/$M$97:$M$109*($B405=$F$96:$N$96)*($F$97:$N$109))</f>
        <v>-5.4200000000000005E-2</v>
      </c>
      <c r="G405" s="365">
        <f t="array" ref="G405">SUM(G$382:G$394/$M$97:$M$109*($B405=$F$96:$N$96)*($F$97:$N$109))</f>
        <v>-8.4628378378378388E-2</v>
      </c>
      <c r="H405" s="365">
        <f t="array" ref="H405">SUM(H$382:H$394/$M$97:$M$109*($B405=$F$96:$N$96)*($F$97:$N$109))</f>
        <v>-0.16967989864864869</v>
      </c>
      <c r="I405" s="365">
        <f t="array" ref="I405">SUM(I$382:I$394/$M$97:$M$109*($B405=$F$96:$N$96)*($F$97:$N$109))</f>
        <v>-0.26017736486486487</v>
      </c>
      <c r="J405" s="365">
        <f t="array" ref="J405">SUM(J$382:J$394/$M$97:$M$109*($B405=$F$96:$N$96)*($F$97:$N$109))</f>
        <v>-0.35841385135135134</v>
      </c>
      <c r="K405" s="365">
        <f t="array" ref="K405">SUM(K$382:K$394/$M$97:$M$109*($B405=$F$96:$N$96)*($F$97:$N$109))</f>
        <v>-0.46438935810810811</v>
      </c>
      <c r="L405" s="365">
        <f t="array" ref="L405">SUM(L$382:L$394/$M$97:$M$109*($B405=$F$96:$N$96)*($F$97:$N$109))</f>
        <v>-0.578103885135135</v>
      </c>
      <c r="M405" s="365">
        <f t="array" ref="M405">SUM(M$382:M$394/$M$97:$M$109*($B405=$F$96:$N$96)*($F$97:$N$109))</f>
        <v>-0.69955743243243251</v>
      </c>
      <c r="N405" s="365">
        <f t="array" ref="N405">SUM(N$382:N$394/$M$97:$M$109*($B405=$F$96:$N$96)*($F$97:$N$109))</f>
        <v>-0.82874999999999988</v>
      </c>
    </row>
    <row r="406" spans="2:14">
      <c r="B406" s="373" t="s">
        <v>102</v>
      </c>
      <c r="C406" s="6" t="s">
        <v>92</v>
      </c>
      <c r="E406" s="373"/>
      <c r="F406" s="365">
        <f t="array" ref="F406">SUM(F$382:F$394/$M$97:$M$109*($B406=$F$96:$N$96)*($F$97:$N$109))</f>
        <v>8.1300000000000008</v>
      </c>
      <c r="G406" s="365">
        <f t="array" ref="G406">SUM(G$382:G$394/$M$97:$M$109*($B406=$F$96:$N$96)*($F$97:$N$109))</f>
        <v>8.3499999999999979</v>
      </c>
      <c r="H406" s="365">
        <f t="array" ref="H406">SUM(H$382:H$394/$M$97:$M$109*($B406=$F$96:$N$96)*($F$97:$N$109))</f>
        <v>9.0225000000000026</v>
      </c>
      <c r="I406" s="365">
        <f t="array" ref="I406">SUM(I$382:I$394/$M$97:$M$109*($B406=$F$96:$N$96)*($F$97:$N$109))</f>
        <v>9.46875</v>
      </c>
      <c r="J406" s="365">
        <f t="array" ref="J406">SUM(J$382:J$394/$M$97:$M$109*($B406=$F$96:$N$96)*($F$97:$N$109))</f>
        <v>9.9149999999999991</v>
      </c>
      <c r="K406" s="365">
        <f t="array" ref="K406">SUM(K$382:K$394/$M$97:$M$109*($B406=$F$96:$N$96)*($F$97:$N$109))</f>
        <v>10.36125</v>
      </c>
      <c r="L406" s="365">
        <f t="array" ref="L406">SUM(L$382:L$394/$M$97:$M$109*($B406=$F$96:$N$96)*($F$97:$N$109))</f>
        <v>10.807499999999997</v>
      </c>
      <c r="M406" s="365">
        <f t="array" ref="M406">SUM(M$382:M$394/$M$97:$M$109*($B406=$F$96:$N$96)*($F$97:$N$109))</f>
        <v>11.253749999999998</v>
      </c>
      <c r="N406" s="365">
        <f t="array" ref="N406">SUM(N$382:N$394/$M$97:$M$109*($B406=$F$96:$N$96)*($F$97:$N$109))</f>
        <v>11.7</v>
      </c>
    </row>
    <row r="407" spans="2:14">
      <c r="B407" s="373" t="s">
        <v>103</v>
      </c>
      <c r="C407" s="6" t="s">
        <v>93</v>
      </c>
      <c r="E407" s="373"/>
      <c r="F407" s="365">
        <f t="array" ref="F407">SUM(F$382:F$394/$M$97:$M$109*($B407=$F$96:$N$96)*($F$97:$N$109))</f>
        <v>0.79268563539478476</v>
      </c>
      <c r="G407" s="365">
        <f t="array" ref="G407">SUM(G$382:G$394/$M$97:$M$109*($B407=$F$96:$N$96)*($F$97:$N$109))</f>
        <v>0.80583989170322357</v>
      </c>
      <c r="H407" s="365">
        <f t="array" ref="H407">SUM(H$382:H$394/$M$97:$M$109*($B407=$F$96:$N$96)*($F$97:$N$109))</f>
        <v>0.84833090570492586</v>
      </c>
      <c r="I407" s="365">
        <f t="array" ref="I407">SUM(I$382:I$394/$M$97:$M$109*($B407=$F$96:$N$96)*($F$97:$N$109))</f>
        <v>0.8667702076400472</v>
      </c>
      <c r="J407" s="365">
        <f t="array" ref="J407">SUM(J$382:J$394/$M$97:$M$109*($B407=$F$96:$N$96)*($F$97:$N$109))</f>
        <v>0.88299268080174376</v>
      </c>
      <c r="K407" s="365">
        <f t="array" ref="K407">SUM(K$382:K$394/$M$97:$M$109*($B407=$F$96:$N$96)*($F$97:$N$109))</f>
        <v>0.8969983251900161</v>
      </c>
      <c r="L407" s="365">
        <f t="array" ref="L407">SUM(L$382:L$394/$M$97:$M$109*($B407=$F$96:$N$96)*($F$97:$N$109))</f>
        <v>0.90878714080486378</v>
      </c>
      <c r="M407" s="365">
        <f t="array" ref="M407">SUM(M$382:M$394/$M$97:$M$109*($B407=$F$96:$N$96)*($F$97:$N$109))</f>
        <v>0.91835912764628702</v>
      </c>
      <c r="N407" s="365">
        <f t="array" ref="N407">SUM(N$382:N$394/$M$97:$M$109*($B407=$F$96:$N$96)*($F$97:$N$109))</f>
        <v>0.9257142857142856</v>
      </c>
    </row>
    <row r="408" spans="2:14">
      <c r="B408" s="373"/>
      <c r="C408" s="6"/>
      <c r="E408" s="355" t="str">
        <f>Preferences.EnergyUnits</f>
        <v>TWh</v>
      </c>
      <c r="F408" s="371">
        <f>SUM(F399:F407)</f>
        <v>0</v>
      </c>
      <c r="G408" s="371">
        <f t="shared" ref="G408:N408" si="44">SUM(G399:G407)</f>
        <v>0</v>
      </c>
      <c r="H408" s="371">
        <f t="shared" si="44"/>
        <v>0</v>
      </c>
      <c r="I408" s="371">
        <f t="shared" si="44"/>
        <v>8.8817841970012523E-16</v>
      </c>
      <c r="J408" s="371">
        <f t="shared" si="44"/>
        <v>1.8873791418627661E-15</v>
      </c>
      <c r="K408" s="371">
        <f t="shared" si="44"/>
        <v>2.55351295663786E-15</v>
      </c>
      <c r="L408" s="371">
        <f t="shared" si="44"/>
        <v>-1.1102230246251565E-15</v>
      </c>
      <c r="M408" s="371">
        <f t="shared" si="44"/>
        <v>1.7763568394002505E-15</v>
      </c>
      <c r="N408" s="371">
        <f t="shared" si="44"/>
        <v>0</v>
      </c>
    </row>
    <row r="409" spans="2:14">
      <c r="E409" s="373"/>
      <c r="F409" s="1314"/>
      <c r="G409" s="1314"/>
      <c r="H409" s="1314"/>
      <c r="I409" s="1314"/>
      <c r="J409" s="1314"/>
      <c r="K409" s="1314"/>
      <c r="L409" s="1314"/>
      <c r="M409" s="1314"/>
      <c r="N409" s="1314"/>
    </row>
    <row r="410" spans="2:14">
      <c r="E410" s="373"/>
      <c r="F410" s="1314"/>
      <c r="G410" s="1314"/>
      <c r="H410" s="1314"/>
      <c r="I410" s="1314"/>
      <c r="J410" s="1314"/>
      <c r="K410" s="1314"/>
      <c r="L410" s="1314"/>
      <c r="M410" s="1314"/>
      <c r="N410" s="1314"/>
    </row>
    <row r="411" spans="2:14">
      <c r="B411" s="354">
        <v>3</v>
      </c>
      <c r="C411" s="354" t="s">
        <v>960</v>
      </c>
      <c r="E411" s="373"/>
    </row>
    <row r="412" spans="2:14">
      <c r="E412" s="373"/>
      <c r="F412" s="1313">
        <v>2013</v>
      </c>
      <c r="G412" s="1313">
        <v>2015</v>
      </c>
      <c r="H412" s="1313">
        <v>2020</v>
      </c>
      <c r="I412" s="1313">
        <v>2025</v>
      </c>
      <c r="J412" s="1313">
        <v>2030</v>
      </c>
      <c r="K412" s="1313">
        <v>2035</v>
      </c>
      <c r="L412" s="1313">
        <v>2040</v>
      </c>
      <c r="M412" s="1313">
        <v>2045</v>
      </c>
      <c r="N412" s="1313">
        <v>2050</v>
      </c>
    </row>
    <row r="413" spans="2:14">
      <c r="E413" s="373"/>
      <c r="F413" s="1314"/>
      <c r="G413" s="1314"/>
      <c r="H413" s="1314"/>
      <c r="I413" s="1314"/>
      <c r="J413" s="1314"/>
      <c r="K413" s="1314"/>
      <c r="L413" s="1314"/>
      <c r="M413" s="1314"/>
      <c r="N413" s="1314"/>
    </row>
    <row r="414" spans="2:14">
      <c r="C414" s="354" t="s">
        <v>245</v>
      </c>
      <c r="E414" s="355" t="str">
        <f>Preferences.EnergyUnits</f>
        <v>TWh</v>
      </c>
      <c r="F414" s="1315">
        <f>INDEX(F$47:F$50, MATCH($E$8, $C$47:$C$50, 0))</f>
        <v>1</v>
      </c>
      <c r="G414" s="1315">
        <f t="shared" ref="G414:N414" si="45">INDEX(G$47:G$50, MATCH($E$8, $C$47:$C$50, 0))</f>
        <v>1.2</v>
      </c>
      <c r="H414" s="1315">
        <f t="shared" si="45"/>
        <v>1.5</v>
      </c>
      <c r="I414" s="1315">
        <f t="shared" si="45"/>
        <v>1.75</v>
      </c>
      <c r="J414" s="1315">
        <f t="shared" si="45"/>
        <v>2</v>
      </c>
      <c r="K414" s="1315">
        <f t="shared" si="45"/>
        <v>2.25</v>
      </c>
      <c r="L414" s="1315">
        <f t="shared" si="45"/>
        <v>2.5</v>
      </c>
      <c r="M414" s="1315">
        <f t="shared" si="45"/>
        <v>2.75</v>
      </c>
      <c r="N414" s="1315">
        <f t="shared" si="45"/>
        <v>3</v>
      </c>
    </row>
    <row r="415" spans="2:14">
      <c r="C415">
        <v>1</v>
      </c>
      <c r="D415" t="s">
        <v>60</v>
      </c>
      <c r="E415" s="355"/>
      <c r="F415" s="1314">
        <f t="array" ref="F415:F417">F$414*E$334:E$336</f>
        <v>1</v>
      </c>
      <c r="G415" s="1314">
        <f t="array" ref="G415:G417">G$414*F$334:F$336</f>
        <v>1.2</v>
      </c>
      <c r="H415" s="1314">
        <f t="array" ref="H415:H417">H$414*G$334:G$336</f>
        <v>1.2857142857142858</v>
      </c>
      <c r="I415" s="1314">
        <f t="array" ref="I415:I417">I$414*H$334:H$336</f>
        <v>1.2500000000000002</v>
      </c>
      <c r="J415" s="1314">
        <f t="array" ref="J415:J417">J$414*I$334:I$336</f>
        <v>1.1428571428571432</v>
      </c>
      <c r="K415" s="1314">
        <f t="array" ref="K415:K417">K$414*J$334:J$336</f>
        <v>0.96428571428571475</v>
      </c>
      <c r="L415" s="1314">
        <f t="array" ref="L415:L417">L$414*K$334:K$336</f>
        <v>0.71428571428571486</v>
      </c>
      <c r="M415" s="1314">
        <f t="array" ref="M415:M417">M$414*L$334:L$336</f>
        <v>0.39285714285714346</v>
      </c>
      <c r="N415" s="1314">
        <f t="array" ref="N415:N417">N$414*M$334:M$336</f>
        <v>0</v>
      </c>
    </row>
    <row r="416" spans="2:14">
      <c r="C416">
        <v>2</v>
      </c>
      <c r="D416" t="s">
        <v>61</v>
      </c>
      <c r="E416" s="355"/>
      <c r="F416" s="1314">
        <v>0</v>
      </c>
      <c r="G416" s="1314">
        <v>0</v>
      </c>
      <c r="H416" s="1314">
        <v>0.21428571428571427</v>
      </c>
      <c r="I416" s="1314">
        <v>0.5</v>
      </c>
      <c r="J416" s="1314">
        <v>0.8571428571428571</v>
      </c>
      <c r="K416" s="1314">
        <v>1.2857142857142856</v>
      </c>
      <c r="L416" s="1314">
        <v>1.7857142857142856</v>
      </c>
      <c r="M416" s="1314">
        <v>2.3571428571428568</v>
      </c>
      <c r="N416" s="1314">
        <v>3</v>
      </c>
    </row>
    <row r="417" spans="2:15">
      <c r="C417">
        <v>3</v>
      </c>
      <c r="D417" t="s">
        <v>62</v>
      </c>
      <c r="E417" s="355"/>
      <c r="F417" s="1314">
        <v>0</v>
      </c>
      <c r="G417" s="1314">
        <v>0</v>
      </c>
      <c r="H417" s="1314">
        <v>0</v>
      </c>
      <c r="I417" s="1314">
        <v>0</v>
      </c>
      <c r="J417" s="1314">
        <v>0</v>
      </c>
      <c r="K417" s="1314">
        <v>0</v>
      </c>
      <c r="L417" s="1314">
        <v>0</v>
      </c>
      <c r="M417" s="1314">
        <v>0</v>
      </c>
      <c r="N417" s="1314">
        <v>0</v>
      </c>
    </row>
    <row r="418" spans="2:15">
      <c r="E418" s="355"/>
      <c r="F418" s="1316">
        <f>SUM(F415:F417)</f>
        <v>1</v>
      </c>
      <c r="G418" s="1316">
        <f>SUM(G415:G417)</f>
        <v>1.2</v>
      </c>
      <c r="H418" s="1316">
        <f t="shared" ref="H418:N418" si="46">SUM(H415:H417)</f>
        <v>1.5</v>
      </c>
      <c r="I418" s="1316">
        <f t="shared" si="46"/>
        <v>1.7500000000000002</v>
      </c>
      <c r="J418" s="1316">
        <f t="shared" si="46"/>
        <v>2.0000000000000004</v>
      </c>
      <c r="K418" s="1316">
        <f t="shared" si="46"/>
        <v>2.2500000000000004</v>
      </c>
      <c r="L418" s="1316">
        <f t="shared" si="46"/>
        <v>2.5000000000000004</v>
      </c>
      <c r="M418" s="1316">
        <f t="shared" si="46"/>
        <v>2.75</v>
      </c>
      <c r="N418" s="1316">
        <f t="shared" si="46"/>
        <v>3</v>
      </c>
    </row>
    <row r="419" spans="2:15">
      <c r="E419" s="355"/>
      <c r="F419" s="1314"/>
      <c r="G419" s="1314"/>
      <c r="H419" s="1314"/>
      <c r="I419" s="1314"/>
      <c r="J419" s="1314"/>
      <c r="K419" s="1314"/>
      <c r="L419" s="1314"/>
      <c r="M419" s="1314"/>
      <c r="N419" s="1314"/>
    </row>
    <row r="420" spans="2:15">
      <c r="C420" s="354" t="s">
        <v>246</v>
      </c>
      <c r="E420" s="355"/>
      <c r="F420" s="1315" t="s">
        <v>5</v>
      </c>
      <c r="G420" s="1315"/>
      <c r="H420" s="1315"/>
      <c r="I420" s="1315"/>
      <c r="J420" s="1315"/>
      <c r="K420" s="1315"/>
      <c r="L420" s="1315"/>
      <c r="M420" s="1315"/>
      <c r="N420" s="1315"/>
    </row>
    <row r="421" spans="2:15">
      <c r="E421" s="373"/>
      <c r="F421" s="1314"/>
      <c r="G421" s="1314"/>
      <c r="H421" s="1314"/>
      <c r="I421" s="1314"/>
      <c r="J421" s="1314"/>
      <c r="K421" s="1314"/>
      <c r="L421" s="1314"/>
      <c r="M421" s="1314"/>
      <c r="N421" s="1314"/>
    </row>
    <row r="422" spans="2:15">
      <c r="B422" s="373" t="s">
        <v>95</v>
      </c>
      <c r="C422" s="6" t="s">
        <v>85</v>
      </c>
      <c r="E422" s="373"/>
      <c r="F422" s="3918">
        <f t="array" ref="F422">SUM(F$415:F$417/$M$169:$M$171*($B422=$F$168:$N$168)*($F$169:$N$171))</f>
        <v>-1</v>
      </c>
      <c r="G422" s="3918">
        <f t="array" ref="G422">SUM(G$415:G$417/$M$169:$M$171*($B422=$F$168:$N$168)*($F$169:$N$171))</f>
        <v>-1.2</v>
      </c>
      <c r="H422" s="3918">
        <f t="array" ref="H422">SUM(H$415:H$417/$M$169:$M$171*($B422=$F$168:$N$168)*($F$169:$N$171))</f>
        <v>-1.5</v>
      </c>
      <c r="I422" s="3918">
        <f t="array" ref="I422">SUM(I$415:I$417/$M$169:$M$171*($B422=$F$168:$N$168)*($F$169:$N$171))</f>
        <v>-1.7500000000000002</v>
      </c>
      <c r="J422" s="3918">
        <f t="array" ref="J422">SUM(J$415:J$417/$M$169:$M$171*($B422=$F$168:$N$168)*($F$169:$N$171))</f>
        <v>-2.0000000000000004</v>
      </c>
      <c r="K422" s="3918">
        <f t="array" ref="K422">SUM(K$415:K$417/$M$169:$M$171*($B422=$F$168:$N$168)*($F$169:$N$171))</f>
        <v>-2.2500000000000004</v>
      </c>
      <c r="L422" s="3918">
        <f t="array" ref="L422">SUM(L$415:L$417/$M$169:$M$171*($B422=$F$168:$N$168)*($F$169:$N$171))</f>
        <v>-2.5000000000000004</v>
      </c>
      <c r="M422" s="3918">
        <f t="array" ref="M422">SUM(M$415:M$417/$M$169:$M$171*($B422=$F$168:$N$168)*($F$169:$N$171))</f>
        <v>-2.75</v>
      </c>
      <c r="N422" s="3918">
        <f t="array" ref="N422">SUM(N$415:N$417/$M$169:$M$171*($B422=$F$168:$N$168)*($F$169:$N$171))</f>
        <v>-3</v>
      </c>
      <c r="O422" s="4226" t="s">
        <v>5</v>
      </c>
    </row>
    <row r="423" spans="2:15">
      <c r="B423" s="373" t="s">
        <v>96</v>
      </c>
      <c r="C423" s="6" t="s">
        <v>86</v>
      </c>
      <c r="E423" s="373"/>
      <c r="F423" s="3918">
        <f t="array" ref="F423">SUM(F$415:F$417/$M$169:$M$171*($B423=$F$168:$N$168)*($F$169:$N$171))</f>
        <v>0</v>
      </c>
      <c r="G423" s="3918">
        <f t="array" ref="G423">SUM(G$415:G$417/$M$169:$M$171*($B423=$F$168:$N$168)*($F$169:$N$171))</f>
        <v>0</v>
      </c>
      <c r="H423" s="3918">
        <f t="array" ref="H423">SUM(H$415:H$417/$M$169:$M$171*($B423=$F$168:$N$168)*($F$169:$N$171))</f>
        <v>0</v>
      </c>
      <c r="I423" s="3918">
        <f t="array" ref="I423">SUM(I$415:I$417/$M$169:$M$171*($B423=$F$168:$N$168)*($F$169:$N$171))</f>
        <v>0</v>
      </c>
      <c r="J423" s="3918">
        <f t="array" ref="J423">SUM(J$415:J$417/$M$169:$M$171*($B423=$F$168:$N$168)*($F$169:$N$171))</f>
        <v>0</v>
      </c>
      <c r="K423" s="3918">
        <f t="array" ref="K423">SUM(K$415:K$417/$M$169:$M$171*($B423=$F$168:$N$168)*($F$169:$N$171))</f>
        <v>0</v>
      </c>
      <c r="L423" s="3918">
        <f t="array" ref="L423">SUM(L$415:L$417/$M$169:$M$171*($B423=$F$168:$N$168)*($F$169:$N$171))</f>
        <v>0</v>
      </c>
      <c r="M423" s="3918">
        <f t="array" ref="M423">SUM(M$415:M$417/$M$169:$M$171*($B423=$F$168:$N$168)*($F$169:$N$171))</f>
        <v>0</v>
      </c>
      <c r="N423" s="3918">
        <f t="array" ref="N423">SUM(N$415:N$417/$M$169:$M$171*($B423=$F$168:$N$168)*($F$169:$N$171))</f>
        <v>0</v>
      </c>
    </row>
    <row r="424" spans="2:15">
      <c r="B424" s="373" t="s">
        <v>97</v>
      </c>
      <c r="C424" s="6" t="s">
        <v>87</v>
      </c>
      <c r="E424" s="373"/>
      <c r="F424" s="3918">
        <f t="array" ref="F424">SUM(F$415:F$417/$M$169:$M$171*($B424=$F$168:$N$168)*($F$169:$N$171))</f>
        <v>0</v>
      </c>
      <c r="G424" s="3918">
        <f t="array" ref="G424">SUM(G$415:G$417/$M$169:$M$171*($B424=$F$168:$N$168)*($F$169:$N$171))</f>
        <v>0</v>
      </c>
      <c r="H424" s="3918">
        <f t="array" ref="H424">SUM(H$415:H$417/$M$169:$M$171*($B424=$F$168:$N$168)*($F$169:$N$171))</f>
        <v>0</v>
      </c>
      <c r="I424" s="3918">
        <f t="array" ref="I424">SUM(I$415:I$417/$M$169:$M$171*($B424=$F$168:$N$168)*($F$169:$N$171))</f>
        <v>0</v>
      </c>
      <c r="J424" s="3918">
        <f t="array" ref="J424">SUM(J$415:J$417/$M$169:$M$171*($B424=$F$168:$N$168)*($F$169:$N$171))</f>
        <v>0</v>
      </c>
      <c r="K424" s="3918">
        <f t="array" ref="K424">SUM(K$415:K$417/$M$169:$M$171*($B424=$F$168:$N$168)*($F$169:$N$171))</f>
        <v>0</v>
      </c>
      <c r="L424" s="3918">
        <f t="array" ref="L424">SUM(L$415:L$417/$M$169:$M$171*($B424=$F$168:$N$168)*($F$169:$N$171))</f>
        <v>0</v>
      </c>
      <c r="M424" s="3918">
        <f t="array" ref="M424">SUM(M$415:M$417/$M$169:$M$171*($B424=$F$168:$N$168)*($F$169:$N$171))</f>
        <v>0</v>
      </c>
      <c r="N424" s="3918">
        <f t="array" ref="N424">SUM(N$415:N$417/$M$169:$M$171*($B424=$F$168:$N$168)*($F$169:$N$171))</f>
        <v>0</v>
      </c>
    </row>
    <row r="425" spans="2:15">
      <c r="B425" s="373" t="s">
        <v>98</v>
      </c>
      <c r="C425" s="6" t="s">
        <v>88</v>
      </c>
      <c r="E425" s="373"/>
      <c r="F425" s="3918">
        <f t="array" ref="F425">SUM(F$415:F$417/$M$169:$M$171*($B425=$F$168:$N$168)*($F$169:$N$171))</f>
        <v>0</v>
      </c>
      <c r="G425" s="3918">
        <f t="array" ref="G425">SUM(G$415:G$417/$M$169:$M$171*($B425=$F$168:$N$168)*($F$169:$N$171))</f>
        <v>0</v>
      </c>
      <c r="H425" s="3918">
        <f t="array" ref="H425">SUM(H$415:H$417/$M$169:$M$171*($B425=$F$168:$N$168)*($F$169:$N$171))</f>
        <v>0</v>
      </c>
      <c r="I425" s="3918">
        <f t="array" ref="I425">SUM(I$415:I$417/$M$169:$M$171*($B425=$F$168:$N$168)*($F$169:$N$171))</f>
        <v>0</v>
      </c>
      <c r="J425" s="3918">
        <f t="array" ref="J425">SUM(J$415:J$417/$M$169:$M$171*($B425=$F$168:$N$168)*($F$169:$N$171))</f>
        <v>0</v>
      </c>
      <c r="K425" s="3918">
        <f t="array" ref="K425">SUM(K$415:K$417/$M$169:$M$171*($B425=$F$168:$N$168)*($F$169:$N$171))</f>
        <v>0</v>
      </c>
      <c r="L425" s="3918">
        <f t="array" ref="L425">SUM(L$415:L$417/$M$169:$M$171*($B425=$F$168:$N$168)*($F$169:$N$171))</f>
        <v>0</v>
      </c>
      <c r="M425" s="3918">
        <f t="array" ref="M425">SUM(M$415:M$417/$M$169:$M$171*($B425=$F$168:$N$168)*($F$169:$N$171))</f>
        <v>0</v>
      </c>
      <c r="N425" s="3918">
        <f t="array" ref="N425">SUM(N$415:N$417/$M$169:$M$171*($B425=$F$168:$N$168)*($F$169:$N$171))</f>
        <v>0</v>
      </c>
    </row>
    <row r="426" spans="2:15">
      <c r="B426" s="373" t="s">
        <v>99</v>
      </c>
      <c r="C426" s="6" t="s">
        <v>89</v>
      </c>
      <c r="E426" s="373"/>
      <c r="F426" s="3918">
        <f t="array" ref="F426">SUM(F$415:F$417/$M$169:$M$171*($B426=$F$168:$N$168)*($F$169:$N$171))</f>
        <v>0</v>
      </c>
      <c r="G426" s="3918">
        <f t="array" ref="G426">SUM(G$415:G$417/$M$169:$M$171*($B426=$F$168:$N$168)*($F$169:$N$171))</f>
        <v>0</v>
      </c>
      <c r="H426" s="3918">
        <f t="array" ref="H426">SUM(H$415:H$417/$M$169:$M$171*($B426=$F$168:$N$168)*($F$169:$N$171))</f>
        <v>0</v>
      </c>
      <c r="I426" s="3918">
        <f t="array" ref="I426">SUM(I$415:I$417/$M$169:$M$171*($B426=$F$168:$N$168)*($F$169:$N$171))</f>
        <v>0</v>
      </c>
      <c r="J426" s="3918">
        <f t="array" ref="J426">SUM(J$415:J$417/$M$169:$M$171*($B426=$F$168:$N$168)*($F$169:$N$171))</f>
        <v>0</v>
      </c>
      <c r="K426" s="3918">
        <f t="array" ref="K426">SUM(K$415:K$417/$M$169:$M$171*($B426=$F$168:$N$168)*($F$169:$N$171))</f>
        <v>0</v>
      </c>
      <c r="L426" s="3918">
        <f t="array" ref="L426">SUM(L$415:L$417/$M$169:$M$171*($B426=$F$168:$N$168)*($F$169:$N$171))</f>
        <v>0</v>
      </c>
      <c r="M426" s="3918">
        <f t="array" ref="M426">SUM(M$415:M$417/$M$169:$M$171*($B426=$F$168:$N$168)*($F$169:$N$171))</f>
        <v>0</v>
      </c>
      <c r="N426" s="3918">
        <f t="array" ref="N426">SUM(N$415:N$417/$M$169:$M$171*($B426=$F$168:$N$168)*($F$169:$N$171))</f>
        <v>0</v>
      </c>
    </row>
    <row r="427" spans="2:15">
      <c r="B427" s="373" t="s">
        <v>100</v>
      </c>
      <c r="C427" s="6" t="s">
        <v>90</v>
      </c>
      <c r="E427" s="373"/>
      <c r="F427" s="3918">
        <f t="array" ref="F427">SUM(F$415:F$417/$M$169:$M$171*($B427=$F$168:$N$168)*($F$169:$N$171))</f>
        <v>0</v>
      </c>
      <c r="G427" s="3918">
        <f t="array" ref="G427">SUM(G$415:G$417/$M$169:$M$171*($B427=$F$168:$N$168)*($F$169:$N$171))</f>
        <v>0</v>
      </c>
      <c r="H427" s="3918">
        <f t="array" ref="H427">SUM(H$415:H$417/$M$169:$M$171*($B427=$F$168:$N$168)*($F$169:$N$171))</f>
        <v>0</v>
      </c>
      <c r="I427" s="3918">
        <f t="array" ref="I427">SUM(I$415:I$417/$M$169:$M$171*($B427=$F$168:$N$168)*($F$169:$N$171))</f>
        <v>0</v>
      </c>
      <c r="J427" s="3918">
        <f t="array" ref="J427">SUM(J$415:J$417/$M$169:$M$171*($B427=$F$168:$N$168)*($F$169:$N$171))</f>
        <v>0</v>
      </c>
      <c r="K427" s="3918">
        <f t="array" ref="K427">SUM(K$415:K$417/$M$169:$M$171*($B427=$F$168:$N$168)*($F$169:$N$171))</f>
        <v>0</v>
      </c>
      <c r="L427" s="3918">
        <f t="array" ref="L427">SUM(L$415:L$417/$M$169:$M$171*($B427=$F$168:$N$168)*($F$169:$N$171))</f>
        <v>0</v>
      </c>
      <c r="M427" s="3918">
        <f t="array" ref="M427">SUM(M$415:M$417/$M$169:$M$171*($B427=$F$168:$N$168)*($F$169:$N$171))</f>
        <v>0</v>
      </c>
      <c r="N427" s="3918">
        <f t="array" ref="N427">SUM(N$415:N$417/$M$169:$M$171*($B427=$F$168:$N$168)*($F$169:$N$171))</f>
        <v>0</v>
      </c>
    </row>
    <row r="428" spans="2:15">
      <c r="B428" s="373" t="s">
        <v>101</v>
      </c>
      <c r="C428" s="6" t="s">
        <v>91</v>
      </c>
      <c r="E428" s="373"/>
      <c r="F428" s="3918">
        <f t="array" ref="F428">SUM(F$415:F$417/$M$169:$M$171*($B428=$F$168:$N$168)*($F$169:$N$171))</f>
        <v>0</v>
      </c>
      <c r="G428" s="3918">
        <f t="array" ref="G428">SUM(G$415:G$417/$M$169:$M$171*($B428=$F$168:$N$168)*($F$169:$N$171))</f>
        <v>0</v>
      </c>
      <c r="H428" s="3918">
        <f t="array" ref="H428">SUM(H$415:H$417/$M$169:$M$171*($B428=$F$168:$N$168)*($F$169:$N$171))</f>
        <v>0</v>
      </c>
      <c r="I428" s="3918">
        <f t="array" ref="I428">SUM(I$415:I$417/$M$169:$M$171*($B428=$F$168:$N$168)*($F$169:$N$171))</f>
        <v>0</v>
      </c>
      <c r="J428" s="3918">
        <f t="array" ref="J428">SUM(J$415:J$417/$M$169:$M$171*($B428=$F$168:$N$168)*($F$169:$N$171))</f>
        <v>0</v>
      </c>
      <c r="K428" s="3918">
        <f t="array" ref="K428">SUM(K$415:K$417/$M$169:$M$171*($B428=$F$168:$N$168)*($F$169:$N$171))</f>
        <v>0</v>
      </c>
      <c r="L428" s="3918">
        <f t="array" ref="L428">SUM(L$415:L$417/$M$169:$M$171*($B428=$F$168:$N$168)*($F$169:$N$171))</f>
        <v>0</v>
      </c>
      <c r="M428" s="3918">
        <f t="array" ref="M428">SUM(M$415:M$417/$M$169:$M$171*($B428=$F$168:$N$168)*($F$169:$N$171))</f>
        <v>0</v>
      </c>
      <c r="N428" s="3918">
        <f t="array" ref="N428">SUM(N$415:N$417/$M$169:$M$171*($B428=$F$168:$N$168)*($F$169:$N$171))</f>
        <v>0</v>
      </c>
    </row>
    <row r="429" spans="2:15">
      <c r="B429" s="373" t="s">
        <v>102</v>
      </c>
      <c r="C429" s="6" t="s">
        <v>92</v>
      </c>
      <c r="E429" s="373"/>
      <c r="F429" s="3918">
        <f t="array" ref="F429">SUM(F$415:F$417/$M$169:$M$171*($B429=$F$168:$N$168)*($F$169:$N$171))</f>
        <v>1</v>
      </c>
      <c r="G429" s="3918">
        <f t="array" ref="G429">SUM(G$415:G$417/$M$169:$M$171*($B429=$F$168:$N$168)*($F$169:$N$171))</f>
        <v>1.2</v>
      </c>
      <c r="H429" s="3918">
        <f t="array" ref="H429">SUM(H$415:H$417/$M$169:$M$171*($B429=$F$168:$N$168)*($F$169:$N$171))</f>
        <v>1.5</v>
      </c>
      <c r="I429" s="3918">
        <f t="array" ref="I429">SUM(I$415:I$417/$M$169:$M$171*($B429=$F$168:$N$168)*($F$169:$N$171))</f>
        <v>1.7500000000000002</v>
      </c>
      <c r="J429" s="3918">
        <f t="array" ref="J429">SUM(J$415:J$417/$M$169:$M$171*($B429=$F$168:$N$168)*($F$169:$N$171))</f>
        <v>2.0000000000000004</v>
      </c>
      <c r="K429" s="3918">
        <f t="array" ref="K429">SUM(K$415:K$417/$M$169:$M$171*($B429=$F$168:$N$168)*($F$169:$N$171))</f>
        <v>2.2500000000000004</v>
      </c>
      <c r="L429" s="3918">
        <f t="array" ref="L429">SUM(L$415:L$417/$M$169:$M$171*($B429=$F$168:$N$168)*($F$169:$N$171))</f>
        <v>2.5000000000000004</v>
      </c>
      <c r="M429" s="3918">
        <f t="array" ref="M429">SUM(M$415:M$417/$M$169:$M$171*($B429=$F$168:$N$168)*($F$169:$N$171))</f>
        <v>2.75</v>
      </c>
      <c r="N429" s="3918">
        <f t="array" ref="N429">SUM(N$415:N$417/$M$169:$M$171*($B429=$F$168:$N$168)*($F$169:$N$171))</f>
        <v>3</v>
      </c>
    </row>
    <row r="430" spans="2:15">
      <c r="B430" s="373" t="s">
        <v>103</v>
      </c>
      <c r="C430" s="6" t="s">
        <v>93</v>
      </c>
      <c r="E430" s="373"/>
      <c r="F430" s="3918">
        <f t="array" ref="F430">SUM(F$415:F$417/$M$169:$M$171*($B430=$F$168:$N$168)*($F$169:$N$171))</f>
        <v>0</v>
      </c>
      <c r="G430" s="3918">
        <f t="array" ref="G430">SUM(G$415:G$417/$M$169:$M$171*($B430=$F$168:$N$168)*($F$169:$N$171))</f>
        <v>0</v>
      </c>
      <c r="H430" s="3918">
        <f t="array" ref="H430">SUM(H$415:H$417/$M$169:$M$171*($B430=$F$168:$N$168)*($F$169:$N$171))</f>
        <v>0</v>
      </c>
      <c r="I430" s="3918">
        <f t="array" ref="I430">SUM(I$415:I$417/$M$169:$M$171*($B430=$F$168:$N$168)*($F$169:$N$171))</f>
        <v>0</v>
      </c>
      <c r="J430" s="3918">
        <f t="array" ref="J430">SUM(J$415:J$417/$M$169:$M$171*($B430=$F$168:$N$168)*($F$169:$N$171))</f>
        <v>0</v>
      </c>
      <c r="K430" s="3918">
        <f t="array" ref="K430">SUM(K$415:K$417/$M$169:$M$171*($B430=$F$168:$N$168)*($F$169:$N$171))</f>
        <v>0</v>
      </c>
      <c r="L430" s="3918">
        <f t="array" ref="L430">SUM(L$415:L$417/$M$169:$M$171*($B430=$F$168:$N$168)*($F$169:$N$171))</f>
        <v>0</v>
      </c>
      <c r="M430" s="3918">
        <f t="array" ref="M430">SUM(M$415:M$417/$M$169:$M$171*($B430=$F$168:$N$168)*($F$169:$N$171))</f>
        <v>0</v>
      </c>
      <c r="N430" s="3918">
        <f t="array" ref="N430">SUM(N$415:N$417/$M$169:$M$171*($B430=$F$168:$N$168)*($F$169:$N$171))</f>
        <v>0</v>
      </c>
    </row>
    <row r="431" spans="2:15">
      <c r="B431" s="373"/>
      <c r="C431" s="6"/>
      <c r="E431" s="355" t="str">
        <f>Preferences.EnergyUnits</f>
        <v>TWh</v>
      </c>
      <c r="F431" s="4227">
        <f>SUM(F422:F430)</f>
        <v>0</v>
      </c>
      <c r="G431" s="4227">
        <f t="shared" ref="G431:N431" si="47">SUM(G422:G430)</f>
        <v>0</v>
      </c>
      <c r="H431" s="4227">
        <f t="shared" si="47"/>
        <v>0</v>
      </c>
      <c r="I431" s="4227">
        <f t="shared" si="47"/>
        <v>0</v>
      </c>
      <c r="J431" s="4227">
        <f t="shared" si="47"/>
        <v>0</v>
      </c>
      <c r="K431" s="4227">
        <f t="shared" si="47"/>
        <v>0</v>
      </c>
      <c r="L431" s="4227">
        <f t="shared" si="47"/>
        <v>0</v>
      </c>
      <c r="M431" s="4227">
        <f t="shared" si="47"/>
        <v>0</v>
      </c>
      <c r="N431" s="4227">
        <f t="shared" si="47"/>
        <v>0</v>
      </c>
    </row>
    <row r="432" spans="2:15">
      <c r="B432" s="373"/>
      <c r="C432" s="6"/>
      <c r="E432" s="373"/>
      <c r="F432" s="1314"/>
      <c r="G432" s="1314"/>
      <c r="H432" s="1314"/>
      <c r="I432" s="1314"/>
      <c r="J432" s="1314"/>
      <c r="K432" s="1314"/>
      <c r="L432" s="1314"/>
      <c r="M432" s="1314"/>
      <c r="N432" s="1314"/>
    </row>
    <row r="433" spans="2:20">
      <c r="C433" s="354" t="s">
        <v>247</v>
      </c>
      <c r="E433" s="355"/>
      <c r="F433" s="1315"/>
      <c r="G433" s="1315"/>
      <c r="H433" s="1315"/>
      <c r="I433" s="1315"/>
      <c r="J433" s="1315"/>
      <c r="K433" s="1315"/>
      <c r="L433" s="1315"/>
      <c r="M433" s="1315"/>
      <c r="N433" s="1315"/>
    </row>
    <row r="434" spans="2:20">
      <c r="E434" s="373"/>
      <c r="F434" s="1314"/>
      <c r="G434" s="1314"/>
      <c r="H434" s="1314"/>
      <c r="I434" s="1314"/>
      <c r="J434" s="1314"/>
      <c r="K434" s="1314"/>
      <c r="L434" s="1314"/>
      <c r="M434" s="1314"/>
      <c r="N434" s="1314"/>
    </row>
    <row r="435" spans="2:20">
      <c r="B435" s="373" t="s">
        <v>95</v>
      </c>
      <c r="C435" s="6" t="s">
        <v>85</v>
      </c>
      <c r="E435" s="373"/>
      <c r="F435" s="365">
        <f>F422</f>
        <v>-1</v>
      </c>
      <c r="G435" s="365">
        <f t="shared" ref="G435:N435" si="48">G422</f>
        <v>-1.2</v>
      </c>
      <c r="H435" s="365">
        <f t="shared" si="48"/>
        <v>-1.5</v>
      </c>
      <c r="I435" s="365">
        <f t="shared" si="48"/>
        <v>-1.7500000000000002</v>
      </c>
      <c r="J435" s="365">
        <f t="shared" si="48"/>
        <v>-2.0000000000000004</v>
      </c>
      <c r="K435" s="365">
        <f t="shared" si="48"/>
        <v>-2.2500000000000004</v>
      </c>
      <c r="L435" s="365">
        <f t="shared" si="48"/>
        <v>-2.5000000000000004</v>
      </c>
      <c r="M435" s="365">
        <f t="shared" si="48"/>
        <v>-2.75</v>
      </c>
      <c r="N435" s="365">
        <f t="shared" si="48"/>
        <v>-3</v>
      </c>
    </row>
    <row r="436" spans="2:20">
      <c r="B436" s="373" t="s">
        <v>96</v>
      </c>
      <c r="C436" s="6" t="s">
        <v>86</v>
      </c>
      <c r="E436" s="373"/>
      <c r="F436" s="365">
        <f t="shared" ref="F436:N440" si="49">F423</f>
        <v>0</v>
      </c>
      <c r="G436" s="365">
        <f t="shared" si="49"/>
        <v>0</v>
      </c>
      <c r="H436" s="365">
        <f t="shared" si="49"/>
        <v>0</v>
      </c>
      <c r="I436" s="365">
        <f t="shared" si="49"/>
        <v>0</v>
      </c>
      <c r="J436" s="365">
        <f t="shared" si="49"/>
        <v>0</v>
      </c>
      <c r="K436" s="365">
        <f t="shared" si="49"/>
        <v>0</v>
      </c>
      <c r="L436" s="365">
        <f t="shared" si="49"/>
        <v>0</v>
      </c>
      <c r="M436" s="365">
        <f t="shared" si="49"/>
        <v>0</v>
      </c>
      <c r="N436" s="365">
        <f t="shared" si="49"/>
        <v>0</v>
      </c>
    </row>
    <row r="437" spans="2:20">
      <c r="B437" s="373" t="s">
        <v>97</v>
      </c>
      <c r="C437" s="6" t="s">
        <v>87</v>
      </c>
      <c r="E437" s="373"/>
      <c r="F437" s="365">
        <f t="shared" si="49"/>
        <v>0</v>
      </c>
      <c r="G437" s="365">
        <f t="shared" si="49"/>
        <v>0</v>
      </c>
      <c r="H437" s="365">
        <f t="shared" si="49"/>
        <v>0</v>
      </c>
      <c r="I437" s="365">
        <f t="shared" si="49"/>
        <v>0</v>
      </c>
      <c r="J437" s="365">
        <f t="shared" si="49"/>
        <v>0</v>
      </c>
      <c r="K437" s="365">
        <f t="shared" si="49"/>
        <v>0</v>
      </c>
      <c r="L437" s="365">
        <f t="shared" si="49"/>
        <v>0</v>
      </c>
      <c r="M437" s="365">
        <f t="shared" si="49"/>
        <v>0</v>
      </c>
      <c r="N437" s="365">
        <f t="shared" si="49"/>
        <v>0</v>
      </c>
    </row>
    <row r="438" spans="2:20">
      <c r="B438" s="373" t="s">
        <v>98</v>
      </c>
      <c r="C438" s="6" t="s">
        <v>88</v>
      </c>
      <c r="E438" s="373"/>
      <c r="F438" s="365">
        <f t="shared" si="49"/>
        <v>0</v>
      </c>
      <c r="G438" s="365">
        <f t="shared" si="49"/>
        <v>0</v>
      </c>
      <c r="H438" s="365">
        <f t="shared" si="49"/>
        <v>0</v>
      </c>
      <c r="I438" s="365">
        <f t="shared" si="49"/>
        <v>0</v>
      </c>
      <c r="J438" s="365">
        <f t="shared" si="49"/>
        <v>0</v>
      </c>
      <c r="K438" s="365">
        <f t="shared" si="49"/>
        <v>0</v>
      </c>
      <c r="L438" s="365">
        <f t="shared" si="49"/>
        <v>0</v>
      </c>
      <c r="M438" s="365">
        <f t="shared" si="49"/>
        <v>0</v>
      </c>
      <c r="N438" s="365">
        <f t="shared" si="49"/>
        <v>0</v>
      </c>
    </row>
    <row r="439" spans="2:20">
      <c r="B439" s="373" t="s">
        <v>99</v>
      </c>
      <c r="C439" s="6" t="s">
        <v>89</v>
      </c>
      <c r="E439" s="373"/>
      <c r="F439" s="365">
        <f t="shared" si="49"/>
        <v>0</v>
      </c>
      <c r="G439" s="365">
        <f t="shared" si="49"/>
        <v>0</v>
      </c>
      <c r="H439" s="365">
        <f t="shared" si="49"/>
        <v>0</v>
      </c>
      <c r="I439" s="365">
        <f t="shared" si="49"/>
        <v>0</v>
      </c>
      <c r="J439" s="365">
        <f t="shared" si="49"/>
        <v>0</v>
      </c>
      <c r="K439" s="365">
        <f t="shared" si="49"/>
        <v>0</v>
      </c>
      <c r="L439" s="365">
        <f t="shared" si="49"/>
        <v>0</v>
      </c>
      <c r="M439" s="365">
        <f t="shared" si="49"/>
        <v>0</v>
      </c>
      <c r="N439" s="365">
        <f t="shared" si="49"/>
        <v>0</v>
      </c>
    </row>
    <row r="440" spans="2:20">
      <c r="B440" s="373" t="s">
        <v>100</v>
      </c>
      <c r="C440" s="6" t="s">
        <v>90</v>
      </c>
      <c r="E440" s="373"/>
      <c r="F440" s="365">
        <f t="shared" si="49"/>
        <v>0</v>
      </c>
      <c r="G440" s="365">
        <f t="shared" si="49"/>
        <v>0</v>
      </c>
      <c r="H440" s="365">
        <f t="shared" si="49"/>
        <v>0</v>
      </c>
      <c r="I440" s="365">
        <f t="shared" si="49"/>
        <v>0</v>
      </c>
      <c r="J440" s="365">
        <f t="shared" si="49"/>
        <v>0</v>
      </c>
      <c r="K440" s="365">
        <f t="shared" si="49"/>
        <v>0</v>
      </c>
      <c r="L440" s="365">
        <f t="shared" si="49"/>
        <v>0</v>
      </c>
      <c r="M440" s="365">
        <f t="shared" si="49"/>
        <v>0</v>
      </c>
      <c r="N440" s="365">
        <f t="shared" si="49"/>
        <v>0</v>
      </c>
    </row>
    <row r="441" spans="2:20">
      <c r="B441" s="373" t="s">
        <v>101</v>
      </c>
      <c r="C441" s="6" t="s">
        <v>91</v>
      </c>
      <c r="E441" s="373"/>
      <c r="F441" s="365">
        <v>0</v>
      </c>
      <c r="G441" s="365">
        <v>0</v>
      </c>
      <c r="H441" s="365">
        <v>0</v>
      </c>
      <c r="I441" s="365">
        <v>0</v>
      </c>
      <c r="J441" s="365">
        <v>0</v>
      </c>
      <c r="K441" s="365">
        <v>0</v>
      </c>
      <c r="L441" s="365">
        <v>0</v>
      </c>
      <c r="M441" s="365">
        <v>0</v>
      </c>
      <c r="N441" s="365">
        <v>0</v>
      </c>
    </row>
    <row r="442" spans="2:20">
      <c r="B442" s="373" t="s">
        <v>102</v>
      </c>
      <c r="C442" s="6" t="s">
        <v>92</v>
      </c>
      <c r="E442" s="373"/>
      <c r="F442" s="402">
        <f>-SUM(F$435:F$441)-F443</f>
        <v>1</v>
      </c>
      <c r="G442" s="402">
        <f t="shared" ref="G442:N442" si="50">-SUM(G$435:G$441)-G443</f>
        <v>1.2</v>
      </c>
      <c r="H442" s="402">
        <f t="shared" si="50"/>
        <v>1.5</v>
      </c>
      <c r="I442" s="402">
        <f t="shared" si="50"/>
        <v>1.7500000000000002</v>
      </c>
      <c r="J442" s="402">
        <f t="shared" si="50"/>
        <v>2.0000000000000004</v>
      </c>
      <c r="K442" s="402">
        <f t="shared" si="50"/>
        <v>2.2500000000000004</v>
      </c>
      <c r="L442" s="402">
        <f t="shared" si="50"/>
        <v>2.5000000000000004</v>
      </c>
      <c r="M442" s="402">
        <f t="shared" si="50"/>
        <v>2.75</v>
      </c>
      <c r="N442" s="402">
        <f t="shared" si="50"/>
        <v>3</v>
      </c>
    </row>
    <row r="443" spans="2:20">
      <c r="B443" s="373" t="s">
        <v>103</v>
      </c>
      <c r="C443" s="6" t="s">
        <v>93</v>
      </c>
      <c r="E443" s="373"/>
      <c r="F443" s="365">
        <f t="shared" ref="F443:N443" si="51">F430</f>
        <v>0</v>
      </c>
      <c r="G443" s="365">
        <f t="shared" si="51"/>
        <v>0</v>
      </c>
      <c r="H443" s="365">
        <f t="shared" si="51"/>
        <v>0</v>
      </c>
      <c r="I443" s="365">
        <f t="shared" si="51"/>
        <v>0</v>
      </c>
      <c r="J443" s="365">
        <f t="shared" si="51"/>
        <v>0</v>
      </c>
      <c r="K443" s="365">
        <f t="shared" si="51"/>
        <v>0</v>
      </c>
      <c r="L443" s="365">
        <f t="shared" si="51"/>
        <v>0</v>
      </c>
      <c r="M443" s="365">
        <f t="shared" si="51"/>
        <v>0</v>
      </c>
      <c r="N443" s="365">
        <f t="shared" si="51"/>
        <v>0</v>
      </c>
    </row>
    <row r="444" spans="2:20">
      <c r="B444" s="373"/>
      <c r="C444" s="6"/>
      <c r="E444" s="355" t="str">
        <f>Preferences.EnergyUnits</f>
        <v>TWh</v>
      </c>
      <c r="F444" s="371">
        <f>SUM(F435:F443)</f>
        <v>0</v>
      </c>
      <c r="G444" s="371">
        <f t="shared" ref="G444:N444" si="52">SUM(G435:G443)</f>
        <v>0</v>
      </c>
      <c r="H444" s="371">
        <f t="shared" si="52"/>
        <v>0</v>
      </c>
      <c r="I444" s="371">
        <f t="shared" si="52"/>
        <v>0</v>
      </c>
      <c r="J444" s="371">
        <f t="shared" si="52"/>
        <v>0</v>
      </c>
      <c r="K444" s="371">
        <f t="shared" si="52"/>
        <v>0</v>
      </c>
      <c r="L444" s="371">
        <f t="shared" si="52"/>
        <v>0</v>
      </c>
      <c r="M444" s="371">
        <f t="shared" si="52"/>
        <v>0</v>
      </c>
      <c r="N444" s="371">
        <f t="shared" si="52"/>
        <v>0</v>
      </c>
    </row>
    <row r="445" spans="2:20">
      <c r="B445" s="373"/>
      <c r="C445" s="6"/>
      <c r="E445" s="373"/>
      <c r="F445" s="1314"/>
      <c r="G445" s="1314"/>
      <c r="H445" s="1314"/>
      <c r="I445" s="1314"/>
      <c r="J445" s="1314"/>
      <c r="K445" s="1314"/>
      <c r="L445" s="1314"/>
      <c r="M445" s="1314"/>
      <c r="N445" s="1314"/>
    </row>
    <row r="446" spans="2:20">
      <c r="B446" s="354">
        <v>4</v>
      </c>
      <c r="C446" s="354" t="s">
        <v>248</v>
      </c>
      <c r="E446" s="355"/>
      <c r="F446" s="1314"/>
      <c r="G446" s="1314"/>
      <c r="H446" s="1314"/>
      <c r="I446" s="1314"/>
      <c r="J446" s="1314"/>
      <c r="K446" s="1314"/>
      <c r="L446" s="1314"/>
      <c r="M446" s="1314"/>
      <c r="N446" s="1314"/>
    </row>
    <row r="447" spans="2:20">
      <c r="E447" s="373"/>
      <c r="F447" s="1314"/>
      <c r="G447" s="1314"/>
      <c r="H447" s="1314"/>
      <c r="I447" s="1314"/>
      <c r="J447" s="1314"/>
      <c r="K447" s="1314"/>
      <c r="L447" s="1314"/>
      <c r="M447" s="1314"/>
      <c r="N447" s="1314"/>
    </row>
    <row r="448" spans="2:20">
      <c r="B448" s="373" t="s">
        <v>95</v>
      </c>
      <c r="C448" s="6" t="s">
        <v>85</v>
      </c>
      <c r="E448" s="373"/>
      <c r="F448" s="1314">
        <f t="shared" ref="F448:N456" si="53">SUMIFS(F$367:F$375, $B$367:$B$375, $B448)+SUMIFS(F$399:F$407, $B$399:$B$407, $B448)+SUMIFS(F$435:F$443, $B$435:$B$443, $B448)</f>
        <v>-3.90225</v>
      </c>
      <c r="G448" s="1314">
        <f t="shared" si="53"/>
        <v>-4.0955180180180175</v>
      </c>
      <c r="H448" s="1314">
        <f t="shared" si="53"/>
        <v>-4.3753471283783796</v>
      </c>
      <c r="I448" s="1314">
        <f t="shared" si="53"/>
        <v>-4.5082162162162165</v>
      </c>
      <c r="J448" s="1314">
        <f t="shared" si="53"/>
        <v>-4.6165478603603614</v>
      </c>
      <c r="K448" s="1314">
        <f t="shared" si="53"/>
        <v>-4.7003420608108115</v>
      </c>
      <c r="L448" s="1314">
        <f t="shared" si="53"/>
        <v>-4.7595988175675679</v>
      </c>
      <c r="M448" s="1314">
        <f t="shared" si="53"/>
        <v>-4.7943181306306304</v>
      </c>
      <c r="N448" s="1314">
        <f t="shared" si="53"/>
        <v>-4.8045</v>
      </c>
      <c r="T448" s="373"/>
    </row>
    <row r="449" spans="2:20">
      <c r="B449" s="373" t="s">
        <v>96</v>
      </c>
      <c r="C449" s="6" t="s">
        <v>86</v>
      </c>
      <c r="E449" s="373"/>
      <c r="F449" s="1314">
        <f t="shared" si="53"/>
        <v>0</v>
      </c>
      <c r="G449" s="1314">
        <f t="shared" si="53"/>
        <v>0</v>
      </c>
      <c r="H449" s="1314">
        <f>SUMIFS(H$367:H$375, $B$367:$B$375, $B449)+SUMIFS(H$399:H$407, $B$399:$B$407, $B449)+SUMIFS(H$435:H$443, $B$435:$B$443, $B449)</f>
        <v>0</v>
      </c>
      <c r="I449" s="1314">
        <f t="shared" si="53"/>
        <v>0</v>
      </c>
      <c r="J449" s="1314">
        <f t="shared" si="53"/>
        <v>0</v>
      </c>
      <c r="K449" s="1314">
        <f t="shared" si="53"/>
        <v>0</v>
      </c>
      <c r="L449" s="1314">
        <f t="shared" si="53"/>
        <v>0</v>
      </c>
      <c r="M449" s="1314">
        <f t="shared" si="53"/>
        <v>0</v>
      </c>
      <c r="N449" s="1314">
        <f t="shared" si="53"/>
        <v>0</v>
      </c>
      <c r="T449" s="373"/>
    </row>
    <row r="450" spans="2:20">
      <c r="B450" s="373" t="s">
        <v>97</v>
      </c>
      <c r="C450" s="6" t="s">
        <v>87</v>
      </c>
      <c r="E450" s="373"/>
      <c r="F450" s="1314">
        <f t="shared" si="53"/>
        <v>-0.32965517241379305</v>
      </c>
      <c r="G450" s="1314">
        <f t="shared" si="53"/>
        <v>-0.32096924510717612</v>
      </c>
      <c r="H450" s="1314">
        <f t="shared" si="53"/>
        <v>-0.29671481826654245</v>
      </c>
      <c r="I450" s="1314">
        <f t="shared" si="53"/>
        <v>-0.25952353215284246</v>
      </c>
      <c r="J450" s="1314">
        <f t="shared" si="53"/>
        <v>-0.21742777260018636</v>
      </c>
      <c r="K450" s="1314">
        <f t="shared" si="53"/>
        <v>-0.17042753960857404</v>
      </c>
      <c r="L450" s="1314">
        <f t="shared" si="53"/>
        <v>-0.11852283317800553</v>
      </c>
      <c r="M450" s="1314">
        <f t="shared" si="53"/>
        <v>-6.1713653308480845E-2</v>
      </c>
      <c r="N450" s="1314">
        <f t="shared" si="53"/>
        <v>0</v>
      </c>
      <c r="T450" s="373"/>
    </row>
    <row r="451" spans="2:20">
      <c r="B451" s="373" t="s">
        <v>98</v>
      </c>
      <c r="C451" s="6" t="s">
        <v>88</v>
      </c>
      <c r="E451" s="373"/>
      <c r="F451" s="1314">
        <f t="shared" si="53"/>
        <v>-2.2668041237113408</v>
      </c>
      <c r="G451" s="1314">
        <f t="shared" si="53"/>
        <v>-2.2070771802730569</v>
      </c>
      <c r="H451" s="1314">
        <f t="shared" si="53"/>
        <v>-2.040296740039008</v>
      </c>
      <c r="I451" s="1314">
        <f t="shared" si="53"/>
        <v>-1.7845587210922258</v>
      </c>
      <c r="J451" s="1314">
        <f t="shared" si="53"/>
        <v>-1.4950961270548895</v>
      </c>
      <c r="K451" s="1314">
        <f t="shared" si="53"/>
        <v>-1.1719089579269988</v>
      </c>
      <c r="L451" s="1314">
        <f t="shared" si="53"/>
        <v>-0.81499721370855327</v>
      </c>
      <c r="M451" s="1314">
        <f t="shared" si="53"/>
        <v>-0.42436089439955366</v>
      </c>
      <c r="N451" s="1314">
        <f t="shared" si="53"/>
        <v>0</v>
      </c>
      <c r="T451" s="373"/>
    </row>
    <row r="452" spans="2:20">
      <c r="B452" s="373" t="s">
        <v>99</v>
      </c>
      <c r="C452" s="6" t="s">
        <v>89</v>
      </c>
      <c r="E452" s="373"/>
      <c r="F452" s="1314">
        <f t="shared" si="53"/>
        <v>-4.9320532099479477</v>
      </c>
      <c r="G452" s="1314">
        <f t="shared" si="53"/>
        <v>-5.2696981539086805</v>
      </c>
      <c r="H452" s="1314">
        <f t="shared" si="53"/>
        <v>-6.2042971253497576</v>
      </c>
      <c r="I452" s="1314">
        <f t="shared" si="53"/>
        <v>-7.0586798336798342</v>
      </c>
      <c r="J452" s="1314">
        <f t="shared" si="53"/>
        <v>-7.9647226173541954</v>
      </c>
      <c r="K452" s="1314">
        <f t="shared" si="53"/>
        <v>-8.9224254763728439</v>
      </c>
      <c r="L452" s="1314">
        <f t="shared" si="53"/>
        <v>-9.931788410735777</v>
      </c>
      <c r="M452" s="1314">
        <f t="shared" si="53"/>
        <v>-10.992811420442997</v>
      </c>
      <c r="N452" s="1314">
        <f t="shared" si="53"/>
        <v>-12.105494505494505</v>
      </c>
      <c r="T452" s="373"/>
    </row>
    <row r="453" spans="2:20">
      <c r="B453" s="373" t="s">
        <v>100</v>
      </c>
      <c r="C453" s="6" t="s">
        <v>90</v>
      </c>
      <c r="E453" s="373"/>
      <c r="F453" s="1314">
        <f t="shared" si="53"/>
        <v>0</v>
      </c>
      <c r="G453" s="1314">
        <f t="shared" si="53"/>
        <v>0</v>
      </c>
      <c r="H453" s="1314">
        <f t="shared" si="53"/>
        <v>0</v>
      </c>
      <c r="I453" s="1314">
        <f t="shared" si="53"/>
        <v>0</v>
      </c>
      <c r="J453" s="1314">
        <f t="shared" si="53"/>
        <v>0</v>
      </c>
      <c r="K453" s="1314">
        <f t="shared" si="53"/>
        <v>0</v>
      </c>
      <c r="L453" s="1314">
        <f t="shared" si="53"/>
        <v>0</v>
      </c>
      <c r="M453" s="1314">
        <f t="shared" si="53"/>
        <v>0</v>
      </c>
      <c r="N453" s="1314">
        <f t="shared" si="53"/>
        <v>0</v>
      </c>
      <c r="T453" s="373"/>
    </row>
    <row r="454" spans="2:20">
      <c r="B454" s="373" t="s">
        <v>101</v>
      </c>
      <c r="C454" s="6" t="s">
        <v>91</v>
      </c>
      <c r="E454" s="373"/>
      <c r="F454" s="1314">
        <f>SUMIFS(F$367:F$375, $B$367:$B$375, $B454)+SUMIFS(F$399:F$407, $B$399:$B$407, $B454)+SUMIFS(F$435:F$443, $B$435:$B$443, $B454)</f>
        <v>-6.1350000000000002E-2</v>
      </c>
      <c r="G454" s="1314">
        <f t="shared" si="53"/>
        <v>-9.6373873873873889E-2</v>
      </c>
      <c r="H454" s="1314">
        <f t="shared" si="53"/>
        <v>-0.19367314189189194</v>
      </c>
      <c r="I454" s="1314">
        <f t="shared" si="53"/>
        <v>-0.29741385135135134</v>
      </c>
      <c r="J454" s="1314">
        <f t="shared" si="53"/>
        <v>-0.41004673423423421</v>
      </c>
      <c r="K454" s="1314">
        <f t="shared" si="53"/>
        <v>-0.5315717905405406</v>
      </c>
      <c r="L454" s="1314">
        <f t="shared" si="53"/>
        <v>-0.66198902027027007</v>
      </c>
      <c r="M454" s="1314">
        <f t="shared" si="53"/>
        <v>-0.8012984234234235</v>
      </c>
      <c r="N454" s="1314">
        <f t="shared" si="53"/>
        <v>-0.9494999999999999</v>
      </c>
      <c r="T454" s="373"/>
    </row>
    <row r="455" spans="2:20">
      <c r="B455" s="373" t="s">
        <v>102</v>
      </c>
      <c r="C455" s="6" t="s">
        <v>92</v>
      </c>
      <c r="E455" s="373"/>
      <c r="F455" s="1314">
        <f t="shared" si="53"/>
        <v>10.56</v>
      </c>
      <c r="G455" s="1314">
        <f t="shared" si="53"/>
        <v>11.039999999999997</v>
      </c>
      <c r="H455" s="1314">
        <f t="shared" si="53"/>
        <v>12.112500000000002</v>
      </c>
      <c r="I455" s="1314">
        <f t="shared" si="53"/>
        <v>12.88875</v>
      </c>
      <c r="J455" s="1314">
        <f t="shared" si="53"/>
        <v>13.664999999999999</v>
      </c>
      <c r="K455" s="1314">
        <f t="shared" si="53"/>
        <v>14.44125</v>
      </c>
      <c r="L455" s="1314">
        <f t="shared" si="53"/>
        <v>15.217499999999998</v>
      </c>
      <c r="M455" s="1314">
        <f t="shared" si="53"/>
        <v>15.993749999999999</v>
      </c>
      <c r="N455" s="1314">
        <f>SUMIFS(N$367:N$375, $B$367:$B$375, $B455)+SUMIFS(N$399:N$407, $B$399:$B$407, $B455)+SUMIFS(N$435:N$443, $B$435:$B$443, $B455)</f>
        <v>16.77</v>
      </c>
      <c r="T455" s="373"/>
    </row>
    <row r="456" spans="2:20">
      <c r="B456" s="373" t="s">
        <v>103</v>
      </c>
      <c r="C456" s="6" t="s">
        <v>93</v>
      </c>
      <c r="E456" s="373"/>
      <c r="F456" s="1314">
        <f t="shared" si="53"/>
        <v>0.93211250607308016</v>
      </c>
      <c r="G456" s="1314">
        <f t="shared" si="53"/>
        <v>0.94963647118080474</v>
      </c>
      <c r="H456" s="1314">
        <f t="shared" si="53"/>
        <v>0.9978289539255778</v>
      </c>
      <c r="I456" s="1314">
        <f t="shared" si="53"/>
        <v>1.0196421544924701</v>
      </c>
      <c r="J456" s="1314">
        <f t="shared" si="53"/>
        <v>1.0388411116038669</v>
      </c>
      <c r="K456" s="1314">
        <f t="shared" si="53"/>
        <v>1.0554258252597692</v>
      </c>
      <c r="L456" s="1314">
        <f t="shared" si="53"/>
        <v>1.0693962954601763</v>
      </c>
      <c r="M456" s="1314">
        <f t="shared" si="53"/>
        <v>1.0807525222050884</v>
      </c>
      <c r="N456" s="1314">
        <f>SUMIFS(N$367:N$375, $B$367:$B$375, $B456)+SUMIFS(N$399:N$407, $B$399:$B$407, $B456)+SUMIFS(N$435:N$443, $B$435:$B$443, $B456)</f>
        <v>1.0894945054945053</v>
      </c>
      <c r="T456" s="373"/>
    </row>
    <row r="457" spans="2:20">
      <c r="B457" s="373"/>
      <c r="C457" s="6"/>
      <c r="E457" s="355" t="str">
        <f>Preferences.EnergyUnits</f>
        <v>TWh</v>
      </c>
      <c r="F457" s="1318">
        <f t="shared" ref="F457:N457" si="54">SUM(F448:F456)</f>
        <v>1.5543122344752192E-15</v>
      </c>
      <c r="G457" s="1318">
        <f t="shared" si="54"/>
        <v>-3.3306690738754696E-15</v>
      </c>
      <c r="H457" s="1318">
        <f t="shared" si="54"/>
        <v>8.8817841970012523E-16</v>
      </c>
      <c r="I457" s="1318">
        <f t="shared" si="54"/>
        <v>0</v>
      </c>
      <c r="J457" s="1318">
        <f t="shared" si="54"/>
        <v>0</v>
      </c>
      <c r="K457" s="1318">
        <f t="shared" si="54"/>
        <v>0</v>
      </c>
      <c r="L457" s="1318">
        <f t="shared" si="54"/>
        <v>0</v>
      </c>
      <c r="M457" s="1318">
        <f t="shared" si="54"/>
        <v>0</v>
      </c>
      <c r="N457" s="1318">
        <f t="shared" si="54"/>
        <v>0</v>
      </c>
    </row>
    <row r="458" spans="2:20">
      <c r="E458" s="373"/>
      <c r="F458" s="1314"/>
      <c r="G458" s="1314"/>
      <c r="H458" s="1314"/>
      <c r="I458" s="1314"/>
      <c r="J458" s="1314"/>
      <c r="K458" s="1314"/>
      <c r="L458" s="1314"/>
      <c r="M458" s="1314"/>
      <c r="N458" s="1314"/>
    </row>
    <row r="459" spans="2:20">
      <c r="B459" s="354">
        <v>5</v>
      </c>
      <c r="C459" s="354" t="s">
        <v>249</v>
      </c>
      <c r="E459" s="373"/>
      <c r="F459" s="1314"/>
      <c r="G459" s="1314"/>
      <c r="H459" s="1314"/>
      <c r="I459" s="1314"/>
      <c r="J459" s="1314"/>
      <c r="K459" s="1314"/>
      <c r="L459" s="1314"/>
      <c r="M459" s="1314"/>
      <c r="N459" s="1314"/>
    </row>
    <row r="460" spans="2:20">
      <c r="E460" s="373"/>
      <c r="F460" s="1314"/>
      <c r="G460" s="1314"/>
      <c r="H460" s="1314"/>
      <c r="I460" s="1314"/>
      <c r="J460" s="1314"/>
      <c r="K460" s="1314"/>
      <c r="L460" s="1314"/>
      <c r="M460" s="1314"/>
      <c r="N460" s="1314"/>
    </row>
    <row r="461" spans="2:20">
      <c r="B461" t="s">
        <v>300</v>
      </c>
      <c r="E461" s="373"/>
      <c r="F461" s="1314"/>
      <c r="G461" s="1314"/>
      <c r="H461" s="1314"/>
      <c r="I461" s="1314"/>
      <c r="J461" s="1314"/>
      <c r="K461" s="1314"/>
      <c r="L461" s="1314"/>
      <c r="M461" s="1314"/>
      <c r="N461" s="1314"/>
    </row>
    <row r="462" spans="2:20">
      <c r="C462" t="s">
        <v>250</v>
      </c>
      <c r="E462" s="373" t="s">
        <v>251</v>
      </c>
      <c r="F462" s="2137">
        <f t="array" ref="F462">-SUM(F$448:F$456*SUMIFS(EF[CO2], EF[Vector], $B$448:$B$456))</f>
        <v>1.7191590942521029</v>
      </c>
      <c r="G462" s="2137">
        <f t="array" ref="G462">-SUM(G$448:G$456*SUMIFS(EF[CO2], EF[Vector], $B$448:$B$456))</f>
        <v>1.7695888628956971</v>
      </c>
      <c r="H462" s="2137">
        <f t="array" ref="H462">-SUM(H$448:H$456*SUMIFS(EF[CO2], EF[Vector], $B$448:$B$456))</f>
        <v>1.90872222547836</v>
      </c>
      <c r="I462" s="2137">
        <f t="array" ref="I462">-SUM(I$448:I$456*SUMIFS(EF[CO2], EF[Vector], $B$448:$B$456))</f>
        <v>2.0035917190704722</v>
      </c>
      <c r="J462" s="2137">
        <f t="array" ref="J462">-SUM(J$448:J$456*SUMIFS(EF[CO2], EF[Vector], $B$448:$B$456))</f>
        <v>2.0984820243110649</v>
      </c>
      <c r="K462" s="2137">
        <f t="array" ref="K462">-SUM(K$448:K$456*SUMIFS(EF[CO2], EF[Vector], $B$448:$B$456))</f>
        <v>2.1933931412001382</v>
      </c>
      <c r="L462" s="2137">
        <f t="array" ref="L462">-SUM(L$448:L$456*SUMIFS(EF[CO2], EF[Vector], $B$448:$B$456))</f>
        <v>2.288325069737692</v>
      </c>
      <c r="M462" s="2137">
        <f t="array" ref="M462">-SUM(M$448:M$456*SUMIFS(EF[CO2], EF[Vector], $B$448:$B$456))</f>
        <v>2.3832778099237264</v>
      </c>
      <c r="N462" s="2137">
        <f t="array" ref="N462">-SUM(N$448:N$456*SUMIFS(EF[CO2], EF[Vector], $B$448:$B$456))</f>
        <v>2.4782513617582418</v>
      </c>
    </row>
    <row r="463" spans="2:20">
      <c r="C463" t="s">
        <v>252</v>
      </c>
      <c r="E463" s="373"/>
      <c r="F463" s="2137">
        <f t="array" ref="F463">-SUM(F$448:F$456*SUMIFS(EF[CH4], EF[Vector], $B$448:$B$456))</f>
        <v>9.044197496539349E-4</v>
      </c>
      <c r="G463" s="2137">
        <f t="array" ref="G463">-SUM(G$448:G$456*SUMIFS(EF[CH4], EF[Vector], $B$448:$B$456))</f>
        <v>9.1593997737249744E-4</v>
      </c>
      <c r="H463" s="2137">
        <f t="array" ref="H463">-SUM(H$448:H$456*SUMIFS(EF[CH4], EF[Vector], $B$448:$B$456))</f>
        <v>9.4748631149995418E-4</v>
      </c>
      <c r="I463" s="2137">
        <f t="array" ref="I463">-SUM(I$448:I$456*SUMIFS(EF[CH4], EF[Vector], $B$448:$B$456))</f>
        <v>9.5210809869144077E-4</v>
      </c>
      <c r="J463" s="2137">
        <f t="array" ref="J463">-SUM(J$448:J$456*SUMIFS(EF[CH4], EF[Vector], $B$448:$B$456))</f>
        <v>9.5272710921402801E-4</v>
      </c>
      <c r="K463" s="2137">
        <f t="array" ref="K463">-SUM(K$448:K$456*SUMIFS(EF[CH4], EF[Vector], $B$448:$B$456))</f>
        <v>9.4934334306771622E-4</v>
      </c>
      <c r="L463" s="2137">
        <f t="array" ref="L463">-SUM(L$448:L$456*SUMIFS(EF[CH4], EF[Vector], $B$448:$B$456))</f>
        <v>9.4195680025250476E-4</v>
      </c>
      <c r="M463" s="2137">
        <f t="array" ref="M463">-SUM(M$448:M$456*SUMIFS(EF[CH4], EF[Vector], $B$448:$B$456))</f>
        <v>9.3056748076839426E-4</v>
      </c>
      <c r="N463" s="2137">
        <f t="array" ref="N463">-SUM(N$448:N$456*SUMIFS(EF[CH4], EF[Vector], $B$448:$B$456))</f>
        <v>9.1517538461538463E-4</v>
      </c>
    </row>
    <row r="464" spans="2:20">
      <c r="C464" t="s">
        <v>253</v>
      </c>
      <c r="E464" s="373"/>
      <c r="F464" s="2137">
        <f t="array" ref="F464">-SUM(F$448:F$456*SUMIFS(EF[N2O], EF[Vector], $B$448:$B$456))</f>
        <v>1.7663896636119548E-2</v>
      </c>
      <c r="G464" s="2137">
        <f t="array" ref="G464">-SUM(G$448:G$456*SUMIFS(EF[N2O], EF[Vector], $B$448:$B$456))</f>
        <v>1.8711810823990694E-2</v>
      </c>
      <c r="H464" s="2137">
        <f t="array" ref="H464">-SUM(H$448:H$456*SUMIFS(EF[N2O], EF[Vector], $B$448:$B$456))</f>
        <v>2.1611336782204806E-2</v>
      </c>
      <c r="I464" s="2137">
        <f t="array" ref="I464">-SUM(I$448:I$456*SUMIFS(EF[N2O], EF[Vector], $B$448:$B$456))</f>
        <v>2.4184466064306055E-2</v>
      </c>
      <c r="J464" s="2137">
        <f t="array" ref="J464">-SUM(J$448:J$456*SUMIFS(EF[N2O], EF[Vector], $B$448:$B$456))</f>
        <v>2.6899469342591978E-2</v>
      </c>
      <c r="K464" s="2137">
        <f t="array" ref="K464">-SUM(K$448:K$456*SUMIFS(EF[N2O], EF[Vector], $B$448:$B$456))</f>
        <v>2.9756346617062574E-2</v>
      </c>
      <c r="L464" s="2137">
        <f t="array" ref="L464">-SUM(L$448:L$456*SUMIFS(EF[N2O], EF[Vector], $B$448:$B$456))</f>
        <v>3.2755097887717848E-2</v>
      </c>
      <c r="M464" s="2137">
        <f t="array" ref="M464">-SUM(M$448:M$456*SUMIFS(EF[N2O], EF[Vector], $B$448:$B$456))</f>
        <v>3.5895723154557788E-2</v>
      </c>
      <c r="N464" s="2137">
        <f t="array" ref="N464">-SUM(N$448:N$456*SUMIFS(EF[N2O], EF[Vector], $B$448:$B$456))</f>
        <v>3.9178222417582419E-2</v>
      </c>
    </row>
    <row r="465" spans="2:25">
      <c r="I465" s="354"/>
      <c r="J465" s="354"/>
      <c r="K465" s="354"/>
      <c r="L465" s="354"/>
      <c r="M465" s="354"/>
      <c r="N465" s="354"/>
      <c r="O465" s="2"/>
    </row>
    <row r="466" spans="2:25" s="4" customFormat="1">
      <c r="B466" s="405" t="s">
        <v>254</v>
      </c>
      <c r="C466"/>
      <c r="D466" s="2"/>
      <c r="E466" s="2"/>
      <c r="F466" s="356">
        <v>2013</v>
      </c>
      <c r="G466" s="356">
        <v>2015</v>
      </c>
      <c r="H466" s="356">
        <v>2020</v>
      </c>
      <c r="I466" s="356">
        <v>2025</v>
      </c>
      <c r="J466" s="356">
        <v>2030</v>
      </c>
      <c r="K466" s="356">
        <v>2035</v>
      </c>
      <c r="L466" s="356">
        <v>2040</v>
      </c>
      <c r="M466" s="356">
        <v>2045</v>
      </c>
      <c r="N466" s="356">
        <v>2050</v>
      </c>
      <c r="O466" s="2"/>
      <c r="W466" s="365"/>
      <c r="X466" s="365"/>
      <c r="Y466" s="365"/>
    </row>
    <row r="467" spans="2:25">
      <c r="B467" s="2"/>
      <c r="C467" s="2" t="s">
        <v>140</v>
      </c>
      <c r="D467" s="2"/>
      <c r="E467" s="2" t="s">
        <v>141</v>
      </c>
      <c r="F467" s="2091">
        <f ca="1">(F382/$M97+F350/$M115)*(1-'Intermediate output'!AY255)</f>
        <v>2.5066191069978885</v>
      </c>
      <c r="G467" s="2091">
        <f ca="1">(G382/$M97+G350/$M115)*(1-'Intermediate output'!AZ255)</f>
        <v>2.4394951419872686</v>
      </c>
      <c r="H467" s="2091">
        <f ca="1">(H382/$M97+H350/$M115)*(1-'Intermediate output'!BA255)</f>
        <v>2.253255944363914</v>
      </c>
      <c r="I467" s="2091">
        <f ca="1">(I382/$M97+I350/$M115)*(1-'Intermediate output'!BB255)</f>
        <v>1.9681572594345511</v>
      </c>
      <c r="J467" s="2091">
        <f ca="1">(J382/$M97+J350/$M115)*(1-'Intermediate output'!BC255)</f>
        <v>1.650650971908699</v>
      </c>
      <c r="K467" s="2091">
        <f ca="1">(K382/$M97+K350/$M115)*(1-'Intermediate output'!BD255)</f>
        <v>1.2934628022190229</v>
      </c>
      <c r="L467" s="2091">
        <f ca="1">(L382/$M97+L350/$M115)*(1-'Intermediate output'!BE255)</f>
        <v>0.89874084804556764</v>
      </c>
      <c r="M467" s="2091">
        <f ca="1">(M382/$M97+M350/$M115)*(1-'Intermediate output'!BF255)</f>
        <v>0.46757739160797046</v>
      </c>
      <c r="N467" s="2091">
        <f ca="1">(N382/$M97+N350/$M115)*(1-'Intermediate output'!BG255)</f>
        <v>0</v>
      </c>
      <c r="O467" s="2"/>
    </row>
    <row r="468" spans="2:25">
      <c r="B468" s="2"/>
      <c r="C468" s="2" t="s">
        <v>140</v>
      </c>
      <c r="D468" s="2"/>
      <c r="E468" s="2" t="s">
        <v>142</v>
      </c>
      <c r="F468" s="2091">
        <f ca="1">(F382/$M97+F350/$M115)*('Intermediate output'!AY255)</f>
        <v>9.170366686322453E-3</v>
      </c>
      <c r="G468" s="2091">
        <f ca="1">(G382/$M97+G350/$M115)*('Intermediate output'!AZ255)</f>
        <v>1.0006991725391266E-2</v>
      </c>
      <c r="H468" s="2091">
        <f ca="1">(H382/$M97+H350/$M115)*('Intermediate output'!BA255)</f>
        <v>1.1146616091277985E-2</v>
      </c>
      <c r="I468" s="2091">
        <f ca="1">(I382/$M97+I350/$M115)*('Intermediate output'!BB255)</f>
        <v>1.2417064889773233E-2</v>
      </c>
      <c r="J468" s="2091">
        <f ca="1">(J382/$M97+J350/$M115)*('Intermediate output'!BC255)</f>
        <v>8.6662400400916093E-3</v>
      </c>
      <c r="K468" s="2091">
        <f ca="1">(K382/$M97+K350/$M115)*('Intermediate output'!BD255)</f>
        <v>7.1684211095691015E-3</v>
      </c>
      <c r="L468" s="2091">
        <f ca="1">(L382/$M97+L350/$M115)*('Intermediate output'!BE255)</f>
        <v>5.7755104181593632E-3</v>
      </c>
      <c r="M468" s="2091">
        <f ca="1">(M382/$M97+M350/$M115)*('Intermediate output'!BF255)</f>
        <v>3.3952257462258142E-3</v>
      </c>
      <c r="N468" s="2091">
        <f ca="1">(N382/$M97+N350/$M115)*('Intermediate output'!BG255)</f>
        <v>0</v>
      </c>
      <c r="O468" s="2"/>
    </row>
    <row r="469" spans="2:25">
      <c r="B469" s="2"/>
      <c r="C469" s="2" t="s">
        <v>143</v>
      </c>
      <c r="D469" s="2"/>
      <c r="E469" s="2" t="s">
        <v>141</v>
      </c>
      <c r="F469" s="2091">
        <f ca="1">(F383/$M98+F351/$M116)*(1-'Intermediate output'!AY255)</f>
        <v>2.4074561533144556</v>
      </c>
      <c r="G469" s="2091">
        <f ca="1">(G383/$M98+G351/$M116)*(1-'Intermediate output'!AZ255)</f>
        <v>2.8086746265831444</v>
      </c>
      <c r="H469" s="2091">
        <f ca="1">(H383/$M98+H351/$M116)*(1-'Intermediate output'!BA255)</f>
        <v>3.9205002694976523</v>
      </c>
      <c r="I469" s="2091">
        <f ca="1">(I383/$M98+I351/$M116)*(1-'Intermediate output'!BB255)</f>
        <v>5.0462687007831812</v>
      </c>
      <c r="J469" s="2091">
        <f ca="1">(J383/$M98+J351/$M116)*(1-'Intermediate output'!BC255)</f>
        <v>6.2724736932530556</v>
      </c>
      <c r="K469" s="2091">
        <f ca="1">(K383/$M98+K351/$M116)*(1-'Intermediate output'!BD255)</f>
        <v>7.579786780183122</v>
      </c>
      <c r="L469" s="2091">
        <f ca="1">(L383/$M98+L351/$M116)*(1-'Intermediate output'!BE255)</f>
        <v>8.9696311889558711</v>
      </c>
      <c r="M469" s="2091">
        <f ca="1">(M383/$M98+M351/$M116)*(1-'Intermediate output'!BF255)</f>
        <v>10.445987221307735</v>
      </c>
      <c r="N469" s="2091">
        <f ca="1">(N383/$M98+N351/$M116)*(1-'Intermediate output'!BG255)</f>
        <v>12.021525365216371</v>
      </c>
      <c r="O469" s="2"/>
    </row>
    <row r="470" spans="2:25">
      <c r="B470" s="2"/>
      <c r="C470" s="2" t="s">
        <v>143</v>
      </c>
      <c r="D470" s="2"/>
      <c r="E470" s="2" t="s">
        <v>142</v>
      </c>
      <c r="F470" s="2091">
        <f ca="1">(F383/$M98+F351/$M116)*('Intermediate output'!AY255)</f>
        <v>8.8075829492811255E-3</v>
      </c>
      <c r="G470" s="2091">
        <f ca="1">(G383/$M98+G351/$M116)*('Intermediate output'!AZ255)</f>
        <v>1.1521393612875909E-2</v>
      </c>
      <c r="H470" s="2091">
        <f ca="1">(H383/$M98+H351/$M116)*('Intermediate output'!BA255)</f>
        <v>1.9394295396912245E-2</v>
      </c>
      <c r="I470" s="2091">
        <f ca="1">(I383/$M98+I351/$M116)*('Intermediate output'!BB255)</f>
        <v>3.1836808572328471E-2</v>
      </c>
      <c r="J470" s="2091">
        <f ca="1">(J383/$M98+J351/$M116)*('Intermediate output'!BC255)</f>
        <v>3.2931712152348115E-2</v>
      </c>
      <c r="K470" s="2091">
        <f ca="1">(K383/$M98+K351/$M116)*('Intermediate output'!BD255)</f>
        <v>4.2007472861130574E-2</v>
      </c>
      <c r="L470" s="2091">
        <f ca="1">(L383/$M98+L351/$M116)*('Intermediate output'!BE255)</f>
        <v>5.7640863316179479E-2</v>
      </c>
      <c r="M470" s="2091">
        <f ca="1">(M383/$M98+M351/$M116)*('Intermediate output'!BF255)</f>
        <v>7.585158178106681E-2</v>
      </c>
      <c r="N470" s="2091">
        <f ca="1">(N383/$M98+N351/$M116)*('Intermediate output'!BG255)</f>
        <v>8.3969140278134152E-2</v>
      </c>
      <c r="O470" s="2"/>
    </row>
    <row r="471" spans="2:25">
      <c r="B471" s="2"/>
      <c r="C471" s="2" t="s">
        <v>48</v>
      </c>
      <c r="D471" s="2"/>
      <c r="E471" s="2" t="s">
        <v>144</v>
      </c>
      <c r="F471" s="2091">
        <f ca="1">(F385/$M100+F353/$M118)*(1-'Intermediate output'!AY254)</f>
        <v>2.2368149833358615</v>
      </c>
      <c r="G471" s="2091">
        <f ca="1">(G385/$M100+G353/$M118)*(1-'Intermediate output'!AZ254)</f>
        <v>2.1731821492490777</v>
      </c>
      <c r="H471" s="2091">
        <f ca="1">(H385/$M100+H353/$M118)*(1-'Intermediate output'!BA254)</f>
        <v>2.0092718160805472</v>
      </c>
      <c r="I471" s="2091">
        <f ca="1">(I385/$M100+I353/$M118)*(1-'Intermediate output'!BB254)</f>
        <v>1.7569437934959249</v>
      </c>
      <c r="J471" s="2091">
        <f ca="1">(J385/$M100+J353/$M118)*(1-'Intermediate output'!BC254)</f>
        <v>1.4805742145267076</v>
      </c>
      <c r="K471" s="2091">
        <f ca="1">(K385/$M100+K353/$M118)*(1-'Intermediate output'!BD254)</f>
        <v>1.162733772828924</v>
      </c>
      <c r="L471" s="2091">
        <f ca="1">(L385/$M100+L353/$M118)*(1-'Intermediate output'!BE254)</f>
        <v>0.81014995019543912</v>
      </c>
      <c r="M471" s="2091">
        <f ca="1">(M385/$M100+M353/$M118)*(1-'Intermediate output'!BF254)</f>
        <v>0.42264241705315031</v>
      </c>
      <c r="N471" s="2091">
        <f ca="1">(N385/$M100+N353/$M118)*(1-'Intermediate output'!BG254)</f>
        <v>0</v>
      </c>
      <c r="O471" s="2"/>
    </row>
    <row r="472" spans="2:25">
      <c r="B472" s="2"/>
      <c r="C472" s="2" t="s">
        <v>48</v>
      </c>
      <c r="D472" s="2"/>
      <c r="E472" s="2" t="s">
        <v>145</v>
      </c>
      <c r="F472" s="2091">
        <f ca="1">(F385/$M100+F353/$M118)*('Intermediate output'!AY254)</f>
        <v>2.9989140375479329E-2</v>
      </c>
      <c r="G472" s="2091">
        <f ca="1">(G385/$M100+G353/$M118)*('Intermediate output'!AZ254)</f>
        <v>3.38950310239792E-2</v>
      </c>
      <c r="H472" s="2091">
        <f ca="1">(H385/$M100+H353/$M118)*('Intermediate output'!BA254)</f>
        <v>3.102492395846056E-2</v>
      </c>
      <c r="I472" s="2091">
        <f ca="1">(I385/$M100+I353/$M118)*('Intermediate output'!BB254)</f>
        <v>2.7614927596300801E-2</v>
      </c>
      <c r="J472" s="2091">
        <f ca="1">(J385/$M100+J353/$M118)*('Intermediate output'!BC254)</f>
        <v>1.4521912528181986E-2</v>
      </c>
      <c r="K472" s="2091">
        <f ca="1">(K385/$M100+K353/$M118)*('Intermediate output'!BD254)</f>
        <v>9.17518509807487E-3</v>
      </c>
      <c r="L472" s="2091">
        <f ca="1">(L385/$M100+L353/$M118)*('Intermediate output'!BE254)</f>
        <v>4.8472635131140973E-3</v>
      </c>
      <c r="M472" s="2091">
        <f ca="1">(M385/$M100+M353/$M118)*('Intermediate output'!BF254)</f>
        <v>1.718477346403333E-3</v>
      </c>
      <c r="N472" s="2091">
        <f ca="1">(N385/$M100+N353/$M118)*('Intermediate output'!BG254)</f>
        <v>0</v>
      </c>
      <c r="O472" s="2"/>
    </row>
    <row r="473" spans="2:25">
      <c r="B473" s="2"/>
      <c r="C473" s="2" t="s">
        <v>49</v>
      </c>
      <c r="D473" s="2"/>
      <c r="E473" s="2" t="s">
        <v>146</v>
      </c>
      <c r="F473" s="2091">
        <f ca="1">(F386/$M101+F354/$M119)*(1-'Intermediate output'!AY253)</f>
        <v>0.31391752124399058</v>
      </c>
      <c r="G473" s="2091">
        <f ca="1">(G386/$M101+G354/$M119)*(1-'Intermediate output'!AZ253)</f>
        <v>0.29934195253343338</v>
      </c>
      <c r="H473" s="2091">
        <f ca="1">(H386/$M101+H354/$M119)*(1-'Intermediate output'!BA253)</f>
        <v>0.26996625277555075</v>
      </c>
      <c r="I473" s="2091">
        <f ca="1">(I386/$M101+I354/$M119)*(1-'Intermediate output'!BB253)</f>
        <v>0.23148828948325342</v>
      </c>
      <c r="J473" s="2091">
        <f ca="1">(J386/$M101+J354/$M119)*(1-'Intermediate output'!BC253)</f>
        <v>0.17575383075036127</v>
      </c>
      <c r="K473" s="2091">
        <f ca="1">(K386/$M101+K354/$M119)*(1-'Intermediate output'!BD253)</f>
        <v>4.623260195843968E-2</v>
      </c>
      <c r="L473" s="2091">
        <f ca="1">(L386/$M101+L354/$M119)*(1-'Intermediate output'!BE253)</f>
        <v>4.7019875594533467E-2</v>
      </c>
      <c r="M473" s="2091">
        <f ca="1">(M386/$M101+M354/$M119)*(1-'Intermediate output'!BF253)</f>
        <v>3.1611154021763899E-2</v>
      </c>
      <c r="N473" s="2091">
        <f ca="1">(N386/$M101+N354/$M119)*(1-'Intermediate output'!BG253)</f>
        <v>0</v>
      </c>
      <c r="O473" s="2"/>
    </row>
    <row r="474" spans="2:25">
      <c r="B474" s="2"/>
      <c r="C474" s="2" t="s">
        <v>49</v>
      </c>
      <c r="D474" s="2"/>
      <c r="E474" s="2" t="s">
        <v>147</v>
      </c>
      <c r="F474" s="2091">
        <f ca="1">(F386/$M101+F354/$M119)*('Intermediate output'!AY253)</f>
        <v>1.5737651169802497E-2</v>
      </c>
      <c r="G474" s="2091">
        <f ca="1">(G386/$M101+G354/$M119)*('Intermediate output'!AZ253)</f>
        <v>2.1627292573742726E-2</v>
      </c>
      <c r="H474" s="2091">
        <f ca="1">(H386/$M101+H354/$M119)*('Intermediate output'!BA253)</f>
        <v>2.6748565490991662E-2</v>
      </c>
      <c r="I474" s="2091">
        <f ca="1">(I386/$M101+I354/$M119)*('Intermediate output'!BB253)</f>
        <v>2.8035242669589039E-2</v>
      </c>
      <c r="J474" s="2091">
        <f ca="1">(J386/$M101+J354/$M119)*('Intermediate output'!BC253)</f>
        <v>4.1673941849825091E-2</v>
      </c>
      <c r="K474" s="2091">
        <f ca="1">(K386/$M101+K354/$M119)*('Intermediate output'!BD253)</f>
        <v>0.12419493765013437</v>
      </c>
      <c r="L474" s="2091">
        <f ca="1">(L386/$M101+L354/$M119)*('Intermediate output'!BE253)</f>
        <v>7.1502957583472068E-2</v>
      </c>
      <c r="M474" s="2091">
        <f ca="1">(M386/$M101+M354/$M119)*('Intermediate output'!BF253)</f>
        <v>3.010249928671695E-2</v>
      </c>
      <c r="N474" s="2091">
        <f ca="1">(N386/$M101+N354/$M119)*('Intermediate output'!BG253)</f>
        <v>0</v>
      </c>
      <c r="O474" s="2"/>
    </row>
    <row r="475" spans="2:25">
      <c r="B475" s="2"/>
      <c r="C475" s="2" t="s">
        <v>50</v>
      </c>
      <c r="D475" s="2"/>
      <c r="E475" s="2" t="s">
        <v>141</v>
      </c>
      <c r="F475" s="2091">
        <f ca="1">(F387/$M102+F355/$M120)*(1-'Intermediate output'!AY255)</f>
        <v>0</v>
      </c>
      <c r="G475" s="2091">
        <f ca="1">(G387/$M102+G355/$M120)*(1-'Intermediate output'!AZ255)</f>
        <v>0</v>
      </c>
      <c r="H475" s="2091">
        <f ca="1">(H387/$M102+H355/$M120)*(1-'Intermediate output'!BA255)</f>
        <v>0</v>
      </c>
      <c r="I475" s="2091">
        <f ca="1">(I387/$M102+I355/$M120)*(1-'Intermediate output'!BB255)</f>
        <v>0</v>
      </c>
      <c r="J475" s="2091">
        <f ca="1">(J387/$M102+J355/$M120)*(1-'Intermediate output'!BC255)</f>
        <v>0</v>
      </c>
      <c r="K475" s="2091">
        <f ca="1">(K387/$M102+K355/$M120)*(1-'Intermediate output'!BD255)</f>
        <v>0</v>
      </c>
      <c r="L475" s="2091">
        <f ca="1">(L387/$M102+L355/$M120)*(1-'Intermediate output'!BE255)</f>
        <v>0</v>
      </c>
      <c r="M475" s="2091">
        <f ca="1">(M387/$M102+M355/$M120)*(1-'Intermediate output'!BF255)</f>
        <v>0</v>
      </c>
      <c r="N475" s="2091">
        <f ca="1">(N387/$M102+N355/$M120)*(1-'Intermediate output'!BG255)</f>
        <v>0</v>
      </c>
      <c r="O475" s="2"/>
    </row>
    <row r="476" spans="2:25">
      <c r="B476" s="2"/>
      <c r="C476" s="2" t="s">
        <v>50</v>
      </c>
      <c r="D476" s="2"/>
      <c r="E476" s="2" t="s">
        <v>142</v>
      </c>
      <c r="F476" s="2091">
        <f ca="1">(F387/$M102+F355/$M120)*(1-'Intermediate output'!AY255)</f>
        <v>0</v>
      </c>
      <c r="G476" s="2091">
        <f ca="1">(G387/$M102+G355/$M120)*(1-'Intermediate output'!AZ255)</f>
        <v>0</v>
      </c>
      <c r="H476" s="2091">
        <f ca="1">(H387/$M102+H355/$M120)*(1-'Intermediate output'!BA255)</f>
        <v>0</v>
      </c>
      <c r="I476" s="2091">
        <f ca="1">(I387/$M102+I355/$M120)*(1-'Intermediate output'!BB255)</f>
        <v>0</v>
      </c>
      <c r="J476" s="2091">
        <f ca="1">(J387/$M102+J355/$M120)*(1-'Intermediate output'!BC255)</f>
        <v>0</v>
      </c>
      <c r="K476" s="2091">
        <f ca="1">(K387/$M102+K355/$M120)*(1-'Intermediate output'!BD255)</f>
        <v>0</v>
      </c>
      <c r="L476" s="2091">
        <f ca="1">(L387/$M102+L355/$M120)*(1-'Intermediate output'!BE255)</f>
        <v>0</v>
      </c>
      <c r="M476" s="2091">
        <f ca="1">(M387/$M102+M355/$M120)*(1-'Intermediate output'!BF255)</f>
        <v>0</v>
      </c>
      <c r="N476" s="2091">
        <f ca="1">(N387/$M102+N355/$M120)*(1-'Intermediate output'!BG255)</f>
        <v>0</v>
      </c>
      <c r="O476" s="2"/>
    </row>
    <row r="477" spans="2:25">
      <c r="B477" s="2"/>
      <c r="C477" s="2" t="s">
        <v>51</v>
      </c>
      <c r="D477" s="2"/>
      <c r="E477" s="2" t="s">
        <v>141</v>
      </c>
      <c r="F477" s="2091">
        <f ca="1">(F388/$M103+F356/$M121)*(1-'Intermediate output'!AY255)</f>
        <v>0</v>
      </c>
      <c r="G477" s="2091">
        <f ca="1">(G388/$M103+G356/$M121)*(1-'Intermediate output'!AZ255)</f>
        <v>0</v>
      </c>
      <c r="H477" s="2091">
        <f ca="1">(H388/$M103+H356/$M121)*(1-'Intermediate output'!BA255)</f>
        <v>0</v>
      </c>
      <c r="I477" s="2091">
        <f ca="1">(I388/$M103+I356/$M121)*(1-'Intermediate output'!BB255)</f>
        <v>0</v>
      </c>
      <c r="J477" s="2091">
        <f ca="1">(J388/$M103+J356/$M121)*(1-'Intermediate output'!BC255)</f>
        <v>0</v>
      </c>
      <c r="K477" s="2091">
        <f ca="1">(K388/$M103+K356/$M121)*(1-'Intermediate output'!BD255)</f>
        <v>0</v>
      </c>
      <c r="L477" s="2091">
        <f ca="1">(L388/$M103+L356/$M121)*(1-'Intermediate output'!BE255)</f>
        <v>0</v>
      </c>
      <c r="M477" s="2091">
        <f ca="1">(M388/$M103+M356/$M121)*(1-'Intermediate output'!BF255)</f>
        <v>0</v>
      </c>
      <c r="N477" s="2091">
        <f ca="1">(N388/$M103+N356/$M121)*(1-'Intermediate output'!BG255)</f>
        <v>0</v>
      </c>
      <c r="O477" s="2"/>
    </row>
    <row r="478" spans="2:25">
      <c r="B478" s="2"/>
      <c r="C478" s="2" t="s">
        <v>51</v>
      </c>
      <c r="D478" s="2"/>
      <c r="E478" s="2" t="s">
        <v>142</v>
      </c>
      <c r="F478" s="2091">
        <f ca="1">(F388/$M103+F356/$M121)*('Intermediate output'!AY255)</f>
        <v>0</v>
      </c>
      <c r="G478" s="2091">
        <f ca="1">(G388/$M103+G356/$M121)*('Intermediate output'!AZ255)</f>
        <v>0</v>
      </c>
      <c r="H478" s="2091">
        <f ca="1">(H388/$M103+H356/$M121)*('Intermediate output'!BA255)</f>
        <v>0</v>
      </c>
      <c r="I478" s="2091">
        <f ca="1">(I388/$M103+I356/$M121)*('Intermediate output'!BB255)</f>
        <v>0</v>
      </c>
      <c r="J478" s="2091">
        <f ca="1">(J388/$M103+J356/$M121)*('Intermediate output'!BC255)</f>
        <v>0</v>
      </c>
      <c r="K478" s="2091">
        <f ca="1">(K388/$M103+K356/$M121)*('Intermediate output'!BD255)</f>
        <v>0</v>
      </c>
      <c r="L478" s="2091">
        <f ca="1">(L388/$M103+L356/$M121)*('Intermediate output'!BE255)</f>
        <v>0</v>
      </c>
      <c r="M478" s="2091">
        <f ca="1">(M388/$M103+M356/$M121)*('Intermediate output'!BF255)</f>
        <v>0</v>
      </c>
      <c r="N478" s="2091">
        <f ca="1">(N388/$M103+N356/$M121)*('Intermediate output'!BG255)</f>
        <v>0</v>
      </c>
      <c r="O478" s="2"/>
    </row>
    <row r="479" spans="2:25">
      <c r="B479" s="2"/>
      <c r="C479" s="2" t="s">
        <v>55</v>
      </c>
      <c r="D479" s="2"/>
      <c r="E479" s="2" t="s">
        <v>141</v>
      </c>
      <c r="F479" s="2091">
        <f ca="1">(F392/$M107+F360/$M125)*(1-'Intermediate output'!AY255)</f>
        <v>0</v>
      </c>
      <c r="G479" s="2091">
        <f ca="1">(G392/$M107+G360/$M125)*(1-'Intermediate output'!AZ255)</f>
        <v>0</v>
      </c>
      <c r="H479" s="2091">
        <f ca="1">(H392/$M107+H360/$M125)*(1-'Intermediate output'!BA255)</f>
        <v>0</v>
      </c>
      <c r="I479" s="2091">
        <f ca="1">(I392/$M107+I360/$M125)*(1-'Intermediate output'!BB255)</f>
        <v>0</v>
      </c>
      <c r="J479" s="2091">
        <f ca="1">(J392/$M107+J360/$M125)*(1-'Intermediate output'!BC255)</f>
        <v>0</v>
      </c>
      <c r="K479" s="2091">
        <f ca="1">(K392/$M107+K360/$M125)*(1-'Intermediate output'!BD255)</f>
        <v>0</v>
      </c>
      <c r="L479" s="2091">
        <f ca="1">(L392/$M107+L360/$M125)*(1-'Intermediate output'!BE255)</f>
        <v>0</v>
      </c>
      <c r="M479" s="2091">
        <f ca="1">(M392/$M107+M360/$M125)*(1-'Intermediate output'!BF255)</f>
        <v>0</v>
      </c>
      <c r="N479" s="2091">
        <f ca="1">(N392/$M107+N360/$M125)*(1-'Intermediate output'!BG255)</f>
        <v>0</v>
      </c>
      <c r="O479" s="2"/>
    </row>
    <row r="480" spans="2:25">
      <c r="B480" s="2"/>
      <c r="C480" s="2" t="s">
        <v>55</v>
      </c>
      <c r="D480" s="2"/>
      <c r="E480" s="2" t="s">
        <v>142</v>
      </c>
      <c r="F480" s="2091">
        <f ca="1">(F392/$M107+F360/$M125)*('Intermediate output'!AY255)</f>
        <v>0</v>
      </c>
      <c r="G480" s="2091">
        <f ca="1">(G392/$M107+G360/$M125)*('Intermediate output'!AZ255)</f>
        <v>0</v>
      </c>
      <c r="H480" s="2091">
        <f ca="1">(H392/$M107+H360/$M125)*('Intermediate output'!BA255)</f>
        <v>0</v>
      </c>
      <c r="I480" s="2091">
        <f ca="1">(I392/$M107+I360/$M125)*('Intermediate output'!BB255)</f>
        <v>0</v>
      </c>
      <c r="J480" s="2091">
        <f ca="1">(J392/$M107+J360/$M125)*('Intermediate output'!BC255)</f>
        <v>0</v>
      </c>
      <c r="K480" s="2091">
        <f ca="1">(K392/$M107+K360/$M125)*('Intermediate output'!BD255)</f>
        <v>0</v>
      </c>
      <c r="L480" s="2091">
        <f ca="1">(L392/$M107+L360/$M125)*('Intermediate output'!BE255)</f>
        <v>0</v>
      </c>
      <c r="M480" s="2091">
        <f ca="1">(M392/$M107+M360/$M125)*('Intermediate output'!BF255)</f>
        <v>0</v>
      </c>
      <c r="N480" s="2091">
        <f ca="1">(N392/$M107+N360/$M125)*('Intermediate output'!BG255)</f>
        <v>0</v>
      </c>
      <c r="O480" s="2"/>
    </row>
    <row r="481" spans="2:26">
      <c r="B481" s="2"/>
      <c r="C481" s="2" t="s">
        <v>56</v>
      </c>
      <c r="D481" s="2"/>
      <c r="E481" s="2" t="s">
        <v>146</v>
      </c>
      <c r="F481" s="2091">
        <f ca="1">(F393/$M108+F361/$M126)*(1-'Intermediate output'!AY253)</f>
        <v>0</v>
      </c>
      <c r="G481" s="2091">
        <f ca="1">(G393/$M108+G361/$M126)*(1-'Intermediate output'!AZ253)</f>
        <v>0</v>
      </c>
      <c r="H481" s="2091">
        <f ca="1">(H393/$M108+H361/$M126)*(1-'Intermediate output'!BA253)</f>
        <v>0</v>
      </c>
      <c r="I481" s="2091">
        <f ca="1">(I393/$M108+I361/$M126)*(1-'Intermediate output'!BB253)</f>
        <v>0</v>
      </c>
      <c r="J481" s="2091">
        <f ca="1">(J393/$M108+J361/$M126)*(1-'Intermediate output'!BC253)</f>
        <v>0</v>
      </c>
      <c r="K481" s="2091">
        <f ca="1">(K393/$M108+K361/$M126)*(1-'Intermediate output'!BD253)</f>
        <v>0</v>
      </c>
      <c r="L481" s="2091">
        <f ca="1">(L393/$M108+L361/$M126)*(1-'Intermediate output'!BE253)</f>
        <v>0</v>
      </c>
      <c r="M481" s="2091">
        <f ca="1">(M393/$M108+M361/$M126)*(1-'Intermediate output'!BF253)</f>
        <v>0</v>
      </c>
      <c r="N481" s="2091">
        <f ca="1">(N393/$M108+N361/$M126)*(1-'Intermediate output'!BG253)</f>
        <v>0</v>
      </c>
      <c r="O481" s="2"/>
    </row>
    <row r="482" spans="2:26">
      <c r="B482" s="2"/>
      <c r="C482" s="2" t="s">
        <v>56</v>
      </c>
      <c r="D482" s="2"/>
      <c r="E482" s="2" t="s">
        <v>147</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58"/>
      <c r="C483" t="s">
        <v>255</v>
      </c>
      <c r="D483" s="2"/>
      <c r="E483" s="358"/>
      <c r="F483" s="406">
        <f ca="1">SUM(F467:F482)</f>
        <v>7.5285125060730804</v>
      </c>
      <c r="G483" s="406">
        <f t="shared" ref="G483:N483" ca="1" si="55">SUM(G467:G482)</f>
        <v>7.7977445792889126</v>
      </c>
      <c r="H483" s="406">
        <f t="shared" ca="1" si="55"/>
        <v>8.5413086836553056</v>
      </c>
      <c r="I483" s="406">
        <f t="shared" ca="1" si="55"/>
        <v>9.1027620869249013</v>
      </c>
      <c r="J483" s="406">
        <f t="shared" ca="1" si="55"/>
        <v>9.6772465170092694</v>
      </c>
      <c r="K483" s="406">
        <f t="shared" ca="1" si="55"/>
        <v>10.264761973908417</v>
      </c>
      <c r="L483" s="406">
        <f t="shared" ca="1" si="55"/>
        <v>10.865308457622337</v>
      </c>
      <c r="M483" s="406">
        <f t="shared" ca="1" si="55"/>
        <v>11.478885968151031</v>
      </c>
      <c r="N483" s="406">
        <f t="shared" ca="1" si="55"/>
        <v>12.105494505494505</v>
      </c>
      <c r="O483" s="2"/>
      <c r="Q483" s="365"/>
      <c r="W483" s="365"/>
      <c r="X483" s="365"/>
      <c r="Y483" s="365"/>
    </row>
    <row r="484" spans="2:26" s="4" customFormat="1">
      <c r="B484" s="358"/>
      <c r="C484" s="2" t="s">
        <v>256</v>
      </c>
      <c r="D484" s="2"/>
      <c r="E484" s="355"/>
      <c r="F484" s="407" t="str">
        <f ca="1">IF(SUM(F735:F737,F483)=0,"ok",F483+SUM(F735:F737))</f>
        <v>ok</v>
      </c>
      <c r="G484" s="407" t="str">
        <f t="shared" ref="G484:N484" ca="1" si="56">IF(SUM(G735:G737,G483)=0,"ok",G483+SUM(G735:G737))</f>
        <v>ok</v>
      </c>
      <c r="H484" s="407" t="str">
        <f t="shared" ca="1" si="56"/>
        <v>ok</v>
      </c>
      <c r="I484" s="407" t="str">
        <f t="shared" ca="1" si="56"/>
        <v>ok</v>
      </c>
      <c r="J484" s="407" t="str">
        <f t="shared" ca="1" si="56"/>
        <v>ok</v>
      </c>
      <c r="K484" s="407" t="str">
        <f t="shared" ca="1" si="56"/>
        <v>ok</v>
      </c>
      <c r="L484" s="407" t="str">
        <f t="shared" ca="1" si="56"/>
        <v>ok</v>
      </c>
      <c r="M484" s="407" t="str">
        <f t="shared" ca="1" si="56"/>
        <v>ok</v>
      </c>
      <c r="N484" s="407" t="str">
        <f t="shared" ca="1" si="56"/>
        <v>ok</v>
      </c>
      <c r="O484" s="2"/>
      <c r="Q484" s="365"/>
      <c r="W484" s="365"/>
      <c r="X484" s="365"/>
      <c r="Y484" s="365"/>
    </row>
    <row r="485" spans="2:26" s="2" customFormat="1">
      <c r="C485" s="354"/>
      <c r="D485" s="354"/>
      <c r="E485"/>
    </row>
    <row r="486" spans="2:26" s="2" customFormat="1">
      <c r="C486" s="354"/>
      <c r="D486" s="354"/>
      <c r="E486"/>
    </row>
    <row r="487" spans="2:26" s="2" customFormat="1">
      <c r="C487" s="2" t="s">
        <v>28</v>
      </c>
      <c r="D487" s="2" t="s">
        <v>29</v>
      </c>
      <c r="E487"/>
      <c r="F487" s="356">
        <v>2013</v>
      </c>
      <c r="G487" s="356" t="s">
        <v>132</v>
      </c>
      <c r="H487" s="356" t="s">
        <v>133</v>
      </c>
      <c r="I487" s="356" t="s">
        <v>134</v>
      </c>
      <c r="J487" s="356" t="s">
        <v>135</v>
      </c>
      <c r="K487" s="356" t="s">
        <v>136</v>
      </c>
      <c r="L487" s="356" t="s">
        <v>137</v>
      </c>
      <c r="M487" s="356" t="s">
        <v>138</v>
      </c>
      <c r="N487" s="356" t="s">
        <v>139</v>
      </c>
    </row>
    <row r="488" spans="2:26" s="2" customFormat="1">
      <c r="C488" s="2" t="s">
        <v>257</v>
      </c>
      <c r="D488" s="2" t="s">
        <v>258</v>
      </c>
      <c r="E488"/>
      <c r="F488" s="1319">
        <f ca="1">SUMPRODUCT(F$467:F$482,F200:F215)</f>
        <v>0.21276710043396263</v>
      </c>
      <c r="G488" s="1319">
        <f t="shared" ref="G488:N488" ca="1" si="57">SUMPRODUCT(G$467:G$482,G200:G215)</f>
        <v>0.21637865808812715</v>
      </c>
      <c r="H488" s="1319">
        <f t="shared" ca="1" si="57"/>
        <v>0.21224195006378316</v>
      </c>
      <c r="I488" s="1319">
        <f t="shared" ca="1" si="57"/>
        <v>0.19668062920301882</v>
      </c>
      <c r="J488" s="1319">
        <f t="shared" ca="1" si="57"/>
        <v>0.19130861681502925</v>
      </c>
      <c r="K488" s="1319">
        <f t="shared" ca="1" si="57"/>
        <v>0.2627567436603252</v>
      </c>
      <c r="L488" s="1319">
        <f t="shared" ca="1" si="57"/>
        <v>0.17846348563132958</v>
      </c>
      <c r="M488" s="1319">
        <f t="shared" ca="1" si="57"/>
        <v>0.10470567884875109</v>
      </c>
      <c r="N488" s="1319">
        <f t="shared" ca="1" si="57"/>
        <v>4.1143533138426724E-2</v>
      </c>
      <c r="Q488" s="1320"/>
      <c r="R488" s="1320"/>
      <c r="S488" s="1320"/>
      <c r="T488" s="1320"/>
      <c r="U488" s="1320"/>
      <c r="V488" s="1320"/>
      <c r="W488" s="1320"/>
      <c r="X488" s="1320"/>
      <c r="Y488" s="1320"/>
      <c r="Z488" s="1320"/>
    </row>
    <row r="489" spans="2:26" s="2" customFormat="1">
      <c r="C489" s="2" t="s">
        <v>259</v>
      </c>
      <c r="D489" s="2" t="s">
        <v>260</v>
      </c>
      <c r="E489"/>
      <c r="F489" s="1319">
        <f ca="1">SUMPRODUCT(F$467:F$482,F220:F235)</f>
        <v>1.6815565776843788</v>
      </c>
      <c r="G489" s="1319">
        <f t="shared" ref="G489:N489" ca="1" si="58">SUMPRODUCT(G$467:G$482,G220:G235)</f>
        <v>1.7288401130422633</v>
      </c>
      <c r="H489" s="1319">
        <f t="shared" ca="1" si="58"/>
        <v>1.8632776935852229</v>
      </c>
      <c r="I489" s="1319">
        <f t="shared" ca="1" si="58"/>
        <v>1.9543331852941859</v>
      </c>
      <c r="J489" s="1319">
        <f t="shared" ca="1" si="58"/>
        <v>2.0464625677069246</v>
      </c>
      <c r="K489" s="1319">
        <f t="shared" ca="1" si="58"/>
        <v>2.1261082466891121</v>
      </c>
      <c r="L489" s="1319">
        <f t="shared" ca="1" si="58"/>
        <v>2.2249536884434424</v>
      </c>
      <c r="M489" s="1319">
        <f t="shared" ca="1" si="58"/>
        <v>2.3216827286150985</v>
      </c>
      <c r="N489" s="1319">
        <f t="shared" ca="1" si="58"/>
        <v>2.4173430649220071</v>
      </c>
      <c r="Q489" s="1320"/>
      <c r="R489" s="1320"/>
      <c r="S489" s="1320"/>
      <c r="T489" s="1320"/>
      <c r="U489" s="1320"/>
      <c r="V489" s="1320"/>
      <c r="W489" s="1320"/>
      <c r="X489" s="1320"/>
      <c r="Y489" s="1320"/>
      <c r="Z489" s="1320"/>
    </row>
    <row r="490" spans="2:26" s="2" customFormat="1">
      <c r="C490" s="2" t="s">
        <v>261</v>
      </c>
      <c r="D490" s="2" t="s">
        <v>262</v>
      </c>
      <c r="E490"/>
      <c r="F490" s="1319">
        <f ca="1">SUMPRODUCT(F$467:F$482,F240:F255)</f>
        <v>2.5623889146167436</v>
      </c>
      <c r="G490" s="1319">
        <f t="shared" ref="G490:N490" ca="1" si="59">SUMPRODUCT(G$467:G$482,G240:G255)</f>
        <v>2.4761716211045099</v>
      </c>
      <c r="H490" s="1319">
        <f t="shared" ca="1" si="59"/>
        <v>2.2732769658101906</v>
      </c>
      <c r="I490" s="1319">
        <f t="shared" ca="1" si="59"/>
        <v>1.9769483470002249</v>
      </c>
      <c r="J490" s="1319">
        <f t="shared" ca="1" si="59"/>
        <v>1.6200087852362628</v>
      </c>
      <c r="K490" s="1319">
        <f t="shared" ca="1" si="59"/>
        <v>1.0544472738784434</v>
      </c>
      <c r="L490" s="1319">
        <f t="shared" ca="1" si="59"/>
        <v>0.76980302756059582</v>
      </c>
      <c r="M490" s="1319">
        <f t="shared" ca="1" si="59"/>
        <v>0.41838185138307998</v>
      </c>
      <c r="N490" s="1319">
        <f t="shared" ca="1" si="59"/>
        <v>0</v>
      </c>
      <c r="Q490" s="1320"/>
      <c r="R490" s="1320"/>
      <c r="S490" s="1320"/>
      <c r="T490" s="1320"/>
      <c r="U490" s="1320"/>
      <c r="V490" s="1320"/>
      <c r="W490" s="1320"/>
      <c r="X490" s="1320"/>
      <c r="Y490" s="1320"/>
      <c r="Z490" s="1320"/>
    </row>
    <row r="491" spans="2:26" s="2" customFormat="1">
      <c r="C491" s="2" t="s">
        <v>263</v>
      </c>
      <c r="D491" s="2" t="s">
        <v>264</v>
      </c>
      <c r="E491"/>
      <c r="F491" s="1319">
        <f ca="1">SUMPRODUCT(F$467:F$482,F260:F275)</f>
        <v>6.4815256427909917E-2</v>
      </c>
      <c r="G491" s="1319">
        <f t="shared" ref="G491:N491" ca="1" si="60">SUMPRODUCT(G$467:G$482,G260:G275)</f>
        <v>6.7819139101826381E-2</v>
      </c>
      <c r="H491" s="1319">
        <f t="shared" ca="1" si="60"/>
        <v>7.410091842959679E-2</v>
      </c>
      <c r="I491" s="1319">
        <f t="shared" ca="1" si="60"/>
        <v>7.8491345091671536E-2</v>
      </c>
      <c r="J491" s="1319">
        <f t="shared" ca="1" si="60"/>
        <v>8.3514379768250949E-2</v>
      </c>
      <c r="K491" s="1319">
        <f t="shared" ca="1" si="60"/>
        <v>9.614554189562044E-2</v>
      </c>
      <c r="L491" s="1319">
        <f t="shared" ca="1" si="60"/>
        <v>9.5299968922986311E-2</v>
      </c>
      <c r="M491" s="1319">
        <f t="shared" ca="1" si="60"/>
        <v>9.5773847666716011E-2</v>
      </c>
      <c r="N491" s="1319">
        <f t="shared" ca="1" si="60"/>
        <v>9.7517550220176732E-2</v>
      </c>
      <c r="Q491" s="1320"/>
      <c r="R491" s="1320"/>
      <c r="S491" s="1320"/>
      <c r="T491" s="1320"/>
      <c r="U491" s="1320"/>
      <c r="V491" s="1320"/>
      <c r="W491" s="1320"/>
      <c r="X491" s="1320"/>
      <c r="Y491" s="1320"/>
      <c r="Z491" s="1320"/>
    </row>
    <row r="492" spans="2:26">
      <c r="E492" s="373"/>
      <c r="F492" s="404"/>
      <c r="G492" s="404"/>
      <c r="H492" s="404"/>
      <c r="I492" s="404"/>
      <c r="J492" s="404"/>
      <c r="K492" s="404"/>
      <c r="L492" s="404"/>
      <c r="M492" s="404"/>
      <c r="N492" s="404"/>
    </row>
    <row r="493" spans="2:26">
      <c r="B493" s="354">
        <v>6</v>
      </c>
      <c r="C493" s="354" t="s">
        <v>961</v>
      </c>
      <c r="E493" s="373"/>
      <c r="F493" s="404"/>
      <c r="G493" s="404"/>
      <c r="H493" s="404"/>
      <c r="I493" s="404"/>
      <c r="J493" s="404"/>
      <c r="K493" s="404"/>
      <c r="L493" s="404"/>
      <c r="M493" s="404"/>
      <c r="N493" s="404"/>
    </row>
    <row r="494" spans="2:26">
      <c r="B494" s="354"/>
      <c r="C494" s="354"/>
      <c r="E494" s="373"/>
      <c r="F494" s="404"/>
      <c r="G494" s="404"/>
      <c r="H494" s="404"/>
      <c r="I494" s="404"/>
      <c r="J494" s="404"/>
      <c r="K494" s="404"/>
      <c r="L494" s="404"/>
      <c r="M494" s="404"/>
      <c r="N494" s="404"/>
    </row>
    <row r="495" spans="2:26">
      <c r="C495" s="354" t="s">
        <v>266</v>
      </c>
      <c r="E495" s="355"/>
      <c r="F495" s="1321">
        <v>2013</v>
      </c>
      <c r="G495" s="1321">
        <v>2015</v>
      </c>
      <c r="H495" s="1321">
        <v>2020</v>
      </c>
      <c r="I495" s="1321">
        <v>2025</v>
      </c>
      <c r="J495" s="1321">
        <v>2030</v>
      </c>
      <c r="K495" s="1321">
        <v>2035</v>
      </c>
      <c r="L495" s="1321">
        <v>2040</v>
      </c>
      <c r="M495" s="1321">
        <v>2045</v>
      </c>
      <c r="N495" s="1321">
        <v>2050</v>
      </c>
    </row>
    <row r="496" spans="2:26">
      <c r="B496" s="373"/>
      <c r="F496" s="373"/>
      <c r="G496" s="373"/>
      <c r="H496" s="373"/>
      <c r="I496" s="373"/>
      <c r="J496" s="373"/>
      <c r="K496" s="373"/>
      <c r="L496" s="373"/>
      <c r="M496" s="373"/>
      <c r="N496" s="373"/>
    </row>
    <row r="497" spans="2:36">
      <c r="B497">
        <v>1</v>
      </c>
      <c r="C497" t="s">
        <v>45</v>
      </c>
      <c r="F497" s="1314"/>
      <c r="G497" s="1314"/>
      <c r="H497" s="1314"/>
      <c r="I497" s="1314"/>
      <c r="J497" s="1314"/>
      <c r="K497" s="1314"/>
      <c r="L497" s="1314"/>
      <c r="M497" s="1314"/>
      <c r="N497" s="1314"/>
    </row>
    <row r="498" spans="2:36">
      <c r="B498">
        <v>2</v>
      </c>
      <c r="C498" t="s">
        <v>46</v>
      </c>
      <c r="D498" s="373"/>
      <c r="F498" s="1314"/>
      <c r="G498" s="1314"/>
      <c r="H498" s="1314"/>
      <c r="I498" s="1314"/>
      <c r="J498" s="1314"/>
      <c r="K498" s="1314"/>
      <c r="L498" s="1314"/>
      <c r="M498" s="1314"/>
      <c r="N498" s="1314"/>
    </row>
    <row r="499" spans="2:36">
      <c r="B499">
        <v>3</v>
      </c>
      <c r="C499" t="s">
        <v>47</v>
      </c>
      <c r="D499" s="373"/>
      <c r="F499" s="1314"/>
      <c r="G499" s="1314"/>
      <c r="H499" s="1314"/>
      <c r="I499" s="1314"/>
      <c r="J499" s="1314"/>
      <c r="K499" s="1314"/>
      <c r="L499" s="1314"/>
      <c r="M499" s="1314"/>
      <c r="N499" s="1314"/>
    </row>
    <row r="500" spans="2:36">
      <c r="B500">
        <v>4</v>
      </c>
      <c r="C500" t="s">
        <v>48</v>
      </c>
      <c r="D500" s="373"/>
      <c r="F500" s="1314"/>
      <c r="G500" s="1314"/>
      <c r="H500" s="1314"/>
      <c r="I500" s="1314"/>
      <c r="J500" s="1314"/>
      <c r="K500" s="1314"/>
      <c r="L500" s="1314"/>
      <c r="M500" s="1314"/>
      <c r="N500" s="1314"/>
    </row>
    <row r="501" spans="2:36">
      <c r="B501">
        <v>5</v>
      </c>
      <c r="C501" t="s">
        <v>49</v>
      </c>
      <c r="D501" s="373"/>
      <c r="F501" s="1314"/>
      <c r="G501" s="1314"/>
      <c r="H501" s="1314"/>
      <c r="I501" s="1314"/>
      <c r="J501" s="1314"/>
      <c r="K501" s="1314"/>
      <c r="L501" s="1314"/>
      <c r="M501" s="1314"/>
      <c r="N501" s="1314"/>
    </row>
    <row r="502" spans="2:36">
      <c r="B502">
        <v>6</v>
      </c>
      <c r="C502" t="s">
        <v>50</v>
      </c>
      <c r="D502" s="373"/>
      <c r="F502" s="2349">
        <f>F355+F387</f>
        <v>0</v>
      </c>
      <c r="G502" s="2349">
        <f t="shared" ref="G502:N503" si="61">G355+G387</f>
        <v>0</v>
      </c>
      <c r="H502" s="2349">
        <f t="shared" si="61"/>
        <v>0</v>
      </c>
      <c r="I502" s="2349">
        <f t="shared" si="61"/>
        <v>0</v>
      </c>
      <c r="J502" s="2349">
        <f t="shared" si="61"/>
        <v>0</v>
      </c>
      <c r="K502" s="2349">
        <f t="shared" si="61"/>
        <v>0</v>
      </c>
      <c r="L502" s="2349">
        <f t="shared" si="61"/>
        <v>0</v>
      </c>
      <c r="M502" s="2349">
        <f t="shared" si="61"/>
        <v>0</v>
      </c>
      <c r="N502" s="2349">
        <f t="shared" si="61"/>
        <v>0</v>
      </c>
    </row>
    <row r="503" spans="2:36">
      <c r="B503">
        <v>7</v>
      </c>
      <c r="C503" t="s">
        <v>51</v>
      </c>
      <c r="D503" s="373"/>
      <c r="F503" s="2349">
        <f>F356+F388</f>
        <v>0</v>
      </c>
      <c r="G503" s="2349">
        <f t="shared" si="61"/>
        <v>0</v>
      </c>
      <c r="H503" s="2349">
        <f t="shared" si="61"/>
        <v>0</v>
      </c>
      <c r="I503" s="2349">
        <f t="shared" si="61"/>
        <v>0</v>
      </c>
      <c r="J503" s="2349">
        <f t="shared" si="61"/>
        <v>0</v>
      </c>
      <c r="K503" s="2349">
        <f t="shared" si="61"/>
        <v>0</v>
      </c>
      <c r="L503" s="2349">
        <f t="shared" si="61"/>
        <v>0</v>
      </c>
      <c r="M503" s="2349">
        <f t="shared" si="61"/>
        <v>0</v>
      </c>
      <c r="N503" s="2349">
        <f t="shared" si="61"/>
        <v>0</v>
      </c>
    </row>
    <row r="504" spans="2:36">
      <c r="B504">
        <v>8</v>
      </c>
      <c r="C504" t="s">
        <v>52</v>
      </c>
      <c r="D504" s="373"/>
      <c r="F504" s="2349"/>
      <c r="G504" s="2349"/>
      <c r="H504" s="2349"/>
      <c r="I504" s="2349"/>
      <c r="J504" s="2349"/>
      <c r="K504" s="2349"/>
      <c r="L504" s="2349"/>
      <c r="M504" s="2349"/>
      <c r="N504" s="2349"/>
    </row>
    <row r="505" spans="2:36">
      <c r="B505">
        <v>9</v>
      </c>
      <c r="C505" t="s">
        <v>53</v>
      </c>
      <c r="D505" s="373"/>
      <c r="F505" s="2349"/>
      <c r="G505" s="2349"/>
      <c r="H505" s="2349"/>
      <c r="I505" s="2349"/>
      <c r="J505" s="2349"/>
      <c r="K505" s="2349"/>
      <c r="L505" s="2349"/>
      <c r="M505" s="2349"/>
      <c r="N505" s="2349"/>
    </row>
    <row r="506" spans="2:36">
      <c r="B506">
        <v>10</v>
      </c>
      <c r="C506" t="s">
        <v>54</v>
      </c>
      <c r="D506" s="373"/>
      <c r="F506" s="2349"/>
      <c r="G506" s="2349"/>
      <c r="H506" s="2349"/>
      <c r="I506" s="2349"/>
      <c r="J506" s="2349"/>
      <c r="K506" s="2349"/>
      <c r="L506" s="2349"/>
      <c r="M506" s="2349"/>
      <c r="N506" s="2349"/>
    </row>
    <row r="507" spans="2:36">
      <c r="B507">
        <v>11</v>
      </c>
      <c r="C507" t="s">
        <v>55</v>
      </c>
      <c r="D507" s="373"/>
      <c r="F507" s="2349">
        <f>F360+F392</f>
        <v>0</v>
      </c>
      <c r="G507" s="2349">
        <f t="shared" ref="G507:N508" si="62">G360+G392</f>
        <v>0</v>
      </c>
      <c r="H507" s="2349">
        <f t="shared" si="62"/>
        <v>0</v>
      </c>
      <c r="I507" s="2349">
        <f t="shared" si="62"/>
        <v>0</v>
      </c>
      <c r="J507" s="2349">
        <f t="shared" si="62"/>
        <v>0</v>
      </c>
      <c r="K507" s="2349">
        <f t="shared" si="62"/>
        <v>0</v>
      </c>
      <c r="L507" s="2349">
        <f t="shared" si="62"/>
        <v>0</v>
      </c>
      <c r="M507" s="2349">
        <f t="shared" si="62"/>
        <v>0</v>
      </c>
      <c r="N507" s="2349">
        <f t="shared" si="62"/>
        <v>0</v>
      </c>
    </row>
    <row r="508" spans="2:36">
      <c r="B508">
        <v>12</v>
      </c>
      <c r="C508" t="s">
        <v>56</v>
      </c>
      <c r="D508" s="373"/>
      <c r="F508" s="2349">
        <f>F361+F393</f>
        <v>0</v>
      </c>
      <c r="G508" s="2349">
        <f t="shared" si="62"/>
        <v>0</v>
      </c>
      <c r="H508" s="2349">
        <f t="shared" si="62"/>
        <v>0</v>
      </c>
      <c r="I508" s="2349">
        <f t="shared" si="62"/>
        <v>0</v>
      </c>
      <c r="J508" s="2349">
        <f t="shared" si="62"/>
        <v>0</v>
      </c>
      <c r="K508" s="2349">
        <f t="shared" si="62"/>
        <v>0</v>
      </c>
      <c r="L508" s="2349">
        <f t="shared" si="62"/>
        <v>0</v>
      </c>
      <c r="M508" s="2349">
        <f t="shared" si="62"/>
        <v>0</v>
      </c>
      <c r="N508" s="2349">
        <f t="shared" si="62"/>
        <v>0</v>
      </c>
    </row>
    <row r="509" spans="2:36">
      <c r="B509">
        <v>13</v>
      </c>
      <c r="C509" t="s">
        <v>57</v>
      </c>
      <c r="D509" s="373"/>
      <c r="F509" s="2349"/>
      <c r="G509" s="2349"/>
      <c r="H509" s="2349"/>
      <c r="I509" s="2349"/>
      <c r="J509" s="2349"/>
      <c r="K509" s="2349"/>
      <c r="L509" s="2349"/>
      <c r="M509" s="2349"/>
      <c r="N509" s="2349"/>
    </row>
    <row r="510" spans="2:36">
      <c r="B510" s="373"/>
      <c r="E510" s="355" t="str">
        <f>Preferences.EnergyUnits</f>
        <v>TWh</v>
      </c>
      <c r="F510" s="3583">
        <f>SUM(F497:F509)</f>
        <v>0</v>
      </c>
      <c r="G510" s="3583">
        <f t="shared" ref="G510:N510" si="63">SUM(G497:G509)</f>
        <v>0</v>
      </c>
      <c r="H510" s="3583">
        <f t="shared" si="63"/>
        <v>0</v>
      </c>
      <c r="I510" s="3583">
        <f t="shared" si="63"/>
        <v>0</v>
      </c>
      <c r="J510" s="3583">
        <f t="shared" si="63"/>
        <v>0</v>
      </c>
      <c r="K510" s="3583">
        <f t="shared" si="63"/>
        <v>0</v>
      </c>
      <c r="L510" s="3583">
        <f t="shared" si="63"/>
        <v>0</v>
      </c>
      <c r="M510" s="3583">
        <f t="shared" si="63"/>
        <v>0</v>
      </c>
      <c r="N510" s="3583">
        <f t="shared" si="63"/>
        <v>0</v>
      </c>
      <c r="AJ510" s="3578" t="s">
        <v>2758</v>
      </c>
    </row>
    <row r="511" spans="2:36">
      <c r="B511" s="373"/>
      <c r="E511" s="355"/>
      <c r="F511" s="397"/>
      <c r="G511" s="397"/>
      <c r="H511" s="397"/>
      <c r="I511" s="397"/>
      <c r="J511" s="397"/>
      <c r="K511" s="397"/>
      <c r="L511" s="397"/>
      <c r="M511" s="397"/>
      <c r="N511" s="397"/>
    </row>
    <row r="512" spans="2:36">
      <c r="B512" s="373"/>
      <c r="E512" s="355"/>
      <c r="F512" s="397"/>
      <c r="G512" s="397"/>
      <c r="H512" s="397"/>
      <c r="I512" s="397"/>
      <c r="J512" s="397"/>
      <c r="K512" s="397"/>
      <c r="L512" s="397"/>
      <c r="M512" s="397"/>
      <c r="N512" s="397"/>
    </row>
    <row r="513" spans="2:15">
      <c r="B513" s="354"/>
      <c r="C513" s="354" t="s">
        <v>962</v>
      </c>
      <c r="E513" s="6"/>
      <c r="F513" s="1321">
        <v>2013</v>
      </c>
      <c r="G513" s="1321">
        <v>2015</v>
      </c>
      <c r="H513" s="1321">
        <v>2020</v>
      </c>
      <c r="I513" s="1321">
        <v>2025</v>
      </c>
      <c r="J513" s="1321">
        <v>2030</v>
      </c>
      <c r="K513" s="1321">
        <v>2035</v>
      </c>
      <c r="L513" s="1321">
        <v>2040</v>
      </c>
      <c r="M513" s="1321">
        <v>2045</v>
      </c>
      <c r="N513" s="1321">
        <v>2050</v>
      </c>
    </row>
    <row r="514" spans="2:15">
      <c r="E514" s="3801"/>
      <c r="F514" s="365"/>
    </row>
    <row r="515" spans="2:15">
      <c r="B515" s="373" t="s">
        <v>95</v>
      </c>
      <c r="C515" s="6" t="s">
        <v>85</v>
      </c>
      <c r="E515" s="3801"/>
      <c r="F515" s="365">
        <f t="array" ref="F515">SUM(F$497:F$509/$M$97:$M$109*($B515=$F$96:$N$96)*($F$97:$N$109))</f>
        <v>0</v>
      </c>
      <c r="G515" s="365">
        <f t="array" ref="G515">SUM(G$497:G$509/$M$97:$M$109*($B515=$F$96:$N$96)*($F$97:$N$109))</f>
        <v>0</v>
      </c>
      <c r="H515" s="365">
        <f t="array" ref="H515">SUM(H$497:H$509/$M$97:$M$109*($B515=$F$96:$N$96)*($F$97:$N$109))</f>
        <v>0</v>
      </c>
      <c r="I515" s="365">
        <f t="array" ref="I515">SUM(I$497:I$509/$M$97:$M$109*($B515=$F$96:$N$96)*($F$97:$N$109))</f>
        <v>0</v>
      </c>
      <c r="J515" s="365">
        <f t="array" ref="J515">SUM(J$497:J$509/$M$97:$M$109*($B515=$F$96:$N$96)*($F$97:$N$109))</f>
        <v>0</v>
      </c>
      <c r="K515" s="365">
        <f t="array" ref="K515">SUM(K$497:K$509/$M$97:$M$109*($B515=$F$96:$N$96)*($F$97:$N$109))</f>
        <v>0</v>
      </c>
      <c r="L515" s="365">
        <f t="array" ref="L515">SUM(L$497:L$509/$M$97:$M$109*($B515=$F$96:$N$96)*($F$97:$N$109))</f>
        <v>0</v>
      </c>
      <c r="M515" s="365">
        <f t="array" ref="M515">SUM(M$497:M$509/$M$97:$M$109*($B515=$F$96:$N$96)*($F$97:$N$109))</f>
        <v>0</v>
      </c>
      <c r="N515" s="365">
        <f t="array" ref="N515">SUM(N$497:N$509/$M$97:$M$109*($B515=$F$96:$N$96)*($F$97:$N$109))</f>
        <v>0</v>
      </c>
    </row>
    <row r="516" spans="2:15">
      <c r="B516" s="373" t="s">
        <v>96</v>
      </c>
      <c r="C516" s="6" t="s">
        <v>86</v>
      </c>
      <c r="E516" s="3801"/>
      <c r="F516" s="365">
        <f t="array" ref="F516">SUM(F$497:F$509/$M$97:$M$109*($B516=$F$96:$N$96)*($F$97:$N$109))</f>
        <v>0</v>
      </c>
      <c r="G516" s="365">
        <f t="array" ref="G516">SUM(G$497:G$509/$M$97:$M$109*($B516=$F$96:$N$96)*($F$97:$N$109))</f>
        <v>0</v>
      </c>
      <c r="H516" s="365">
        <f t="array" ref="H516">SUM(H$497:H$509/$M$97:$M$109*($B516=$F$96:$N$96)*($F$97:$N$109))</f>
        <v>0</v>
      </c>
      <c r="I516" s="365">
        <f t="array" ref="I516">SUM(I$497:I$509/$M$97:$M$109*($B516=$F$96:$N$96)*($F$97:$N$109))</f>
        <v>0</v>
      </c>
      <c r="J516" s="365">
        <f t="array" ref="J516">SUM(J$497:J$509/$M$97:$M$109*($B516=$F$96:$N$96)*($F$97:$N$109))</f>
        <v>0</v>
      </c>
      <c r="K516" s="365">
        <f t="array" ref="K516">SUM(K$497:K$509/$M$97:$M$109*($B516=$F$96:$N$96)*($F$97:$N$109))</f>
        <v>0</v>
      </c>
      <c r="L516" s="365">
        <f t="array" ref="L516">SUM(L$497:L$509/$M$97:$M$109*($B516=$F$96:$N$96)*($F$97:$N$109))</f>
        <v>0</v>
      </c>
      <c r="M516" s="365">
        <f t="array" ref="M516">SUM(M$497:M$509/$M$97:$M$109*($B516=$F$96:$N$96)*($F$97:$N$109))</f>
        <v>0</v>
      </c>
      <c r="N516" s="365">
        <f t="array" ref="N516">SUM(N$497:N$509/$M$97:$M$109*($B516=$F$96:$N$96)*($F$97:$N$109))</f>
        <v>0</v>
      </c>
    </row>
    <row r="517" spans="2:15">
      <c r="B517" s="373" t="s">
        <v>97</v>
      </c>
      <c r="C517" s="6" t="s">
        <v>87</v>
      </c>
      <c r="E517" s="3801"/>
      <c r="F517" s="365">
        <f t="array" ref="F517">SUM(F$497:F$509/$M$97:$M$109*($B517=$F$96:$N$96)*($F$97:$N$109))</f>
        <v>0</v>
      </c>
      <c r="G517" s="365">
        <f t="array" ref="G517">SUM(G$497:G$509/$M$97:$M$109*($B517=$F$96:$N$96)*($F$97:$N$109))</f>
        <v>0</v>
      </c>
      <c r="H517" s="365">
        <f t="array" ref="H517">SUM(H$497:H$509/$M$97:$M$109*($B517=$F$96:$N$96)*($F$97:$N$109))</f>
        <v>0</v>
      </c>
      <c r="I517" s="365">
        <f t="array" ref="I517">SUM(I$497:I$509/$M$97:$M$109*($B517=$F$96:$N$96)*($F$97:$N$109))</f>
        <v>0</v>
      </c>
      <c r="J517" s="365">
        <f t="array" ref="J517">SUM(J$497:J$509/$M$97:$M$109*($B517=$F$96:$N$96)*($F$97:$N$109))</f>
        <v>0</v>
      </c>
      <c r="K517" s="365">
        <f t="array" ref="K517">SUM(K$497:K$509/$M$97:$M$109*($B517=$F$96:$N$96)*($F$97:$N$109))</f>
        <v>0</v>
      </c>
      <c r="L517" s="365">
        <f t="array" ref="L517">SUM(L$497:L$509/$M$97:$M$109*($B517=$F$96:$N$96)*($F$97:$N$109))</f>
        <v>0</v>
      </c>
      <c r="M517" s="365">
        <f t="array" ref="M517">SUM(M$497:M$509/$M$97:$M$109*($B517=$F$96:$N$96)*($F$97:$N$109))</f>
        <v>0</v>
      </c>
      <c r="N517" s="365">
        <f t="array" ref="N517">SUM(N$497:N$509/$M$97:$M$109*($B517=$F$96:$N$96)*($F$97:$N$109))</f>
        <v>0</v>
      </c>
    </row>
    <row r="518" spans="2:15">
      <c r="B518" s="373" t="s">
        <v>98</v>
      </c>
      <c r="C518" s="6" t="s">
        <v>88</v>
      </c>
      <c r="E518" s="3801"/>
      <c r="F518" s="365">
        <f t="array" ref="F518">SUM(F$497:F$509/$M$97:$M$109*($B518=$F$96:$N$96)*($F$97:$N$109))</f>
        <v>0</v>
      </c>
      <c r="G518" s="365">
        <f t="array" ref="G518">SUM(G$497:G$509/$M$97:$M$109*($B518=$F$96:$N$96)*($F$97:$N$109))</f>
        <v>0</v>
      </c>
      <c r="H518" s="365">
        <f t="array" ref="H518">SUM(H$497:H$509/$M$97:$M$109*($B518=$F$96:$N$96)*($F$97:$N$109))</f>
        <v>0</v>
      </c>
      <c r="I518" s="365">
        <f t="array" ref="I518">SUM(I$497:I$509/$M$97:$M$109*($B518=$F$96:$N$96)*($F$97:$N$109))</f>
        <v>0</v>
      </c>
      <c r="J518" s="365">
        <f t="array" ref="J518">SUM(J$497:J$509/$M$97:$M$109*($B518=$F$96:$N$96)*($F$97:$N$109))</f>
        <v>0</v>
      </c>
      <c r="K518" s="365">
        <f t="array" ref="K518">SUM(K$497:K$509/$M$97:$M$109*($B518=$F$96:$N$96)*($F$97:$N$109))</f>
        <v>0</v>
      </c>
      <c r="L518" s="365">
        <f t="array" ref="L518">SUM(L$497:L$509/$M$97:$M$109*($B518=$F$96:$N$96)*($F$97:$N$109))</f>
        <v>0</v>
      </c>
      <c r="M518" s="365">
        <f t="array" ref="M518">SUM(M$497:M$509/$M$97:$M$109*($B518=$F$96:$N$96)*($F$97:$N$109))</f>
        <v>0</v>
      </c>
      <c r="N518" s="365">
        <f t="array" ref="N518">SUM(N$497:N$509/$M$97:$M$109*($B518=$F$96:$N$96)*($F$97:$N$109))</f>
        <v>0</v>
      </c>
    </row>
    <row r="519" spans="2:15">
      <c r="B519" s="373" t="s">
        <v>99</v>
      </c>
      <c r="C519" s="6" t="s">
        <v>89</v>
      </c>
      <c r="E519" s="3801"/>
      <c r="F519" s="365">
        <f t="array" ref="F519">SUM(F$497:F$509/$M$97:$M$109*($B519=$F$96:$N$96)*($F$97:$N$109))</f>
        <v>0</v>
      </c>
      <c r="G519" s="365">
        <f t="array" ref="G519">SUM(G$497:G$509/$M$97:$M$109*($B519=$F$96:$N$96)*($F$97:$N$109))</f>
        <v>0</v>
      </c>
      <c r="H519" s="365">
        <f t="array" ref="H519">SUM(H$497:H$509/$M$97:$M$109*($B519=$F$96:$N$96)*($F$97:$N$109))</f>
        <v>0</v>
      </c>
      <c r="I519" s="365">
        <f t="array" ref="I519">SUM(I$497:I$509/$M$97:$M$109*($B519=$F$96:$N$96)*($F$97:$N$109))</f>
        <v>0</v>
      </c>
      <c r="J519" s="365">
        <f t="array" ref="J519">SUM(J$497:J$509/$M$97:$M$109*($B519=$F$96:$N$96)*($F$97:$N$109))</f>
        <v>0</v>
      </c>
      <c r="K519" s="365">
        <f t="array" ref="K519">SUM(K$497:K$509/$M$97:$M$109*($B519=$F$96:$N$96)*($F$97:$N$109))</f>
        <v>0</v>
      </c>
      <c r="L519" s="365">
        <f t="array" ref="L519">SUM(L$497:L$509/$M$97:$M$109*($B519=$F$96:$N$96)*($F$97:$N$109))</f>
        <v>0</v>
      </c>
      <c r="M519" s="365">
        <f t="array" ref="M519">SUM(M$497:M$509/$M$97:$M$109*($B519=$F$96:$N$96)*($F$97:$N$109))</f>
        <v>0</v>
      </c>
      <c r="N519" s="365">
        <f t="array" ref="N519">SUM(N$497:N$509/$M$97:$M$109*($B519=$F$96:$N$96)*($F$97:$N$109))</f>
        <v>0</v>
      </c>
    </row>
    <row r="520" spans="2:15">
      <c r="B520" s="373" t="s">
        <v>100</v>
      </c>
      <c r="C520" s="6" t="s">
        <v>90</v>
      </c>
      <c r="E520" s="3801"/>
      <c r="F520" s="365">
        <f t="array" ref="F520">SUM(F$497:F$509/$M$97:$M$109*($B520=$F$96:$N$96)*($F$97:$N$109))</f>
        <v>0</v>
      </c>
      <c r="G520" s="365">
        <f t="array" ref="G520">SUM(G$497:G$509/$M$97:$M$109*($B520=$F$96:$N$96)*($F$97:$N$109))</f>
        <v>0</v>
      </c>
      <c r="H520" s="365">
        <f t="array" ref="H520">SUM(H$497:H$509/$M$97:$M$109*($B520=$F$96:$N$96)*($F$97:$N$109))</f>
        <v>0</v>
      </c>
      <c r="I520" s="365">
        <f t="array" ref="I520">SUM(I$497:I$509/$M$97:$M$109*($B520=$F$96:$N$96)*($F$97:$N$109))</f>
        <v>0</v>
      </c>
      <c r="J520" s="365">
        <f t="array" ref="J520">SUM(J$497:J$509/$M$97:$M$109*($B520=$F$96:$N$96)*($F$97:$N$109))</f>
        <v>0</v>
      </c>
      <c r="K520" s="365">
        <f t="array" ref="K520">SUM(K$497:K$509/$M$97:$M$109*($B520=$F$96:$N$96)*($F$97:$N$109))</f>
        <v>0</v>
      </c>
      <c r="L520" s="365">
        <f t="array" ref="L520">SUM(L$497:L$509/$M$97:$M$109*($B520=$F$96:$N$96)*($F$97:$N$109))</f>
        <v>0</v>
      </c>
      <c r="M520" s="365">
        <f t="array" ref="M520">SUM(M$497:M$509/$M$97:$M$109*($B520=$F$96:$N$96)*($F$97:$N$109))</f>
        <v>0</v>
      </c>
      <c r="N520" s="365">
        <f t="array" ref="N520">SUM(N$497:N$509/$M$97:$M$109*($B520=$F$96:$N$96)*($F$97:$N$109))</f>
        <v>0</v>
      </c>
    </row>
    <row r="521" spans="2:15">
      <c r="B521" s="373" t="s">
        <v>101</v>
      </c>
      <c r="C521" s="6" t="s">
        <v>91</v>
      </c>
      <c r="E521" s="3801"/>
      <c r="F521" s="365">
        <f t="array" ref="F521">SUM(F$497:F$509/$M$97:$M$109*($B521=$F$96:$N$96)*($F$97:$N$109))</f>
        <v>0</v>
      </c>
      <c r="G521" s="365">
        <f t="array" ref="G521">SUM(G$497:G$509/$M$97:$M$109*($B521=$F$96:$N$96)*($F$97:$N$109))</f>
        <v>0</v>
      </c>
      <c r="H521" s="365">
        <f t="array" ref="H521">SUM(H$497:H$509/$M$97:$M$109*($B521=$F$96:$N$96)*($F$97:$N$109))</f>
        <v>0</v>
      </c>
      <c r="I521" s="365">
        <f t="array" ref="I521">SUM(I$497:I$509/$M$97:$M$109*($B521=$F$96:$N$96)*($F$97:$N$109))</f>
        <v>0</v>
      </c>
      <c r="J521" s="365">
        <f t="array" ref="J521">SUM(J$497:J$509/$M$97:$M$109*($B521=$F$96:$N$96)*($F$97:$N$109))</f>
        <v>0</v>
      </c>
      <c r="K521" s="365">
        <f t="array" ref="K521">SUM(K$497:K$509/$M$97:$M$109*($B521=$F$96:$N$96)*($F$97:$N$109))</f>
        <v>0</v>
      </c>
      <c r="L521" s="365">
        <f t="array" ref="L521">SUM(L$497:L$509/$M$97:$M$109*($B521=$F$96:$N$96)*($F$97:$N$109))</f>
        <v>0</v>
      </c>
      <c r="M521" s="365">
        <f t="array" ref="M521">SUM(M$497:M$509/$M$97:$M$109*($B521=$F$96:$N$96)*($F$97:$N$109))</f>
        <v>0</v>
      </c>
      <c r="N521" s="365">
        <f t="array" ref="N521">SUM(N$497:N$509/$M$97:$M$109*($B521=$F$96:$N$96)*($F$97:$N$109))</f>
        <v>0</v>
      </c>
    </row>
    <row r="522" spans="2:15">
      <c r="B522" s="373" t="s">
        <v>102</v>
      </c>
      <c r="C522" s="6" t="s">
        <v>92</v>
      </c>
      <c r="E522" s="3801"/>
      <c r="F522" s="365">
        <f t="array" ref="F522">SUM(F$497:F$509/$M$97:$M$109*($B522=$F$96:$N$96)*($F$97:$N$109))</f>
        <v>0</v>
      </c>
      <c r="G522" s="365">
        <f t="array" ref="G522">SUM(G$497:G$509/$M$97:$M$109*($B522=$F$96:$N$96)*($F$97:$N$109))</f>
        <v>0</v>
      </c>
      <c r="H522" s="365">
        <f t="array" ref="H522">SUM(H$497:H$509/$M$97:$M$109*($B522=$F$96:$N$96)*($F$97:$N$109))</f>
        <v>0</v>
      </c>
      <c r="I522" s="365">
        <f t="array" ref="I522">SUM(I$497:I$509/$M$97:$M$109*($B522=$F$96:$N$96)*($F$97:$N$109))</f>
        <v>0</v>
      </c>
      <c r="J522" s="365">
        <f t="array" ref="J522">SUM(J$497:J$509/$M$97:$M$109*($B522=$F$96:$N$96)*($F$97:$N$109))</f>
        <v>0</v>
      </c>
      <c r="K522" s="365">
        <f t="array" ref="K522">SUM(K$497:K$509/$M$97:$M$109*($B522=$F$96:$N$96)*($F$97:$N$109))</f>
        <v>0</v>
      </c>
      <c r="L522" s="365">
        <f t="array" ref="L522">SUM(L$497:L$509/$M$97:$M$109*($B522=$F$96:$N$96)*($F$97:$N$109))</f>
        <v>0</v>
      </c>
      <c r="M522" s="365">
        <f t="array" ref="M522">SUM(M$497:M$509/$M$97:$M$109*($B522=$F$96:$N$96)*($F$97:$N$109))</f>
        <v>0</v>
      </c>
      <c r="N522" s="365">
        <f t="array" ref="N522">SUM(N$497:N$509/$M$97:$M$109*($B522=$F$96:$N$96)*($F$97:$N$109))</f>
        <v>0</v>
      </c>
    </row>
    <row r="523" spans="2:15">
      <c r="B523" s="373" t="s">
        <v>103</v>
      </c>
      <c r="C523" s="6" t="s">
        <v>93</v>
      </c>
      <c r="E523" s="3801"/>
      <c r="F523" s="365">
        <f t="array" ref="F523">SUM(F$497:F$509/$M$97:$M$109*($B523=$F$96:$N$96)*($F$97:$N$109))</f>
        <v>0</v>
      </c>
      <c r="G523" s="365">
        <f t="array" ref="G523">SUM(G$497:G$509/$M$97:$M$109*($B523=$F$96:$N$96)*($F$97:$N$109))</f>
        <v>0</v>
      </c>
      <c r="H523" s="365">
        <f t="array" ref="H523">SUM(H$497:H$509/$M$97:$M$109*($B523=$F$96:$N$96)*($F$97:$N$109))</f>
        <v>0</v>
      </c>
      <c r="I523" s="365">
        <f t="array" ref="I523">SUM(I$497:I$509/$M$97:$M$109*($B523=$F$96:$N$96)*($F$97:$N$109))</f>
        <v>0</v>
      </c>
      <c r="J523" s="365">
        <f t="array" ref="J523">SUM(J$497:J$509/$M$97:$M$109*($B523=$F$96:$N$96)*($F$97:$N$109))</f>
        <v>0</v>
      </c>
      <c r="K523" s="365">
        <f t="array" ref="K523">SUM(K$497:K$509/$M$97:$M$109*($B523=$F$96:$N$96)*($F$97:$N$109))</f>
        <v>0</v>
      </c>
      <c r="L523" s="365">
        <f t="array" ref="L523">SUM(L$497:L$509/$M$97:$M$109*($B523=$F$96:$N$96)*($F$97:$N$109))</f>
        <v>0</v>
      </c>
      <c r="M523" s="365">
        <f t="array" ref="M523">SUM(M$497:M$509/$M$97:$M$109*($B523=$F$96:$N$96)*($F$97:$N$109))</f>
        <v>0</v>
      </c>
      <c r="N523" s="365">
        <f t="array" ref="N523">SUM(N$497:N$509/$M$97:$M$109*($B523=$F$96:$N$96)*($F$97:$N$109))</f>
        <v>0</v>
      </c>
      <c r="O523" s="3578" t="s">
        <v>5</v>
      </c>
    </row>
    <row r="524" spans="2:15">
      <c r="E524" s="355" t="str">
        <f>Preferences.EnergyUnits</f>
        <v>TWh</v>
      </c>
      <c r="F524" s="3583">
        <f t="shared" ref="F524:N524" si="64">SUM(F515:F523)</f>
        <v>0</v>
      </c>
      <c r="G524" s="3583">
        <f t="shared" si="64"/>
        <v>0</v>
      </c>
      <c r="H524" s="3583">
        <f t="shared" si="64"/>
        <v>0</v>
      </c>
      <c r="I524" s="3583">
        <f t="shared" si="64"/>
        <v>0</v>
      </c>
      <c r="J524" s="3583">
        <f t="shared" si="64"/>
        <v>0</v>
      </c>
      <c r="K524" s="3583">
        <f t="shared" si="64"/>
        <v>0</v>
      </c>
      <c r="L524" s="3583">
        <f t="shared" si="64"/>
        <v>0</v>
      </c>
      <c r="M524" s="3583">
        <f t="shared" si="64"/>
        <v>0</v>
      </c>
      <c r="N524" s="3583">
        <f t="shared" si="64"/>
        <v>0</v>
      </c>
    </row>
    <row r="525" spans="2:15">
      <c r="E525" s="3801"/>
      <c r="F525" s="404"/>
      <c r="G525" s="404"/>
      <c r="H525" s="404"/>
      <c r="I525" s="404"/>
      <c r="J525" s="404"/>
      <c r="K525" s="404"/>
      <c r="L525" s="404"/>
      <c r="M525" s="404"/>
      <c r="N525" s="404"/>
    </row>
    <row r="526" spans="2:15">
      <c r="C526" s="403" t="s">
        <v>267</v>
      </c>
      <c r="E526" s="3801"/>
      <c r="F526" s="1321">
        <v>2013</v>
      </c>
      <c r="G526" s="1321">
        <v>2015</v>
      </c>
      <c r="H526" s="1321">
        <v>2020</v>
      </c>
      <c r="I526" s="1321">
        <v>2025</v>
      </c>
      <c r="J526" s="1321">
        <v>2030</v>
      </c>
      <c r="K526" s="1321">
        <v>2035</v>
      </c>
      <c r="L526" s="1321">
        <v>2040</v>
      </c>
      <c r="M526" s="1321">
        <v>2045</v>
      </c>
      <c r="N526" s="1321">
        <v>2050</v>
      </c>
    </row>
    <row r="527" spans="2:15">
      <c r="C527" t="s">
        <v>250</v>
      </c>
      <c r="E527" s="3801" t="s">
        <v>251</v>
      </c>
      <c r="F527" s="2137">
        <f t="array" ref="F527">-SUM(F$515:F$523*SUMIFS(EF[CO2], EF[Vector], $B$515:$B$523))</f>
        <v>0</v>
      </c>
      <c r="G527" s="2137">
        <f t="array" ref="G527">-SUM(G$515:G$523*SUMIFS(EF[CO2], EF[Vector], $B$515:$B$523))</f>
        <v>0</v>
      </c>
      <c r="H527" s="2137">
        <f t="array" ref="H527">-SUM(H$515:H$523*SUMIFS(EF[CO2], EF[Vector], $B$515:$B$523))</f>
        <v>0</v>
      </c>
      <c r="I527" s="2137">
        <f t="array" ref="I527">-SUM(I$515:I$523*SUMIFS(EF[CO2], EF[Vector], $B$515:$B$523))</f>
        <v>0</v>
      </c>
      <c r="J527" s="2137">
        <f t="array" ref="J527">-SUM(J$515:J$523*SUMIFS(EF[CO2], EF[Vector], $B$515:$B$523))</f>
        <v>0</v>
      </c>
      <c r="K527" s="2137">
        <f t="array" ref="K527">-SUM(K$515:K$523*SUMIFS(EF[CO2], EF[Vector], $B$515:$B$523))</f>
        <v>0</v>
      </c>
      <c r="L527" s="2137">
        <f t="array" ref="L527">-SUM(L$515:L$523*SUMIFS(EF[CO2], EF[Vector], $B$515:$B$523))</f>
        <v>0</v>
      </c>
      <c r="M527" s="2137">
        <f t="array" ref="M527">-SUM(M$515:M$523*SUMIFS(EF[CO2], EF[Vector], $B$515:$B$523))</f>
        <v>0</v>
      </c>
      <c r="N527" s="2137">
        <f t="array" ref="N527">-SUM(N$515:N$523*SUMIFS(EF[CO2], EF[Vector], $B$515:$B$523))</f>
        <v>0</v>
      </c>
      <c r="O527" s="2137"/>
    </row>
    <row r="528" spans="2:15">
      <c r="C528" t="s">
        <v>252</v>
      </c>
      <c r="E528" s="3801"/>
      <c r="F528" s="2137">
        <f t="array" ref="F528">-SUM(F$515:F$523*SUMIFS(EF[CH4], EF[Vector], $B$515:$B$523))</f>
        <v>0</v>
      </c>
      <c r="G528" s="2137">
        <f t="array" ref="G528">-SUM(G$515:G$523*SUMIFS(EF[CH4], EF[Vector], $B$515:$B$523))</f>
        <v>0</v>
      </c>
      <c r="H528" s="2137">
        <f t="array" ref="H528">-SUM(H$515:H$523*SUMIFS(EF[CH4], EF[Vector], $B$515:$B$523))</f>
        <v>0</v>
      </c>
      <c r="I528" s="2137">
        <f t="array" ref="I528">-SUM(I$515:I$523*SUMIFS(EF[CH4], EF[Vector], $B$515:$B$523))</f>
        <v>0</v>
      </c>
      <c r="J528" s="2137">
        <f t="array" ref="J528">-SUM(J$515:J$523*SUMIFS(EF[CH4], EF[Vector], $B$515:$B$523))</f>
        <v>0</v>
      </c>
      <c r="K528" s="2137">
        <f t="array" ref="K528">-SUM(K$515:K$523*SUMIFS(EF[CH4], EF[Vector], $B$515:$B$523))</f>
        <v>0</v>
      </c>
      <c r="L528" s="2137">
        <f t="array" ref="L528">-SUM(L$515:L$523*SUMIFS(EF[CH4], EF[Vector], $B$515:$B$523))</f>
        <v>0</v>
      </c>
      <c r="M528" s="2137">
        <f t="array" ref="M528">-SUM(M$515:M$523*SUMIFS(EF[CH4], EF[Vector], $B$515:$B$523))</f>
        <v>0</v>
      </c>
      <c r="N528" s="2137">
        <f t="array" ref="N528">-SUM(N$515:N$523*SUMIFS(EF[CH4], EF[Vector], $B$515:$B$523))</f>
        <v>0</v>
      </c>
      <c r="O528" s="2137"/>
    </row>
    <row r="529" spans="2:25">
      <c r="C529" t="s">
        <v>253</v>
      </c>
      <c r="E529" s="3801"/>
      <c r="F529" s="2137">
        <f t="array" ref="F529">-SUM(F$515:F$523*SUMIFS(EF[N2O], EF[Vector], $B$515:$B$523))</f>
        <v>0</v>
      </c>
      <c r="G529" s="2137">
        <f t="array" ref="G529">-SUM(G$515:G$523*SUMIFS(EF[N2O], EF[Vector], $B$515:$B$523))</f>
        <v>0</v>
      </c>
      <c r="H529" s="2137">
        <f t="array" ref="H529">-SUM(H$515:H$523*SUMIFS(EF[N2O], EF[Vector], $B$515:$B$523))</f>
        <v>0</v>
      </c>
      <c r="I529" s="2137">
        <f t="array" ref="I529">-SUM(I$515:I$523*SUMIFS(EF[N2O], EF[Vector], $B$515:$B$523))</f>
        <v>0</v>
      </c>
      <c r="J529" s="2137">
        <f t="array" ref="J529">-SUM(J$515:J$523*SUMIFS(EF[N2O], EF[Vector], $B$515:$B$523))</f>
        <v>0</v>
      </c>
      <c r="K529" s="2137">
        <f t="array" ref="K529">-SUM(K$515:K$523*SUMIFS(EF[N2O], EF[Vector], $B$515:$B$523))</f>
        <v>0</v>
      </c>
      <c r="L529" s="2137">
        <f t="array" ref="L529">-SUM(L$515:L$523*SUMIFS(EF[N2O], EF[Vector], $B$515:$B$523))</f>
        <v>0</v>
      </c>
      <c r="M529" s="2137">
        <f t="array" ref="M529">-SUM(M$515:M$523*SUMIFS(EF[N2O], EF[Vector], $B$515:$B$523))</f>
        <v>0</v>
      </c>
      <c r="N529" s="2137">
        <f t="array" ref="N529">-SUM(N$515:N$523*SUMIFS(EF[N2O], EF[Vector], $B$515:$B$523))</f>
        <v>0</v>
      </c>
      <c r="O529" s="2137"/>
    </row>
    <row r="530" spans="2:25" s="6" customFormat="1">
      <c r="B530"/>
      <c r="C530"/>
      <c r="D530"/>
      <c r="E530" s="3801"/>
      <c r="F530" s="365"/>
      <c r="G530"/>
      <c r="H530"/>
      <c r="I530"/>
      <c r="J530"/>
      <c r="K530"/>
      <c r="L530"/>
      <c r="M530"/>
      <c r="N530"/>
      <c r="O530"/>
      <c r="W530" s="365"/>
      <c r="X530" s="365"/>
      <c r="Y530" s="365"/>
    </row>
    <row r="531" spans="2:25" s="6" customFormat="1">
      <c r="B531" s="354">
        <v>8</v>
      </c>
      <c r="C531" s="354" t="s">
        <v>268</v>
      </c>
      <c r="D531"/>
      <c r="E531" s="3801"/>
      <c r="F531" s="365"/>
      <c r="G531"/>
      <c r="H531"/>
      <c r="I531"/>
      <c r="J531"/>
      <c r="K531"/>
      <c r="L531"/>
      <c r="M531"/>
      <c r="N531"/>
      <c r="O531"/>
      <c r="W531" s="365"/>
      <c r="X531" s="365"/>
      <c r="Y531" s="365"/>
    </row>
    <row r="532" spans="2:25" s="6" customFormat="1">
      <c r="B532"/>
      <c r="C532"/>
      <c r="D532"/>
      <c r="E532" s="3801"/>
      <c r="F532" s="365"/>
      <c r="G532"/>
      <c r="H532"/>
      <c r="I532"/>
      <c r="J532"/>
      <c r="K532"/>
      <c r="L532"/>
      <c r="M532"/>
      <c r="N532"/>
      <c r="O532"/>
      <c r="W532" s="365"/>
      <c r="X532" s="365"/>
      <c r="Y532" s="365"/>
    </row>
    <row r="533" spans="2:25" s="6" customFormat="1">
      <c r="B533" s="354" t="s">
        <v>269</v>
      </c>
      <c r="C533" s="354" t="s">
        <v>270</v>
      </c>
      <c r="D533"/>
      <c r="E533" s="3801"/>
      <c r="F533" s="365"/>
      <c r="G533"/>
      <c r="H533"/>
      <c r="I533"/>
      <c r="J533"/>
      <c r="K533"/>
      <c r="L533"/>
      <c r="M533"/>
      <c r="N533"/>
      <c r="O533"/>
      <c r="W533" s="365"/>
      <c r="X533" s="365"/>
      <c r="Y533" s="365"/>
    </row>
    <row r="534" spans="2:25" s="6" customFormat="1">
      <c r="B534"/>
      <c r="C534" s="354"/>
      <c r="D534"/>
      <c r="E534" s="3801"/>
      <c r="F534" s="365"/>
      <c r="G534"/>
      <c r="H534"/>
      <c r="I534"/>
      <c r="J534"/>
      <c r="K534"/>
      <c r="L534"/>
      <c r="M534"/>
      <c r="N534"/>
      <c r="O534"/>
      <c r="W534" s="365"/>
      <c r="X534" s="365"/>
      <c r="Y534" s="365"/>
    </row>
    <row r="535" spans="2:25" s="6" customFormat="1">
      <c r="B535"/>
      <c r="C535" s="372" t="s">
        <v>271</v>
      </c>
      <c r="D535"/>
      <c r="F535" s="1321">
        <v>2013</v>
      </c>
      <c r="G535" s="1321">
        <v>2015</v>
      </c>
      <c r="H535" s="1321">
        <v>2020</v>
      </c>
      <c r="I535" s="1321">
        <v>2025</v>
      </c>
      <c r="J535" s="1321">
        <v>2030</v>
      </c>
      <c r="K535" s="1321">
        <v>2035</v>
      </c>
      <c r="L535" s="1321">
        <v>2040</v>
      </c>
      <c r="M535" s="1321">
        <v>2045</v>
      </c>
      <c r="N535" s="1321">
        <v>2050</v>
      </c>
      <c r="O535"/>
      <c r="W535" s="365"/>
      <c r="X535" s="365"/>
      <c r="Y535" s="365"/>
    </row>
    <row r="536" spans="2:25" s="6" customFormat="1">
      <c r="B536"/>
      <c r="C536" t="s">
        <v>272</v>
      </c>
      <c r="D536"/>
      <c r="E536" s="1322" t="str">
        <f>Preferences.PowerUnits&amp;"e"</f>
        <v>GWe</v>
      </c>
      <c r="F536" s="2480">
        <f t="shared" ref="F536:N536" si="65">F435*Conversion.to.average.power</f>
        <v>-0.1140771161305042</v>
      </c>
      <c r="G536" s="2480">
        <f t="shared" si="65"/>
        <v>-0.13689253935660503</v>
      </c>
      <c r="H536" s="2480">
        <f t="shared" si="65"/>
        <v>-0.1711156741957563</v>
      </c>
      <c r="I536" s="2480">
        <f t="shared" si="65"/>
        <v>-0.19963495322838237</v>
      </c>
      <c r="J536" s="2480">
        <f t="shared" si="65"/>
        <v>-0.22815423226100845</v>
      </c>
      <c r="K536" s="2480">
        <f t="shared" si="65"/>
        <v>-0.25667351129363447</v>
      </c>
      <c r="L536" s="2480">
        <f t="shared" si="65"/>
        <v>-0.28519279032626055</v>
      </c>
      <c r="M536" s="2480">
        <f t="shared" si="65"/>
        <v>-0.31371206935888651</v>
      </c>
      <c r="N536" s="2480">
        <f t="shared" si="65"/>
        <v>-0.34223134839151259</v>
      </c>
      <c r="O536"/>
      <c r="W536" s="365"/>
      <c r="X536" s="365"/>
      <c r="Y536" s="365"/>
    </row>
    <row r="537" spans="2:25" s="6" customFormat="1">
      <c r="B537"/>
      <c r="D537"/>
      <c r="E537" s="3801"/>
      <c r="F537" s="365"/>
      <c r="G537"/>
      <c r="H537"/>
      <c r="I537"/>
      <c r="J537"/>
      <c r="K537"/>
      <c r="L537"/>
      <c r="M537"/>
      <c r="N537"/>
      <c r="O537"/>
      <c r="W537" s="365"/>
      <c r="X537" s="365"/>
      <c r="Y537" s="365"/>
    </row>
    <row r="538" spans="2:25" s="6" customFormat="1">
      <c r="B538" s="354"/>
      <c r="C538" s="354" t="s">
        <v>963</v>
      </c>
      <c r="D538"/>
      <c r="E538" s="355"/>
      <c r="F538" s="1321">
        <v>2013</v>
      </c>
      <c r="G538" s="1321">
        <v>2015</v>
      </c>
      <c r="H538" s="1321">
        <v>2020</v>
      </c>
      <c r="I538" s="1321">
        <v>2025</v>
      </c>
      <c r="J538" s="1321">
        <v>2030</v>
      </c>
      <c r="K538" s="1321">
        <v>2035</v>
      </c>
      <c r="L538" s="1321">
        <v>2040</v>
      </c>
      <c r="M538" s="1321">
        <v>2045</v>
      </c>
      <c r="N538" s="1321">
        <v>2050</v>
      </c>
      <c r="O538"/>
      <c r="W538" s="365"/>
      <c r="X538" s="365"/>
      <c r="Y538" s="365"/>
    </row>
    <row r="539" spans="2:25" s="6" customFormat="1">
      <c r="B539" s="373" t="s">
        <v>95</v>
      </c>
      <c r="C539" s="6" t="s">
        <v>85</v>
      </c>
      <c r="D539"/>
      <c r="E539" s="3801"/>
      <c r="F539" s="365">
        <f t="array" ref="F539">SUM(F$350:F$362/$M$151:$M$163*($B539=$F$150:$N$150)*($F$151:$N$163))</f>
        <v>-0.43694444444444441</v>
      </c>
      <c r="G539" s="365">
        <f t="array" ref="G539">SUM(G$350:G$362/$M$151:$M$163*($B539=$F$150:$N$150)*($F$151:$N$163))</f>
        <v>-0.44231536081536077</v>
      </c>
      <c r="H539" s="365">
        <f t="array" ref="H539">SUM(H$350:H$362/$M$151:$M$163*($B539=$F$150:$N$150)*($F$151:$N$163))</f>
        <v>-0.43742001092001093</v>
      </c>
      <c r="I539" s="365">
        <f t="array" ref="I539">SUM(I$350:I$362/$M$151:$M$163*($B539=$F$150:$N$150)*($F$151:$N$163))</f>
        <v>-0.42310769860769853</v>
      </c>
      <c r="J539" s="365">
        <f t="array" ref="J539">SUM(J$350:J$362/$M$151:$M$163*($B539=$F$150:$N$150)*($F$151:$N$163))</f>
        <v>-0.40531554281554283</v>
      </c>
      <c r="K539" s="365">
        <f t="array" ref="K539">SUM(K$350:K$362/$M$151:$M$163*($B539=$F$150:$N$150)*($F$151:$N$163))</f>
        <v>-0.38404354354354353</v>
      </c>
      <c r="L539" s="365">
        <f t="array" ref="L539">SUM(L$350:L$362/$M$151:$M$163*($B539=$F$150:$N$150)*($F$151:$N$163))</f>
        <v>-0.35929170079170075</v>
      </c>
      <c r="M539" s="365">
        <f t="array" ref="M539">SUM(M$350:M$362/$M$151:$M$163*($B539=$F$150:$N$150)*($F$151:$N$163))</f>
        <v>-0.33106001456001449</v>
      </c>
      <c r="N539" s="365">
        <f t="array" ref="N539">SUM(N$350:N$362/$M$151:$M$163*($B539=$F$150:$N$150)*($F$151:$N$163))</f>
        <v>-0.29934848484848481</v>
      </c>
      <c r="O539"/>
      <c r="W539" s="365"/>
      <c r="X539" s="365"/>
      <c r="Y539" s="365"/>
    </row>
    <row r="540" spans="2:25" s="6" customFormat="1">
      <c r="B540" s="373" t="s">
        <v>96</v>
      </c>
      <c r="C540" s="6" t="s">
        <v>86</v>
      </c>
      <c r="D540"/>
      <c r="E540" s="3801"/>
      <c r="F540" s="365">
        <f t="array" ref="F540">SUM(F$350:F$362/$M$151:$M$163*($B540=$F$150:$N$150)*($F$151:$N$163))</f>
        <v>0</v>
      </c>
      <c r="G540" s="365">
        <f t="array" ref="G540">SUM(G$350:G$362/$M$151:$M$163*($B540=$F$150:$N$150)*($F$151:$N$163))</f>
        <v>0</v>
      </c>
      <c r="H540" s="365">
        <f t="array" ref="H540">SUM(H$350:H$362/$M$151:$M$163*($B540=$F$150:$N$150)*($F$151:$N$163))</f>
        <v>0</v>
      </c>
      <c r="I540" s="365">
        <f t="array" ref="I540">SUM(I$350:I$362/$M$151:$M$163*($B540=$F$150:$N$150)*($F$151:$N$163))</f>
        <v>0</v>
      </c>
      <c r="J540" s="365">
        <f t="array" ref="J540">SUM(J$350:J$362/$M$151:$M$163*($B540=$F$150:$N$150)*($F$151:$N$163))</f>
        <v>0</v>
      </c>
      <c r="K540" s="365">
        <f t="array" ref="K540">SUM(K$350:K$362/$M$151:$M$163*($B540=$F$150:$N$150)*($F$151:$N$163))</f>
        <v>0</v>
      </c>
      <c r="L540" s="365">
        <f t="array" ref="L540">SUM(L$350:L$362/$M$151:$M$163*($B540=$F$150:$N$150)*($F$151:$N$163))</f>
        <v>0</v>
      </c>
      <c r="M540" s="365">
        <f t="array" ref="M540">SUM(M$350:M$362/$M$151:$M$163*($B540=$F$150:$N$150)*($F$151:$N$163))</f>
        <v>0</v>
      </c>
      <c r="N540" s="365">
        <f t="array" ref="N540">SUM(N$350:N$362/$M$151:$M$163*($B540=$F$150:$N$150)*($F$151:$N$163))</f>
        <v>0</v>
      </c>
      <c r="O540"/>
      <c r="W540" s="365"/>
      <c r="X540" s="365"/>
      <c r="Y540" s="365"/>
    </row>
    <row r="541" spans="2:25" s="6" customFormat="1">
      <c r="B541" s="373" t="s">
        <v>97</v>
      </c>
      <c r="C541" s="6" t="s">
        <v>87</v>
      </c>
      <c r="D541"/>
      <c r="E541" s="3801"/>
      <c r="F541" s="365">
        <f t="array" ref="F541">SUM(F$350:F$362/$M$151:$M$163*($B541=$F$150:$N$150)*($F$151:$N$163))</f>
        <v>-4.93103448275862E-2</v>
      </c>
      <c r="G541" s="365">
        <f t="array" ref="G541">SUM(G$350:G$362/$M$151:$M$163*($B541=$F$150:$N$150)*($F$151:$N$163))</f>
        <v>-4.8602050326188251E-2</v>
      </c>
      <c r="H541" s="365">
        <f t="array" ref="H541">SUM(H$350:H$362/$M$151:$M$163*($B541=$F$150:$N$150)*($F$151:$N$163))</f>
        <v>-4.4454799627213416E-2</v>
      </c>
      <c r="I541" s="365">
        <f t="array" ref="I541">SUM(I$350:I$362/$M$151:$M$163*($B541=$F$150:$N$150)*($F$151:$N$163))</f>
        <v>-3.8909599254426837E-2</v>
      </c>
      <c r="J541" s="365">
        <f t="array" ref="J541">SUM(J$350:J$362/$M$151:$M$163*($B541=$F$150:$N$150)*($F$151:$N$163))</f>
        <v>-3.2618825722273995E-2</v>
      </c>
      <c r="K541" s="365">
        <f t="array" ref="K541">SUM(K$350:K$362/$M$151:$M$163*($B541=$F$150:$N$150)*($F$151:$N$163))</f>
        <v>-2.558247903075489E-2</v>
      </c>
      <c r="L541" s="365">
        <f t="array" ref="L541">SUM(L$350:L$362/$M$151:$M$163*($B541=$F$150:$N$150)*($F$151:$N$163))</f>
        <v>-1.7800559179869519E-2</v>
      </c>
      <c r="M541" s="365">
        <f t="array" ref="M541">SUM(M$350:M$362/$M$151:$M$163*($B541=$F$150:$N$150)*($F$151:$N$163))</f>
        <v>-9.2730661696178874E-3</v>
      </c>
      <c r="N541" s="365">
        <f t="array" ref="N541">SUM(N$350:N$362/$M$151:$M$163*($B541=$F$150:$N$150)*($F$151:$N$163))</f>
        <v>0</v>
      </c>
      <c r="O541"/>
      <c r="W541" s="365"/>
      <c r="X541" s="365"/>
      <c r="Y541" s="365"/>
    </row>
    <row r="542" spans="2:25" s="6" customFormat="1">
      <c r="B542" s="373" t="s">
        <v>98</v>
      </c>
      <c r="C542" s="6" t="s">
        <v>88</v>
      </c>
      <c r="D542"/>
      <c r="E542" s="3801"/>
      <c r="F542" s="365">
        <f t="array" ref="F542">SUM(F$350:F$362/$M$151:$M$163*($B542=$F$150:$N$150)*($F$151:$N$163))</f>
        <v>-0.33907216494845366</v>
      </c>
      <c r="G542" s="365">
        <f t="array" ref="G542">SUM(G$350:G$362/$M$151:$M$163*($B542=$F$150:$N$150)*($F$151:$N$163))</f>
        <v>-0.3342017275006966</v>
      </c>
      <c r="H542" s="365">
        <f t="array" ref="H542">SUM(H$350:H$362/$M$151:$M$163*($B542=$F$150:$N$150)*($F$151:$N$163))</f>
        <v>-0.30568403455001392</v>
      </c>
      <c r="I542" s="365">
        <f t="array" ref="I542">SUM(I$350:I$362/$M$151:$M$163*($B542=$F$150:$N$150)*($F$151:$N$163))</f>
        <v>-0.26755363611033706</v>
      </c>
      <c r="J542" s="365">
        <f t="array" ref="J542">SUM(J$350:J$362/$M$151:$M$163*($B542=$F$150:$N$150)*($F$151:$N$163))</f>
        <v>-0.22429646140986342</v>
      </c>
      <c r="K542" s="365">
        <f t="array" ref="K542">SUM(K$350:K$362/$M$151:$M$163*($B542=$F$150:$N$150)*($F$151:$N$163))</f>
        <v>-0.17591251044859285</v>
      </c>
      <c r="L542" s="365">
        <f t="array" ref="L542">SUM(L$350:L$362/$M$151:$M$163*($B542=$F$150:$N$150)*($F$151:$N$163))</f>
        <v>-0.12240178322652542</v>
      </c>
      <c r="M542" s="365">
        <f t="array" ref="M542">SUM(M$350:M$362/$M$151:$M$163*($B542=$F$150:$N$150)*($F$151:$N$163))</f>
        <v>-6.3764279743661112E-2</v>
      </c>
      <c r="N542" s="365">
        <f t="array" ref="N542">SUM(N$350:N$362/$M$151:$M$163*($B542=$F$150:$N$150)*($F$151:$N$163))</f>
        <v>0</v>
      </c>
      <c r="O542"/>
      <c r="W542" s="365"/>
      <c r="X542" s="365"/>
      <c r="Y542" s="365"/>
    </row>
    <row r="543" spans="2:25" s="6" customFormat="1">
      <c r="B543" s="373" t="s">
        <v>99</v>
      </c>
      <c r="C543" s="6" t="s">
        <v>89</v>
      </c>
      <c r="D543"/>
      <c r="E543" s="3801"/>
      <c r="F543" s="365">
        <f t="array" ref="F543">SUM(F$350:F$362/$M$151:$M$163*($B543=$F$150:$N$150)*($F$151:$N$163))</f>
        <v>-0.73774436090225559</v>
      </c>
      <c r="G543" s="365">
        <f t="array" ref="G543">SUM(G$350:G$362/$M$151:$M$163*($B543=$F$150:$N$150)*($F$151:$N$163))</f>
        <v>-0.79795226111015582</v>
      </c>
      <c r="H543" s="365">
        <f t="array" ref="H543">SUM(H$350:H$362/$M$151:$M$163*($B543=$F$150:$N$150)*($F$151:$N$163))</f>
        <v>-0.92954840323261378</v>
      </c>
      <c r="I543" s="365">
        <f t="array" ref="I543">SUM(I$350:I$362/$M$151:$M$163*($B543=$F$150:$N$150)*($F$151:$N$163))</f>
        <v>-1.058287089866037</v>
      </c>
      <c r="J543" s="365">
        <f t="array" ref="J543">SUM(J$350:J$362/$M$151:$M$163*($B543=$F$150:$N$150)*($F$151:$N$163))</f>
        <v>-1.1948790896159318</v>
      </c>
      <c r="K543" s="365">
        <f t="array" ref="K543">SUM(K$350:K$362/$M$151:$M$163*($B543=$F$150:$N$150)*($F$151:$N$163))</f>
        <v>-1.3393244024822972</v>
      </c>
      <c r="L543" s="365">
        <f t="array" ref="L543">SUM(L$350:L$362/$M$151:$M$163*($B543=$F$150:$N$150)*($F$151:$N$163))</f>
        <v>-1.4916230284651337</v>
      </c>
      <c r="M543" s="365">
        <f t="array" ref="M543">SUM(M$350:M$362/$M$151:$M$163*($B543=$F$150:$N$150)*($F$151:$N$163))</f>
        <v>-1.6517749675644411</v>
      </c>
      <c r="N543" s="365">
        <f t="array" ref="N543">SUM(N$350:N$362/$M$151:$M$163*($B543=$F$150:$N$150)*($F$151:$N$163))</f>
        <v>-1.8197802197802195</v>
      </c>
      <c r="O543"/>
      <c r="W543" s="365"/>
      <c r="X543" s="365"/>
      <c r="Y543" s="365"/>
    </row>
    <row r="544" spans="2:25" s="6" customFormat="1">
      <c r="B544" s="373" t="s">
        <v>100</v>
      </c>
      <c r="C544" s="6" t="s">
        <v>90</v>
      </c>
      <c r="D544"/>
      <c r="E544" s="3801"/>
      <c r="F544" s="365">
        <f t="array" ref="F544">SUM(F$350:F$362/$M$151:$M$163*($B544=$F$150:$N$150)*($F$151:$N$163))</f>
        <v>0</v>
      </c>
      <c r="G544" s="365">
        <f t="array" ref="G544">SUM(G$350:G$362/$M$151:$M$163*($B544=$F$150:$N$150)*($F$151:$N$163))</f>
        <v>0</v>
      </c>
      <c r="H544" s="365">
        <f t="array" ref="H544">SUM(H$350:H$362/$M$151:$M$163*($B544=$F$150:$N$150)*($F$151:$N$163))</f>
        <v>0</v>
      </c>
      <c r="I544" s="365">
        <f t="array" ref="I544">SUM(I$350:I$362/$M$151:$M$163*($B544=$F$150:$N$150)*($F$151:$N$163))</f>
        <v>0</v>
      </c>
      <c r="J544" s="365">
        <f t="array" ref="J544">SUM(J$350:J$362/$M$151:$M$163*($B544=$F$150:$N$150)*($F$151:$N$163))</f>
        <v>0</v>
      </c>
      <c r="K544" s="365">
        <f t="array" ref="K544">SUM(K$350:K$362/$M$151:$M$163*($B544=$F$150:$N$150)*($F$151:$N$163))</f>
        <v>0</v>
      </c>
      <c r="L544" s="365">
        <f t="array" ref="L544">SUM(L$350:L$362/$M$151:$M$163*($B544=$F$150:$N$150)*($F$151:$N$163))</f>
        <v>0</v>
      </c>
      <c r="M544" s="365">
        <f t="array" ref="M544">SUM(M$350:M$362/$M$151:$M$163*($B544=$F$150:$N$150)*($F$151:$N$163))</f>
        <v>0</v>
      </c>
      <c r="N544" s="365">
        <f t="array" ref="N544">SUM(N$350:N$362/$M$151:$M$163*($B544=$F$150:$N$150)*($F$151:$N$163))</f>
        <v>0</v>
      </c>
      <c r="O544"/>
      <c r="W544" s="365"/>
      <c r="X544" s="365"/>
      <c r="Y544" s="365"/>
    </row>
    <row r="545" spans="2:25" s="6" customFormat="1">
      <c r="B545" s="373" t="s">
        <v>101</v>
      </c>
      <c r="C545" s="6" t="s">
        <v>91</v>
      </c>
      <c r="D545"/>
      <c r="E545" s="3801"/>
      <c r="F545" s="365">
        <f t="array" ref="F545">SUM(F$350:F$362/$M$151:$M$163*($B545=$F$150:$N$150)*($F$151:$N$163))</f>
        <v>-6.3555555555555561E-3</v>
      </c>
      <c r="G545" s="365">
        <f t="array" ref="G545">SUM(G$350:G$362/$M$151:$M$163*($B545=$F$150:$N$150)*($F$151:$N$163))</f>
        <v>-1.0725179725179727E-2</v>
      </c>
      <c r="H545" s="365">
        <f t="array" ref="H545">SUM(H$350:H$362/$M$151:$M$163*($B545=$F$150:$N$150)*($F$151:$N$163))</f>
        <v>-2.2390799890799895E-2</v>
      </c>
      <c r="I545" s="365">
        <f t="array" ref="I545">SUM(I$350:I$362/$M$151:$M$163*($B545=$F$150:$N$150)*($F$151:$N$163))</f>
        <v>-3.5013923013923018E-2</v>
      </c>
      <c r="J545" s="365">
        <f t="array" ref="J545">SUM(J$350:J$362/$M$151:$M$163*($B545=$F$150:$N$150)*($F$151:$N$163))</f>
        <v>-4.8738511238511244E-2</v>
      </c>
      <c r="K545" s="365">
        <f t="array" ref="K545">SUM(K$350:K$362/$M$151:$M$163*($B545=$F$150:$N$150)*($F$151:$N$163))</f>
        <v>-6.3564564564564566E-2</v>
      </c>
      <c r="L545" s="365">
        <f t="array" ref="L545">SUM(L$350:L$362/$M$151:$M$163*($B545=$F$150:$N$150)*($F$151:$N$163))</f>
        <v>-7.9492082992082991E-2</v>
      </c>
      <c r="M545" s="365">
        <f t="array" ref="M545">SUM(M$350:M$362/$M$151:$M$163*($B545=$F$150:$N$150)*($F$151:$N$163))</f>
        <v>-9.6521066521066512E-2</v>
      </c>
      <c r="N545" s="365">
        <f t="array" ref="N545">SUM(N$350:N$362/$M$151:$M$163*($B545=$F$150:$N$150)*($F$151:$N$163))</f>
        <v>-0.11465151515151514</v>
      </c>
      <c r="O545"/>
      <c r="W545" s="365"/>
      <c r="X545" s="365"/>
      <c r="Y545" s="365"/>
    </row>
    <row r="546" spans="2:25" s="6" customFormat="1">
      <c r="B546" s="373" t="s">
        <v>102</v>
      </c>
      <c r="C546" s="6" t="s">
        <v>92</v>
      </c>
      <c r="D546"/>
      <c r="E546" s="3801"/>
      <c r="F546" s="365">
        <f t="array" ref="F546">SUM(F$350:F$362/$M$151:$M$163*($B546=$F$150:$N$150)*($F$151:$N$163))</f>
        <v>1.43</v>
      </c>
      <c r="G546" s="365">
        <f t="array" ref="G546">SUM(G$350:G$362/$M$151:$M$163*($B546=$F$150:$N$150)*($F$151:$N$163))</f>
        <v>1.49</v>
      </c>
      <c r="H546" s="365">
        <f t="array" ref="H546">SUM(H$350:H$362/$M$151:$M$163*($B546=$F$150:$N$150)*($F$151:$N$163))</f>
        <v>1.5899999999999999</v>
      </c>
      <c r="I546" s="365">
        <f t="array" ref="I546">SUM(I$350:I$362/$M$151:$M$163*($B546=$F$150:$N$150)*($F$151:$N$163))</f>
        <v>1.6699999999999997</v>
      </c>
      <c r="J546" s="365">
        <f t="array" ref="J546">SUM(J$350:J$362/$M$151:$M$163*($B546=$F$150:$N$150)*($F$151:$N$163))</f>
        <v>1.75</v>
      </c>
      <c r="K546" s="365">
        <f t="array" ref="K546">SUM(K$350:K$362/$M$151:$M$163*($B546=$F$150:$N$150)*($F$151:$N$163))</f>
        <v>1.83</v>
      </c>
      <c r="L546" s="365">
        <f t="array" ref="L546">SUM(L$350:L$362/$M$151:$M$163*($B546=$F$150:$N$150)*($F$151:$N$163))</f>
        <v>1.9099999999999997</v>
      </c>
      <c r="M546" s="365">
        <f t="array" ref="M546">SUM(M$350:M$362/$M$151:$M$163*($B546=$F$150:$N$150)*($F$151:$N$163))</f>
        <v>1.99</v>
      </c>
      <c r="N546" s="365">
        <f t="array" ref="N546">SUM(N$350:N$362/$M$151:$M$163*($B546=$F$150:$N$150)*($F$151:$N$163))</f>
        <v>2.0699999999999998</v>
      </c>
      <c r="O546"/>
      <c r="W546" s="365"/>
      <c r="X546" s="365"/>
      <c r="Y546" s="365"/>
    </row>
    <row r="547" spans="2:25" s="6" customFormat="1">
      <c r="B547" s="373" t="s">
        <v>103</v>
      </c>
      <c r="C547" s="6" t="s">
        <v>93</v>
      </c>
      <c r="D547"/>
      <c r="E547" s="3801"/>
      <c r="F547" s="365">
        <f t="array" ref="F547">SUM(F$350:F$362/$M$151:$M$163*($B547=$F$150:$N$150)*($F$151:$N$163))</f>
        <v>0.13942687067829543</v>
      </c>
      <c r="G547" s="365">
        <f t="array" ref="G547">SUM(G$350:G$362/$M$151:$M$163*($B547=$F$150:$N$150)*($F$151:$N$163))</f>
        <v>0.1437965794775812</v>
      </c>
      <c r="H547" s="365">
        <f t="array" ref="H547">SUM(H$350:H$362/$M$151:$M$163*($B547=$F$150:$N$150)*($F$151:$N$163))</f>
        <v>0.14949804822065194</v>
      </c>
      <c r="I547" s="365">
        <f t="array" ref="I547">SUM(I$350:I$362/$M$151:$M$163*($B547=$F$150:$N$150)*($F$151:$N$163))</f>
        <v>0.15287194685242281</v>
      </c>
      <c r="J547" s="365">
        <f t="array" ref="J547">SUM(J$350:J$362/$M$151:$M$163*($B547=$F$150:$N$150)*($F$151:$N$163))</f>
        <v>0.15584843080212324</v>
      </c>
      <c r="K547" s="365">
        <f t="array" ref="K547">SUM(K$350:K$362/$M$151:$M$163*($B547=$F$150:$N$150)*($F$151:$N$163))</f>
        <v>0.15842750006975315</v>
      </c>
      <c r="L547" s="365">
        <f t="array" ref="L547">SUM(L$350:L$362/$M$151:$M$163*($B547=$F$150:$N$150)*($F$151:$N$163))</f>
        <v>0.16060915465531253</v>
      </c>
      <c r="M547" s="365">
        <f t="array" ref="M547">SUM(M$350:M$362/$M$151:$M$163*($B547=$F$150:$N$150)*($F$151:$N$163))</f>
        <v>0.16239339455880139</v>
      </c>
      <c r="N547" s="365">
        <f t="array" ref="N547">SUM(N$350:N$362/$M$151:$M$163*($B547=$F$150:$N$150)*($F$151:$N$163))</f>
        <v>0.16378021978021975</v>
      </c>
      <c r="O547" s="3578" t="s">
        <v>5</v>
      </c>
      <c r="W547" s="365"/>
      <c r="X547" s="365"/>
      <c r="Y547" s="365"/>
    </row>
    <row r="548" spans="2:25" s="6" customFormat="1">
      <c r="B548" s="373"/>
      <c r="D548"/>
      <c r="E548" s="3801" t="str">
        <f>Preferences.EnergyUnits</f>
        <v>TWh</v>
      </c>
      <c r="F548" s="3584">
        <f t="shared" ref="F548:N548" si="66">SUM(F539:F547)</f>
        <v>0</v>
      </c>
      <c r="G548" s="3584">
        <f t="shared" si="66"/>
        <v>0</v>
      </c>
      <c r="H548" s="3584">
        <f t="shared" si="66"/>
        <v>-3.3306690738754696E-16</v>
      </c>
      <c r="I548" s="3584">
        <f t="shared" si="66"/>
        <v>0</v>
      </c>
      <c r="J548" s="3584">
        <f t="shared" si="66"/>
        <v>0</v>
      </c>
      <c r="K548" s="3584">
        <f t="shared" si="66"/>
        <v>0</v>
      </c>
      <c r="L548" s="3584">
        <f t="shared" si="66"/>
        <v>0</v>
      </c>
      <c r="M548" s="3584">
        <f t="shared" si="66"/>
        <v>0</v>
      </c>
      <c r="N548" s="3584">
        <f t="shared" si="66"/>
        <v>3.6082248300317588E-16</v>
      </c>
      <c r="O548"/>
      <c r="W548" s="365"/>
      <c r="X548" s="365"/>
      <c r="Y548" s="365"/>
    </row>
    <row r="549" spans="2:25" s="6" customFormat="1">
      <c r="B549"/>
      <c r="C549"/>
      <c r="D549"/>
      <c r="E549" s="3801"/>
      <c r="F549"/>
      <c r="G549"/>
      <c r="H549"/>
      <c r="I549"/>
      <c r="J549"/>
      <c r="K549"/>
      <c r="L549"/>
      <c r="M549"/>
      <c r="N549"/>
      <c r="O549"/>
      <c r="W549" s="365"/>
      <c r="X549" s="365"/>
      <c r="Y549" s="365"/>
    </row>
    <row r="550" spans="2:25" s="6" customFormat="1">
      <c r="B550" s="354"/>
      <c r="C550" s="354" t="s">
        <v>278</v>
      </c>
      <c r="D550"/>
      <c r="E550" s="355"/>
      <c r="F550" s="1321">
        <v>2013</v>
      </c>
      <c r="G550" s="1321">
        <v>2015</v>
      </c>
      <c r="H550" s="1321">
        <v>2020</v>
      </c>
      <c r="I550" s="1321">
        <v>2025</v>
      </c>
      <c r="J550" s="1321">
        <v>2030</v>
      </c>
      <c r="K550" s="1321">
        <v>2035</v>
      </c>
      <c r="L550" s="1321">
        <v>2040</v>
      </c>
      <c r="M550" s="1321">
        <v>2045</v>
      </c>
      <c r="N550" s="1321">
        <v>2050</v>
      </c>
      <c r="O550"/>
      <c r="W550" s="365"/>
      <c r="X550" s="365"/>
      <c r="Y550" s="365"/>
    </row>
    <row r="551" spans="2:25" s="6" customFormat="1">
      <c r="B551" s="373" t="s">
        <v>95</v>
      </c>
      <c r="C551" s="6" t="s">
        <v>85</v>
      </c>
      <c r="D551"/>
      <c r="E551" s="3801"/>
      <c r="F551" s="2480">
        <f t="shared" ref="F551:N551" si="67">(F539-F367)*Conversion.to.average.power</f>
        <v>-9.0627931148121239E-5</v>
      </c>
      <c r="G551" s="2480">
        <f t="shared" si="67"/>
        <v>-1.163946806200946E-4</v>
      </c>
      <c r="H551" s="2480">
        <f t="shared" si="67"/>
        <v>-1.8280211640922945E-4</v>
      </c>
      <c r="I551" s="2480">
        <f t="shared" si="67"/>
        <v>-2.5354363136703662E-4</v>
      </c>
      <c r="J551" s="2480">
        <f t="shared" si="67"/>
        <v>-3.3018157019982581E-4</v>
      </c>
      <c r="K551" s="2480">
        <f t="shared" si="67"/>
        <v>-4.1271593290757803E-4</v>
      </c>
      <c r="L551" s="2480">
        <f t="shared" si="67"/>
        <v>-5.0114671949031862E-4</v>
      </c>
      <c r="M551" s="2480">
        <f t="shared" si="67"/>
        <v>-5.9547392994802853E-4</v>
      </c>
      <c r="N551" s="2480">
        <f t="shared" si="67"/>
        <v>-6.9569756428072686E-4</v>
      </c>
      <c r="O551"/>
      <c r="W551" s="365"/>
      <c r="X551" s="365"/>
      <c r="Y551" s="365"/>
    </row>
    <row r="552" spans="2:25" s="6" customFormat="1">
      <c r="B552" s="373" t="s">
        <v>96</v>
      </c>
      <c r="C552" s="6" t="s">
        <v>86</v>
      </c>
      <c r="D552"/>
      <c r="E552" s="3801"/>
      <c r="F552" s="2480">
        <f t="shared" ref="F552:N552" si="68">(F540-F368)*Conversion.to.average.power</f>
        <v>0</v>
      </c>
      <c r="G552" s="2480">
        <f t="shared" si="68"/>
        <v>0</v>
      </c>
      <c r="H552" s="2480">
        <f t="shared" si="68"/>
        <v>0</v>
      </c>
      <c r="I552" s="2480">
        <f t="shared" si="68"/>
        <v>0</v>
      </c>
      <c r="J552" s="2480">
        <f t="shared" si="68"/>
        <v>0</v>
      </c>
      <c r="K552" s="2480">
        <f t="shared" si="68"/>
        <v>0</v>
      </c>
      <c r="L552" s="2480">
        <f t="shared" si="68"/>
        <v>0</v>
      </c>
      <c r="M552" s="2480">
        <f t="shared" si="68"/>
        <v>0</v>
      </c>
      <c r="N552" s="2480">
        <f t="shared" si="68"/>
        <v>0</v>
      </c>
      <c r="O552"/>
      <c r="W552" s="365"/>
      <c r="X552" s="365"/>
      <c r="Y552" s="365"/>
    </row>
    <row r="553" spans="2:25" s="6" customFormat="1">
      <c r="B553" s="373" t="s">
        <v>97</v>
      </c>
      <c r="C553" s="6" t="s">
        <v>87</v>
      </c>
      <c r="D553"/>
      <c r="E553" s="3801"/>
      <c r="F553" s="2480">
        <f t="shared" ref="F553:N553" si="69">(F541-F369)*Conversion.to.average.power</f>
        <v>0</v>
      </c>
      <c r="G553" s="2480">
        <f t="shared" si="69"/>
        <v>0</v>
      </c>
      <c r="H553" s="2480">
        <f t="shared" si="69"/>
        <v>0</v>
      </c>
      <c r="I553" s="2480">
        <f t="shared" si="69"/>
        <v>0</v>
      </c>
      <c r="J553" s="2480">
        <f t="shared" si="69"/>
        <v>0</v>
      </c>
      <c r="K553" s="2480">
        <f t="shared" si="69"/>
        <v>0</v>
      </c>
      <c r="L553" s="2480">
        <f t="shared" si="69"/>
        <v>0</v>
      </c>
      <c r="M553" s="2480">
        <f t="shared" si="69"/>
        <v>0</v>
      </c>
      <c r="N553" s="2480">
        <f t="shared" si="69"/>
        <v>0</v>
      </c>
      <c r="O553"/>
      <c r="W553" s="365"/>
      <c r="X553" s="365"/>
      <c r="Y553" s="365"/>
    </row>
    <row r="554" spans="2:25" s="6" customFormat="1">
      <c r="B554" s="373" t="s">
        <v>98</v>
      </c>
      <c r="C554" s="6" t="s">
        <v>88</v>
      </c>
      <c r="D554"/>
      <c r="E554" s="3801"/>
      <c r="F554" s="2480">
        <f t="shared" ref="F554:N554" si="70">(F542-F370)*Conversion.to.average.power</f>
        <v>0</v>
      </c>
      <c r="G554" s="2480">
        <f t="shared" si="70"/>
        <v>0</v>
      </c>
      <c r="H554" s="2480">
        <f t="shared" si="70"/>
        <v>0</v>
      </c>
      <c r="I554" s="2480">
        <f t="shared" si="70"/>
        <v>0</v>
      </c>
      <c r="J554" s="2480">
        <f t="shared" si="70"/>
        <v>0</v>
      </c>
      <c r="K554" s="2480">
        <f t="shared" si="70"/>
        <v>0</v>
      </c>
      <c r="L554" s="2480">
        <f t="shared" si="70"/>
        <v>0</v>
      </c>
      <c r="M554" s="2480">
        <f t="shared" si="70"/>
        <v>0</v>
      </c>
      <c r="N554" s="2480">
        <f t="shared" si="70"/>
        <v>0</v>
      </c>
      <c r="O554"/>
      <c r="W554" s="365"/>
      <c r="X554" s="365"/>
      <c r="Y554" s="365"/>
    </row>
    <row r="555" spans="2:25" s="6" customFormat="1">
      <c r="B555" s="373" t="s">
        <v>99</v>
      </c>
      <c r="C555" s="6" t="s">
        <v>89</v>
      </c>
      <c r="D555"/>
      <c r="E555" s="3801"/>
      <c r="F555" s="2480">
        <f t="shared" ref="F555:N555" si="71">(F543-F371)*Conversion.to.average.power</f>
        <v>0</v>
      </c>
      <c r="G555" s="2480">
        <f t="shared" si="71"/>
        <v>0</v>
      </c>
      <c r="H555" s="2480">
        <f t="shared" si="71"/>
        <v>0</v>
      </c>
      <c r="I555" s="2480">
        <f t="shared" si="71"/>
        <v>0</v>
      </c>
      <c r="J555" s="2480">
        <f t="shared" si="71"/>
        <v>0</v>
      </c>
      <c r="K555" s="2480">
        <f t="shared" si="71"/>
        <v>0</v>
      </c>
      <c r="L555" s="2480">
        <f t="shared" si="71"/>
        <v>0</v>
      </c>
      <c r="M555" s="2480">
        <f t="shared" si="71"/>
        <v>0</v>
      </c>
      <c r="N555" s="2480">
        <f t="shared" si="71"/>
        <v>0</v>
      </c>
      <c r="O555"/>
      <c r="W555" s="365"/>
      <c r="X555" s="365"/>
      <c r="Y555" s="365"/>
    </row>
    <row r="556" spans="2:25" s="6" customFormat="1">
      <c r="B556" s="373" t="s">
        <v>100</v>
      </c>
      <c r="C556" s="6" t="s">
        <v>90</v>
      </c>
      <c r="D556"/>
      <c r="E556" s="3801"/>
      <c r="F556" s="2480">
        <f t="shared" ref="F556:N556" si="72">(F544-F372)*Conversion.to.average.power</f>
        <v>0</v>
      </c>
      <c r="G556" s="2480">
        <f t="shared" si="72"/>
        <v>0</v>
      </c>
      <c r="H556" s="2480">
        <f t="shared" si="72"/>
        <v>0</v>
      </c>
      <c r="I556" s="2480">
        <f t="shared" si="72"/>
        <v>0</v>
      </c>
      <c r="J556" s="2480">
        <f t="shared" si="72"/>
        <v>0</v>
      </c>
      <c r="K556" s="2480">
        <f t="shared" si="72"/>
        <v>0</v>
      </c>
      <c r="L556" s="2480">
        <f t="shared" si="72"/>
        <v>0</v>
      </c>
      <c r="M556" s="2480">
        <f t="shared" si="72"/>
        <v>0</v>
      </c>
      <c r="N556" s="2480">
        <f t="shared" si="72"/>
        <v>0</v>
      </c>
      <c r="O556"/>
      <c r="W556" s="365"/>
      <c r="X556" s="365"/>
      <c r="Y556" s="365"/>
    </row>
    <row r="557" spans="2:25" s="6" customFormat="1">
      <c r="B557" s="373" t="s">
        <v>101</v>
      </c>
      <c r="C557" s="6" t="s">
        <v>91</v>
      </c>
      <c r="D557"/>
      <c r="E557" s="3801"/>
      <c r="F557" s="2480">
        <f t="shared" ref="F557:N557" si="73">(F545-F373)*Conversion.to.average.power</f>
        <v>9.062793114812273E-5</v>
      </c>
      <c r="G557" s="2480">
        <f t="shared" si="73"/>
        <v>1.1639468062009698E-4</v>
      </c>
      <c r="H557" s="2480">
        <f t="shared" si="73"/>
        <v>1.828021164092346E-4</v>
      </c>
      <c r="I557" s="2480">
        <f t="shared" si="73"/>
        <v>2.5354363136703982E-4</v>
      </c>
      <c r="J557" s="2480">
        <f t="shared" si="73"/>
        <v>3.3018157019982266E-4</v>
      </c>
      <c r="K557" s="2480">
        <f t="shared" si="73"/>
        <v>4.127159329075828E-4</v>
      </c>
      <c r="L557" s="2480">
        <f t="shared" si="73"/>
        <v>5.0114671949031862E-4</v>
      </c>
      <c r="M557" s="2480">
        <f t="shared" si="73"/>
        <v>5.9547392994803493E-4</v>
      </c>
      <c r="N557" s="2480">
        <f t="shared" si="73"/>
        <v>6.9569756428072686E-4</v>
      </c>
      <c r="O557"/>
      <c r="W557" s="365"/>
      <c r="X557" s="365"/>
      <c r="Y557" s="365"/>
    </row>
    <row r="558" spans="2:25" s="6" customFormat="1">
      <c r="B558" s="373" t="s">
        <v>102</v>
      </c>
      <c r="C558" s="6" t="s">
        <v>92</v>
      </c>
      <c r="D558"/>
      <c r="E558" s="3801"/>
      <c r="F558" s="2480">
        <f t="shared" ref="F558:N558" si="74">(F546-F374)*Conversion.to.average.power</f>
        <v>0</v>
      </c>
      <c r="G558" s="2480">
        <f t="shared" si="74"/>
        <v>0</v>
      </c>
      <c r="H558" s="2480">
        <f t="shared" si="74"/>
        <v>0</v>
      </c>
      <c r="I558" s="2480">
        <f t="shared" si="74"/>
        <v>0</v>
      </c>
      <c r="J558" s="2480">
        <f t="shared" si="74"/>
        <v>0</v>
      </c>
      <c r="K558" s="2480">
        <f t="shared" si="74"/>
        <v>0</v>
      </c>
      <c r="L558" s="2480">
        <f t="shared" si="74"/>
        <v>0</v>
      </c>
      <c r="M558" s="2480">
        <f t="shared" si="74"/>
        <v>0</v>
      </c>
      <c r="N558" s="2480">
        <f t="shared" si="74"/>
        <v>0</v>
      </c>
      <c r="O558"/>
      <c r="W558" s="365"/>
      <c r="X558" s="365"/>
      <c r="Y558" s="365"/>
    </row>
    <row r="559" spans="2:25" s="6" customFormat="1">
      <c r="B559" s="373" t="s">
        <v>103</v>
      </c>
      <c r="C559" s="6" t="s">
        <v>93</v>
      </c>
      <c r="D559"/>
      <c r="E559" s="3801"/>
      <c r="F559" s="2480">
        <f t="shared" ref="F559:N559" si="75">(F547-F375)*Conversion.to.average.power</f>
        <v>0</v>
      </c>
      <c r="G559" s="2480">
        <f t="shared" si="75"/>
        <v>0</v>
      </c>
      <c r="H559" s="2480">
        <f t="shared" si="75"/>
        <v>0</v>
      </c>
      <c r="I559" s="2480">
        <f t="shared" si="75"/>
        <v>0</v>
      </c>
      <c r="J559" s="2480">
        <f t="shared" si="75"/>
        <v>0</v>
      </c>
      <c r="K559" s="2480">
        <f t="shared" si="75"/>
        <v>0</v>
      </c>
      <c r="L559" s="2480">
        <f t="shared" si="75"/>
        <v>0</v>
      </c>
      <c r="M559" s="2480">
        <f t="shared" si="75"/>
        <v>0</v>
      </c>
      <c r="N559" s="2480">
        <f t="shared" si="75"/>
        <v>0</v>
      </c>
      <c r="O559"/>
      <c r="W559" s="365"/>
      <c r="X559" s="365"/>
      <c r="Y559" s="365"/>
    </row>
    <row r="560" spans="2:25" s="6" customFormat="1">
      <c r="B560" s="373"/>
      <c r="D560"/>
      <c r="E560" s="3801" t="str">
        <f>Preferences.PowerUnits</f>
        <v>GW</v>
      </c>
      <c r="F560" s="3584">
        <f t="shared" ref="F560:N560" si="76">SUM(F551:F559)</f>
        <v>1.4907779871675686E-18</v>
      </c>
      <c r="G560" s="3584">
        <f t="shared" si="76"/>
        <v>2.3852447794681098E-18</v>
      </c>
      <c r="H560" s="3584">
        <f t="shared" si="76"/>
        <v>5.1499603193061461E-18</v>
      </c>
      <c r="I560" s="3584">
        <f t="shared" si="76"/>
        <v>3.1983964088322381E-18</v>
      </c>
      <c r="J560" s="3584">
        <f t="shared" si="76"/>
        <v>-3.1441863002079629E-18</v>
      </c>
      <c r="K560" s="3584">
        <f t="shared" si="76"/>
        <v>4.7704895589362195E-18</v>
      </c>
      <c r="L560" s="3584">
        <f t="shared" si="76"/>
        <v>0</v>
      </c>
      <c r="M560" s="3584">
        <f t="shared" si="76"/>
        <v>6.3967928176644762E-18</v>
      </c>
      <c r="N560" s="3584">
        <f t="shared" si="76"/>
        <v>0</v>
      </c>
      <c r="O560"/>
      <c r="W560" s="365"/>
      <c r="X560" s="365"/>
      <c r="Y560" s="365"/>
    </row>
    <row r="561" spans="2:25" s="6" customFormat="1">
      <c r="B561"/>
      <c r="C561"/>
      <c r="D561"/>
      <c r="E561" s="3801"/>
      <c r="F561" s="365"/>
      <c r="G561"/>
      <c r="H561"/>
      <c r="I561"/>
      <c r="J561"/>
      <c r="K561"/>
      <c r="L561"/>
      <c r="M561"/>
      <c r="N561"/>
      <c r="O561"/>
      <c r="W561" s="365"/>
      <c r="X561" s="365"/>
      <c r="Y561" s="365"/>
    </row>
    <row r="562" spans="2:25" s="6" customFormat="1">
      <c r="B562"/>
      <c r="C562" s="354" t="s">
        <v>279</v>
      </c>
      <c r="D562"/>
      <c r="F562" s="1321">
        <v>2013</v>
      </c>
      <c r="G562" s="1321">
        <v>2015</v>
      </c>
      <c r="H562" s="1321">
        <v>2020</v>
      </c>
      <c r="I562" s="1321">
        <v>2025</v>
      </c>
      <c r="J562" s="1321">
        <v>2030</v>
      </c>
      <c r="K562" s="1321">
        <v>2035</v>
      </c>
      <c r="L562" s="1321">
        <v>2040</v>
      </c>
      <c r="M562" s="1321">
        <v>2045</v>
      </c>
      <c r="N562" s="1321">
        <v>2050</v>
      </c>
      <c r="O562"/>
      <c r="W562" s="365"/>
      <c r="X562" s="365"/>
      <c r="Y562" s="365"/>
    </row>
    <row r="563" spans="2:25" s="6" customFormat="1">
      <c r="B563" s="373" t="s">
        <v>95</v>
      </c>
      <c r="C563" s="6" t="s">
        <v>85</v>
      </c>
      <c r="D563"/>
      <c r="E563" s="3801"/>
      <c r="F563" s="2480">
        <f t="array" ref="F563">SUM(F$382:F$394/$M$133:$M$145*($B563=$F$132:$N$132)*($F$133:$N$145))</f>
        <v>-2.4691111111111113</v>
      </c>
      <c r="G563" s="2480">
        <f t="array" ref="G563">SUM(G$382:G$394/$M$133:$M$145*($B563=$F$132:$N$132)*($F$133:$N$145))</f>
        <v>-2.4580412230412225</v>
      </c>
      <c r="H563" s="2480">
        <f t="array" ref="H563">SUM(H$382:H$394/$M$133:$M$145*($B563=$F$132:$N$132)*($F$133:$N$145))</f>
        <v>-2.4456155814905816</v>
      </c>
      <c r="I563" s="2480">
        <f t="array" ref="I563">SUM(I$382:I$394/$M$133:$M$145*($B563=$F$132:$N$132)*($F$133:$N$145))</f>
        <v>-2.3457753207753207</v>
      </c>
      <c r="J563" s="2480">
        <f t="array" ref="J563">SUM(J$382:J$394/$M$133:$M$145*($B563=$F$132:$N$132)*($F$133:$N$145))</f>
        <v>-2.2251230548730545</v>
      </c>
      <c r="K563" s="2480">
        <f t="array" ref="K563">SUM(K$382:K$394/$M$133:$M$145*($B563=$F$132:$N$132)*($F$133:$N$145))</f>
        <v>-2.0836587837837834</v>
      </c>
      <c r="L563" s="2480">
        <f t="array" ref="L563">SUM(L$382:L$394/$M$133:$M$145*($B563=$F$132:$N$132)*($F$133:$N$145))</f>
        <v>-1.9213825075075073</v>
      </c>
      <c r="M563" s="2480">
        <f t="array" ref="M563">SUM(M$382:M$394/$M$133:$M$145*($B563=$F$132:$N$132)*($F$133:$N$145))</f>
        <v>-1.7382942260442258</v>
      </c>
      <c r="N563" s="2480">
        <f t="array" ref="N563">SUM(N$382:N$394/$M$133:$M$145*($B563=$F$132:$N$132)*($F$133:$N$145))</f>
        <v>-1.5343939393939392</v>
      </c>
      <c r="O563"/>
      <c r="W563" s="365"/>
      <c r="X563" s="365"/>
      <c r="Y563" s="365"/>
    </row>
    <row r="564" spans="2:25" s="6" customFormat="1">
      <c r="B564" s="373" t="s">
        <v>96</v>
      </c>
      <c r="C564" s="6" t="s">
        <v>86</v>
      </c>
      <c r="D564"/>
      <c r="E564" s="3801"/>
      <c r="F564" s="2480">
        <f t="array" ref="F564">SUM(F$382:F$394/$M$133:$M$145*($B564=$F$132:$N$132)*($F$133:$N$145))</f>
        <v>0</v>
      </c>
      <c r="G564" s="2480">
        <f t="array" ref="G564">SUM(G$382:G$394/$M$133:$M$145*($B564=$F$132:$N$132)*($F$133:$N$145))</f>
        <v>0</v>
      </c>
      <c r="H564" s="2480">
        <f t="array" ref="H564">SUM(H$382:H$394/$M$133:$M$145*($B564=$F$132:$N$132)*($F$133:$N$145))</f>
        <v>0</v>
      </c>
      <c r="I564" s="2480">
        <f t="array" ref="I564">SUM(I$382:I$394/$M$133:$M$145*($B564=$F$132:$N$132)*($F$133:$N$145))</f>
        <v>0</v>
      </c>
      <c r="J564" s="2480">
        <f t="array" ref="J564">SUM(J$382:J$394/$M$133:$M$145*($B564=$F$132:$N$132)*($F$133:$N$145))</f>
        <v>0</v>
      </c>
      <c r="K564" s="2480">
        <f t="array" ref="K564">SUM(K$382:K$394/$M$133:$M$145*($B564=$F$132:$N$132)*($F$133:$N$145))</f>
        <v>0</v>
      </c>
      <c r="L564" s="2480">
        <f t="array" ref="L564">SUM(L$382:L$394/$M$133:$M$145*($B564=$F$132:$N$132)*($F$133:$N$145))</f>
        <v>0</v>
      </c>
      <c r="M564" s="2480">
        <f t="array" ref="M564">SUM(M$382:M$394/$M$133:$M$145*($B564=$F$132:$N$132)*($F$133:$N$145))</f>
        <v>0</v>
      </c>
      <c r="N564" s="2480">
        <f t="array" ref="N564">SUM(N$382:N$394/$M$133:$M$145*($B564=$F$132:$N$132)*($F$133:$N$145))</f>
        <v>0</v>
      </c>
      <c r="O564" s="3578" t="s">
        <v>5</v>
      </c>
      <c r="W564" s="365"/>
      <c r="X564" s="365"/>
      <c r="Y564" s="365"/>
    </row>
    <row r="565" spans="2:25" s="6" customFormat="1">
      <c r="B565" s="373" t="s">
        <v>97</v>
      </c>
      <c r="C565" s="6" t="s">
        <v>87</v>
      </c>
      <c r="D565"/>
      <c r="E565" s="3801"/>
      <c r="F565" s="2480">
        <f t="array" ref="F565">SUM(F$382:F$394/$M$133:$M$145*($B565=$F$132:$N$132)*($F$133:$N$145))</f>
        <v>-0.28034482758620688</v>
      </c>
      <c r="G565" s="2480">
        <f t="array" ref="G565">SUM(G$382:G$394/$M$133:$M$145*($B565=$F$132:$N$132)*($F$133:$N$145))</f>
        <v>-0.27236719478098786</v>
      </c>
      <c r="H565" s="2480">
        <f t="array" ref="H565">SUM(H$382:H$394/$M$133:$M$145*($B565=$F$132:$N$132)*($F$133:$N$145))</f>
        <v>-0.25226001863932901</v>
      </c>
      <c r="I565" s="2480">
        <f t="array" ref="I565">SUM(I$382:I$394/$M$133:$M$145*($B565=$F$132:$N$132)*($F$133:$N$145))</f>
        <v>-0.22061393289841563</v>
      </c>
      <c r="J565" s="2480">
        <f t="array" ref="J565">SUM(J$382:J$394/$M$133:$M$145*($B565=$F$132:$N$132)*($F$133:$N$145))</f>
        <v>-0.18480894687791236</v>
      </c>
      <c r="K565" s="2480">
        <f t="array" ref="K565">SUM(K$382:K$394/$M$133:$M$145*($B565=$F$132:$N$132)*($F$133:$N$145))</f>
        <v>-0.14484506057781915</v>
      </c>
      <c r="L565" s="2480">
        <f t="array" ref="L565">SUM(L$382:L$394/$M$133:$M$145*($B565=$F$132:$N$132)*($F$133:$N$145))</f>
        <v>-0.10072227399813602</v>
      </c>
      <c r="M565" s="2480">
        <f t="array" ref="M565">SUM(M$382:M$394/$M$133:$M$145*($B565=$F$132:$N$132)*($F$133:$N$145))</f>
        <v>-5.244058713886296E-2</v>
      </c>
      <c r="N565" s="2480">
        <f t="array" ref="N565">SUM(N$382:N$394/$M$133:$M$145*($B565=$F$132:$N$132)*($F$133:$N$145))</f>
        <v>0</v>
      </c>
      <c r="O565"/>
      <c r="W565" s="365"/>
      <c r="X565" s="365"/>
      <c r="Y565" s="365"/>
    </row>
    <row r="566" spans="2:25" s="6" customFormat="1">
      <c r="B566" s="373" t="s">
        <v>98</v>
      </c>
      <c r="C566" s="6" t="s">
        <v>88</v>
      </c>
      <c r="D566"/>
      <c r="E566" s="3801"/>
      <c r="F566" s="2480">
        <f t="array" ref="F566">SUM(F$382:F$394/$M$133:$M$145*($B566=$F$132:$N$132)*($F$133:$N$145))</f>
        <v>-1.9277319587628869</v>
      </c>
      <c r="G566" s="2480">
        <f t="array" ref="G566">SUM(G$382:G$394/$M$133:$M$145*($B566=$F$132:$N$132)*($F$133:$N$145))</f>
        <v>-1.8728754527723601</v>
      </c>
      <c r="H566" s="2480">
        <f t="array" ref="H566">SUM(H$382:H$394/$M$133:$M$145*($B566=$F$132:$N$132)*($F$133:$N$145))</f>
        <v>-1.7346127054889942</v>
      </c>
      <c r="I566" s="2480">
        <f t="array" ref="I566">SUM(I$382:I$394/$M$133:$M$145*($B566=$F$132:$N$132)*($F$133:$N$145))</f>
        <v>-1.5170050849818888</v>
      </c>
      <c r="J566" s="2480">
        <f t="array" ref="J566">SUM(J$382:J$394/$M$133:$M$145*($B566=$F$132:$N$132)*($F$133:$N$145))</f>
        <v>-1.270799665645026</v>
      </c>
      <c r="K566" s="2480">
        <f t="array" ref="K566">SUM(K$382:K$394/$M$133:$M$145*($B566=$F$132:$N$132)*($F$133:$N$145))</f>
        <v>-0.99599644747840588</v>
      </c>
      <c r="L566" s="2480">
        <f t="array" ref="L566">SUM(L$382:L$394/$M$133:$M$145*($B566=$F$132:$N$132)*($F$133:$N$145))</f>
        <v>-0.69259543048202787</v>
      </c>
      <c r="M566" s="2480">
        <f t="array" ref="M566">SUM(M$382:M$394/$M$133:$M$145*($B566=$F$132:$N$132)*($F$133:$N$145))</f>
        <v>-0.36059661465589254</v>
      </c>
      <c r="N566" s="2480">
        <f t="array" ref="N566">SUM(N$382:N$394/$M$133:$M$145*($B566=$F$132:$N$132)*($F$133:$N$145))</f>
        <v>0</v>
      </c>
      <c r="O566"/>
      <c r="W566" s="365"/>
      <c r="X566" s="365"/>
      <c r="Y566" s="365"/>
    </row>
    <row r="567" spans="2:25" s="6" customFormat="1">
      <c r="B567" s="373" t="s">
        <v>99</v>
      </c>
      <c r="C567" s="6" t="s">
        <v>89</v>
      </c>
      <c r="D567"/>
      <c r="E567" s="3801"/>
      <c r="F567" s="2480">
        <f t="array" ref="F567">SUM(F$382:F$394/$M$133:$M$145*($B567=$F$132:$N$132)*($F$133:$N$145))</f>
        <v>-4.1943088490456919</v>
      </c>
      <c r="G567" s="2480">
        <f t="array" ref="G567">SUM(G$382:G$394/$M$133:$M$145*($B567=$F$132:$N$132)*($F$133:$N$145))</f>
        <v>-4.4717458927985243</v>
      </c>
      <c r="H567" s="2480">
        <f t="array" ref="H567">SUM(H$382:H$394/$M$133:$M$145*($B567=$F$132:$N$132)*($F$133:$N$145))</f>
        <v>-5.2747487221171436</v>
      </c>
      <c r="I567" s="2480">
        <f t="array" ref="I567">SUM(I$382:I$394/$M$133:$M$145*($B567=$F$132:$N$132)*($F$133:$N$145))</f>
        <v>-6.0003927438137969</v>
      </c>
      <c r="J567" s="2480">
        <f t="array" ref="J567">SUM(J$382:J$394/$M$133:$M$145*($B567=$F$132:$N$132)*($F$133:$N$145))</f>
        <v>-6.7698435277382636</v>
      </c>
      <c r="K567" s="2480">
        <f t="array" ref="K567">SUM(K$382:K$394/$M$133:$M$145*($B567=$F$132:$N$132)*($F$133:$N$145))</f>
        <v>-7.5831010738905471</v>
      </c>
      <c r="L567" s="2480">
        <f t="array" ref="L567">SUM(L$382:L$394/$M$133:$M$145*($B567=$F$132:$N$132)*($F$133:$N$145))</f>
        <v>-8.4401653822706439</v>
      </c>
      <c r="M567" s="2480">
        <f t="array" ref="M567">SUM(M$382:M$394/$M$133:$M$145*($B567=$F$132:$N$132)*($F$133:$N$145))</f>
        <v>-9.3410364528785568</v>
      </c>
      <c r="N567" s="2480">
        <f t="array" ref="N567">SUM(N$382:N$394/$M$133:$M$145*($B567=$F$132:$N$132)*($F$133:$N$145))</f>
        <v>-10.285714285714285</v>
      </c>
      <c r="O567"/>
      <c r="W567" s="365"/>
      <c r="X567" s="365"/>
      <c r="Y567" s="365"/>
    </row>
    <row r="568" spans="2:25" s="6" customFormat="1">
      <c r="B568" s="373" t="s">
        <v>100</v>
      </c>
      <c r="C568" s="6" t="s">
        <v>90</v>
      </c>
      <c r="D568"/>
      <c r="E568" s="3801"/>
      <c r="F568" s="2480">
        <f t="array" ref="F568">SUM(F$382:F$394/$M$133:$M$145*($B568=$F$132:$N$132)*($F$133:$N$145))</f>
        <v>0</v>
      </c>
      <c r="G568" s="2480">
        <f t="array" ref="G568">SUM(G$382:G$394/$M$133:$M$145*($B568=$F$132:$N$132)*($F$133:$N$145))</f>
        <v>0</v>
      </c>
      <c r="H568" s="2480">
        <f t="array" ref="H568">SUM(H$382:H$394/$M$133:$M$145*($B568=$F$132:$N$132)*($F$133:$N$145))</f>
        <v>0</v>
      </c>
      <c r="I568" s="2480">
        <f t="array" ref="I568">SUM(I$382:I$394/$M$133:$M$145*($B568=$F$132:$N$132)*($F$133:$N$145))</f>
        <v>0</v>
      </c>
      <c r="J568" s="2480">
        <f t="array" ref="J568">SUM(J$382:J$394/$M$133:$M$145*($B568=$F$132:$N$132)*($F$133:$N$145))</f>
        <v>0</v>
      </c>
      <c r="K568" s="2480">
        <f t="array" ref="K568">SUM(K$382:K$394/$M$133:$M$145*($B568=$F$132:$N$132)*($F$133:$N$145))</f>
        <v>0</v>
      </c>
      <c r="L568" s="2480">
        <f t="array" ref="L568">SUM(L$382:L$394/$M$133:$M$145*($B568=$F$132:$N$132)*($F$133:$N$145))</f>
        <v>0</v>
      </c>
      <c r="M568" s="2480">
        <f t="array" ref="M568">SUM(M$382:M$394/$M$133:$M$145*($B568=$F$132:$N$132)*($F$133:$N$145))</f>
        <v>0</v>
      </c>
      <c r="N568" s="2480">
        <f t="array" ref="N568">SUM(N$382:N$394/$M$133:$M$145*($B568=$F$132:$N$132)*($F$133:$N$145))</f>
        <v>0</v>
      </c>
      <c r="O568"/>
      <c r="W568" s="365"/>
      <c r="X568" s="365"/>
      <c r="Y568" s="365"/>
    </row>
    <row r="569" spans="2:25" s="6" customFormat="1">
      <c r="B569" s="373" t="s">
        <v>101</v>
      </c>
      <c r="C569" s="6" t="s">
        <v>91</v>
      </c>
      <c r="D569"/>
      <c r="E569" s="3801"/>
      <c r="F569" s="2480">
        <f t="array" ref="F569">SUM(F$382:F$394/$M$133:$M$145*($B569=$F$132:$N$132)*($F$133:$N$145))</f>
        <v>-5.1188888888888895E-2</v>
      </c>
      <c r="G569" s="2480">
        <f t="array" ref="G569">SUM(G$382:G$394/$M$133:$M$145*($B569=$F$132:$N$132)*($F$133:$N$145))</f>
        <v>-8.0810128310128307E-2</v>
      </c>
      <c r="H569" s="2480">
        <f t="array" ref="H569">SUM(H$382:H$394/$M$133:$M$145*($B569=$F$132:$N$132)*($F$133:$N$145))</f>
        <v>-0.163593877968878</v>
      </c>
      <c r="I569" s="2480">
        <f t="array" ref="I569">SUM(I$382:I$394/$M$133:$M$145*($B569=$F$132:$N$132)*($F$133:$N$145))</f>
        <v>-0.25173312517062518</v>
      </c>
      <c r="J569" s="2480">
        <f t="array" ref="J569">SUM(J$382:J$394/$M$133:$M$145*($B569=$F$132:$N$132)*($F$133:$N$145))</f>
        <v>-0.34741748566748565</v>
      </c>
      <c r="K569" s="2480">
        <f t="array" ref="K569">SUM(K$382:K$394/$M$133:$M$145*($B569=$F$132:$N$132)*($F$133:$N$145))</f>
        <v>-0.45064695945945954</v>
      </c>
      <c r="L569" s="2480">
        <f t="array" ref="L569">SUM(L$382:L$394/$M$133:$M$145*($B569=$F$132:$N$132)*($F$133:$N$145))</f>
        <v>-0.56142154654654652</v>
      </c>
      <c r="M569" s="2480">
        <f t="array" ref="M569">SUM(M$382:M$394/$M$133:$M$145*($B569=$F$132:$N$132)*($F$133:$N$145))</f>
        <v>-0.67974124692874704</v>
      </c>
      <c r="N569" s="2480">
        <f t="array" ref="N569">SUM(N$382:N$394/$M$133:$M$145*($B569=$F$132:$N$132)*($F$133:$N$145))</f>
        <v>-0.80560606060606055</v>
      </c>
      <c r="O569"/>
      <c r="W569" s="365"/>
      <c r="X569" s="365"/>
      <c r="Y569" s="365"/>
    </row>
    <row r="570" spans="2:25" s="6" customFormat="1">
      <c r="B570" s="373" t="s">
        <v>102</v>
      </c>
      <c r="C570" s="6" t="s">
        <v>92</v>
      </c>
      <c r="D570"/>
      <c r="E570" s="3801"/>
      <c r="F570" s="2480">
        <f t="array" ref="F570">SUM(F$382:F$394/$M$133:$M$145*($B570=$F$132:$N$132)*($F$133:$N$145))</f>
        <v>8.1300000000000008</v>
      </c>
      <c r="G570" s="2480">
        <f t="array" ref="G570">SUM(G$382:G$394/$M$133:$M$145*($B570=$F$132:$N$132)*($F$133:$N$145))</f>
        <v>8.3499999999999979</v>
      </c>
      <c r="H570" s="2480">
        <f t="array" ref="H570">SUM(H$382:H$394/$M$133:$M$145*($B570=$F$132:$N$132)*($F$133:$N$145))</f>
        <v>9.0225000000000026</v>
      </c>
      <c r="I570" s="2480">
        <f t="array" ref="I570">SUM(I$382:I$394/$M$133:$M$145*($B570=$F$132:$N$132)*($F$133:$N$145))</f>
        <v>9.46875</v>
      </c>
      <c r="J570" s="2480">
        <f t="array" ref="J570">SUM(J$382:J$394/$M$133:$M$145*($B570=$F$132:$N$132)*($F$133:$N$145))</f>
        <v>9.9149999999999991</v>
      </c>
      <c r="K570" s="2480">
        <f t="array" ref="K570">SUM(K$382:K$394/$M$133:$M$145*($B570=$F$132:$N$132)*($F$133:$N$145))</f>
        <v>10.36125</v>
      </c>
      <c r="L570" s="2480">
        <f t="array" ref="L570">SUM(L$382:L$394/$M$133:$M$145*($B570=$F$132:$N$132)*($F$133:$N$145))</f>
        <v>10.807499999999997</v>
      </c>
      <c r="M570" s="2480">
        <f t="array" ref="M570">SUM(M$382:M$394/$M$133:$M$145*($B570=$F$132:$N$132)*($F$133:$N$145))</f>
        <v>11.253749999999998</v>
      </c>
      <c r="N570" s="2480">
        <f t="array" ref="N570">SUM(N$382:N$394/$M$133:$M$145*($B570=$F$132:$N$132)*($F$133:$N$145))</f>
        <v>11.7</v>
      </c>
      <c r="O570"/>
      <c r="W570" s="365"/>
      <c r="X570" s="365"/>
      <c r="Y570" s="365"/>
    </row>
    <row r="571" spans="2:25" s="6" customFormat="1">
      <c r="B571" s="373" t="s">
        <v>103</v>
      </c>
      <c r="C571" s="6" t="s">
        <v>93</v>
      </c>
      <c r="D571"/>
      <c r="E571" s="3801"/>
      <c r="F571" s="2480">
        <f t="array" ref="F571">SUM(F$382:F$394/$M$133:$M$145*($B571=$F$132:$N$132)*($F$133:$N$145))</f>
        <v>0.79268563539478476</v>
      </c>
      <c r="G571" s="2480">
        <f t="array" ref="G571">SUM(G$382:G$394/$M$133:$M$145*($B571=$F$132:$N$132)*($F$133:$N$145))</f>
        <v>0.80583989170322357</v>
      </c>
      <c r="H571" s="2480">
        <f t="array" ref="H571">SUM(H$382:H$394/$M$133:$M$145*($B571=$F$132:$N$132)*($F$133:$N$145))</f>
        <v>0.84833090570492586</v>
      </c>
      <c r="I571" s="2480">
        <f t="array" ref="I571">SUM(I$382:I$394/$M$133:$M$145*($B571=$F$132:$N$132)*($F$133:$N$145))</f>
        <v>0.8667702076400472</v>
      </c>
      <c r="J571" s="2480">
        <f t="array" ref="J571">SUM(J$382:J$394/$M$133:$M$145*($B571=$F$132:$N$132)*($F$133:$N$145))</f>
        <v>0.88299268080174376</v>
      </c>
      <c r="K571" s="2480">
        <f t="array" ref="K571">SUM(K$382:K$394/$M$133:$M$145*($B571=$F$132:$N$132)*($F$133:$N$145))</f>
        <v>0.8969983251900161</v>
      </c>
      <c r="L571" s="2480">
        <f t="array" ref="L571">SUM(L$382:L$394/$M$133:$M$145*($B571=$F$132:$N$132)*($F$133:$N$145))</f>
        <v>0.90878714080486378</v>
      </c>
      <c r="M571" s="2480">
        <f t="array" ref="M571">SUM(M$382:M$394/$M$133:$M$145*($B571=$F$132:$N$132)*($F$133:$N$145))</f>
        <v>0.91835912764628702</v>
      </c>
      <c r="N571" s="2480">
        <f t="array" ref="N571">SUM(N$382:N$394/$M$133:$M$145*($B571=$F$132:$N$132)*($F$133:$N$145))</f>
        <v>0.9257142857142856</v>
      </c>
      <c r="O571"/>
      <c r="W571" s="365"/>
      <c r="X571" s="365"/>
      <c r="Y571" s="365"/>
    </row>
    <row r="572" spans="2:25" s="6" customFormat="1">
      <c r="B572" s="373"/>
      <c r="D572"/>
      <c r="E572" s="3801" t="str">
        <f>Preferences.EnergyUnits</f>
        <v>TWh</v>
      </c>
      <c r="F572" s="3584">
        <f t="shared" ref="F572:N572" si="77">SUM(F563:F571)</f>
        <v>-1.4432899320127035E-15</v>
      </c>
      <c r="G572" s="3584">
        <f t="shared" si="77"/>
        <v>0</v>
      </c>
      <c r="H572" s="3584">
        <f t="shared" si="77"/>
        <v>0</v>
      </c>
      <c r="I572" s="3584">
        <f t="shared" si="77"/>
        <v>8.8817841970012523E-16</v>
      </c>
      <c r="J572" s="3584">
        <f t="shared" si="77"/>
        <v>1.8873791418627661E-15</v>
      </c>
      <c r="K572" s="3584">
        <f t="shared" si="77"/>
        <v>0</v>
      </c>
      <c r="L572" s="3584">
        <f t="shared" si="77"/>
        <v>0</v>
      </c>
      <c r="M572" s="3584">
        <f t="shared" si="77"/>
        <v>0</v>
      </c>
      <c r="N572" s="3584">
        <f t="shared" si="77"/>
        <v>0</v>
      </c>
      <c r="O572"/>
      <c r="W572" s="365"/>
      <c r="X572" s="365"/>
      <c r="Y572" s="365"/>
    </row>
    <row r="573" spans="2:25" s="6" customFormat="1">
      <c r="B573"/>
      <c r="C573"/>
      <c r="D573"/>
      <c r="E573" s="3801"/>
      <c r="F573" s="365"/>
      <c r="G573"/>
      <c r="H573"/>
      <c r="I573"/>
      <c r="J573"/>
      <c r="K573"/>
      <c r="L573"/>
      <c r="M573"/>
      <c r="N573"/>
      <c r="O573"/>
      <c r="W573" s="365"/>
      <c r="X573" s="365"/>
      <c r="Y573" s="365"/>
    </row>
    <row r="574" spans="2:25" s="6" customFormat="1">
      <c r="B574"/>
      <c r="C574" s="354" t="s">
        <v>280</v>
      </c>
      <c r="D574"/>
      <c r="F574" s="1321">
        <v>2013</v>
      </c>
      <c r="G574" s="1321">
        <v>2015</v>
      </c>
      <c r="H574" s="1321">
        <v>2020</v>
      </c>
      <c r="I574" s="1321">
        <v>2025</v>
      </c>
      <c r="J574" s="1321">
        <v>2030</v>
      </c>
      <c r="K574" s="1321">
        <v>2035</v>
      </c>
      <c r="L574" s="1321">
        <v>2040</v>
      </c>
      <c r="M574" s="1321">
        <v>2045</v>
      </c>
      <c r="N574" s="1321">
        <v>2050</v>
      </c>
      <c r="O574"/>
      <c r="W574" s="365"/>
      <c r="X574" s="365"/>
      <c r="Y574" s="365"/>
    </row>
    <row r="575" spans="2:25" s="6" customFormat="1">
      <c r="B575" s="373" t="s">
        <v>95</v>
      </c>
      <c r="C575" s="6" t="s">
        <v>85</v>
      </c>
      <c r="D575"/>
      <c r="E575" s="3801"/>
      <c r="F575" s="2480">
        <f t="shared" ref="F575:N575" si="78">(F563-F399)*Conversion.to.average.power</f>
        <v>-3.4349887190409501E-4</v>
      </c>
      <c r="G575" s="2480">
        <f t="shared" si="78"/>
        <v>-4.3557495645105902E-4</v>
      </c>
      <c r="H575" s="2480">
        <f t="shared" si="78"/>
        <v>-6.9427568785878995E-4</v>
      </c>
      <c r="I575" s="2480">
        <f t="shared" si="78"/>
        <v>-9.6329451223356856E-4</v>
      </c>
      <c r="J575" s="2480">
        <f t="shared" si="78"/>
        <v>-1.2544336851318064E-3</v>
      </c>
      <c r="K575" s="2480">
        <f t="shared" si="78"/>
        <v>-1.567693206553554E-3</v>
      </c>
      <c r="L575" s="2480">
        <f t="shared" si="78"/>
        <v>-1.9030730764988115E-3</v>
      </c>
      <c r="M575" s="2480">
        <f t="shared" si="78"/>
        <v>-2.2605732949675535E-3</v>
      </c>
      <c r="N575" s="2480">
        <f t="shared" si="78"/>
        <v>-2.6401938619597548E-3</v>
      </c>
      <c r="O575"/>
      <c r="W575" s="365"/>
      <c r="X575" s="365"/>
      <c r="Y575" s="365"/>
    </row>
    <row r="576" spans="2:25" s="6" customFormat="1">
      <c r="B576" s="373" t="s">
        <v>96</v>
      </c>
      <c r="C576" s="6" t="s">
        <v>86</v>
      </c>
      <c r="D576"/>
      <c r="E576" s="3801"/>
      <c r="F576" s="2480">
        <f t="shared" ref="F576:N576" si="79">(F564-F400)*Conversion.to.average.power</f>
        <v>0</v>
      </c>
      <c r="G576" s="2480">
        <f t="shared" si="79"/>
        <v>0</v>
      </c>
      <c r="H576" s="2480">
        <f t="shared" si="79"/>
        <v>0</v>
      </c>
      <c r="I576" s="2480">
        <f t="shared" si="79"/>
        <v>0</v>
      </c>
      <c r="J576" s="2480">
        <f t="shared" si="79"/>
        <v>0</v>
      </c>
      <c r="K576" s="2480">
        <f t="shared" si="79"/>
        <v>0</v>
      </c>
      <c r="L576" s="2480">
        <f t="shared" si="79"/>
        <v>0</v>
      </c>
      <c r="M576" s="2480">
        <f t="shared" si="79"/>
        <v>0</v>
      </c>
      <c r="N576" s="2480">
        <f t="shared" si="79"/>
        <v>0</v>
      </c>
      <c r="O576"/>
      <c r="W576" s="365"/>
      <c r="X576" s="365"/>
      <c r="Y576" s="365"/>
    </row>
    <row r="577" spans="2:25" s="6" customFormat="1">
      <c r="B577" s="373" t="s">
        <v>97</v>
      </c>
      <c r="C577" s="6" t="s">
        <v>87</v>
      </c>
      <c r="D577"/>
      <c r="E577" s="3801"/>
      <c r="F577" s="2480">
        <f t="shared" ref="F577:N577" si="80">(F565-F401)*Conversion.to.average.power</f>
        <v>0</v>
      </c>
      <c r="G577" s="2480">
        <f t="shared" si="80"/>
        <v>0</v>
      </c>
      <c r="H577" s="2480">
        <f t="shared" si="80"/>
        <v>0</v>
      </c>
      <c r="I577" s="2480">
        <f t="shared" si="80"/>
        <v>0</v>
      </c>
      <c r="J577" s="2480">
        <f t="shared" si="80"/>
        <v>0</v>
      </c>
      <c r="K577" s="2480">
        <f t="shared" si="80"/>
        <v>0</v>
      </c>
      <c r="L577" s="2480">
        <f t="shared" si="80"/>
        <v>0</v>
      </c>
      <c r="M577" s="2480">
        <f t="shared" si="80"/>
        <v>0</v>
      </c>
      <c r="N577" s="2480">
        <f t="shared" si="80"/>
        <v>0</v>
      </c>
      <c r="O577"/>
      <c r="W577" s="365"/>
      <c r="X577" s="365"/>
      <c r="Y577" s="365"/>
    </row>
    <row r="578" spans="2:25" s="6" customFormat="1">
      <c r="B578" s="373" t="s">
        <v>98</v>
      </c>
      <c r="C578" s="6" t="s">
        <v>88</v>
      </c>
      <c r="D578"/>
      <c r="E578" s="3801"/>
      <c r="F578" s="2480">
        <f t="shared" ref="F578:N578" si="81">(F566-F402)*Conversion.to.average.power</f>
        <v>0</v>
      </c>
      <c r="G578" s="2480">
        <f t="shared" si="81"/>
        <v>0</v>
      </c>
      <c r="H578" s="2480">
        <f t="shared" si="81"/>
        <v>0</v>
      </c>
      <c r="I578" s="2480">
        <f t="shared" si="81"/>
        <v>0</v>
      </c>
      <c r="J578" s="2480">
        <f t="shared" si="81"/>
        <v>0</v>
      </c>
      <c r="K578" s="2480">
        <f t="shared" si="81"/>
        <v>0</v>
      </c>
      <c r="L578" s="2480">
        <f t="shared" si="81"/>
        <v>0</v>
      </c>
      <c r="M578" s="2480">
        <f t="shared" si="81"/>
        <v>0</v>
      </c>
      <c r="N578" s="2480">
        <f t="shared" si="81"/>
        <v>0</v>
      </c>
      <c r="O578"/>
      <c r="W578" s="365"/>
      <c r="X578" s="365"/>
      <c r="Y578" s="365"/>
    </row>
    <row r="579" spans="2:25" s="6" customFormat="1">
      <c r="B579" s="373" t="s">
        <v>99</v>
      </c>
      <c r="C579" s="6" t="s">
        <v>89</v>
      </c>
      <c r="D579"/>
      <c r="E579" s="3801"/>
      <c r="F579" s="2480">
        <f t="shared" ref="F579:N579" si="82">(F567-F403)*Conversion.to.average.power</f>
        <v>0</v>
      </c>
      <c r="G579" s="2480">
        <f t="shared" si="82"/>
        <v>0</v>
      </c>
      <c r="H579" s="2480">
        <f t="shared" si="82"/>
        <v>0</v>
      </c>
      <c r="I579" s="2480">
        <f t="shared" si="82"/>
        <v>0</v>
      </c>
      <c r="J579" s="2480">
        <f t="shared" si="82"/>
        <v>0</v>
      </c>
      <c r="K579" s="2480">
        <f t="shared" si="82"/>
        <v>0</v>
      </c>
      <c r="L579" s="2480">
        <f t="shared" si="82"/>
        <v>0</v>
      </c>
      <c r="M579" s="2480">
        <f t="shared" si="82"/>
        <v>0</v>
      </c>
      <c r="N579" s="2480">
        <f t="shared" si="82"/>
        <v>0</v>
      </c>
      <c r="O579"/>
      <c r="W579" s="365"/>
      <c r="X579" s="365"/>
      <c r="Y579" s="365"/>
    </row>
    <row r="580" spans="2:25" s="6" customFormat="1">
      <c r="B580" s="373" t="s">
        <v>100</v>
      </c>
      <c r="C580" s="6" t="s">
        <v>90</v>
      </c>
      <c r="D580"/>
      <c r="E580" s="3801"/>
      <c r="F580" s="2480">
        <f t="shared" ref="F580:N580" si="83">(F568-F404)*Conversion.to.average.power</f>
        <v>0</v>
      </c>
      <c r="G580" s="2480">
        <f t="shared" si="83"/>
        <v>0</v>
      </c>
      <c r="H580" s="2480">
        <f t="shared" si="83"/>
        <v>0</v>
      </c>
      <c r="I580" s="2480">
        <f t="shared" si="83"/>
        <v>0</v>
      </c>
      <c r="J580" s="2480">
        <f t="shared" si="83"/>
        <v>0</v>
      </c>
      <c r="K580" s="2480">
        <f t="shared" si="83"/>
        <v>0</v>
      </c>
      <c r="L580" s="2480">
        <f t="shared" si="83"/>
        <v>0</v>
      </c>
      <c r="M580" s="2480">
        <f t="shared" si="83"/>
        <v>0</v>
      </c>
      <c r="N580" s="2480">
        <f t="shared" si="83"/>
        <v>0</v>
      </c>
      <c r="O580"/>
      <c r="W580" s="365"/>
      <c r="X580" s="365"/>
      <c r="Y580" s="365"/>
    </row>
    <row r="581" spans="2:25" s="6" customFormat="1">
      <c r="B581" s="373" t="s">
        <v>101</v>
      </c>
      <c r="C581" s="6" t="s">
        <v>91</v>
      </c>
      <c r="D581"/>
      <c r="E581" s="3801"/>
      <c r="F581" s="2480">
        <f t="shared" ref="F581:N581" si="84">(F569-F405)*Conversion.to.average.power</f>
        <v>3.4349887190407365E-4</v>
      </c>
      <c r="G581" s="2480">
        <f t="shared" si="84"/>
        <v>4.3557495645107013E-4</v>
      </c>
      <c r="H581" s="2480">
        <f t="shared" si="84"/>
        <v>6.9427568785885012E-4</v>
      </c>
      <c r="I581" s="2480">
        <f t="shared" si="84"/>
        <v>9.6329451223359393E-4</v>
      </c>
      <c r="J581" s="2480">
        <f t="shared" si="84"/>
        <v>1.2544336851318381E-3</v>
      </c>
      <c r="K581" s="2480">
        <f t="shared" si="84"/>
        <v>1.5676932065535666E-3</v>
      </c>
      <c r="L581" s="2480">
        <f t="shared" si="84"/>
        <v>1.903073076498799E-3</v>
      </c>
      <c r="M581" s="2480">
        <f t="shared" si="84"/>
        <v>2.2605732949675409E-3</v>
      </c>
      <c r="N581" s="2480">
        <f t="shared" si="84"/>
        <v>2.6401938619597678E-3</v>
      </c>
      <c r="O581"/>
      <c r="W581" s="365"/>
      <c r="X581" s="365"/>
      <c r="Y581" s="365"/>
    </row>
    <row r="582" spans="2:25" s="6" customFormat="1">
      <c r="B582" s="373" t="s">
        <v>102</v>
      </c>
      <c r="C582" s="6" t="s">
        <v>92</v>
      </c>
      <c r="D582"/>
      <c r="E582" s="3801"/>
      <c r="F582" s="2480">
        <f t="shared" ref="F582:N582" si="85">(F570-F406)*Conversion.to.average.power</f>
        <v>0</v>
      </c>
      <c r="G582" s="2480">
        <f t="shared" si="85"/>
        <v>0</v>
      </c>
      <c r="H582" s="2480">
        <f t="shared" si="85"/>
        <v>0</v>
      </c>
      <c r="I582" s="2480">
        <f t="shared" si="85"/>
        <v>0</v>
      </c>
      <c r="J582" s="2480">
        <f t="shared" si="85"/>
        <v>0</v>
      </c>
      <c r="K582" s="2480">
        <f t="shared" si="85"/>
        <v>0</v>
      </c>
      <c r="L582" s="2480">
        <f t="shared" si="85"/>
        <v>0</v>
      </c>
      <c r="M582" s="2480">
        <f t="shared" si="85"/>
        <v>0</v>
      </c>
      <c r="N582" s="2480">
        <f t="shared" si="85"/>
        <v>0</v>
      </c>
      <c r="O582"/>
      <c r="W582" s="365"/>
      <c r="X582" s="365"/>
      <c r="Y582" s="365"/>
    </row>
    <row r="583" spans="2:25" s="6" customFormat="1">
      <c r="B583" s="373" t="s">
        <v>103</v>
      </c>
      <c r="C583" s="6" t="s">
        <v>93</v>
      </c>
      <c r="D583"/>
      <c r="E583" s="3801"/>
      <c r="F583" s="2480">
        <f t="shared" ref="F583:N583" si="86">(F571-F407)*Conversion.to.average.power</f>
        <v>0</v>
      </c>
      <c r="G583" s="2480">
        <f t="shared" si="86"/>
        <v>0</v>
      </c>
      <c r="H583" s="2480">
        <f t="shared" si="86"/>
        <v>0</v>
      </c>
      <c r="I583" s="2480">
        <f t="shared" si="86"/>
        <v>0</v>
      </c>
      <c r="J583" s="2480">
        <f t="shared" si="86"/>
        <v>0</v>
      </c>
      <c r="K583" s="2480">
        <f t="shared" si="86"/>
        <v>0</v>
      </c>
      <c r="L583" s="2480">
        <f t="shared" si="86"/>
        <v>0</v>
      </c>
      <c r="M583" s="2480">
        <f t="shared" si="86"/>
        <v>0</v>
      </c>
      <c r="N583" s="2480">
        <f t="shared" si="86"/>
        <v>0</v>
      </c>
      <c r="O583"/>
      <c r="W583" s="365"/>
      <c r="X583" s="365"/>
      <c r="Y583" s="365"/>
    </row>
    <row r="584" spans="2:25" s="6" customFormat="1">
      <c r="B584" s="373"/>
      <c r="D584"/>
      <c r="E584" s="3801" t="str">
        <f>Preferences.PowerUnits</f>
        <v>GW</v>
      </c>
      <c r="F584" s="3584">
        <f t="shared" ref="F584:N584" si="87">SUM(F575:F583)</f>
        <v>-2.1358782797964437E-17</v>
      </c>
      <c r="G584" s="3584">
        <f t="shared" si="87"/>
        <v>1.111307226797642E-17</v>
      </c>
      <c r="H584" s="3584">
        <f t="shared" si="87"/>
        <v>6.0173220572945496E-17</v>
      </c>
      <c r="I584" s="3584">
        <f t="shared" si="87"/>
        <v>2.5370330836160804E-17</v>
      </c>
      <c r="J584" s="3584">
        <f t="shared" si="87"/>
        <v>3.1658703436576729E-17</v>
      </c>
      <c r="K584" s="3584">
        <f t="shared" si="87"/>
        <v>1.2576745200831851E-17</v>
      </c>
      <c r="L584" s="3584">
        <f t="shared" si="87"/>
        <v>-1.2576745200831851E-17</v>
      </c>
      <c r="M584" s="3584">
        <f t="shared" si="87"/>
        <v>-1.2576745200831851E-17</v>
      </c>
      <c r="N584" s="3584">
        <f t="shared" si="87"/>
        <v>1.3010426069826053E-17</v>
      </c>
      <c r="O584"/>
      <c r="W584" s="365"/>
      <c r="X584" s="365"/>
      <c r="Y584" s="365"/>
    </row>
    <row r="585" spans="2:25" s="6" customFormat="1">
      <c r="B585"/>
      <c r="C585"/>
      <c r="D585"/>
      <c r="E585" s="3801"/>
      <c r="F585" s="365"/>
      <c r="G585"/>
      <c r="H585"/>
      <c r="I585"/>
      <c r="J585"/>
      <c r="K585"/>
      <c r="L585"/>
      <c r="M585"/>
      <c r="N585"/>
      <c r="O585"/>
      <c r="W585" s="365"/>
      <c r="X585" s="365"/>
      <c r="Y585" s="365"/>
    </row>
    <row r="586" spans="2:25" s="6" customFormat="1">
      <c r="B586"/>
      <c r="C586" t="s">
        <v>281</v>
      </c>
      <c r="D586"/>
      <c r="E586" s="1322" t="str">
        <f>Preferences.PowerUnits&amp;"e"</f>
        <v>GWe</v>
      </c>
      <c r="F586" s="2480">
        <f t="shared" ref="F586:N586" si="88">-SUM(F551:F552)-SUM(F575:F576)+F536</f>
        <v>-0.11364298932745198</v>
      </c>
      <c r="G586" s="2480">
        <f t="shared" si="88"/>
        <v>-0.13634056971953387</v>
      </c>
      <c r="H586" s="2480">
        <f t="shared" si="88"/>
        <v>-0.17023859639148828</v>
      </c>
      <c r="I586" s="2480">
        <f t="shared" si="88"/>
        <v>-0.19841811508478177</v>
      </c>
      <c r="J586" s="2480">
        <f t="shared" si="88"/>
        <v>-0.22656961700567682</v>
      </c>
      <c r="K586" s="2480">
        <f t="shared" si="88"/>
        <v>-0.25469310215417335</v>
      </c>
      <c r="L586" s="2480">
        <f t="shared" si="88"/>
        <v>-0.2827885705302714</v>
      </c>
      <c r="M586" s="2480">
        <f t="shared" si="88"/>
        <v>-0.31085602213397096</v>
      </c>
      <c r="N586" s="2480">
        <f t="shared" si="88"/>
        <v>-0.33889545696527212</v>
      </c>
      <c r="O586"/>
      <c r="W586" s="365"/>
      <c r="X586" s="365"/>
      <c r="Y586" s="365"/>
    </row>
    <row r="587" spans="2:25" s="6" customFormat="1">
      <c r="B587"/>
      <c r="C587"/>
      <c r="D587"/>
      <c r="E587" s="3801"/>
      <c r="F587" s="365"/>
      <c r="G587"/>
      <c r="H587"/>
      <c r="I587"/>
      <c r="J587"/>
      <c r="K587"/>
      <c r="L587"/>
      <c r="M587"/>
      <c r="N587"/>
      <c r="O587"/>
      <c r="W587" s="365"/>
      <c r="X587" s="365"/>
      <c r="Y587" s="365"/>
    </row>
    <row r="588" spans="2:25" s="6" customFormat="1">
      <c r="B588" s="354" t="s">
        <v>269</v>
      </c>
      <c r="C588" s="354" t="s">
        <v>964</v>
      </c>
      <c r="D588"/>
      <c r="E588" s="3801"/>
      <c r="F588" s="365"/>
      <c r="G588"/>
      <c r="H588"/>
      <c r="I588"/>
      <c r="J588"/>
      <c r="K588"/>
      <c r="L588"/>
      <c r="M588"/>
      <c r="N588"/>
      <c r="O588"/>
      <c r="W588" s="365"/>
      <c r="X588" s="365"/>
      <c r="Y588" s="365"/>
    </row>
    <row r="589" spans="2:25" s="6" customFormat="1">
      <c r="B589"/>
      <c r="C589"/>
      <c r="D589"/>
      <c r="E589" s="3801"/>
      <c r="F589" s="1321">
        <v>2013</v>
      </c>
      <c r="G589" s="1321">
        <v>2015</v>
      </c>
      <c r="H589" s="1321">
        <v>2020</v>
      </c>
      <c r="I589" s="1321">
        <v>2025</v>
      </c>
      <c r="J589" s="1321">
        <v>2030</v>
      </c>
      <c r="K589" s="1321">
        <v>2035</v>
      </c>
      <c r="L589" s="1321">
        <v>2040</v>
      </c>
      <c r="M589" s="1321">
        <v>2045</v>
      </c>
      <c r="N589" s="1321">
        <v>2050</v>
      </c>
      <c r="O589"/>
      <c r="W589" s="365"/>
      <c r="X589" s="365"/>
      <c r="Y589" s="365"/>
    </row>
    <row r="590" spans="2:25" s="6" customFormat="1">
      <c r="B590"/>
      <c r="C590" t="s">
        <v>282</v>
      </c>
      <c r="D590"/>
      <c r="E590" s="3801" t="str">
        <f>Preferences.PowerUnits&amp;"th/degree"</f>
        <v>GWth/degree</v>
      </c>
      <c r="F590" s="2480">
        <f t="shared" ref="F590:N590" si="89">$E$86*(F381/F31)</f>
        <v>1</v>
      </c>
      <c r="G590" s="2480">
        <f t="shared" si="89"/>
        <v>1</v>
      </c>
      <c r="H590" s="2480">
        <f t="shared" si="89"/>
        <v>1</v>
      </c>
      <c r="I590" s="2480">
        <f t="shared" si="89"/>
        <v>1</v>
      </c>
      <c r="J590" s="2480">
        <f t="shared" si="89"/>
        <v>1</v>
      </c>
      <c r="K590" s="2480">
        <f t="shared" si="89"/>
        <v>1</v>
      </c>
      <c r="L590" s="2480">
        <f t="shared" si="89"/>
        <v>1</v>
      </c>
      <c r="M590" s="2480">
        <f t="shared" si="89"/>
        <v>1</v>
      </c>
      <c r="N590" s="2480">
        <f t="shared" si="89"/>
        <v>1</v>
      </c>
      <c r="O590"/>
      <c r="W590" s="365"/>
      <c r="X590" s="365"/>
      <c r="Y590" s="365"/>
    </row>
    <row r="591" spans="2:25" s="6" customFormat="1">
      <c r="B591"/>
      <c r="C591"/>
      <c r="D591"/>
      <c r="E591" s="3801"/>
      <c r="F591" s="365"/>
      <c r="G591"/>
      <c r="H591"/>
      <c r="I591"/>
      <c r="J591"/>
      <c r="K591"/>
      <c r="L591"/>
      <c r="M591"/>
      <c r="N591"/>
      <c r="O591"/>
      <c r="W591" s="365"/>
      <c r="X591" s="365"/>
      <c r="Y591" s="365"/>
    </row>
    <row r="592" spans="2:25" s="6" customFormat="1">
      <c r="B592"/>
      <c r="C592" s="354" t="s">
        <v>275</v>
      </c>
      <c r="D592"/>
      <c r="E592" s="3801"/>
      <c r="F592" s="1321">
        <v>2013</v>
      </c>
      <c r="G592" s="1321">
        <v>2015</v>
      </c>
      <c r="H592" s="1321">
        <v>2020</v>
      </c>
      <c r="I592" s="1321">
        <v>2025</v>
      </c>
      <c r="J592" s="1321">
        <v>2030</v>
      </c>
      <c r="K592" s="1321">
        <v>2035</v>
      </c>
      <c r="L592" s="1321">
        <v>2040</v>
      </c>
      <c r="M592" s="1321">
        <v>2045</v>
      </c>
      <c r="N592" s="1321">
        <v>2050</v>
      </c>
      <c r="O592"/>
      <c r="W592" s="365"/>
      <c r="X592" s="365"/>
      <c r="Y592" s="365"/>
    </row>
    <row r="593" spans="2:25" s="6" customFormat="1">
      <c r="B593">
        <v>1</v>
      </c>
      <c r="C593" t="s">
        <v>45</v>
      </c>
      <c r="D593" s="373"/>
      <c r="E593" s="3801"/>
      <c r="F593" s="2349">
        <f t="array" ref="F593:F605">F$590*E$317:E$329</f>
        <v>0.2</v>
      </c>
      <c r="G593" s="2349">
        <f t="array" ref="G593:G605">G$590*F$317:F$329</f>
        <v>0.1891891891891892</v>
      </c>
      <c r="H593" s="2349">
        <f t="array" ref="H593:H605">H$590*G$317:G$329</f>
        <v>0.16216216216216217</v>
      </c>
      <c r="I593" s="2349">
        <f t="array" ref="I593:I605">I$590*H$317:H$329</f>
        <v>0.13513513513513514</v>
      </c>
      <c r="J593" s="2349">
        <f t="array" ref="J593:J605">J$590*I$317:I$329</f>
        <v>0.10810810810810811</v>
      </c>
      <c r="K593" s="2349">
        <f t="array" ref="K593:K605">K$590*J$317:J$329</f>
        <v>8.1081081081081086E-2</v>
      </c>
      <c r="L593" s="2349">
        <f t="array" ref="L593:L605">L$590*K$317:K$329</f>
        <v>5.4054054054054057E-2</v>
      </c>
      <c r="M593" s="2349">
        <f t="array" ref="M593:M605">M$590*L$317:L$329</f>
        <v>2.7027027027027029E-2</v>
      </c>
      <c r="N593" s="2349">
        <f t="array" ref="N593:N605">N$590*M$317:M$329</f>
        <v>0</v>
      </c>
      <c r="O593"/>
      <c r="W593" s="365"/>
      <c r="X593" s="365"/>
      <c r="Y593" s="365"/>
    </row>
    <row r="594" spans="2:25" s="6" customFormat="1">
      <c r="B594">
        <v>2</v>
      </c>
      <c r="C594" t="s">
        <v>46</v>
      </c>
      <c r="D594" s="373"/>
      <c r="E594" s="3801"/>
      <c r="F594" s="2349">
        <v>0.23</v>
      </c>
      <c r="G594" s="2349">
        <v>0.26081081081081081</v>
      </c>
      <c r="H594" s="2349">
        <v>0.33783783783783783</v>
      </c>
      <c r="I594" s="2349">
        <v>0.41486486486486485</v>
      </c>
      <c r="J594" s="2349">
        <v>0.49189189189189186</v>
      </c>
      <c r="K594" s="2349">
        <v>0.56891891891891888</v>
      </c>
      <c r="L594" s="2349">
        <v>0.6459459459459459</v>
      </c>
      <c r="M594" s="2349">
        <v>0.72297297297297292</v>
      </c>
      <c r="N594" s="2349">
        <v>0.8</v>
      </c>
      <c r="O594"/>
      <c r="W594" s="365"/>
      <c r="X594" s="365"/>
      <c r="Y594" s="365"/>
    </row>
    <row r="595" spans="2:25" s="6" customFormat="1">
      <c r="B595" s="354">
        <v>3</v>
      </c>
      <c r="C595" t="s">
        <v>47</v>
      </c>
      <c r="D595" s="373"/>
      <c r="E595" s="3801"/>
      <c r="F595" s="2349">
        <v>0.3</v>
      </c>
      <c r="G595" s="2349">
        <v>0.28918918918918918</v>
      </c>
      <c r="H595" s="2349">
        <v>0.26216216216216215</v>
      </c>
      <c r="I595" s="2349">
        <v>0.23513513513513512</v>
      </c>
      <c r="J595" s="2349">
        <v>0.20810810810810809</v>
      </c>
      <c r="K595" s="2349">
        <v>0.18108108108108106</v>
      </c>
      <c r="L595" s="2349">
        <v>0.15405405405405403</v>
      </c>
      <c r="M595" s="2349">
        <v>0.12702702702702701</v>
      </c>
      <c r="N595" s="2349">
        <v>0.1</v>
      </c>
      <c r="O595"/>
      <c r="W595" s="365"/>
      <c r="X595" s="365"/>
      <c r="Y595" s="365"/>
    </row>
    <row r="596" spans="2:25" s="6" customFormat="1">
      <c r="B596">
        <v>4</v>
      </c>
      <c r="C596" t="s">
        <v>48</v>
      </c>
      <c r="D596" s="373"/>
      <c r="E596" s="3801"/>
      <c r="F596" s="2349">
        <v>0.23</v>
      </c>
      <c r="G596" s="2349">
        <v>0.21756756756756757</v>
      </c>
      <c r="H596" s="2349">
        <v>0.18648648648648647</v>
      </c>
      <c r="I596" s="2349">
        <v>0.15540540540540537</v>
      </c>
      <c r="J596" s="2349">
        <v>0.12432432432432429</v>
      </c>
      <c r="K596" s="2349">
        <v>9.3243243243243207E-2</v>
      </c>
      <c r="L596" s="2349">
        <v>6.2162162162162124E-2</v>
      </c>
      <c r="M596" s="2349">
        <v>3.1081081081081041E-2</v>
      </c>
      <c r="N596" s="2349">
        <v>0</v>
      </c>
      <c r="O596"/>
      <c r="W596" s="365"/>
      <c r="X596" s="365"/>
      <c r="Y596" s="365"/>
    </row>
    <row r="597" spans="2:25" s="6" customFormat="1">
      <c r="B597">
        <v>5</v>
      </c>
      <c r="C597" t="s">
        <v>49</v>
      </c>
      <c r="D597" s="373"/>
      <c r="E597" s="3801"/>
      <c r="F597" s="2349">
        <v>0.03</v>
      </c>
      <c r="G597" s="2349">
        <v>2.8378378378378376E-2</v>
      </c>
      <c r="H597" s="2349">
        <v>2.4324324324324322E-2</v>
      </c>
      <c r="I597" s="2349">
        <v>2.0270270270270268E-2</v>
      </c>
      <c r="J597" s="2349">
        <v>1.6216216216216214E-2</v>
      </c>
      <c r="K597" s="2349">
        <v>1.2162162162162159E-2</v>
      </c>
      <c r="L597" s="2349">
        <v>8.1081081081081051E-3</v>
      </c>
      <c r="M597" s="2349">
        <v>4.0540540540540508E-3</v>
      </c>
      <c r="N597" s="2349">
        <v>0</v>
      </c>
      <c r="O597"/>
      <c r="W597" s="365"/>
      <c r="X597" s="365"/>
      <c r="Y597" s="365"/>
    </row>
    <row r="598" spans="2:25" s="6" customFormat="1">
      <c r="B598">
        <v>6</v>
      </c>
      <c r="C598" t="s">
        <v>50</v>
      </c>
      <c r="D598" s="373"/>
      <c r="E598" s="3801"/>
      <c r="F598" s="2349">
        <v>0</v>
      </c>
      <c r="G598" s="2349">
        <v>0</v>
      </c>
      <c r="H598" s="2349">
        <v>0</v>
      </c>
      <c r="I598" s="2349">
        <v>0</v>
      </c>
      <c r="J598" s="2349">
        <v>0</v>
      </c>
      <c r="K598" s="2349">
        <v>0</v>
      </c>
      <c r="L598" s="2349">
        <v>0</v>
      </c>
      <c r="M598" s="2349">
        <v>0</v>
      </c>
      <c r="N598" s="2349">
        <v>0</v>
      </c>
      <c r="O598"/>
      <c r="W598" s="365"/>
      <c r="X598" s="365"/>
      <c r="Y598" s="365"/>
    </row>
    <row r="599" spans="2:25" s="6" customFormat="1">
      <c r="B599">
        <v>7</v>
      </c>
      <c r="C599" t="s">
        <v>51</v>
      </c>
      <c r="D599" s="373"/>
      <c r="E599" s="3801"/>
      <c r="F599" s="2349">
        <v>0</v>
      </c>
      <c r="G599" s="2349">
        <v>0</v>
      </c>
      <c r="H599" s="2349">
        <v>0</v>
      </c>
      <c r="I599" s="2349">
        <v>0</v>
      </c>
      <c r="J599" s="2349">
        <v>0</v>
      </c>
      <c r="K599" s="2349">
        <v>0</v>
      </c>
      <c r="L599" s="2349">
        <v>0</v>
      </c>
      <c r="M599" s="2349">
        <v>0</v>
      </c>
      <c r="N599" s="2349">
        <v>0</v>
      </c>
      <c r="O599"/>
      <c r="W599" s="365"/>
      <c r="X599" s="365"/>
      <c r="Y599" s="365"/>
    </row>
    <row r="600" spans="2:25" s="6" customFormat="1">
      <c r="B600">
        <v>8</v>
      </c>
      <c r="C600" t="s">
        <v>52</v>
      </c>
      <c r="D600" s="373"/>
      <c r="E600" s="3801"/>
      <c r="F600" s="2349">
        <v>0.01</v>
      </c>
      <c r="G600" s="2349">
        <v>1.2162162162162163E-2</v>
      </c>
      <c r="H600" s="2349">
        <v>1.7567567567567569E-2</v>
      </c>
      <c r="I600" s="2349">
        <v>2.2972972972972974E-2</v>
      </c>
      <c r="J600" s="2349">
        <v>2.837837837837838E-2</v>
      </c>
      <c r="K600" s="2349">
        <v>3.3783783783783786E-2</v>
      </c>
      <c r="L600" s="2349">
        <v>3.9189189189189191E-2</v>
      </c>
      <c r="M600" s="2349">
        <v>4.4594594594594597E-2</v>
      </c>
      <c r="N600" s="2349">
        <v>0.05</v>
      </c>
      <c r="O600"/>
      <c r="W600" s="365"/>
      <c r="X600" s="365"/>
      <c r="Y600" s="365"/>
    </row>
    <row r="601" spans="2:25" s="6" customFormat="1">
      <c r="B601">
        <v>9</v>
      </c>
      <c r="C601" t="s">
        <v>53</v>
      </c>
      <c r="D601" s="373"/>
      <c r="E601" s="3801"/>
      <c r="F601" s="2349">
        <v>0</v>
      </c>
      <c r="G601" s="2349">
        <v>2.7027027027027029E-3</v>
      </c>
      <c r="H601" s="2349">
        <v>9.45945945945946E-3</v>
      </c>
      <c r="I601" s="2349">
        <v>1.6216216216216217E-2</v>
      </c>
      <c r="J601" s="2349">
        <v>2.2972972972972974E-2</v>
      </c>
      <c r="K601" s="2349">
        <v>2.9729729729729731E-2</v>
      </c>
      <c r="L601" s="2349">
        <v>3.6486486486486489E-2</v>
      </c>
      <c r="M601" s="2349">
        <v>4.3243243243243246E-2</v>
      </c>
      <c r="N601" s="2349">
        <v>0.05</v>
      </c>
      <c r="O601"/>
      <c r="W601" s="365"/>
      <c r="X601" s="365"/>
      <c r="Y601" s="365"/>
    </row>
    <row r="602" spans="2:25" s="6" customFormat="1">
      <c r="B602">
        <v>10</v>
      </c>
      <c r="C602" t="s">
        <v>54</v>
      </c>
      <c r="D602" s="373"/>
      <c r="E602" s="3801"/>
      <c r="F602" s="2349">
        <v>0</v>
      </c>
      <c r="G602" s="2349">
        <v>0</v>
      </c>
      <c r="H602" s="2349">
        <v>0</v>
      </c>
      <c r="I602" s="2349">
        <v>0</v>
      </c>
      <c r="J602" s="2349">
        <v>0</v>
      </c>
      <c r="K602" s="2349">
        <v>0</v>
      </c>
      <c r="L602" s="2349">
        <v>0</v>
      </c>
      <c r="M602" s="2349">
        <v>0</v>
      </c>
      <c r="N602" s="2349">
        <v>0</v>
      </c>
      <c r="O602"/>
      <c r="W602" s="365"/>
      <c r="X602" s="365"/>
      <c r="Y602" s="365"/>
    </row>
    <row r="603" spans="2:25" s="6" customFormat="1">
      <c r="B603">
        <v>11</v>
      </c>
      <c r="C603" t="s">
        <v>55</v>
      </c>
      <c r="D603" s="373"/>
      <c r="E603" s="3801"/>
      <c r="F603" s="2349">
        <v>0</v>
      </c>
      <c r="G603" s="2349">
        <v>0</v>
      </c>
      <c r="H603" s="2349">
        <v>0</v>
      </c>
      <c r="I603" s="2349">
        <v>0</v>
      </c>
      <c r="J603" s="2349">
        <v>0</v>
      </c>
      <c r="K603" s="2349">
        <v>0</v>
      </c>
      <c r="L603" s="2349">
        <v>0</v>
      </c>
      <c r="M603" s="2349">
        <v>0</v>
      </c>
      <c r="N603" s="2349">
        <v>0</v>
      </c>
      <c r="O603"/>
      <c r="W603" s="365"/>
      <c r="X603" s="365"/>
      <c r="Y603" s="365"/>
    </row>
    <row r="604" spans="2:25" s="6" customFormat="1">
      <c r="B604">
        <v>12</v>
      </c>
      <c r="C604" t="s">
        <v>56</v>
      </c>
      <c r="D604" s="373"/>
      <c r="E604" s="3801"/>
      <c r="F604" s="2349">
        <v>0</v>
      </c>
      <c r="G604" s="2349">
        <v>0</v>
      </c>
      <c r="H604" s="2349">
        <v>0</v>
      </c>
      <c r="I604" s="2349">
        <v>0</v>
      </c>
      <c r="J604" s="2349">
        <v>0</v>
      </c>
      <c r="K604" s="2349">
        <v>0</v>
      </c>
      <c r="L604" s="2349">
        <v>0</v>
      </c>
      <c r="M604" s="2349">
        <v>0</v>
      </c>
      <c r="N604" s="2349">
        <v>0</v>
      </c>
      <c r="O604"/>
      <c r="W604" s="365"/>
      <c r="X604" s="365"/>
      <c r="Y604" s="365"/>
    </row>
    <row r="605" spans="2:25" s="6" customFormat="1">
      <c r="B605">
        <v>13</v>
      </c>
      <c r="C605" t="s">
        <v>57</v>
      </c>
      <c r="D605" s="373"/>
      <c r="E605" s="3801"/>
      <c r="F605" s="2349">
        <v>0</v>
      </c>
      <c r="G605" s="2349">
        <v>0</v>
      </c>
      <c r="H605" s="2349">
        <v>0</v>
      </c>
      <c r="I605" s="2349">
        <v>0</v>
      </c>
      <c r="J605" s="2349">
        <v>0</v>
      </c>
      <c r="K605" s="2349">
        <v>0</v>
      </c>
      <c r="L605" s="2349">
        <v>0</v>
      </c>
      <c r="M605" s="2349">
        <v>0</v>
      </c>
      <c r="N605" s="2349">
        <v>0</v>
      </c>
      <c r="O605"/>
      <c r="W605" s="365"/>
      <c r="X605" s="365"/>
      <c r="Y605" s="365"/>
    </row>
    <row r="606" spans="2:25" s="6" customFormat="1">
      <c r="B606" s="373"/>
      <c r="C606"/>
      <c r="D606"/>
      <c r="E606" s="3801" t="str">
        <f>Preferences.PowerUnits&amp;"th/degree"</f>
        <v>GWth/degree</v>
      </c>
      <c r="F606" s="3584">
        <f t="shared" ref="F606:N606" si="90">SUM(F593:F605)</f>
        <v>1</v>
      </c>
      <c r="G606" s="3584">
        <f t="shared" si="90"/>
        <v>1</v>
      </c>
      <c r="H606" s="3584">
        <f t="shared" si="90"/>
        <v>1</v>
      </c>
      <c r="I606" s="3584">
        <f t="shared" si="90"/>
        <v>1</v>
      </c>
      <c r="J606" s="3584">
        <f t="shared" si="90"/>
        <v>0.99999999999999989</v>
      </c>
      <c r="K606" s="3584">
        <f t="shared" si="90"/>
        <v>0.99999999999999978</v>
      </c>
      <c r="L606" s="3584">
        <f t="shared" si="90"/>
        <v>0.99999999999999989</v>
      </c>
      <c r="M606" s="3584">
        <f t="shared" si="90"/>
        <v>1</v>
      </c>
      <c r="N606" s="3584">
        <f t="shared" si="90"/>
        <v>1</v>
      </c>
      <c r="O606"/>
      <c r="W606" s="365"/>
      <c r="X606" s="365"/>
      <c r="Y606" s="365"/>
    </row>
    <row r="607" spans="2:25" s="6" customFormat="1">
      <c r="B607"/>
      <c r="C607"/>
      <c r="D607"/>
      <c r="E607" s="3801"/>
      <c r="F607"/>
      <c r="G607"/>
      <c r="H607"/>
      <c r="I607"/>
      <c r="J607"/>
      <c r="K607"/>
      <c r="L607"/>
      <c r="M607"/>
      <c r="N607"/>
      <c r="O607"/>
      <c r="W607" s="365"/>
      <c r="X607" s="365"/>
      <c r="Y607" s="365"/>
    </row>
    <row r="608" spans="2:25" s="6" customFormat="1">
      <c r="B608" s="354"/>
      <c r="C608" s="354" t="s">
        <v>276</v>
      </c>
      <c r="D608"/>
      <c r="E608" s="355"/>
      <c r="F608" s="1321">
        <v>2013</v>
      </c>
      <c r="G608" s="1321">
        <v>2015</v>
      </c>
      <c r="H608" s="1321">
        <v>2020</v>
      </c>
      <c r="I608" s="1321">
        <v>2025</v>
      </c>
      <c r="J608" s="1321">
        <v>2030</v>
      </c>
      <c r="K608" s="1321">
        <v>2035</v>
      </c>
      <c r="L608" s="1321">
        <v>2040</v>
      </c>
      <c r="M608" s="1321">
        <v>2045</v>
      </c>
      <c r="N608" s="1321">
        <v>2050</v>
      </c>
      <c r="O608"/>
      <c r="W608" s="365"/>
      <c r="X608" s="365"/>
      <c r="Y608" s="365"/>
    </row>
    <row r="609" spans="2:25" s="6" customFormat="1">
      <c r="B609" s="373" t="s">
        <v>95</v>
      </c>
      <c r="C609" s="6" t="s">
        <v>85</v>
      </c>
      <c r="D609"/>
      <c r="E609" s="3801"/>
      <c r="F609" s="2480">
        <f t="array" ref="F609">SUM(F$593:F$605/$M$133:$M$145*($B609=$F$132:$N$132)*($F$133:$N$145))</f>
        <v>-0.3037037037037037</v>
      </c>
      <c r="G609" s="2480">
        <f t="array" ref="G609">SUM(G$593:G$605/$M$133:$M$145*($B609=$F$132:$N$132)*($F$133:$N$145))</f>
        <v>-0.29437619437619439</v>
      </c>
      <c r="H609" s="2480">
        <f t="array" ref="H609">SUM(H$593:H$605/$M$133:$M$145*($B609=$F$132:$N$132)*($F$133:$N$145))</f>
        <v>-0.27105742105742109</v>
      </c>
      <c r="I609" s="2480">
        <f t="array" ref="I609">SUM(I$593:I$605/$M$133:$M$145*($B609=$F$132:$N$132)*($F$133:$N$145))</f>
        <v>-0.24773864773864773</v>
      </c>
      <c r="J609" s="2480">
        <f t="array" ref="J609">SUM(J$593:J$605/$M$133:$M$145*($B609=$F$132:$N$132)*($F$133:$N$145))</f>
        <v>-0.22441987441987438</v>
      </c>
      <c r="K609" s="2480">
        <f t="array" ref="K609">SUM(K$593:K$605/$M$133:$M$145*($B609=$F$132:$N$132)*($F$133:$N$145))</f>
        <v>-0.20110110110110108</v>
      </c>
      <c r="L609" s="2480">
        <f t="array" ref="L609">SUM(L$593:L$605/$M$133:$M$145*($B609=$F$132:$N$132)*($F$133:$N$145))</f>
        <v>-0.17778232778232778</v>
      </c>
      <c r="M609" s="2480">
        <f t="array" ref="M609">SUM(M$593:M$605/$M$133:$M$145*($B609=$F$132:$N$132)*($F$133:$N$145))</f>
        <v>-0.15446355446355442</v>
      </c>
      <c r="N609" s="2480">
        <f t="array" ref="N609">SUM(N$593:N$605/$M$133:$M$145*($B609=$F$132:$N$132)*($F$133:$N$145))</f>
        <v>-0.13114478114478115</v>
      </c>
      <c r="O609"/>
      <c r="W609" s="365"/>
      <c r="X609" s="365"/>
      <c r="Y609" s="365"/>
    </row>
    <row r="610" spans="2:25" s="6" customFormat="1">
      <c r="B610" s="373" t="s">
        <v>96</v>
      </c>
      <c r="C610" s="6" t="s">
        <v>86</v>
      </c>
      <c r="D610"/>
      <c r="E610" s="3801"/>
      <c r="F610" s="2480">
        <f t="array" ref="F610">SUM(F$593:F$605/$M$133:$M$145*($B610=$F$132:$N$132)*($F$133:$N$145))</f>
        <v>0</v>
      </c>
      <c r="G610" s="2480">
        <f t="array" ref="G610">SUM(G$593:G$605/$M$133:$M$145*($B610=$F$132:$N$132)*($F$133:$N$145))</f>
        <v>0</v>
      </c>
      <c r="H610" s="2480">
        <f t="array" ref="H610">SUM(H$593:H$605/$M$133:$M$145*($B610=$F$132:$N$132)*($F$133:$N$145))</f>
        <v>0</v>
      </c>
      <c r="I610" s="2480">
        <f t="array" ref="I610">SUM(I$593:I$605/$M$133:$M$145*($B610=$F$132:$N$132)*($F$133:$N$145))</f>
        <v>0</v>
      </c>
      <c r="J610" s="2480">
        <f t="array" ref="J610">SUM(J$593:J$605/$M$133:$M$145*($B610=$F$132:$N$132)*($F$133:$N$145))</f>
        <v>0</v>
      </c>
      <c r="K610" s="2480">
        <f t="array" ref="K610">SUM(K$593:K$605/$M$133:$M$145*($B610=$F$132:$N$132)*($F$133:$N$145))</f>
        <v>0</v>
      </c>
      <c r="L610" s="2480">
        <f t="array" ref="L610">SUM(L$593:L$605/$M$133:$M$145*($B610=$F$132:$N$132)*($F$133:$N$145))</f>
        <v>0</v>
      </c>
      <c r="M610" s="2480">
        <f t="array" ref="M610">SUM(M$593:M$605/$M$133:$M$145*($B610=$F$132:$N$132)*($F$133:$N$145))</f>
        <v>0</v>
      </c>
      <c r="N610" s="2480">
        <f t="array" ref="N610">SUM(N$593:N$605/$M$133:$M$145*($B610=$F$132:$N$132)*($F$133:$N$145))</f>
        <v>0</v>
      </c>
      <c r="O610"/>
      <c r="W610" s="365"/>
      <c r="X610" s="365"/>
      <c r="Y610" s="365"/>
    </row>
    <row r="611" spans="2:25" s="6" customFormat="1">
      <c r="B611" s="373" t="s">
        <v>97</v>
      </c>
      <c r="C611" s="6" t="s">
        <v>87</v>
      </c>
      <c r="D611"/>
      <c r="E611" s="3801"/>
      <c r="F611" s="2480">
        <f t="array" ref="F611">SUM(F$593:F$605/$M$133:$M$145*($B611=$F$132:$N$132)*($F$133:$N$145))</f>
        <v>-3.4482758620689655E-2</v>
      </c>
      <c r="G611" s="2480">
        <f t="array" ref="G611">SUM(G$593:G$605/$M$133:$M$145*($B611=$F$132:$N$132)*($F$133:$N$145))</f>
        <v>-3.2618825722273995E-2</v>
      </c>
      <c r="H611" s="2480">
        <f t="array" ref="H611">SUM(H$593:H$605/$M$133:$M$145*($B611=$F$132:$N$132)*($F$133:$N$145))</f>
        <v>-2.7958993476234852E-2</v>
      </c>
      <c r="I611" s="2480">
        <f t="array" ref="I611">SUM(I$593:I$605/$M$133:$M$145*($B611=$F$132:$N$132)*($F$133:$N$145))</f>
        <v>-2.3299161230195712E-2</v>
      </c>
      <c r="J611" s="2480">
        <f t="array" ref="J611">SUM(J$593:J$605/$M$133:$M$145*($B611=$F$132:$N$132)*($F$133:$N$145))</f>
        <v>-1.8639328984156569E-2</v>
      </c>
      <c r="K611" s="2480">
        <f t="array" ref="K611">SUM(K$593:K$605/$M$133:$M$145*($B611=$F$132:$N$132)*($F$133:$N$145))</f>
        <v>-1.3979496738117424E-2</v>
      </c>
      <c r="L611" s="2480">
        <f t="array" ref="L611">SUM(L$593:L$605/$M$133:$M$145*($B611=$F$132:$N$132)*($F$133:$N$145))</f>
        <v>-9.319664492078281E-3</v>
      </c>
      <c r="M611" s="2480">
        <f t="array" ref="M611">SUM(M$593:M$605/$M$133:$M$145*($B611=$F$132:$N$132)*($F$133:$N$145))</f>
        <v>-4.6598322460391388E-3</v>
      </c>
      <c r="N611" s="2480">
        <f t="array" ref="N611">SUM(N$593:N$605/$M$133:$M$145*($B611=$F$132:$N$132)*($F$133:$N$145))</f>
        <v>0</v>
      </c>
      <c r="O611"/>
      <c r="W611" s="365"/>
      <c r="X611" s="365"/>
      <c r="Y611" s="365"/>
    </row>
    <row r="612" spans="2:25" s="6" customFormat="1">
      <c r="B612" s="373" t="s">
        <v>98</v>
      </c>
      <c r="C612" s="6" t="s">
        <v>88</v>
      </c>
      <c r="D612"/>
      <c r="E612" s="3801"/>
      <c r="F612" s="2480">
        <f t="array" ref="F612">SUM(F$593:F$605/$M$133:$M$145*($B612=$F$132:$N$132)*($F$133:$N$145))</f>
        <v>-0.23711340206185569</v>
      </c>
      <c r="G612" s="2480">
        <f t="array" ref="G612">SUM(G$593:G$605/$M$133:$M$145*($B612=$F$132:$N$132)*($F$133:$N$145))</f>
        <v>-0.22429646140986348</v>
      </c>
      <c r="H612" s="2480">
        <f t="array" ref="H612">SUM(H$593:H$605/$M$133:$M$145*($B612=$F$132:$N$132)*($F$133:$N$145))</f>
        <v>-0.19225410977988297</v>
      </c>
      <c r="I612" s="2480">
        <f t="array" ref="I612">SUM(I$593:I$605/$M$133:$M$145*($B612=$F$132:$N$132)*($F$133:$N$145))</f>
        <v>-0.16021175814990246</v>
      </c>
      <c r="J612" s="2480">
        <f t="array" ref="J612">SUM(J$593:J$605/$M$133:$M$145*($B612=$F$132:$N$132)*($F$133:$N$145))</f>
        <v>-0.12816940651992195</v>
      </c>
      <c r="K612" s="2480">
        <f t="array" ref="K612">SUM(K$593:K$605/$M$133:$M$145*($B612=$F$132:$N$132)*($F$133:$N$145))</f>
        <v>-9.6127054889941457E-2</v>
      </c>
      <c r="L612" s="2480">
        <f t="array" ref="L612">SUM(L$593:L$605/$M$133:$M$145*($B612=$F$132:$N$132)*($F$133:$N$145))</f>
        <v>-6.4084703259960948E-2</v>
      </c>
      <c r="M612" s="2480">
        <f t="array" ref="M612">SUM(M$593:M$605/$M$133:$M$145*($B612=$F$132:$N$132)*($F$133:$N$145))</f>
        <v>-3.2042351629980453E-2</v>
      </c>
      <c r="N612" s="2480">
        <f t="array" ref="N612">SUM(N$593:N$605/$M$133:$M$145*($B612=$F$132:$N$132)*($F$133:$N$145))</f>
        <v>0</v>
      </c>
      <c r="O612"/>
      <c r="W612" s="365"/>
      <c r="X612" s="365"/>
      <c r="Y612" s="365"/>
    </row>
    <row r="613" spans="2:25" s="6" customFormat="1">
      <c r="B613" s="373" t="s">
        <v>99</v>
      </c>
      <c r="C613" s="6" t="s">
        <v>89</v>
      </c>
      <c r="D613"/>
      <c r="E613" s="3801"/>
      <c r="F613" s="2480">
        <f t="array" ref="F613">SUM(F$593:F$605/$M$133:$M$145*($B613=$F$132:$N$132)*($F$133:$N$145))</f>
        <v>-0.51590514748409477</v>
      </c>
      <c r="G613" s="2480">
        <f t="array" ref="G613">SUM(G$593:G$605/$M$133:$M$145*($B613=$F$132:$N$132)*($F$133:$N$145))</f>
        <v>-0.53553843027527237</v>
      </c>
      <c r="H613" s="2480">
        <f t="array" ref="H613">SUM(H$593:H$605/$M$133:$M$145*($B613=$F$132:$N$132)*($F$133:$N$145))</f>
        <v>-0.58462163725321625</v>
      </c>
      <c r="I613" s="2480">
        <f t="array" ref="I613">SUM(I$593:I$605/$M$133:$M$145*($B613=$F$132:$N$132)*($F$133:$N$145))</f>
        <v>-0.63370484423116002</v>
      </c>
      <c r="J613" s="2480">
        <f t="array" ref="J613">SUM(J$593:J$605/$M$133:$M$145*($B613=$F$132:$N$132)*($F$133:$N$145))</f>
        <v>-0.6827880512091038</v>
      </c>
      <c r="K613" s="2480">
        <f t="array" ref="K613">SUM(K$593:K$605/$M$133:$M$145*($B613=$F$132:$N$132)*($F$133:$N$145))</f>
        <v>-0.73187125818704768</v>
      </c>
      <c r="L613" s="2480">
        <f t="array" ref="L613">SUM(L$593:L$605/$M$133:$M$145*($B613=$F$132:$N$132)*($F$133:$N$145))</f>
        <v>-0.78095446516499134</v>
      </c>
      <c r="M613" s="2480">
        <f t="array" ref="M613">SUM(M$593:M$605/$M$133:$M$145*($B613=$F$132:$N$132)*($F$133:$N$145))</f>
        <v>-0.83003767214293522</v>
      </c>
      <c r="N613" s="2480">
        <f t="array" ref="N613">SUM(N$593:N$605/$M$133:$M$145*($B613=$F$132:$N$132)*($F$133:$N$145))</f>
        <v>-0.87912087912087911</v>
      </c>
      <c r="O613"/>
      <c r="W613" s="365"/>
      <c r="X613" s="365"/>
      <c r="Y613" s="365"/>
    </row>
    <row r="614" spans="2:25" s="6" customFormat="1">
      <c r="B614" s="373" t="s">
        <v>100</v>
      </c>
      <c r="C614" s="6" t="s">
        <v>90</v>
      </c>
      <c r="D614"/>
      <c r="E614" s="3801"/>
      <c r="F614" s="2480">
        <f t="array" ref="F614">SUM(F$593:F$605/$M$133:$M$145*($B614=$F$132:$N$132)*($F$133:$N$145))</f>
        <v>0</v>
      </c>
      <c r="G614" s="2480">
        <f t="array" ref="G614">SUM(G$593:G$605/$M$133:$M$145*($B614=$F$132:$N$132)*($F$133:$N$145))</f>
        <v>0</v>
      </c>
      <c r="H614" s="2480">
        <f t="array" ref="H614">SUM(H$593:H$605/$M$133:$M$145*($B614=$F$132:$N$132)*($F$133:$N$145))</f>
        <v>0</v>
      </c>
      <c r="I614" s="2480">
        <f t="array" ref="I614">SUM(I$593:I$605/$M$133:$M$145*($B614=$F$132:$N$132)*($F$133:$N$145))</f>
        <v>0</v>
      </c>
      <c r="J614" s="2480">
        <f t="array" ref="J614">SUM(J$593:J$605/$M$133:$M$145*($B614=$F$132:$N$132)*($F$133:$N$145))</f>
        <v>0</v>
      </c>
      <c r="K614" s="2480">
        <f t="array" ref="K614">SUM(K$593:K$605/$M$133:$M$145*($B614=$F$132:$N$132)*($F$133:$N$145))</f>
        <v>0</v>
      </c>
      <c r="L614" s="2480">
        <f t="array" ref="L614">SUM(L$593:L$605/$M$133:$M$145*($B614=$F$132:$N$132)*($F$133:$N$145))</f>
        <v>0</v>
      </c>
      <c r="M614" s="2480">
        <f t="array" ref="M614">SUM(M$593:M$605/$M$133:$M$145*($B614=$F$132:$N$132)*($F$133:$N$145))</f>
        <v>0</v>
      </c>
      <c r="N614" s="2480">
        <f t="array" ref="N614">SUM(N$593:N$605/$M$133:$M$145*($B614=$F$132:$N$132)*($F$133:$N$145))</f>
        <v>0</v>
      </c>
      <c r="O614"/>
      <c r="W614" s="365"/>
      <c r="X614" s="365"/>
      <c r="Y614" s="365"/>
    </row>
    <row r="615" spans="2:25" s="6" customFormat="1">
      <c r="B615" s="373" t="s">
        <v>101</v>
      </c>
      <c r="C615" s="6" t="s">
        <v>91</v>
      </c>
      <c r="D615"/>
      <c r="E615" s="3801"/>
      <c r="F615" s="2480">
        <f t="array" ref="F615">SUM(F$593:F$605/$M$133:$M$145*($B615=$F$132:$N$132)*($F$133:$N$145))</f>
        <v>-6.2962962962962964E-3</v>
      </c>
      <c r="G615" s="2480">
        <f t="array" ref="G615">SUM(G$593:G$605/$M$133:$M$145*($B615=$F$132:$N$132)*($F$133:$N$145))</f>
        <v>-9.6778596778596786E-3</v>
      </c>
      <c r="H615" s="2480">
        <f t="array" ref="H615">SUM(H$593:H$605/$M$133:$M$145*($B615=$F$132:$N$132)*($F$133:$N$145))</f>
        <v>-1.8131768131768134E-2</v>
      </c>
      <c r="I615" s="2480">
        <f t="array" ref="I615">SUM(I$593:I$605/$M$133:$M$145*($B615=$F$132:$N$132)*($F$133:$N$145))</f>
        <v>-2.6585676585676586E-2</v>
      </c>
      <c r="J615" s="2480">
        <f t="array" ref="J615">SUM(J$593:J$605/$M$133:$M$145*($B615=$F$132:$N$132)*($F$133:$N$145))</f>
        <v>-3.5039585039585042E-2</v>
      </c>
      <c r="K615" s="2480">
        <f t="array" ref="K615">SUM(K$593:K$605/$M$133:$M$145*($B615=$F$132:$N$132)*($F$133:$N$145))</f>
        <v>-4.349349349349349E-2</v>
      </c>
      <c r="L615" s="2480">
        <f t="array" ref="L615">SUM(L$593:L$605/$M$133:$M$145*($B615=$F$132:$N$132)*($F$133:$N$145))</f>
        <v>-5.1947401947401946E-2</v>
      </c>
      <c r="M615" s="2480">
        <f t="array" ref="M615">SUM(M$593:M$605/$M$133:$M$145*($B615=$F$132:$N$132)*($F$133:$N$145))</f>
        <v>-6.0401310401310401E-2</v>
      </c>
      <c r="N615" s="2480">
        <f t="array" ref="N615">SUM(N$593:N$605/$M$133:$M$145*($B615=$F$132:$N$132)*($F$133:$N$145))</f>
        <v>-6.8855218855218864E-2</v>
      </c>
      <c r="O615"/>
      <c r="W615" s="365"/>
      <c r="X615" s="365"/>
      <c r="Y615" s="365"/>
    </row>
    <row r="616" spans="2:25" s="6" customFormat="1">
      <c r="B616" s="373" t="s">
        <v>102</v>
      </c>
      <c r="C616" s="6" t="s">
        <v>92</v>
      </c>
      <c r="D616"/>
      <c r="E616" s="3801"/>
      <c r="F616" s="2480">
        <f t="array" ref="F616">SUM(F$593:F$605/$M$133:$M$145*($B616=$F$132:$N$132)*($F$133:$N$145))</f>
        <v>1</v>
      </c>
      <c r="G616" s="2480">
        <f t="array" ref="G616">SUM(G$593:G$605/$M$133:$M$145*($B616=$F$132:$N$132)*($F$133:$N$145))</f>
        <v>1</v>
      </c>
      <c r="H616" s="2480">
        <f t="array" ref="H616">SUM(H$593:H$605/$M$133:$M$145*($B616=$F$132:$N$132)*($F$133:$N$145))</f>
        <v>1</v>
      </c>
      <c r="I616" s="2480">
        <f t="array" ref="I616">SUM(I$593:I$605/$M$133:$M$145*($B616=$F$132:$N$132)*($F$133:$N$145))</f>
        <v>1</v>
      </c>
      <c r="J616" s="2480">
        <f t="array" ref="J616">SUM(J$593:J$605/$M$133:$M$145*($B616=$F$132:$N$132)*($F$133:$N$145))</f>
        <v>0.99999999999999978</v>
      </c>
      <c r="K616" s="2480">
        <f t="array" ref="K616">SUM(K$593:K$605/$M$133:$M$145*($B616=$F$132:$N$132)*($F$133:$N$145))</f>
        <v>0.99999999999999978</v>
      </c>
      <c r="L616" s="2480">
        <f t="array" ref="L616">SUM(L$593:L$605/$M$133:$M$145*($B616=$F$132:$N$132)*($F$133:$N$145))</f>
        <v>0.99999999999999989</v>
      </c>
      <c r="M616" s="2480">
        <f t="array" ref="M616">SUM(M$593:M$605/$M$133:$M$145*($B616=$F$132:$N$132)*($F$133:$N$145))</f>
        <v>0.99999999999999989</v>
      </c>
      <c r="N616" s="2480">
        <f t="array" ref="N616">SUM(N$593:N$605/$M$133:$M$145*($B616=$F$132:$N$132)*($F$133:$N$145))</f>
        <v>1</v>
      </c>
      <c r="O616"/>
      <c r="W616" s="365"/>
      <c r="X616" s="365"/>
      <c r="Y616" s="365"/>
    </row>
    <row r="617" spans="2:25" s="6" customFormat="1">
      <c r="B617" s="373" t="s">
        <v>103</v>
      </c>
      <c r="C617" s="6" t="s">
        <v>93</v>
      </c>
      <c r="D617"/>
      <c r="E617" s="3801"/>
      <c r="F617" s="2480">
        <f t="array" ref="F617">SUM(F$593:F$605/$M$133:$M$145*($B617=$F$132:$N$132)*($F$133:$N$145))</f>
        <v>9.7501308166640155E-2</v>
      </c>
      <c r="G617" s="2480">
        <f t="array" ref="G617">SUM(G$593:G$605/$M$133:$M$145*($B617=$F$132:$N$132)*($F$133:$N$145))</f>
        <v>9.6507771461463901E-2</v>
      </c>
      <c r="H617" s="2480">
        <f t="array" ref="H617">SUM(H$593:H$605/$M$133:$M$145*($B617=$F$132:$N$132)*($F$133:$N$145))</f>
        <v>9.4023929698523218E-2</v>
      </c>
      <c r="I617" s="2480">
        <f t="array" ref="I617">SUM(I$593:I$605/$M$133:$M$145*($B617=$F$132:$N$132)*($F$133:$N$145))</f>
        <v>9.1540087935582534E-2</v>
      </c>
      <c r="J617" s="2480">
        <f t="array" ref="J617">SUM(J$593:J$605/$M$133:$M$145*($B617=$F$132:$N$132)*($F$133:$N$145))</f>
        <v>8.9056246172641851E-2</v>
      </c>
      <c r="K617" s="2480">
        <f t="array" ref="K617">SUM(K$593:K$605/$M$133:$M$145*($B617=$F$132:$N$132)*($F$133:$N$145))</f>
        <v>8.6572404409701154E-2</v>
      </c>
      <c r="L617" s="2480">
        <f t="array" ref="L617">SUM(L$593:L$605/$M$133:$M$145*($B617=$F$132:$N$132)*($F$133:$N$145))</f>
        <v>8.408856264676047E-2</v>
      </c>
      <c r="M617" s="2480">
        <f t="array" ref="M617">SUM(M$593:M$605/$M$133:$M$145*($B617=$F$132:$N$132)*($F$133:$N$145))</f>
        <v>8.1604720883819801E-2</v>
      </c>
      <c r="N617" s="2480">
        <f t="array" ref="N617">SUM(N$593:N$605/$M$133:$M$145*($B617=$F$132:$N$132)*($F$133:$N$145))</f>
        <v>7.9120879120879117E-2</v>
      </c>
      <c r="O617"/>
      <c r="W617" s="365"/>
      <c r="X617" s="365"/>
      <c r="Y617" s="365"/>
    </row>
    <row r="618" spans="2:25" s="6" customFormat="1">
      <c r="B618" s="373"/>
      <c r="D618"/>
      <c r="E618" s="3801" t="str">
        <f>Preferences.PowerUnits&amp;"/degree"</f>
        <v>GW/degree</v>
      </c>
      <c r="F618" s="3584">
        <f t="shared" ref="F618:N618" si="91">SUM(F609:F617)</f>
        <v>1.1102230246251565E-16</v>
      </c>
      <c r="G618" s="3584">
        <f t="shared" si="91"/>
        <v>0</v>
      </c>
      <c r="H618" s="3584">
        <f t="shared" si="91"/>
        <v>0</v>
      </c>
      <c r="I618" s="3584">
        <f t="shared" si="91"/>
        <v>0</v>
      </c>
      <c r="J618" s="3584">
        <f t="shared" si="91"/>
        <v>0</v>
      </c>
      <c r="K618" s="3584">
        <f t="shared" si="91"/>
        <v>-2.2204460492503131E-16</v>
      </c>
      <c r="L618" s="3584">
        <f t="shared" si="91"/>
        <v>0</v>
      </c>
      <c r="M618" s="3584">
        <f t="shared" si="91"/>
        <v>1.5265566588595902E-16</v>
      </c>
      <c r="N618" s="3584">
        <f t="shared" si="91"/>
        <v>-1.6653345369377348E-16</v>
      </c>
      <c r="O618"/>
      <c r="W618" s="365"/>
      <c r="X618" s="365"/>
      <c r="Y618" s="365"/>
    </row>
    <row r="619" spans="2:25" s="6" customFormat="1">
      <c r="B619"/>
      <c r="C619"/>
      <c r="D619"/>
      <c r="E619" s="3801"/>
      <c r="F619" s="365"/>
      <c r="G619"/>
      <c r="H619"/>
      <c r="I619"/>
      <c r="J619"/>
      <c r="K619"/>
      <c r="L619"/>
      <c r="M619"/>
      <c r="N619"/>
      <c r="O619"/>
      <c r="W619" s="365"/>
      <c r="X619" s="365"/>
      <c r="Y619" s="365"/>
    </row>
    <row r="620" spans="2:25" s="6" customFormat="1">
      <c r="B620"/>
      <c r="C620" t="s">
        <v>284</v>
      </c>
      <c r="D620"/>
      <c r="E620" s="1322" t="str">
        <f>Preferences.PowerUnits&amp;"e/degree"</f>
        <v>GWe/degree</v>
      </c>
      <c r="F620" s="2480">
        <f>-SUM(F609:F610)</f>
        <v>0.3037037037037037</v>
      </c>
      <c r="G620" s="2480">
        <f t="shared" ref="G620:N620" si="92">-SUM(G609:G610)</f>
        <v>0.29437619437619439</v>
      </c>
      <c r="H620" s="2480">
        <f t="shared" si="92"/>
        <v>0.27105742105742109</v>
      </c>
      <c r="I620" s="2480">
        <f t="shared" si="92"/>
        <v>0.24773864773864773</v>
      </c>
      <c r="J620" s="2480">
        <f t="shared" si="92"/>
        <v>0.22441987441987438</v>
      </c>
      <c r="K620" s="2480">
        <f t="shared" si="92"/>
        <v>0.20110110110110108</v>
      </c>
      <c r="L620" s="2480">
        <f t="shared" si="92"/>
        <v>0.17778232778232778</v>
      </c>
      <c r="M620" s="2480">
        <f t="shared" si="92"/>
        <v>0.15446355446355442</v>
      </c>
      <c r="N620" s="2480">
        <f t="shared" si="92"/>
        <v>0.13114478114478115</v>
      </c>
      <c r="O620"/>
      <c r="W620" s="365"/>
      <c r="X620" s="365"/>
      <c r="Y620" s="365"/>
    </row>
    <row r="621" spans="2:25" s="6" customFormat="1">
      <c r="B621"/>
      <c r="C621"/>
      <c r="D621"/>
      <c r="E621"/>
      <c r="F621" s="365"/>
      <c r="G621"/>
      <c r="H621"/>
      <c r="I621"/>
      <c r="J621"/>
      <c r="K621"/>
      <c r="L621"/>
      <c r="M621"/>
      <c r="N621"/>
      <c r="O621"/>
      <c r="W621" s="365"/>
      <c r="X621" s="365"/>
      <c r="Y621" s="365"/>
    </row>
    <row r="622" spans="2:25" s="6" customFormat="1">
      <c r="B622" s="354">
        <v>9</v>
      </c>
      <c r="C622" s="354" t="s">
        <v>965</v>
      </c>
      <c r="D622"/>
      <c r="E622"/>
      <c r="F622" s="404"/>
      <c r="G622" s="404"/>
      <c r="H622" s="404"/>
      <c r="I622" s="404"/>
      <c r="J622" s="404"/>
      <c r="K622" s="404"/>
      <c r="L622" s="404"/>
      <c r="M622" s="404"/>
      <c r="N622" s="414" t="s">
        <v>2759</v>
      </c>
      <c r="O622"/>
      <c r="W622" s="365"/>
      <c r="X622" s="365"/>
      <c r="Y622" s="365"/>
    </row>
    <row r="623" spans="2:25">
      <c r="B623" t="s">
        <v>738</v>
      </c>
      <c r="E623" s="373"/>
      <c r="F623" s="404"/>
      <c r="G623" s="404"/>
      <c r="H623" s="404"/>
      <c r="I623" s="404"/>
      <c r="J623" s="404"/>
      <c r="K623" s="404"/>
      <c r="L623" s="404"/>
      <c r="M623" s="404"/>
      <c r="N623" s="404"/>
    </row>
    <row r="624" spans="2:25">
      <c r="F624" s="1313">
        <v>2013</v>
      </c>
      <c r="G624" s="1313">
        <v>2015</v>
      </c>
      <c r="H624" s="1313">
        <v>2020</v>
      </c>
      <c r="I624" s="1313">
        <v>2025</v>
      </c>
      <c r="J624" s="1313">
        <v>2030</v>
      </c>
      <c r="K624" s="1313">
        <v>2035</v>
      </c>
      <c r="L624" s="1313">
        <v>2040</v>
      </c>
      <c r="M624" s="1313">
        <v>2045</v>
      </c>
      <c r="N624" s="1313">
        <v>2050</v>
      </c>
    </row>
    <row r="625" spans="2:14">
      <c r="B625" s="373"/>
      <c r="F625" s="1314"/>
      <c r="G625" s="1314"/>
      <c r="H625" s="1314"/>
      <c r="I625" s="1314"/>
      <c r="J625" s="1314"/>
      <c r="K625" s="1314"/>
      <c r="L625" s="1314"/>
      <c r="M625" s="1314"/>
      <c r="N625" s="1314"/>
    </row>
    <row r="626" spans="2:14">
      <c r="B626" s="373"/>
      <c r="C626" s="354" t="s">
        <v>966</v>
      </c>
      <c r="E626" s="355" t="str">
        <f>Preferences.EnergyUnits</f>
        <v>TWh</v>
      </c>
      <c r="F626" s="1315"/>
      <c r="G626" s="1315"/>
      <c r="H626" s="1315"/>
      <c r="I626" s="1315"/>
      <c r="J626" s="1315"/>
      <c r="K626" s="1315"/>
      <c r="L626" s="1315"/>
      <c r="M626" s="1315"/>
      <c r="N626" s="1315"/>
    </row>
    <row r="627" spans="2:14">
      <c r="B627">
        <v>1</v>
      </c>
      <c r="C627" t="s">
        <v>45</v>
      </c>
      <c r="D627" s="373"/>
      <c r="E627" s="3801"/>
      <c r="F627" s="3585">
        <f>F382+F350</f>
        <v>1.9120000000000004</v>
      </c>
      <c r="G627" s="3585">
        <f t="shared" ref="G627:N627" si="93">G382+G350</f>
        <v>1.8616216216216217</v>
      </c>
      <c r="H627" s="3585">
        <f t="shared" si="93"/>
        <v>1.7209459459459462</v>
      </c>
      <c r="I627" s="3585">
        <f t="shared" si="93"/>
        <v>1.5052364864864867</v>
      </c>
      <c r="J627" s="3585">
        <f t="shared" si="93"/>
        <v>1.2610810810810811</v>
      </c>
      <c r="K627" s="3585">
        <f t="shared" si="93"/>
        <v>0.98847972972972986</v>
      </c>
      <c r="L627" s="3585">
        <f t="shared" si="93"/>
        <v>0.68743243243243235</v>
      </c>
      <c r="M627" s="3585">
        <f t="shared" si="93"/>
        <v>0.35793918918918921</v>
      </c>
      <c r="N627" s="3585">
        <f t="shared" si="93"/>
        <v>0</v>
      </c>
    </row>
    <row r="628" spans="2:14">
      <c r="B628">
        <v>2</v>
      </c>
      <c r="C628" t="s">
        <v>46</v>
      </c>
      <c r="D628" s="373"/>
      <c r="E628" s="3801"/>
      <c r="F628" s="3585">
        <f t="shared" ref="F628:N640" si="94">F383+F351</f>
        <v>2.1988000000000003</v>
      </c>
      <c r="G628" s="3585">
        <f t="shared" si="94"/>
        <v>2.5663783783783787</v>
      </c>
      <c r="H628" s="3585">
        <f t="shared" si="94"/>
        <v>3.5853040540540544</v>
      </c>
      <c r="I628" s="3585">
        <f t="shared" si="94"/>
        <v>4.6210760135135134</v>
      </c>
      <c r="J628" s="3585">
        <f t="shared" si="94"/>
        <v>5.7379189189189184</v>
      </c>
      <c r="K628" s="3585">
        <f t="shared" si="94"/>
        <v>6.9358327702702702</v>
      </c>
      <c r="L628" s="3585">
        <f t="shared" si="94"/>
        <v>8.2148175675675663</v>
      </c>
      <c r="M628" s="3585">
        <f t="shared" si="94"/>
        <v>9.5748733108108102</v>
      </c>
      <c r="N628" s="3585">
        <f t="shared" si="94"/>
        <v>11.016</v>
      </c>
    </row>
    <row r="629" spans="2:14">
      <c r="B629" s="354">
        <v>3</v>
      </c>
      <c r="C629" t="s">
        <v>47</v>
      </c>
      <c r="D629" s="373"/>
      <c r="E629" s="3801"/>
      <c r="F629" s="3585">
        <f t="shared" si="94"/>
        <v>2.8679999999999999</v>
      </c>
      <c r="G629" s="3585">
        <f t="shared" si="94"/>
        <v>2.8456216216216212</v>
      </c>
      <c r="H629" s="3585">
        <f t="shared" si="94"/>
        <v>2.7821959459459462</v>
      </c>
      <c r="I629" s="3585">
        <f t="shared" si="94"/>
        <v>2.6191114864864864</v>
      </c>
      <c r="J629" s="3585">
        <f t="shared" si="94"/>
        <v>2.4275810810810809</v>
      </c>
      <c r="K629" s="3585">
        <f t="shared" si="94"/>
        <v>2.2076047297297294</v>
      </c>
      <c r="L629" s="3585">
        <f t="shared" si="94"/>
        <v>1.9591824324324321</v>
      </c>
      <c r="M629" s="3585">
        <f t="shared" si="94"/>
        <v>1.6823141891891891</v>
      </c>
      <c r="N629" s="3585">
        <f t="shared" si="94"/>
        <v>1.377</v>
      </c>
    </row>
    <row r="630" spans="2:14">
      <c r="B630">
        <v>4</v>
      </c>
      <c r="C630" t="s">
        <v>48</v>
      </c>
      <c r="D630" s="373"/>
      <c r="E630" s="3801"/>
      <c r="F630" s="3585">
        <f t="shared" si="94"/>
        <v>2.1988000000000003</v>
      </c>
      <c r="G630" s="3585">
        <f t="shared" si="94"/>
        <v>2.1408648648648647</v>
      </c>
      <c r="H630" s="3585">
        <f t="shared" si="94"/>
        <v>1.9790878378378378</v>
      </c>
      <c r="I630" s="3585">
        <f t="shared" si="94"/>
        <v>1.7310219594594589</v>
      </c>
      <c r="J630" s="3585">
        <f t="shared" si="94"/>
        <v>1.4502432432432426</v>
      </c>
      <c r="K630" s="3585">
        <f t="shared" si="94"/>
        <v>1.1367516891891887</v>
      </c>
      <c r="L630" s="3585">
        <f t="shared" si="94"/>
        <v>0.79054729729729667</v>
      </c>
      <c r="M630" s="3585">
        <f t="shared" si="94"/>
        <v>0.41163006756756704</v>
      </c>
      <c r="N630" s="3585">
        <f t="shared" si="94"/>
        <v>0</v>
      </c>
    </row>
    <row r="631" spans="2:14">
      <c r="B631">
        <v>5</v>
      </c>
      <c r="C631" t="s">
        <v>49</v>
      </c>
      <c r="D631" s="373"/>
      <c r="E631" s="3801"/>
      <c r="F631" s="3585">
        <f t="shared" si="94"/>
        <v>0.2868</v>
      </c>
      <c r="G631" s="3585">
        <f t="shared" si="94"/>
        <v>0.27924324324324323</v>
      </c>
      <c r="H631" s="3585">
        <f t="shared" si="94"/>
        <v>0.25814189189189191</v>
      </c>
      <c r="I631" s="3585">
        <f t="shared" si="94"/>
        <v>0.22578547297297294</v>
      </c>
      <c r="J631" s="3585">
        <f t="shared" si="94"/>
        <v>0.18916216216216211</v>
      </c>
      <c r="K631" s="3585">
        <f t="shared" si="94"/>
        <v>0.14827195945945942</v>
      </c>
      <c r="L631" s="3585">
        <f t="shared" si="94"/>
        <v>0.10311486486486482</v>
      </c>
      <c r="M631" s="3585">
        <f t="shared" si="94"/>
        <v>5.3690878378378333E-2</v>
      </c>
      <c r="N631" s="3585">
        <f t="shared" si="94"/>
        <v>0</v>
      </c>
    </row>
    <row r="632" spans="2:14">
      <c r="B632">
        <v>6</v>
      </c>
      <c r="C632" t="s">
        <v>50</v>
      </c>
      <c r="D632" s="373"/>
      <c r="E632" s="3801"/>
      <c r="F632" s="3585">
        <f t="shared" si="94"/>
        <v>0</v>
      </c>
      <c r="G632" s="3585">
        <f t="shared" si="94"/>
        <v>0</v>
      </c>
      <c r="H632" s="3585">
        <f t="shared" si="94"/>
        <v>0</v>
      </c>
      <c r="I632" s="3585">
        <f t="shared" si="94"/>
        <v>0</v>
      </c>
      <c r="J632" s="3585">
        <f t="shared" si="94"/>
        <v>0</v>
      </c>
      <c r="K632" s="3585">
        <f t="shared" si="94"/>
        <v>0</v>
      </c>
      <c r="L632" s="3585">
        <f t="shared" si="94"/>
        <v>0</v>
      </c>
      <c r="M632" s="3585">
        <f t="shared" si="94"/>
        <v>0</v>
      </c>
      <c r="N632" s="3585">
        <f t="shared" si="94"/>
        <v>0</v>
      </c>
    </row>
    <row r="633" spans="2:14">
      <c r="B633">
        <v>7</v>
      </c>
      <c r="C633" t="s">
        <v>51</v>
      </c>
      <c r="D633" s="373"/>
      <c r="E633" s="3801"/>
      <c r="F633" s="3585">
        <f t="shared" si="94"/>
        <v>0</v>
      </c>
      <c r="G633" s="3585">
        <f t="shared" si="94"/>
        <v>0</v>
      </c>
      <c r="H633" s="3585">
        <f t="shared" si="94"/>
        <v>0</v>
      </c>
      <c r="I633" s="3585">
        <f t="shared" si="94"/>
        <v>0</v>
      </c>
      <c r="J633" s="3585">
        <f t="shared" si="94"/>
        <v>0</v>
      </c>
      <c r="K633" s="3585">
        <f t="shared" si="94"/>
        <v>0</v>
      </c>
      <c r="L633" s="3585">
        <f t="shared" si="94"/>
        <v>0</v>
      </c>
      <c r="M633" s="3585">
        <f t="shared" si="94"/>
        <v>0</v>
      </c>
      <c r="N633" s="3585">
        <f t="shared" si="94"/>
        <v>0</v>
      </c>
    </row>
    <row r="634" spans="2:14">
      <c r="B634">
        <v>8</v>
      </c>
      <c r="C634" t="s">
        <v>52</v>
      </c>
      <c r="D634" s="373"/>
      <c r="E634" s="3801"/>
      <c r="F634" s="3585">
        <f t="shared" si="94"/>
        <v>9.5600000000000018E-2</v>
      </c>
      <c r="G634" s="3585">
        <f t="shared" si="94"/>
        <v>0.11967567567567568</v>
      </c>
      <c r="H634" s="3585">
        <f t="shared" si="94"/>
        <v>0.18643581081081084</v>
      </c>
      <c r="I634" s="3585">
        <f t="shared" si="94"/>
        <v>0.25589020270270268</v>
      </c>
      <c r="J634" s="3585">
        <f t="shared" si="94"/>
        <v>0.33103378378378379</v>
      </c>
      <c r="K634" s="3585">
        <f t="shared" si="94"/>
        <v>0.41186655405405409</v>
      </c>
      <c r="L634" s="3585">
        <f t="shared" si="94"/>
        <v>0.49838851351351349</v>
      </c>
      <c r="M634" s="3585">
        <f t="shared" si="94"/>
        <v>0.5905996621621622</v>
      </c>
      <c r="N634" s="3585">
        <f t="shared" si="94"/>
        <v>0.6885</v>
      </c>
    </row>
    <row r="635" spans="2:14">
      <c r="B635">
        <v>9</v>
      </c>
      <c r="C635" t="s">
        <v>53</v>
      </c>
      <c r="D635" s="373"/>
      <c r="E635" s="3801"/>
      <c r="F635" s="3585">
        <f t="shared" si="94"/>
        <v>0</v>
      </c>
      <c r="G635" s="3585">
        <f t="shared" si="94"/>
        <v>2.6594594594594595E-2</v>
      </c>
      <c r="H635" s="3585">
        <f t="shared" si="94"/>
        <v>0.10038851351351354</v>
      </c>
      <c r="I635" s="3585">
        <f t="shared" si="94"/>
        <v>0.18062837837837839</v>
      </c>
      <c r="J635" s="3585">
        <f t="shared" si="94"/>
        <v>0.26797972972972972</v>
      </c>
      <c r="K635" s="3585">
        <f t="shared" si="94"/>
        <v>0.3624425675675676</v>
      </c>
      <c r="L635" s="3585">
        <f t="shared" si="94"/>
        <v>0.46401689189189188</v>
      </c>
      <c r="M635" s="3585">
        <f t="shared" si="94"/>
        <v>0.57270270270270274</v>
      </c>
      <c r="N635" s="3585">
        <f t="shared" si="94"/>
        <v>0.6885</v>
      </c>
    </row>
    <row r="636" spans="2:14">
      <c r="B636">
        <v>10</v>
      </c>
      <c r="C636" t="s">
        <v>54</v>
      </c>
      <c r="D636" s="373"/>
      <c r="E636" s="3801"/>
      <c r="F636" s="3585">
        <f t="shared" si="94"/>
        <v>0</v>
      </c>
      <c r="G636" s="3585">
        <f t="shared" si="94"/>
        <v>0</v>
      </c>
      <c r="H636" s="3585">
        <f t="shared" si="94"/>
        <v>0</v>
      </c>
      <c r="I636" s="3585">
        <f t="shared" si="94"/>
        <v>0</v>
      </c>
      <c r="J636" s="3585">
        <f t="shared" si="94"/>
        <v>0</v>
      </c>
      <c r="K636" s="3585">
        <f t="shared" si="94"/>
        <v>0</v>
      </c>
      <c r="L636" s="3585">
        <f t="shared" si="94"/>
        <v>0</v>
      </c>
      <c r="M636" s="3585">
        <f t="shared" si="94"/>
        <v>0</v>
      </c>
      <c r="N636" s="3585">
        <f t="shared" si="94"/>
        <v>0</v>
      </c>
    </row>
    <row r="637" spans="2:14">
      <c r="B637">
        <v>11</v>
      </c>
      <c r="C637" t="s">
        <v>55</v>
      </c>
      <c r="D637" s="373"/>
      <c r="E637" s="3801"/>
      <c r="F637" s="3585">
        <f t="shared" si="94"/>
        <v>0</v>
      </c>
      <c r="G637" s="3585">
        <f t="shared" si="94"/>
        <v>0</v>
      </c>
      <c r="H637" s="3585">
        <f t="shared" si="94"/>
        <v>0</v>
      </c>
      <c r="I637" s="3585">
        <f t="shared" si="94"/>
        <v>0</v>
      </c>
      <c r="J637" s="3585">
        <f t="shared" si="94"/>
        <v>0</v>
      </c>
      <c r="K637" s="3585">
        <f t="shared" si="94"/>
        <v>0</v>
      </c>
      <c r="L637" s="3585">
        <f t="shared" si="94"/>
        <v>0</v>
      </c>
      <c r="M637" s="3585">
        <f t="shared" si="94"/>
        <v>0</v>
      </c>
      <c r="N637" s="3585">
        <f t="shared" si="94"/>
        <v>0</v>
      </c>
    </row>
    <row r="638" spans="2:14">
      <c r="B638">
        <v>12</v>
      </c>
      <c r="C638" t="s">
        <v>56</v>
      </c>
      <c r="D638" s="373"/>
      <c r="E638" s="3801"/>
      <c r="F638" s="3585">
        <f t="shared" si="94"/>
        <v>0</v>
      </c>
      <c r="G638" s="3585">
        <f t="shared" si="94"/>
        <v>0</v>
      </c>
      <c r="H638" s="3585">
        <f t="shared" si="94"/>
        <v>0</v>
      </c>
      <c r="I638" s="3585">
        <f t="shared" si="94"/>
        <v>0</v>
      </c>
      <c r="J638" s="3585">
        <f t="shared" si="94"/>
        <v>0</v>
      </c>
      <c r="K638" s="3585">
        <f t="shared" si="94"/>
        <v>0</v>
      </c>
      <c r="L638" s="3585">
        <f t="shared" si="94"/>
        <v>0</v>
      </c>
      <c r="M638" s="3585">
        <f t="shared" si="94"/>
        <v>0</v>
      </c>
      <c r="N638" s="3585">
        <f t="shared" si="94"/>
        <v>0</v>
      </c>
    </row>
    <row r="639" spans="2:14">
      <c r="B639">
        <v>13</v>
      </c>
      <c r="C639" t="s">
        <v>57</v>
      </c>
      <c r="D639" s="373"/>
      <c r="E639" s="3801"/>
      <c r="F639" s="3585">
        <f t="shared" si="94"/>
        <v>0</v>
      </c>
      <c r="G639" s="3585">
        <f t="shared" si="94"/>
        <v>0</v>
      </c>
      <c r="H639" s="3585">
        <f t="shared" si="94"/>
        <v>0</v>
      </c>
      <c r="I639" s="3585">
        <f t="shared" si="94"/>
        <v>0</v>
      </c>
      <c r="J639" s="3585">
        <f t="shared" si="94"/>
        <v>0</v>
      </c>
      <c r="K639" s="3585">
        <f t="shared" si="94"/>
        <v>0</v>
      </c>
      <c r="L639" s="3585">
        <f t="shared" si="94"/>
        <v>0</v>
      </c>
      <c r="M639" s="3585">
        <f t="shared" si="94"/>
        <v>0</v>
      </c>
      <c r="N639" s="3585">
        <f t="shared" si="94"/>
        <v>0</v>
      </c>
    </row>
    <row r="640" spans="2:14">
      <c r="E640" s="373"/>
      <c r="F640" s="3585">
        <f t="shared" si="94"/>
        <v>9.56</v>
      </c>
      <c r="G640" s="3585">
        <f t="shared" si="94"/>
        <v>9.8399999999999981</v>
      </c>
      <c r="H640" s="3585">
        <f t="shared" si="94"/>
        <v>10.612500000000002</v>
      </c>
      <c r="I640" s="3585">
        <f t="shared" si="94"/>
        <v>11.13875</v>
      </c>
      <c r="J640" s="3585">
        <f t="shared" si="94"/>
        <v>11.664999999999999</v>
      </c>
      <c r="K640" s="3585">
        <f t="shared" si="94"/>
        <v>12.19125</v>
      </c>
      <c r="L640" s="3585">
        <f t="shared" si="94"/>
        <v>12.717499999999998</v>
      </c>
      <c r="M640" s="3585">
        <f t="shared" si="94"/>
        <v>13.243749999999999</v>
      </c>
      <c r="N640" s="3585">
        <f t="shared" si="94"/>
        <v>13.77</v>
      </c>
    </row>
    <row r="641" spans="2:14">
      <c r="E641" s="373"/>
      <c r="F641" s="3586">
        <f t="shared" ref="F641:N641" si="95">SUM(F628:F640)</f>
        <v>17.208000000000002</v>
      </c>
      <c r="G641" s="3586">
        <f t="shared" si="95"/>
        <v>17.818378378378377</v>
      </c>
      <c r="H641" s="3586">
        <f t="shared" si="95"/>
        <v>19.504054054054055</v>
      </c>
      <c r="I641" s="3586">
        <f t="shared" si="95"/>
        <v>20.772263513513515</v>
      </c>
      <c r="J641" s="3586">
        <f t="shared" si="95"/>
        <v>22.068918918918918</v>
      </c>
      <c r="K641" s="3586">
        <f t="shared" si="95"/>
        <v>23.394020270270268</v>
      </c>
      <c r="L641" s="3586">
        <f t="shared" si="95"/>
        <v>24.747567567567561</v>
      </c>
      <c r="M641" s="3586">
        <f t="shared" si="95"/>
        <v>26.129560810810808</v>
      </c>
      <c r="N641" s="3586">
        <f t="shared" si="95"/>
        <v>27.54</v>
      </c>
    </row>
    <row r="642" spans="2:14">
      <c r="B642" s="373"/>
      <c r="C642" s="354" t="s">
        <v>967</v>
      </c>
      <c r="E642" s="355" t="str">
        <f>Preferences.EnergyUnits</f>
        <v>TWh</v>
      </c>
      <c r="F642" s="2349"/>
      <c r="G642" s="2349"/>
      <c r="H642" s="2349"/>
      <c r="I642" s="2349"/>
      <c r="J642" s="2349"/>
      <c r="K642" s="2349"/>
      <c r="L642" s="2349"/>
      <c r="M642" s="2349"/>
      <c r="N642" s="2349"/>
    </row>
    <row r="643" spans="2:14">
      <c r="B643">
        <v>1</v>
      </c>
      <c r="C643" t="s">
        <v>45</v>
      </c>
      <c r="D643" s="373"/>
      <c r="E643" s="3801"/>
      <c r="F643" s="3585"/>
      <c r="G643" s="3585"/>
      <c r="H643" s="3585"/>
      <c r="I643" s="3585"/>
      <c r="J643" s="3585"/>
      <c r="K643" s="3585"/>
      <c r="L643" s="3585"/>
      <c r="M643" s="3585"/>
      <c r="N643" s="3585"/>
    </row>
    <row r="644" spans="2:14">
      <c r="B644">
        <v>2</v>
      </c>
      <c r="C644" t="s">
        <v>46</v>
      </c>
      <c r="D644" s="373"/>
      <c r="E644" s="3801"/>
      <c r="F644" s="3585">
        <v>0</v>
      </c>
      <c r="G644" s="3585">
        <f t="shared" ref="G644:N656" si="96">MAX(G628-F628+((G$624-F$624)/$E$309*F628),0)</f>
        <v>0.58745837837837844</v>
      </c>
      <c r="H644" s="3585">
        <f t="shared" si="96"/>
        <v>1.6605202702702704</v>
      </c>
      <c r="I644" s="3585">
        <f t="shared" si="96"/>
        <v>1.9320979729729726</v>
      </c>
      <c r="J644" s="3585">
        <f t="shared" si="96"/>
        <v>2.2721119087837831</v>
      </c>
      <c r="K644" s="3585">
        <f t="shared" si="96"/>
        <v>2.6323935810810815</v>
      </c>
      <c r="L644" s="3585">
        <f t="shared" si="96"/>
        <v>3.0129429898648636</v>
      </c>
      <c r="M644" s="3585">
        <f t="shared" si="96"/>
        <v>3.4137601351351354</v>
      </c>
      <c r="N644" s="3585">
        <f t="shared" si="96"/>
        <v>3.8348450168918924</v>
      </c>
    </row>
    <row r="645" spans="2:14">
      <c r="B645" s="354">
        <v>3</v>
      </c>
      <c r="C645" t="s">
        <v>47</v>
      </c>
      <c r="D645" s="373"/>
      <c r="E645" s="3801"/>
      <c r="F645" s="3585">
        <v>0</v>
      </c>
      <c r="G645" s="3585">
        <f t="shared" si="96"/>
        <v>0.26442162162162136</v>
      </c>
      <c r="H645" s="3585">
        <f t="shared" si="96"/>
        <v>0.64797972972973028</v>
      </c>
      <c r="I645" s="3585">
        <f t="shared" si="96"/>
        <v>0.53246452702702673</v>
      </c>
      <c r="J645" s="3585">
        <f t="shared" si="96"/>
        <v>0.46324746621621615</v>
      </c>
      <c r="K645" s="3585">
        <f t="shared" si="96"/>
        <v>0.38691891891891872</v>
      </c>
      <c r="L645" s="3585">
        <f t="shared" si="96"/>
        <v>0.30347888513513499</v>
      </c>
      <c r="M645" s="3585">
        <f t="shared" si="96"/>
        <v>0.21292736486486502</v>
      </c>
      <c r="N645" s="3585">
        <f t="shared" si="96"/>
        <v>0.1152643581081082</v>
      </c>
    </row>
    <row r="646" spans="2:14">
      <c r="B646">
        <v>4</v>
      </c>
      <c r="C646" t="s">
        <v>48</v>
      </c>
      <c r="D646" s="373"/>
      <c r="E646" s="3801"/>
      <c r="F646" s="3585">
        <v>0</v>
      </c>
      <c r="G646" s="3585">
        <f t="shared" si="96"/>
        <v>0.16194486486486445</v>
      </c>
      <c r="H646" s="3585">
        <f t="shared" si="96"/>
        <v>0.37343918918918928</v>
      </c>
      <c r="I646" s="3585">
        <f t="shared" si="96"/>
        <v>0.24670608108108055</v>
      </c>
      <c r="J646" s="3585">
        <f t="shared" si="96"/>
        <v>0.15197677364864842</v>
      </c>
      <c r="K646" s="3585">
        <f t="shared" si="96"/>
        <v>4.9069256756756718E-2</v>
      </c>
      <c r="L646" s="3585">
        <f t="shared" si="96"/>
        <v>0</v>
      </c>
      <c r="M646" s="3585">
        <f t="shared" si="96"/>
        <v>0</v>
      </c>
      <c r="N646" s="3585">
        <f t="shared" si="96"/>
        <v>0</v>
      </c>
    </row>
    <row r="647" spans="2:14">
      <c r="B647">
        <v>5</v>
      </c>
      <c r="C647" t="s">
        <v>49</v>
      </c>
      <c r="D647" s="373"/>
      <c r="E647" s="3801"/>
      <c r="F647" s="3585">
        <v>0</v>
      </c>
      <c r="G647" s="3585">
        <f t="shared" si="96"/>
        <v>2.1123243243243234E-2</v>
      </c>
      <c r="H647" s="3585">
        <f t="shared" si="96"/>
        <v>4.8709459459459481E-2</v>
      </c>
      <c r="I647" s="3585">
        <f t="shared" si="96"/>
        <v>3.217905405405401E-2</v>
      </c>
      <c r="J647" s="3585">
        <f t="shared" si="96"/>
        <v>1.9823057432432407E-2</v>
      </c>
      <c r="K647" s="3585">
        <f t="shared" si="96"/>
        <v>6.4003378378378398E-3</v>
      </c>
      <c r="L647" s="3585">
        <f t="shared" si="96"/>
        <v>0</v>
      </c>
      <c r="M647" s="3585">
        <f t="shared" si="96"/>
        <v>0</v>
      </c>
      <c r="N647" s="3585">
        <f t="shared" si="96"/>
        <v>0</v>
      </c>
    </row>
    <row r="648" spans="2:14">
      <c r="B648">
        <v>6</v>
      </c>
      <c r="C648" t="s">
        <v>50</v>
      </c>
      <c r="D648" s="373"/>
      <c r="E648" s="3801"/>
      <c r="F648" s="3585">
        <v>0</v>
      </c>
      <c r="G648" s="3585">
        <f t="shared" si="96"/>
        <v>0</v>
      </c>
      <c r="H648" s="3585">
        <f t="shared" si="96"/>
        <v>0</v>
      </c>
      <c r="I648" s="3585">
        <f t="shared" si="96"/>
        <v>0</v>
      </c>
      <c r="J648" s="3585">
        <f t="shared" si="96"/>
        <v>0</v>
      </c>
      <c r="K648" s="3585">
        <f t="shared" si="96"/>
        <v>0</v>
      </c>
      <c r="L648" s="3585">
        <f t="shared" si="96"/>
        <v>0</v>
      </c>
      <c r="M648" s="3585">
        <f t="shared" si="96"/>
        <v>0</v>
      </c>
      <c r="N648" s="3585">
        <f t="shared" si="96"/>
        <v>0</v>
      </c>
    </row>
    <row r="649" spans="2:14">
      <c r="B649">
        <v>7</v>
      </c>
      <c r="C649" t="s">
        <v>51</v>
      </c>
      <c r="D649" s="373"/>
      <c r="E649" s="3801"/>
      <c r="F649" s="3585">
        <v>0</v>
      </c>
      <c r="G649" s="3585">
        <f t="shared" si="96"/>
        <v>0</v>
      </c>
      <c r="H649" s="3585">
        <f t="shared" si="96"/>
        <v>0</v>
      </c>
      <c r="I649" s="3585">
        <f t="shared" si="96"/>
        <v>0</v>
      </c>
      <c r="J649" s="3585">
        <f t="shared" si="96"/>
        <v>0</v>
      </c>
      <c r="K649" s="3585">
        <f t="shared" si="96"/>
        <v>0</v>
      </c>
      <c r="L649" s="3585">
        <f t="shared" si="96"/>
        <v>0</v>
      </c>
      <c r="M649" s="3585">
        <f t="shared" si="96"/>
        <v>0</v>
      </c>
      <c r="N649" s="3585">
        <f t="shared" si="96"/>
        <v>0</v>
      </c>
    </row>
    <row r="650" spans="2:14">
      <c r="B650">
        <v>8</v>
      </c>
      <c r="C650" t="s">
        <v>52</v>
      </c>
      <c r="D650" s="373"/>
      <c r="E650" s="3801"/>
      <c r="F650" s="3585">
        <v>0</v>
      </c>
      <c r="G650" s="3585">
        <f t="shared" si="96"/>
        <v>3.3635675675675658E-2</v>
      </c>
      <c r="H650" s="3585">
        <f t="shared" si="96"/>
        <v>9.6679054054054081E-2</v>
      </c>
      <c r="I650" s="3585">
        <f t="shared" si="96"/>
        <v>0.11606334459459455</v>
      </c>
      <c r="J650" s="3585">
        <f t="shared" si="96"/>
        <v>0.13911613175675677</v>
      </c>
      <c r="K650" s="3585">
        <f t="shared" si="96"/>
        <v>0.16359121621621625</v>
      </c>
      <c r="L650" s="3585">
        <f t="shared" si="96"/>
        <v>0.18948859797297291</v>
      </c>
      <c r="M650" s="3585">
        <f t="shared" si="96"/>
        <v>0.2168082770270271</v>
      </c>
      <c r="N650" s="3585">
        <f t="shared" si="96"/>
        <v>0.24555025337837835</v>
      </c>
    </row>
    <row r="651" spans="2:14">
      <c r="B651">
        <v>9</v>
      </c>
      <c r="C651" t="s">
        <v>53</v>
      </c>
      <c r="D651" s="373"/>
      <c r="E651" s="3801"/>
      <c r="F651" s="3585">
        <v>0</v>
      </c>
      <c r="G651" s="3585">
        <f t="shared" si="96"/>
        <v>2.6594594594594595E-2</v>
      </c>
      <c r="H651" s="3585">
        <f t="shared" si="96"/>
        <v>8.0442567567567597E-2</v>
      </c>
      <c r="I651" s="3585">
        <f t="shared" si="96"/>
        <v>0.10533699324324323</v>
      </c>
      <c r="J651" s="3585">
        <f t="shared" si="96"/>
        <v>0.13250844594594594</v>
      </c>
      <c r="K651" s="3585">
        <f t="shared" si="96"/>
        <v>0.16145777027027031</v>
      </c>
      <c r="L651" s="3585">
        <f t="shared" si="96"/>
        <v>0.19218496621621617</v>
      </c>
      <c r="M651" s="3585">
        <f t="shared" si="96"/>
        <v>0.22469003378378383</v>
      </c>
      <c r="N651" s="3585">
        <f t="shared" si="96"/>
        <v>0.25897297297297295</v>
      </c>
    </row>
    <row r="652" spans="2:14">
      <c r="B652">
        <v>10</v>
      </c>
      <c r="C652" t="s">
        <v>54</v>
      </c>
      <c r="D652" s="373"/>
      <c r="E652" s="3801"/>
      <c r="F652" s="3585">
        <v>0</v>
      </c>
      <c r="G652" s="3585">
        <f t="shared" si="96"/>
        <v>0</v>
      </c>
      <c r="H652" s="3585">
        <f t="shared" si="96"/>
        <v>0</v>
      </c>
      <c r="I652" s="3585">
        <f t="shared" si="96"/>
        <v>0</v>
      </c>
      <c r="J652" s="3585">
        <f t="shared" si="96"/>
        <v>0</v>
      </c>
      <c r="K652" s="3585">
        <f t="shared" si="96"/>
        <v>0</v>
      </c>
      <c r="L652" s="3585">
        <f t="shared" si="96"/>
        <v>0</v>
      </c>
      <c r="M652" s="3585">
        <f t="shared" si="96"/>
        <v>0</v>
      </c>
      <c r="N652" s="3585">
        <f t="shared" si="96"/>
        <v>0</v>
      </c>
    </row>
    <row r="653" spans="2:14">
      <c r="B653">
        <v>11</v>
      </c>
      <c r="C653" t="s">
        <v>55</v>
      </c>
      <c r="D653" s="373"/>
      <c r="E653" s="3801"/>
      <c r="F653" s="3585">
        <v>0</v>
      </c>
      <c r="G653" s="3585">
        <f t="shared" si="96"/>
        <v>0</v>
      </c>
      <c r="H653" s="3585">
        <f t="shared" si="96"/>
        <v>0</v>
      </c>
      <c r="I653" s="3585">
        <f t="shared" si="96"/>
        <v>0</v>
      </c>
      <c r="J653" s="3585">
        <f t="shared" si="96"/>
        <v>0</v>
      </c>
      <c r="K653" s="3585">
        <f t="shared" si="96"/>
        <v>0</v>
      </c>
      <c r="L653" s="3585">
        <f t="shared" si="96"/>
        <v>0</v>
      </c>
      <c r="M653" s="3585">
        <f t="shared" si="96"/>
        <v>0</v>
      </c>
      <c r="N653" s="3585">
        <f t="shared" si="96"/>
        <v>0</v>
      </c>
    </row>
    <row r="654" spans="2:14">
      <c r="B654">
        <v>12</v>
      </c>
      <c r="C654" t="s">
        <v>56</v>
      </c>
      <c r="D654" s="373"/>
      <c r="E654" s="3801"/>
      <c r="F654" s="3585">
        <v>0</v>
      </c>
      <c r="G654" s="3585">
        <f t="shared" si="96"/>
        <v>0</v>
      </c>
      <c r="H654" s="3585">
        <f t="shared" si="96"/>
        <v>0</v>
      </c>
      <c r="I654" s="3585">
        <f t="shared" si="96"/>
        <v>0</v>
      </c>
      <c r="J654" s="3585">
        <f t="shared" si="96"/>
        <v>0</v>
      </c>
      <c r="K654" s="3585">
        <f t="shared" si="96"/>
        <v>0</v>
      </c>
      <c r="L654" s="3585">
        <f t="shared" si="96"/>
        <v>0</v>
      </c>
      <c r="M654" s="3585">
        <f t="shared" si="96"/>
        <v>0</v>
      </c>
      <c r="N654" s="3585">
        <f t="shared" si="96"/>
        <v>0</v>
      </c>
    </row>
    <row r="655" spans="2:14">
      <c r="B655">
        <v>13</v>
      </c>
      <c r="C655" t="s">
        <v>57</v>
      </c>
      <c r="D655" s="373"/>
      <c r="E655" s="3801"/>
      <c r="F655" s="3585">
        <v>0</v>
      </c>
      <c r="G655" s="3585">
        <f t="shared" si="96"/>
        <v>0</v>
      </c>
      <c r="H655" s="3585">
        <f t="shared" si="96"/>
        <v>0</v>
      </c>
      <c r="I655" s="3585">
        <f t="shared" si="96"/>
        <v>0</v>
      </c>
      <c r="J655" s="3585">
        <f t="shared" si="96"/>
        <v>0</v>
      </c>
      <c r="K655" s="3585">
        <f t="shared" si="96"/>
        <v>0</v>
      </c>
      <c r="L655" s="3585">
        <f t="shared" si="96"/>
        <v>0</v>
      </c>
      <c r="M655" s="3585">
        <f t="shared" si="96"/>
        <v>0</v>
      </c>
      <c r="N655" s="3585">
        <f t="shared" si="96"/>
        <v>0</v>
      </c>
    </row>
    <row r="656" spans="2:14">
      <c r="E656" s="373"/>
      <c r="F656" s="3585">
        <v>0</v>
      </c>
      <c r="G656" s="3585">
        <f t="shared" si="96"/>
        <v>1.2359999999999975</v>
      </c>
      <c r="H656" s="3585">
        <f t="shared" si="96"/>
        <v>3.2325000000000039</v>
      </c>
      <c r="I656" s="3585">
        <f t="shared" si="96"/>
        <v>3.1793749999999981</v>
      </c>
      <c r="J656" s="3585">
        <f t="shared" si="96"/>
        <v>3.3109374999999992</v>
      </c>
      <c r="K656" s="3585">
        <f t="shared" si="96"/>
        <v>3.4425000000000008</v>
      </c>
      <c r="L656" s="3585">
        <f t="shared" si="96"/>
        <v>3.5740624999999975</v>
      </c>
      <c r="M656" s="3585">
        <f t="shared" si="96"/>
        <v>3.7056250000000004</v>
      </c>
      <c r="N656" s="3585">
        <f t="shared" si="96"/>
        <v>3.8371875000000006</v>
      </c>
    </row>
    <row r="657" spans="2:30">
      <c r="E657" s="373"/>
      <c r="F657" s="3586">
        <f t="shared" ref="F657:N657" si="97">SUM(F644:F656)</f>
        <v>0</v>
      </c>
      <c r="G657" s="3586">
        <f t="shared" si="97"/>
        <v>2.3311783783783753</v>
      </c>
      <c r="H657" s="3586">
        <f t="shared" si="97"/>
        <v>6.1402702702702747</v>
      </c>
      <c r="I657" s="3586">
        <f t="shared" si="97"/>
        <v>6.1442229729729698</v>
      </c>
      <c r="J657" s="3586">
        <f t="shared" si="97"/>
        <v>6.4897212837837817</v>
      </c>
      <c r="K657" s="3586">
        <f t="shared" si="97"/>
        <v>6.842331081081082</v>
      </c>
      <c r="L657" s="3586">
        <f t="shared" si="97"/>
        <v>7.2721579391891851</v>
      </c>
      <c r="M657" s="3586">
        <f t="shared" si="97"/>
        <v>7.7738108108108115</v>
      </c>
      <c r="N657" s="3586">
        <f t="shared" si="97"/>
        <v>8.2918201013513517</v>
      </c>
    </row>
    <row r="658" spans="2:30">
      <c r="C658" s="354" t="s">
        <v>968</v>
      </c>
      <c r="E658" s="355" t="str">
        <f>Preferences.EnergyUnits</f>
        <v>TWh</v>
      </c>
      <c r="F658" s="3587"/>
      <c r="G658" s="3587"/>
      <c r="H658" s="3587"/>
      <c r="I658" s="3587"/>
      <c r="J658" s="3587"/>
      <c r="K658" s="3587"/>
      <c r="L658" s="3587"/>
      <c r="M658" s="3587"/>
      <c r="N658" s="3587"/>
    </row>
    <row r="659" spans="2:30">
      <c r="C659" s="354" t="s">
        <v>969</v>
      </c>
      <c r="E659" s="373"/>
      <c r="F659" s="3587">
        <f>F415</f>
        <v>1</v>
      </c>
      <c r="G659" s="3587">
        <f t="shared" ref="G659:N659" si="98">G415</f>
        <v>1.2</v>
      </c>
      <c r="H659" s="3587">
        <f t="shared" si="98"/>
        <v>1.2857142857142858</v>
      </c>
      <c r="I659" s="3587">
        <f t="shared" si="98"/>
        <v>1.2500000000000002</v>
      </c>
      <c r="J659" s="3587">
        <f t="shared" si="98"/>
        <v>1.1428571428571432</v>
      </c>
      <c r="K659" s="3587">
        <f t="shared" si="98"/>
        <v>0.96428571428571475</v>
      </c>
      <c r="L659" s="3587">
        <f t="shared" si="98"/>
        <v>0.71428571428571486</v>
      </c>
      <c r="M659" s="3587">
        <f t="shared" si="98"/>
        <v>0.39285714285714346</v>
      </c>
      <c r="N659" s="3587">
        <f t="shared" si="98"/>
        <v>0</v>
      </c>
    </row>
    <row r="660" spans="2:30">
      <c r="E660" s="373"/>
      <c r="F660" s="3587"/>
      <c r="G660" s="3585">
        <f t="shared" ref="G660:N660" si="99">MAX(G659-F659+((G$624-F$624)/$E$309*F659),0)</f>
        <v>0.29999999999999993</v>
      </c>
      <c r="H660" s="3585">
        <f t="shared" si="99"/>
        <v>0.38571428571428584</v>
      </c>
      <c r="I660" s="3585">
        <f t="shared" si="99"/>
        <v>0.28571428571428586</v>
      </c>
      <c r="J660" s="3585">
        <f t="shared" si="99"/>
        <v>0.20535714285714307</v>
      </c>
      <c r="K660" s="3585">
        <f t="shared" si="99"/>
        <v>0.10714285714285732</v>
      </c>
      <c r="L660" s="3585">
        <f t="shared" si="99"/>
        <v>0</v>
      </c>
      <c r="M660" s="3585">
        <f t="shared" si="99"/>
        <v>0</v>
      </c>
      <c r="N660" s="3585">
        <f t="shared" si="99"/>
        <v>0</v>
      </c>
    </row>
    <row r="661" spans="2:30">
      <c r="C661" s="354" t="s">
        <v>2768</v>
      </c>
      <c r="E661" s="373"/>
      <c r="F661" s="2349"/>
      <c r="G661" s="2349"/>
      <c r="H661" s="2349"/>
      <c r="I661" s="2349"/>
      <c r="J661" s="2349"/>
      <c r="K661" s="2349"/>
      <c r="L661" s="2349"/>
      <c r="M661" s="2349"/>
      <c r="N661" s="2349"/>
    </row>
    <row r="662" spans="2:30" hidden="1">
      <c r="E662" s="373"/>
      <c r="F662" s="404"/>
      <c r="G662" s="404"/>
      <c r="H662" s="404"/>
      <c r="I662" s="404"/>
      <c r="J662" s="404"/>
      <c r="K662" s="404"/>
      <c r="L662" s="404"/>
      <c r="M662" s="404"/>
      <c r="N662" s="404"/>
    </row>
    <row r="663" spans="2:30" hidden="1">
      <c r="B663" t="s">
        <v>290</v>
      </c>
      <c r="E663" s="373"/>
      <c r="F663" s="404"/>
      <c r="G663" s="404"/>
      <c r="H663" s="404"/>
      <c r="I663" s="404"/>
      <c r="J663" s="404"/>
      <c r="K663" s="404"/>
      <c r="L663" s="404"/>
      <c r="M663" s="404"/>
      <c r="N663" s="404"/>
    </row>
    <row r="664" spans="2:30" hidden="1">
      <c r="C664" t="s">
        <v>168</v>
      </c>
      <c r="E664" s="373" t="s">
        <v>2736</v>
      </c>
      <c r="F664" s="404"/>
      <c r="G664" s="404"/>
      <c r="H664" s="404"/>
      <c r="I664" s="404"/>
      <c r="J664" s="404"/>
      <c r="K664" s="404"/>
      <c r="L664" s="404"/>
      <c r="M664" s="404"/>
      <c r="N664" s="404"/>
    </row>
    <row r="665" spans="2:30" hidden="1">
      <c r="C665" t="s">
        <v>172</v>
      </c>
      <c r="E665" s="373" t="s">
        <v>2736</v>
      </c>
      <c r="F665" s="415"/>
      <c r="G665" s="415"/>
      <c r="H665" s="415"/>
      <c r="I665" s="415"/>
      <c r="J665" s="415"/>
      <c r="K665" s="415"/>
      <c r="L665" s="415"/>
      <c r="M665" s="415"/>
      <c r="N665" s="415"/>
    </row>
    <row r="666" spans="2:30" hidden="1">
      <c r="C666" t="s">
        <v>291</v>
      </c>
      <c r="E666" s="373" t="s">
        <v>2736</v>
      </c>
      <c r="F666" s="404"/>
      <c r="G666" s="404"/>
      <c r="H666" s="404"/>
      <c r="I666" s="404"/>
      <c r="J666" s="404"/>
      <c r="K666" s="404"/>
      <c r="L666" s="404"/>
      <c r="M666" s="404"/>
      <c r="N666" s="404"/>
    </row>
    <row r="667" spans="2:30" hidden="1">
      <c r="E667" s="373"/>
      <c r="F667" s="404"/>
      <c r="G667" s="404"/>
      <c r="H667" s="404"/>
      <c r="I667" s="404"/>
      <c r="J667" s="404"/>
      <c r="K667" s="404"/>
      <c r="L667" s="404"/>
      <c r="M667" s="404"/>
      <c r="N667" s="404"/>
    </row>
    <row r="668" spans="2:30" hidden="1">
      <c r="B668" t="s">
        <v>292</v>
      </c>
      <c r="E668" s="373"/>
      <c r="F668" s="404"/>
      <c r="G668" s="404"/>
      <c r="H668" s="404"/>
      <c r="I668" s="404"/>
      <c r="J668" s="404"/>
      <c r="K668" s="404"/>
      <c r="L668" s="404"/>
      <c r="M668" s="404"/>
      <c r="N668" s="404"/>
      <c r="U668" s="714"/>
      <c r="V668" s="714"/>
      <c r="W668" s="714"/>
      <c r="X668" s="714"/>
      <c r="Y668" s="714"/>
      <c r="Z668" s="714"/>
      <c r="AA668" s="714"/>
      <c r="AB668" s="714"/>
      <c r="AC668" s="714"/>
      <c r="AD668" s="714"/>
    </row>
    <row r="669" spans="2:30" hidden="1">
      <c r="C669" t="s">
        <v>168</v>
      </c>
      <c r="E669" s="373" t="s">
        <v>2736</v>
      </c>
      <c r="F669" s="404"/>
      <c r="G669" s="404"/>
      <c r="H669" s="404"/>
      <c r="I669" s="404"/>
      <c r="J669" s="404"/>
      <c r="K669" s="404"/>
      <c r="L669" s="404"/>
      <c r="M669" s="404"/>
      <c r="N669" s="404"/>
      <c r="U669" s="714"/>
      <c r="V669" s="714"/>
      <c r="W669" s="714"/>
      <c r="X669" s="714"/>
      <c r="Y669" s="714"/>
      <c r="Z669" s="714"/>
      <c r="AA669" s="714"/>
      <c r="AB669" s="714"/>
      <c r="AC669" s="714"/>
      <c r="AD669" s="714"/>
    </row>
    <row r="670" spans="2:30" hidden="1">
      <c r="C670" t="s">
        <v>172</v>
      </c>
      <c r="E670" s="373" t="s">
        <v>2736</v>
      </c>
      <c r="F670" s="415"/>
      <c r="G670" s="415"/>
      <c r="H670" s="415"/>
      <c r="I670" s="415"/>
      <c r="J670" s="415"/>
      <c r="K670" s="415"/>
      <c r="L670" s="415"/>
      <c r="M670" s="415"/>
      <c r="N670" s="415"/>
      <c r="U670" s="714"/>
      <c r="V670" s="714"/>
      <c r="W670" s="714"/>
      <c r="X670" s="714"/>
      <c r="Y670" s="714"/>
      <c r="Z670" s="714"/>
      <c r="AA670" s="714"/>
      <c r="AB670" s="714"/>
      <c r="AC670" s="714"/>
      <c r="AD670" s="714"/>
    </row>
    <row r="671" spans="2:30" hidden="1">
      <c r="C671" t="s">
        <v>291</v>
      </c>
      <c r="E671" s="373" t="s">
        <v>2736</v>
      </c>
      <c r="F671" s="404"/>
      <c r="G671" s="404"/>
      <c r="H671" s="404"/>
      <c r="I671" s="404"/>
      <c r="J671" s="404"/>
      <c r="K671" s="404"/>
      <c r="L671" s="404"/>
      <c r="M671" s="404"/>
      <c r="N671" s="404"/>
      <c r="U671" s="985"/>
      <c r="V671" s="985"/>
      <c r="W671" s="985"/>
      <c r="X671" s="985"/>
      <c r="Y671" s="985"/>
      <c r="Z671" s="985"/>
      <c r="AA671" s="985"/>
      <c r="AB671" s="985"/>
      <c r="AC671" s="985"/>
      <c r="AD671" s="985"/>
    </row>
    <row r="672" spans="2:30" hidden="1">
      <c r="U672" s="714"/>
      <c r="V672" s="714"/>
      <c r="W672" s="714"/>
      <c r="X672" s="714"/>
      <c r="Y672" s="714"/>
      <c r="Z672" s="714"/>
      <c r="AA672" s="714"/>
      <c r="AB672" s="714"/>
      <c r="AC672" s="714"/>
      <c r="AD672" s="714"/>
    </row>
    <row r="673" spans="2:30" hidden="1">
      <c r="B673" t="s">
        <v>293</v>
      </c>
      <c r="E673" s="373"/>
      <c r="F673" s="404"/>
      <c r="G673" s="404"/>
      <c r="H673" s="404"/>
      <c r="I673" s="404"/>
      <c r="J673" s="404"/>
      <c r="K673" s="404"/>
      <c r="L673" s="404"/>
      <c r="M673" s="404"/>
      <c r="N673" s="404"/>
      <c r="T673" s="373"/>
      <c r="U673" s="404"/>
      <c r="V673" s="404"/>
      <c r="W673" s="404"/>
      <c r="X673" s="404"/>
      <c r="Y673" s="404"/>
      <c r="Z673" s="404"/>
      <c r="AA673" s="404"/>
      <c r="AB673" s="404"/>
      <c r="AC673" s="404"/>
      <c r="AD673" s="404"/>
    </row>
    <row r="674" spans="2:30" hidden="1">
      <c r="C674" t="s">
        <v>168</v>
      </c>
      <c r="E674" s="373" t="s">
        <v>2736</v>
      </c>
      <c r="F674" s="404"/>
      <c r="G674" s="404"/>
      <c r="H674" s="404"/>
      <c r="I674" s="404"/>
      <c r="J674" s="404"/>
      <c r="K674" s="404"/>
      <c r="L674" s="404"/>
      <c r="M674" s="404"/>
      <c r="N674" s="404"/>
    </row>
    <row r="675" spans="2:30" hidden="1">
      <c r="C675" t="s">
        <v>172</v>
      </c>
      <c r="E675" s="373" t="s">
        <v>2736</v>
      </c>
      <c r="F675" s="415"/>
      <c r="G675" s="415"/>
      <c r="H675" s="415"/>
      <c r="I675" s="415"/>
      <c r="J675" s="415"/>
      <c r="K675" s="415"/>
      <c r="L675" s="415"/>
      <c r="M675" s="415"/>
      <c r="N675" s="415"/>
    </row>
    <row r="676" spans="2:30" hidden="1">
      <c r="C676" t="s">
        <v>291</v>
      </c>
      <c r="E676" s="373" t="s">
        <v>2736</v>
      </c>
      <c r="F676" s="404"/>
      <c r="G676" s="404"/>
      <c r="H676" s="404"/>
      <c r="I676" s="404"/>
      <c r="J676" s="404"/>
      <c r="K676" s="404"/>
      <c r="L676" s="404"/>
      <c r="M676" s="404"/>
      <c r="N676" s="404"/>
    </row>
    <row r="677" spans="2:30" hidden="1">
      <c r="E677" s="373"/>
      <c r="F677" s="404"/>
      <c r="G677" s="404"/>
      <c r="H677" s="404"/>
      <c r="I677" s="404"/>
      <c r="J677" s="404"/>
      <c r="K677" s="404"/>
      <c r="L677" s="404"/>
      <c r="M677" s="404"/>
      <c r="N677" s="404"/>
    </row>
    <row r="678" spans="2:30" hidden="1">
      <c r="B678" t="s">
        <v>970</v>
      </c>
      <c r="E678" s="373"/>
      <c r="F678" s="404"/>
      <c r="G678" s="404"/>
      <c r="H678" s="404"/>
      <c r="I678" s="404"/>
      <c r="J678" s="404"/>
      <c r="K678" s="404"/>
      <c r="L678" s="404"/>
      <c r="M678" s="404"/>
      <c r="N678" s="404"/>
    </row>
    <row r="679" spans="2:30" hidden="1">
      <c r="C679" t="s">
        <v>20</v>
      </c>
      <c r="E679" s="373" t="s">
        <v>2736</v>
      </c>
      <c r="G679" s="404"/>
      <c r="H679" s="404"/>
      <c r="I679" s="404"/>
      <c r="J679" s="404"/>
      <c r="K679" s="404"/>
      <c r="L679" s="404"/>
      <c r="M679" s="404"/>
      <c r="N679" s="404"/>
    </row>
    <row r="680" spans="2:30" hidden="1">
      <c r="C680" t="s">
        <v>160</v>
      </c>
      <c r="E680" s="373"/>
      <c r="G680" s="39"/>
      <c r="H680" s="39"/>
      <c r="I680" s="39"/>
      <c r="J680" s="39"/>
      <c r="K680" s="39"/>
      <c r="L680" s="39"/>
      <c r="M680" s="39"/>
      <c r="N680" s="39"/>
      <c r="O680" s="39"/>
    </row>
    <row r="681" spans="2:30" hidden="1">
      <c r="C681" t="s">
        <v>22</v>
      </c>
      <c r="E681" s="373" t="s">
        <v>2736</v>
      </c>
      <c r="F681" s="404"/>
      <c r="G681" s="404"/>
      <c r="H681" s="404"/>
      <c r="I681" s="404"/>
      <c r="J681" s="404"/>
      <c r="K681" s="404"/>
      <c r="L681" s="404"/>
      <c r="M681" s="404"/>
      <c r="N681" s="404"/>
    </row>
    <row r="682" spans="2:30" hidden="1">
      <c r="E682" s="373"/>
      <c r="F682" s="404"/>
      <c r="G682" s="404"/>
      <c r="H682" s="404"/>
      <c r="I682" s="404"/>
      <c r="J682" s="404"/>
      <c r="K682" s="404"/>
      <c r="L682" s="404"/>
      <c r="M682" s="404"/>
      <c r="N682" s="404"/>
    </row>
    <row r="683" spans="2:30" hidden="1">
      <c r="C683" s="354" t="s">
        <v>971</v>
      </c>
      <c r="E683" s="373"/>
      <c r="F683" s="404"/>
      <c r="G683" s="404"/>
      <c r="H683" s="404"/>
      <c r="I683" s="404"/>
      <c r="J683" s="404"/>
      <c r="K683" s="404"/>
      <c r="L683" s="404"/>
      <c r="M683" s="404"/>
      <c r="N683" s="404"/>
    </row>
    <row r="684" spans="2:30" hidden="1">
      <c r="E684" s="373"/>
      <c r="F684" s="404"/>
      <c r="G684" s="404"/>
      <c r="H684" s="404"/>
      <c r="I684" s="404"/>
      <c r="J684" s="404"/>
      <c r="K684" s="404"/>
      <c r="L684" s="404"/>
      <c r="M684" s="404"/>
      <c r="N684" s="404"/>
    </row>
    <row r="685" spans="2:30" hidden="1">
      <c r="B685" t="s">
        <v>290</v>
      </c>
      <c r="E685" s="373"/>
      <c r="F685" s="404"/>
      <c r="G685" s="404"/>
      <c r="H685" s="404"/>
      <c r="I685" s="404"/>
      <c r="J685" s="404"/>
      <c r="K685" s="404"/>
      <c r="L685" s="404"/>
      <c r="M685" s="404"/>
      <c r="N685" s="404"/>
    </row>
    <row r="686" spans="2:30" hidden="1">
      <c r="C686" t="s">
        <v>168</v>
      </c>
      <c r="E686" s="373" t="s">
        <v>2736</v>
      </c>
      <c r="F686" s="404"/>
      <c r="G686" s="415"/>
      <c r="H686" s="415"/>
      <c r="I686" s="415"/>
      <c r="J686" s="415"/>
      <c r="K686" s="415"/>
      <c r="L686" s="415"/>
      <c r="M686" s="415"/>
      <c r="N686" s="415"/>
    </row>
    <row r="687" spans="2:30" hidden="1">
      <c r="C687" t="s">
        <v>172</v>
      </c>
      <c r="E687" s="373" t="s">
        <v>2736</v>
      </c>
      <c r="F687" s="415"/>
      <c r="G687" s="415"/>
      <c r="H687" s="415"/>
      <c r="I687" s="415"/>
      <c r="J687" s="415"/>
      <c r="K687" s="415"/>
      <c r="L687" s="415"/>
      <c r="M687" s="415"/>
      <c r="N687" s="415"/>
    </row>
    <row r="688" spans="2:30" hidden="1">
      <c r="C688" t="s">
        <v>291</v>
      </c>
      <c r="E688" s="373" t="s">
        <v>2736</v>
      </c>
      <c r="F688" s="404"/>
      <c r="G688" s="404"/>
      <c r="H688" s="404"/>
      <c r="I688" s="404"/>
      <c r="J688" s="404"/>
      <c r="K688" s="404"/>
      <c r="L688" s="404"/>
      <c r="M688" s="404"/>
      <c r="N688" s="404"/>
    </row>
    <row r="689" spans="1:21" hidden="1">
      <c r="E689" s="373"/>
      <c r="F689" s="404"/>
      <c r="G689" s="404"/>
      <c r="H689" s="404"/>
      <c r="I689" s="404"/>
      <c r="J689" s="404"/>
      <c r="K689" s="404"/>
      <c r="L689" s="404"/>
      <c r="M689" s="404"/>
      <c r="N689" s="404"/>
    </row>
    <row r="690" spans="1:21" hidden="1">
      <c r="B690" t="s">
        <v>292</v>
      </c>
      <c r="E690" s="373"/>
      <c r="F690" s="404"/>
      <c r="G690" s="404"/>
      <c r="H690" s="404"/>
      <c r="I690" s="404"/>
      <c r="J690" s="404"/>
      <c r="K690" s="404"/>
      <c r="L690" s="404"/>
      <c r="M690" s="404"/>
      <c r="N690" s="404"/>
    </row>
    <row r="691" spans="1:21" hidden="1">
      <c r="C691" t="s">
        <v>168</v>
      </c>
      <c r="E691" s="373" t="s">
        <v>2736</v>
      </c>
      <c r="F691" s="404"/>
      <c r="G691" s="415"/>
      <c r="H691" s="415"/>
      <c r="I691" s="415"/>
      <c r="J691" s="415"/>
      <c r="K691" s="415"/>
      <c r="L691" s="415"/>
      <c r="M691" s="415"/>
      <c r="N691" s="415"/>
    </row>
    <row r="692" spans="1:21" hidden="1">
      <c r="C692" t="s">
        <v>172</v>
      </c>
      <c r="E692" s="373" t="s">
        <v>2736</v>
      </c>
      <c r="F692" s="415"/>
      <c r="G692" s="415"/>
      <c r="H692" s="415"/>
      <c r="I692" s="415"/>
      <c r="J692" s="415"/>
      <c r="K692" s="415"/>
      <c r="L692" s="415"/>
      <c r="M692" s="415"/>
      <c r="N692" s="415"/>
    </row>
    <row r="693" spans="1:21" hidden="1">
      <c r="C693" t="s">
        <v>291</v>
      </c>
      <c r="E693" s="373" t="s">
        <v>2736</v>
      </c>
      <c r="F693" s="404"/>
      <c r="G693" s="404"/>
      <c r="H693" s="404"/>
      <c r="I693" s="404"/>
      <c r="J693" s="404"/>
      <c r="K693" s="404"/>
      <c r="L693" s="404"/>
      <c r="M693" s="404"/>
      <c r="N693" s="404"/>
    </row>
    <row r="694" spans="1:21" hidden="1">
      <c r="E694" s="373"/>
      <c r="F694" s="404"/>
      <c r="G694" s="404"/>
      <c r="H694" s="404"/>
      <c r="I694" s="404"/>
      <c r="J694" s="404"/>
      <c r="K694" s="404"/>
      <c r="L694" s="404"/>
      <c r="M694" s="404"/>
      <c r="N694" s="404"/>
    </row>
    <row r="695" spans="1:21" hidden="1">
      <c r="B695" t="s">
        <v>293</v>
      </c>
      <c r="E695" s="373"/>
      <c r="F695" s="404"/>
      <c r="G695" s="404"/>
      <c r="H695" s="404"/>
      <c r="I695" s="404"/>
      <c r="J695" s="404"/>
      <c r="K695" s="404"/>
      <c r="L695" s="404"/>
      <c r="M695" s="404"/>
      <c r="N695" s="404"/>
    </row>
    <row r="696" spans="1:21" hidden="1">
      <c r="C696" t="s">
        <v>168</v>
      </c>
      <c r="E696" s="373" t="s">
        <v>2736</v>
      </c>
      <c r="F696" s="404"/>
      <c r="G696" s="415"/>
      <c r="H696" s="415"/>
      <c r="I696" s="415"/>
      <c r="J696" s="415"/>
      <c r="K696" s="415"/>
      <c r="L696" s="415"/>
      <c r="M696" s="415"/>
      <c r="N696" s="415"/>
    </row>
    <row r="697" spans="1:21" hidden="1">
      <c r="C697" t="s">
        <v>172</v>
      </c>
      <c r="E697" s="373" t="s">
        <v>2736</v>
      </c>
      <c r="F697" s="415"/>
      <c r="G697" s="415"/>
      <c r="H697" s="415"/>
      <c r="I697" s="415"/>
      <c r="J697" s="415"/>
      <c r="K697" s="415"/>
      <c r="L697" s="415"/>
      <c r="M697" s="415"/>
      <c r="N697" s="415"/>
    </row>
    <row r="698" spans="1:21" hidden="1">
      <c r="C698" t="s">
        <v>291</v>
      </c>
      <c r="E698" s="373" t="s">
        <v>2736</v>
      </c>
      <c r="F698" s="404"/>
      <c r="G698" s="404"/>
      <c r="H698" s="404"/>
      <c r="I698" s="404"/>
      <c r="J698" s="404"/>
      <c r="K698" s="404"/>
      <c r="L698" s="404"/>
      <c r="M698" s="404"/>
      <c r="N698" s="404"/>
    </row>
    <row r="699" spans="1:21">
      <c r="F699" s="404"/>
      <c r="G699" s="404"/>
      <c r="H699" s="404"/>
      <c r="I699" s="404"/>
      <c r="J699" s="404"/>
      <c r="K699" s="404"/>
      <c r="L699" s="404"/>
      <c r="M699" s="404"/>
      <c r="N699" s="404"/>
    </row>
    <row r="700" spans="1:21" ht="23.5">
      <c r="A700" s="7"/>
      <c r="B700" s="502" t="s">
        <v>296</v>
      </c>
      <c r="C700" s="503"/>
      <c r="D700" s="503"/>
      <c r="E700" s="503"/>
      <c r="F700" s="503"/>
      <c r="G700" s="503"/>
      <c r="H700" s="503"/>
      <c r="I700" s="503"/>
      <c r="J700" s="503"/>
      <c r="K700" s="503"/>
      <c r="L700" s="503"/>
      <c r="M700" s="503"/>
      <c r="N700" s="503"/>
      <c r="O700" s="857"/>
      <c r="S700" s="365"/>
      <c r="T700" s="365"/>
      <c r="U700" s="365"/>
    </row>
    <row r="701" spans="1:21">
      <c r="B701" s="505"/>
      <c r="C701" s="506"/>
      <c r="D701" s="506"/>
      <c r="E701" s="506"/>
      <c r="F701" s="506"/>
      <c r="G701" s="506"/>
      <c r="H701" s="506"/>
      <c r="I701" s="506"/>
      <c r="J701" s="506"/>
      <c r="K701" s="506"/>
      <c r="L701" s="506"/>
      <c r="M701" s="506"/>
      <c r="N701" s="506"/>
      <c r="O701" s="858"/>
      <c r="S701" s="365"/>
      <c r="T701" s="365"/>
      <c r="U701" s="365"/>
    </row>
    <row r="702" spans="1:21">
      <c r="B702" s="505"/>
      <c r="C702" s="34" t="s">
        <v>297</v>
      </c>
      <c r="D702" s="506"/>
      <c r="E702" s="507"/>
      <c r="F702" s="506"/>
      <c r="G702" s="506"/>
      <c r="H702" s="506"/>
      <c r="I702" s="506"/>
      <c r="J702" s="506"/>
      <c r="K702" s="506"/>
      <c r="L702" s="506"/>
      <c r="M702" s="506"/>
      <c r="N702" s="507" t="str">
        <f>Preferences.EnergyUnits</f>
        <v>TWh</v>
      </c>
      <c r="O702" s="858"/>
      <c r="S702" s="365"/>
      <c r="T702" s="365"/>
      <c r="U702" s="365"/>
    </row>
    <row r="703" spans="1:21">
      <c r="B703" s="505"/>
      <c r="C703" s="506"/>
      <c r="D703" s="506"/>
      <c r="E703" s="506"/>
      <c r="F703" s="506"/>
      <c r="G703" s="506"/>
      <c r="H703" s="506"/>
      <c r="I703" s="506"/>
      <c r="J703" s="506"/>
      <c r="K703" s="506"/>
      <c r="L703" s="506"/>
      <c r="M703" s="506"/>
      <c r="N703" s="506"/>
      <c r="O703" s="858"/>
      <c r="S703" s="365"/>
      <c r="T703" s="365"/>
      <c r="U703" s="365"/>
    </row>
    <row r="704" spans="1:21">
      <c r="B704" s="505"/>
      <c r="C704" s="1712" t="s">
        <v>28</v>
      </c>
      <c r="D704" s="1712" t="s">
        <v>29</v>
      </c>
      <c r="E704" s="1712" t="s">
        <v>30</v>
      </c>
      <c r="F704" s="1712" t="s">
        <v>588</v>
      </c>
      <c r="G704" s="1712" t="s">
        <v>132</v>
      </c>
      <c r="H704" s="1712" t="s">
        <v>133</v>
      </c>
      <c r="I704" s="1712" t="s">
        <v>134</v>
      </c>
      <c r="J704" s="1712" t="s">
        <v>135</v>
      </c>
      <c r="K704" s="1712" t="s">
        <v>136</v>
      </c>
      <c r="L704" s="1712" t="s">
        <v>137</v>
      </c>
      <c r="M704" s="1712" t="s">
        <v>138</v>
      </c>
      <c r="N704" s="1712" t="s">
        <v>139</v>
      </c>
      <c r="O704" s="858"/>
      <c r="R704" s="354"/>
      <c r="S704" s="365"/>
      <c r="T704" s="365"/>
      <c r="U704" s="365"/>
    </row>
    <row r="705" spans="2:21">
      <c r="B705" s="505"/>
      <c r="C705" s="1712" t="s">
        <v>95</v>
      </c>
      <c r="D705" s="3047" t="str">
        <f>INDEX(Vectors[Description], MATCH(IX.c.NoCHP.Outputs[Vector], Vectors[Code], 0))</f>
        <v>Electricity (delivered to end user)</v>
      </c>
      <c r="E705" s="1712"/>
      <c r="F705" s="1715">
        <f t="shared" ref="F705:N705" si="100">F733-F719</f>
        <v>-3.90225</v>
      </c>
      <c r="G705" s="1715">
        <f t="shared" si="100"/>
        <v>-4.0955180180180175</v>
      </c>
      <c r="H705" s="1715">
        <f t="shared" si="100"/>
        <v>-4.3753471283783796</v>
      </c>
      <c r="I705" s="1715">
        <f t="shared" si="100"/>
        <v>-4.5082162162162165</v>
      </c>
      <c r="J705" s="1715">
        <f t="shared" si="100"/>
        <v>-4.6165478603603614</v>
      </c>
      <c r="K705" s="1715">
        <f t="shared" si="100"/>
        <v>-4.7003420608108115</v>
      </c>
      <c r="L705" s="1715">
        <f t="shared" si="100"/>
        <v>-4.7595988175675679</v>
      </c>
      <c r="M705" s="1715">
        <f t="shared" si="100"/>
        <v>-4.7943181306306304</v>
      </c>
      <c r="N705" s="1715">
        <f t="shared" si="100"/>
        <v>-4.8045</v>
      </c>
      <c r="O705" s="858"/>
      <c r="S705" s="365"/>
      <c r="T705" s="365"/>
      <c r="U705" s="365"/>
    </row>
    <row r="706" spans="2:21">
      <c r="B706" s="505"/>
      <c r="C706" s="1712" t="s">
        <v>96</v>
      </c>
      <c r="D706" s="3047" t="str">
        <f>INDEX(Vectors[Description], MATCH(IX.c.NoCHP.Outputs[Vector], Vectors[Code], 0))</f>
        <v>Electricity (supplied to grid)</v>
      </c>
      <c r="E706" s="1712"/>
      <c r="F706" s="1715">
        <f t="shared" ref="F706:N706" si="101">F734-F720</f>
        <v>0</v>
      </c>
      <c r="G706" s="1715">
        <f t="shared" si="101"/>
        <v>0</v>
      </c>
      <c r="H706" s="1715">
        <f>H734-H720</f>
        <v>0</v>
      </c>
      <c r="I706" s="1715">
        <f t="shared" si="101"/>
        <v>0</v>
      </c>
      <c r="J706" s="1715">
        <f t="shared" si="101"/>
        <v>0</v>
      </c>
      <c r="K706" s="1715">
        <f t="shared" si="101"/>
        <v>0</v>
      </c>
      <c r="L706" s="1715">
        <f t="shared" si="101"/>
        <v>0</v>
      </c>
      <c r="M706" s="1715">
        <f t="shared" si="101"/>
        <v>0</v>
      </c>
      <c r="N706" s="1715">
        <f t="shared" si="101"/>
        <v>0</v>
      </c>
      <c r="O706" s="858"/>
      <c r="S706" s="365"/>
      <c r="T706" s="365"/>
      <c r="U706" s="365"/>
    </row>
    <row r="707" spans="2:21">
      <c r="B707" s="505"/>
      <c r="C707" s="1712" t="s">
        <v>97</v>
      </c>
      <c r="D707" s="3047" t="str">
        <f>INDEX(Vectors[Description], MATCH(IX.c.NoCHP.Outputs[Vector], Vectors[Code], 0))</f>
        <v>Solid hydrocarbons</v>
      </c>
      <c r="E707" s="1712"/>
      <c r="F707" s="1715">
        <f t="shared" ref="F707:N707" si="102">F735-F721</f>
        <v>-0.32965517241379305</v>
      </c>
      <c r="G707" s="1715">
        <f t="shared" si="102"/>
        <v>-0.32096924510717612</v>
      </c>
      <c r="H707" s="1715">
        <f t="shared" si="102"/>
        <v>-0.29671481826654245</v>
      </c>
      <c r="I707" s="1715">
        <f t="shared" si="102"/>
        <v>-0.25952353215284246</v>
      </c>
      <c r="J707" s="1715">
        <f t="shared" si="102"/>
        <v>-0.21742777260018636</v>
      </c>
      <c r="K707" s="1715">
        <f t="shared" si="102"/>
        <v>-0.17042753960857404</v>
      </c>
      <c r="L707" s="1715">
        <f t="shared" si="102"/>
        <v>-0.11852283317800553</v>
      </c>
      <c r="M707" s="1715">
        <f t="shared" si="102"/>
        <v>-6.1713653308480845E-2</v>
      </c>
      <c r="N707" s="1715">
        <f t="shared" si="102"/>
        <v>0</v>
      </c>
      <c r="O707" s="858"/>
      <c r="S707" s="365"/>
      <c r="T707" s="365"/>
      <c r="U707" s="365"/>
    </row>
    <row r="708" spans="2:21">
      <c r="B708" s="505"/>
      <c r="C708" s="716" t="s">
        <v>98</v>
      </c>
      <c r="D708" s="1716" t="str">
        <f>INDEX(Vectors[Description], MATCH(IX.c.NoCHP.Outputs[Vector], Vectors[Code], 0))</f>
        <v>Liquid hydrocarbons</v>
      </c>
      <c r="E708" s="716"/>
      <c r="F708" s="1715">
        <f t="shared" ref="F708:N708" si="103">F736-F722</f>
        <v>-2.2668041237113408</v>
      </c>
      <c r="G708" s="1715">
        <f t="shared" si="103"/>
        <v>-2.2070771802730569</v>
      </c>
      <c r="H708" s="1715">
        <f t="shared" si="103"/>
        <v>-2.040296740039008</v>
      </c>
      <c r="I708" s="1715">
        <f t="shared" si="103"/>
        <v>-1.7845587210922258</v>
      </c>
      <c r="J708" s="1715">
        <f t="shared" si="103"/>
        <v>-1.4950961270548895</v>
      </c>
      <c r="K708" s="1715">
        <f t="shared" si="103"/>
        <v>-1.1719089579269988</v>
      </c>
      <c r="L708" s="1715">
        <f t="shared" si="103"/>
        <v>-0.81499721370855327</v>
      </c>
      <c r="M708" s="1715">
        <f t="shared" si="103"/>
        <v>-0.42436089439955366</v>
      </c>
      <c r="N708" s="1715">
        <f t="shared" si="103"/>
        <v>0</v>
      </c>
      <c r="O708" s="858"/>
      <c r="S708" s="365"/>
      <c r="T708" s="365"/>
      <c r="U708" s="365"/>
    </row>
    <row r="709" spans="2:21">
      <c r="B709" s="505"/>
      <c r="C709" s="716" t="s">
        <v>99</v>
      </c>
      <c r="D709" s="1716" t="str">
        <f>INDEX(Vectors[Description], MATCH(IX.c.NoCHP.Outputs[Vector], Vectors[Code], 0))</f>
        <v>Gaseous hydrocarbons</v>
      </c>
      <c r="E709" s="716"/>
      <c r="F709" s="1715">
        <f t="shared" ref="F709:N709" si="104">F737-F723</f>
        <v>-4.9320532099479477</v>
      </c>
      <c r="G709" s="1715">
        <f t="shared" si="104"/>
        <v>-5.2696981539086805</v>
      </c>
      <c r="H709" s="1715">
        <f t="shared" si="104"/>
        <v>-6.2042971253497576</v>
      </c>
      <c r="I709" s="1715">
        <f t="shared" si="104"/>
        <v>-7.0586798336798342</v>
      </c>
      <c r="J709" s="1715">
        <f t="shared" si="104"/>
        <v>-7.9647226173541954</v>
      </c>
      <c r="K709" s="1715">
        <f t="shared" si="104"/>
        <v>-8.9224254763728439</v>
      </c>
      <c r="L709" s="1715">
        <f t="shared" si="104"/>
        <v>-9.931788410735777</v>
      </c>
      <c r="M709" s="1715">
        <f t="shared" si="104"/>
        <v>-10.992811420442997</v>
      </c>
      <c r="N709" s="1715">
        <f t="shared" si="104"/>
        <v>-12.105494505494505</v>
      </c>
      <c r="O709" s="858"/>
      <c r="S709" s="365"/>
      <c r="T709" s="365"/>
      <c r="U709" s="365"/>
    </row>
    <row r="710" spans="2:21">
      <c r="B710" s="505"/>
      <c r="C710" s="716" t="s">
        <v>100</v>
      </c>
      <c r="D710" s="1716" t="str">
        <f>INDEX(Vectors[Description], MATCH(IX.c.NoCHP.Outputs[Vector], Vectors[Code], 0))</f>
        <v>Heat transport</v>
      </c>
      <c r="E710" s="716"/>
      <c r="F710" s="1715">
        <f t="shared" ref="F710:N710" si="105">F738-F724</f>
        <v>0</v>
      </c>
      <c r="G710" s="1715">
        <f t="shared" si="105"/>
        <v>0</v>
      </c>
      <c r="H710" s="1715">
        <f t="shared" si="105"/>
        <v>0</v>
      </c>
      <c r="I710" s="1715">
        <f t="shared" si="105"/>
        <v>0</v>
      </c>
      <c r="J710" s="1715">
        <f t="shared" si="105"/>
        <v>0</v>
      </c>
      <c r="K710" s="1715">
        <f t="shared" si="105"/>
        <v>0</v>
      </c>
      <c r="L710" s="1715">
        <f t="shared" si="105"/>
        <v>0</v>
      </c>
      <c r="M710" s="1715">
        <f t="shared" si="105"/>
        <v>0</v>
      </c>
      <c r="N710" s="1715">
        <f t="shared" si="105"/>
        <v>0</v>
      </c>
      <c r="O710" s="858"/>
      <c r="S710" s="365"/>
      <c r="T710" s="365"/>
      <c r="U710" s="365"/>
    </row>
    <row r="711" spans="2:21">
      <c r="B711" s="505"/>
      <c r="C711" s="716" t="s">
        <v>101</v>
      </c>
      <c r="D711" s="1716" t="str">
        <f>INDEX(Vectors[Description], MATCH(IX.c.NoCHP.Outputs[Vector], Vectors[Code], 0))</f>
        <v>Environmental heat</v>
      </c>
      <c r="E711" s="716"/>
      <c r="F711" s="1715">
        <f>F739-F725</f>
        <v>-6.1350000000000002E-2</v>
      </c>
      <c r="G711" s="1715">
        <f t="shared" ref="G711:N711" si="106">G739-G725</f>
        <v>-9.6373873873873889E-2</v>
      </c>
      <c r="H711" s="1715">
        <f t="shared" si="106"/>
        <v>-0.19367314189189194</v>
      </c>
      <c r="I711" s="1715">
        <f t="shared" si="106"/>
        <v>-0.29741385135135134</v>
      </c>
      <c r="J711" s="1715">
        <f t="shared" si="106"/>
        <v>-0.41004673423423421</v>
      </c>
      <c r="K711" s="1715">
        <f t="shared" si="106"/>
        <v>-0.5315717905405406</v>
      </c>
      <c r="L711" s="1715">
        <f t="shared" si="106"/>
        <v>-0.66198902027027007</v>
      </c>
      <c r="M711" s="1715">
        <f t="shared" si="106"/>
        <v>-0.8012984234234235</v>
      </c>
      <c r="N711" s="1715">
        <f t="shared" si="106"/>
        <v>-0.9494999999999999</v>
      </c>
      <c r="O711" s="858"/>
      <c r="S711" s="365"/>
      <c r="T711" s="365"/>
      <c r="U711" s="365"/>
    </row>
    <row r="712" spans="2:21">
      <c r="B712" s="505"/>
      <c r="C712" s="716" t="s">
        <v>102</v>
      </c>
      <c r="D712" s="1716" t="str">
        <f>INDEX(Vectors[Description], MATCH(IX.c.NoCHP.Outputs[Vector], Vectors[Code], 0))</f>
        <v>Heating and cooling</v>
      </c>
      <c r="E712" s="716"/>
      <c r="F712" s="1715">
        <f>F740-F726-F727</f>
        <v>11.492112506073081</v>
      </c>
      <c r="G712" s="1715">
        <f t="shared" ref="G712:M712" si="107">G740-G726-G727</f>
        <v>11.989636471180802</v>
      </c>
      <c r="H712" s="1715">
        <f t="shared" si="107"/>
        <v>13.110328953925581</v>
      </c>
      <c r="I712" s="1715">
        <f t="shared" si="107"/>
        <v>13.90839215449247</v>
      </c>
      <c r="J712" s="1715">
        <f t="shared" si="107"/>
        <v>14.703841111603866</v>
      </c>
      <c r="K712" s="1715">
        <f t="shared" si="107"/>
        <v>15.49667582525977</v>
      </c>
      <c r="L712" s="1715">
        <f t="shared" si="107"/>
        <v>16.286896295460174</v>
      </c>
      <c r="M712" s="1715">
        <f t="shared" si="107"/>
        <v>17.074502522205087</v>
      </c>
      <c r="N712" s="1715">
        <f>N740-N726-N727</f>
        <v>17.859494505494506</v>
      </c>
      <c r="O712" s="858"/>
      <c r="S712" s="365"/>
      <c r="T712" s="365"/>
      <c r="U712" s="365"/>
    </row>
    <row r="713" spans="2:21">
      <c r="B713" s="505"/>
      <c r="C713" s="2433" t="s">
        <v>58</v>
      </c>
      <c r="D713" s="2433"/>
      <c r="E713" s="2433"/>
      <c r="F713" s="3046">
        <f>SUBTOTAL(109,IX.c.NoCHP.Outputs[2013])</f>
        <v>0</v>
      </c>
      <c r="G713" s="3046">
        <f>SUBTOTAL(109,IX.c.NoCHP.Outputs[2015])</f>
        <v>0</v>
      </c>
      <c r="H713" s="3046">
        <f>SUBTOTAL(109,IX.c.NoCHP.Outputs[2020])</f>
        <v>0</v>
      </c>
      <c r="I713" s="3046">
        <f>SUBTOTAL(109,IX.c.NoCHP.Outputs[2025])</f>
        <v>0</v>
      </c>
      <c r="J713" s="3046">
        <f>SUBTOTAL(109,IX.c.NoCHP.Outputs[2030])</f>
        <v>0</v>
      </c>
      <c r="K713" s="3046">
        <f>SUBTOTAL(109,IX.c.NoCHP.Outputs[2035])</f>
        <v>0</v>
      </c>
      <c r="L713" s="3046">
        <f>SUBTOTAL(109,IX.c.NoCHP.Outputs[2040])</f>
        <v>0</v>
      </c>
      <c r="M713" s="3046">
        <f>SUBTOTAL(109,IX.c.NoCHP.Outputs[2045])</f>
        <v>0</v>
      </c>
      <c r="N713" s="3046">
        <f>SUBTOTAL(109,IX.c.NoCHP.Outputs[2050])</f>
        <v>0</v>
      </c>
      <c r="O713" s="858"/>
      <c r="S713" s="365"/>
      <c r="T713" s="365"/>
      <c r="U713" s="365"/>
    </row>
    <row r="714" spans="2:21">
      <c r="B714" s="505"/>
      <c r="C714" s="506"/>
      <c r="D714" s="506"/>
      <c r="E714" s="506"/>
      <c r="F714" s="506"/>
      <c r="G714" s="506"/>
      <c r="H714" s="506"/>
      <c r="I714" s="506"/>
      <c r="J714" s="506"/>
      <c r="K714" s="506"/>
      <c r="L714" s="506"/>
      <c r="M714" s="506"/>
      <c r="N714" s="506"/>
      <c r="O714" s="858"/>
      <c r="S714" s="365"/>
      <c r="T714" s="365"/>
      <c r="U714" s="365"/>
    </row>
    <row r="715" spans="2:21">
      <c r="B715" s="505"/>
      <c r="C715" s="506"/>
      <c r="D715" s="506"/>
      <c r="E715" s="506"/>
      <c r="F715" s="506"/>
      <c r="G715" s="506"/>
      <c r="H715" s="506"/>
      <c r="I715" s="506"/>
      <c r="J715" s="506"/>
      <c r="K715" s="506"/>
      <c r="L715" s="506"/>
      <c r="M715" s="506"/>
      <c r="N715" s="506"/>
      <c r="O715" s="858"/>
      <c r="S715" s="365"/>
      <c r="T715" s="365"/>
      <c r="U715" s="365"/>
    </row>
    <row r="716" spans="2:21">
      <c r="B716" s="505"/>
      <c r="C716" s="34" t="s">
        <v>298</v>
      </c>
      <c r="D716" s="506"/>
      <c r="E716" s="507"/>
      <c r="F716" s="506"/>
      <c r="G716" s="506"/>
      <c r="H716" s="506"/>
      <c r="I716" s="506"/>
      <c r="J716" s="506"/>
      <c r="K716" s="506"/>
      <c r="L716" s="506"/>
      <c r="M716" s="506"/>
      <c r="N716" s="507" t="str">
        <f>Preferences.EnergyUnits</f>
        <v>TWh</v>
      </c>
      <c r="O716" s="858"/>
      <c r="S716" s="365"/>
      <c r="T716" s="365"/>
      <c r="U716" s="365"/>
    </row>
    <row r="717" spans="2:21">
      <c r="B717" s="505"/>
      <c r="C717" s="506"/>
      <c r="D717" s="506"/>
      <c r="E717" s="506"/>
      <c r="F717" s="506"/>
      <c r="G717" s="506"/>
      <c r="H717" s="506"/>
      <c r="I717" s="506"/>
      <c r="J717" s="506"/>
      <c r="K717" s="506"/>
      <c r="L717" s="506"/>
      <c r="M717" s="506"/>
      <c r="N717" s="506"/>
      <c r="O717" s="858"/>
      <c r="S717" s="365"/>
      <c r="T717" s="365"/>
      <c r="U717" s="365"/>
    </row>
    <row r="718" spans="2:21">
      <c r="B718" s="505"/>
      <c r="C718" s="1712" t="s">
        <v>28</v>
      </c>
      <c r="D718" s="1712" t="s">
        <v>29</v>
      </c>
      <c r="E718" s="1712" t="s">
        <v>30</v>
      </c>
      <c r="F718" s="1712" t="s">
        <v>588</v>
      </c>
      <c r="G718" s="1712" t="s">
        <v>132</v>
      </c>
      <c r="H718" s="1712" t="s">
        <v>133</v>
      </c>
      <c r="I718" s="1712" t="s">
        <v>134</v>
      </c>
      <c r="J718" s="1712" t="s">
        <v>135</v>
      </c>
      <c r="K718" s="1712" t="s">
        <v>136</v>
      </c>
      <c r="L718" s="1712" t="s">
        <v>137</v>
      </c>
      <c r="M718" s="1712" t="s">
        <v>138</v>
      </c>
      <c r="N718" s="1712" t="s">
        <v>139</v>
      </c>
      <c r="O718" s="858"/>
      <c r="S718" s="365"/>
      <c r="T718" s="365"/>
      <c r="U718" s="365"/>
    </row>
    <row r="719" spans="2:21">
      <c r="B719" s="505"/>
      <c r="C719" s="1712" t="s">
        <v>95</v>
      </c>
      <c r="D719" s="3047" t="str">
        <f>INDEX(Vectors[Description], MATCH(IX.c.CHP.Outputs[Vector], Vectors[Code], 0))</f>
        <v>Electricity (delivered to end user)</v>
      </c>
      <c r="E719" s="1712"/>
      <c r="F719" s="2769">
        <f>F515</f>
        <v>0</v>
      </c>
      <c r="G719" s="2769">
        <f t="shared" ref="G719:N719" si="108">G515</f>
        <v>0</v>
      </c>
      <c r="H719" s="2769">
        <f t="shared" si="108"/>
        <v>0</v>
      </c>
      <c r="I719" s="2769">
        <f t="shared" si="108"/>
        <v>0</v>
      </c>
      <c r="J719" s="2769">
        <f t="shared" si="108"/>
        <v>0</v>
      </c>
      <c r="K719" s="2769">
        <f t="shared" si="108"/>
        <v>0</v>
      </c>
      <c r="L719" s="2769">
        <f t="shared" si="108"/>
        <v>0</v>
      </c>
      <c r="M719" s="2769">
        <f t="shared" si="108"/>
        <v>0</v>
      </c>
      <c r="N719" s="2769">
        <f t="shared" si="108"/>
        <v>0</v>
      </c>
      <c r="O719" s="858"/>
      <c r="S719" s="365"/>
      <c r="T719" s="365"/>
      <c r="U719" s="365"/>
    </row>
    <row r="720" spans="2:21">
      <c r="B720" s="505"/>
      <c r="C720" s="1712" t="s">
        <v>96</v>
      </c>
      <c r="D720" s="3047" t="str">
        <f>INDEX(Vectors[Description], MATCH(IX.c.CHP.Outputs[Vector], Vectors[Code], 0))</f>
        <v>Electricity (supplied to grid)</v>
      </c>
      <c r="E720" s="1712"/>
      <c r="F720" s="2769">
        <f t="shared" ref="F720:N727" si="109">F516</f>
        <v>0</v>
      </c>
      <c r="G720" s="2769">
        <f t="shared" si="109"/>
        <v>0</v>
      </c>
      <c r="H720" s="2769">
        <f t="shared" si="109"/>
        <v>0</v>
      </c>
      <c r="I720" s="2769">
        <f t="shared" si="109"/>
        <v>0</v>
      </c>
      <c r="J720" s="2769">
        <f t="shared" si="109"/>
        <v>0</v>
      </c>
      <c r="K720" s="2769">
        <f t="shared" si="109"/>
        <v>0</v>
      </c>
      <c r="L720" s="2769">
        <f t="shared" si="109"/>
        <v>0</v>
      </c>
      <c r="M720" s="2769">
        <f t="shared" si="109"/>
        <v>0</v>
      </c>
      <c r="N720" s="2769">
        <f t="shared" si="109"/>
        <v>0</v>
      </c>
      <c r="O720" s="858"/>
      <c r="S720" s="365"/>
      <c r="T720" s="365"/>
      <c r="U720" s="365"/>
    </row>
    <row r="721" spans="1:21">
      <c r="B721" s="505"/>
      <c r="C721" s="1712" t="s">
        <v>97</v>
      </c>
      <c r="D721" s="3047" t="str">
        <f>INDEX(Vectors[Description], MATCH(IX.c.CHP.Outputs[Vector], Vectors[Code], 0))</f>
        <v>Solid hydrocarbons</v>
      </c>
      <c r="E721" s="1712"/>
      <c r="F721" s="2769">
        <f t="shared" si="109"/>
        <v>0</v>
      </c>
      <c r="G721" s="2769">
        <f t="shared" si="109"/>
        <v>0</v>
      </c>
      <c r="H721" s="2769">
        <f t="shared" si="109"/>
        <v>0</v>
      </c>
      <c r="I721" s="2769">
        <f t="shared" si="109"/>
        <v>0</v>
      </c>
      <c r="J721" s="2769">
        <f t="shared" si="109"/>
        <v>0</v>
      </c>
      <c r="K721" s="2769">
        <f t="shared" si="109"/>
        <v>0</v>
      </c>
      <c r="L721" s="2769">
        <f t="shared" si="109"/>
        <v>0</v>
      </c>
      <c r="M721" s="2769">
        <f t="shared" si="109"/>
        <v>0</v>
      </c>
      <c r="N721" s="2769">
        <f t="shared" si="109"/>
        <v>0</v>
      </c>
      <c r="O721" s="858"/>
      <c r="S721" s="365"/>
      <c r="T721" s="365"/>
      <c r="U721" s="365"/>
    </row>
    <row r="722" spans="1:21">
      <c r="B722" s="505"/>
      <c r="C722" s="716" t="s">
        <v>98</v>
      </c>
      <c r="D722" s="1716" t="str">
        <f>INDEX(Vectors[Description], MATCH(IX.c.CHP.Outputs[Vector], Vectors[Code], 0))</f>
        <v>Liquid hydrocarbons</v>
      </c>
      <c r="E722" s="716"/>
      <c r="F722" s="2769">
        <f t="shared" si="109"/>
        <v>0</v>
      </c>
      <c r="G722" s="2769">
        <f t="shared" si="109"/>
        <v>0</v>
      </c>
      <c r="H722" s="2769">
        <f t="shared" si="109"/>
        <v>0</v>
      </c>
      <c r="I722" s="2769">
        <f t="shared" si="109"/>
        <v>0</v>
      </c>
      <c r="J722" s="2769">
        <f t="shared" si="109"/>
        <v>0</v>
      </c>
      <c r="K722" s="2769">
        <f t="shared" si="109"/>
        <v>0</v>
      </c>
      <c r="L722" s="2769">
        <f t="shared" si="109"/>
        <v>0</v>
      </c>
      <c r="M722" s="2769">
        <f t="shared" si="109"/>
        <v>0</v>
      </c>
      <c r="N722" s="2769">
        <f t="shared" si="109"/>
        <v>0</v>
      </c>
      <c r="O722" s="858"/>
      <c r="S722" s="365"/>
      <c r="T722" s="365"/>
      <c r="U722" s="365"/>
    </row>
    <row r="723" spans="1:21">
      <c r="B723" s="505"/>
      <c r="C723" s="716" t="s">
        <v>99</v>
      </c>
      <c r="D723" s="1716" t="str">
        <f>INDEX(Vectors[Description], MATCH(IX.c.CHP.Outputs[Vector], Vectors[Code], 0))</f>
        <v>Gaseous hydrocarbons</v>
      </c>
      <c r="E723" s="716"/>
      <c r="F723" s="2769">
        <f t="shared" si="109"/>
        <v>0</v>
      </c>
      <c r="G723" s="2769">
        <f t="shared" si="109"/>
        <v>0</v>
      </c>
      <c r="H723" s="2769">
        <f t="shared" si="109"/>
        <v>0</v>
      </c>
      <c r="I723" s="2769">
        <f t="shared" si="109"/>
        <v>0</v>
      </c>
      <c r="J723" s="2769">
        <f t="shared" si="109"/>
        <v>0</v>
      </c>
      <c r="K723" s="2769">
        <f t="shared" si="109"/>
        <v>0</v>
      </c>
      <c r="L723" s="2769">
        <f t="shared" si="109"/>
        <v>0</v>
      </c>
      <c r="M723" s="2769">
        <f t="shared" si="109"/>
        <v>0</v>
      </c>
      <c r="N723" s="2769">
        <f t="shared" si="109"/>
        <v>0</v>
      </c>
      <c r="O723" s="858"/>
      <c r="S723" s="365"/>
      <c r="T723" s="365"/>
      <c r="U723" s="365"/>
    </row>
    <row r="724" spans="1:21">
      <c r="B724" s="505"/>
      <c r="C724" s="716" t="s">
        <v>100</v>
      </c>
      <c r="D724" s="1716" t="str">
        <f>INDEX(Vectors[Description], MATCH(IX.c.CHP.Outputs[Vector], Vectors[Code], 0))</f>
        <v>Heat transport</v>
      </c>
      <c r="E724" s="716"/>
      <c r="F724" s="2769">
        <f t="shared" si="109"/>
        <v>0</v>
      </c>
      <c r="G724" s="2769">
        <f t="shared" si="109"/>
        <v>0</v>
      </c>
      <c r="H724" s="2769">
        <f t="shared" si="109"/>
        <v>0</v>
      </c>
      <c r="I724" s="2769">
        <f t="shared" si="109"/>
        <v>0</v>
      </c>
      <c r="J724" s="2769">
        <f t="shared" si="109"/>
        <v>0</v>
      </c>
      <c r="K724" s="2769">
        <f t="shared" si="109"/>
        <v>0</v>
      </c>
      <c r="L724" s="2769">
        <f t="shared" si="109"/>
        <v>0</v>
      </c>
      <c r="M724" s="2769">
        <f t="shared" si="109"/>
        <v>0</v>
      </c>
      <c r="N724" s="2769">
        <f t="shared" si="109"/>
        <v>0</v>
      </c>
      <c r="O724" s="858"/>
      <c r="S724" s="365"/>
      <c r="T724" s="365"/>
      <c r="U724" s="365"/>
    </row>
    <row r="725" spans="1:21">
      <c r="B725" s="505"/>
      <c r="C725" s="716" t="s">
        <v>101</v>
      </c>
      <c r="D725" s="1716" t="str">
        <f>INDEX(Vectors[Description], MATCH(IX.c.CHP.Outputs[Vector], Vectors[Code], 0))</f>
        <v>Environmental heat</v>
      </c>
      <c r="E725" s="716"/>
      <c r="F725" s="2769">
        <f t="shared" si="109"/>
        <v>0</v>
      </c>
      <c r="G725" s="2769">
        <f t="shared" si="109"/>
        <v>0</v>
      </c>
      <c r="H725" s="2769">
        <f t="shared" si="109"/>
        <v>0</v>
      </c>
      <c r="I725" s="2769">
        <f t="shared" si="109"/>
        <v>0</v>
      </c>
      <c r="J725" s="2769">
        <f t="shared" si="109"/>
        <v>0</v>
      </c>
      <c r="K725" s="2769">
        <f t="shared" si="109"/>
        <v>0</v>
      </c>
      <c r="L725" s="2769">
        <f t="shared" si="109"/>
        <v>0</v>
      </c>
      <c r="M725" s="2769">
        <f t="shared" si="109"/>
        <v>0</v>
      </c>
      <c r="N725" s="2769">
        <f t="shared" si="109"/>
        <v>0</v>
      </c>
      <c r="O725" s="858"/>
      <c r="S725" s="365"/>
      <c r="T725" s="365"/>
      <c r="U725" s="365"/>
    </row>
    <row r="726" spans="1:21">
      <c r="B726" s="505"/>
      <c r="C726" s="716" t="s">
        <v>102</v>
      </c>
      <c r="D726" s="1716" t="str">
        <f>INDEX(Vectors[Description], MATCH(IX.c.CHP.Outputs[Vector], Vectors[Code], 0))</f>
        <v>Heating and cooling</v>
      </c>
      <c r="E726" s="716"/>
      <c r="F726" s="2769">
        <f t="shared" si="109"/>
        <v>0</v>
      </c>
      <c r="G726" s="2769">
        <f t="shared" si="109"/>
        <v>0</v>
      </c>
      <c r="H726" s="2769">
        <f t="shared" si="109"/>
        <v>0</v>
      </c>
      <c r="I726" s="2769">
        <f t="shared" si="109"/>
        <v>0</v>
      </c>
      <c r="J726" s="2769">
        <f t="shared" si="109"/>
        <v>0</v>
      </c>
      <c r="K726" s="2769">
        <f t="shared" si="109"/>
        <v>0</v>
      </c>
      <c r="L726" s="2769">
        <f t="shared" si="109"/>
        <v>0</v>
      </c>
      <c r="M726" s="2769">
        <f t="shared" si="109"/>
        <v>0</v>
      </c>
      <c r="N726" s="2769">
        <f t="shared" si="109"/>
        <v>0</v>
      </c>
      <c r="O726" s="858"/>
      <c r="S726" s="365"/>
      <c r="T726" s="365"/>
      <c r="U726" s="365"/>
    </row>
    <row r="727" spans="1:21">
      <c r="B727" s="505"/>
      <c r="C727" s="716" t="s">
        <v>103</v>
      </c>
      <c r="D727" s="1716" t="str">
        <f>INDEX(Vectors[Description], MATCH(IX.c.CHP.Outputs[Vector], Vectors[Code], 0))</f>
        <v>Conversion losses</v>
      </c>
      <c r="E727" s="716"/>
      <c r="F727" s="2769">
        <f t="shared" si="109"/>
        <v>0</v>
      </c>
      <c r="G727" s="2769">
        <f t="shared" si="109"/>
        <v>0</v>
      </c>
      <c r="H727" s="2769">
        <f t="shared" si="109"/>
        <v>0</v>
      </c>
      <c r="I727" s="2769">
        <f t="shared" si="109"/>
        <v>0</v>
      </c>
      <c r="J727" s="2769">
        <f t="shared" si="109"/>
        <v>0</v>
      </c>
      <c r="K727" s="2769">
        <f t="shared" si="109"/>
        <v>0</v>
      </c>
      <c r="L727" s="2769">
        <f t="shared" si="109"/>
        <v>0</v>
      </c>
      <c r="M727" s="2769">
        <f t="shared" si="109"/>
        <v>0</v>
      </c>
      <c r="N727" s="2769">
        <f t="shared" si="109"/>
        <v>0</v>
      </c>
      <c r="O727" s="858"/>
      <c r="S727" s="365"/>
      <c r="T727" s="365"/>
      <c r="U727" s="365"/>
    </row>
    <row r="728" spans="1:21">
      <c r="B728" s="505"/>
      <c r="C728" s="2433" t="s">
        <v>58</v>
      </c>
      <c r="D728" s="2433"/>
      <c r="E728" s="2433"/>
      <c r="F728" s="3046">
        <f>SUBTOTAL(109,IX.c.CHP.Outputs[2013])</f>
        <v>0</v>
      </c>
      <c r="G728" s="3046">
        <f>SUBTOTAL(109,IX.c.CHP.Outputs[2015])</f>
        <v>0</v>
      </c>
      <c r="H728" s="3046">
        <f>SUBTOTAL(109,IX.c.CHP.Outputs[2020])</f>
        <v>0</v>
      </c>
      <c r="I728" s="3046">
        <f>SUBTOTAL(109,IX.c.CHP.Outputs[2025])</f>
        <v>0</v>
      </c>
      <c r="J728" s="3046">
        <f>SUBTOTAL(109,IX.c.CHP.Outputs[2030])</f>
        <v>0</v>
      </c>
      <c r="K728" s="3046">
        <f>SUBTOTAL(109,IX.c.CHP.Outputs[2035])</f>
        <v>0</v>
      </c>
      <c r="L728" s="3046">
        <f>SUBTOTAL(109,IX.c.CHP.Outputs[2040])</f>
        <v>0</v>
      </c>
      <c r="M728" s="3046">
        <f>SUBTOTAL(109,IX.c.CHP.Outputs[2045])</f>
        <v>0</v>
      </c>
      <c r="N728" s="3046">
        <f>SUBTOTAL(109,IX.c.CHP.Outputs[2050])</f>
        <v>0</v>
      </c>
      <c r="O728" s="858"/>
      <c r="S728" s="365"/>
      <c r="T728" s="365"/>
      <c r="U728" s="365"/>
    </row>
    <row r="729" spans="1:21">
      <c r="B729" s="505"/>
      <c r="C729" s="506"/>
      <c r="D729" s="506"/>
      <c r="E729" s="506"/>
      <c r="F729" s="506"/>
      <c r="G729" s="506"/>
      <c r="H729" s="506"/>
      <c r="I729" s="506"/>
      <c r="J729" s="506"/>
      <c r="K729" s="506"/>
      <c r="L729" s="506"/>
      <c r="M729" s="506"/>
      <c r="N729" s="506"/>
      <c r="O729" s="858"/>
      <c r="S729" s="365"/>
      <c r="T729" s="365"/>
      <c r="U729" s="365"/>
    </row>
    <row r="730" spans="1:21" ht="15.5">
      <c r="A730" s="434"/>
      <c r="B730" s="15"/>
      <c r="C730" s="34" t="s">
        <v>746</v>
      </c>
      <c r="D730" s="506"/>
      <c r="E730" s="506"/>
      <c r="F730" s="506"/>
      <c r="G730" s="506"/>
      <c r="H730" s="506"/>
      <c r="I730" s="506"/>
      <c r="J730" s="506"/>
      <c r="K730" s="506"/>
      <c r="L730" s="506"/>
      <c r="M730" s="506"/>
      <c r="N730" s="507" t="str">
        <f>Preferences.EnergyUnits</f>
        <v>TWh</v>
      </c>
      <c r="O730" s="858"/>
    </row>
    <row r="731" spans="1:21" ht="15.5">
      <c r="A731" s="434"/>
      <c r="B731" s="15"/>
      <c r="C731" s="506"/>
      <c r="D731" s="506"/>
      <c r="E731" s="507"/>
      <c r="F731" s="506"/>
      <c r="G731" s="506"/>
      <c r="H731" s="506"/>
      <c r="I731" s="506"/>
      <c r="J731" s="506"/>
      <c r="K731" s="506"/>
      <c r="L731" s="506"/>
      <c r="M731" s="506"/>
      <c r="N731" s="506"/>
      <c r="O731" s="858"/>
    </row>
    <row r="732" spans="1:21" ht="15.5">
      <c r="A732" s="434"/>
      <c r="B732" s="15"/>
      <c r="C732" s="1712" t="s">
        <v>28</v>
      </c>
      <c r="D732" s="1712" t="s">
        <v>29</v>
      </c>
      <c r="E732" s="1712" t="s">
        <v>30</v>
      </c>
      <c r="F732" s="1712" t="s">
        <v>588</v>
      </c>
      <c r="G732" s="1712" t="s">
        <v>132</v>
      </c>
      <c r="H732" s="1712" t="s">
        <v>133</v>
      </c>
      <c r="I732" s="1712" t="s">
        <v>134</v>
      </c>
      <c r="J732" s="1712" t="s">
        <v>135</v>
      </c>
      <c r="K732" s="1712" t="s">
        <v>136</v>
      </c>
      <c r="L732" s="1712" t="s">
        <v>137</v>
      </c>
      <c r="M732" s="1712" t="s">
        <v>138</v>
      </c>
      <c r="N732" s="1712" t="s">
        <v>139</v>
      </c>
      <c r="O732" s="858"/>
    </row>
    <row r="733" spans="1:21" ht="15.5">
      <c r="A733" s="434"/>
      <c r="B733" s="15"/>
      <c r="C733" s="1712" t="s">
        <v>95</v>
      </c>
      <c r="D733" s="3047" t="str">
        <f>INDEX(Vectors[Description], MATCH(IX.c.Outputs[Vector], Vectors[Code], 0))</f>
        <v>Electricity (delivered to end user)</v>
      </c>
      <c r="E733" s="1712"/>
      <c r="F733" s="1715">
        <f t="shared" ref="F733:N739" si="110">F448</f>
        <v>-3.90225</v>
      </c>
      <c r="G733" s="1715">
        <f t="shared" si="110"/>
        <v>-4.0955180180180175</v>
      </c>
      <c r="H733" s="1715">
        <f t="shared" si="110"/>
        <v>-4.3753471283783796</v>
      </c>
      <c r="I733" s="1715">
        <f t="shared" si="110"/>
        <v>-4.5082162162162165</v>
      </c>
      <c r="J733" s="1715">
        <f t="shared" si="110"/>
        <v>-4.6165478603603614</v>
      </c>
      <c r="K733" s="1715">
        <f t="shared" si="110"/>
        <v>-4.7003420608108115</v>
      </c>
      <c r="L733" s="1715">
        <f t="shared" si="110"/>
        <v>-4.7595988175675679</v>
      </c>
      <c r="M733" s="1715">
        <f t="shared" si="110"/>
        <v>-4.7943181306306304</v>
      </c>
      <c r="N733" s="1715">
        <f t="shared" si="110"/>
        <v>-4.8045</v>
      </c>
      <c r="O733" s="858"/>
    </row>
    <row r="734" spans="1:21" ht="15.5">
      <c r="A734" s="434"/>
      <c r="B734" s="15"/>
      <c r="C734" s="1712" t="s">
        <v>96</v>
      </c>
      <c r="D734" s="3047" t="str">
        <f>INDEX(Vectors[Description], MATCH(IX.c.Outputs[Vector], Vectors[Code], 0))</f>
        <v>Electricity (supplied to grid)</v>
      </c>
      <c r="E734" s="1712"/>
      <c r="F734" s="1715">
        <f t="shared" si="110"/>
        <v>0</v>
      </c>
      <c r="G734" s="1715">
        <f t="shared" si="110"/>
        <v>0</v>
      </c>
      <c r="H734" s="1715">
        <f t="shared" si="110"/>
        <v>0</v>
      </c>
      <c r="I734" s="1715">
        <f t="shared" si="110"/>
        <v>0</v>
      </c>
      <c r="J734" s="1715">
        <f t="shared" si="110"/>
        <v>0</v>
      </c>
      <c r="K734" s="1715">
        <f t="shared" si="110"/>
        <v>0</v>
      </c>
      <c r="L734" s="1715">
        <f t="shared" si="110"/>
        <v>0</v>
      </c>
      <c r="M734" s="1715">
        <f t="shared" si="110"/>
        <v>0</v>
      </c>
      <c r="N734" s="1715">
        <f t="shared" si="110"/>
        <v>0</v>
      </c>
      <c r="O734" s="858"/>
    </row>
    <row r="735" spans="1:21" ht="15.5">
      <c r="A735" s="434"/>
      <c r="B735" s="15"/>
      <c r="C735" s="1712" t="s">
        <v>97</v>
      </c>
      <c r="D735" s="3047" t="str">
        <f>INDEX(Vectors[Description], MATCH(IX.c.Outputs[Vector], Vectors[Code], 0))</f>
        <v>Solid hydrocarbons</v>
      </c>
      <c r="E735" s="1712"/>
      <c r="F735" s="1715">
        <f t="shared" si="110"/>
        <v>-0.32965517241379305</v>
      </c>
      <c r="G735" s="1715">
        <f t="shared" si="110"/>
        <v>-0.32096924510717612</v>
      </c>
      <c r="H735" s="1715">
        <f t="shared" si="110"/>
        <v>-0.29671481826654245</v>
      </c>
      <c r="I735" s="1715">
        <f t="shared" si="110"/>
        <v>-0.25952353215284246</v>
      </c>
      <c r="J735" s="1715">
        <f t="shared" si="110"/>
        <v>-0.21742777260018636</v>
      </c>
      <c r="K735" s="1715">
        <f t="shared" si="110"/>
        <v>-0.17042753960857404</v>
      </c>
      <c r="L735" s="1715">
        <f t="shared" si="110"/>
        <v>-0.11852283317800553</v>
      </c>
      <c r="M735" s="1715">
        <f t="shared" si="110"/>
        <v>-6.1713653308480845E-2</v>
      </c>
      <c r="N735" s="1715">
        <f t="shared" si="110"/>
        <v>0</v>
      </c>
      <c r="O735" s="858"/>
    </row>
    <row r="736" spans="1:21" ht="15.5">
      <c r="A736" s="434"/>
      <c r="B736" s="15"/>
      <c r="C736" s="716" t="s">
        <v>98</v>
      </c>
      <c r="D736" s="1716" t="str">
        <f>INDEX(Vectors[Description], MATCH(IX.c.Outputs[Vector], Vectors[Code], 0))</f>
        <v>Liquid hydrocarbons</v>
      </c>
      <c r="E736" s="716"/>
      <c r="F736" s="1715">
        <f t="shared" si="110"/>
        <v>-2.2668041237113408</v>
      </c>
      <c r="G736" s="1715">
        <f t="shared" si="110"/>
        <v>-2.2070771802730569</v>
      </c>
      <c r="H736" s="1715">
        <f t="shared" si="110"/>
        <v>-2.040296740039008</v>
      </c>
      <c r="I736" s="1715">
        <f t="shared" si="110"/>
        <v>-1.7845587210922258</v>
      </c>
      <c r="J736" s="1715">
        <f t="shared" si="110"/>
        <v>-1.4950961270548895</v>
      </c>
      <c r="K736" s="1715">
        <f t="shared" si="110"/>
        <v>-1.1719089579269988</v>
      </c>
      <c r="L736" s="1715">
        <f t="shared" si="110"/>
        <v>-0.81499721370855327</v>
      </c>
      <c r="M736" s="1715">
        <f t="shared" si="110"/>
        <v>-0.42436089439955366</v>
      </c>
      <c r="N736" s="1715">
        <f t="shared" si="110"/>
        <v>0</v>
      </c>
      <c r="O736" s="858"/>
    </row>
    <row r="737" spans="1:16" ht="15.5">
      <c r="A737" s="434"/>
      <c r="B737" s="15"/>
      <c r="C737" s="716" t="s">
        <v>99</v>
      </c>
      <c r="D737" s="1716" t="str">
        <f>INDEX(Vectors[Description], MATCH(IX.c.Outputs[Vector], Vectors[Code], 0))</f>
        <v>Gaseous hydrocarbons</v>
      </c>
      <c r="E737" s="716"/>
      <c r="F737" s="1715">
        <f t="shared" si="110"/>
        <v>-4.9320532099479477</v>
      </c>
      <c r="G737" s="1715">
        <f t="shared" si="110"/>
        <v>-5.2696981539086805</v>
      </c>
      <c r="H737" s="1715">
        <f t="shared" si="110"/>
        <v>-6.2042971253497576</v>
      </c>
      <c r="I737" s="1715">
        <f t="shared" si="110"/>
        <v>-7.0586798336798342</v>
      </c>
      <c r="J737" s="1715">
        <f t="shared" si="110"/>
        <v>-7.9647226173541954</v>
      </c>
      <c r="K737" s="1715">
        <f t="shared" si="110"/>
        <v>-8.9224254763728439</v>
      </c>
      <c r="L737" s="1715">
        <f t="shared" si="110"/>
        <v>-9.931788410735777</v>
      </c>
      <c r="M737" s="1715">
        <f t="shared" si="110"/>
        <v>-10.992811420442997</v>
      </c>
      <c r="N737" s="1715">
        <f t="shared" si="110"/>
        <v>-12.105494505494505</v>
      </c>
      <c r="O737" s="858"/>
    </row>
    <row r="738" spans="1:16" ht="15.5">
      <c r="A738" s="434"/>
      <c r="B738" s="15"/>
      <c r="C738" s="716" t="s">
        <v>100</v>
      </c>
      <c r="D738" s="1716" t="str">
        <f>INDEX(Vectors[Description], MATCH(IX.c.Outputs[Vector], Vectors[Code], 0))</f>
        <v>Heat transport</v>
      </c>
      <c r="E738" s="716"/>
      <c r="F738" s="1715">
        <f t="shared" si="110"/>
        <v>0</v>
      </c>
      <c r="G738" s="1715">
        <f t="shared" si="110"/>
        <v>0</v>
      </c>
      <c r="H738" s="1715">
        <f t="shared" si="110"/>
        <v>0</v>
      </c>
      <c r="I738" s="1715">
        <f t="shared" si="110"/>
        <v>0</v>
      </c>
      <c r="J738" s="1715">
        <f t="shared" si="110"/>
        <v>0</v>
      </c>
      <c r="K738" s="1715">
        <f t="shared" si="110"/>
        <v>0</v>
      </c>
      <c r="L738" s="1715">
        <f t="shared" si="110"/>
        <v>0</v>
      </c>
      <c r="M738" s="1715">
        <f t="shared" si="110"/>
        <v>0</v>
      </c>
      <c r="N738" s="1715">
        <f t="shared" si="110"/>
        <v>0</v>
      </c>
      <c r="O738" s="858"/>
    </row>
    <row r="739" spans="1:16" ht="15.5">
      <c r="A739" s="434"/>
      <c r="B739" s="15"/>
      <c r="C739" s="716" t="s">
        <v>101</v>
      </c>
      <c r="D739" s="1716" t="str">
        <f>INDEX(Vectors[Description], MATCH(IX.c.Outputs[Vector], Vectors[Code], 0))</f>
        <v>Environmental heat</v>
      </c>
      <c r="E739" s="716"/>
      <c r="F739" s="1715">
        <f t="shared" si="110"/>
        <v>-6.1350000000000002E-2</v>
      </c>
      <c r="G739" s="1715">
        <f t="shared" si="110"/>
        <v>-9.6373873873873889E-2</v>
      </c>
      <c r="H739" s="1715">
        <f t="shared" si="110"/>
        <v>-0.19367314189189194</v>
      </c>
      <c r="I739" s="1715">
        <f t="shared" si="110"/>
        <v>-0.29741385135135134</v>
      </c>
      <c r="J739" s="1715">
        <f t="shared" si="110"/>
        <v>-0.41004673423423421</v>
      </c>
      <c r="K739" s="1715">
        <f t="shared" si="110"/>
        <v>-0.5315717905405406</v>
      </c>
      <c r="L739" s="1715">
        <f t="shared" si="110"/>
        <v>-0.66198902027027007</v>
      </c>
      <c r="M739" s="1715">
        <f t="shared" si="110"/>
        <v>-0.8012984234234235</v>
      </c>
      <c r="N739" s="1715">
        <f t="shared" si="110"/>
        <v>-0.9494999999999999</v>
      </c>
      <c r="O739" s="858"/>
    </row>
    <row r="740" spans="1:16" ht="15.5">
      <c r="B740" s="15"/>
      <c r="C740" s="716" t="s">
        <v>102</v>
      </c>
      <c r="D740" s="1716" t="str">
        <f>INDEX(Vectors[Description], MATCH(IX.c.Outputs[Vector], Vectors[Code], 0))</f>
        <v>Heating and cooling</v>
      </c>
      <c r="E740" s="716"/>
      <c r="F740" s="1715">
        <f>F455+F456</f>
        <v>11.492112506073081</v>
      </c>
      <c r="G740" s="1715">
        <f t="shared" ref="G740:M740" si="111">G455+G456</f>
        <v>11.989636471180802</v>
      </c>
      <c r="H740" s="1715">
        <f t="shared" si="111"/>
        <v>13.110328953925581</v>
      </c>
      <c r="I740" s="1715">
        <f t="shared" si="111"/>
        <v>13.90839215449247</v>
      </c>
      <c r="J740" s="1715">
        <f t="shared" si="111"/>
        <v>14.703841111603866</v>
      </c>
      <c r="K740" s="1715">
        <f t="shared" si="111"/>
        <v>15.49667582525977</v>
      </c>
      <c r="L740" s="1715">
        <f t="shared" si="111"/>
        <v>16.286896295460174</v>
      </c>
      <c r="M740" s="1715">
        <f t="shared" si="111"/>
        <v>17.074502522205087</v>
      </c>
      <c r="N740" s="1715">
        <f>N455+N456</f>
        <v>17.859494505494506</v>
      </c>
      <c r="O740" s="858"/>
    </row>
    <row r="741" spans="1:16" ht="15" customHeight="1">
      <c r="A741" s="7"/>
      <c r="B741" s="15"/>
      <c r="C741" s="2433" t="s">
        <v>58</v>
      </c>
      <c r="D741" s="2433"/>
      <c r="E741" s="2433"/>
      <c r="F741" s="3046">
        <f>SUBTOTAL(109,IX.c.Outputs[2013])</f>
        <v>0</v>
      </c>
      <c r="G741" s="3046">
        <f>SUBTOTAL(109,IX.c.Outputs[2015])</f>
        <v>0</v>
      </c>
      <c r="H741" s="3046">
        <f>SUBTOTAL(109,IX.c.Outputs[2020])</f>
        <v>0</v>
      </c>
      <c r="I741" s="3046">
        <f>SUBTOTAL(109,IX.c.Outputs[2025])</f>
        <v>0</v>
      </c>
      <c r="J741" s="3046">
        <f>SUBTOTAL(109,IX.c.Outputs[2030])</f>
        <v>0</v>
      </c>
      <c r="K741" s="3046">
        <f>SUBTOTAL(109,IX.c.Outputs[2035])</f>
        <v>0</v>
      </c>
      <c r="L741" s="3046">
        <f>SUBTOTAL(109,IX.c.Outputs[2040])</f>
        <v>0</v>
      </c>
      <c r="M741" s="3046">
        <f>SUBTOTAL(109,IX.c.Outputs[2045])</f>
        <v>0</v>
      </c>
      <c r="N741" s="3046">
        <f>SUBTOTAL(109,IX.c.Outputs[2050])</f>
        <v>0</v>
      </c>
      <c r="O741" s="506"/>
    </row>
    <row r="742" spans="1:16" ht="15.5">
      <c r="B742" s="15"/>
      <c r="C742" s="443"/>
      <c r="D742" s="443"/>
      <c r="E742" s="443"/>
      <c r="F742" s="1325"/>
      <c r="G742" s="443"/>
      <c r="H742" s="443"/>
      <c r="I742" s="443"/>
      <c r="J742" s="443"/>
      <c r="K742" s="443"/>
      <c r="L742" s="443"/>
      <c r="M742" s="443"/>
      <c r="N742" s="443"/>
      <c r="O742" s="506"/>
      <c r="P742" s="2865" t="s">
        <v>5</v>
      </c>
    </row>
    <row r="744" spans="1:16" ht="15">
      <c r="B744" s="1118" t="s">
        <v>300</v>
      </c>
      <c r="C744" s="1119"/>
      <c r="D744" s="1120"/>
      <c r="E744" s="1120"/>
      <c r="F744" s="1120"/>
      <c r="G744" s="1120"/>
      <c r="H744" s="1120"/>
      <c r="I744" s="1120"/>
      <c r="J744" s="1120"/>
      <c r="K744" s="1120"/>
      <c r="L744" s="1120"/>
      <c r="M744" s="1120"/>
      <c r="N744" s="1120"/>
      <c r="O744" s="1121"/>
    </row>
    <row r="745" spans="1:16" ht="15.5">
      <c r="B745" s="1326"/>
      <c r="C745" s="1123"/>
      <c r="D745" s="1123"/>
      <c r="E745" s="1123"/>
      <c r="F745" s="1123"/>
      <c r="G745" s="1123"/>
      <c r="H745" s="1123"/>
      <c r="I745" s="1123"/>
      <c r="J745" s="1123"/>
      <c r="K745" s="1123"/>
      <c r="L745" s="1123"/>
      <c r="M745" s="1123"/>
      <c r="N745" s="1123"/>
      <c r="O745" s="1124"/>
    </row>
    <row r="746" spans="1:16" ht="15.5">
      <c r="B746" s="458"/>
      <c r="C746" s="453" t="s">
        <v>301</v>
      </c>
      <c r="D746" s="1126"/>
      <c r="E746" s="1126"/>
      <c r="F746" s="1126"/>
      <c r="G746" s="1126"/>
      <c r="H746" s="1126"/>
      <c r="I746" s="1126"/>
      <c r="J746" s="1126"/>
      <c r="K746" s="1126"/>
      <c r="L746" s="1126"/>
      <c r="M746" s="1126"/>
      <c r="N746" s="1127" t="s">
        <v>251</v>
      </c>
      <c r="O746" s="1129"/>
    </row>
    <row r="747" spans="1:16" ht="15.5">
      <c r="B747" s="458"/>
      <c r="C747" s="1126"/>
      <c r="D747" s="1126"/>
      <c r="E747" s="1127"/>
      <c r="F747" s="1126"/>
      <c r="G747" s="1126"/>
      <c r="H747" s="1126"/>
      <c r="I747" s="1126"/>
      <c r="J747" s="1126"/>
      <c r="K747" s="1126"/>
      <c r="L747" s="1126"/>
      <c r="M747" s="1126"/>
      <c r="N747" s="1126"/>
      <c r="O747" s="1129"/>
    </row>
    <row r="748" spans="1:16" ht="15.5">
      <c r="B748" s="458"/>
      <c r="C748" s="1327" t="s">
        <v>302</v>
      </c>
      <c r="D748" s="1327" t="s">
        <v>303</v>
      </c>
      <c r="E748" s="1327" t="s">
        <v>30</v>
      </c>
      <c r="F748" s="1327" t="s">
        <v>588</v>
      </c>
      <c r="G748" s="1327" t="s">
        <v>132</v>
      </c>
      <c r="H748" s="1327" t="s">
        <v>133</v>
      </c>
      <c r="I748" s="1327" t="s">
        <v>134</v>
      </c>
      <c r="J748" s="1327" t="s">
        <v>135</v>
      </c>
      <c r="K748" s="1327" t="s">
        <v>136</v>
      </c>
      <c r="L748" s="1327" t="s">
        <v>137</v>
      </c>
      <c r="M748" s="1327" t="s">
        <v>138</v>
      </c>
      <c r="N748" s="1327" t="s">
        <v>139</v>
      </c>
      <c r="O748" s="1129"/>
    </row>
    <row r="749" spans="1:16" ht="15.5">
      <c r="B749" s="458"/>
      <c r="C749" s="1131" t="s">
        <v>250</v>
      </c>
      <c r="D749" s="1132" t="s">
        <v>304</v>
      </c>
      <c r="E749" s="1132" t="str">
        <f>INDEX(IPCC[Sector_description], MATCH(IX.c.NoCHP.Emissions[IPCC Sector], IPCC[Sector_code], 0))</f>
        <v>Fuel Combustion</v>
      </c>
      <c r="F749" s="2768">
        <f t="shared" ref="F749:N749" si="112">F765-F757</f>
        <v>1.7191590942521029</v>
      </c>
      <c r="G749" s="2768">
        <f t="shared" si="112"/>
        <v>1.7695888628956971</v>
      </c>
      <c r="H749" s="2768">
        <f t="shared" si="112"/>
        <v>1.90872222547836</v>
      </c>
      <c r="I749" s="2768">
        <f t="shared" si="112"/>
        <v>2.0035917190704722</v>
      </c>
      <c r="J749" s="2768">
        <f t="shared" si="112"/>
        <v>2.0984820243110649</v>
      </c>
      <c r="K749" s="2768">
        <f t="shared" si="112"/>
        <v>2.1933931412001382</v>
      </c>
      <c r="L749" s="2768">
        <f t="shared" si="112"/>
        <v>2.288325069737692</v>
      </c>
      <c r="M749" s="2768">
        <f t="shared" si="112"/>
        <v>2.3832778099237264</v>
      </c>
      <c r="N749" s="2768">
        <f t="shared" si="112"/>
        <v>2.4782513617582418</v>
      </c>
      <c r="O749" s="1129"/>
    </row>
    <row r="750" spans="1:16" ht="15.5">
      <c r="B750" s="458"/>
      <c r="C750" s="1131" t="s">
        <v>252</v>
      </c>
      <c r="D750" s="1132" t="s">
        <v>304</v>
      </c>
      <c r="E750" s="1132" t="str">
        <f>INDEX(IPCC[Sector_description], MATCH(IX.c.NoCHP.Emissions[IPCC Sector], IPCC[Sector_code], 0))</f>
        <v>Fuel Combustion</v>
      </c>
      <c r="F750" s="2768">
        <f t="shared" ref="F750:N750" si="113">F766-F758</f>
        <v>9.044197496539349E-4</v>
      </c>
      <c r="G750" s="2768">
        <f t="shared" si="113"/>
        <v>9.1593997737249744E-4</v>
      </c>
      <c r="H750" s="2768">
        <f t="shared" si="113"/>
        <v>9.4748631149995418E-4</v>
      </c>
      <c r="I750" s="2768">
        <f t="shared" si="113"/>
        <v>9.5210809869144077E-4</v>
      </c>
      <c r="J750" s="2768">
        <f t="shared" si="113"/>
        <v>9.5272710921402801E-4</v>
      </c>
      <c r="K750" s="2768">
        <f t="shared" si="113"/>
        <v>9.4934334306771622E-4</v>
      </c>
      <c r="L750" s="2768">
        <f t="shared" si="113"/>
        <v>9.4195680025250476E-4</v>
      </c>
      <c r="M750" s="2768">
        <f t="shared" si="113"/>
        <v>9.3056748076839426E-4</v>
      </c>
      <c r="N750" s="2768">
        <f t="shared" si="113"/>
        <v>9.1517538461538463E-4</v>
      </c>
      <c r="O750" s="1129"/>
    </row>
    <row r="751" spans="1:16" ht="15.5">
      <c r="B751" s="458"/>
      <c r="C751" s="1131" t="s">
        <v>253</v>
      </c>
      <c r="D751" s="1132" t="s">
        <v>304</v>
      </c>
      <c r="E751" s="1132" t="str">
        <f>INDEX(IPCC[Sector_description], MATCH(IX.c.NoCHP.Emissions[IPCC Sector], IPCC[Sector_code], 0))</f>
        <v>Fuel Combustion</v>
      </c>
      <c r="F751" s="2768">
        <f t="shared" ref="F751:N751" si="114">F767-F759</f>
        <v>1.7663896636119548E-2</v>
      </c>
      <c r="G751" s="2768">
        <f t="shared" si="114"/>
        <v>1.8711810823990694E-2</v>
      </c>
      <c r="H751" s="2768">
        <f t="shared" si="114"/>
        <v>2.1611336782204806E-2</v>
      </c>
      <c r="I751" s="2768">
        <f t="shared" si="114"/>
        <v>2.4184466064306055E-2</v>
      </c>
      <c r="J751" s="2768">
        <f t="shared" si="114"/>
        <v>2.6899469342591978E-2</v>
      </c>
      <c r="K751" s="2768">
        <f t="shared" si="114"/>
        <v>2.9756346617062574E-2</v>
      </c>
      <c r="L751" s="2768">
        <f t="shared" si="114"/>
        <v>3.2755097887717848E-2</v>
      </c>
      <c r="M751" s="2768">
        <f t="shared" si="114"/>
        <v>3.5895723154557788E-2</v>
      </c>
      <c r="N751" s="2768">
        <f t="shared" si="114"/>
        <v>3.9178222417582419E-2</v>
      </c>
      <c r="O751" s="1129"/>
    </row>
    <row r="752" spans="1:16" ht="15.5">
      <c r="B752" s="458"/>
      <c r="C752" s="2436" t="s">
        <v>58</v>
      </c>
      <c r="D752" s="2436"/>
      <c r="E752" s="2436"/>
      <c r="F752" s="2437">
        <f>SUBTOTAL(109,IX.c.NoCHP.Emissions[2013])</f>
        <v>1.7377274106378764</v>
      </c>
      <c r="G752" s="2437">
        <f>SUBTOTAL(109,IX.c.NoCHP.Emissions[2015])</f>
        <v>1.7892166136970604</v>
      </c>
      <c r="H752" s="2437">
        <f>SUBTOTAL(109,IX.c.NoCHP.Emissions[2020])</f>
        <v>1.9312810485720648</v>
      </c>
      <c r="I752" s="2437">
        <f>SUBTOTAL(109,IX.c.NoCHP.Emissions[2025])</f>
        <v>2.02872829323347</v>
      </c>
      <c r="J752" s="2437">
        <f>SUBTOTAL(109,IX.c.NoCHP.Emissions[2030])</f>
        <v>2.126334220762871</v>
      </c>
      <c r="K752" s="2437">
        <f>SUBTOTAL(109,IX.c.NoCHP.Emissions[2035])</f>
        <v>2.2240988311602683</v>
      </c>
      <c r="L752" s="2437">
        <f>SUBTOTAL(109,IX.c.NoCHP.Emissions[2040])</f>
        <v>2.3220221244256622</v>
      </c>
      <c r="M752" s="2437">
        <f>SUBTOTAL(109,IX.c.NoCHP.Emissions[2045])</f>
        <v>2.4201041005590525</v>
      </c>
      <c r="N752" s="2437">
        <f>SUBTOTAL(109,IX.c.NoCHP.Emissions[2050])</f>
        <v>2.5183447595604393</v>
      </c>
      <c r="O752" s="1129"/>
    </row>
    <row r="753" spans="2:15" ht="15.5">
      <c r="B753" s="458"/>
      <c r="C753" s="1126"/>
      <c r="D753" s="1126"/>
      <c r="E753" s="1126"/>
      <c r="F753" s="1126"/>
      <c r="G753" s="1126"/>
      <c r="H753" s="1126"/>
      <c r="I753" s="1126"/>
      <c r="J753" s="1126"/>
      <c r="K753" s="1126"/>
      <c r="L753" s="1126"/>
      <c r="M753" s="1126"/>
      <c r="N753" s="1126"/>
      <c r="O753" s="1129"/>
    </row>
    <row r="754" spans="2:15" ht="15.5">
      <c r="B754" s="458"/>
      <c r="C754" s="453" t="s">
        <v>306</v>
      </c>
      <c r="D754" s="1126"/>
      <c r="E754" s="1126"/>
      <c r="F754" s="1126"/>
      <c r="G754" s="1126"/>
      <c r="H754" s="1126"/>
      <c r="I754" s="1126"/>
      <c r="J754" s="1126"/>
      <c r="K754" s="1126"/>
      <c r="L754" s="1126"/>
      <c r="M754" s="1126"/>
      <c r="N754" s="1127" t="s">
        <v>251</v>
      </c>
      <c r="O754" s="1129"/>
    </row>
    <row r="755" spans="2:15" ht="15.5">
      <c r="B755" s="458"/>
      <c r="C755" s="1126"/>
      <c r="D755" s="1126"/>
      <c r="E755" s="1127"/>
      <c r="F755" s="1126"/>
      <c r="G755" s="1126"/>
      <c r="H755" s="1126"/>
      <c r="I755" s="1126"/>
      <c r="J755" s="1126"/>
      <c r="K755" s="1126"/>
      <c r="L755" s="1126"/>
      <c r="M755" s="1126"/>
      <c r="N755" s="1126"/>
      <c r="O755" s="1129"/>
    </row>
    <row r="756" spans="2:15" ht="15.5">
      <c r="B756" s="458"/>
      <c r="C756" s="1327" t="s">
        <v>302</v>
      </c>
      <c r="D756" s="1327" t="s">
        <v>303</v>
      </c>
      <c r="E756" s="1327" t="s">
        <v>30</v>
      </c>
      <c r="F756" s="1327" t="s">
        <v>588</v>
      </c>
      <c r="G756" s="1327" t="s">
        <v>132</v>
      </c>
      <c r="H756" s="1327" t="s">
        <v>133</v>
      </c>
      <c r="I756" s="1327" t="s">
        <v>134</v>
      </c>
      <c r="J756" s="1327" t="s">
        <v>135</v>
      </c>
      <c r="K756" s="1327" t="s">
        <v>136</v>
      </c>
      <c r="L756" s="1327" t="s">
        <v>137</v>
      </c>
      <c r="M756" s="1327" t="s">
        <v>138</v>
      </c>
      <c r="N756" s="1327" t="s">
        <v>139</v>
      </c>
      <c r="O756" s="1129"/>
    </row>
    <row r="757" spans="2:15" ht="15.5">
      <c r="B757" s="458"/>
      <c r="C757" s="1131" t="s">
        <v>250</v>
      </c>
      <c r="D757" s="1132" t="s">
        <v>304</v>
      </c>
      <c r="E757" s="1132" t="str">
        <f>INDEX(IPCC[Sector_description], MATCH(IX.c.CHP.Emissions[IPCC Sector], IPCC[Sector_code], 0))</f>
        <v>Fuel Combustion</v>
      </c>
      <c r="F757" s="2768">
        <f>F527</f>
        <v>0</v>
      </c>
      <c r="G757" s="2768">
        <f t="shared" ref="G757:N757" si="115">G527</f>
        <v>0</v>
      </c>
      <c r="H757" s="2768">
        <f t="shared" si="115"/>
        <v>0</v>
      </c>
      <c r="I757" s="2768">
        <f t="shared" si="115"/>
        <v>0</v>
      </c>
      <c r="J757" s="2768">
        <f t="shared" si="115"/>
        <v>0</v>
      </c>
      <c r="K757" s="2768">
        <f t="shared" si="115"/>
        <v>0</v>
      </c>
      <c r="L757" s="2768">
        <f t="shared" si="115"/>
        <v>0</v>
      </c>
      <c r="M757" s="2768">
        <f t="shared" si="115"/>
        <v>0</v>
      </c>
      <c r="N757" s="2768">
        <f t="shared" si="115"/>
        <v>0</v>
      </c>
      <c r="O757" s="1129"/>
    </row>
    <row r="758" spans="2:15" ht="15.5">
      <c r="B758" s="458"/>
      <c r="C758" s="1131" t="s">
        <v>252</v>
      </c>
      <c r="D758" s="1132" t="s">
        <v>304</v>
      </c>
      <c r="E758" s="1132" t="str">
        <f>INDEX(IPCC[Sector_description], MATCH(IX.c.CHP.Emissions[IPCC Sector], IPCC[Sector_code], 0))</f>
        <v>Fuel Combustion</v>
      </c>
      <c r="F758" s="2768">
        <f t="shared" ref="F758:N759" si="116">F528</f>
        <v>0</v>
      </c>
      <c r="G758" s="2768">
        <f t="shared" si="116"/>
        <v>0</v>
      </c>
      <c r="H758" s="2768">
        <f t="shared" si="116"/>
        <v>0</v>
      </c>
      <c r="I758" s="2768">
        <f t="shared" si="116"/>
        <v>0</v>
      </c>
      <c r="J758" s="2768">
        <f t="shared" si="116"/>
        <v>0</v>
      </c>
      <c r="K758" s="2768">
        <f t="shared" si="116"/>
        <v>0</v>
      </c>
      <c r="L758" s="2768">
        <f t="shared" si="116"/>
        <v>0</v>
      </c>
      <c r="M758" s="2768">
        <f t="shared" si="116"/>
        <v>0</v>
      </c>
      <c r="N758" s="2768">
        <f t="shared" si="116"/>
        <v>0</v>
      </c>
      <c r="O758" s="1129"/>
    </row>
    <row r="759" spans="2:15" ht="15.5">
      <c r="B759" s="458"/>
      <c r="C759" s="1131" t="s">
        <v>253</v>
      </c>
      <c r="D759" s="1132" t="s">
        <v>304</v>
      </c>
      <c r="E759" s="1132" t="str">
        <f>INDEX(IPCC[Sector_description], MATCH(IX.c.CHP.Emissions[IPCC Sector], IPCC[Sector_code], 0))</f>
        <v>Fuel Combustion</v>
      </c>
      <c r="F759" s="2768">
        <f t="shared" si="116"/>
        <v>0</v>
      </c>
      <c r="G759" s="2768">
        <f t="shared" si="116"/>
        <v>0</v>
      </c>
      <c r="H759" s="2768">
        <f t="shared" si="116"/>
        <v>0</v>
      </c>
      <c r="I759" s="2768">
        <f t="shared" si="116"/>
        <v>0</v>
      </c>
      <c r="J759" s="2768">
        <f t="shared" si="116"/>
        <v>0</v>
      </c>
      <c r="K759" s="2768">
        <f t="shared" si="116"/>
        <v>0</v>
      </c>
      <c r="L759" s="2768">
        <f t="shared" si="116"/>
        <v>0</v>
      </c>
      <c r="M759" s="2768">
        <f t="shared" si="116"/>
        <v>0</v>
      </c>
      <c r="N759" s="2768">
        <f t="shared" si="116"/>
        <v>0</v>
      </c>
      <c r="O759" s="1129"/>
    </row>
    <row r="760" spans="2:15" ht="15.5">
      <c r="B760" s="458"/>
      <c r="C760" s="2436" t="s">
        <v>58</v>
      </c>
      <c r="D760" s="2436"/>
      <c r="E760" s="2436"/>
      <c r="F760" s="2437">
        <f>SUBTOTAL(109,IX.c.CHP.Emissions[2013])</f>
        <v>0</v>
      </c>
      <c r="G760" s="2437">
        <f>SUBTOTAL(109,IX.c.CHP.Emissions[2015])</f>
        <v>0</v>
      </c>
      <c r="H760" s="2437">
        <f>SUBTOTAL(109,IX.c.CHP.Emissions[2020])</f>
        <v>0</v>
      </c>
      <c r="I760" s="2437">
        <f>SUBTOTAL(109,IX.c.CHP.Emissions[2025])</f>
        <v>0</v>
      </c>
      <c r="J760" s="2437">
        <f>SUBTOTAL(109,IX.c.CHP.Emissions[2030])</f>
        <v>0</v>
      </c>
      <c r="K760" s="2437">
        <f>SUBTOTAL(109,IX.c.CHP.Emissions[2035])</f>
        <v>0</v>
      </c>
      <c r="L760" s="2437">
        <f>SUBTOTAL(109,IX.c.CHP.Emissions[2040])</f>
        <v>0</v>
      </c>
      <c r="M760" s="2437">
        <f>SUBTOTAL(109,IX.c.CHP.Emissions[2045])</f>
        <v>0</v>
      </c>
      <c r="N760" s="2437">
        <f>SUBTOTAL(109,IX.c.CHP.Emissions[2050])</f>
        <v>0</v>
      </c>
      <c r="O760" s="1129"/>
    </row>
    <row r="761" spans="2:15">
      <c r="B761" s="1125"/>
      <c r="C761" s="1126"/>
      <c r="D761" s="1126"/>
      <c r="E761" s="1126"/>
      <c r="F761" s="1126"/>
      <c r="G761" s="1126"/>
      <c r="H761" s="1126"/>
      <c r="I761" s="1126"/>
      <c r="J761" s="1126"/>
      <c r="K761" s="1126"/>
      <c r="L761" s="1126"/>
      <c r="M761" s="1126"/>
      <c r="N761" s="1126"/>
      <c r="O761" s="1129"/>
    </row>
    <row r="762" spans="2:15" ht="15.5">
      <c r="B762" s="458"/>
      <c r="C762" s="453" t="s">
        <v>307</v>
      </c>
      <c r="D762" s="1126"/>
      <c r="E762" s="1126"/>
      <c r="F762" s="1126"/>
      <c r="G762" s="1126"/>
      <c r="H762" s="1126"/>
      <c r="I762" s="1126"/>
      <c r="J762" s="1126"/>
      <c r="K762" s="1126"/>
      <c r="L762" s="1126"/>
      <c r="M762" s="1126"/>
      <c r="N762" s="1127" t="s">
        <v>251</v>
      </c>
      <c r="O762" s="1129"/>
    </row>
    <row r="763" spans="2:15" ht="15.5">
      <c r="B763" s="458"/>
      <c r="C763" s="1126"/>
      <c r="D763" s="1126"/>
      <c r="E763" s="1127"/>
      <c r="F763" s="1126"/>
      <c r="G763" s="1126"/>
      <c r="H763" s="1126"/>
      <c r="I763" s="1126"/>
      <c r="J763" s="1126"/>
      <c r="K763" s="1126"/>
      <c r="L763" s="1126"/>
      <c r="M763" s="1126"/>
      <c r="N763" s="1126"/>
      <c r="O763" s="1129"/>
    </row>
    <row r="764" spans="2:15" ht="15.5">
      <c r="B764" s="458"/>
      <c r="C764" s="1327" t="s">
        <v>302</v>
      </c>
      <c r="D764" s="1327" t="s">
        <v>303</v>
      </c>
      <c r="E764" s="1327" t="s">
        <v>30</v>
      </c>
      <c r="F764" s="1327" t="s">
        <v>588</v>
      </c>
      <c r="G764" s="1327" t="s">
        <v>132</v>
      </c>
      <c r="H764" s="1327" t="s">
        <v>133</v>
      </c>
      <c r="I764" s="1327" t="s">
        <v>134</v>
      </c>
      <c r="J764" s="1327" t="s">
        <v>135</v>
      </c>
      <c r="K764" s="1327" t="s">
        <v>136</v>
      </c>
      <c r="L764" s="1327" t="s">
        <v>137</v>
      </c>
      <c r="M764" s="1327" t="s">
        <v>138</v>
      </c>
      <c r="N764" s="1327" t="s">
        <v>139</v>
      </c>
      <c r="O764" s="1129"/>
    </row>
    <row r="765" spans="2:15" ht="15.5">
      <c r="B765" s="458"/>
      <c r="C765" s="1131" t="s">
        <v>250</v>
      </c>
      <c r="D765" s="1132" t="s">
        <v>304</v>
      </c>
      <c r="E765" s="1132" t="str">
        <f>INDEX(IPCC[Sector_description], MATCH(IX.c.Emissions[IPCC Sector], IPCC[Sector_code], 0))</f>
        <v>Fuel Combustion</v>
      </c>
      <c r="F765" s="2768">
        <f>F$462</f>
        <v>1.7191590942521029</v>
      </c>
      <c r="G765" s="2768">
        <f t="shared" ref="G765:N765" si="117">G$462</f>
        <v>1.7695888628956971</v>
      </c>
      <c r="H765" s="2768">
        <f t="shared" si="117"/>
        <v>1.90872222547836</v>
      </c>
      <c r="I765" s="2768">
        <f t="shared" si="117"/>
        <v>2.0035917190704722</v>
      </c>
      <c r="J765" s="2768">
        <f t="shared" si="117"/>
        <v>2.0984820243110649</v>
      </c>
      <c r="K765" s="2768">
        <f t="shared" si="117"/>
        <v>2.1933931412001382</v>
      </c>
      <c r="L765" s="2768">
        <f t="shared" si="117"/>
        <v>2.288325069737692</v>
      </c>
      <c r="M765" s="2768">
        <f t="shared" si="117"/>
        <v>2.3832778099237264</v>
      </c>
      <c r="N765" s="2768">
        <f t="shared" si="117"/>
        <v>2.4782513617582418</v>
      </c>
      <c r="O765" s="1129"/>
    </row>
    <row r="766" spans="2:15" ht="15.5">
      <c r="B766" s="458"/>
      <c r="C766" s="1131" t="s">
        <v>252</v>
      </c>
      <c r="D766" s="1132" t="s">
        <v>304</v>
      </c>
      <c r="E766" s="1132" t="str">
        <f>INDEX(IPCC[Sector_description], MATCH(IX.c.Emissions[IPCC Sector], IPCC[Sector_code], 0))</f>
        <v>Fuel Combustion</v>
      </c>
      <c r="F766" s="2768">
        <f>F$463</f>
        <v>9.044197496539349E-4</v>
      </c>
      <c r="G766" s="2768">
        <f t="shared" ref="G766:N766" si="118">G$463</f>
        <v>9.1593997737249744E-4</v>
      </c>
      <c r="H766" s="2768">
        <f t="shared" si="118"/>
        <v>9.4748631149995418E-4</v>
      </c>
      <c r="I766" s="2768">
        <f t="shared" si="118"/>
        <v>9.5210809869144077E-4</v>
      </c>
      <c r="J766" s="2768">
        <f t="shared" si="118"/>
        <v>9.5272710921402801E-4</v>
      </c>
      <c r="K766" s="2768">
        <f t="shared" si="118"/>
        <v>9.4934334306771622E-4</v>
      </c>
      <c r="L766" s="2768">
        <f t="shared" si="118"/>
        <v>9.4195680025250476E-4</v>
      </c>
      <c r="M766" s="2768">
        <f t="shared" si="118"/>
        <v>9.3056748076839426E-4</v>
      </c>
      <c r="N766" s="2768">
        <f t="shared" si="118"/>
        <v>9.1517538461538463E-4</v>
      </c>
      <c r="O766" s="1129"/>
    </row>
    <row r="767" spans="2:15" ht="15.5">
      <c r="B767" s="458"/>
      <c r="C767" s="1131" t="s">
        <v>253</v>
      </c>
      <c r="D767" s="1132" t="s">
        <v>304</v>
      </c>
      <c r="E767" s="1132" t="str">
        <f>INDEX(IPCC[Sector_description], MATCH(IX.c.Emissions[IPCC Sector], IPCC[Sector_code], 0))</f>
        <v>Fuel Combustion</v>
      </c>
      <c r="F767" s="2768">
        <f>F$464</f>
        <v>1.7663896636119548E-2</v>
      </c>
      <c r="G767" s="2768">
        <f t="shared" ref="G767:N767" si="119">G$464</f>
        <v>1.8711810823990694E-2</v>
      </c>
      <c r="H767" s="2768">
        <f t="shared" si="119"/>
        <v>2.1611336782204806E-2</v>
      </c>
      <c r="I767" s="2768">
        <f t="shared" si="119"/>
        <v>2.4184466064306055E-2</v>
      </c>
      <c r="J767" s="2768">
        <f t="shared" si="119"/>
        <v>2.6899469342591978E-2</v>
      </c>
      <c r="K767" s="2768">
        <f t="shared" si="119"/>
        <v>2.9756346617062574E-2</v>
      </c>
      <c r="L767" s="2768">
        <f t="shared" si="119"/>
        <v>3.2755097887717848E-2</v>
      </c>
      <c r="M767" s="2768">
        <f t="shared" si="119"/>
        <v>3.5895723154557788E-2</v>
      </c>
      <c r="N767" s="2768">
        <f t="shared" si="119"/>
        <v>3.9178222417582419E-2</v>
      </c>
      <c r="O767" s="1129"/>
    </row>
    <row r="768" spans="2:15" ht="15.5">
      <c r="B768" s="458"/>
      <c r="C768" s="2436" t="s">
        <v>58</v>
      </c>
      <c r="D768" s="2436"/>
      <c r="E768" s="2436"/>
      <c r="F768" s="2437">
        <f>SUBTOTAL(109,IX.c.Emissions[2013])</f>
        <v>1.7377274106378764</v>
      </c>
      <c r="G768" s="2437">
        <f>SUBTOTAL(109,IX.c.Emissions[2015])</f>
        <v>1.7892166136970604</v>
      </c>
      <c r="H768" s="2437">
        <f>SUBTOTAL(109,IX.c.Emissions[2020])</f>
        <v>1.9312810485720648</v>
      </c>
      <c r="I768" s="2437">
        <f>SUBTOTAL(109,IX.c.Emissions[2025])</f>
        <v>2.02872829323347</v>
      </c>
      <c r="J768" s="2437">
        <f>SUBTOTAL(109,IX.c.Emissions[2030])</f>
        <v>2.126334220762871</v>
      </c>
      <c r="K768" s="2437">
        <f>SUBTOTAL(109,IX.c.Emissions[2035])</f>
        <v>2.2240988311602683</v>
      </c>
      <c r="L768" s="2437">
        <f>SUBTOTAL(109,IX.c.Emissions[2040])</f>
        <v>2.3220221244256622</v>
      </c>
      <c r="M768" s="2437">
        <f>SUBTOTAL(109,IX.c.Emissions[2045])</f>
        <v>2.4201041005590525</v>
      </c>
      <c r="N768" s="2437">
        <f>SUBTOTAL(109,IX.c.Emissions[2050])</f>
        <v>2.5183447595604393</v>
      </c>
      <c r="O768" s="1129"/>
    </row>
    <row r="769" spans="2:22" ht="15.5">
      <c r="B769" s="458"/>
      <c r="C769" s="1131"/>
      <c r="D769" s="1131"/>
      <c r="E769" s="1131"/>
      <c r="F769" s="462"/>
      <c r="G769" s="462"/>
      <c r="H769" s="462"/>
      <c r="I769" s="462"/>
      <c r="J769" s="462"/>
      <c r="K769" s="462"/>
      <c r="L769" s="462"/>
      <c r="M769" s="462"/>
      <c r="N769" s="462"/>
      <c r="O769" s="1129"/>
    </row>
    <row r="770" spans="2:22" ht="15.5">
      <c r="B770" s="458"/>
      <c r="C770" s="466" t="s">
        <v>308</v>
      </c>
      <c r="D770" s="1131"/>
      <c r="E770" s="1131"/>
      <c r="F770" s="462"/>
      <c r="G770" s="462"/>
      <c r="H770" s="462"/>
      <c r="I770" s="462"/>
      <c r="J770" s="462"/>
      <c r="K770" s="462"/>
      <c r="L770" s="462"/>
      <c r="M770" s="462"/>
      <c r="N770" s="467" t="s">
        <v>972</v>
      </c>
      <c r="O770" s="1129"/>
    </row>
    <row r="771" spans="2:22" ht="15.5">
      <c r="B771" s="458"/>
      <c r="C771" s="1131"/>
      <c r="D771" s="1131"/>
      <c r="E771" s="1131"/>
      <c r="F771" s="462"/>
      <c r="G771" s="462"/>
      <c r="H771" s="462"/>
      <c r="I771" s="462"/>
      <c r="J771" s="462"/>
      <c r="K771" s="462"/>
      <c r="L771" s="462"/>
      <c r="M771" s="462"/>
      <c r="N771" s="462"/>
      <c r="O771" s="1129"/>
    </row>
    <row r="772" spans="2:22" ht="15.5">
      <c r="B772" s="458"/>
      <c r="C772" s="1328" t="s">
        <v>28</v>
      </c>
      <c r="D772" s="1329" t="s">
        <v>29</v>
      </c>
      <c r="E772" s="1329" t="s">
        <v>30</v>
      </c>
      <c r="F772" s="1329" t="s">
        <v>588</v>
      </c>
      <c r="G772" s="1329" t="s">
        <v>132</v>
      </c>
      <c r="H772" s="1329" t="s">
        <v>133</v>
      </c>
      <c r="I772" s="1329" t="s">
        <v>134</v>
      </c>
      <c r="J772" s="1329" t="s">
        <v>135</v>
      </c>
      <c r="K772" s="1329" t="s">
        <v>136</v>
      </c>
      <c r="L772" s="1329" t="s">
        <v>137</v>
      </c>
      <c r="M772" s="1329" t="s">
        <v>138</v>
      </c>
      <c r="N772" s="1330" t="s">
        <v>139</v>
      </c>
      <c r="O772" s="1129"/>
      <c r="S772" s="1143"/>
      <c r="T772" s="1144"/>
      <c r="U772" s="1143"/>
      <c r="V772" s="1143"/>
    </row>
    <row r="773" spans="2:22" ht="15.5">
      <c r="B773" s="458"/>
      <c r="C773" s="3306" t="str">
        <f>INDEX(AirQualityVectors[Code],MATCH(D773,AirQualityVectors[Description],0))</f>
        <v>AQ.01</v>
      </c>
      <c r="D773" s="1331" t="s">
        <v>258</v>
      </c>
      <c r="E773" s="1332"/>
      <c r="F773" s="1333">
        <f t="shared" ref="F773:N776" ca="1" si="120">F488</f>
        <v>0.21276710043396263</v>
      </c>
      <c r="G773" s="1333">
        <f t="shared" ca="1" si="120"/>
        <v>0.21637865808812715</v>
      </c>
      <c r="H773" s="1333">
        <f t="shared" ca="1" si="120"/>
        <v>0.21224195006378316</v>
      </c>
      <c r="I773" s="1333">
        <f t="shared" ca="1" si="120"/>
        <v>0.19668062920301882</v>
      </c>
      <c r="J773" s="1333">
        <f t="shared" ca="1" si="120"/>
        <v>0.19130861681502925</v>
      </c>
      <c r="K773" s="1333">
        <f t="shared" ca="1" si="120"/>
        <v>0.2627567436603252</v>
      </c>
      <c r="L773" s="1333">
        <f t="shared" ca="1" si="120"/>
        <v>0.17846348563132958</v>
      </c>
      <c r="M773" s="1333">
        <f t="shared" ca="1" si="120"/>
        <v>0.10470567884875109</v>
      </c>
      <c r="N773" s="1333">
        <f t="shared" ca="1" si="120"/>
        <v>4.1143533138426724E-2</v>
      </c>
      <c r="O773" s="1129"/>
      <c r="T773" s="6"/>
    </row>
    <row r="774" spans="2:22" ht="15.5">
      <c r="B774" s="465"/>
      <c r="C774" s="3307" t="str">
        <f>INDEX(AirQualityVectors[Code],MATCH(D774,AirQualityVectors[Description],0))</f>
        <v>AQ.02</v>
      </c>
      <c r="D774" s="1135" t="s">
        <v>260</v>
      </c>
      <c r="E774" s="1139"/>
      <c r="F774" s="1334">
        <f t="shared" ca="1" si="120"/>
        <v>1.6815565776843788</v>
      </c>
      <c r="G774" s="1334">
        <f t="shared" ca="1" si="120"/>
        <v>1.7288401130422633</v>
      </c>
      <c r="H774" s="1334">
        <f t="shared" ca="1" si="120"/>
        <v>1.8632776935852229</v>
      </c>
      <c r="I774" s="1334">
        <f t="shared" ca="1" si="120"/>
        <v>1.9543331852941859</v>
      </c>
      <c r="J774" s="1334">
        <f t="shared" ca="1" si="120"/>
        <v>2.0464625677069246</v>
      </c>
      <c r="K774" s="1334">
        <f t="shared" ca="1" si="120"/>
        <v>2.1261082466891121</v>
      </c>
      <c r="L774" s="1334">
        <f t="shared" ca="1" si="120"/>
        <v>2.2249536884434424</v>
      </c>
      <c r="M774" s="1334">
        <f t="shared" ca="1" si="120"/>
        <v>2.3216827286150985</v>
      </c>
      <c r="N774" s="3304">
        <f t="shared" ca="1" si="120"/>
        <v>2.4173430649220071</v>
      </c>
      <c r="O774" s="1126"/>
      <c r="T774" s="6"/>
    </row>
    <row r="775" spans="2:22" ht="15.5">
      <c r="B775" s="465"/>
      <c r="C775" s="3307" t="str">
        <f>INDEX(AirQualityVectors[Code],MATCH(D775,AirQualityVectors[Description],0))</f>
        <v>AQ.03</v>
      </c>
      <c r="D775" s="1135" t="s">
        <v>262</v>
      </c>
      <c r="E775" s="1139"/>
      <c r="F775" s="1334">
        <f t="shared" ca="1" si="120"/>
        <v>2.5623889146167436</v>
      </c>
      <c r="G775" s="1334">
        <f t="shared" ca="1" si="120"/>
        <v>2.4761716211045099</v>
      </c>
      <c r="H775" s="1334">
        <f t="shared" ca="1" si="120"/>
        <v>2.2732769658101906</v>
      </c>
      <c r="I775" s="1334">
        <f t="shared" ca="1" si="120"/>
        <v>1.9769483470002249</v>
      </c>
      <c r="J775" s="1334">
        <f t="shared" ca="1" si="120"/>
        <v>1.6200087852362628</v>
      </c>
      <c r="K775" s="1334">
        <f t="shared" ca="1" si="120"/>
        <v>1.0544472738784434</v>
      </c>
      <c r="L775" s="1334">
        <f t="shared" ca="1" si="120"/>
        <v>0.76980302756059582</v>
      </c>
      <c r="M775" s="1334">
        <f t="shared" ca="1" si="120"/>
        <v>0.41838185138307998</v>
      </c>
      <c r="N775" s="3304">
        <f t="shared" ca="1" si="120"/>
        <v>0</v>
      </c>
      <c r="O775" s="1126"/>
      <c r="T775" s="6"/>
    </row>
    <row r="776" spans="2:22" ht="15.5">
      <c r="B776" s="465"/>
      <c r="C776" s="3308" t="str">
        <f>INDEX(AirQualityVectors[Code],MATCH(D776,AirQualityVectors[Description],0))</f>
        <v>AQ.04</v>
      </c>
      <c r="D776" s="1335" t="s">
        <v>264</v>
      </c>
      <c r="E776" s="1336"/>
      <c r="F776" s="1337">
        <f t="shared" ca="1" si="120"/>
        <v>6.4815256427909917E-2</v>
      </c>
      <c r="G776" s="1337">
        <f t="shared" ca="1" si="120"/>
        <v>6.7819139101826381E-2</v>
      </c>
      <c r="H776" s="1337">
        <f t="shared" ca="1" si="120"/>
        <v>7.410091842959679E-2</v>
      </c>
      <c r="I776" s="1337">
        <f t="shared" ca="1" si="120"/>
        <v>7.8491345091671536E-2</v>
      </c>
      <c r="J776" s="1337">
        <f t="shared" ca="1" si="120"/>
        <v>8.3514379768250949E-2</v>
      </c>
      <c r="K776" s="1337">
        <f t="shared" ca="1" si="120"/>
        <v>9.614554189562044E-2</v>
      </c>
      <c r="L776" s="1337">
        <f t="shared" ca="1" si="120"/>
        <v>9.5299968922986311E-2</v>
      </c>
      <c r="M776" s="1337">
        <f t="shared" ca="1" si="120"/>
        <v>9.5773847666716011E-2</v>
      </c>
      <c r="N776" s="3305">
        <f t="shared" ca="1" si="120"/>
        <v>9.7517550220176732E-2</v>
      </c>
      <c r="O776" s="1126"/>
    </row>
    <row r="777" spans="2:22" ht="15.5">
      <c r="B777" s="465"/>
      <c r="C777" s="1140"/>
      <c r="D777" s="1140"/>
      <c r="E777" s="1140"/>
      <c r="F777" s="1140"/>
      <c r="G777" s="1140"/>
      <c r="H777" s="1140"/>
      <c r="I777" s="1140"/>
      <c r="J777" s="1140"/>
      <c r="K777" s="1140"/>
      <c r="L777" s="1140"/>
      <c r="M777" s="1140"/>
      <c r="N777" s="1140"/>
      <c r="O777" s="1126"/>
    </row>
    <row r="779" spans="2:22" ht="15">
      <c r="B779" s="986" t="s">
        <v>310</v>
      </c>
      <c r="C779" s="987"/>
      <c r="D779" s="988"/>
      <c r="E779" s="988"/>
      <c r="F779" s="988"/>
      <c r="G779" s="988"/>
      <c r="H779" s="988"/>
      <c r="I779" s="988"/>
      <c r="J779" s="988"/>
      <c r="K779" s="988"/>
      <c r="L779" s="988"/>
      <c r="M779" s="988"/>
      <c r="N779" s="988"/>
      <c r="O779" s="989"/>
    </row>
    <row r="780" spans="2:22">
      <c r="B780" s="990"/>
      <c r="C780" s="991"/>
      <c r="D780" s="991"/>
      <c r="E780" s="991"/>
      <c r="F780" s="991"/>
      <c r="G780" s="991"/>
      <c r="H780" s="991"/>
      <c r="I780" s="991"/>
      <c r="J780" s="991"/>
      <c r="K780" s="991"/>
      <c r="L780" s="991"/>
      <c r="M780" s="991"/>
      <c r="N780" s="991"/>
      <c r="O780" s="992"/>
    </row>
    <row r="781" spans="2:22">
      <c r="B781" s="993"/>
      <c r="C781" s="479" t="s">
        <v>311</v>
      </c>
      <c r="D781" s="994"/>
      <c r="E781" s="995"/>
      <c r="F781" s="994"/>
      <c r="G781" s="994"/>
      <c r="H781" s="994"/>
      <c r="I781" s="994"/>
      <c r="J781" s="994"/>
      <c r="K781" s="994"/>
      <c r="L781" s="994"/>
      <c r="M781" s="994"/>
      <c r="N781" s="995"/>
      <c r="O781" s="996"/>
    </row>
    <row r="782" spans="2:22">
      <c r="B782" s="993"/>
      <c r="C782" s="994"/>
      <c r="D782" s="994"/>
      <c r="E782" s="994"/>
      <c r="F782" s="994"/>
      <c r="G782" s="994"/>
      <c r="H782" s="994"/>
      <c r="I782" s="994"/>
      <c r="J782" s="994"/>
      <c r="K782" s="994"/>
      <c r="L782" s="994"/>
      <c r="M782" s="994"/>
      <c r="N782" s="994"/>
      <c r="O782" s="996"/>
    </row>
    <row r="783" spans="2:22" ht="15.5">
      <c r="B783" s="483"/>
      <c r="C783" s="997" t="s">
        <v>28</v>
      </c>
      <c r="D783" s="997" t="s">
        <v>312</v>
      </c>
      <c r="E783" s="997" t="s">
        <v>30</v>
      </c>
      <c r="F783" s="997" t="s">
        <v>588</v>
      </c>
      <c r="G783" s="997" t="s">
        <v>132</v>
      </c>
      <c r="H783" s="997" t="s">
        <v>133</v>
      </c>
      <c r="I783" s="997" t="s">
        <v>134</v>
      </c>
      <c r="J783" s="997" t="s">
        <v>135</v>
      </c>
      <c r="K783" s="997" t="s">
        <v>136</v>
      </c>
      <c r="L783" s="997" t="s">
        <v>137</v>
      </c>
      <c r="M783" s="997" t="s">
        <v>138</v>
      </c>
      <c r="N783" s="997" t="s">
        <v>139</v>
      </c>
      <c r="O783" s="996"/>
    </row>
    <row r="784" spans="2:22" ht="15.5">
      <c r="B784" s="483"/>
      <c r="C784" s="998" t="s">
        <v>315</v>
      </c>
      <c r="D784" s="3032" t="str">
        <f>INDEX(Vectors[Description], MATCH(IX.c.info[Vector], Vectors[Code], 0))</f>
        <v>Additional electricity at peak</v>
      </c>
      <c r="E784" s="485" t="str">
        <f>Preferences.PowerUnits</f>
        <v>GW</v>
      </c>
      <c r="F784" s="4081">
        <f>F586</f>
        <v>-0.11364298932745198</v>
      </c>
      <c r="G784" s="4081">
        <f t="shared" ref="G784:N784" si="121">G586</f>
        <v>-0.13634056971953387</v>
      </c>
      <c r="H784" s="4081">
        <f t="shared" si="121"/>
        <v>-0.17023859639148828</v>
      </c>
      <c r="I784" s="4081">
        <f t="shared" si="121"/>
        <v>-0.19841811508478177</v>
      </c>
      <c r="J784" s="4081">
        <f t="shared" si="121"/>
        <v>-0.22656961700567682</v>
      </c>
      <c r="K784" s="4081">
        <f t="shared" si="121"/>
        <v>-0.25469310215417335</v>
      </c>
      <c r="L784" s="4081">
        <f t="shared" si="121"/>
        <v>-0.2827885705302714</v>
      </c>
      <c r="M784" s="4081">
        <f t="shared" si="121"/>
        <v>-0.31085602213397096</v>
      </c>
      <c r="N784" s="4081">
        <f t="shared" si="121"/>
        <v>-0.33889545696527212</v>
      </c>
      <c r="O784" s="996"/>
    </row>
    <row r="785" spans="2:16" ht="15.5">
      <c r="B785" s="483"/>
      <c r="C785" s="998" t="s">
        <v>317</v>
      </c>
      <c r="D785" s="3032" t="str">
        <f>INDEX(Vectors[Description], MATCH(IX.c.info[Vector], Vectors[Code], 0))</f>
        <v>Temperature related additional electricity demand</v>
      </c>
      <c r="E785" s="485" t="str">
        <f>Preferences.PowerUnits</f>
        <v>GW</v>
      </c>
      <c r="F785" s="4081">
        <f>F620</f>
        <v>0.3037037037037037</v>
      </c>
      <c r="G785" s="4081">
        <f t="shared" ref="G785:N785" si="122">G620</f>
        <v>0.29437619437619439</v>
      </c>
      <c r="H785" s="4081">
        <f t="shared" si="122"/>
        <v>0.27105742105742109</v>
      </c>
      <c r="I785" s="4081">
        <f t="shared" si="122"/>
        <v>0.24773864773864773</v>
      </c>
      <c r="J785" s="4081">
        <f t="shared" si="122"/>
        <v>0.22441987441987438</v>
      </c>
      <c r="K785" s="4081">
        <f t="shared" si="122"/>
        <v>0.20110110110110108</v>
      </c>
      <c r="L785" s="4081">
        <f t="shared" si="122"/>
        <v>0.17778232778232778</v>
      </c>
      <c r="M785" s="4081">
        <f t="shared" si="122"/>
        <v>0.15446355446355442</v>
      </c>
      <c r="N785" s="4081">
        <f t="shared" si="122"/>
        <v>0.13114478114478115</v>
      </c>
      <c r="O785" s="996"/>
    </row>
    <row r="786" spans="2:16" ht="15.5">
      <c r="B786" s="488"/>
      <c r="C786" s="1001"/>
      <c r="D786" s="1001"/>
      <c r="E786" s="1001"/>
      <c r="F786" s="1001"/>
      <c r="G786" s="1001"/>
      <c r="H786" s="1001"/>
      <c r="I786" s="1001"/>
      <c r="J786" s="1001"/>
      <c r="K786" s="1001"/>
      <c r="L786" s="1001"/>
      <c r="M786" s="1001"/>
      <c r="N786" s="1001"/>
      <c r="O786" s="1002"/>
    </row>
    <row r="788" spans="2:16" ht="15">
      <c r="B788" s="986" t="s">
        <v>2720</v>
      </c>
      <c r="C788" s="988"/>
      <c r="D788" s="988"/>
      <c r="E788" s="988"/>
      <c r="F788" s="988"/>
      <c r="G788" s="988"/>
      <c r="H788" s="988"/>
      <c r="I788" s="988"/>
      <c r="J788" s="988"/>
      <c r="K788" s="988"/>
      <c r="L788" s="988"/>
      <c r="M788" s="988"/>
      <c r="N788" s="988"/>
      <c r="O788" s="989"/>
    </row>
    <row r="789" spans="2:16" hidden="1">
      <c r="B789" s="993"/>
      <c r="C789" s="994"/>
      <c r="D789" s="994"/>
      <c r="E789" s="994"/>
      <c r="F789" s="994"/>
      <c r="G789" s="994"/>
      <c r="H789" s="994"/>
      <c r="I789" s="994"/>
      <c r="J789" s="994"/>
      <c r="K789" s="994"/>
      <c r="L789" s="994"/>
      <c r="M789" s="994"/>
      <c r="N789" s="994"/>
      <c r="O789" s="996"/>
    </row>
    <row r="790" spans="2:16" hidden="1">
      <c r="B790" s="993"/>
      <c r="C790" s="491" t="s">
        <v>751</v>
      </c>
      <c r="D790" s="1003"/>
      <c r="E790" s="1003"/>
      <c r="F790" s="1003"/>
      <c r="G790" s="1003"/>
      <c r="H790" s="1003"/>
      <c r="I790" s="1003"/>
      <c r="J790" s="1003"/>
      <c r="K790" s="1003"/>
      <c r="L790" s="1003"/>
      <c r="M790" s="1003"/>
      <c r="N790" s="1003"/>
      <c r="O790" s="996"/>
    </row>
    <row r="791" spans="2:16" hidden="1">
      <c r="B791" s="993"/>
      <c r="C791" s="994"/>
      <c r="D791" s="994"/>
      <c r="E791" s="994"/>
      <c r="F791" s="994"/>
      <c r="G791" s="994"/>
      <c r="H791" s="994"/>
      <c r="I791" s="994"/>
      <c r="J791" s="994"/>
      <c r="K791" s="994"/>
      <c r="L791" s="994"/>
      <c r="M791" s="994"/>
      <c r="N791" s="994"/>
      <c r="O791" s="996"/>
    </row>
    <row r="792" spans="2:16" ht="15.5" hidden="1">
      <c r="B792" s="483"/>
      <c r="C792" s="1339" t="s">
        <v>28</v>
      </c>
      <c r="D792" s="1339" t="s">
        <v>29</v>
      </c>
      <c r="E792" s="1339" t="s">
        <v>30</v>
      </c>
      <c r="F792" s="1339">
        <v>2013</v>
      </c>
      <c r="G792" s="1339" t="s">
        <v>132</v>
      </c>
      <c r="H792" s="1339" t="s">
        <v>133</v>
      </c>
      <c r="I792" s="1339" t="s">
        <v>134</v>
      </c>
      <c r="J792" s="1339" t="s">
        <v>135</v>
      </c>
      <c r="K792" s="1339" t="s">
        <v>136</v>
      </c>
      <c r="L792" s="1339" t="s">
        <v>137</v>
      </c>
      <c r="M792" s="1339" t="s">
        <v>138</v>
      </c>
      <c r="N792" s="1339" t="s">
        <v>139</v>
      </c>
      <c r="O792" s="1141"/>
    </row>
    <row r="793" spans="2:16" ht="15.5" hidden="1">
      <c r="B793" s="483"/>
      <c r="C793" s="1340" t="s">
        <v>321</v>
      </c>
      <c r="D793" s="1341" t="s">
        <v>322</v>
      </c>
      <c r="E793" s="1341"/>
      <c r="F793" s="1342"/>
      <c r="G793" s="1342"/>
      <c r="H793" s="1342"/>
      <c r="I793" s="1342"/>
      <c r="J793" s="1342"/>
      <c r="K793" s="1342"/>
      <c r="L793" s="1342"/>
      <c r="M793" s="1342"/>
      <c r="N793" s="1342"/>
      <c r="O793" s="1141"/>
    </row>
    <row r="794" spans="2:16" ht="15.5" hidden="1">
      <c r="B794" s="483"/>
      <c r="C794" s="998" t="s">
        <v>328</v>
      </c>
      <c r="D794" s="485" t="s">
        <v>329</v>
      </c>
      <c r="E794" s="485"/>
      <c r="F794" s="999"/>
      <c r="G794" s="999"/>
      <c r="H794" s="999"/>
      <c r="I794" s="999"/>
      <c r="J794" s="999"/>
      <c r="K794" s="999"/>
      <c r="L794" s="999"/>
      <c r="M794" s="999"/>
      <c r="N794" s="999"/>
      <c r="O794" s="1141"/>
    </row>
    <row r="795" spans="2:16" ht="15.5" hidden="1">
      <c r="B795" s="483"/>
      <c r="C795" s="998" t="s">
        <v>752</v>
      </c>
      <c r="D795" s="485" t="s">
        <v>753</v>
      </c>
      <c r="E795" s="485"/>
      <c r="F795" s="999"/>
      <c r="G795" s="999"/>
      <c r="H795" s="999"/>
      <c r="I795" s="999"/>
      <c r="J795" s="999"/>
      <c r="K795" s="999"/>
      <c r="L795" s="999"/>
      <c r="M795" s="999"/>
      <c r="N795" s="999"/>
      <c r="O795" s="1141"/>
    </row>
    <row r="796" spans="2:16" ht="15.5" hidden="1">
      <c r="B796" s="483"/>
      <c r="C796" s="998" t="s">
        <v>323</v>
      </c>
      <c r="D796" s="998" t="s">
        <v>324</v>
      </c>
      <c r="E796" s="485"/>
      <c r="F796" s="999"/>
      <c r="G796" s="999"/>
      <c r="H796" s="999"/>
      <c r="I796" s="999"/>
      <c r="J796" s="999"/>
      <c r="K796" s="999"/>
      <c r="L796" s="999"/>
      <c r="M796" s="999"/>
      <c r="N796" s="999"/>
      <c r="O796" s="1141"/>
    </row>
    <row r="797" spans="2:16" ht="15.5" hidden="1">
      <c r="B797" s="483"/>
      <c r="C797" s="998" t="s">
        <v>330</v>
      </c>
      <c r="D797" s="998" t="s">
        <v>331</v>
      </c>
      <c r="E797" s="485"/>
      <c r="F797" s="999"/>
      <c r="G797" s="999"/>
      <c r="H797" s="999"/>
      <c r="I797" s="999"/>
      <c r="J797" s="999"/>
      <c r="K797" s="999"/>
      <c r="L797" s="999"/>
      <c r="M797" s="999"/>
      <c r="N797" s="999"/>
      <c r="O797" s="1141"/>
    </row>
    <row r="798" spans="2:16" ht="15.5" hidden="1">
      <c r="B798" s="483"/>
      <c r="C798" s="998" t="s">
        <v>754</v>
      </c>
      <c r="D798" s="998" t="s">
        <v>755</v>
      </c>
      <c r="E798" s="485"/>
      <c r="F798" s="999"/>
      <c r="G798" s="999"/>
      <c r="H798" s="999"/>
      <c r="I798" s="999"/>
      <c r="J798" s="999"/>
      <c r="K798" s="999"/>
      <c r="L798" s="999"/>
      <c r="M798" s="999"/>
      <c r="N798" s="999"/>
      <c r="O798" s="1141"/>
      <c r="P798" s="2"/>
    </row>
    <row r="799" spans="2:16" hidden="1">
      <c r="B799" s="494"/>
      <c r="C799" s="998" t="s">
        <v>325</v>
      </c>
      <c r="D799" s="485" t="s">
        <v>326</v>
      </c>
      <c r="E799" s="485"/>
      <c r="F799" s="999"/>
      <c r="G799" s="999"/>
      <c r="H799" s="999"/>
      <c r="I799" s="999"/>
      <c r="J799" s="999"/>
      <c r="K799" s="999"/>
      <c r="L799" s="999"/>
      <c r="M799" s="999"/>
      <c r="N799" s="999"/>
      <c r="O799" s="1142"/>
    </row>
    <row r="800" spans="2:16" hidden="1">
      <c r="B800" s="494"/>
      <c r="C800" s="998" t="s">
        <v>332</v>
      </c>
      <c r="D800" s="485" t="s">
        <v>333</v>
      </c>
      <c r="E800" s="485"/>
      <c r="F800" s="999"/>
      <c r="G800" s="999"/>
      <c r="H800" s="999"/>
      <c r="I800" s="999"/>
      <c r="J800" s="999"/>
      <c r="K800" s="999"/>
      <c r="L800" s="999"/>
      <c r="M800" s="999"/>
      <c r="N800" s="999"/>
      <c r="O800" s="1142"/>
    </row>
    <row r="801" spans="2:15" hidden="1">
      <c r="B801" s="494"/>
      <c r="C801" s="1343" t="s">
        <v>756</v>
      </c>
      <c r="D801" s="1344" t="s">
        <v>757</v>
      </c>
      <c r="E801" s="1344"/>
      <c r="F801" s="1184"/>
      <c r="G801" s="1184"/>
      <c r="H801" s="1184"/>
      <c r="I801" s="1184"/>
      <c r="J801" s="1184"/>
      <c r="K801" s="1184"/>
      <c r="L801" s="1184"/>
      <c r="M801" s="1184"/>
      <c r="N801" s="1184"/>
      <c r="O801" s="1142"/>
    </row>
    <row r="802" spans="2:15" hidden="1">
      <c r="B802" s="1005"/>
      <c r="C802" s="1001"/>
      <c r="D802" s="1001"/>
      <c r="E802" s="1001"/>
      <c r="F802" s="1001"/>
      <c r="G802" s="1001"/>
      <c r="H802" s="1001"/>
      <c r="I802" s="1001"/>
      <c r="J802" s="1001"/>
      <c r="K802" s="1001"/>
      <c r="L802" s="1001"/>
      <c r="M802" s="1001"/>
      <c r="N802" s="1001"/>
      <c r="O802" s="1006"/>
    </row>
    <row r="804" spans="2:15">
      <c r="C804" s="354"/>
      <c r="D804" s="354"/>
      <c r="F804" s="2"/>
      <c r="G804" s="2"/>
      <c r="H804" s="2"/>
      <c r="I804" s="2"/>
      <c r="J804" s="2"/>
      <c r="K804" s="2"/>
      <c r="L804" s="2"/>
      <c r="M804" s="2"/>
      <c r="N804" s="2"/>
    </row>
    <row r="805" spans="2:15">
      <c r="N805" s="3801"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5">
      <c r="B1047" s="1345" t="s">
        <v>973</v>
      </c>
    </row>
    <row r="1048" spans="2:16">
      <c r="B1048" s="1346"/>
    </row>
    <row r="1049" spans="2:16">
      <c r="B1049" s="1346"/>
    </row>
    <row r="1050" spans="2:16">
      <c r="B1050" s="1346"/>
    </row>
    <row r="1051" spans="2:16">
      <c r="B1051" s="1346"/>
    </row>
    <row r="1052" spans="2:16">
      <c r="B1052" s="1346"/>
    </row>
    <row r="1053" spans="2:16">
      <c r="B1053" s="1346"/>
    </row>
    <row r="1054" spans="2:16">
      <c r="B1054" s="1346"/>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9"/>
  </sheetPr>
  <dimension ref="A1:CI467"/>
  <sheetViews>
    <sheetView showGridLines="0" zoomScale="80" zoomScaleNormal="80" workbookViewId="0">
      <selection activeCell="E8" sqref="E8"/>
    </sheetView>
  </sheetViews>
  <sheetFormatPr defaultColWidth="8.81640625" defaultRowHeight="14.5"/>
  <cols>
    <col min="1" max="1" width="7.7265625" style="2" customWidth="1"/>
    <col min="2" max="2" width="5.81640625" style="2" customWidth="1"/>
    <col min="3" max="3" width="20.453125" style="2" customWidth="1"/>
    <col min="4" max="4" width="30.7265625" style="2" customWidth="1"/>
    <col min="5" max="5" width="20.7265625" style="2" customWidth="1"/>
    <col min="6" max="15" width="17.7265625" style="2" customWidth="1"/>
    <col min="16" max="16" width="2" style="2" customWidth="1"/>
    <col min="17" max="17" width="10.81640625" style="2" customWidth="1"/>
    <col min="18" max="18" width="13.453125" style="2" bestFit="1" customWidth="1"/>
    <col min="19" max="19" width="13" style="2" bestFit="1" customWidth="1"/>
    <col min="20" max="20" width="12" style="2" bestFit="1" customWidth="1"/>
    <col min="21" max="22" width="13" style="2" bestFit="1" customWidth="1"/>
    <col min="23" max="23" width="11.453125" style="2" customWidth="1"/>
    <col min="24" max="24" width="13" style="2" bestFit="1" customWidth="1"/>
    <col min="25" max="16384" width="8.81640625" style="2"/>
  </cols>
  <sheetData>
    <row r="1" spans="1:18" ht="20">
      <c r="A1" s="2339" t="s">
        <v>465</v>
      </c>
      <c r="B1" s="2339" t="s">
        <v>82</v>
      </c>
      <c r="C1" s="2339"/>
      <c r="E1" s="2189"/>
    </row>
    <row r="2" spans="1:18" s="4" customFormat="1" ht="15">
      <c r="A2" s="2340" t="s">
        <v>461</v>
      </c>
      <c r="B2" s="2340" t="s">
        <v>462</v>
      </c>
      <c r="C2" s="2340"/>
      <c r="E2" s="2190"/>
    </row>
    <row r="4" spans="1:18" ht="23.5">
      <c r="A4" s="2191"/>
      <c r="B4" s="2192"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5">
      <c r="B7" s="2193"/>
      <c r="C7" s="12"/>
      <c r="D7" s="2194" t="s">
        <v>7</v>
      </c>
      <c r="E7" s="2194" t="s">
        <v>8</v>
      </c>
      <c r="F7" s="12"/>
      <c r="G7" s="12"/>
      <c r="H7" s="12"/>
      <c r="I7" s="12"/>
      <c r="J7" s="12"/>
      <c r="K7" s="12"/>
      <c r="L7" s="12"/>
      <c r="M7" s="12"/>
      <c r="N7" s="12"/>
      <c r="O7" s="12"/>
      <c r="P7" s="13"/>
    </row>
    <row r="8" spans="1:18" ht="15.5">
      <c r="B8" s="2193"/>
      <c r="C8" s="12"/>
      <c r="D8" s="1010" t="s">
        <v>977</v>
      </c>
      <c r="E8" s="1010">
        <f>X.a.1.Scenario</f>
        <v>1</v>
      </c>
      <c r="F8" s="12"/>
      <c r="G8" s="12"/>
      <c r="H8" s="12"/>
      <c r="I8" s="12"/>
      <c r="J8" s="12"/>
      <c r="K8" s="12"/>
      <c r="L8" s="12"/>
      <c r="M8" s="12"/>
      <c r="N8" s="12"/>
      <c r="O8" s="12"/>
      <c r="P8" s="13"/>
    </row>
    <row r="9" spans="1:18" ht="15.5">
      <c r="B9" s="2193"/>
      <c r="C9" s="12"/>
      <c r="D9" s="32" t="s">
        <v>978</v>
      </c>
      <c r="E9" s="32">
        <f>MIN(X.a.2.Scenario,2)</f>
        <v>1</v>
      </c>
      <c r="F9" s="12"/>
      <c r="G9" s="12"/>
      <c r="H9" s="12"/>
      <c r="I9" s="12"/>
      <c r="J9" s="12"/>
      <c r="K9" s="12"/>
      <c r="L9" s="12"/>
      <c r="M9" s="12"/>
      <c r="N9" s="12"/>
      <c r="O9" s="12"/>
      <c r="P9" s="13"/>
    </row>
    <row r="10" spans="1:18" ht="15.5">
      <c r="B10" s="2193"/>
      <c r="C10" s="12"/>
      <c r="D10" s="18"/>
      <c r="E10" s="18"/>
      <c r="F10" s="12"/>
      <c r="G10" s="12"/>
      <c r="H10" s="12"/>
      <c r="I10" s="12"/>
      <c r="J10" s="12"/>
      <c r="K10" s="12"/>
      <c r="L10" s="12"/>
      <c r="M10" s="12"/>
      <c r="N10" s="12"/>
      <c r="O10" s="12"/>
      <c r="P10" s="13"/>
    </row>
    <row r="11" spans="1:18">
      <c r="B11" s="2195"/>
      <c r="C11" s="2196"/>
      <c r="D11" s="2196"/>
      <c r="E11" s="2196"/>
      <c r="F11" s="2196"/>
      <c r="G11" s="2196"/>
      <c r="H11" s="2196"/>
      <c r="I11" s="2196"/>
      <c r="J11" s="2196"/>
      <c r="K11" s="2196"/>
      <c r="L11" s="2196"/>
      <c r="M11" s="2196"/>
      <c r="N11" s="2196"/>
      <c r="O11" s="2196"/>
      <c r="P11" s="2197"/>
    </row>
    <row r="13" spans="1:18" s="4" customFormat="1" ht="23.5">
      <c r="A13" s="2198"/>
      <c r="B13" s="2199"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00" t="s">
        <v>979</v>
      </c>
      <c r="D15" s="46"/>
      <c r="E15" s="50"/>
      <c r="F15" s="46"/>
      <c r="G15" s="46"/>
      <c r="H15" s="46"/>
      <c r="I15" s="46"/>
      <c r="J15" s="46"/>
      <c r="K15" s="46"/>
      <c r="L15" s="3937"/>
      <c r="M15" s="46"/>
      <c r="N15" s="50" t="str">
        <f>Preferences.EnergyUnits</f>
        <v>TWh</v>
      </c>
      <c r="O15" s="46"/>
      <c r="P15" s="48"/>
      <c r="R15" s="2201"/>
    </row>
    <row r="16" spans="1:18">
      <c r="B16" s="45"/>
      <c r="C16" s="46"/>
      <c r="D16" s="46"/>
      <c r="E16" s="46"/>
      <c r="F16" s="46"/>
      <c r="G16" s="46"/>
      <c r="H16" s="46"/>
      <c r="I16" s="46"/>
      <c r="J16" s="46"/>
      <c r="K16" s="46"/>
      <c r="L16" s="46"/>
      <c r="M16" s="46"/>
      <c r="N16" s="46"/>
      <c r="O16" s="46"/>
      <c r="P16" s="48"/>
      <c r="R16" s="2202"/>
    </row>
    <row r="17" spans="2:24" ht="15.5">
      <c r="B17" s="2203"/>
      <c r="C17" s="2204" t="s">
        <v>8</v>
      </c>
      <c r="D17" s="2204" t="s">
        <v>34</v>
      </c>
      <c r="E17" s="2204" t="s">
        <v>30</v>
      </c>
      <c r="F17" s="2205">
        <v>2013</v>
      </c>
      <c r="G17" s="2205">
        <v>2015</v>
      </c>
      <c r="H17" s="2205">
        <v>2020</v>
      </c>
      <c r="I17" s="2205">
        <v>2025</v>
      </c>
      <c r="J17" s="2205">
        <v>2030</v>
      </c>
      <c r="K17" s="2205">
        <v>2035</v>
      </c>
      <c r="L17" s="2205">
        <v>2040</v>
      </c>
      <c r="M17" s="2205">
        <v>2045</v>
      </c>
      <c r="N17" s="2205">
        <v>2050</v>
      </c>
      <c r="O17" s="4128" t="s">
        <v>980</v>
      </c>
      <c r="P17" s="48"/>
      <c r="R17" s="2202"/>
    </row>
    <row r="18" spans="2:24" ht="15.5">
      <c r="B18" s="2203"/>
      <c r="C18" s="56">
        <v>1</v>
      </c>
      <c r="D18" s="57" t="s">
        <v>82</v>
      </c>
      <c r="E18" s="76"/>
      <c r="F18" s="4149">
        <f>(Unit.TWh)*2.39686631987592E-06</f>
        <v>2.3968663198759199E-6</v>
      </c>
      <c r="G18" s="3939">
        <f>(Unit.TWh)*2.37532282535953E-06</f>
        <v>2.37532282535953E-6</v>
      </c>
      <c r="H18" s="3939">
        <f>(Unit.TWh)*2.32230744827506E-06</f>
        <v>2.3223074482750601E-6</v>
      </c>
      <c r="I18" s="3939">
        <f>(Unit.TWh)*2.27047533359914E-06</f>
        <v>2.2704753335991402E-6</v>
      </c>
      <c r="J18" s="3939">
        <f>(Unit.TWh)*2.21980007182561E-06</f>
        <v>2.2198000718256101E-6</v>
      </c>
      <c r="K18" s="3939">
        <f>(Unit.TWh)*2.17025584288816E-06</f>
        <v>2.1702558428881601E-6</v>
      </c>
      <c r="L18" s="3939">
        <f>(Unit.TWh)*2.12181740300449E-06</f>
        <v>2.12181740300449E-6</v>
      </c>
      <c r="M18" s="3939">
        <f>(Unit.TWh)*2.07446007181409E-06</f>
        <v>2.07446007181409E-6</v>
      </c>
      <c r="N18" s="1642">
        <f>(Unit.TWh)*2.03733637189453E-06</f>
        <v>2.0373363718945302E-6</v>
      </c>
      <c r="O18" s="4129">
        <f>(N18-F18)/F18</f>
        <v>-0.15000000000000074</v>
      </c>
      <c r="P18" s="48"/>
      <c r="Q18"/>
      <c r="R18"/>
      <c r="S18"/>
      <c r="T18"/>
      <c r="U18"/>
      <c r="V18"/>
      <c r="W18"/>
      <c r="X18"/>
    </row>
    <row r="19" spans="2:24" ht="15.5">
      <c r="B19" s="2203"/>
      <c r="C19" s="56">
        <v>2</v>
      </c>
      <c r="D19" s="57" t="s">
        <v>82</v>
      </c>
      <c r="E19" s="57"/>
      <c r="F19" s="3908">
        <f>(Unit.TWh)*2.39686631987592E-06</f>
        <v>2.3968663198759199E-6</v>
      </c>
      <c r="G19" s="3909">
        <f>(Unit.TWh)*2.34983922158767E-06</f>
        <v>2.34983922158767E-6</v>
      </c>
      <c r="H19" s="3909">
        <f>(Unit.TWh)*2.23626871071704E-06</f>
        <v>2.2362687107170399E-6</v>
      </c>
      <c r="I19" s="3909">
        <f>(Unit.TWh)*2.12818719705989E-06</f>
        <v>2.1281871970598901E-6</v>
      </c>
      <c r="J19" s="3909">
        <f>(Unit.TWh)*2.02532939088406E-06</f>
        <v>2.0253293908840601E-6</v>
      </c>
      <c r="K19" s="3909">
        <f>(Unit.TWh)*1.92744282422416E-06</f>
        <v>1.9274428242241599E-6</v>
      </c>
      <c r="L19" s="3909">
        <f>(Unit.TWh)*1.83428723119036E-06</f>
        <v>1.83428723119036E-6</v>
      </c>
      <c r="M19" s="3909">
        <f>(Unit.TWh)*1.74563395822771E-06</f>
        <v>1.74563395822771E-6</v>
      </c>
      <c r="N19" s="3909">
        <f>(Unit.TWh)*1.67780642391314E-06</f>
        <v>1.67780642391314E-6</v>
      </c>
      <c r="O19" s="4129">
        <f>(N19-F19)/F19</f>
        <v>-0.30000000000000165</v>
      </c>
      <c r="P19" s="48"/>
      <c r="Q19"/>
      <c r="R19"/>
      <c r="S19"/>
      <c r="T19"/>
      <c r="U19"/>
      <c r="V19"/>
      <c r="W19"/>
      <c r="X19"/>
    </row>
    <row r="20" spans="2:24" ht="15.5">
      <c r="B20" s="2203"/>
      <c r="C20" s="56">
        <v>3</v>
      </c>
      <c r="D20" s="57" t="s">
        <v>82</v>
      </c>
      <c r="E20" s="57"/>
      <c r="F20" s="3908">
        <f>(Unit.TWh)*2.39686631987592E-06</f>
        <v>2.3968663198759199E-6</v>
      </c>
      <c r="G20" s="3909">
        <f>(Unit.TWh)*2.30632190683336E-06</f>
        <v>2.30632190683336E-6</v>
      </c>
      <c r="H20" s="3909">
        <f>(Unit.TWh)*2.09464390607043E-06</f>
        <v>2.09464390607043E-6</v>
      </c>
      <c r="I20" s="3909">
        <f>(Unit.TWh)*1.90239405879909E-06</f>
        <v>1.9023940587990901E-6</v>
      </c>
      <c r="J20" s="3909">
        <f>(Unit.TWh)*1.72778921728207E-06</f>
        <v>1.72778921728207E-6</v>
      </c>
      <c r="K20" s="3909">
        <f>(Unit.TWh)*1.56920989400097E-06</f>
        <v>1.5692098940009699E-6</v>
      </c>
      <c r="L20" s="3909">
        <f>(Unit.TWh)*1.42518524065342E-06</f>
        <v>1.42518524065342E-6</v>
      </c>
      <c r="M20" s="3909">
        <f>(Unit.TWh)*1.29437940580248E-06</f>
        <v>1.2943794058024801E-6</v>
      </c>
      <c r="N20" s="3909">
        <f>(Unit.TWh)*1.19843315993796E-06</f>
        <v>1.19843315993796E-6</v>
      </c>
      <c r="O20" s="4129">
        <f>(N20-F20)/F20</f>
        <v>-0.5</v>
      </c>
      <c r="P20" s="48"/>
      <c r="Q20"/>
      <c r="R20"/>
      <c r="S20"/>
      <c r="T20"/>
      <c r="U20"/>
      <c r="V20"/>
      <c r="W20"/>
      <c r="X20"/>
    </row>
    <row r="21" spans="2:24" ht="15.5">
      <c r="B21" s="2203"/>
      <c r="C21" s="61">
        <v>4</v>
      </c>
      <c r="D21" s="62" t="s">
        <v>82</v>
      </c>
      <c r="E21" s="62"/>
      <c r="F21" s="3910">
        <f>(Unit.TWh)*2.39686631987592E-06</f>
        <v>2.3968663198759199E-6</v>
      </c>
      <c r="G21" s="3911">
        <f>(Unit.TWh)*2.27790723819437E-06</f>
        <v>2.27790723819437E-6</v>
      </c>
      <c r="H21" s="3911">
        <f>(Unit.TWh)*0.0000020057028376953</f>
        <v>2.0057028376952998E-6</v>
      </c>
      <c r="I21" s="3911">
        <f>(Unit.TWh)*1.76602620409063E-06</f>
        <v>1.7660262040906301E-6</v>
      </c>
      <c r="J21" s="3911">
        <f>(Unit.TWh)*1.55499034798124E-06</f>
        <v>1.55499034798124E-6</v>
      </c>
      <c r="K21" s="3911">
        <f>(Unit.TWh)*1.36917276579137E-06</f>
        <v>1.3691727657913699E-6</v>
      </c>
      <c r="L21" s="3911">
        <f>(Unit.TWh)*1.20555993483724E-06</f>
        <v>1.2055599348372401E-6</v>
      </c>
      <c r="M21" s="3911">
        <f>(Unit.TWh)*1.06149844110047E-06</f>
        <v>1.0614984411004701E-6</v>
      </c>
      <c r="N21" s="3911">
        <f>(Unit.TWh)*9.58746527950368E-07</f>
        <v>9.5874652795036793E-7</v>
      </c>
      <c r="O21" s="4130">
        <f>(N21-F21)/F21</f>
        <v>-0.6</v>
      </c>
      <c r="P21" s="48"/>
      <c r="Q21"/>
      <c r="R21"/>
      <c r="S21"/>
      <c r="T21"/>
      <c r="U21"/>
      <c r="V21"/>
      <c r="W21"/>
      <c r="X21"/>
    </row>
    <row r="22" spans="2:24" ht="15.5">
      <c r="B22" s="2203"/>
      <c r="C22" s="56"/>
      <c r="D22" s="57"/>
      <c r="E22" s="57"/>
      <c r="F22" s="59" t="s">
        <v>5</v>
      </c>
      <c r="G22" s="66"/>
      <c r="H22" s="66"/>
      <c r="I22" s="66"/>
      <c r="J22" s="66"/>
      <c r="K22" s="66"/>
      <c r="L22" s="66"/>
      <c r="M22" s="66"/>
      <c r="N22" s="66"/>
      <c r="O22" s="46"/>
      <c r="P22" s="48"/>
      <c r="Q22"/>
      <c r="R22"/>
      <c r="S22"/>
      <c r="T22"/>
      <c r="U22"/>
      <c r="V22"/>
      <c r="W22"/>
      <c r="X22"/>
    </row>
    <row r="23" spans="2:24" ht="15.5">
      <c r="B23" s="2203"/>
      <c r="C23" s="2200" t="s">
        <v>3169</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5">
      <c r="B24" s="2203"/>
      <c r="C24" s="46"/>
      <c r="D24" s="46"/>
      <c r="E24" s="46"/>
      <c r="F24" s="46"/>
      <c r="G24" s="46"/>
      <c r="H24" s="46"/>
      <c r="I24" s="46"/>
      <c r="J24" s="46"/>
      <c r="K24" s="46"/>
      <c r="L24" s="46"/>
      <c r="M24" s="46"/>
      <c r="N24" s="46"/>
      <c r="O24" s="46"/>
      <c r="P24" s="48"/>
      <c r="Q24"/>
      <c r="R24"/>
      <c r="S24"/>
      <c r="T24"/>
      <c r="U24"/>
      <c r="V24"/>
      <c r="W24"/>
      <c r="X24"/>
    </row>
    <row r="25" spans="2:24" ht="15.5">
      <c r="B25" s="2203"/>
      <c r="C25" s="2204" t="s">
        <v>8</v>
      </c>
      <c r="D25" s="2204" t="s">
        <v>34</v>
      </c>
      <c r="E25" s="2204" t="s">
        <v>30</v>
      </c>
      <c r="F25" s="2205">
        <v>2013</v>
      </c>
      <c r="G25" s="2205">
        <v>2015</v>
      </c>
      <c r="H25" s="2205">
        <v>2020</v>
      </c>
      <c r="I25" s="2205">
        <v>2025</v>
      </c>
      <c r="J25" s="2205">
        <v>2030</v>
      </c>
      <c r="K25" s="2205">
        <v>2035</v>
      </c>
      <c r="L25" s="2205">
        <v>2040</v>
      </c>
      <c r="M25" s="2205">
        <v>2045</v>
      </c>
      <c r="N25" s="2205">
        <v>2050</v>
      </c>
      <c r="O25" s="4128" t="s">
        <v>980</v>
      </c>
      <c r="P25" s="48"/>
      <c r="Q25" s="391"/>
    </row>
    <row r="26" spans="2:24" ht="15.5">
      <c r="B26" s="2203"/>
      <c r="C26" s="56">
        <v>1</v>
      </c>
      <c r="D26" s="57" t="s">
        <v>81</v>
      </c>
      <c r="E26" s="76"/>
      <c r="F26" s="3904">
        <f>(Unit.TWh)*8.63849371444259E-07</f>
        <v>8.6384937144425898E-7</v>
      </c>
      <c r="G26" s="3940">
        <f>(Unit.TWh)*8.56845187351468E-07</f>
        <v>8.5684518735146797E-7</v>
      </c>
      <c r="H26" s="3940">
        <f>(Unit.TWh)*8.34909054127244E-07</f>
        <v>8.34909054127244E-7</v>
      </c>
      <c r="I26" s="3940">
        <f>(Unit.TWh)*8.15432342626223E-07</f>
        <v>8.1543234262622296E-7</v>
      </c>
      <c r="J26" s="3940">
        <f>(Unit.TWh)*7.96896963644862E-07</f>
        <v>7.96896963644862E-7</v>
      </c>
      <c r="K26" s="3940">
        <f>(Unit.TWh)*7.79257421468314E-07</f>
        <v>7.7925742146831395E-7</v>
      </c>
      <c r="L26" s="3940">
        <f>(Unit.TWh)*7.62470419243483E-07</f>
        <v>7.6247041924348296E-7</v>
      </c>
      <c r="M26" s="3940">
        <f>(Unit.TWh)*7.46494752705429E-07</f>
        <v>7.4649475270542904E-7</v>
      </c>
      <c r="N26" s="3905">
        <f>(Unit.TWh)*7.3427196572762E-07</f>
        <v>7.3427196572761999E-7</v>
      </c>
      <c r="O26" s="4129">
        <f>(N26-F26)/F26</f>
        <v>-0.15000000000000016</v>
      </c>
      <c r="P26" s="48"/>
      <c r="Q26" s="3938"/>
      <c r="R26" s="2206"/>
    </row>
    <row r="27" spans="2:24" ht="15.5">
      <c r="B27" s="2203"/>
      <c r="C27" s="56">
        <v>2</v>
      </c>
      <c r="D27" s="57" t="s">
        <v>81</v>
      </c>
      <c r="E27" s="57" t="s">
        <v>5</v>
      </c>
      <c r="F27" s="3904">
        <f>(Unit.TWh)*8.63849371444259E-07</f>
        <v>8.6384937144425898E-7</v>
      </c>
      <c r="G27" s="3909">
        <f>(Unit.TWh)*8.56845187351468E-07</f>
        <v>8.5684518735146797E-7</v>
      </c>
      <c r="H27" s="3909">
        <f>(Unit.TWh)*8.39334727119489E-07</f>
        <v>8.3933472711948896E-7</v>
      </c>
      <c r="I27" s="3909">
        <f>(Unit.TWh)*8.21824266887511E-07</f>
        <v>8.2182426688751101E-7</v>
      </c>
      <c r="J27" s="3909">
        <f>(Unit.TWh)*8.04313806655533E-07</f>
        <v>8.0431380665553296E-7</v>
      </c>
      <c r="K27" s="3909">
        <f>(Unit.TWh)*7.86803346423555E-07</f>
        <v>7.8680334642355501E-7</v>
      </c>
      <c r="L27" s="3909">
        <f>(Unit.TWh)*7.69292886191576E-07</f>
        <v>7.69292886191576E-7</v>
      </c>
      <c r="M27" s="3909">
        <f>(Unit.TWh)*7.51782425959598E-07</f>
        <v>7.5178242595959805E-7</v>
      </c>
      <c r="N27" s="3905">
        <f>(Unit.TWh)*7.3427196572762E-07</f>
        <v>7.3427196572761999E-7</v>
      </c>
      <c r="O27" s="4129">
        <f>(N27-F27)/F27</f>
        <v>-0.15000000000000016</v>
      </c>
      <c r="P27" s="48"/>
      <c r="Q27" s="391"/>
      <c r="R27" s="2206"/>
    </row>
    <row r="28" spans="2:24" ht="15.5">
      <c r="B28" s="2203"/>
      <c r="C28" s="56">
        <v>3</v>
      </c>
      <c r="D28" s="57" t="s">
        <v>81</v>
      </c>
      <c r="E28" s="57"/>
      <c r="F28" s="3904">
        <f>(Unit.TWh)*8.63849371444259E-07</f>
        <v>8.6384937144425898E-7</v>
      </c>
      <c r="G28" s="3909">
        <f>(Unit.TWh)*8.50002105732486E-07</f>
        <v>8.5000210573248596E-7</v>
      </c>
      <c r="H28" s="3909">
        <f>(Unit.TWh)*8.15383941453053E-07</f>
        <v>8.1538394145305298E-7</v>
      </c>
      <c r="I28" s="3909">
        <f>(Unit.TWh)*7.80765777173621E-07</f>
        <v>7.8076577717362095E-7</v>
      </c>
      <c r="J28" s="3909">
        <f>(Unit.TWh)*7.46147612894188E-07</f>
        <v>7.4614761289418797E-7</v>
      </c>
      <c r="K28" s="3909">
        <f>(Unit.TWh)*7.11529448614755E-07</f>
        <v>7.11529448614755E-7</v>
      </c>
      <c r="L28" s="3909">
        <f>(Unit.TWh)*6.76911284335322E-07</f>
        <v>6.7691128433532202E-7</v>
      </c>
      <c r="M28" s="3909">
        <f>(Unit.TWh)*6.4229312005589E-07</f>
        <v>6.4229312005588999E-7</v>
      </c>
      <c r="N28" s="3905">
        <f>(Unit.TWh)*6.07674955776457E-07</f>
        <v>6.0767495577645701E-7</v>
      </c>
      <c r="O28" s="4129">
        <f>(N28-F28)/F28</f>
        <v>-0.29654986637254499</v>
      </c>
      <c r="P28" s="48"/>
      <c r="Q28" s="391"/>
      <c r="R28" s="2206"/>
    </row>
    <row r="29" spans="2:24" ht="15.5">
      <c r="B29" s="2203"/>
      <c r="C29" s="61">
        <v>4</v>
      </c>
      <c r="D29" s="62" t="s">
        <v>81</v>
      </c>
      <c r="E29" s="62"/>
      <c r="F29" s="3906">
        <f>(Unit.TWh)*8.63849371444259E-07</f>
        <v>8.6384937144425898E-7</v>
      </c>
      <c r="G29" s="3911">
        <f>(Unit.TWh)*8.50002105732486E-07</f>
        <v>8.5000210573248596E-7</v>
      </c>
      <c r="H29" s="3911">
        <f>(Unit.TWh)*8.15383941453053E-07</f>
        <v>8.1538394145305298E-7</v>
      </c>
      <c r="I29" s="3911">
        <f>(Unit.TWh)*7.80765777173621E-07</f>
        <v>7.8076577717362095E-7</v>
      </c>
      <c r="J29" s="3911">
        <f>(Unit.TWh)*7.46147612894188E-07</f>
        <v>7.4614761289418797E-7</v>
      </c>
      <c r="K29" s="3911">
        <f>(Unit.TWh)*7.11529448614755E-07</f>
        <v>7.11529448614755E-7</v>
      </c>
      <c r="L29" s="3911">
        <f>(Unit.TWh)*6.76911284335322E-07</f>
        <v>6.7691128433532202E-7</v>
      </c>
      <c r="M29" s="3911">
        <f>(Unit.TWh)*6.4229312005589E-07</f>
        <v>6.4229312005588999E-7</v>
      </c>
      <c r="N29" s="3907">
        <f>(Unit.TWh)*6.07674955776457E-07</f>
        <v>6.0767495577645701E-7</v>
      </c>
      <c r="O29" s="4130">
        <f>(N29-F29)/F29</f>
        <v>-0.29654986637254499</v>
      </c>
      <c r="P29" s="48"/>
      <c r="Q29" s="391"/>
      <c r="R29" s="2206"/>
    </row>
    <row r="30" spans="2:24" ht="15.5">
      <c r="B30" s="2203"/>
      <c r="C30" s="56"/>
      <c r="D30" s="57"/>
      <c r="E30" s="57"/>
      <c r="F30" s="59"/>
      <c r="G30" s="66"/>
      <c r="H30" s="66"/>
      <c r="I30" s="66"/>
      <c r="J30" s="66"/>
      <c r="K30" s="66"/>
      <c r="L30" s="66"/>
      <c r="M30" s="1217" t="s">
        <v>5</v>
      </c>
      <c r="N30" s="66"/>
      <c r="O30" s="66"/>
      <c r="P30" s="48"/>
    </row>
    <row r="31" spans="2:24" ht="15.5">
      <c r="B31" s="2203"/>
      <c r="C31" s="2207" t="s">
        <v>981</v>
      </c>
      <c r="D31" s="57"/>
      <c r="E31" s="57"/>
      <c r="F31" s="59"/>
      <c r="G31" s="1217" t="s">
        <v>5</v>
      </c>
      <c r="H31" s="66"/>
      <c r="I31" s="1217" t="s">
        <v>5</v>
      </c>
      <c r="J31" s="66"/>
      <c r="K31" s="66"/>
      <c r="L31" s="66"/>
      <c r="M31" s="66"/>
      <c r="N31" s="1217" t="s">
        <v>5</v>
      </c>
      <c r="O31" s="66"/>
      <c r="P31" s="48"/>
      <c r="Q31" s="38"/>
      <c r="R31" s="38"/>
      <c r="S31" s="38"/>
      <c r="T31" s="38"/>
    </row>
    <row r="32" spans="2:24" ht="21">
      <c r="B32" s="2203"/>
      <c r="C32" s="56"/>
      <c r="D32" s="57"/>
      <c r="E32" s="57"/>
      <c r="F32" s="59"/>
      <c r="G32" s="2208" t="s">
        <v>85</v>
      </c>
      <c r="H32" s="2208" t="s">
        <v>89</v>
      </c>
      <c r="I32" s="66"/>
      <c r="J32" s="66"/>
      <c r="K32" s="66"/>
      <c r="L32" s="66"/>
      <c r="M32" s="66"/>
      <c r="N32" s="66"/>
      <c r="O32" s="66"/>
      <c r="P32" s="48"/>
      <c r="Q32" s="38"/>
      <c r="R32" s="38"/>
      <c r="S32" s="38"/>
      <c r="T32" s="38"/>
    </row>
    <row r="33" spans="1:20" ht="15.5">
      <c r="B33" s="2203"/>
      <c r="C33" s="2204" t="s">
        <v>8</v>
      </c>
      <c r="D33" s="2204" t="s">
        <v>71</v>
      </c>
      <c r="E33" s="2204" t="s">
        <v>30</v>
      </c>
      <c r="F33" s="2209" t="s">
        <v>982</v>
      </c>
      <c r="G33" s="2210" t="s">
        <v>95</v>
      </c>
      <c r="H33" s="2210" t="s">
        <v>99</v>
      </c>
      <c r="I33" s="66"/>
      <c r="J33" s="66"/>
      <c r="K33" s="66"/>
      <c r="L33" s="66"/>
      <c r="M33" s="66"/>
      <c r="N33" s="66"/>
      <c r="O33" s="66"/>
      <c r="P33" s="48"/>
      <c r="Q33" s="38"/>
      <c r="R33"/>
      <c r="S33" s="38"/>
      <c r="T33" s="38"/>
    </row>
    <row r="34" spans="1:20" ht="15.5">
      <c r="B34" s="2203"/>
      <c r="C34" s="56">
        <v>1</v>
      </c>
      <c r="D34" s="57" t="s">
        <v>983</v>
      </c>
      <c r="E34" s="76"/>
      <c r="F34" s="74"/>
      <c r="G34" s="1201">
        <f>$F$47</f>
        <v>0.72</v>
      </c>
      <c r="H34" s="88">
        <f>1-G34</f>
        <v>0.28000000000000003</v>
      </c>
      <c r="I34" s="74"/>
      <c r="J34" s="74"/>
      <c r="K34" s="74"/>
      <c r="L34" s="74"/>
      <c r="M34" s="74"/>
      <c r="N34" s="74"/>
      <c r="O34" s="1351"/>
      <c r="P34" s="48"/>
      <c r="Q34" s="38"/>
      <c r="R34"/>
      <c r="S34" s="38"/>
      <c r="T34" s="38"/>
    </row>
    <row r="35" spans="1:20" ht="15.5">
      <c r="B35" s="2203"/>
      <c r="C35" s="141">
        <v>2</v>
      </c>
      <c r="D35" s="120" t="s">
        <v>984</v>
      </c>
      <c r="E35" s="120"/>
      <c r="F35" s="142"/>
      <c r="G35" s="142">
        <v>1</v>
      </c>
      <c r="H35" s="142">
        <v>0</v>
      </c>
      <c r="I35" s="77"/>
      <c r="J35" s="77"/>
      <c r="K35" s="77"/>
      <c r="L35" s="77"/>
      <c r="M35" s="77"/>
      <c r="N35" s="77"/>
      <c r="O35" s="77"/>
      <c r="P35" s="48"/>
      <c r="Q35" s="38"/>
      <c r="R35"/>
      <c r="S35" s="38"/>
      <c r="T35" s="38"/>
    </row>
    <row r="36" spans="1:20" ht="15.5">
      <c r="B36" s="2203"/>
      <c r="C36" s="56"/>
      <c r="D36" s="57"/>
      <c r="E36" s="57"/>
      <c r="F36" s="74"/>
      <c r="G36" s="77"/>
      <c r="H36" s="77"/>
      <c r="I36" s="77"/>
      <c r="J36" s="77"/>
      <c r="K36" s="77"/>
      <c r="L36" s="77"/>
      <c r="M36" s="77"/>
      <c r="N36" s="77"/>
      <c r="O36" s="77"/>
      <c r="P36" s="48"/>
      <c r="Q36" s="38"/>
      <c r="R36"/>
      <c r="S36" s="38"/>
      <c r="T36" s="38"/>
    </row>
    <row r="37" spans="1:20" ht="15.5">
      <c r="B37" s="2203"/>
      <c r="C37" s="3850" t="s">
        <v>63</v>
      </c>
      <c r="D37" s="57"/>
      <c r="E37" s="57"/>
      <c r="F37" s="74"/>
      <c r="G37" s="77"/>
      <c r="H37" s="77"/>
      <c r="I37" s="77"/>
      <c r="J37" s="77"/>
      <c r="K37" s="77"/>
      <c r="L37" s="77"/>
      <c r="M37" s="77"/>
      <c r="N37" s="77"/>
      <c r="O37" s="77"/>
      <c r="P37" s="48"/>
      <c r="Q37" s="38"/>
      <c r="R37"/>
      <c r="S37" s="38"/>
      <c r="T37" s="38"/>
    </row>
    <row r="38" spans="1:20">
      <c r="B38" s="45"/>
      <c r="C38" s="3832" t="s">
        <v>64</v>
      </c>
      <c r="D38" s="2248" t="s">
        <v>3168</v>
      </c>
      <c r="E38" s="46"/>
      <c r="F38" s="46"/>
      <c r="G38" s="46"/>
      <c r="H38" s="46"/>
      <c r="I38" s="46"/>
      <c r="J38" s="46"/>
      <c r="K38" s="46"/>
      <c r="L38" s="46"/>
      <c r="M38" s="46"/>
      <c r="N38" s="46"/>
      <c r="O38" s="46"/>
      <c r="P38" s="48"/>
      <c r="Q38" s="38"/>
      <c r="R38" s="2212"/>
      <c r="S38" s="38"/>
      <c r="T38" s="38"/>
    </row>
    <row r="39" spans="1:20">
      <c r="B39" s="45"/>
      <c r="C39" s="3832"/>
      <c r="D39" s="3830" t="s">
        <v>3015</v>
      </c>
      <c r="E39" s="46"/>
      <c r="F39" s="46"/>
      <c r="G39" s="46"/>
      <c r="H39" s="46"/>
      <c r="I39" s="46"/>
      <c r="J39" s="46"/>
      <c r="K39" s="46"/>
      <c r="L39" s="46"/>
      <c r="M39" s="46"/>
      <c r="N39" s="46"/>
      <c r="O39" s="46"/>
      <c r="P39" s="48"/>
      <c r="Q39" s="38"/>
      <c r="R39" s="2212"/>
      <c r="S39" s="38"/>
      <c r="T39" s="38"/>
    </row>
    <row r="40" spans="1:20">
      <c r="B40" s="45"/>
      <c r="C40" s="3832" t="s">
        <v>66</v>
      </c>
      <c r="D40" s="3830" t="s">
        <v>3047</v>
      </c>
      <c r="E40" s="46"/>
      <c r="F40" s="46"/>
      <c r="G40" s="46"/>
      <c r="H40" s="46"/>
      <c r="I40" s="46"/>
      <c r="J40" s="46"/>
      <c r="K40" s="46"/>
      <c r="L40" s="46"/>
      <c r="M40" s="46"/>
      <c r="N40" s="46"/>
      <c r="O40" s="46"/>
      <c r="P40" s="48"/>
    </row>
    <row r="42" spans="1:20" s="4" customFormat="1" ht="23.5">
      <c r="A42" s="2198"/>
      <c r="B42" s="2199" t="s">
        <v>69</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00" t="s">
        <v>985</v>
      </c>
      <c r="D44" s="46"/>
      <c r="E44" s="46"/>
      <c r="F44" s="66" t="s">
        <v>986</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5">
      <c r="B46" s="2203"/>
      <c r="C46" s="2204" t="s">
        <v>28</v>
      </c>
      <c r="D46" s="2204" t="s">
        <v>71</v>
      </c>
      <c r="E46" s="2204" t="s">
        <v>30</v>
      </c>
      <c r="F46" s="2205">
        <v>2013</v>
      </c>
      <c r="G46" s="46"/>
      <c r="H46" s="46"/>
      <c r="I46" s="46"/>
      <c r="J46" s="46"/>
      <c r="K46" s="46"/>
      <c r="L46" s="46"/>
      <c r="M46" s="46"/>
      <c r="N46" s="46"/>
      <c r="O46" s="46"/>
      <c r="P46" s="48"/>
    </row>
    <row r="47" spans="1:20" ht="15.5">
      <c r="B47" s="2203"/>
      <c r="C47" s="56" t="s">
        <v>95</v>
      </c>
      <c r="D47" s="57" t="s">
        <v>85</v>
      </c>
      <c r="E47" s="76"/>
      <c r="F47" s="88">
        <v>0.72</v>
      </c>
      <c r="G47" s="46"/>
      <c r="H47" s="46"/>
      <c r="I47" s="46"/>
      <c r="J47" s="46"/>
      <c r="K47" s="46"/>
      <c r="L47" s="46"/>
      <c r="M47" s="46"/>
      <c r="N47" s="46"/>
      <c r="O47" s="46"/>
      <c r="P47" s="48"/>
    </row>
    <row r="48" spans="1:20" ht="15.5">
      <c r="B48" s="2203"/>
      <c r="C48" s="56" t="s">
        <v>99</v>
      </c>
      <c r="D48" s="57" t="s">
        <v>89</v>
      </c>
      <c r="E48" s="57"/>
      <c r="F48" s="88">
        <v>0.28000000000000003</v>
      </c>
      <c r="G48" s="88"/>
      <c r="H48" s="46"/>
      <c r="I48" s="46"/>
      <c r="J48" s="46"/>
      <c r="K48" s="46"/>
      <c r="L48" s="46"/>
      <c r="M48" s="46"/>
      <c r="N48" s="46"/>
      <c r="O48" s="88"/>
      <c r="P48" s="48"/>
    </row>
    <row r="49" spans="2:27" s="2215" customFormat="1">
      <c r="B49" s="2213"/>
      <c r="C49" s="99"/>
      <c r="D49" s="82"/>
      <c r="E49" s="2213"/>
      <c r="F49" s="2213"/>
      <c r="G49" s="2213"/>
      <c r="H49" s="2213"/>
      <c r="I49" s="2213"/>
      <c r="J49" s="2213"/>
      <c r="K49" s="2213"/>
      <c r="L49" s="2213"/>
      <c r="M49" s="2213"/>
      <c r="N49" s="2213"/>
      <c r="O49" s="88"/>
      <c r="P49" s="2214"/>
    </row>
    <row r="50" spans="2:27">
      <c r="B50" s="45"/>
      <c r="C50" s="2200" t="s">
        <v>779</v>
      </c>
      <c r="D50" s="46"/>
      <c r="E50" s="46"/>
      <c r="F50" s="46"/>
      <c r="G50" s="46"/>
      <c r="H50" s="46"/>
      <c r="I50" s="46"/>
      <c r="J50" s="46"/>
      <c r="K50" s="46"/>
      <c r="L50" s="46"/>
      <c r="M50" s="46"/>
      <c r="N50" s="2216" t="str">
        <f>"kt per "&amp;Preferences.EnergyUnits</f>
        <v>kt per TWh</v>
      </c>
      <c r="O50" s="88"/>
      <c r="P50" s="48"/>
    </row>
    <row r="51" spans="2:27">
      <c r="B51" s="45"/>
      <c r="C51" s="46"/>
      <c r="D51" s="46"/>
      <c r="E51" s="2217"/>
      <c r="F51" s="2218"/>
      <c r="G51" s="46"/>
      <c r="H51" s="46"/>
      <c r="I51" s="46"/>
      <c r="J51" s="46"/>
      <c r="K51" s="46"/>
      <c r="L51" s="46"/>
      <c r="M51" s="46"/>
      <c r="N51" s="46"/>
      <c r="O51" s="88"/>
      <c r="P51" s="48"/>
    </row>
    <row r="52" spans="2:27">
      <c r="B52" s="45"/>
      <c r="C52" s="2219" t="s">
        <v>43</v>
      </c>
      <c r="D52" s="2219" t="s">
        <v>987</v>
      </c>
      <c r="E52" s="2220" t="s">
        <v>44</v>
      </c>
      <c r="F52" s="1356">
        <v>2013</v>
      </c>
      <c r="G52" s="1356" t="s">
        <v>132</v>
      </c>
      <c r="H52" s="1356" t="s">
        <v>133</v>
      </c>
      <c r="I52" s="1356" t="s">
        <v>134</v>
      </c>
      <c r="J52" s="1356" t="s">
        <v>135</v>
      </c>
      <c r="K52" s="1356" t="s">
        <v>136</v>
      </c>
      <c r="L52" s="1356" t="s">
        <v>137</v>
      </c>
      <c r="M52" s="1356" t="s">
        <v>138</v>
      </c>
      <c r="N52" s="1357" t="s">
        <v>139</v>
      </c>
      <c r="O52" s="88"/>
      <c r="P52" s="48"/>
    </row>
    <row r="53" spans="2:27">
      <c r="B53" s="45"/>
      <c r="C53" s="2221" t="s">
        <v>461</v>
      </c>
      <c r="D53" s="2222" t="s">
        <v>462</v>
      </c>
      <c r="E53" s="2223" t="s">
        <v>89</v>
      </c>
      <c r="F53" s="3646">
        <f t="shared" ref="F53:N53" si="0">0.0000018*(1/Unit.GWh)</f>
        <v>1.8E-3</v>
      </c>
      <c r="G53" s="3646">
        <f t="shared" si="0"/>
        <v>1.8E-3</v>
      </c>
      <c r="H53" s="3646">
        <f t="shared" si="0"/>
        <v>1.8E-3</v>
      </c>
      <c r="I53" s="3646">
        <f t="shared" si="0"/>
        <v>1.8E-3</v>
      </c>
      <c r="J53" s="3646">
        <f t="shared" si="0"/>
        <v>1.8E-3</v>
      </c>
      <c r="K53" s="3646">
        <f t="shared" si="0"/>
        <v>1.8E-3</v>
      </c>
      <c r="L53" s="3646">
        <f t="shared" si="0"/>
        <v>1.8E-3</v>
      </c>
      <c r="M53" s="3646">
        <f t="shared" si="0"/>
        <v>1.8E-3</v>
      </c>
      <c r="N53" s="2427">
        <f t="shared" si="0"/>
        <v>1.8E-3</v>
      </c>
      <c r="O53" s="88"/>
      <c r="P53" s="48"/>
    </row>
    <row r="54" spans="2:27">
      <c r="B54" s="45"/>
      <c r="C54" s="46"/>
      <c r="D54" s="46"/>
      <c r="E54" s="46"/>
      <c r="F54" s="67"/>
      <c r="G54" s="67"/>
      <c r="H54" s="67"/>
      <c r="I54" s="67"/>
      <c r="J54" s="67"/>
      <c r="K54" s="67"/>
      <c r="L54" s="67"/>
      <c r="M54" s="67"/>
      <c r="N54" s="67"/>
      <c r="O54" s="88"/>
      <c r="P54" s="48"/>
    </row>
    <row r="55" spans="2:27">
      <c r="B55" s="45"/>
      <c r="C55" s="2200" t="s">
        <v>781</v>
      </c>
      <c r="D55" s="46"/>
      <c r="E55" s="46"/>
      <c r="F55" s="67"/>
      <c r="G55" s="67"/>
      <c r="H55" s="67"/>
      <c r="I55" s="67"/>
      <c r="J55" s="67"/>
      <c r="K55" s="67"/>
      <c r="L55" s="67"/>
      <c r="M55" s="67"/>
      <c r="N55" s="935" t="str">
        <f>"kt per "&amp;Preferences.EnergyUnits</f>
        <v>kt per TWh</v>
      </c>
      <c r="O55" s="88"/>
      <c r="P55" s="48"/>
    </row>
    <row r="56" spans="2:27">
      <c r="B56" s="45"/>
      <c r="C56" s="46"/>
      <c r="D56" s="46"/>
      <c r="E56" s="2217"/>
      <c r="F56" s="67" t="s">
        <v>5</v>
      </c>
      <c r="G56" s="67"/>
      <c r="H56" s="67"/>
      <c r="I56" s="67"/>
      <c r="J56" s="67"/>
      <c r="K56" s="67"/>
      <c r="L56" s="67"/>
      <c r="M56" s="67"/>
      <c r="N56" s="67"/>
      <c r="O56" s="88"/>
      <c r="P56" s="48"/>
    </row>
    <row r="57" spans="2:27">
      <c r="B57" s="45"/>
      <c r="C57" s="2219" t="s">
        <v>43</v>
      </c>
      <c r="D57" s="2219" t="s">
        <v>987</v>
      </c>
      <c r="E57" s="2220" t="s">
        <v>44</v>
      </c>
      <c r="F57" s="1356">
        <v>2013</v>
      </c>
      <c r="G57" s="1356" t="s">
        <v>132</v>
      </c>
      <c r="H57" s="1356" t="s">
        <v>133</v>
      </c>
      <c r="I57" s="1356" t="s">
        <v>134</v>
      </c>
      <c r="J57" s="1356" t="s">
        <v>135</v>
      </c>
      <c r="K57" s="1356" t="s">
        <v>136</v>
      </c>
      <c r="L57" s="1356" t="s">
        <v>137</v>
      </c>
      <c r="M57" s="1356" t="s">
        <v>138</v>
      </c>
      <c r="N57" s="1357" t="s">
        <v>139</v>
      </c>
      <c r="O57" s="88"/>
      <c r="P57" s="48"/>
    </row>
    <row r="58" spans="2:27">
      <c r="B58" s="45"/>
      <c r="C58" s="2221" t="s">
        <v>461</v>
      </c>
      <c r="D58" s="2222" t="s">
        <v>462</v>
      </c>
      <c r="E58" s="2223" t="s">
        <v>89</v>
      </c>
      <c r="F58" s="3646">
        <f t="shared" ref="F58:N58" si="1">0.000252*(1/Unit.GWh)</f>
        <v>0.252</v>
      </c>
      <c r="G58" s="3646">
        <f t="shared" si="1"/>
        <v>0.252</v>
      </c>
      <c r="H58" s="3646">
        <f t="shared" si="1"/>
        <v>0.252</v>
      </c>
      <c r="I58" s="3646">
        <f t="shared" si="1"/>
        <v>0.252</v>
      </c>
      <c r="J58" s="3646">
        <f t="shared" si="1"/>
        <v>0.252</v>
      </c>
      <c r="K58" s="3646">
        <f t="shared" si="1"/>
        <v>0.252</v>
      </c>
      <c r="L58" s="3646">
        <f t="shared" si="1"/>
        <v>0.252</v>
      </c>
      <c r="M58" s="3646">
        <f t="shared" si="1"/>
        <v>0.252</v>
      </c>
      <c r="N58" s="2427">
        <f t="shared" si="1"/>
        <v>0.252</v>
      </c>
      <c r="O58" s="88"/>
      <c r="P58" s="48"/>
    </row>
    <row r="59" spans="2:27">
      <c r="B59" s="45"/>
      <c r="C59" s="46"/>
      <c r="D59" s="46"/>
      <c r="E59" s="46"/>
      <c r="F59" s="67"/>
      <c r="G59" s="67"/>
      <c r="H59" s="67"/>
      <c r="I59" s="67"/>
      <c r="J59" s="67"/>
      <c r="K59" s="67"/>
      <c r="L59" s="67"/>
      <c r="M59" s="67"/>
      <c r="N59" s="67"/>
      <c r="O59" s="88"/>
      <c r="P59" s="48"/>
    </row>
    <row r="60" spans="2:27">
      <c r="B60" s="45"/>
      <c r="C60" s="2200" t="s">
        <v>782</v>
      </c>
      <c r="D60" s="46"/>
      <c r="E60" s="46"/>
      <c r="F60" s="67"/>
      <c r="G60" s="67"/>
      <c r="H60" s="67"/>
      <c r="I60" s="67"/>
      <c r="J60" s="67"/>
      <c r="K60" s="67"/>
      <c r="L60" s="67"/>
      <c r="M60" s="67"/>
      <c r="N60" s="935" t="str">
        <f>"kt per "&amp;Preferences.EnergyUnits</f>
        <v>kt per TWh</v>
      </c>
      <c r="O60" s="88"/>
      <c r="P60" s="48"/>
    </row>
    <row r="61" spans="2:27">
      <c r="B61" s="45"/>
      <c r="C61" s="46"/>
      <c r="D61" s="46"/>
      <c r="E61" s="2217"/>
      <c r="F61" s="67"/>
      <c r="G61" s="67"/>
      <c r="H61" s="67"/>
      <c r="I61" s="67"/>
      <c r="J61" s="67"/>
      <c r="K61" s="67"/>
      <c r="L61" s="67"/>
      <c r="M61" s="67"/>
      <c r="N61" s="67"/>
      <c r="O61" s="88"/>
      <c r="P61" s="48"/>
    </row>
    <row r="62" spans="2:27">
      <c r="B62" s="45"/>
      <c r="C62" s="2219" t="s">
        <v>43</v>
      </c>
      <c r="D62" s="2219" t="s">
        <v>987</v>
      </c>
      <c r="E62" s="2220" t="s">
        <v>44</v>
      </c>
      <c r="F62" s="1356">
        <v>2013</v>
      </c>
      <c r="G62" s="1356" t="s">
        <v>132</v>
      </c>
      <c r="H62" s="1356" t="s">
        <v>133</v>
      </c>
      <c r="I62" s="1356" t="s">
        <v>134</v>
      </c>
      <c r="J62" s="1356" t="s">
        <v>135</v>
      </c>
      <c r="K62" s="1356" t="s">
        <v>136</v>
      </c>
      <c r="L62" s="1356" t="s">
        <v>137</v>
      </c>
      <c r="M62" s="1356" t="s">
        <v>138</v>
      </c>
      <c r="N62" s="1357" t="s">
        <v>139</v>
      </c>
      <c r="O62" s="88"/>
      <c r="P62" s="48"/>
      <c r="V62" s="38"/>
      <c r="W62" s="38"/>
      <c r="X62" s="38"/>
      <c r="Y62" s="38"/>
      <c r="Z62" s="38"/>
      <c r="AA62" s="38"/>
    </row>
    <row r="63" spans="2:27">
      <c r="B63" s="45"/>
      <c r="C63" s="2221" t="s">
        <v>461</v>
      </c>
      <c r="D63" s="2222" t="s">
        <v>462</v>
      </c>
      <c r="E63" s="2223" t="s">
        <v>89</v>
      </c>
      <c r="F63" s="3646">
        <f t="shared" ref="F63:N63" si="2">0*(1/Unit.GWh)</f>
        <v>0</v>
      </c>
      <c r="G63" s="3646">
        <f t="shared" si="2"/>
        <v>0</v>
      </c>
      <c r="H63" s="3646">
        <f t="shared" si="2"/>
        <v>0</v>
      </c>
      <c r="I63" s="3646">
        <f t="shared" si="2"/>
        <v>0</v>
      </c>
      <c r="J63" s="3646">
        <f t="shared" si="2"/>
        <v>0</v>
      </c>
      <c r="K63" s="3646">
        <f t="shared" si="2"/>
        <v>0</v>
      </c>
      <c r="L63" s="3646">
        <f t="shared" si="2"/>
        <v>0</v>
      </c>
      <c r="M63" s="3646">
        <f t="shared" si="2"/>
        <v>0</v>
      </c>
      <c r="N63" s="2427">
        <f t="shared" si="2"/>
        <v>0</v>
      </c>
      <c r="O63" s="88"/>
      <c r="P63" s="48"/>
      <c r="V63" s="38"/>
      <c r="W63" s="38"/>
      <c r="X63" s="38"/>
      <c r="Y63" s="38"/>
      <c r="Z63" s="38"/>
      <c r="AA63" s="38"/>
    </row>
    <row r="64" spans="2:27">
      <c r="B64" s="45"/>
      <c r="C64" s="46"/>
      <c r="D64" s="46"/>
      <c r="E64" s="46"/>
      <c r="F64" s="67"/>
      <c r="G64" s="67"/>
      <c r="H64" s="67"/>
      <c r="I64" s="67"/>
      <c r="J64" s="67"/>
      <c r="K64" s="67"/>
      <c r="L64" s="67"/>
      <c r="M64" s="67"/>
      <c r="N64" s="67"/>
      <c r="O64" s="88"/>
      <c r="P64" s="48"/>
      <c r="V64" s="38"/>
      <c r="W64" s="38"/>
      <c r="X64" s="38"/>
      <c r="Y64" s="38"/>
      <c r="Z64" s="38"/>
      <c r="AA64" s="38"/>
    </row>
    <row r="65" spans="1:34">
      <c r="B65" s="45"/>
      <c r="C65" s="2200" t="s">
        <v>783</v>
      </c>
      <c r="D65" s="46"/>
      <c r="E65" s="46"/>
      <c r="F65" s="67"/>
      <c r="G65" s="67"/>
      <c r="H65" s="67"/>
      <c r="I65" s="67"/>
      <c r="J65" s="67"/>
      <c r="K65" s="67"/>
      <c r="L65" s="67"/>
      <c r="M65" s="67"/>
      <c r="N65" s="935" t="str">
        <f>"kt per "&amp;Preferences.EnergyUnits</f>
        <v>kt per TWh</v>
      </c>
      <c r="O65" s="88"/>
      <c r="P65" s="48"/>
      <c r="V65" s="38"/>
      <c r="W65" s="38"/>
      <c r="X65" s="38"/>
      <c r="Y65" s="38"/>
      <c r="Z65" s="38"/>
      <c r="AA65" s="38"/>
    </row>
    <row r="66" spans="1:34">
      <c r="B66" s="45"/>
      <c r="C66" s="46"/>
      <c r="D66" s="46"/>
      <c r="E66" s="2217"/>
      <c r="F66" s="67"/>
      <c r="G66" s="67"/>
      <c r="H66" s="67"/>
      <c r="I66" s="67"/>
      <c r="J66" s="67"/>
      <c r="K66" s="67"/>
      <c r="L66" s="67"/>
      <c r="M66" s="67"/>
      <c r="N66" s="67"/>
      <c r="O66" s="88"/>
      <c r="P66" s="48"/>
      <c r="V66" s="38"/>
      <c r="W66" s="38"/>
      <c r="X66" s="38"/>
      <c r="Y66" s="38"/>
      <c r="Z66" s="38"/>
      <c r="AA66" s="38"/>
    </row>
    <row r="67" spans="1:34">
      <c r="B67" s="45"/>
      <c r="C67" s="2219" t="s">
        <v>43</v>
      </c>
      <c r="D67" s="2219" t="s">
        <v>987</v>
      </c>
      <c r="E67" s="2220" t="s">
        <v>44</v>
      </c>
      <c r="F67" s="1356">
        <v>2013</v>
      </c>
      <c r="G67" s="1356" t="s">
        <v>132</v>
      </c>
      <c r="H67" s="1356" t="s">
        <v>133</v>
      </c>
      <c r="I67" s="1356" t="s">
        <v>134</v>
      </c>
      <c r="J67" s="1356" t="s">
        <v>135</v>
      </c>
      <c r="K67" s="1356" t="s">
        <v>136</v>
      </c>
      <c r="L67" s="1356" t="s">
        <v>137</v>
      </c>
      <c r="M67" s="1356" t="s">
        <v>138</v>
      </c>
      <c r="N67" s="1357" t="s">
        <v>139</v>
      </c>
      <c r="O67" s="88"/>
      <c r="P67" s="48"/>
      <c r="R67" s="81"/>
      <c r="S67" s="81"/>
      <c r="T67" s="81"/>
      <c r="U67" s="81"/>
      <c r="V67" s="81"/>
      <c r="W67" s="81"/>
      <c r="X67" s="81"/>
      <c r="Y67" s="81"/>
      <c r="Z67" s="81"/>
      <c r="AA67" s="81"/>
      <c r="AB67" s="81"/>
      <c r="AC67" s="81"/>
      <c r="AD67" s="81"/>
      <c r="AE67" s="81"/>
      <c r="AF67" s="81"/>
      <c r="AG67" s="81"/>
      <c r="AH67" s="81"/>
    </row>
    <row r="68" spans="1:34">
      <c r="B68" s="45"/>
      <c r="C68" s="2221" t="s">
        <v>461</v>
      </c>
      <c r="D68" s="2222" t="s">
        <v>462</v>
      </c>
      <c r="E68" s="2223" t="s">
        <v>89</v>
      </c>
      <c r="F68" s="3646">
        <f t="shared" ref="F68:N68" si="3">0.000036*(1/Unit.GWh)</f>
        <v>3.6000000000000004E-2</v>
      </c>
      <c r="G68" s="3646">
        <f t="shared" si="3"/>
        <v>3.6000000000000004E-2</v>
      </c>
      <c r="H68" s="3646">
        <f t="shared" si="3"/>
        <v>3.6000000000000004E-2</v>
      </c>
      <c r="I68" s="3646">
        <f t="shared" si="3"/>
        <v>3.6000000000000004E-2</v>
      </c>
      <c r="J68" s="3646">
        <f t="shared" si="3"/>
        <v>3.6000000000000004E-2</v>
      </c>
      <c r="K68" s="3646">
        <f t="shared" si="3"/>
        <v>3.6000000000000004E-2</v>
      </c>
      <c r="L68" s="3646">
        <f t="shared" si="3"/>
        <v>3.6000000000000004E-2</v>
      </c>
      <c r="M68" s="3646">
        <f t="shared" si="3"/>
        <v>3.6000000000000004E-2</v>
      </c>
      <c r="N68" s="2427">
        <f t="shared" si="3"/>
        <v>3.6000000000000004E-2</v>
      </c>
      <c r="O68" s="88"/>
      <c r="P68" s="48"/>
      <c r="R68" s="81"/>
      <c r="S68" s="81"/>
      <c r="T68" s="81"/>
      <c r="U68" s="81"/>
      <c r="V68" s="81"/>
      <c r="W68" s="81"/>
      <c r="X68" s="81"/>
      <c r="Y68" s="81"/>
      <c r="Z68" s="81"/>
      <c r="AA68" s="81"/>
      <c r="AB68" s="81"/>
      <c r="AC68" s="81"/>
      <c r="AD68" s="81"/>
      <c r="AE68" s="81"/>
      <c r="AF68" s="81"/>
      <c r="AG68" s="81"/>
      <c r="AH68" s="81"/>
    </row>
    <row r="69" spans="1:34">
      <c r="B69" s="45"/>
      <c r="C69" s="2224"/>
      <c r="D69" s="2225"/>
      <c r="E69" s="2226"/>
      <c r="F69" s="2227"/>
      <c r="G69" s="2227"/>
      <c r="H69" s="2227"/>
      <c r="I69" s="2227"/>
      <c r="J69" s="2227"/>
      <c r="K69" s="2227"/>
      <c r="L69" s="2227"/>
      <c r="M69" s="2227"/>
      <c r="N69" s="2227"/>
      <c r="O69" s="2227"/>
      <c r="P69" s="48"/>
      <c r="R69" s="81"/>
      <c r="S69" s="81"/>
      <c r="T69" s="81"/>
      <c r="U69" s="81"/>
      <c r="V69" s="81"/>
      <c r="W69" s="81"/>
      <c r="X69" s="81"/>
      <c r="Y69" s="81"/>
      <c r="Z69" s="81"/>
      <c r="AA69" s="81"/>
      <c r="AB69" s="81"/>
      <c r="AC69" s="81"/>
      <c r="AD69" s="81"/>
      <c r="AE69" s="81"/>
      <c r="AF69" s="81"/>
      <c r="AG69" s="81"/>
      <c r="AH69" s="81"/>
    </row>
    <row r="70" spans="1:34" s="2228" customFormat="1" ht="13">
      <c r="B70" s="2229"/>
      <c r="C70" s="2230" t="s">
        <v>81</v>
      </c>
      <c r="D70" s="2231"/>
      <c r="E70" s="2232"/>
      <c r="F70" s="2229"/>
      <c r="G70" s="2229"/>
      <c r="H70" s="2229"/>
      <c r="I70" s="2229"/>
      <c r="J70" s="2229"/>
      <c r="K70" s="2229"/>
      <c r="L70" s="2229"/>
      <c r="M70" s="2229"/>
      <c r="N70" s="2229"/>
      <c r="O70" s="2229"/>
      <c r="P70" s="2229"/>
      <c r="R70" s="2233"/>
      <c r="S70" s="2233"/>
      <c r="T70" s="2233"/>
      <c r="U70" s="2233"/>
      <c r="V70" s="2233"/>
      <c r="W70" s="2233"/>
      <c r="X70" s="2233"/>
      <c r="Y70" s="2233"/>
      <c r="Z70" s="2233"/>
      <c r="AA70" s="2233"/>
      <c r="AB70" s="2233"/>
      <c r="AC70" s="2233"/>
      <c r="AD70" s="2233"/>
      <c r="AE70" s="2233"/>
      <c r="AF70" s="2233"/>
      <c r="AG70" s="2233"/>
      <c r="AH70" s="2233"/>
    </row>
    <row r="71" spans="1:34" ht="23.5">
      <c r="A71" s="2191"/>
      <c r="B71" s="172"/>
      <c r="C71" s="2231"/>
      <c r="D71" s="2231"/>
      <c r="E71" s="2232"/>
      <c r="F71" s="172"/>
      <c r="G71" s="172"/>
      <c r="H71" s="172"/>
      <c r="I71" s="172"/>
      <c r="J71" s="172"/>
      <c r="K71" s="172"/>
      <c r="L71" s="172"/>
      <c r="M71" s="172"/>
      <c r="N71" s="172"/>
      <c r="O71" s="172"/>
      <c r="P71" s="172"/>
      <c r="R71" s="2234"/>
      <c r="S71" s="81"/>
      <c r="T71" s="81"/>
      <c r="U71" s="81"/>
      <c r="V71" s="81"/>
      <c r="W71" s="81"/>
      <c r="X71" s="81"/>
      <c r="Y71" s="81"/>
      <c r="Z71" s="81"/>
      <c r="AA71" s="81"/>
      <c r="AB71" s="81"/>
      <c r="AC71" s="81"/>
      <c r="AD71" s="81"/>
      <c r="AE71" s="81"/>
      <c r="AF71" s="81"/>
      <c r="AG71" s="81"/>
      <c r="AH71" s="81"/>
    </row>
    <row r="72" spans="1:34">
      <c r="B72" s="172"/>
      <c r="C72" s="2231" t="s">
        <v>194</v>
      </c>
      <c r="D72" s="2235"/>
      <c r="E72" s="2236">
        <v>0.33</v>
      </c>
      <c r="F72" s="172"/>
      <c r="G72" s="172"/>
      <c r="H72" s="172"/>
      <c r="I72" s="172"/>
      <c r="J72" s="172"/>
      <c r="K72" s="172"/>
      <c r="L72" s="172"/>
      <c r="M72" s="172"/>
      <c r="N72" s="172"/>
      <c r="O72" s="172"/>
      <c r="P72" s="172"/>
      <c r="R72" s="2237"/>
      <c r="S72" s="2237"/>
      <c r="T72" s="2237"/>
      <c r="U72" s="2237"/>
      <c r="V72" s="2237"/>
      <c r="W72" s="2237"/>
      <c r="X72" s="38"/>
      <c r="Y72" s="38"/>
      <c r="Z72" s="2237"/>
      <c r="AA72" s="2237"/>
      <c r="AB72" s="2237"/>
      <c r="AC72" s="2237"/>
      <c r="AD72" s="2237"/>
      <c r="AE72" s="2237"/>
      <c r="AF72" s="2237"/>
      <c r="AG72" s="81"/>
      <c r="AH72" s="81"/>
    </row>
    <row r="73" spans="1:34">
      <c r="B73" s="172"/>
      <c r="C73" s="172"/>
      <c r="D73" s="172"/>
      <c r="E73" s="172"/>
      <c r="F73" s="172"/>
      <c r="G73" s="172"/>
      <c r="H73" s="172"/>
      <c r="I73" s="172"/>
      <c r="J73" s="172"/>
      <c r="K73" s="172"/>
      <c r="L73" s="172"/>
      <c r="M73" s="172"/>
      <c r="N73" s="172"/>
      <c r="O73" s="172"/>
      <c r="P73" s="172"/>
      <c r="R73" s="2237"/>
      <c r="S73" s="2238"/>
      <c r="T73" s="2239"/>
      <c r="U73" s="2239"/>
      <c r="V73" s="2239"/>
      <c r="W73" s="2237"/>
      <c r="X73" s="2237"/>
      <c r="Y73" s="2237"/>
      <c r="Z73" s="2237"/>
      <c r="AA73" s="2237"/>
      <c r="AB73" s="2237"/>
      <c r="AC73" s="2237"/>
      <c r="AD73" s="2237"/>
      <c r="AE73" s="2237"/>
      <c r="AF73" s="2237"/>
      <c r="AG73" s="81"/>
      <c r="AH73" s="81"/>
    </row>
    <row r="74" spans="1:34">
      <c r="R74" s="2237"/>
      <c r="S74" s="2240"/>
      <c r="T74" s="2241"/>
      <c r="U74" s="2242"/>
      <c r="V74" s="2241"/>
      <c r="W74" s="2237"/>
      <c r="X74" s="2237"/>
      <c r="Y74" s="2237"/>
      <c r="Z74" s="2237"/>
      <c r="AA74" s="2237"/>
      <c r="AB74" s="2237"/>
      <c r="AC74" s="2237"/>
      <c r="AD74" s="2237"/>
      <c r="AE74" s="2237"/>
      <c r="AF74" s="2237"/>
      <c r="AG74" s="81"/>
      <c r="AH74" s="81"/>
    </row>
    <row r="75" spans="1:34" ht="15.5">
      <c r="B75" s="2199" t="s">
        <v>2719</v>
      </c>
      <c r="C75" s="42"/>
      <c r="D75" s="42"/>
      <c r="E75" s="42"/>
      <c r="F75" s="42"/>
      <c r="G75" s="42"/>
      <c r="H75" s="42"/>
      <c r="I75" s="42"/>
      <c r="J75" s="42"/>
      <c r="K75" s="42"/>
      <c r="L75" s="42"/>
      <c r="M75" s="42"/>
      <c r="N75" s="42"/>
      <c r="O75" s="42"/>
      <c r="P75" s="44"/>
      <c r="R75" s="2237"/>
      <c r="S75" s="2240"/>
      <c r="T75" s="2241"/>
      <c r="U75" s="2242"/>
      <c r="V75" s="2241"/>
      <c r="W75" s="4343"/>
      <c r="X75" s="4344"/>
      <c r="Y75" s="4343"/>
      <c r="Z75" s="4344"/>
      <c r="AA75" s="2237"/>
      <c r="AB75" s="2237"/>
      <c r="AC75" s="2237"/>
      <c r="AD75" s="2237"/>
      <c r="AE75" s="2237"/>
      <c r="AF75" s="2237"/>
      <c r="AG75" s="81"/>
      <c r="AH75" s="81"/>
    </row>
    <row r="76" spans="1:34" hidden="1">
      <c r="B76" s="2243"/>
      <c r="C76" s="2244"/>
      <c r="D76" s="2244"/>
      <c r="E76" s="2244"/>
      <c r="F76" s="2244"/>
      <c r="G76" s="2244"/>
      <c r="H76" s="2244"/>
      <c r="I76" s="2244"/>
      <c r="J76" s="2244"/>
      <c r="K76" s="2244"/>
      <c r="L76" s="2244"/>
      <c r="M76" s="2244"/>
      <c r="N76" s="2244"/>
      <c r="O76" s="2244"/>
      <c r="P76" s="2245"/>
      <c r="R76" s="2237"/>
      <c r="S76" s="2237"/>
      <c r="T76" s="2237"/>
      <c r="U76" s="2240"/>
      <c r="V76" s="2240"/>
      <c r="W76" s="2246"/>
      <c r="X76" s="2247"/>
      <c r="Y76" s="2246"/>
      <c r="Z76" s="2247"/>
      <c r="AA76" s="2237"/>
      <c r="AB76" s="2237"/>
      <c r="AC76" s="2237"/>
      <c r="AD76" s="2237"/>
      <c r="AE76" s="2237"/>
      <c r="AF76" s="2237"/>
      <c r="AG76" s="81"/>
      <c r="AH76" s="81"/>
    </row>
    <row r="77" spans="1:34" hidden="1">
      <c r="B77" s="45"/>
      <c r="C77" s="2200" t="s">
        <v>988</v>
      </c>
      <c r="D77" s="2248"/>
      <c r="E77" s="2249"/>
      <c r="F77" s="2250"/>
      <c r="G77" s="2250"/>
      <c r="H77" s="2251"/>
      <c r="I77" s="2251"/>
      <c r="J77" s="2251"/>
      <c r="K77" s="2251"/>
      <c r="L77" s="2251"/>
      <c r="M77" s="2251"/>
      <c r="N77" s="2251"/>
      <c r="O77" s="2216" t="s">
        <v>2760</v>
      </c>
      <c r="P77" s="48"/>
      <c r="R77" s="2237"/>
      <c r="S77" s="81"/>
      <c r="T77" s="2252"/>
      <c r="U77" s="2252"/>
      <c r="V77" s="2252"/>
      <c r="W77" s="81"/>
      <c r="X77" s="81"/>
      <c r="Y77" s="2252"/>
      <c r="Z77" s="2252"/>
      <c r="AA77" s="2237"/>
      <c r="AB77" s="2237"/>
      <c r="AC77" s="2237"/>
      <c r="AD77" s="2237"/>
      <c r="AE77" s="2237"/>
      <c r="AF77" s="2237"/>
      <c r="AG77" s="81"/>
      <c r="AH77" s="81"/>
    </row>
    <row r="78" spans="1:34" hidden="1">
      <c r="B78" s="45"/>
      <c r="C78" s="2253"/>
      <c r="D78" s="2248"/>
      <c r="E78" s="2249"/>
      <c r="F78" s="2250"/>
      <c r="G78" s="2250"/>
      <c r="H78" s="2251"/>
      <c r="I78" s="2251"/>
      <c r="J78" s="2251"/>
      <c r="K78" s="2251"/>
      <c r="L78" s="2251"/>
      <c r="M78" s="2251"/>
      <c r="N78" s="2251"/>
      <c r="O78" s="46"/>
      <c r="P78" s="48"/>
      <c r="R78" s="2237"/>
      <c r="S78" s="81"/>
      <c r="T78" s="2252"/>
      <c r="U78" s="2252"/>
      <c r="V78" s="2252"/>
      <c r="W78" s="81"/>
      <c r="X78" s="81"/>
      <c r="Y78" s="2252"/>
      <c r="Z78" s="2252"/>
      <c r="AA78" s="2237"/>
      <c r="AB78" s="2237"/>
      <c r="AC78" s="2237"/>
      <c r="AD78" s="2237"/>
      <c r="AE78" s="2237"/>
      <c r="AF78" s="2237"/>
      <c r="AG78" s="81"/>
      <c r="AH78" s="81"/>
    </row>
    <row r="79" spans="1:34" hidden="1">
      <c r="B79" s="45"/>
      <c r="C79" s="273"/>
      <c r="D79" s="2254"/>
      <c r="E79" s="2255" t="s">
        <v>159</v>
      </c>
      <c r="F79" s="2256">
        <v>2013</v>
      </c>
      <c r="G79" s="2257">
        <v>2010</v>
      </c>
      <c r="H79" s="2257">
        <v>2015</v>
      </c>
      <c r="I79" s="2257">
        <v>2020</v>
      </c>
      <c r="J79" s="2257">
        <v>2025</v>
      </c>
      <c r="K79" s="2257">
        <v>2030</v>
      </c>
      <c r="L79" s="2257">
        <v>2035</v>
      </c>
      <c r="M79" s="2257">
        <v>2040</v>
      </c>
      <c r="N79" s="2257">
        <v>2045</v>
      </c>
      <c r="O79" s="2257">
        <v>2050</v>
      </c>
      <c r="P79" s="48"/>
      <c r="R79" s="2237"/>
      <c r="S79" s="81"/>
      <c r="T79" s="2252"/>
      <c r="U79" s="2252"/>
      <c r="V79" s="2252"/>
      <c r="W79" s="81"/>
      <c r="X79" s="81"/>
      <c r="Y79" s="2252"/>
      <c r="Z79" s="2252"/>
      <c r="AA79" s="2237"/>
      <c r="AB79" s="2237"/>
      <c r="AC79" s="2237"/>
      <c r="AD79" s="2237"/>
      <c r="AE79" s="2237"/>
      <c r="AF79" s="2237"/>
      <c r="AG79" s="81"/>
      <c r="AH79" s="81"/>
    </row>
    <row r="80" spans="1:34" hidden="1">
      <c r="B80" s="45"/>
      <c r="C80" s="2258" t="s">
        <v>719</v>
      </c>
      <c r="D80" s="2254"/>
      <c r="E80" s="2259">
        <v>0</v>
      </c>
      <c r="F80" s="2260">
        <v>1.7912651538700651E-3</v>
      </c>
      <c r="G80" s="2260">
        <v>1.7912651538700651E-3</v>
      </c>
      <c r="H80" s="2260">
        <v>1.7912651538700651E-3</v>
      </c>
      <c r="I80" s="2260">
        <v>1.7912651538700651E-3</v>
      </c>
      <c r="J80" s="2260">
        <v>1.7912651538700651E-3</v>
      </c>
      <c r="K80" s="2260">
        <v>1.7912651538700651E-3</v>
      </c>
      <c r="L80" s="2260">
        <v>1.7912651538700651E-3</v>
      </c>
      <c r="M80" s="2260">
        <v>1.7912651538700651E-3</v>
      </c>
      <c r="N80" s="2260">
        <v>1.7912651538700651E-3</v>
      </c>
      <c r="O80" s="2260">
        <v>1.7912651538700651E-3</v>
      </c>
      <c r="P80" s="48"/>
      <c r="R80" s="2237"/>
      <c r="S80" s="2261"/>
      <c r="T80" s="2252"/>
      <c r="U80" s="2252"/>
      <c r="V80" s="2252"/>
      <c r="W80" s="81"/>
      <c r="X80" s="81"/>
      <c r="Y80" s="2252"/>
      <c r="Z80" s="2252"/>
      <c r="AA80" s="2237"/>
      <c r="AB80" s="2237"/>
      <c r="AC80" s="2237"/>
      <c r="AD80" s="2237"/>
      <c r="AE80" s="2237"/>
      <c r="AF80" s="2237"/>
      <c r="AG80" s="81"/>
      <c r="AH80" s="81"/>
    </row>
    <row r="81" spans="2:34" hidden="1">
      <c r="B81" s="45"/>
      <c r="C81" s="2262" t="s">
        <v>720</v>
      </c>
      <c r="D81" s="2248"/>
      <c r="E81" s="2263">
        <v>0</v>
      </c>
      <c r="F81" s="2264">
        <v>1.4031577038648843E-3</v>
      </c>
      <c r="G81" s="2264">
        <v>1.4031577038648843E-3</v>
      </c>
      <c r="H81" s="2265">
        <v>1.4031577038648843E-3</v>
      </c>
      <c r="I81" s="2265">
        <v>1.4031577038648843E-3</v>
      </c>
      <c r="J81" s="2265">
        <v>1.4031577038648843E-3</v>
      </c>
      <c r="K81" s="2265">
        <v>1.4031577038648843E-3</v>
      </c>
      <c r="L81" s="2265">
        <v>1.4031577038648843E-3</v>
      </c>
      <c r="M81" s="2265">
        <v>1.4031577038648843E-3</v>
      </c>
      <c r="N81" s="2265">
        <v>1.4031577038648843E-3</v>
      </c>
      <c r="O81" s="2264">
        <v>1.4031577038648843E-3</v>
      </c>
      <c r="P81" s="48"/>
      <c r="Q81" s="38"/>
      <c r="R81" s="2237"/>
      <c r="S81" s="81"/>
      <c r="T81" s="2266"/>
      <c r="U81" s="81"/>
      <c r="V81" s="81"/>
      <c r="W81" s="81"/>
      <c r="X81" s="81"/>
      <c r="Y81" s="81"/>
      <c r="Z81" s="81"/>
      <c r="AA81" s="81"/>
      <c r="AB81" s="81"/>
      <c r="AC81" s="81"/>
      <c r="AD81" s="81"/>
      <c r="AE81" s="81"/>
      <c r="AF81" s="2237"/>
      <c r="AG81" s="81"/>
      <c r="AH81" s="81"/>
    </row>
    <row r="82" spans="2:34" hidden="1">
      <c r="B82" s="45"/>
      <c r="C82" s="2267" t="s">
        <v>721</v>
      </c>
      <c r="D82" s="2268"/>
      <c r="E82" s="2269">
        <v>0</v>
      </c>
      <c r="F82" s="2270">
        <v>1.1941767692467101E-3</v>
      </c>
      <c r="G82" s="2270">
        <v>1.1941767692467101E-3</v>
      </c>
      <c r="H82" s="2271">
        <v>1.1941767692467101E-3</v>
      </c>
      <c r="I82" s="2271">
        <v>1.1941767692467101E-3</v>
      </c>
      <c r="J82" s="2271">
        <v>1.1941767692467101E-3</v>
      </c>
      <c r="K82" s="2271">
        <v>1.1941767692467101E-3</v>
      </c>
      <c r="L82" s="2271">
        <v>1.1941767692467101E-3</v>
      </c>
      <c r="M82" s="2271">
        <v>1.1941767692467101E-3</v>
      </c>
      <c r="N82" s="2271">
        <v>1.1941767692467101E-3</v>
      </c>
      <c r="O82" s="2270">
        <v>1.1941767692467101E-3</v>
      </c>
      <c r="P82" s="48"/>
      <c r="Q82" s="38"/>
      <c r="R82" s="2237"/>
      <c r="S82" s="81"/>
      <c r="T82" s="81"/>
      <c r="U82" s="81"/>
      <c r="V82" s="81"/>
      <c r="W82" s="81"/>
      <c r="X82" s="81"/>
      <c r="Y82" s="81"/>
      <c r="Z82" s="81"/>
      <c r="AA82" s="81"/>
      <c r="AB82" s="81"/>
      <c r="AC82" s="81"/>
      <c r="AD82" s="81"/>
      <c r="AE82" s="81"/>
      <c r="AF82" s="2237"/>
      <c r="AG82" s="81"/>
      <c r="AH82" s="81"/>
    </row>
    <row r="83" spans="2:34" hidden="1">
      <c r="B83" s="45"/>
      <c r="C83" s="2253"/>
      <c r="D83" s="2248"/>
      <c r="E83" s="2249"/>
      <c r="F83" s="2250"/>
      <c r="G83" s="2250"/>
      <c r="H83" s="2251"/>
      <c r="I83" s="2251"/>
      <c r="J83" s="2251"/>
      <c r="K83" s="2251"/>
      <c r="L83" s="2251"/>
      <c r="M83" s="2251"/>
      <c r="N83" s="2251"/>
      <c r="O83" s="46"/>
      <c r="P83" s="48"/>
      <c r="Q83" s="38"/>
      <c r="R83" s="2237"/>
      <c r="S83" s="81"/>
      <c r="T83" s="81"/>
      <c r="U83" s="81"/>
      <c r="V83" s="81"/>
      <c r="W83" s="81"/>
      <c r="X83" s="81"/>
      <c r="Y83" s="81"/>
      <c r="Z83" s="81"/>
      <c r="AA83" s="81"/>
      <c r="AB83" s="81"/>
      <c r="AC83" s="81"/>
      <c r="AD83" s="81"/>
      <c r="AE83" s="81"/>
      <c r="AF83" s="2237"/>
      <c r="AG83" s="81"/>
      <c r="AH83" s="81"/>
    </row>
    <row r="84" spans="2:34" hidden="1">
      <c r="B84" s="45"/>
      <c r="C84" s="2200" t="s">
        <v>989</v>
      </c>
      <c r="D84" s="2248"/>
      <c r="E84" s="2249"/>
      <c r="F84" s="2250"/>
      <c r="G84" s="2250"/>
      <c r="H84" s="2251"/>
      <c r="I84" s="2251"/>
      <c r="J84" s="2251"/>
      <c r="K84" s="2251"/>
      <c r="L84" s="2251"/>
      <c r="M84" s="2251"/>
      <c r="N84" s="2251"/>
      <c r="O84" s="2216" t="s">
        <v>2760</v>
      </c>
      <c r="P84" s="48"/>
      <c r="Q84" s="38"/>
      <c r="R84" s="2237"/>
      <c r="S84" s="81"/>
      <c r="T84" s="81"/>
      <c r="U84" s="81"/>
      <c r="V84" s="81"/>
      <c r="W84" s="81"/>
      <c r="X84" s="81"/>
      <c r="Y84" s="81"/>
      <c r="Z84" s="81"/>
      <c r="AA84" s="81"/>
      <c r="AB84" s="81"/>
      <c r="AC84" s="81"/>
      <c r="AD84" s="81"/>
      <c r="AE84" s="81"/>
      <c r="AF84" s="2237"/>
      <c r="AG84" s="81"/>
      <c r="AH84" s="81"/>
    </row>
    <row r="85" spans="2:34" hidden="1">
      <c r="B85" s="45"/>
      <c r="C85" s="2253"/>
      <c r="D85" s="2248"/>
      <c r="E85" s="2249"/>
      <c r="F85" s="2250"/>
      <c r="G85" s="2250"/>
      <c r="H85" s="2251"/>
      <c r="I85" s="2251"/>
      <c r="J85" s="2251"/>
      <c r="K85" s="2251"/>
      <c r="L85" s="2251"/>
      <c r="M85" s="2251"/>
      <c r="N85" s="2251"/>
      <c r="O85" s="46"/>
      <c r="P85" s="48"/>
      <c r="Q85" s="38"/>
      <c r="R85" s="2237"/>
      <c r="S85" s="81"/>
      <c r="T85" s="81"/>
      <c r="U85" s="81"/>
      <c r="V85" s="81"/>
      <c r="W85" s="81"/>
      <c r="X85" s="81"/>
      <c r="Y85" s="81"/>
      <c r="Z85" s="81"/>
      <c r="AA85" s="81"/>
      <c r="AB85" s="81"/>
      <c r="AC85" s="81"/>
      <c r="AD85" s="81"/>
      <c r="AE85" s="81"/>
      <c r="AF85" s="2237"/>
      <c r="AG85" s="81"/>
      <c r="AH85" s="81"/>
    </row>
    <row r="86" spans="2:34" hidden="1">
      <c r="B86" s="45"/>
      <c r="C86" s="100"/>
      <c r="D86" s="2272"/>
      <c r="E86" s="2273" t="s">
        <v>159</v>
      </c>
      <c r="F86" s="2274">
        <v>2013</v>
      </c>
      <c r="G86" s="2275">
        <v>2010</v>
      </c>
      <c r="H86" s="2275">
        <v>2015</v>
      </c>
      <c r="I86" s="2275">
        <v>2020</v>
      </c>
      <c r="J86" s="2275">
        <v>2025</v>
      </c>
      <c r="K86" s="2275">
        <v>2030</v>
      </c>
      <c r="L86" s="2275">
        <v>2035</v>
      </c>
      <c r="M86" s="2275">
        <v>2040</v>
      </c>
      <c r="N86" s="2275">
        <v>2045</v>
      </c>
      <c r="O86" s="2275">
        <v>2050</v>
      </c>
      <c r="P86" s="48"/>
      <c r="Q86" s="38"/>
      <c r="R86" s="2237"/>
      <c r="S86" s="81"/>
      <c r="T86" s="81"/>
      <c r="U86" s="81"/>
      <c r="V86" s="81"/>
      <c r="W86" s="81"/>
      <c r="X86" s="81"/>
      <c r="Y86" s="81"/>
      <c r="Z86" s="81"/>
      <c r="AA86" s="81"/>
      <c r="AB86" s="81"/>
      <c r="AC86" s="81"/>
      <c r="AD86" s="81"/>
      <c r="AE86" s="81"/>
      <c r="AF86" s="2237"/>
      <c r="AG86" s="81"/>
      <c r="AH86" s="81"/>
    </row>
    <row r="87" spans="2:34" hidden="1">
      <c r="B87" s="45"/>
      <c r="C87" s="2258" t="s">
        <v>719</v>
      </c>
      <c r="D87" s="2254"/>
      <c r="E87" s="2259">
        <v>0</v>
      </c>
      <c r="F87" s="2260">
        <v>1.9117189928504817E-3</v>
      </c>
      <c r="G87" s="2260">
        <v>1.9117189928504817E-3</v>
      </c>
      <c r="H87" s="2276">
        <v>1.9117189928504817E-3</v>
      </c>
      <c r="I87" s="2276">
        <v>1.9117189928504817E-3</v>
      </c>
      <c r="J87" s="2276">
        <v>1.9117189928504817E-3</v>
      </c>
      <c r="K87" s="2276">
        <v>1.9117189928504817E-3</v>
      </c>
      <c r="L87" s="2276">
        <v>1.9117189928504817E-3</v>
      </c>
      <c r="M87" s="2276">
        <v>1.9117189928504817E-3</v>
      </c>
      <c r="N87" s="2276">
        <v>1.9117189928504817E-3</v>
      </c>
      <c r="O87" s="2260">
        <v>1.9117189928504817E-3</v>
      </c>
      <c r="P87" s="48"/>
      <c r="Q87" s="38"/>
      <c r="R87" s="2237"/>
      <c r="S87" s="81"/>
      <c r="T87" s="81"/>
      <c r="U87" s="81"/>
      <c r="V87" s="81"/>
      <c r="W87" s="81"/>
      <c r="X87" s="81"/>
      <c r="Y87" s="81"/>
      <c r="Z87" s="81"/>
      <c r="AA87" s="81"/>
      <c r="AB87" s="81"/>
      <c r="AC87" s="81"/>
      <c r="AD87" s="81"/>
      <c r="AE87" s="81"/>
      <c r="AF87" s="2237"/>
      <c r="AG87" s="81"/>
      <c r="AH87" s="81"/>
    </row>
    <row r="88" spans="2:34" hidden="1">
      <c r="B88" s="45"/>
      <c r="C88" s="2262" t="s">
        <v>720</v>
      </c>
      <c r="D88" s="2248"/>
      <c r="E88" s="2263">
        <v>0</v>
      </c>
      <c r="F88" s="2264">
        <v>1.4975132110662107E-3</v>
      </c>
      <c r="G88" s="2264">
        <v>1.4975132110662107E-3</v>
      </c>
      <c r="H88" s="2264">
        <v>1.465651227852036E-3</v>
      </c>
      <c r="I88" s="2265">
        <v>1.465651227852036E-3</v>
      </c>
      <c r="J88" s="2265">
        <v>1.465651227852036E-3</v>
      </c>
      <c r="K88" s="2265">
        <v>1.465651227852036E-3</v>
      </c>
      <c r="L88" s="2265">
        <v>1.465651227852036E-3</v>
      </c>
      <c r="M88" s="2265">
        <v>1.465651227852036E-3</v>
      </c>
      <c r="N88" s="2265">
        <v>1.465651227852036E-3</v>
      </c>
      <c r="O88" s="2264">
        <v>1.4975132110662107E-3</v>
      </c>
      <c r="P88" s="48"/>
      <c r="Q88" s="38"/>
      <c r="R88" s="2237"/>
      <c r="S88" s="81"/>
      <c r="T88" s="2266"/>
      <c r="U88" s="81"/>
      <c r="V88" s="81"/>
      <c r="W88" s="81"/>
      <c r="X88" s="81"/>
      <c r="Y88" s="81"/>
      <c r="Z88" s="81"/>
      <c r="AA88" s="81"/>
      <c r="AB88" s="81"/>
      <c r="AC88" s="81"/>
      <c r="AD88" s="81"/>
      <c r="AE88" s="81"/>
      <c r="AF88" s="2237"/>
      <c r="AG88" s="81"/>
      <c r="AH88" s="81"/>
    </row>
    <row r="89" spans="2:34" hidden="1">
      <c r="B89" s="45"/>
      <c r="C89" s="2267" t="s">
        <v>721</v>
      </c>
      <c r="D89" s="2268"/>
      <c r="E89" s="2269">
        <v>0</v>
      </c>
      <c r="F89" s="2270">
        <v>1.2744793285669879E-3</v>
      </c>
      <c r="G89" s="2270">
        <v>1.2744793285669879E-3</v>
      </c>
      <c r="H89" s="2271">
        <v>1.2744793285669879E-3</v>
      </c>
      <c r="I89" s="2271">
        <v>1.2744793285669879E-3</v>
      </c>
      <c r="J89" s="2271">
        <v>1.2744793285669879E-3</v>
      </c>
      <c r="K89" s="2271">
        <v>1.2744793285669879E-3</v>
      </c>
      <c r="L89" s="2271">
        <v>1.2744793285669879E-3</v>
      </c>
      <c r="M89" s="2271">
        <v>1.2744793285669879E-3</v>
      </c>
      <c r="N89" s="2271">
        <v>1.2744793285669879E-3</v>
      </c>
      <c r="O89" s="2270">
        <v>1.2744793285669879E-3</v>
      </c>
      <c r="P89" s="48"/>
      <c r="R89" s="2237"/>
      <c r="S89" s="81"/>
      <c r="T89" s="81"/>
      <c r="U89" s="81"/>
      <c r="V89" s="81"/>
      <c r="W89" s="81"/>
      <c r="X89" s="81"/>
      <c r="Y89" s="81"/>
      <c r="Z89" s="81"/>
      <c r="AA89" s="81"/>
      <c r="AB89" s="81"/>
      <c r="AC89" s="81"/>
      <c r="AD89" s="81"/>
      <c r="AE89" s="81"/>
      <c r="AF89" s="2237"/>
      <c r="AG89" s="81"/>
      <c r="AH89" s="81"/>
    </row>
    <row r="90" spans="2:34" hidden="1">
      <c r="B90" s="172"/>
      <c r="C90" s="172"/>
      <c r="D90" s="46"/>
      <c r="E90" s="2251"/>
      <c r="F90" s="46"/>
      <c r="G90" s="46"/>
      <c r="H90" s="46"/>
      <c r="I90" s="46"/>
      <c r="J90" s="2277"/>
      <c r="K90" s="2277"/>
      <c r="L90" s="172"/>
      <c r="M90" s="172"/>
      <c r="N90" s="172"/>
      <c r="O90" s="172"/>
      <c r="P90" s="172"/>
      <c r="R90" s="2237"/>
      <c r="S90" s="81"/>
      <c r="T90" s="81"/>
      <c r="U90" s="81"/>
      <c r="V90" s="81"/>
      <c r="W90" s="81"/>
      <c r="X90" s="81"/>
      <c r="Y90" s="81"/>
      <c r="Z90" s="81"/>
      <c r="AA90" s="81"/>
      <c r="AB90" s="81"/>
      <c r="AC90" s="81"/>
      <c r="AD90" s="81"/>
      <c r="AE90" s="81"/>
      <c r="AF90" s="2237"/>
      <c r="AG90" s="81"/>
      <c r="AH90" s="81"/>
    </row>
    <row r="91" spans="2:34">
      <c r="R91" s="2237"/>
      <c r="S91" s="81"/>
      <c r="T91" s="81"/>
      <c r="U91" s="81"/>
      <c r="V91" s="81"/>
      <c r="W91" s="81"/>
      <c r="X91" s="81"/>
      <c r="Y91" s="81"/>
      <c r="Z91" s="81"/>
      <c r="AA91" s="81"/>
      <c r="AB91" s="81"/>
      <c r="AC91" s="81"/>
      <c r="AD91" s="81"/>
      <c r="AE91" s="81"/>
      <c r="AF91" s="2237"/>
      <c r="AG91" s="81"/>
      <c r="AH91" s="81"/>
    </row>
    <row r="92" spans="2:34" ht="15.5">
      <c r="B92" s="2199" t="s">
        <v>177</v>
      </c>
      <c r="C92" s="286"/>
      <c r="D92" s="286"/>
      <c r="E92" s="286"/>
      <c r="F92" s="286"/>
      <c r="G92" s="286"/>
      <c r="H92" s="286"/>
      <c r="I92" s="286"/>
      <c r="J92" s="286"/>
      <c r="K92" s="286"/>
      <c r="L92" s="286"/>
      <c r="M92" s="286"/>
      <c r="N92" s="286"/>
      <c r="O92" s="286"/>
      <c r="P92" s="287"/>
      <c r="R92" s="2237"/>
      <c r="S92" s="81"/>
      <c r="T92" s="81"/>
      <c r="U92" s="81"/>
      <c r="V92" s="81"/>
      <c r="W92" s="81"/>
      <c r="X92" s="81"/>
      <c r="Y92" s="81"/>
      <c r="Z92" s="81"/>
      <c r="AA92" s="81"/>
      <c r="AB92" s="81"/>
      <c r="AC92" s="81"/>
      <c r="AD92" s="81"/>
      <c r="AE92" s="81"/>
      <c r="AF92" s="2237"/>
      <c r="AG92" s="81"/>
      <c r="AH92" s="81"/>
    </row>
    <row r="93" spans="2:34">
      <c r="B93" s="45"/>
      <c r="C93" s="46"/>
      <c r="D93" s="46"/>
      <c r="E93" s="46"/>
      <c r="F93" s="46"/>
      <c r="G93" s="46"/>
      <c r="H93" s="46"/>
      <c r="I93" s="46"/>
      <c r="J93" s="46"/>
      <c r="K93" s="46"/>
      <c r="L93" s="46"/>
      <c r="M93" s="46"/>
      <c r="N93" s="46"/>
      <c r="O93" s="46"/>
      <c r="P93" s="48"/>
      <c r="R93" s="2237"/>
      <c r="S93" s="81"/>
      <c r="T93" s="81"/>
      <c r="U93" s="81"/>
      <c r="V93" s="81"/>
      <c r="W93" s="81"/>
      <c r="X93" s="81"/>
      <c r="Y93" s="81"/>
      <c r="Z93" s="81"/>
      <c r="AA93" s="81"/>
      <c r="AB93" s="81"/>
      <c r="AC93" s="81"/>
      <c r="AD93" s="81"/>
      <c r="AE93" s="81"/>
      <c r="AF93" s="2237"/>
      <c r="AG93" s="81"/>
      <c r="AH93" s="81"/>
    </row>
    <row r="94" spans="2:34">
      <c r="B94" s="45"/>
      <c r="C94" s="2200" t="s">
        <v>990</v>
      </c>
      <c r="D94" s="46"/>
      <c r="E94" s="46"/>
      <c r="F94" s="66"/>
      <c r="G94" s="46"/>
      <c r="H94" s="46"/>
      <c r="I94" s="46"/>
      <c r="J94" s="46"/>
      <c r="K94" s="46"/>
      <c r="L94" s="46"/>
      <c r="M94" s="46"/>
      <c r="N94" s="66" t="s">
        <v>986</v>
      </c>
      <c r="O94" s="46"/>
      <c r="P94" s="48"/>
      <c r="R94" s="2237"/>
      <c r="S94" s="81"/>
      <c r="T94" s="81"/>
      <c r="U94" s="81"/>
      <c r="V94" s="81"/>
      <c r="W94" s="81"/>
      <c r="X94" s="81"/>
      <c r="Y94" s="81"/>
      <c r="Z94" s="81"/>
      <c r="AA94" s="81"/>
      <c r="AB94" s="81"/>
      <c r="AC94" s="81"/>
      <c r="AD94" s="81"/>
      <c r="AE94" s="81"/>
      <c r="AF94" s="2237"/>
      <c r="AG94" s="81"/>
      <c r="AH94" s="81"/>
    </row>
    <row r="95" spans="2:34">
      <c r="B95" s="45"/>
      <c r="C95" s="46"/>
      <c r="D95" s="46"/>
      <c r="E95" s="46"/>
      <c r="F95" s="46"/>
      <c r="G95" s="46"/>
      <c r="H95" s="46"/>
      <c r="I95" s="46"/>
      <c r="J95" s="46"/>
      <c r="K95" s="46"/>
      <c r="L95" s="46"/>
      <c r="M95" s="46"/>
      <c r="N95" s="46"/>
      <c r="O95" s="46"/>
      <c r="P95" s="48"/>
      <c r="R95" s="2237"/>
      <c r="S95" s="81"/>
      <c r="T95" s="81"/>
      <c r="U95" s="81"/>
      <c r="V95" s="81"/>
      <c r="W95" s="81"/>
      <c r="X95" s="81"/>
      <c r="Y95" s="81"/>
      <c r="Z95" s="81"/>
      <c r="AA95" s="81"/>
      <c r="AB95" s="81"/>
      <c r="AC95" s="81"/>
      <c r="AD95" s="81"/>
      <c r="AE95" s="81"/>
      <c r="AF95" s="2237"/>
      <c r="AG95" s="81"/>
      <c r="AH95" s="81"/>
    </row>
    <row r="96" spans="2:34" ht="15.5">
      <c r="B96" s="2203"/>
      <c r="C96" s="2204" t="s">
        <v>28</v>
      </c>
      <c r="D96" s="2204" t="s">
        <v>71</v>
      </c>
      <c r="E96" s="2204" t="s">
        <v>30</v>
      </c>
      <c r="F96" s="2205">
        <v>2013</v>
      </c>
      <c r="G96" s="2205">
        <v>2015</v>
      </c>
      <c r="H96" s="2205">
        <v>2020</v>
      </c>
      <c r="I96" s="2205">
        <v>2025</v>
      </c>
      <c r="J96" s="2205">
        <v>2030</v>
      </c>
      <c r="K96" s="2205">
        <v>2035</v>
      </c>
      <c r="L96" s="2205">
        <v>2040</v>
      </c>
      <c r="M96" s="2205">
        <v>2045</v>
      </c>
      <c r="N96" s="2205">
        <v>2050</v>
      </c>
      <c r="O96" s="46"/>
      <c r="P96" s="48"/>
      <c r="R96" s="2237"/>
      <c r="S96" s="81"/>
      <c r="T96" s="81"/>
      <c r="U96" s="81"/>
      <c r="V96" s="81"/>
      <c r="W96" s="81"/>
      <c r="X96" s="81"/>
      <c r="Y96" s="81"/>
      <c r="Z96" s="81"/>
      <c r="AA96" s="81"/>
      <c r="AB96" s="81"/>
      <c r="AC96" s="81"/>
      <c r="AD96" s="81"/>
      <c r="AE96" s="81"/>
      <c r="AF96" s="2237"/>
      <c r="AG96" s="81"/>
      <c r="AH96" s="81"/>
    </row>
    <row r="97" spans="1:34" ht="15.5">
      <c r="B97" s="2203"/>
      <c r="C97" s="56" t="s">
        <v>95</v>
      </c>
      <c r="D97" s="57" t="s">
        <v>85</v>
      </c>
      <c r="E97" s="76"/>
      <c r="F97" s="88">
        <f>F47</f>
        <v>0.72</v>
      </c>
      <c r="G97" s="2278">
        <f>$F97+($N97-$F97)/($N$96-$F$96)*(G$96-$F$96)</f>
        <v>0.72</v>
      </c>
      <c r="H97" s="2279">
        <f t="shared" ref="H97:M98" si="4">$F97+($N97-$F97)/($N$96-$F$96)*(H$96-$F$96)</f>
        <v>0.72</v>
      </c>
      <c r="I97" s="2279">
        <f t="shared" si="4"/>
        <v>0.72</v>
      </c>
      <c r="J97" s="2279">
        <f t="shared" si="4"/>
        <v>0.72</v>
      </c>
      <c r="K97" s="2279">
        <f t="shared" si="4"/>
        <v>0.72</v>
      </c>
      <c r="L97" s="2279">
        <f t="shared" si="4"/>
        <v>0.72</v>
      </c>
      <c r="M97" s="2279">
        <f>$F97+($N97-$F97)/($N$96-$F$96)*(M$96-$F$96)</f>
        <v>0.72</v>
      </c>
      <c r="N97" s="2569">
        <f>INDEX($G$34:$H$35, MATCH($E$9, $C$34:$C$35, 0), MATCH($C97, $G$33:$H$33, 0))</f>
        <v>0.72</v>
      </c>
      <c r="O97" s="46"/>
      <c r="P97" s="48"/>
      <c r="R97" s="2237"/>
      <c r="S97" s="2280"/>
      <c r="T97" s="2261"/>
      <c r="U97" s="2261"/>
      <c r="V97" s="2281"/>
      <c r="W97" s="2281"/>
      <c r="X97" s="2281"/>
      <c r="Y97" s="2281"/>
      <c r="Z97" s="2281"/>
      <c r="AA97" s="2281"/>
      <c r="AB97" s="2281"/>
      <c r="AC97" s="2281"/>
      <c r="AD97" s="2281"/>
      <c r="AE97" s="2281"/>
      <c r="AF97" s="2237"/>
      <c r="AG97" s="81"/>
      <c r="AH97" s="81"/>
    </row>
    <row r="98" spans="1:34" ht="15.5">
      <c r="B98" s="2203"/>
      <c r="C98" s="141" t="s">
        <v>99</v>
      </c>
      <c r="D98" s="120" t="s">
        <v>89</v>
      </c>
      <c r="E98" s="120"/>
      <c r="F98" s="142">
        <f>F48</f>
        <v>0.28000000000000003</v>
      </c>
      <c r="G98" s="2282">
        <f>$F98+($N98-$F98)/($N$96-$F$96)*(G$96-$F$96)</f>
        <v>0.28000000000000003</v>
      </c>
      <c r="H98" s="2283">
        <f t="shared" si="4"/>
        <v>0.28000000000000003</v>
      </c>
      <c r="I98" s="2283">
        <f t="shared" si="4"/>
        <v>0.28000000000000003</v>
      </c>
      <c r="J98" s="2283">
        <f t="shared" si="4"/>
        <v>0.28000000000000003</v>
      </c>
      <c r="K98" s="2283">
        <f t="shared" si="4"/>
        <v>0.28000000000000003</v>
      </c>
      <c r="L98" s="2283">
        <f t="shared" si="4"/>
        <v>0.28000000000000003</v>
      </c>
      <c r="M98" s="2283">
        <f t="shared" si="4"/>
        <v>0.28000000000000003</v>
      </c>
      <c r="N98" s="3324">
        <f>INDEX($G$34:$H$35, MATCH($E$9, $C$34:$C$35, 0), MATCH($C98, $G$33:$H$33, 0))</f>
        <v>0.28000000000000003</v>
      </c>
      <c r="O98" s="46"/>
      <c r="P98" s="48"/>
      <c r="R98" s="81"/>
      <c r="S98" s="2284"/>
      <c r="T98" s="81"/>
      <c r="U98" s="81"/>
      <c r="V98" s="81"/>
      <c r="W98" s="81"/>
      <c r="X98" s="81"/>
      <c r="Y98" s="81"/>
      <c r="Z98" s="81"/>
      <c r="AA98" s="81"/>
      <c r="AB98" s="81"/>
      <c r="AC98" s="81"/>
      <c r="AD98" s="81"/>
      <c r="AE98" s="81"/>
      <c r="AF98" s="81"/>
      <c r="AG98" s="81"/>
      <c r="AH98" s="81"/>
    </row>
    <row r="99" spans="1:34">
      <c r="B99" s="45"/>
      <c r="C99" s="46"/>
      <c r="D99" s="46"/>
      <c r="E99" s="46"/>
      <c r="F99" s="46"/>
      <c r="G99" s="46"/>
      <c r="H99" s="46"/>
      <c r="I99" s="46"/>
      <c r="J99" s="46"/>
      <c r="K99" s="46"/>
      <c r="L99" s="46"/>
      <c r="M99" s="46"/>
      <c r="N99" s="46"/>
      <c r="O99" s="46"/>
      <c r="P99" s="48"/>
      <c r="R99" s="81"/>
      <c r="S99" s="2284"/>
      <c r="T99" s="81"/>
      <c r="U99" s="81"/>
      <c r="V99" s="81"/>
      <c r="W99" s="81"/>
      <c r="X99" s="81"/>
      <c r="Y99" s="81"/>
      <c r="Z99" s="81"/>
      <c r="AA99" s="81"/>
      <c r="AB99" s="81"/>
      <c r="AC99" s="81"/>
      <c r="AD99" s="81"/>
      <c r="AE99" s="81"/>
      <c r="AF99" s="81"/>
      <c r="AG99" s="81"/>
      <c r="AH99" s="81"/>
    </row>
    <row r="100" spans="1:34" ht="23.5">
      <c r="A100" s="2191"/>
      <c r="B100" s="2203"/>
      <c r="C100" s="56"/>
      <c r="D100" s="57"/>
      <c r="E100" s="57"/>
      <c r="F100" s="88"/>
      <c r="G100" s="2285"/>
      <c r="H100" s="2285"/>
      <c r="I100" s="2285"/>
      <c r="J100" s="2285"/>
      <c r="K100" s="2285"/>
      <c r="L100" s="2285"/>
      <c r="M100" s="2285"/>
      <c r="N100" s="185"/>
      <c r="O100" s="46"/>
      <c r="P100" s="48"/>
    </row>
    <row r="101" spans="1:34" ht="15.5">
      <c r="B101" s="2203"/>
      <c r="C101" s="2207" t="s">
        <v>181</v>
      </c>
      <c r="D101" s="57"/>
      <c r="E101" s="85"/>
      <c r="F101" s="59"/>
      <c r="G101" s="46"/>
      <c r="H101" s="46"/>
      <c r="I101" s="46"/>
      <c r="J101" s="46"/>
      <c r="K101" s="46"/>
      <c r="L101" s="46"/>
      <c r="M101" s="46"/>
      <c r="N101" s="99" t="s">
        <v>181</v>
      </c>
      <c r="O101" s="46"/>
      <c r="P101" s="48"/>
    </row>
    <row r="102" spans="1:34" ht="15.5">
      <c r="B102" s="2203"/>
      <c r="C102" s="56"/>
      <c r="D102" s="57"/>
      <c r="E102" s="57"/>
      <c r="F102" s="59"/>
      <c r="G102" s="46"/>
      <c r="H102" s="46"/>
      <c r="I102" s="46"/>
      <c r="J102" s="46"/>
      <c r="K102" s="46"/>
      <c r="L102" s="46"/>
      <c r="M102" s="46"/>
      <c r="N102" s="46"/>
      <c r="O102" s="46"/>
      <c r="P102" s="48"/>
    </row>
    <row r="103" spans="1:34" ht="15.5">
      <c r="B103" s="2203"/>
      <c r="C103" s="2204"/>
      <c r="D103" s="2204" t="s">
        <v>71</v>
      </c>
      <c r="E103" s="2204" t="s">
        <v>30</v>
      </c>
      <c r="F103" s="2286">
        <v>2013</v>
      </c>
      <c r="G103" s="2287">
        <v>2015</v>
      </c>
      <c r="H103" s="2287">
        <v>2020</v>
      </c>
      <c r="I103" s="2287">
        <v>2025</v>
      </c>
      <c r="J103" s="2287">
        <v>2030</v>
      </c>
      <c r="K103" s="2287">
        <v>2035</v>
      </c>
      <c r="L103" s="2287">
        <v>2040</v>
      </c>
      <c r="M103" s="2287">
        <v>2045</v>
      </c>
      <c r="N103" s="2287">
        <v>2050</v>
      </c>
      <c r="O103" s="46"/>
      <c r="P103" s="48"/>
    </row>
    <row r="104" spans="1:34" ht="15.5">
      <c r="B104" s="2203"/>
      <c r="C104" s="2288"/>
      <c r="D104" s="113" t="s">
        <v>182</v>
      </c>
      <c r="E104" s="113"/>
      <c r="F104" s="1367">
        <f>INDEX(Global.Assumptions[Households], MATCH(F$103, Global.Assumptions[Year], 0))</f>
        <v>1672651.1289147851</v>
      </c>
      <c r="G104" s="1367">
        <f>INDEX(Global.Assumptions[Households], MATCH(G$103, Global.Assumptions[Year], 0))</f>
        <v>1724685.0990151383</v>
      </c>
      <c r="H104" s="1367">
        <f>INDEX(Global.Assumptions[Households], MATCH(H$103, Global.Assumptions[Year], 0))</f>
        <v>1818612.4430257217</v>
      </c>
      <c r="I104" s="1367">
        <f>INDEX(Global.Assumptions[Households], MATCH(I$103, Global.Assumptions[Year], 0))</f>
        <v>1912005.4807283345</v>
      </c>
      <c r="J104" s="1367">
        <f>INDEX(Global.Assumptions[Households], MATCH(J$103, Global.Assumptions[Year], 0))</f>
        <v>2000055.258037091</v>
      </c>
      <c r="K104" s="1367">
        <f>INDEX(Global.Assumptions[Households], MATCH(K$103, Global.Assumptions[Year], 0))</f>
        <v>2093076.6415949722</v>
      </c>
      <c r="L104" s="1367">
        <f>INDEX(Global.Assumptions[Households], MATCH(L$103, Global.Assumptions[Year], 0))</f>
        <v>2190930.0548391449</v>
      </c>
      <c r="M104" s="1367">
        <f>INDEX(Global.Assumptions[Households], MATCH(M$103, Global.Assumptions[Year], 0))</f>
        <v>2288187.1680332171</v>
      </c>
      <c r="N104" s="1367">
        <f>INDEX(Global.Assumptions[Households], MATCH(N$103, Global.Assumptions[Year], 0))</f>
        <v>2390510.6792861409</v>
      </c>
      <c r="O104" s="46"/>
      <c r="P104" s="48"/>
    </row>
    <row r="105" spans="1:34">
      <c r="B105" s="45"/>
      <c r="C105" s="46"/>
      <c r="D105" s="46"/>
      <c r="E105" s="46"/>
      <c r="F105" s="46"/>
      <c r="G105" s="46"/>
      <c r="H105" s="46"/>
      <c r="I105" s="46"/>
      <c r="J105" s="46"/>
      <c r="K105" s="46"/>
      <c r="L105" s="46"/>
      <c r="M105" s="46"/>
      <c r="N105" s="46"/>
      <c r="O105" s="46"/>
      <c r="P105" s="48"/>
    </row>
    <row r="107" spans="1:34" ht="15.5">
      <c r="B107" s="2289" t="s">
        <v>206</v>
      </c>
      <c r="H107" s="4146" t="s">
        <v>5</v>
      </c>
    </row>
    <row r="108" spans="1:34">
      <c r="B108" s="2290">
        <v>1</v>
      </c>
      <c r="C108" s="2290" t="s">
        <v>991</v>
      </c>
    </row>
    <row r="109" spans="1:34">
      <c r="B109" s="2290">
        <v>2</v>
      </c>
      <c r="C109" s="2290" t="s">
        <v>992</v>
      </c>
    </row>
    <row r="110" spans="1:34">
      <c r="B110" s="2290">
        <v>3</v>
      </c>
      <c r="C110" s="2290" t="s">
        <v>993</v>
      </c>
    </row>
    <row r="111" spans="1:34">
      <c r="B111" s="2290">
        <v>4</v>
      </c>
      <c r="C111" s="2290" t="s">
        <v>213</v>
      </c>
    </row>
    <row r="113" spans="1:17">
      <c r="B113" s="2290">
        <v>1</v>
      </c>
      <c r="C113" s="2290" t="s">
        <v>994</v>
      </c>
    </row>
    <row r="114" spans="1:17">
      <c r="B114" s="2290"/>
      <c r="C114" s="2290"/>
      <c r="F114" s="2291">
        <v>2013</v>
      </c>
      <c r="G114" s="2291">
        <v>2015</v>
      </c>
      <c r="H114" s="2291">
        <v>2020</v>
      </c>
      <c r="I114" s="2291">
        <v>2025</v>
      </c>
      <c r="J114" s="2291">
        <v>2030</v>
      </c>
      <c r="K114" s="2291">
        <v>2035</v>
      </c>
      <c r="L114" s="2291">
        <v>2040</v>
      </c>
      <c r="M114" s="2291">
        <v>2045</v>
      </c>
      <c r="N114" s="2291">
        <v>2050</v>
      </c>
    </row>
    <row r="115" spans="1:17" ht="18.5">
      <c r="A115" s="2292"/>
      <c r="C115" s="2" t="s">
        <v>995</v>
      </c>
      <c r="E115" s="373" t="str">
        <f>Preferences.EnergyUnits</f>
        <v>TWh</v>
      </c>
      <c r="F115" s="2293">
        <f>INDEX(F$26:F$29, MATCH($E$8, $C$26:$C$29, 0))</f>
        <v>8.6384937144425898E-7</v>
      </c>
      <c r="G115" s="2293">
        <f t="shared" ref="G115:M115" si="5">INDEX(G$26:G$29, MATCH($E$8, $C$26:$C$29, 0))</f>
        <v>8.5684518735146797E-7</v>
      </c>
      <c r="H115" s="2293">
        <f t="shared" si="5"/>
        <v>8.34909054127244E-7</v>
      </c>
      <c r="I115" s="2293">
        <f t="shared" si="5"/>
        <v>8.1543234262622296E-7</v>
      </c>
      <c r="J115" s="2293">
        <f t="shared" si="5"/>
        <v>7.96896963644862E-7</v>
      </c>
      <c r="K115" s="2293">
        <f t="shared" si="5"/>
        <v>7.7925742146831395E-7</v>
      </c>
      <c r="L115" s="2293">
        <f t="shared" si="5"/>
        <v>7.6247041924348296E-7</v>
      </c>
      <c r="M115" s="2293">
        <f t="shared" si="5"/>
        <v>7.4649475270542904E-7</v>
      </c>
      <c r="N115" s="2293">
        <f>INDEX(N$26:N$29, MATCH($E$8, $C$26:$C$29, 0))</f>
        <v>7.3427196572761999E-7</v>
      </c>
    </row>
    <row r="116" spans="1:17">
      <c r="B116" s="2294" t="s">
        <v>218</v>
      </c>
      <c r="C116" s="2295" t="s">
        <v>219</v>
      </c>
      <c r="D116" s="2295"/>
      <c r="E116" s="1369"/>
      <c r="F116" s="2296">
        <f>F104</f>
        <v>1672651.1289147851</v>
      </c>
      <c r="G116" s="2296">
        <f t="shared" ref="G116:N116" si="6">G104</f>
        <v>1724685.0990151383</v>
      </c>
      <c r="H116" s="2296">
        <f t="shared" si="6"/>
        <v>1818612.4430257217</v>
      </c>
      <c r="I116" s="2296">
        <f t="shared" si="6"/>
        <v>1912005.4807283345</v>
      </c>
      <c r="J116" s="2296">
        <f t="shared" si="6"/>
        <v>2000055.258037091</v>
      </c>
      <c r="K116" s="2296">
        <f t="shared" si="6"/>
        <v>2093076.6415949722</v>
      </c>
      <c r="L116" s="2296">
        <f t="shared" si="6"/>
        <v>2190930.0548391449</v>
      </c>
      <c r="M116" s="2296">
        <f t="shared" si="6"/>
        <v>2288187.1680332171</v>
      </c>
      <c r="N116" s="2296">
        <f t="shared" si="6"/>
        <v>2390510.6792861409</v>
      </c>
      <c r="P116" s="2295"/>
    </row>
    <row r="117" spans="1:17">
      <c r="B117" s="2297" t="s">
        <v>220</v>
      </c>
      <c r="C117" s="2290" t="s">
        <v>996</v>
      </c>
      <c r="D117" s="2290"/>
      <c r="E117" s="355" t="str">
        <f>Preferences.EnergyUnits</f>
        <v>TWh</v>
      </c>
      <c r="F117" s="2298">
        <f>F115*F116</f>
        <v>1.4449186263585674</v>
      </c>
      <c r="G117" s="2298">
        <f t="shared" ref="G117:N117" si="7">G115*G116</f>
        <v>1.4777881267879114</v>
      </c>
      <c r="H117" s="2298">
        <f t="shared" si="7"/>
        <v>1.5183759946306417</v>
      </c>
      <c r="I117" s="2298">
        <f t="shared" si="7"/>
        <v>1.5591111082644835</v>
      </c>
      <c r="J117" s="2298">
        <f t="shared" si="7"/>
        <v>1.5938379622516987</v>
      </c>
      <c r="K117" s="2298">
        <f t="shared" si="7"/>
        <v>1.6310455066648564</v>
      </c>
      <c r="L117" s="2298">
        <f t="shared" si="7"/>
        <v>1.6705193574463499</v>
      </c>
      <c r="M117" s="2298">
        <f t="shared" si="7"/>
        <v>1.7081197141446924</v>
      </c>
      <c r="N117" s="2298">
        <f t="shared" si="7"/>
        <v>1.7552849755723028</v>
      </c>
      <c r="O117" s="2299"/>
      <c r="P117" s="2290"/>
      <c r="Q117" s="391"/>
    </row>
    <row r="118" spans="1:17">
      <c r="B118" s="358" t="s">
        <v>95</v>
      </c>
      <c r="C118" s="2" t="s">
        <v>85</v>
      </c>
      <c r="E118" s="3801"/>
      <c r="F118" s="2300">
        <f t="shared" ref="F118:N119" si="8">F$117*F97</f>
        <v>1.0403414109781686</v>
      </c>
      <c r="G118" s="2300">
        <f>G$117*G97</f>
        <v>1.0640074512872961</v>
      </c>
      <c r="H118" s="2300">
        <f t="shared" si="8"/>
        <v>1.093230716134062</v>
      </c>
      <c r="I118" s="2300">
        <f t="shared" si="8"/>
        <v>1.1225599979504282</v>
      </c>
      <c r="J118" s="2300">
        <f t="shared" si="8"/>
        <v>1.1475633328212231</v>
      </c>
      <c r="K118" s="2300">
        <f t="shared" si="8"/>
        <v>1.1743527647986964</v>
      </c>
      <c r="L118" s="2300">
        <f t="shared" si="8"/>
        <v>1.2027739373613719</v>
      </c>
      <c r="M118" s="2300">
        <f t="shared" si="8"/>
        <v>1.2298461941841785</v>
      </c>
      <c r="N118" s="2300">
        <f t="shared" si="8"/>
        <v>1.263805182412058</v>
      </c>
    </row>
    <row r="119" spans="1:17">
      <c r="B119" s="358" t="s">
        <v>99</v>
      </c>
      <c r="C119" s="2" t="s">
        <v>89</v>
      </c>
      <c r="E119" s="3801"/>
      <c r="F119" s="2300">
        <f t="shared" si="8"/>
        <v>0.40457721538039892</v>
      </c>
      <c r="G119" s="2300">
        <f t="shared" si="8"/>
        <v>0.4137806755006152</v>
      </c>
      <c r="H119" s="2300">
        <f t="shared" si="8"/>
        <v>0.42514527849657968</v>
      </c>
      <c r="I119" s="2300">
        <f t="shared" si="8"/>
        <v>0.43655111031405541</v>
      </c>
      <c r="J119" s="2300">
        <f t="shared" si="8"/>
        <v>0.44627462943047569</v>
      </c>
      <c r="K119" s="2300">
        <f t="shared" si="8"/>
        <v>0.45669274186615982</v>
      </c>
      <c r="L119" s="2300">
        <f t="shared" si="8"/>
        <v>0.46774542008497805</v>
      </c>
      <c r="M119" s="2300">
        <f t="shared" si="8"/>
        <v>0.47827351996051393</v>
      </c>
      <c r="N119" s="2300">
        <f t="shared" si="8"/>
        <v>0.49147979316024482</v>
      </c>
    </row>
    <row r="120" spans="1:17">
      <c r="E120" s="3801"/>
      <c r="F120" s="2300"/>
      <c r="G120" s="2300"/>
      <c r="H120" s="2300"/>
      <c r="I120" s="2300"/>
      <c r="J120" s="2300"/>
      <c r="K120" s="2300"/>
      <c r="L120" s="2300"/>
      <c r="M120" s="2300"/>
      <c r="N120" s="2300"/>
    </row>
    <row r="121" spans="1:17">
      <c r="E121" s="3801"/>
      <c r="F121" s="2300"/>
      <c r="G121" s="2300"/>
      <c r="H121" s="2300"/>
      <c r="I121" s="2300"/>
      <c r="J121" s="2300"/>
      <c r="K121" s="2300"/>
      <c r="L121" s="2300"/>
      <c r="M121" s="2300"/>
      <c r="N121" s="2300"/>
    </row>
    <row r="122" spans="1:17">
      <c r="B122" s="2290">
        <v>2</v>
      </c>
      <c r="C122" s="2290" t="s">
        <v>997</v>
      </c>
      <c r="E122" s="3801"/>
      <c r="F122" s="2300"/>
      <c r="G122" s="2300"/>
      <c r="H122" s="2300"/>
      <c r="I122" s="2300"/>
      <c r="J122" s="2300"/>
      <c r="K122" s="2300"/>
      <c r="L122" s="2300"/>
      <c r="M122" s="2300"/>
      <c r="N122" s="2300"/>
    </row>
    <row r="123" spans="1:17">
      <c r="E123" s="3801"/>
      <c r="F123" s="2291">
        <v>2013</v>
      </c>
      <c r="G123" s="2291">
        <v>2015</v>
      </c>
      <c r="H123" s="2291">
        <v>2020</v>
      </c>
      <c r="I123" s="2291">
        <v>2025</v>
      </c>
      <c r="J123" s="2291">
        <v>2030</v>
      </c>
      <c r="K123" s="2291">
        <v>2035</v>
      </c>
      <c r="L123" s="2291">
        <v>2040</v>
      </c>
      <c r="M123" s="2291">
        <v>2045</v>
      </c>
      <c r="N123" s="2291">
        <v>2050</v>
      </c>
    </row>
    <row r="124" spans="1:17" s="2295" customFormat="1">
      <c r="B124" s="2"/>
      <c r="C124" s="2" t="s">
        <v>998</v>
      </c>
      <c r="D124" s="2"/>
      <c r="E124" s="2" t="str">
        <f>Preferences.EnergyUnits</f>
        <v>TWh</v>
      </c>
      <c r="F124" s="2293">
        <f>INDEX(F$18:F$21, MATCH($E$8, $C$18:$C$21, 0))</f>
        <v>2.3968663198759199E-6</v>
      </c>
      <c r="G124" s="2293">
        <f t="shared" ref="G124:N124" si="9">INDEX(G$18:G$21, MATCH($E$8, $C$18:$C$21, 0))</f>
        <v>2.37532282535953E-6</v>
      </c>
      <c r="H124" s="2293">
        <f t="shared" si="9"/>
        <v>2.3223074482750601E-6</v>
      </c>
      <c r="I124" s="2293">
        <f t="shared" si="9"/>
        <v>2.2704753335991402E-6</v>
      </c>
      <c r="J124" s="2293">
        <f t="shared" si="9"/>
        <v>2.2198000718256101E-6</v>
      </c>
      <c r="K124" s="2293">
        <f t="shared" si="9"/>
        <v>2.1702558428881601E-6</v>
      </c>
      <c r="L124" s="2293">
        <f t="shared" si="9"/>
        <v>2.12181740300449E-6</v>
      </c>
      <c r="M124" s="2293">
        <f t="shared" si="9"/>
        <v>2.07446007181409E-6</v>
      </c>
      <c r="N124" s="2293">
        <f t="shared" si="9"/>
        <v>2.0373363718945302E-6</v>
      </c>
      <c r="P124" s="2"/>
      <c r="Q124" s="391"/>
    </row>
    <row r="125" spans="1:17" s="2290" customFormat="1">
      <c r="B125" s="2294" t="s">
        <v>218</v>
      </c>
      <c r="C125" s="2295" t="s">
        <v>219</v>
      </c>
      <c r="D125" s="2"/>
      <c r="E125" s="3801"/>
      <c r="F125" s="2296">
        <f>F104</f>
        <v>1672651.1289147851</v>
      </c>
      <c r="G125" s="2296">
        <f t="shared" ref="G125:N125" si="10">G104</f>
        <v>1724685.0990151383</v>
      </c>
      <c r="H125" s="2296">
        <f t="shared" si="10"/>
        <v>1818612.4430257217</v>
      </c>
      <c r="I125" s="2296">
        <f t="shared" si="10"/>
        <v>1912005.4807283345</v>
      </c>
      <c r="J125" s="2296">
        <f t="shared" si="10"/>
        <v>2000055.258037091</v>
      </c>
      <c r="K125" s="2296">
        <f t="shared" si="10"/>
        <v>2093076.6415949722</v>
      </c>
      <c r="L125" s="2296">
        <f t="shared" si="10"/>
        <v>2190930.0548391449</v>
      </c>
      <c r="M125" s="2296">
        <f t="shared" si="10"/>
        <v>2288187.1680332171</v>
      </c>
      <c r="N125" s="2296">
        <f t="shared" si="10"/>
        <v>2390510.6792861409</v>
      </c>
      <c r="P125" s="2"/>
    </row>
    <row r="126" spans="1:17">
      <c r="B126" s="2297" t="s">
        <v>220</v>
      </c>
      <c r="C126" s="2290" t="s">
        <v>999</v>
      </c>
      <c r="E126" s="354" t="str">
        <f>Preferences.EnergyUnits</f>
        <v>TWh</v>
      </c>
      <c r="F126" s="2299">
        <f t="shared" ref="F126:N126" si="11">F124*F125</f>
        <v>4.009121155798284</v>
      </c>
      <c r="G126" s="2299">
        <f t="shared" si="11"/>
        <v>4.0966838822481195</v>
      </c>
      <c r="H126" s="2299">
        <f t="shared" si="11"/>
        <v>4.2233772219643368</v>
      </c>
      <c r="I126" s="2299">
        <f t="shared" si="11"/>
        <v>4.3411612817000496</v>
      </c>
      <c r="J126" s="2299">
        <f t="shared" si="11"/>
        <v>4.4397228054459239</v>
      </c>
      <c r="K126" s="2299">
        <f t="shared" si="11"/>
        <v>4.542511811034216</v>
      </c>
      <c r="L126" s="2299">
        <f t="shared" si="11"/>
        <v>4.6487535191232796</v>
      </c>
      <c r="M126" s="2299">
        <f t="shared" si="11"/>
        <v>4.7467529169222669</v>
      </c>
      <c r="N126" s="2299">
        <f t="shared" si="11"/>
        <v>4.8702743543119551</v>
      </c>
      <c r="Q126" s="391"/>
    </row>
    <row r="127" spans="1:17">
      <c r="B127" s="358" t="s">
        <v>95</v>
      </c>
      <c r="C127" s="2" t="s">
        <v>85</v>
      </c>
      <c r="E127" s="3801"/>
      <c r="F127" s="2300">
        <f>F126</f>
        <v>4.009121155798284</v>
      </c>
      <c r="G127" s="2300">
        <f t="shared" ref="G127:N127" si="12">G126</f>
        <v>4.0966838822481195</v>
      </c>
      <c r="H127" s="2300">
        <f t="shared" si="12"/>
        <v>4.2233772219643368</v>
      </c>
      <c r="I127" s="2300">
        <f t="shared" si="12"/>
        <v>4.3411612817000496</v>
      </c>
      <c r="J127" s="2300">
        <f t="shared" si="12"/>
        <v>4.4397228054459239</v>
      </c>
      <c r="K127" s="2300">
        <f t="shared" si="12"/>
        <v>4.542511811034216</v>
      </c>
      <c r="L127" s="2300">
        <f t="shared" si="12"/>
        <v>4.6487535191232796</v>
      </c>
      <c r="M127" s="2300">
        <f t="shared" si="12"/>
        <v>4.7467529169222669</v>
      </c>
      <c r="N127" s="2300">
        <f t="shared" si="12"/>
        <v>4.8702743543119551</v>
      </c>
    </row>
    <row r="128" spans="1:17">
      <c r="E128" s="3801"/>
      <c r="F128" s="2300"/>
      <c r="G128" s="2300"/>
      <c r="H128" s="2300"/>
      <c r="I128" s="2300"/>
      <c r="J128" s="2300"/>
      <c r="K128" s="2300"/>
      <c r="L128" s="2300"/>
      <c r="M128" s="2300"/>
      <c r="N128" s="2300"/>
    </row>
    <row r="129" spans="1:18">
      <c r="B129" s="2290">
        <v>3</v>
      </c>
      <c r="C129" s="2290" t="s">
        <v>1000</v>
      </c>
      <c r="E129" s="3801"/>
      <c r="F129" s="2300"/>
      <c r="G129" s="2300"/>
      <c r="H129" s="2300"/>
      <c r="I129" s="2300"/>
      <c r="J129" s="2300"/>
      <c r="K129" s="2300"/>
      <c r="L129" s="2300"/>
      <c r="M129" s="2300"/>
      <c r="N129" s="2300"/>
    </row>
    <row r="130" spans="1:18">
      <c r="B130" s="2290"/>
      <c r="C130" s="2290"/>
      <c r="E130" s="3801"/>
      <c r="F130" s="2291">
        <v>2013</v>
      </c>
      <c r="G130" s="2291">
        <v>2015</v>
      </c>
      <c r="H130" s="2291">
        <v>2020</v>
      </c>
      <c r="I130" s="2291">
        <v>2025</v>
      </c>
      <c r="J130" s="2291">
        <v>2030</v>
      </c>
      <c r="K130" s="2291">
        <v>2035</v>
      </c>
      <c r="L130" s="2291">
        <v>2040</v>
      </c>
      <c r="M130" s="2291">
        <v>2045</v>
      </c>
      <c r="N130" s="2291">
        <v>2050</v>
      </c>
    </row>
    <row r="131" spans="1:18">
      <c r="B131" s="358" t="s">
        <v>95</v>
      </c>
      <c r="C131" s="2" t="s">
        <v>85</v>
      </c>
      <c r="E131" s="2" t="str">
        <f>Preferences.EnergyUnits</f>
        <v>TWh</v>
      </c>
      <c r="F131" s="2300">
        <f>F118+F127</f>
        <v>5.0494625667764526</v>
      </c>
      <c r="G131" s="2300">
        <f t="shared" ref="G131:N131" si="13">G118+G127</f>
        <v>5.1606913335354161</v>
      </c>
      <c r="H131" s="2300">
        <f t="shared" si="13"/>
        <v>5.3166079380983984</v>
      </c>
      <c r="I131" s="2300">
        <f t="shared" si="13"/>
        <v>5.4637212796504775</v>
      </c>
      <c r="J131" s="2300">
        <f t="shared" si="13"/>
        <v>5.5872861382671468</v>
      </c>
      <c r="K131" s="2300">
        <f t="shared" si="13"/>
        <v>5.7168645758329122</v>
      </c>
      <c r="L131" s="2300">
        <f t="shared" si="13"/>
        <v>5.8515274564846518</v>
      </c>
      <c r="M131" s="2300">
        <f t="shared" si="13"/>
        <v>5.9765991111064452</v>
      </c>
      <c r="N131" s="2300">
        <f t="shared" si="13"/>
        <v>6.1340795367240126</v>
      </c>
      <c r="Q131" s="391"/>
    </row>
    <row r="132" spans="1:18">
      <c r="B132" s="358" t="s">
        <v>99</v>
      </c>
      <c r="C132" s="2" t="s">
        <v>89</v>
      </c>
      <c r="E132" s="2" t="str">
        <f>Preferences.EnergyUnits</f>
        <v>TWh</v>
      </c>
      <c r="F132" s="2300">
        <f>F119</f>
        <v>0.40457721538039892</v>
      </c>
      <c r="G132" s="2300">
        <f t="shared" ref="G132:N132" si="14">G119</f>
        <v>0.4137806755006152</v>
      </c>
      <c r="H132" s="2300">
        <f t="shared" si="14"/>
        <v>0.42514527849657968</v>
      </c>
      <c r="I132" s="2300">
        <f t="shared" si="14"/>
        <v>0.43655111031405541</v>
      </c>
      <c r="J132" s="2300">
        <f t="shared" si="14"/>
        <v>0.44627462943047569</v>
      </c>
      <c r="K132" s="2300">
        <f t="shared" si="14"/>
        <v>0.45669274186615982</v>
      </c>
      <c r="L132" s="2300">
        <f t="shared" si="14"/>
        <v>0.46774542008497805</v>
      </c>
      <c r="M132" s="2300">
        <f t="shared" si="14"/>
        <v>0.47827351996051393</v>
      </c>
      <c r="N132" s="2300">
        <f t="shared" si="14"/>
        <v>0.49147979316024482</v>
      </c>
    </row>
    <row r="133" spans="1:18">
      <c r="B133" s="358"/>
      <c r="F133" s="2300"/>
      <c r="G133" s="2300"/>
      <c r="H133" s="2300"/>
      <c r="I133" s="2300"/>
      <c r="J133" s="2300"/>
      <c r="K133" s="2300"/>
      <c r="L133" s="2300"/>
      <c r="M133" s="2300"/>
      <c r="N133" s="2300"/>
    </row>
    <row r="134" spans="1:18">
      <c r="B134" s="358">
        <v>4</v>
      </c>
      <c r="C134" s="2290" t="s">
        <v>1001</v>
      </c>
      <c r="F134" s="2300"/>
      <c r="G134" s="2300"/>
      <c r="H134" s="2300"/>
      <c r="I134" s="2300"/>
      <c r="J134" s="2300"/>
      <c r="K134" s="2300"/>
      <c r="L134" s="2300"/>
      <c r="M134" s="2300"/>
      <c r="N134" s="2300"/>
    </row>
    <row r="135" spans="1:18">
      <c r="B135" s="81"/>
      <c r="C135" s="2261"/>
      <c r="D135" s="2261"/>
      <c r="E135" s="2252"/>
      <c r="F135" s="2252"/>
      <c r="G135" s="2252"/>
      <c r="H135" s="2252"/>
      <c r="I135" s="2252"/>
      <c r="J135" s="2237"/>
      <c r="K135" s="2237"/>
      <c r="L135" s="2237"/>
      <c r="M135" s="2237"/>
      <c r="N135" s="2237"/>
      <c r="P135" s="81"/>
    </row>
    <row r="136" spans="1:18">
      <c r="B136" s="81"/>
      <c r="C136" s="2261" t="s">
        <v>1002</v>
      </c>
      <c r="D136" s="2261"/>
      <c r="E136" s="2252"/>
      <c r="F136" s="2252"/>
      <c r="G136" s="2252"/>
      <c r="H136" s="2252"/>
      <c r="I136" s="2252"/>
      <c r="J136" s="2237"/>
      <c r="K136" s="2237"/>
      <c r="L136" s="2237"/>
      <c r="M136" s="2237"/>
      <c r="N136" s="2237"/>
      <c r="P136" s="81"/>
    </row>
    <row r="137" spans="1:18">
      <c r="B137" s="81"/>
      <c r="C137" s="2261" t="s">
        <v>28</v>
      </c>
      <c r="D137" s="2261" t="s">
        <v>71</v>
      </c>
      <c r="E137" s="2261" t="s">
        <v>30</v>
      </c>
      <c r="F137" s="2301">
        <v>2013</v>
      </c>
      <c r="G137" s="2301">
        <v>2015</v>
      </c>
      <c r="H137" s="2301">
        <v>2020</v>
      </c>
      <c r="I137" s="2301">
        <v>2025</v>
      </c>
      <c r="J137" s="2301">
        <v>2030</v>
      </c>
      <c r="K137" s="2301">
        <v>2035</v>
      </c>
      <c r="L137" s="2301">
        <v>2040</v>
      </c>
      <c r="M137" s="2301">
        <v>2045</v>
      </c>
      <c r="N137" s="2301">
        <v>2050</v>
      </c>
      <c r="P137" s="81"/>
    </row>
    <row r="138" spans="1:18">
      <c r="B138" s="81"/>
      <c r="C138" s="2280" t="s">
        <v>95</v>
      </c>
      <c r="D138" s="2261" t="s">
        <v>85</v>
      </c>
      <c r="E138" s="2302"/>
      <c r="F138" s="2281">
        <f t="shared" ref="F138:N139" si="15">F97*F$104</f>
        <v>1204308.8128186453</v>
      </c>
      <c r="G138" s="2281">
        <f t="shared" si="15"/>
        <v>1241773.2712908995</v>
      </c>
      <c r="H138" s="2281">
        <f t="shared" si="15"/>
        <v>1309400.9589785195</v>
      </c>
      <c r="I138" s="2281">
        <f t="shared" si="15"/>
        <v>1376643.9461244007</v>
      </c>
      <c r="J138" s="2281">
        <f t="shared" si="15"/>
        <v>1440039.7857867056</v>
      </c>
      <c r="K138" s="2281">
        <f t="shared" si="15"/>
        <v>1507015.1819483798</v>
      </c>
      <c r="L138" s="2281">
        <f t="shared" si="15"/>
        <v>1577469.6394841843</v>
      </c>
      <c r="M138" s="2281">
        <f t="shared" si="15"/>
        <v>1647494.7609839162</v>
      </c>
      <c r="N138" s="2281">
        <f t="shared" si="15"/>
        <v>1721167.6890860214</v>
      </c>
      <c r="P138" s="81"/>
    </row>
    <row r="139" spans="1:18">
      <c r="B139" s="81"/>
      <c r="C139" s="2280" t="s">
        <v>99</v>
      </c>
      <c r="D139" s="2261" t="s">
        <v>89</v>
      </c>
      <c r="E139" s="2261"/>
      <c r="F139" s="2281">
        <f t="shared" si="15"/>
        <v>468342.3160961399</v>
      </c>
      <c r="G139" s="2281">
        <f t="shared" si="15"/>
        <v>482911.8277242388</v>
      </c>
      <c r="H139" s="2281">
        <f t="shared" si="15"/>
        <v>509211.4840472021</v>
      </c>
      <c r="I139" s="2281">
        <f t="shared" si="15"/>
        <v>535361.53460393369</v>
      </c>
      <c r="J139" s="2281">
        <f t="shared" si="15"/>
        <v>560015.47225038556</v>
      </c>
      <c r="K139" s="2281">
        <f t="shared" si="15"/>
        <v>586061.45964659227</v>
      </c>
      <c r="L139" s="2281">
        <f t="shared" si="15"/>
        <v>613460.4153549606</v>
      </c>
      <c r="M139" s="2281">
        <f t="shared" si="15"/>
        <v>640692.40704930085</v>
      </c>
      <c r="N139" s="2281">
        <f t="shared" si="15"/>
        <v>669342.99020011956</v>
      </c>
      <c r="P139" s="81"/>
    </row>
    <row r="140" spans="1:18">
      <c r="B140" s="81"/>
      <c r="C140" s="2261"/>
      <c r="D140" s="2261"/>
      <c r="E140" s="2252"/>
      <c r="F140" s="2252"/>
      <c r="G140" s="2252"/>
      <c r="H140" s="2252"/>
      <c r="I140" s="2252"/>
      <c r="J140" s="2237"/>
      <c r="K140" s="2237"/>
      <c r="L140" s="2237"/>
      <c r="M140" s="2237"/>
      <c r="N140" s="2237"/>
      <c r="P140" s="81"/>
    </row>
    <row r="141" spans="1:18">
      <c r="B141" s="81"/>
      <c r="C141" s="2261" t="s">
        <v>1003</v>
      </c>
      <c r="D141" s="2237"/>
      <c r="E141" s="2237"/>
      <c r="F141" s="2252"/>
      <c r="G141" s="2252"/>
      <c r="H141" s="2252"/>
      <c r="I141" s="2252"/>
      <c r="J141" s="2237"/>
      <c r="K141" s="2237"/>
      <c r="L141" s="2237"/>
      <c r="M141" s="2237"/>
      <c r="N141" s="2237"/>
      <c r="P141" s="81"/>
    </row>
    <row r="142" spans="1:18">
      <c r="B142" s="81"/>
      <c r="C142" s="2261"/>
      <c r="D142" s="2237"/>
      <c r="E142" s="2237"/>
      <c r="F142" s="2252"/>
      <c r="G142" s="2252"/>
      <c r="H142" s="2252"/>
      <c r="I142" s="2252"/>
      <c r="J142" s="2237"/>
      <c r="K142" s="2237"/>
      <c r="L142" s="2237"/>
      <c r="M142" s="2237"/>
      <c r="N142" s="2237"/>
      <c r="P142" s="81"/>
    </row>
    <row r="143" spans="1:18">
      <c r="A143" s="81"/>
      <c r="B143" s="81"/>
      <c r="C143" s="2261" t="s">
        <v>1002</v>
      </c>
      <c r="D143" s="2261"/>
      <c r="E143" s="2252"/>
      <c r="F143" s="2252"/>
      <c r="G143" s="2252"/>
      <c r="H143" s="2252"/>
      <c r="I143" s="2252"/>
      <c r="J143" s="2237"/>
      <c r="K143" s="2237"/>
      <c r="L143" s="2237"/>
      <c r="M143" s="2237"/>
      <c r="N143" s="2237"/>
      <c r="P143" s="81"/>
      <c r="Q143" s="81"/>
      <c r="R143" s="81"/>
    </row>
    <row r="144" spans="1:18">
      <c r="A144" s="81"/>
      <c r="B144" s="81"/>
      <c r="C144" s="2261" t="s">
        <v>28</v>
      </c>
      <c r="D144" s="2261" t="s">
        <v>71</v>
      </c>
      <c r="E144" s="2261" t="s">
        <v>30</v>
      </c>
      <c r="F144" s="2301">
        <v>2013</v>
      </c>
      <c r="G144" s="2301">
        <v>2015</v>
      </c>
      <c r="H144" s="2301">
        <v>2020</v>
      </c>
      <c r="I144" s="2301">
        <v>2025</v>
      </c>
      <c r="J144" s="2301">
        <v>2030</v>
      </c>
      <c r="K144" s="2301">
        <v>2035</v>
      </c>
      <c r="L144" s="2301">
        <v>2040</v>
      </c>
      <c r="M144" s="2301">
        <v>2045</v>
      </c>
      <c r="N144" s="2301">
        <v>2050</v>
      </c>
      <c r="P144" s="81"/>
      <c r="Q144" s="81"/>
      <c r="R144" s="81"/>
    </row>
    <row r="145" spans="1:18">
      <c r="A145" s="81"/>
      <c r="B145" s="81"/>
      <c r="C145" s="2280" t="s">
        <v>95</v>
      </c>
      <c r="D145" s="2261" t="s">
        <v>85</v>
      </c>
      <c r="E145" s="2302"/>
      <c r="F145" s="2281">
        <f t="shared" ref="F145:N146" si="16">F138*$E$72</f>
        <v>397421.90823015297</v>
      </c>
      <c r="G145" s="2281">
        <f t="shared" si="16"/>
        <v>409785.17952599685</v>
      </c>
      <c r="H145" s="2281">
        <f t="shared" si="16"/>
        <v>432102.31646291149</v>
      </c>
      <c r="I145" s="2281">
        <f t="shared" si="16"/>
        <v>454292.50222105224</v>
      </c>
      <c r="J145" s="2281">
        <f t="shared" si="16"/>
        <v>475213.12930961285</v>
      </c>
      <c r="K145" s="2281">
        <f t="shared" si="16"/>
        <v>497315.01004296535</v>
      </c>
      <c r="L145" s="2281">
        <f t="shared" si="16"/>
        <v>520564.98102978087</v>
      </c>
      <c r="M145" s="2281">
        <f t="shared" si="16"/>
        <v>543673.2711246924</v>
      </c>
      <c r="N145" s="2281">
        <f t="shared" si="16"/>
        <v>567985.33739838714</v>
      </c>
      <c r="P145" s="81"/>
      <c r="Q145" s="81"/>
      <c r="R145" s="81"/>
    </row>
    <row r="146" spans="1:18">
      <c r="A146" s="81"/>
      <c r="B146" s="81"/>
      <c r="C146" s="2280" t="s">
        <v>99</v>
      </c>
      <c r="D146" s="2261" t="s">
        <v>89</v>
      </c>
      <c r="E146" s="2261"/>
      <c r="F146" s="2281">
        <f t="shared" si="16"/>
        <v>154552.96431172619</v>
      </c>
      <c r="G146" s="2281">
        <f t="shared" si="16"/>
        <v>159360.9031489988</v>
      </c>
      <c r="H146" s="2281">
        <f t="shared" si="16"/>
        <v>168039.78973557669</v>
      </c>
      <c r="I146" s="2281">
        <f t="shared" si="16"/>
        <v>176669.30641929811</v>
      </c>
      <c r="J146" s="2281">
        <f t="shared" si="16"/>
        <v>184805.10584262724</v>
      </c>
      <c r="K146" s="2281">
        <f t="shared" si="16"/>
        <v>193400.28168337545</v>
      </c>
      <c r="L146" s="2281">
        <f t="shared" si="16"/>
        <v>202441.93706713701</v>
      </c>
      <c r="M146" s="2281">
        <f t="shared" si="16"/>
        <v>211428.49432626928</v>
      </c>
      <c r="N146" s="2281">
        <f t="shared" si="16"/>
        <v>220883.18676603946</v>
      </c>
      <c r="P146" s="81"/>
      <c r="Q146" s="81"/>
      <c r="R146" s="81"/>
    </row>
    <row r="147" spans="1:18">
      <c r="A147" s="81"/>
      <c r="B147" s="81"/>
      <c r="C147" s="2261"/>
      <c r="D147" s="2261"/>
      <c r="E147" s="2252"/>
      <c r="F147" s="2252"/>
      <c r="G147" s="2252"/>
      <c r="H147" s="2252"/>
      <c r="I147" s="2252"/>
      <c r="J147" s="2237"/>
      <c r="K147" s="2237"/>
      <c r="L147" s="2237"/>
      <c r="M147" s="2237"/>
      <c r="N147" s="2237"/>
      <c r="P147" s="81"/>
      <c r="Q147" s="81"/>
      <c r="R147" s="81"/>
    </row>
    <row r="148" spans="1:18">
      <c r="A148" s="81"/>
      <c r="B148" s="81"/>
      <c r="C148" s="2261" t="s">
        <v>1004</v>
      </c>
      <c r="D148" s="2261"/>
      <c r="E148" s="2252"/>
      <c r="F148" s="2252"/>
      <c r="G148" s="2252"/>
      <c r="H148" s="2252"/>
      <c r="I148" s="2252"/>
      <c r="J148" s="2237"/>
      <c r="K148" s="2237"/>
      <c r="L148" s="2237"/>
      <c r="M148" s="2237"/>
      <c r="N148" s="2237"/>
      <c r="P148" s="81"/>
      <c r="Q148" s="81"/>
      <c r="R148" s="81"/>
    </row>
    <row r="149" spans="1:18">
      <c r="A149" s="81"/>
      <c r="B149" s="81"/>
      <c r="C149" s="2261" t="s">
        <v>28</v>
      </c>
      <c r="D149" s="2261" t="s">
        <v>71</v>
      </c>
      <c r="E149" s="2261" t="s">
        <v>30</v>
      </c>
      <c r="F149" s="2301">
        <v>2013</v>
      </c>
      <c r="G149" s="2301">
        <v>2015</v>
      </c>
      <c r="H149" s="2301">
        <v>2020</v>
      </c>
      <c r="I149" s="2301">
        <v>2025</v>
      </c>
      <c r="J149" s="2301">
        <v>2030</v>
      </c>
      <c r="K149" s="2301">
        <v>2035</v>
      </c>
      <c r="L149" s="2301">
        <v>2040</v>
      </c>
      <c r="M149" s="2301">
        <v>2045</v>
      </c>
      <c r="N149" s="2301">
        <v>2050</v>
      </c>
      <c r="P149" s="81"/>
      <c r="Q149" s="81"/>
      <c r="R149" s="81"/>
    </row>
    <row r="150" spans="1:18">
      <c r="A150" s="81"/>
      <c r="B150" s="81"/>
      <c r="C150" s="2280" t="s">
        <v>95</v>
      </c>
      <c r="D150" s="2261" t="s">
        <v>85</v>
      </c>
      <c r="E150" s="2302"/>
      <c r="F150" s="2281"/>
      <c r="G150" s="2281">
        <f>IF(G138-F138+F145&gt;0,G138-F138+F145,0)</f>
        <v>434886.36670240719</v>
      </c>
      <c r="H150" s="2281">
        <f t="shared" ref="H150:N151" si="17">IF(H138-G138+G145&gt;0,H138-G138+G145,0)</f>
        <v>477412.8672136169</v>
      </c>
      <c r="I150" s="2281">
        <f t="shared" si="17"/>
        <v>499345.30360879266</v>
      </c>
      <c r="J150" s="2281">
        <f t="shared" si="17"/>
        <v>517688.34188335709</v>
      </c>
      <c r="K150" s="2281">
        <f t="shared" si="17"/>
        <v>542188.52547128708</v>
      </c>
      <c r="L150" s="2281">
        <f t="shared" si="17"/>
        <v>567769.46757876989</v>
      </c>
      <c r="M150" s="2281">
        <f t="shared" si="17"/>
        <v>590590.10252951272</v>
      </c>
      <c r="N150" s="2281">
        <f t="shared" si="17"/>
        <v>617346.19922679756</v>
      </c>
      <c r="P150" s="81"/>
      <c r="Q150" s="81"/>
      <c r="R150" s="81"/>
    </row>
    <row r="151" spans="1:18">
      <c r="A151" s="81"/>
      <c r="B151" s="81"/>
      <c r="C151" s="2280" t="s">
        <v>99</v>
      </c>
      <c r="D151" s="2261" t="s">
        <v>89</v>
      </c>
      <c r="E151" s="2261"/>
      <c r="F151" s="2281"/>
      <c r="G151" s="2281">
        <f>IF(G139-F139+F146&gt;0,G139-F139+F146,0)</f>
        <v>169122.47593982509</v>
      </c>
      <c r="H151" s="2281">
        <f t="shared" si="17"/>
        <v>185660.5594719621</v>
      </c>
      <c r="I151" s="2281">
        <f t="shared" si="17"/>
        <v>194189.84029230828</v>
      </c>
      <c r="J151" s="2281">
        <f t="shared" si="17"/>
        <v>201323.24406574998</v>
      </c>
      <c r="K151" s="2281">
        <f t="shared" si="17"/>
        <v>210851.09323883394</v>
      </c>
      <c r="L151" s="2281">
        <f t="shared" si="17"/>
        <v>220799.23739174378</v>
      </c>
      <c r="M151" s="2281">
        <f t="shared" si="17"/>
        <v>229673.92876147726</v>
      </c>
      <c r="N151" s="2281">
        <f t="shared" si="17"/>
        <v>240079.07747708799</v>
      </c>
      <c r="P151" s="81"/>
      <c r="Q151" s="81"/>
      <c r="R151" s="81"/>
    </row>
    <row r="152" spans="1:18">
      <c r="A152" s="81"/>
      <c r="B152" s="81"/>
      <c r="C152" s="2280"/>
      <c r="D152" s="2261"/>
      <c r="E152" s="2261"/>
      <c r="F152" s="2281"/>
      <c r="G152" s="2281"/>
      <c r="H152" s="2281"/>
      <c r="I152" s="2281"/>
      <c r="J152" s="2281"/>
      <c r="K152" s="2281"/>
      <c r="L152" s="2281"/>
      <c r="M152" s="2281"/>
      <c r="N152" s="2281"/>
      <c r="P152" s="81"/>
      <c r="Q152" s="81"/>
      <c r="R152" s="81"/>
    </row>
    <row r="153" spans="1:18">
      <c r="A153" s="81"/>
      <c r="B153" s="81"/>
      <c r="C153" s="2280"/>
      <c r="D153" s="2261"/>
      <c r="E153" s="2261"/>
      <c r="F153" s="2281"/>
      <c r="G153" s="2281"/>
      <c r="H153" s="2281"/>
      <c r="I153" s="2281"/>
      <c r="J153" s="2281"/>
      <c r="K153" s="2281"/>
      <c r="L153" s="2281"/>
      <c r="M153" s="2281"/>
      <c r="N153" s="2281"/>
      <c r="P153" s="81"/>
      <c r="Q153" s="81"/>
      <c r="R153" s="81"/>
    </row>
    <row r="154" spans="1:18">
      <c r="A154" s="81"/>
      <c r="B154" s="2290">
        <v>5</v>
      </c>
      <c r="C154" s="2290" t="s">
        <v>249</v>
      </c>
      <c r="F154" s="2300"/>
      <c r="G154" s="2300"/>
      <c r="H154" s="2300"/>
      <c r="I154" s="2300"/>
      <c r="J154" s="2300"/>
      <c r="K154" s="2300"/>
      <c r="L154" s="2300"/>
      <c r="M154" s="2300"/>
      <c r="N154" s="2300"/>
      <c r="Q154" s="81"/>
      <c r="R154" s="81"/>
    </row>
    <row r="155" spans="1:18">
      <c r="A155"/>
      <c r="B155" s="2290"/>
      <c r="F155" s="2300"/>
      <c r="G155" s="2300"/>
      <c r="H155" s="2300"/>
      <c r="I155" s="2300"/>
      <c r="J155" s="2300"/>
      <c r="K155" s="2300"/>
      <c r="L155" s="2300"/>
      <c r="M155" s="2300"/>
      <c r="N155" s="2300"/>
      <c r="Q155" s="81"/>
      <c r="R155" s="81"/>
    </row>
    <row r="156" spans="1:18">
      <c r="A156"/>
      <c r="B156" s="2290"/>
      <c r="C156" s="2" t="s">
        <v>250</v>
      </c>
      <c r="E156" s="358" t="s">
        <v>251</v>
      </c>
      <c r="F156" s="2137">
        <f t="array" ref="F156">SUM(F$131:F$132*SUMIFS(EF[CO2], EF[Vector], $B$131:$B$132))</f>
        <v>8.2825533025333728E-2</v>
      </c>
      <c r="G156" s="2137">
        <f t="array" ref="G156">SUM(G$131:G$132*SUMIFS(EF[CO2], EF[Vector], $B$131:$B$132))</f>
        <v>8.4709676425296546E-2</v>
      </c>
      <c r="H156" s="2137">
        <f t="array" ref="H156">SUM(H$131:H$132*SUMIFS(EF[CO2], EF[Vector], $B$131:$B$132))</f>
        <v>8.7036251588153979E-2</v>
      </c>
      <c r="I156" s="2137">
        <f t="array" ref="I156">SUM(I$131:I$132*SUMIFS(EF[CO2], EF[Vector], $B$131:$B$132))</f>
        <v>8.9371267164825796E-2</v>
      </c>
      <c r="J156" s="2137">
        <f t="array" ref="J156">SUM(J$131:J$132*SUMIFS(EF[CO2], EF[Vector], $B$131:$B$132))</f>
        <v>9.1361877666562299E-2</v>
      </c>
      <c r="K156" s="2137">
        <f t="array" ref="K156">SUM(K$131:K$132*SUMIFS(EF[CO2], EF[Vector], $B$131:$B$132))</f>
        <v>9.3494686146130476E-2</v>
      </c>
      <c r="L156" s="2137">
        <f t="array" ref="L156">SUM(L$131:L$132*SUMIFS(EF[CO2], EF[Vector], $B$131:$B$132))</f>
        <v>9.5757403694300802E-2</v>
      </c>
      <c r="M156" s="2137">
        <f t="array" ref="M156">SUM(M$131:M$132*SUMIFS(EF[CO2], EF[Vector], $B$131:$B$132))</f>
        <v>9.7912728934540366E-2</v>
      </c>
      <c r="N156" s="2137">
        <f t="array" ref="N156">SUM(N$131:N$132*SUMIFS(EF[CO2], EF[Vector], $B$131:$B$132))</f>
        <v>0.10061633303151711</v>
      </c>
      <c r="Q156" s="81"/>
      <c r="R156" s="81"/>
    </row>
    <row r="157" spans="1:18">
      <c r="A157"/>
      <c r="B157" s="2290"/>
      <c r="C157" s="2" t="s">
        <v>252</v>
      </c>
      <c r="E157" s="358"/>
      <c r="F157" s="2137">
        <f t="array" ref="F157">SUM(F$131:F$132*SUMIFS(EF[CH4], EF[Vector], $B$131:$B$132))</f>
        <v>3.0586037482758164E-5</v>
      </c>
      <c r="G157" s="2137">
        <f t="array" ref="G157">SUM(G$131:G$132*SUMIFS(EF[CH4], EF[Vector], $B$131:$B$132))</f>
        <v>3.1281819067846514E-5</v>
      </c>
      <c r="H157" s="2137">
        <f t="array" ref="H157">SUM(H$131:H$132*SUMIFS(EF[CH4], EF[Vector], $B$131:$B$132))</f>
        <v>3.2140983054341429E-5</v>
      </c>
      <c r="I157" s="2137">
        <f t="array" ref="I157">SUM(I$131:I$132*SUMIFS(EF[CH4], EF[Vector], $B$131:$B$132))</f>
        <v>3.3003263939742596E-5</v>
      </c>
      <c r="J157" s="2137">
        <f t="array" ref="J157">SUM(J$131:J$132*SUMIFS(EF[CH4], EF[Vector], $B$131:$B$132))</f>
        <v>3.3738361984943967E-5</v>
      </c>
      <c r="K157" s="2137">
        <f t="array" ref="K157">SUM(K$131:K$132*SUMIFS(EF[CH4], EF[Vector], $B$131:$B$132))</f>
        <v>3.4525971285081686E-5</v>
      </c>
      <c r="L157" s="2137">
        <f t="array" ref="L157">SUM(L$131:L$132*SUMIFS(EF[CH4], EF[Vector], $B$131:$B$132))</f>
        <v>3.5361553758424345E-5</v>
      </c>
      <c r="M157" s="2137">
        <f t="array" ref="M157">SUM(M$131:M$132*SUMIFS(EF[CH4], EF[Vector], $B$131:$B$132))</f>
        <v>3.6157478109014855E-5</v>
      </c>
      <c r="N157" s="2137">
        <f t="array" ref="N157">SUM(N$131:N$132*SUMIFS(EF[CH4], EF[Vector], $B$131:$B$132))</f>
        <v>3.715587236291451E-5</v>
      </c>
      <c r="Q157" s="81"/>
      <c r="R157" s="81"/>
    </row>
    <row r="158" spans="1:18">
      <c r="A158"/>
      <c r="B158" s="2290"/>
      <c r="C158" s="2" t="s">
        <v>253</v>
      </c>
      <c r="E158" s="358"/>
      <c r="F158" s="2137">
        <f t="array" ref="F158">SUM(F$131:F$132*SUMIFS(EF[N2O], EF[Vector], $B$131:$B$132))</f>
        <v>1.309373699857123E-3</v>
      </c>
      <c r="G158" s="2137">
        <f t="array" ref="G158">SUM(G$131:G$132*SUMIFS(EF[N2O], EF[Vector], $B$131:$B$132))</f>
        <v>1.339159778190191E-3</v>
      </c>
      <c r="H158" s="2137">
        <f t="array" ref="H158">SUM(H$131:H$132*SUMIFS(EF[N2O], EF[Vector], $B$131:$B$132))</f>
        <v>1.3759401793263305E-3</v>
      </c>
      <c r="I158" s="2137">
        <f t="array" ref="I158">SUM(I$131:I$132*SUMIFS(EF[N2O], EF[Vector], $B$131:$B$132))</f>
        <v>1.4128540134204089E-3</v>
      </c>
      <c r="J158" s="2137">
        <f t="array" ref="J158">SUM(J$131:J$132*SUMIFS(EF[N2O], EF[Vector], $B$131:$B$132))</f>
        <v>1.4443232106887915E-3</v>
      </c>
      <c r="K158" s="2137">
        <f t="array" ref="K158">SUM(K$131:K$132*SUMIFS(EF[N2O], EF[Vector], $B$131:$B$132))</f>
        <v>1.4780403897756396E-3</v>
      </c>
      <c r="L158" s="2137">
        <f t="array" ref="L158">SUM(L$131:L$132*SUMIFS(EF[N2O], EF[Vector], $B$131:$B$132))</f>
        <v>1.513811277563023E-3</v>
      </c>
      <c r="M158" s="2137">
        <f t="array" ref="M158">SUM(M$131:M$132*SUMIFS(EF[N2O], EF[Vector], $B$131:$B$132))</f>
        <v>1.5478844200002072E-3</v>
      </c>
      <c r="N158" s="2137">
        <f t="array" ref="N158">SUM(N$131:N$132*SUMIFS(EF[N2O], EF[Vector], $B$131:$B$132))</f>
        <v>1.5906252025838163E-3</v>
      </c>
      <c r="Q158" s="81"/>
      <c r="R158" s="81"/>
    </row>
    <row r="159" spans="1:18">
      <c r="A159" s="81"/>
      <c r="B159" s="2290"/>
      <c r="E159" s="358"/>
      <c r="F159" s="404"/>
      <c r="G159" s="404"/>
      <c r="H159" s="404"/>
      <c r="I159" s="404"/>
      <c r="J159" s="404"/>
      <c r="K159" s="404"/>
      <c r="L159" s="404"/>
      <c r="M159" s="404"/>
      <c r="N159" s="404"/>
      <c r="Q159" s="81"/>
      <c r="R159" s="81"/>
    </row>
    <row r="160" spans="1:18">
      <c r="A160" s="81"/>
      <c r="B160" s="2290">
        <v>6</v>
      </c>
      <c r="C160" s="2290" t="s">
        <v>2720</v>
      </c>
      <c r="Q160" s="81"/>
      <c r="R160" s="81"/>
    </row>
    <row r="161" spans="1:18" hidden="1">
      <c r="A161" s="81"/>
      <c r="Q161" s="81"/>
      <c r="R161" s="81"/>
    </row>
    <row r="162" spans="1:18" hidden="1">
      <c r="B162" s="2" t="s">
        <v>322</v>
      </c>
      <c r="F162" s="2303"/>
      <c r="G162" s="2303"/>
      <c r="H162" s="2303"/>
      <c r="I162" s="2303"/>
      <c r="J162" s="2303"/>
      <c r="K162" s="2303"/>
      <c r="L162" s="2303"/>
      <c r="M162" s="2303"/>
      <c r="N162" s="2303"/>
    </row>
    <row r="163" spans="1:18" hidden="1">
      <c r="C163" s="2" t="s">
        <v>168</v>
      </c>
      <c r="E163" s="2" t="s">
        <v>2736</v>
      </c>
      <c r="F163" s="2303"/>
      <c r="G163" s="2303">
        <v>3831.644773036991</v>
      </c>
      <c r="H163" s="2303">
        <v>4013.8670370220693</v>
      </c>
      <c r="I163" s="2303">
        <v>4161.1253113832763</v>
      </c>
      <c r="J163" s="2303">
        <v>4290.3481982343792</v>
      </c>
      <c r="K163" s="2303">
        <v>4581.4077459244018</v>
      </c>
      <c r="L163" s="2303">
        <v>4815.1055845725368</v>
      </c>
      <c r="M163" s="2303">
        <v>5060.724361678369</v>
      </c>
      <c r="N163" s="2303">
        <v>5318.8721649098734</v>
      </c>
    </row>
    <row r="164" spans="1:18" hidden="1">
      <c r="C164" s="2" t="s">
        <v>172</v>
      </c>
      <c r="E164" s="2" t="s">
        <v>2736</v>
      </c>
      <c r="F164" s="2303"/>
      <c r="G164" s="2303"/>
      <c r="H164" s="2303"/>
      <c r="I164" s="2303"/>
      <c r="J164" s="2303"/>
      <c r="K164" s="2303"/>
      <c r="L164" s="2303"/>
      <c r="M164" s="2303"/>
      <c r="N164" s="2303"/>
    </row>
    <row r="165" spans="1:18" hidden="1">
      <c r="C165" s="2" t="s">
        <v>291</v>
      </c>
      <c r="E165" s="2" t="s">
        <v>2736</v>
      </c>
      <c r="F165" s="2303"/>
      <c r="G165" s="2303"/>
      <c r="H165" s="2303"/>
      <c r="I165" s="2303"/>
      <c r="J165" s="2303"/>
      <c r="K165" s="2303"/>
      <c r="L165" s="2303"/>
      <c r="M165" s="2303"/>
      <c r="N165" s="2303"/>
      <c r="P165" s="2303"/>
    </row>
    <row r="166" spans="1:18" hidden="1">
      <c r="P166" s="2303"/>
    </row>
    <row r="167" spans="1:18" hidden="1">
      <c r="B167" s="2" t="s">
        <v>331</v>
      </c>
      <c r="F167" s="2303"/>
      <c r="G167" s="2303"/>
      <c r="H167" s="2303"/>
      <c r="I167" s="2303"/>
      <c r="J167" s="2303"/>
      <c r="K167" s="2303"/>
      <c r="L167" s="2303"/>
      <c r="M167" s="2303"/>
      <c r="N167" s="2303"/>
      <c r="P167" s="2303"/>
    </row>
    <row r="168" spans="1:18" hidden="1">
      <c r="C168" s="2" t="s">
        <v>168</v>
      </c>
      <c r="E168" s="2" t="s">
        <v>2736</v>
      </c>
      <c r="F168" s="2303"/>
      <c r="G168" s="2303">
        <v>2976.7201352859802</v>
      </c>
      <c r="H168" s="2303">
        <v>3118.2845846104024</v>
      </c>
      <c r="I168" s="2303">
        <v>3232.6862831872336</v>
      </c>
      <c r="J168" s="2303">
        <v>3333.0766878344207</v>
      </c>
      <c r="K168" s="2303">
        <v>3559.1944172943477</v>
      </c>
      <c r="L168" s="2303">
        <v>3740.7491028361751</v>
      </c>
      <c r="M168" s="2303">
        <v>3931.5649019833763</v>
      </c>
      <c r="N168" s="2303">
        <v>4166.4498625127335</v>
      </c>
      <c r="P168" s="2303"/>
      <c r="Q168" s="430"/>
      <c r="R168" s="2" t="s">
        <v>5</v>
      </c>
    </row>
    <row r="169" spans="1:18" hidden="1">
      <c r="C169" s="2" t="s">
        <v>172</v>
      </c>
      <c r="E169" s="2" t="s">
        <v>2736</v>
      </c>
      <c r="F169" s="2303"/>
      <c r="G169" s="2303"/>
      <c r="H169" s="2303"/>
      <c r="I169" s="2303"/>
      <c r="J169" s="2303"/>
      <c r="K169" s="2303"/>
      <c r="L169" s="2303"/>
      <c r="M169" s="2303"/>
      <c r="N169" s="2303"/>
      <c r="P169" s="2303"/>
      <c r="Q169" s="430"/>
    </row>
    <row r="170" spans="1:18" hidden="1">
      <c r="C170" s="2" t="s">
        <v>291</v>
      </c>
      <c r="E170" s="2" t="s">
        <v>2736</v>
      </c>
      <c r="F170" s="2303"/>
      <c r="G170" s="2303"/>
      <c r="H170" s="2303"/>
      <c r="I170" s="2303"/>
      <c r="J170" s="2303"/>
      <c r="K170" s="2303"/>
      <c r="L170" s="2303"/>
      <c r="M170" s="2303"/>
      <c r="N170" s="2303"/>
      <c r="P170" s="2303"/>
      <c r="Q170" s="430"/>
    </row>
    <row r="171" spans="1:18" hidden="1">
      <c r="P171" s="2303"/>
      <c r="Q171" s="430"/>
    </row>
    <row r="172" spans="1:18" hidden="1">
      <c r="B172" s="2" t="s">
        <v>333</v>
      </c>
      <c r="F172" s="2303"/>
      <c r="G172" s="2303"/>
      <c r="H172" s="2303"/>
      <c r="I172" s="2303"/>
      <c r="J172" s="2303"/>
      <c r="K172" s="2303"/>
      <c r="L172" s="2303"/>
      <c r="M172" s="2303"/>
      <c r="N172" s="2303"/>
      <c r="P172" s="2303"/>
      <c r="Q172" s="430"/>
    </row>
    <row r="173" spans="1:18" hidden="1">
      <c r="C173" s="2" t="s">
        <v>168</v>
      </c>
      <c r="E173" s="2" t="s">
        <v>2736</v>
      </c>
      <c r="F173" s="2303"/>
      <c r="G173" s="2303">
        <v>2554.4298486913272</v>
      </c>
      <c r="H173" s="2303">
        <v>2675.9113580147132</v>
      </c>
      <c r="I173" s="2303">
        <v>2774.0835409221841</v>
      </c>
      <c r="J173" s="2303">
        <v>2860.2321321562531</v>
      </c>
      <c r="K173" s="2303">
        <v>3054.2718306162683</v>
      </c>
      <c r="L173" s="2303">
        <v>3210.0703897150247</v>
      </c>
      <c r="M173" s="2303">
        <v>3373.8162411189128</v>
      </c>
      <c r="N173" s="2303">
        <v>3545.9147766065826</v>
      </c>
      <c r="P173" s="2303"/>
      <c r="Q173" s="430"/>
    </row>
    <row r="174" spans="1:18" hidden="1">
      <c r="C174" s="2" t="s">
        <v>172</v>
      </c>
      <c r="E174" s="2" t="s">
        <v>2736</v>
      </c>
      <c r="F174" s="2303"/>
      <c r="G174" s="2303"/>
      <c r="H174" s="2303"/>
      <c r="I174" s="2303"/>
      <c r="J174" s="2303"/>
      <c r="K174" s="2303"/>
      <c r="L174" s="2303"/>
      <c r="M174" s="2303"/>
      <c r="N174" s="2303"/>
      <c r="P174" s="2303"/>
      <c r="Q174" s="430"/>
    </row>
    <row r="175" spans="1:18" hidden="1">
      <c r="C175" s="2" t="s">
        <v>291</v>
      </c>
      <c r="E175" s="2" t="s">
        <v>2736</v>
      </c>
      <c r="F175" s="2303"/>
      <c r="G175" s="2303"/>
      <c r="H175" s="2303"/>
      <c r="I175" s="2303"/>
      <c r="J175" s="2303"/>
      <c r="K175" s="2303"/>
      <c r="L175" s="2303"/>
      <c r="M175" s="2303"/>
      <c r="N175" s="2303"/>
      <c r="Q175" s="430"/>
    </row>
    <row r="176" spans="1:18">
      <c r="B176" s="4"/>
      <c r="C176" s="4"/>
      <c r="D176" s="4"/>
      <c r="E176" s="4"/>
      <c r="F176" s="365"/>
      <c r="G176" s="4"/>
      <c r="H176" s="4"/>
      <c r="I176" s="4"/>
      <c r="J176" s="4"/>
      <c r="K176" s="4"/>
      <c r="L176" s="4"/>
      <c r="M176" s="4"/>
      <c r="N176" s="4"/>
      <c r="P176" s="4"/>
      <c r="Q176" s="430"/>
    </row>
    <row r="177" spans="1:19" ht="15.5">
      <c r="B177" s="2192" t="s">
        <v>296</v>
      </c>
      <c r="C177" s="9"/>
      <c r="D177" s="9"/>
      <c r="E177" s="9"/>
      <c r="F177" s="9"/>
      <c r="G177" s="9"/>
      <c r="H177" s="9"/>
      <c r="I177" s="9"/>
      <c r="J177" s="9"/>
      <c r="K177" s="9"/>
      <c r="L177" s="9"/>
      <c r="M177" s="9"/>
      <c r="N177" s="9"/>
      <c r="O177" s="9"/>
      <c r="P177" s="10"/>
      <c r="Q177" s="430"/>
    </row>
    <row r="178" spans="1:19">
      <c r="B178" s="11"/>
      <c r="C178" s="12"/>
      <c r="D178" s="12"/>
      <c r="E178" s="12"/>
      <c r="F178" s="12"/>
      <c r="G178" s="12"/>
      <c r="H178" s="12"/>
      <c r="I178" s="12"/>
      <c r="J178" s="12"/>
      <c r="K178" s="12"/>
      <c r="L178" s="12"/>
      <c r="M178" s="12"/>
      <c r="N178" s="12"/>
      <c r="O178" s="12"/>
      <c r="P178" s="13"/>
      <c r="Q178" s="430"/>
    </row>
    <row r="179" spans="1:19">
      <c r="B179" s="11"/>
      <c r="C179" s="2304" t="s">
        <v>746</v>
      </c>
      <c r="D179" s="12"/>
      <c r="E179" s="14"/>
      <c r="F179" s="12"/>
      <c r="G179" s="12"/>
      <c r="H179" s="12"/>
      <c r="I179" s="12"/>
      <c r="J179" s="12"/>
      <c r="K179" s="12"/>
      <c r="L179" s="12"/>
      <c r="M179" s="12"/>
      <c r="N179" s="507" t="str">
        <f>Preferences.EnergyUnits</f>
        <v>TWh</v>
      </c>
      <c r="O179" s="12"/>
      <c r="P179" s="13"/>
      <c r="Q179" s="430"/>
    </row>
    <row r="180" spans="1:19">
      <c r="B180" s="11"/>
      <c r="C180" s="12"/>
      <c r="D180" s="12"/>
      <c r="E180" s="12"/>
      <c r="F180" s="12"/>
      <c r="G180" s="12"/>
      <c r="H180" s="12"/>
      <c r="I180" s="12"/>
      <c r="J180" s="12"/>
      <c r="K180" s="12"/>
      <c r="L180" s="12"/>
      <c r="M180" s="12"/>
      <c r="N180" s="12"/>
      <c r="O180" s="12"/>
      <c r="P180" s="13"/>
      <c r="Q180" s="430"/>
    </row>
    <row r="181" spans="1:19" ht="15.5">
      <c r="B181" s="2193"/>
      <c r="C181" s="2305" t="s">
        <v>28</v>
      </c>
      <c r="D181" s="2305" t="s">
        <v>29</v>
      </c>
      <c r="E181" s="2305" t="s">
        <v>30</v>
      </c>
      <c r="F181" s="2305" t="s">
        <v>588</v>
      </c>
      <c r="G181" s="2305" t="s">
        <v>132</v>
      </c>
      <c r="H181" s="2305" t="s">
        <v>133</v>
      </c>
      <c r="I181" s="2305" t="s">
        <v>134</v>
      </c>
      <c r="J181" s="2305" t="s">
        <v>135</v>
      </c>
      <c r="K181" s="2305" t="s">
        <v>136</v>
      </c>
      <c r="L181" s="2305" t="s">
        <v>137</v>
      </c>
      <c r="M181" s="2305" t="s">
        <v>138</v>
      </c>
      <c r="N181" s="2305" t="s">
        <v>139</v>
      </c>
      <c r="O181" s="12"/>
      <c r="P181" s="13"/>
      <c r="Q181" s="430"/>
    </row>
    <row r="182" spans="1:19" ht="15.5">
      <c r="B182" s="2193"/>
      <c r="C182" s="716" t="s">
        <v>407</v>
      </c>
      <c r="D182" s="1716" t="str">
        <f>INDEX(Vectors[Description], MATCH(X.a.Outputs[Vector], Vectors[Code], 0))</f>
        <v>Lighting &amp; appliances</v>
      </c>
      <c r="E182" s="716"/>
      <c r="F182" s="1714">
        <f>F131+F132</f>
        <v>5.4540397821568511</v>
      </c>
      <c r="G182" s="717">
        <f t="shared" ref="G182:N182" si="18">G131+G132</f>
        <v>5.5744720090360316</v>
      </c>
      <c r="H182" s="717">
        <f t="shared" si="18"/>
        <v>5.7417532165949776</v>
      </c>
      <c r="I182" s="717">
        <f t="shared" si="18"/>
        <v>5.9002723899645328</v>
      </c>
      <c r="J182" s="717">
        <f t="shared" si="18"/>
        <v>6.0335607676976224</v>
      </c>
      <c r="K182" s="717">
        <f t="shared" si="18"/>
        <v>6.1735573176990721</v>
      </c>
      <c r="L182" s="717">
        <f t="shared" si="18"/>
        <v>6.31927287656963</v>
      </c>
      <c r="M182" s="717">
        <f t="shared" si="18"/>
        <v>6.4548726310669586</v>
      </c>
      <c r="N182" s="717">
        <f t="shared" si="18"/>
        <v>6.6255593298842577</v>
      </c>
      <c r="O182" s="12"/>
      <c r="P182" s="13"/>
      <c r="Q182" s="430"/>
    </row>
    <row r="183" spans="1:19" ht="15.5">
      <c r="B183" s="2193"/>
      <c r="C183" s="716" t="s">
        <v>95</v>
      </c>
      <c r="D183" s="1716" t="str">
        <f>INDEX(Vectors[Description], MATCH(X.a.Outputs[Vector], Vectors[Code], 0))</f>
        <v>Electricity (delivered to end user)</v>
      </c>
      <c r="E183" s="716"/>
      <c r="F183" s="717">
        <f>-F131</f>
        <v>-5.0494625667764526</v>
      </c>
      <c r="G183" s="717">
        <f t="shared" ref="G183:N184" si="19">-G131</f>
        <v>-5.1606913335354161</v>
      </c>
      <c r="H183" s="717">
        <f t="shared" si="19"/>
        <v>-5.3166079380983984</v>
      </c>
      <c r="I183" s="717">
        <f t="shared" si="19"/>
        <v>-5.4637212796504775</v>
      </c>
      <c r="J183" s="717">
        <f t="shared" si="19"/>
        <v>-5.5872861382671468</v>
      </c>
      <c r="K183" s="717">
        <f t="shared" si="19"/>
        <v>-5.7168645758329122</v>
      </c>
      <c r="L183" s="717">
        <f t="shared" si="19"/>
        <v>-5.8515274564846518</v>
      </c>
      <c r="M183" s="717">
        <f t="shared" si="19"/>
        <v>-5.9765991111064452</v>
      </c>
      <c r="N183" s="717">
        <f t="shared" si="19"/>
        <v>-6.1340795367240126</v>
      </c>
      <c r="O183" s="12"/>
      <c r="P183" s="13"/>
    </row>
    <row r="184" spans="1:19" s="4" customFormat="1" ht="15.5">
      <c r="B184" s="2193"/>
      <c r="C184" s="716" t="s">
        <v>99</v>
      </c>
      <c r="D184" s="1716" t="str">
        <f>INDEX(Vectors[Description], MATCH(X.a.Outputs[Vector], Vectors[Code], 0))</f>
        <v>Gaseous hydrocarbons</v>
      </c>
      <c r="E184" s="716"/>
      <c r="F184" s="717">
        <f>-F132</f>
        <v>-0.40457721538039892</v>
      </c>
      <c r="G184" s="717">
        <f t="shared" si="19"/>
        <v>-0.4137806755006152</v>
      </c>
      <c r="H184" s="717">
        <f t="shared" si="19"/>
        <v>-0.42514527849657968</v>
      </c>
      <c r="I184" s="717">
        <f t="shared" si="19"/>
        <v>-0.43655111031405541</v>
      </c>
      <c r="J184" s="717">
        <f t="shared" si="19"/>
        <v>-0.44627462943047569</v>
      </c>
      <c r="K184" s="717">
        <f t="shared" si="19"/>
        <v>-0.45669274186615982</v>
      </c>
      <c r="L184" s="717">
        <f t="shared" si="19"/>
        <v>-0.46774542008497805</v>
      </c>
      <c r="M184" s="717">
        <f t="shared" si="19"/>
        <v>-0.47827351996051393</v>
      </c>
      <c r="N184" s="717">
        <f t="shared" si="19"/>
        <v>-0.49147979316024482</v>
      </c>
      <c r="O184" s="12"/>
      <c r="P184" s="13"/>
      <c r="S184" s="365"/>
    </row>
    <row r="185" spans="1:19" ht="15.75" customHeight="1">
      <c r="A185" s="2191"/>
      <c r="B185" s="2193"/>
      <c r="C185" s="2433" t="s">
        <v>58</v>
      </c>
      <c r="D185" s="2433"/>
      <c r="E185" s="2433"/>
      <c r="F185" s="3512">
        <f>SUBTOTAL(109,X.a.Outputs[2013])</f>
        <v>0</v>
      </c>
      <c r="G185" s="3512">
        <f>SUBTOTAL(109,X.a.Outputs[2015])</f>
        <v>0</v>
      </c>
      <c r="H185" s="3512">
        <f>SUBTOTAL(109,X.a.Outputs[2020])</f>
        <v>-4.4408920985006262E-16</v>
      </c>
      <c r="I185" s="3512">
        <f>SUBTOTAL(109,X.a.Outputs[2025])</f>
        <v>0</v>
      </c>
      <c r="J185" s="3512">
        <f>SUBTOTAL(109,X.a.Outputs[2030])</f>
        <v>0</v>
      </c>
      <c r="K185" s="3512">
        <f>SUBTOTAL(109,X.a.Outputs[2035])</f>
        <v>0</v>
      </c>
      <c r="L185" s="3512">
        <f>SUBTOTAL(109,X.a.Outputs[2040])</f>
        <v>0</v>
      </c>
      <c r="M185" s="3512">
        <f>SUBTOTAL(109,X.a.Outputs[2045])</f>
        <v>-4.4408920985006262E-16</v>
      </c>
      <c r="N185" s="3512">
        <f>SUBTOTAL(109,X.a.Outputs[2050])</f>
        <v>0</v>
      </c>
      <c r="O185" s="12"/>
      <c r="P185" s="13"/>
      <c r="S185" s="365"/>
    </row>
    <row r="186" spans="1:19" ht="15.5">
      <c r="B186" s="2193"/>
      <c r="C186" s="442"/>
      <c r="D186" s="442"/>
      <c r="E186" s="442"/>
      <c r="F186" s="442"/>
      <c r="G186" s="442"/>
      <c r="H186" s="442"/>
      <c r="I186" s="442"/>
      <c r="J186" s="442"/>
      <c r="K186" s="442"/>
      <c r="L186" s="442"/>
      <c r="M186" s="442"/>
      <c r="N186" s="442"/>
      <c r="O186" s="3513"/>
      <c r="P186" s="3513"/>
      <c r="S186" s="365"/>
    </row>
    <row r="187" spans="1:19">
      <c r="S187" s="365"/>
    </row>
    <row r="188" spans="1:19" ht="15.5">
      <c r="A188" s="2308"/>
      <c r="B188" s="2306" t="s">
        <v>300</v>
      </c>
      <c r="C188" s="2307"/>
      <c r="D188" s="447"/>
      <c r="E188" s="447"/>
      <c r="F188" s="447"/>
      <c r="G188" s="447"/>
      <c r="H188" s="447"/>
      <c r="I188" s="447"/>
      <c r="J188" s="447"/>
      <c r="K188" s="447"/>
      <c r="L188" s="447"/>
      <c r="M188" s="447"/>
      <c r="N188" s="447"/>
      <c r="O188" s="447"/>
      <c r="P188" s="448"/>
    </row>
    <row r="189" spans="1:19" ht="15.5">
      <c r="A189" s="2308"/>
      <c r="B189" s="449"/>
      <c r="C189" s="450"/>
      <c r="D189" s="450"/>
      <c r="E189" s="450"/>
      <c r="F189" s="450"/>
      <c r="G189" s="450"/>
      <c r="H189" s="450"/>
      <c r="I189" s="450"/>
      <c r="J189" s="450"/>
      <c r="K189" s="450"/>
      <c r="L189" s="450"/>
      <c r="M189" s="450"/>
      <c r="N189" s="450"/>
      <c r="O189" s="450"/>
      <c r="P189" s="451"/>
    </row>
    <row r="190" spans="1:19" ht="15.5">
      <c r="A190" s="2308"/>
      <c r="B190" s="452"/>
      <c r="C190" s="2309" t="s">
        <v>1005</v>
      </c>
      <c r="D190" s="454"/>
      <c r="E190" s="455"/>
      <c r="F190" s="454"/>
      <c r="G190" s="454"/>
      <c r="H190" s="454"/>
      <c r="I190" s="454"/>
      <c r="J190" s="454"/>
      <c r="K190" s="454"/>
      <c r="L190" s="454"/>
      <c r="M190" s="454"/>
      <c r="N190" s="2310" t="s">
        <v>251</v>
      </c>
      <c r="O190" s="454"/>
      <c r="P190" s="456"/>
    </row>
    <row r="191" spans="1:19" ht="15.5">
      <c r="A191" s="2308"/>
      <c r="B191" s="452"/>
      <c r="C191" s="454"/>
      <c r="D191" s="454"/>
      <c r="E191" s="454"/>
      <c r="F191" s="454"/>
      <c r="G191" s="454"/>
      <c r="H191" s="454"/>
      <c r="I191" s="454"/>
      <c r="J191" s="454"/>
      <c r="K191" s="454"/>
      <c r="L191" s="454"/>
      <c r="M191" s="454"/>
      <c r="N191" s="454"/>
      <c r="O191" s="454"/>
      <c r="P191" s="456"/>
    </row>
    <row r="192" spans="1:19" ht="15.5">
      <c r="A192" s="2308"/>
      <c r="B192" s="2311"/>
      <c r="C192" s="2312" t="s">
        <v>302</v>
      </c>
      <c r="D192" s="2312" t="s">
        <v>303</v>
      </c>
      <c r="E192" s="2312" t="s">
        <v>30</v>
      </c>
      <c r="F192" s="2312" t="s">
        <v>588</v>
      </c>
      <c r="G192" s="2312" t="s">
        <v>132</v>
      </c>
      <c r="H192" s="2312" t="s">
        <v>133</v>
      </c>
      <c r="I192" s="2312" t="s">
        <v>134</v>
      </c>
      <c r="J192" s="2312" t="s">
        <v>135</v>
      </c>
      <c r="K192" s="2312" t="s">
        <v>136</v>
      </c>
      <c r="L192" s="2312" t="s">
        <v>137</v>
      </c>
      <c r="M192" s="2312" t="s">
        <v>138</v>
      </c>
      <c r="N192" s="2312" t="s">
        <v>139</v>
      </c>
      <c r="O192" s="454"/>
      <c r="P192" s="456"/>
    </row>
    <row r="193" spans="1:23" ht="15.5">
      <c r="A193" s="2308"/>
      <c r="B193" s="2311"/>
      <c r="C193" s="459" t="s">
        <v>250</v>
      </c>
      <c r="D193" s="460" t="s">
        <v>304</v>
      </c>
      <c r="E193" s="459" t="s">
        <v>305</v>
      </c>
      <c r="F193" s="1371">
        <f>F156</f>
        <v>8.2825533025333728E-2</v>
      </c>
      <c r="G193" s="1371">
        <f t="shared" ref="G193:N195" si="20">G156</f>
        <v>8.4709676425296546E-2</v>
      </c>
      <c r="H193" s="1371">
        <f t="shared" si="20"/>
        <v>8.7036251588153979E-2</v>
      </c>
      <c r="I193" s="1371">
        <f t="shared" si="20"/>
        <v>8.9371267164825796E-2</v>
      </c>
      <c r="J193" s="1371">
        <f t="shared" si="20"/>
        <v>9.1361877666562299E-2</v>
      </c>
      <c r="K193" s="1371">
        <f t="shared" si="20"/>
        <v>9.3494686146130476E-2</v>
      </c>
      <c r="L193" s="1371">
        <f t="shared" si="20"/>
        <v>9.5757403694300802E-2</v>
      </c>
      <c r="M193" s="1371">
        <f t="shared" si="20"/>
        <v>9.7912728934540366E-2</v>
      </c>
      <c r="N193" s="1371">
        <f t="shared" si="20"/>
        <v>0.10061633303151711</v>
      </c>
      <c r="O193" s="454"/>
      <c r="P193" s="456"/>
    </row>
    <row r="194" spans="1:23" ht="15.5">
      <c r="B194" s="2311"/>
      <c r="C194" s="459" t="s">
        <v>252</v>
      </c>
      <c r="D194" s="460" t="s">
        <v>304</v>
      </c>
      <c r="E194" s="459" t="s">
        <v>305</v>
      </c>
      <c r="F194" s="461">
        <f>F157</f>
        <v>3.0586037482758164E-5</v>
      </c>
      <c r="G194" s="461">
        <f t="shared" si="20"/>
        <v>3.1281819067846514E-5</v>
      </c>
      <c r="H194" s="461">
        <f t="shared" si="20"/>
        <v>3.2140983054341429E-5</v>
      </c>
      <c r="I194" s="461">
        <f t="shared" si="20"/>
        <v>3.3003263939742596E-5</v>
      </c>
      <c r="J194" s="461">
        <f t="shared" si="20"/>
        <v>3.3738361984943967E-5</v>
      </c>
      <c r="K194" s="461">
        <f t="shared" si="20"/>
        <v>3.4525971285081686E-5</v>
      </c>
      <c r="L194" s="461">
        <f t="shared" si="20"/>
        <v>3.5361553758424345E-5</v>
      </c>
      <c r="M194" s="461">
        <f t="shared" si="20"/>
        <v>3.6157478109014855E-5</v>
      </c>
      <c r="N194" s="461">
        <f t="shared" si="20"/>
        <v>3.715587236291451E-5</v>
      </c>
      <c r="O194" s="454"/>
      <c r="P194" s="456"/>
    </row>
    <row r="195" spans="1:23" ht="23.5">
      <c r="A195" s="2191"/>
      <c r="B195" s="2311"/>
      <c r="C195" s="459" t="s">
        <v>253</v>
      </c>
      <c r="D195" s="460" t="s">
        <v>304</v>
      </c>
      <c r="E195" s="459" t="s">
        <v>305</v>
      </c>
      <c r="F195" s="461">
        <f>F158</f>
        <v>1.309373699857123E-3</v>
      </c>
      <c r="G195" s="461">
        <f t="shared" si="20"/>
        <v>1.339159778190191E-3</v>
      </c>
      <c r="H195" s="461">
        <f t="shared" si="20"/>
        <v>1.3759401793263305E-3</v>
      </c>
      <c r="I195" s="461">
        <f t="shared" si="20"/>
        <v>1.4128540134204089E-3</v>
      </c>
      <c r="J195" s="461">
        <f t="shared" si="20"/>
        <v>1.4443232106887915E-3</v>
      </c>
      <c r="K195" s="461">
        <f t="shared" si="20"/>
        <v>1.4780403897756396E-3</v>
      </c>
      <c r="L195" s="461">
        <f t="shared" si="20"/>
        <v>1.513811277563023E-3</v>
      </c>
      <c r="M195" s="461">
        <f t="shared" si="20"/>
        <v>1.5478844200002072E-3</v>
      </c>
      <c r="N195" s="461">
        <f t="shared" si="20"/>
        <v>1.5906252025838163E-3</v>
      </c>
      <c r="O195" s="454"/>
      <c r="P195" s="456"/>
    </row>
    <row r="196" spans="1:23" ht="15.5">
      <c r="B196" s="2311"/>
      <c r="C196" s="3053" t="s">
        <v>58</v>
      </c>
      <c r="D196" s="3053"/>
      <c r="E196" s="3053"/>
      <c r="F196" s="3514">
        <f>SUBTOTAL(109,X.a.Emissions[2013])</f>
        <v>8.4165492762673599E-2</v>
      </c>
      <c r="G196" s="3514">
        <f>SUBTOTAL(109,X.a.Emissions[2015])</f>
        <v>8.608011802255458E-2</v>
      </c>
      <c r="H196" s="3514">
        <f>SUBTOTAL(109,X.a.Emissions[2020])</f>
        <v>8.8444332750534649E-2</v>
      </c>
      <c r="I196" s="3514">
        <f>SUBTOTAL(109,X.a.Emissions[2025])</f>
        <v>9.0817124442185954E-2</v>
      </c>
      <c r="J196" s="3514">
        <f>SUBTOTAL(109,X.a.Emissions[2030])</f>
        <v>9.2839939239236044E-2</v>
      </c>
      <c r="K196" s="3514">
        <f>SUBTOTAL(109,X.a.Emissions[2035])</f>
        <v>9.5007252507191206E-2</v>
      </c>
      <c r="L196" s="3514">
        <f>SUBTOTAL(109,X.a.Emissions[2040])</f>
        <v>9.7306576525622246E-2</v>
      </c>
      <c r="M196" s="3514">
        <f>SUBTOTAL(109,X.a.Emissions[2045])</f>
        <v>9.9496770832649586E-2</v>
      </c>
      <c r="N196" s="3514">
        <f>SUBTOTAL(109,X.a.Emissions[2050])</f>
        <v>0.10224411410646385</v>
      </c>
      <c r="O196" s="454"/>
      <c r="P196" s="456"/>
    </row>
    <row r="197" spans="1:23" ht="15.5">
      <c r="B197" s="2313"/>
      <c r="C197" s="459"/>
      <c r="D197" s="459"/>
      <c r="E197" s="459"/>
      <c r="F197" s="462"/>
      <c r="G197" s="462"/>
      <c r="H197" s="462"/>
      <c r="I197" s="462"/>
      <c r="J197" s="462"/>
      <c r="K197" s="462"/>
      <c r="L197" s="462"/>
      <c r="M197" s="462"/>
      <c r="N197" s="462"/>
      <c r="O197" s="454"/>
      <c r="P197" s="454"/>
    </row>
    <row r="198" spans="1:23">
      <c r="B198" s="2317"/>
      <c r="C198" s="2314" t="s">
        <v>830</v>
      </c>
      <c r="D198" s="2315"/>
      <c r="E198" s="459"/>
      <c r="F198" s="462"/>
      <c r="G198" s="462"/>
      <c r="H198" s="462"/>
      <c r="I198" s="462"/>
      <c r="J198" s="462"/>
      <c r="K198" s="462"/>
      <c r="L198" s="462"/>
      <c r="M198" s="462"/>
      <c r="N198" s="2316" t="s">
        <v>831</v>
      </c>
      <c r="O198" s="454"/>
      <c r="P198" s="2317"/>
    </row>
    <row r="199" spans="1:23">
      <c r="B199" s="2317"/>
      <c r="C199" s="3519"/>
      <c r="D199" s="3519"/>
      <c r="E199" s="3519"/>
      <c r="F199" s="3519"/>
      <c r="G199" s="3519"/>
      <c r="H199" s="3519"/>
      <c r="I199" s="3519"/>
      <c r="J199" s="3519"/>
      <c r="K199" s="3519"/>
      <c r="L199" s="3519"/>
      <c r="M199" s="3519"/>
      <c r="N199" s="3519"/>
      <c r="O199" s="454"/>
      <c r="P199" s="2317"/>
    </row>
    <row r="200" spans="1:23">
      <c r="B200" s="2317"/>
      <c r="C200" s="3523" t="s">
        <v>28</v>
      </c>
      <c r="D200" s="3523" t="s">
        <v>29</v>
      </c>
      <c r="E200" s="3523" t="s">
        <v>303</v>
      </c>
      <c r="F200" s="3523" t="s">
        <v>588</v>
      </c>
      <c r="G200" s="3523" t="s">
        <v>132</v>
      </c>
      <c r="H200" s="3523" t="s">
        <v>133</v>
      </c>
      <c r="I200" s="3523" t="s">
        <v>134</v>
      </c>
      <c r="J200" s="3523" t="s">
        <v>135</v>
      </c>
      <c r="K200" s="3523" t="s">
        <v>136</v>
      </c>
      <c r="L200" s="3523" t="s">
        <v>137</v>
      </c>
      <c r="M200" s="3523" t="s">
        <v>138</v>
      </c>
      <c r="N200" s="3524" t="s">
        <v>139</v>
      </c>
      <c r="O200" s="454"/>
      <c r="P200" s="2317"/>
    </row>
    <row r="201" spans="1:23">
      <c r="B201" s="2317"/>
      <c r="C201" s="3515" t="s">
        <v>257</v>
      </c>
      <c r="D201" s="2319" t="s">
        <v>258</v>
      </c>
      <c r="E201" s="2318" t="s">
        <v>304</v>
      </c>
      <c r="F201" s="3520">
        <f ca="1">F53*F$132*(1-'Intermediate output'!AY$255*(1-Constants!$F$37))</f>
        <v>7.522355422998221E-4</v>
      </c>
      <c r="G201" s="3520">
        <f ca="1">G53*G$132*(1-'Intermediate output'!AZ$255*(1-Constants!$F$37))</f>
        <v>7.7231144062247636E-4</v>
      </c>
      <c r="H201" s="3520">
        <f ca="1">H53*H$132*(1-'Intermediate output'!BA$255*(1-Constants!$F$37))</f>
        <v>7.9931500720824278E-4</v>
      </c>
      <c r="I201" s="3520">
        <f ca="1">I53*I$132*(1-'Intermediate output'!BB$255*(1-Constants!$F$37))</f>
        <v>8.3032664072835204E-4</v>
      </c>
      <c r="J201" s="3520">
        <f ca="1">J53*J$132*(1-'Intermediate output'!BC$255*(1-Constants!$F$37))</f>
        <v>8.4122046547295819E-4</v>
      </c>
      <c r="K201" s="3520">
        <f ca="1">K53*K$132*(1-'Intermediate output'!BD$255*(1-Constants!$F$37))</f>
        <v>8.6300397023356568E-4</v>
      </c>
      <c r="L201" s="3520">
        <f ca="1">L53*L$132*(1-'Intermediate output'!BE$255*(1-Constants!$F$37))</f>
        <v>8.9053977372557285E-4</v>
      </c>
      <c r="M201" s="3520">
        <f ca="1">M53*M$132*(1-'Intermediate output'!BF$255*(1-Constants!$F$37))</f>
        <v>9.1699511803220574E-4</v>
      </c>
      <c r="N201" s="3520">
        <f ca="1">N53*N$132*(1-'Intermediate output'!BG$255*(1-Constants!$F$37))</f>
        <v>9.4013614859507955E-4</v>
      </c>
      <c r="O201" s="454"/>
      <c r="P201" s="2317"/>
    </row>
    <row r="202" spans="1:23">
      <c r="B202" s="2317"/>
      <c r="C202" s="3516" t="s">
        <v>259</v>
      </c>
      <c r="D202" s="2320" t="s">
        <v>260</v>
      </c>
      <c r="E202" s="2317" t="s">
        <v>304</v>
      </c>
      <c r="F202" s="3521">
        <f ca="1">F58*F$132*(1-'Intermediate output'!AY$255*(1-Constants!$G$37))</f>
        <v>0.10179507441330067</v>
      </c>
      <c r="G202" s="3521">
        <f ca="1">G58*G$132*(1-'Intermediate output'!AZ$255*(1-Constants!$G$37))</f>
        <v>0.10409118157528882</v>
      </c>
      <c r="H202" s="3521">
        <f ca="1">H58*H$132*(1-'Intermediate output'!BA$255*(1-Constants!$G$37))</f>
        <v>0.10691184767306403</v>
      </c>
      <c r="I202" s="3521">
        <f ca="1">I58*I$132*(1-'Intermediate output'!BB$255*(1-Constants!$G$37))</f>
        <v>0.1097169389081832</v>
      </c>
      <c r="J202" s="3521">
        <f ca="1">J58*J$132*(1-'Intermediate output'!BC$255*(1-Constants!$G$37))</f>
        <v>0.11221088370748923</v>
      </c>
      <c r="K202" s="3521">
        <f ca="1">K58*K$132*(1-'Intermediate output'!BD$255*(1-Constants!$G$37))</f>
        <v>0.11481624325171447</v>
      </c>
      <c r="L202" s="3521">
        <f ca="1">L58*L$132*(1-'Intermediate output'!BE$255*(1-Constants!$G$37))</f>
        <v>0.1175510855748083</v>
      </c>
      <c r="M202" s="3521">
        <f ca="1">M58*M$132*(1-'Intermediate output'!BF$255*(1-Constants!$G$37))</f>
        <v>0.12015463323277754</v>
      </c>
      <c r="N202" s="3521">
        <f ca="1">N58*N$132*(1-'Intermediate output'!BG$255*(1-Constants!$G$37))</f>
        <v>0.12348677397640943</v>
      </c>
      <c r="O202" s="454"/>
      <c r="P202" s="2317"/>
    </row>
    <row r="203" spans="1:23">
      <c r="B203" s="3519"/>
      <c r="C203" s="3516" t="s">
        <v>261</v>
      </c>
      <c r="D203" s="2320" t="s">
        <v>262</v>
      </c>
      <c r="E203" s="2317" t="s">
        <v>304</v>
      </c>
      <c r="F203" s="3521">
        <f ca="1">F63*F$132*(1-'Intermediate output'!AY$255*(1-Constants!$H$37))</f>
        <v>0</v>
      </c>
      <c r="G203" s="3521">
        <f ca="1">G63*G$132*(1-'Intermediate output'!AZ$255*(1-Constants!$H$37))</f>
        <v>0</v>
      </c>
      <c r="H203" s="3521">
        <f ca="1">H63*H$132*(1-'Intermediate output'!BA$255*(1-Constants!$H$37))</f>
        <v>0</v>
      </c>
      <c r="I203" s="3521">
        <f ca="1">I63*I$132*(1-'Intermediate output'!BB$255*(1-Constants!$H$37))</f>
        <v>0</v>
      </c>
      <c r="J203" s="3521">
        <f ca="1">J63*J$132*(1-'Intermediate output'!BC$255*(1-Constants!$H$37))</f>
        <v>0</v>
      </c>
      <c r="K203" s="3521">
        <f ca="1">K63*K$132*(1-'Intermediate output'!BD$255*(1-Constants!$H$37))</f>
        <v>0</v>
      </c>
      <c r="L203" s="3521">
        <f ca="1">L63*L$132*(1-'Intermediate output'!BE$255*(1-Constants!$H$37))</f>
        <v>0</v>
      </c>
      <c r="M203" s="3521">
        <f ca="1">M63*M$132*(1-'Intermediate output'!BF$255*(1-Constants!$H$37))</f>
        <v>0</v>
      </c>
      <c r="N203" s="3521">
        <f ca="1">N63*N$132*(1-'Intermediate output'!BG$255*(1-Constants!$H$37))</f>
        <v>0</v>
      </c>
      <c r="O203" s="454"/>
      <c r="P203" s="2317"/>
    </row>
    <row r="204" spans="1:23" ht="15.5">
      <c r="B204" s="2313"/>
      <c r="C204" s="3517" t="s">
        <v>263</v>
      </c>
      <c r="D204" s="3518" t="s">
        <v>264</v>
      </c>
      <c r="E204" s="3519" t="s">
        <v>304</v>
      </c>
      <c r="F204" s="3522">
        <f ca="1">F68*F$132*(1-'Intermediate output'!AY$255*(1-Constants!$I$37))</f>
        <v>1.4598106290914122E-2</v>
      </c>
      <c r="G204" s="3522">
        <f ca="1">G68*G$132*(1-'Intermediate output'!AZ$255*(1-Constants!$I$37))</f>
        <v>1.4934305102953781E-2</v>
      </c>
      <c r="H204" s="3522">
        <f ca="1">H68*H$132*(1-'Intermediate output'!BA$255*(1-Constants!$I$37))</f>
        <v>1.5352523708262639E-2</v>
      </c>
      <c r="I204" s="3522">
        <f ca="1">I68*I$132*(1-'Intermediate output'!BB$255*(1-Constants!$I$37))</f>
        <v>1.5777689909075038E-2</v>
      </c>
      <c r="J204" s="3522">
        <f ca="1">J68*J$132*(1-'Intermediate output'!BC$255*(1-Constants!$I$37))</f>
        <v>1.6118558665398505E-2</v>
      </c>
      <c r="K204" s="3522">
        <f ca="1">K68*K$132*(1-'Intermediate output'!BD$255*(1-Constants!$I$37))</f>
        <v>1.6497820045734257E-2</v>
      </c>
      <c r="L204" s="3522">
        <f ca="1">L68*L$132*(1-'Intermediate output'!BE$255*(1-Constants!$I$37))</f>
        <v>1.6906328297284345E-2</v>
      </c>
      <c r="M204" s="3522">
        <f ca="1">M68*M$132*(1-'Intermediate output'!BF$255*(1-Constants!$I$37))</f>
        <v>1.729576254799179E-2</v>
      </c>
      <c r="N204" s="3522">
        <f ca="1">N68*N$132*(1-'Intermediate output'!BG$255*(1-Constants!$I$37))</f>
        <v>1.7770313073223444E-2</v>
      </c>
      <c r="O204" s="454"/>
      <c r="P204" s="456"/>
    </row>
    <row r="205" spans="1:23" ht="15.5">
      <c r="B205" s="2321"/>
      <c r="C205" s="470"/>
      <c r="D205" s="470"/>
      <c r="E205" s="470"/>
      <c r="F205" s="470"/>
      <c r="G205" s="470"/>
      <c r="H205" s="470"/>
      <c r="I205" s="470"/>
      <c r="J205" s="470"/>
      <c r="K205" s="470"/>
      <c r="L205" s="470"/>
      <c r="M205" s="470"/>
      <c r="N205" s="470"/>
      <c r="O205" s="2313"/>
      <c r="P205" s="2313"/>
    </row>
    <row r="208" spans="1:23" ht="15.5">
      <c r="B208" s="2322" t="s">
        <v>310</v>
      </c>
      <c r="C208" s="2323"/>
      <c r="D208" s="473"/>
      <c r="E208" s="473"/>
      <c r="F208" s="473"/>
      <c r="G208" s="473"/>
      <c r="H208" s="473"/>
      <c r="I208" s="473"/>
      <c r="J208" s="473"/>
      <c r="K208" s="473"/>
      <c r="L208" s="473"/>
      <c r="M208" s="473"/>
      <c r="N208" s="473"/>
      <c r="O208" s="473"/>
      <c r="P208" s="474"/>
      <c r="R208" s="297"/>
      <c r="S208" s="297"/>
      <c r="T208" s="297"/>
      <c r="U208" s="297"/>
      <c r="V208" s="297"/>
      <c r="W208" s="297"/>
    </row>
    <row r="209" spans="1:23">
      <c r="B209" s="475"/>
      <c r="C209" s="476"/>
      <c r="D209" s="476"/>
      <c r="E209" s="476"/>
      <c r="F209" s="476"/>
      <c r="G209" s="476"/>
      <c r="H209" s="476"/>
      <c r="I209" s="476"/>
      <c r="J209" s="476"/>
      <c r="K209" s="476"/>
      <c r="L209" s="476"/>
      <c r="M209" s="476"/>
      <c r="N209" s="476"/>
      <c r="O209" s="476"/>
      <c r="P209" s="477"/>
      <c r="R209" s="297"/>
      <c r="S209" s="297"/>
      <c r="T209" s="297"/>
      <c r="U209" s="297"/>
      <c r="V209" s="297"/>
      <c r="W209" s="297"/>
    </row>
    <row r="210" spans="1:23">
      <c r="B210" s="478"/>
      <c r="C210" s="2324" t="s">
        <v>311</v>
      </c>
      <c r="D210" s="480"/>
      <c r="E210" s="481"/>
      <c r="F210" s="480"/>
      <c r="G210" s="480"/>
      <c r="H210" s="480"/>
      <c r="I210" s="480"/>
      <c r="J210" s="480"/>
      <c r="K210" s="480"/>
      <c r="L210" s="480"/>
      <c r="M210" s="480"/>
      <c r="N210" s="481"/>
      <c r="O210" s="481"/>
      <c r="P210" s="482"/>
      <c r="R210" s="81"/>
      <c r="S210" s="81"/>
      <c r="T210" s="81"/>
      <c r="U210" s="81"/>
      <c r="V210" s="81"/>
      <c r="W210" s="81"/>
    </row>
    <row r="211" spans="1:23">
      <c r="B211" s="478"/>
      <c r="C211" s="480"/>
      <c r="D211" s="480"/>
      <c r="E211" s="480"/>
      <c r="F211" s="480"/>
      <c r="G211" s="480"/>
      <c r="H211" s="480"/>
      <c r="I211" s="480"/>
      <c r="J211" s="480"/>
      <c r="K211" s="480"/>
      <c r="L211" s="480"/>
      <c r="M211" s="480"/>
      <c r="N211" s="480"/>
      <c r="O211" s="480"/>
      <c r="P211" s="482"/>
      <c r="R211" s="81"/>
      <c r="S211" s="81"/>
      <c r="T211" s="81"/>
      <c r="U211" s="81"/>
      <c r="V211" s="81"/>
      <c r="W211" s="81"/>
    </row>
    <row r="212" spans="1:23" ht="15.5">
      <c r="B212" s="2325"/>
      <c r="C212" s="2326" t="s">
        <v>28</v>
      </c>
      <c r="D212" s="2326" t="s">
        <v>312</v>
      </c>
      <c r="E212" s="2326" t="s">
        <v>30</v>
      </c>
      <c r="F212" s="2326">
        <v>2013</v>
      </c>
      <c r="G212" s="2326" t="s">
        <v>132</v>
      </c>
      <c r="H212" s="2326" t="s">
        <v>133</v>
      </c>
      <c r="I212" s="2326" t="s">
        <v>134</v>
      </c>
      <c r="J212" s="2326" t="s">
        <v>135</v>
      </c>
      <c r="K212" s="2326" t="s">
        <v>136</v>
      </c>
      <c r="L212" s="2326" t="s">
        <v>137</v>
      </c>
      <c r="M212" s="2326" t="s">
        <v>138</v>
      </c>
      <c r="N212" s="2326" t="s">
        <v>139</v>
      </c>
      <c r="O212" s="480"/>
      <c r="P212" s="482"/>
      <c r="R212" s="81"/>
      <c r="S212" s="81"/>
      <c r="T212" s="81"/>
      <c r="U212" s="81"/>
      <c r="V212" s="81"/>
      <c r="W212" s="81"/>
    </row>
    <row r="213" spans="1:23" ht="15.5">
      <c r="B213" s="2325"/>
      <c r="C213" s="485"/>
      <c r="D213" s="485"/>
      <c r="E213" s="485"/>
      <c r="F213" s="999"/>
      <c r="G213" s="999"/>
      <c r="H213" s="999"/>
      <c r="I213" s="999"/>
      <c r="J213" s="999"/>
      <c r="K213" s="999"/>
      <c r="L213" s="999"/>
      <c r="M213" s="999"/>
      <c r="N213" s="999"/>
      <c r="O213" s="480"/>
      <c r="P213" s="482"/>
      <c r="R213" s="81"/>
      <c r="S213" s="81"/>
      <c r="T213" s="81"/>
      <c r="U213" s="81"/>
      <c r="V213" s="81"/>
      <c r="W213" s="81"/>
    </row>
    <row r="214" spans="1:23" ht="15.5">
      <c r="B214" s="2325"/>
      <c r="C214" s="485"/>
      <c r="D214" s="485"/>
      <c r="E214" s="485"/>
      <c r="F214" s="999"/>
      <c r="G214" s="999"/>
      <c r="H214" s="999"/>
      <c r="I214" s="999"/>
      <c r="J214" s="999"/>
      <c r="K214" s="999"/>
      <c r="L214" s="999"/>
      <c r="M214" s="999"/>
      <c r="N214" s="999"/>
      <c r="O214" s="480"/>
      <c r="P214" s="482"/>
      <c r="R214" s="81"/>
      <c r="S214" s="81"/>
      <c r="T214" s="201"/>
      <c r="U214" s="81"/>
      <c r="V214" s="81"/>
      <c r="W214" s="81"/>
    </row>
    <row r="215" spans="1:23" ht="15.5">
      <c r="B215" s="2327"/>
      <c r="C215" s="489"/>
      <c r="D215" s="489"/>
      <c r="E215" s="489"/>
      <c r="F215" s="489"/>
      <c r="G215" s="489"/>
      <c r="H215" s="489"/>
      <c r="I215" s="489"/>
      <c r="J215" s="489"/>
      <c r="K215" s="489"/>
      <c r="L215" s="489"/>
      <c r="M215" s="489"/>
      <c r="N215" s="489"/>
      <c r="O215" s="480"/>
      <c r="P215" s="490"/>
      <c r="R215" s="81"/>
      <c r="S215" s="81"/>
      <c r="T215" s="201"/>
      <c r="U215" s="81"/>
      <c r="V215" s="81"/>
      <c r="W215" s="81"/>
    </row>
    <row r="216" spans="1:23">
      <c r="R216" s="81"/>
      <c r="S216" s="81"/>
      <c r="T216" s="201"/>
      <c r="U216" s="81"/>
      <c r="V216" s="81"/>
      <c r="W216" s="81"/>
    </row>
    <row r="217" spans="1:23" ht="15.5">
      <c r="B217" s="2322" t="s">
        <v>2720</v>
      </c>
      <c r="C217" s="473"/>
      <c r="D217" s="473"/>
      <c r="E217" s="473"/>
      <c r="F217" s="473"/>
      <c r="G217" s="473"/>
      <c r="H217" s="473"/>
      <c r="I217" s="473"/>
      <c r="J217" s="473"/>
      <c r="K217" s="473"/>
      <c r="L217" s="473"/>
      <c r="M217" s="473"/>
      <c r="N217" s="473"/>
      <c r="O217" s="473"/>
      <c r="P217" s="474"/>
      <c r="R217" s="81"/>
      <c r="S217" s="81"/>
      <c r="T217" s="201"/>
      <c r="U217" s="81"/>
      <c r="V217" s="81"/>
      <c r="W217" s="81"/>
    </row>
    <row r="218" spans="1:23" hidden="1">
      <c r="B218" s="478"/>
      <c r="C218" s="480"/>
      <c r="D218" s="480"/>
      <c r="E218" s="480"/>
      <c r="F218" s="480"/>
      <c r="G218" s="480"/>
      <c r="H218" s="480"/>
      <c r="I218" s="480"/>
      <c r="J218" s="480"/>
      <c r="K218" s="480"/>
      <c r="L218" s="480"/>
      <c r="M218" s="480"/>
      <c r="N218" s="480"/>
      <c r="O218" s="480"/>
      <c r="P218" s="482"/>
      <c r="R218" s="81"/>
      <c r="S218" s="81"/>
      <c r="T218" s="81"/>
      <c r="U218" s="81"/>
      <c r="V218" s="81"/>
      <c r="W218" s="81"/>
    </row>
    <row r="219" spans="1:23" hidden="1">
      <c r="B219" s="478"/>
      <c r="C219" s="2328" t="s">
        <v>751</v>
      </c>
      <c r="D219" s="492"/>
      <c r="E219" s="492"/>
      <c r="F219" s="492"/>
      <c r="G219" s="492"/>
      <c r="H219" s="492"/>
      <c r="I219" s="492"/>
      <c r="J219" s="492"/>
      <c r="K219" s="492"/>
      <c r="L219" s="492"/>
      <c r="M219" s="492"/>
      <c r="N219" s="492"/>
      <c r="O219" s="2329" t="s">
        <v>2736</v>
      </c>
      <c r="P219" s="482"/>
      <c r="R219" s="297"/>
      <c r="S219" s="297"/>
      <c r="T219" s="297"/>
      <c r="U219" s="297"/>
      <c r="V219" s="297"/>
      <c r="W219" s="297"/>
    </row>
    <row r="220" spans="1:23" hidden="1">
      <c r="B220" s="478"/>
      <c r="C220" s="480"/>
      <c r="D220" s="480"/>
      <c r="E220" s="480"/>
      <c r="F220" s="480"/>
      <c r="G220" s="480"/>
      <c r="H220" s="480"/>
      <c r="I220" s="480"/>
      <c r="J220" s="480"/>
      <c r="K220" s="480"/>
      <c r="L220" s="480"/>
      <c r="M220" s="480"/>
      <c r="N220" s="480"/>
      <c r="O220" s="480"/>
      <c r="P220" s="482"/>
      <c r="R220" s="297"/>
      <c r="S220" s="297"/>
      <c r="T220" s="297"/>
      <c r="U220" s="297"/>
      <c r="V220" s="297"/>
      <c r="W220" s="297"/>
    </row>
    <row r="221" spans="1:23" ht="15.5" hidden="1">
      <c r="B221" s="2325"/>
      <c r="C221" s="2330" t="s">
        <v>28</v>
      </c>
      <c r="D221" s="2330" t="s">
        <v>29</v>
      </c>
      <c r="E221" s="2330" t="s">
        <v>30</v>
      </c>
      <c r="F221" s="2330">
        <v>2013</v>
      </c>
      <c r="G221" s="2330" t="s">
        <v>1006</v>
      </c>
      <c r="H221" s="2330" t="s">
        <v>132</v>
      </c>
      <c r="I221" s="2330" t="s">
        <v>133</v>
      </c>
      <c r="J221" s="2330" t="s">
        <v>134</v>
      </c>
      <c r="K221" s="2330" t="s">
        <v>135</v>
      </c>
      <c r="L221" s="2330" t="s">
        <v>136</v>
      </c>
      <c r="M221" s="2330" t="s">
        <v>137</v>
      </c>
      <c r="N221" s="2330" t="s">
        <v>138</v>
      </c>
      <c r="O221" s="2330" t="s">
        <v>139</v>
      </c>
      <c r="P221" s="2331"/>
    </row>
    <row r="222" spans="1:23" ht="15.5" hidden="1">
      <c r="B222" s="2325"/>
      <c r="C222" s="485" t="s">
        <v>321</v>
      </c>
      <c r="D222" s="485" t="s">
        <v>322</v>
      </c>
      <c r="E222" s="485"/>
      <c r="F222" s="999"/>
      <c r="G222" s="999"/>
      <c r="H222" s="999"/>
      <c r="I222" s="999"/>
      <c r="J222" s="999"/>
      <c r="K222" s="999"/>
      <c r="L222" s="999"/>
      <c r="M222" s="999"/>
      <c r="N222" s="999"/>
      <c r="O222" s="999"/>
      <c r="P222" s="2332"/>
    </row>
    <row r="223" spans="1:23" ht="15.5" hidden="1">
      <c r="B223" s="2325"/>
      <c r="C223" s="485" t="s">
        <v>323</v>
      </c>
      <c r="D223" s="485" t="s">
        <v>324</v>
      </c>
      <c r="E223" s="485"/>
      <c r="F223" s="999"/>
      <c r="G223" s="999"/>
      <c r="H223" s="999"/>
      <c r="I223" s="999"/>
      <c r="J223" s="999"/>
      <c r="K223" s="999"/>
      <c r="L223" s="999"/>
      <c r="M223" s="999"/>
      <c r="N223" s="999"/>
      <c r="O223" s="999"/>
      <c r="P223" s="2332"/>
      <c r="Q223" s="38"/>
      <c r="R223" s="38"/>
    </row>
    <row r="224" spans="1:23" ht="15.5" hidden="1">
      <c r="A224" s="38"/>
      <c r="B224" s="2325"/>
      <c r="C224" s="485" t="s">
        <v>325</v>
      </c>
      <c r="D224" s="485" t="s">
        <v>326</v>
      </c>
      <c r="E224" s="485"/>
      <c r="F224" s="999"/>
      <c r="G224" s="999"/>
      <c r="H224" s="999"/>
      <c r="I224" s="999"/>
      <c r="J224" s="999"/>
      <c r="K224" s="999"/>
      <c r="L224" s="999"/>
      <c r="M224" s="999"/>
      <c r="N224" s="999"/>
      <c r="O224" s="999"/>
      <c r="P224" s="2332"/>
      <c r="Q224" s="38"/>
      <c r="R224" s="38"/>
      <c r="S224" s="38"/>
    </row>
    <row r="225" spans="1:20" hidden="1">
      <c r="A225" s="38"/>
      <c r="B225" s="478"/>
      <c r="C225" s="485"/>
      <c r="D225" s="485"/>
      <c r="E225" s="485"/>
      <c r="F225" s="2333"/>
      <c r="G225" s="2333"/>
      <c r="H225" s="2333"/>
      <c r="I225" s="2333"/>
      <c r="J225" s="2333"/>
      <c r="K225" s="2333"/>
      <c r="L225" s="2333"/>
      <c r="M225" s="2333"/>
      <c r="N225" s="2333"/>
      <c r="O225" s="2333"/>
      <c r="P225" s="498"/>
      <c r="Q225" s="2334"/>
      <c r="R225" s="38"/>
      <c r="S225" s="38"/>
      <c r="T225" s="38"/>
    </row>
    <row r="226" spans="1:20">
      <c r="A226" s="38"/>
      <c r="B226" s="2335"/>
      <c r="C226" s="463"/>
      <c r="D226" s="463"/>
      <c r="E226" s="463"/>
      <c r="F226" s="463"/>
      <c r="G226" s="463"/>
      <c r="H226" s="463"/>
      <c r="I226" s="463"/>
      <c r="J226" s="463"/>
      <c r="K226" s="463"/>
      <c r="L226" s="463"/>
      <c r="M226" s="463"/>
      <c r="N226" s="463"/>
      <c r="O226" s="2336"/>
      <c r="P226" s="2337"/>
      <c r="Q226" s="38"/>
      <c r="R226" s="38"/>
      <c r="S226" s="38"/>
      <c r="T226" s="38"/>
    </row>
    <row r="227" spans="1:20">
      <c r="A227" s="38"/>
      <c r="B227" s="38"/>
      <c r="C227" s="463"/>
      <c r="D227" s="463"/>
      <c r="E227" s="463"/>
      <c r="F227" s="463"/>
      <c r="G227" s="463"/>
      <c r="H227" s="463"/>
      <c r="I227" s="463"/>
      <c r="J227" s="463"/>
      <c r="K227" s="463"/>
      <c r="L227" s="463"/>
      <c r="M227" s="463"/>
      <c r="N227" s="463"/>
      <c r="O227" s="38"/>
      <c r="P227" s="38"/>
      <c r="Q227" s="38"/>
      <c r="R227" s="38"/>
      <c r="S227" s="38"/>
      <c r="T227" s="38"/>
    </row>
    <row r="228" spans="1:20">
      <c r="A228" s="38"/>
      <c r="B228" s="38"/>
      <c r="C228" s="2336"/>
      <c r="D228" s="2336"/>
      <c r="E228" s="2336"/>
      <c r="F228" s="2336"/>
      <c r="G228" s="2336"/>
      <c r="H228" s="2336"/>
      <c r="I228" s="2336"/>
      <c r="J228" s="2336"/>
      <c r="K228" s="2336"/>
      <c r="L228" s="2336"/>
      <c r="M228" s="2336"/>
      <c r="N228" s="2336"/>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38"/>
      <c r="AF412" s="2338"/>
      <c r="AG412" s="2338"/>
      <c r="AH412" s="2338"/>
      <c r="AI412" s="2338"/>
      <c r="AJ412" s="2338"/>
      <c r="AK412" s="2338"/>
      <c r="AL412" s="2338"/>
      <c r="AM412" s="2338"/>
      <c r="AN412" s="2338"/>
      <c r="AO412" s="2338"/>
      <c r="AP412" s="2338"/>
      <c r="AQ412" s="2338"/>
      <c r="AR412" s="2338"/>
      <c r="AS412" s="2338"/>
      <c r="AT412" s="2338"/>
      <c r="AU412" s="2338"/>
      <c r="AV412" s="2338"/>
      <c r="AW412" s="2338"/>
      <c r="AX412" s="2338"/>
      <c r="AY412" s="2338"/>
      <c r="AZ412" s="2338"/>
      <c r="BA412" s="2338"/>
      <c r="BB412" s="2338"/>
      <c r="BC412" s="2338"/>
      <c r="BD412" s="2338"/>
      <c r="BE412" s="2338"/>
      <c r="BF412" s="2338"/>
      <c r="BG412" s="2338"/>
      <c r="BH412" s="2338"/>
      <c r="BI412" s="2338"/>
      <c r="BJ412" s="2338"/>
      <c r="BK412" s="2338"/>
      <c r="BL412" s="2338"/>
      <c r="BM412" s="2338"/>
      <c r="BN412" s="2338"/>
      <c r="BO412" s="2338"/>
      <c r="BP412" s="2338"/>
      <c r="BQ412" s="2338"/>
      <c r="BR412" s="2338"/>
      <c r="BS412" s="2338"/>
      <c r="BT412" s="2338"/>
      <c r="BU412" s="2338"/>
      <c r="BV412" s="2338"/>
      <c r="BW412" s="2338"/>
      <c r="BX412" s="2338"/>
      <c r="BY412" s="2338"/>
      <c r="BZ412" s="2338"/>
      <c r="CA412" s="2338"/>
      <c r="CB412" s="2338"/>
      <c r="CC412" s="2338"/>
      <c r="CD412" s="2338"/>
      <c r="CE412" s="2338"/>
      <c r="CF412" s="2338"/>
      <c r="CG412" s="2338"/>
      <c r="CH412" s="2338"/>
      <c r="CI412" s="2338"/>
    </row>
    <row r="415" spans="31:87">
      <c r="AE415" s="2338"/>
      <c r="AF415" s="2338"/>
      <c r="AG415" s="2338"/>
      <c r="AH415" s="2338"/>
      <c r="AI415" s="2338"/>
      <c r="AJ415" s="2338"/>
      <c r="AK415" s="2338"/>
      <c r="AL415" s="2338"/>
      <c r="AM415" s="2338"/>
      <c r="AN415" s="2338"/>
      <c r="AO415" s="2338"/>
      <c r="AP415" s="2338"/>
      <c r="AQ415" s="2338"/>
      <c r="AR415" s="2338"/>
      <c r="AS415" s="2338"/>
      <c r="AT415" s="2338"/>
      <c r="AU415" s="2338"/>
      <c r="AV415" s="2338"/>
      <c r="AW415" s="2338"/>
      <c r="AX415" s="2338"/>
      <c r="AY415" s="2338"/>
      <c r="AZ415" s="2338"/>
      <c r="BA415" s="2338"/>
      <c r="BB415" s="2338"/>
      <c r="BC415" s="2338"/>
      <c r="BD415" s="2338"/>
      <c r="BE415" s="2338"/>
      <c r="BF415" s="2338"/>
      <c r="BG415" s="2338"/>
      <c r="BH415" s="2338"/>
      <c r="BI415" s="2338"/>
      <c r="BJ415" s="2338"/>
      <c r="BK415" s="2338"/>
      <c r="BL415" s="2338"/>
      <c r="BM415" s="2338"/>
      <c r="BN415" s="2338"/>
      <c r="BO415" s="2338"/>
      <c r="BP415" s="2338"/>
      <c r="BQ415" s="2338"/>
      <c r="BR415" s="2338"/>
      <c r="BS415" s="2338"/>
      <c r="BT415" s="2338"/>
      <c r="BU415" s="2338"/>
      <c r="BV415" s="2338"/>
      <c r="BW415" s="2338"/>
      <c r="BX415" s="2338"/>
      <c r="BY415" s="2338"/>
      <c r="BZ415" s="2338"/>
      <c r="CA415" s="2338"/>
      <c r="CB415" s="2338"/>
      <c r="CC415" s="2338"/>
      <c r="CD415" s="2338"/>
      <c r="CE415" s="2338"/>
      <c r="CF415" s="2338"/>
      <c r="CG415" s="2338"/>
      <c r="CH415" s="2338"/>
      <c r="CI415" s="2338"/>
    </row>
    <row r="467" spans="36:36">
      <c r="AJ467" s="2" t="s">
        <v>2758</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9"/>
  </sheetPr>
  <dimension ref="A1:CH472"/>
  <sheetViews>
    <sheetView showGridLines="0" zoomScale="82" zoomScaleNormal="82" workbookViewId="0">
      <selection activeCell="C14" sqref="C14"/>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10.81640625" customWidth="1"/>
    <col min="17" max="17" width="15.453125" bestFit="1" customWidth="1"/>
  </cols>
  <sheetData>
    <row r="1" spans="1:17" ht="20">
      <c r="A1" s="1007" t="s">
        <v>465</v>
      </c>
      <c r="B1" s="1007" t="s">
        <v>82</v>
      </c>
      <c r="C1" s="1007"/>
      <c r="E1" s="1234"/>
    </row>
    <row r="2" spans="1:17" s="6" customFormat="1" ht="15">
      <c r="A2" s="855" t="s">
        <v>463</v>
      </c>
      <c r="B2" s="855" t="s">
        <v>464</v>
      </c>
      <c r="C2" s="855"/>
      <c r="E2" s="5"/>
    </row>
    <row r="4" spans="1:17" ht="23.5">
      <c r="A4" s="7"/>
      <c r="B4" s="502" t="s">
        <v>6</v>
      </c>
      <c r="C4" s="503"/>
      <c r="D4" s="503"/>
      <c r="E4" s="503"/>
      <c r="F4" s="503"/>
      <c r="G4" s="503"/>
      <c r="H4" s="503"/>
      <c r="I4" s="503"/>
      <c r="J4" s="503"/>
      <c r="K4" s="503"/>
      <c r="L4" s="503"/>
      <c r="M4" s="503"/>
      <c r="N4" s="503"/>
      <c r="O4" s="503"/>
    </row>
    <row r="5" spans="1:17">
      <c r="B5" s="505"/>
      <c r="C5" s="506"/>
      <c r="D5" s="506"/>
      <c r="E5" s="506"/>
      <c r="F5" s="506"/>
      <c r="G5" s="506"/>
      <c r="H5" s="506"/>
      <c r="I5" s="506"/>
      <c r="J5" s="506"/>
      <c r="K5" s="506"/>
      <c r="L5" s="506"/>
      <c r="M5" s="506"/>
      <c r="N5" s="506"/>
      <c r="O5" s="506"/>
    </row>
    <row r="6" spans="1:17">
      <c r="B6" s="505"/>
      <c r="C6" s="12"/>
      <c r="D6" s="506"/>
      <c r="E6" s="507"/>
      <c r="F6" s="506"/>
      <c r="G6" s="506"/>
      <c r="H6" s="506"/>
      <c r="I6" s="506"/>
      <c r="J6" s="506"/>
      <c r="K6" s="506"/>
      <c r="L6" s="506"/>
      <c r="M6" s="506"/>
      <c r="N6" s="506"/>
      <c r="O6" s="506"/>
    </row>
    <row r="7" spans="1:17" ht="15.5">
      <c r="B7" s="15"/>
      <c r="C7" s="506"/>
      <c r="D7" s="16" t="s">
        <v>7</v>
      </c>
      <c r="E7" s="16" t="s">
        <v>8</v>
      </c>
      <c r="F7" s="506"/>
      <c r="G7" s="506"/>
      <c r="H7" s="506"/>
      <c r="I7" s="506"/>
      <c r="J7" s="506"/>
      <c r="K7" s="506"/>
      <c r="L7" s="506"/>
      <c r="M7" s="506"/>
      <c r="N7" s="506"/>
      <c r="O7" s="506"/>
    </row>
    <row r="8" spans="1:17" ht="15.5">
      <c r="B8" s="15"/>
      <c r="C8" s="506"/>
      <c r="D8" s="1009" t="s">
        <v>977</v>
      </c>
      <c r="E8" s="1009">
        <f>X.b.1.Scenario</f>
        <v>1</v>
      </c>
      <c r="F8" s="506"/>
      <c r="G8" s="506"/>
      <c r="H8" s="506"/>
      <c r="I8" s="506"/>
      <c r="J8" s="506"/>
      <c r="K8" s="506"/>
      <c r="L8" s="506"/>
      <c r="M8" s="506"/>
      <c r="N8" s="506"/>
      <c r="O8" s="506"/>
    </row>
    <row r="9" spans="1:17" ht="15.5">
      <c r="B9" s="15"/>
      <c r="C9" s="506"/>
      <c r="D9" s="508" t="s">
        <v>978</v>
      </c>
      <c r="E9" s="508">
        <f>MIN(X.b.2.Scenario, 2)</f>
        <v>1</v>
      </c>
      <c r="F9" s="506"/>
      <c r="G9" s="506"/>
      <c r="H9" s="506"/>
      <c r="I9" s="506"/>
      <c r="J9" s="506"/>
      <c r="K9" s="506"/>
      <c r="L9" s="506"/>
      <c r="M9" s="506"/>
      <c r="N9" s="506"/>
      <c r="O9" s="506"/>
    </row>
    <row r="10" spans="1:17">
      <c r="B10" s="1243"/>
      <c r="C10" s="860"/>
      <c r="D10" s="860"/>
      <c r="E10" s="860"/>
      <c r="F10" s="860"/>
      <c r="G10" s="860"/>
      <c r="H10" s="860"/>
      <c r="I10" s="860"/>
      <c r="J10" s="860"/>
      <c r="K10" s="860"/>
      <c r="L10" s="860"/>
      <c r="M10" s="860"/>
      <c r="N10" s="860"/>
      <c r="O10" s="860"/>
    </row>
    <row r="12" spans="1:17" s="6" customFormat="1" ht="23.5">
      <c r="A12" s="40"/>
      <c r="B12" s="869" t="s">
        <v>33</v>
      </c>
      <c r="C12" s="870"/>
      <c r="D12" s="870"/>
      <c r="E12" s="870"/>
      <c r="F12" s="870"/>
      <c r="G12" s="870"/>
      <c r="H12" s="870"/>
      <c r="I12" s="870"/>
      <c r="J12" s="870"/>
      <c r="K12" s="870"/>
      <c r="L12" s="870"/>
      <c r="M12" s="870"/>
      <c r="N12" s="870"/>
      <c r="O12" s="871"/>
    </row>
    <row r="13" spans="1:17">
      <c r="B13" s="105"/>
      <c r="C13" s="67"/>
      <c r="D13" s="67"/>
      <c r="E13" s="67"/>
      <c r="F13" s="67"/>
      <c r="G13" s="67"/>
      <c r="H13" s="67"/>
      <c r="I13" s="67"/>
      <c r="J13" s="67"/>
      <c r="K13" s="67"/>
      <c r="L13" s="67"/>
      <c r="M13" s="67"/>
      <c r="N13" s="67"/>
      <c r="O13" s="876"/>
    </row>
    <row r="14" spans="1:17">
      <c r="B14" s="105"/>
      <c r="C14" s="49" t="s">
        <v>3049</v>
      </c>
      <c r="D14" s="67"/>
      <c r="E14" s="50"/>
      <c r="F14" s="67"/>
      <c r="G14" s="67"/>
      <c r="H14" s="67"/>
      <c r="I14" s="67"/>
      <c r="J14" s="67"/>
      <c r="K14" s="67"/>
      <c r="L14" s="67"/>
      <c r="M14" s="67"/>
      <c r="N14" s="50" t="str">
        <f>Preferences.EnergyUnits</f>
        <v>TWh</v>
      </c>
      <c r="O14" s="876"/>
    </row>
    <row r="15" spans="1:17">
      <c r="B15" s="105"/>
      <c r="C15" s="67"/>
      <c r="D15" s="67"/>
      <c r="E15" s="67"/>
      <c r="F15" s="67"/>
      <c r="G15" s="67"/>
      <c r="H15" s="67"/>
      <c r="I15" s="67"/>
      <c r="J15" s="67"/>
      <c r="K15" s="67"/>
      <c r="L15" s="67"/>
      <c r="M15" s="67"/>
      <c r="N15" s="67"/>
      <c r="O15" s="876"/>
    </row>
    <row r="16" spans="1:17">
      <c r="B16" s="105"/>
      <c r="C16" s="878" t="s">
        <v>8</v>
      </c>
      <c r="D16" s="878" t="s">
        <v>34</v>
      </c>
      <c r="E16" s="878" t="s">
        <v>30</v>
      </c>
      <c r="F16" s="87">
        <v>2013</v>
      </c>
      <c r="G16" s="87">
        <v>2015</v>
      </c>
      <c r="H16" s="87">
        <v>2020</v>
      </c>
      <c r="I16" s="87">
        <v>2025</v>
      </c>
      <c r="J16" s="87">
        <v>2030</v>
      </c>
      <c r="K16" s="87">
        <v>2035</v>
      </c>
      <c r="L16" s="87">
        <v>2040</v>
      </c>
      <c r="M16" s="87">
        <v>2045</v>
      </c>
      <c r="N16" s="87">
        <v>2050</v>
      </c>
      <c r="O16" s="876"/>
      <c r="P16" t="s">
        <v>980</v>
      </c>
      <c r="Q16" s="824"/>
    </row>
    <row r="17" spans="2:17" ht="15.5">
      <c r="B17" s="55"/>
      <c r="C17" s="65">
        <v>1</v>
      </c>
      <c r="D17" s="103"/>
      <c r="E17" s="1256"/>
      <c r="F17" s="59">
        <f>(Unit.TWh)*3.31</f>
        <v>3.31</v>
      </c>
      <c r="G17" s="59">
        <f>(Unit.TWh)*3.36274759090269</f>
        <v>3.36274759090269</v>
      </c>
      <c r="H17" s="59">
        <f>(Unit.TWh)*3.49461656815942</f>
        <v>3.4946165681594201</v>
      </c>
      <c r="I17" s="59">
        <f>(Unit.TWh)*3.62648554541614</f>
        <v>3.62648554541614</v>
      </c>
      <c r="J17" s="59">
        <f>(Unit.TWh)*3.75835452267287</f>
        <v>3.7583545226728701</v>
      </c>
      <c r="K17" s="59">
        <f>(Unit.TWh)*3.89022349992959</f>
        <v>3.8902234999295899</v>
      </c>
      <c r="L17" s="59">
        <f>(Unit.TWh)*4.02209247718632</f>
        <v>4.0220924771863196</v>
      </c>
      <c r="M17" s="59">
        <f>(Unit.TWh)*4.15396145444305</f>
        <v>4.1539614544430501</v>
      </c>
      <c r="N17" s="59">
        <f>(Unit.TWh)*4.28583043169977</f>
        <v>4.28583043169977</v>
      </c>
      <c r="O17" s="876"/>
      <c r="P17" s="391">
        <f>(N17-F17)/F17</f>
        <v>0.29481281924464348</v>
      </c>
      <c r="Q17" s="1349"/>
    </row>
    <row r="18" spans="2:17" ht="15.5">
      <c r="B18" s="55"/>
      <c r="C18" s="65">
        <v>2</v>
      </c>
      <c r="D18" s="103"/>
      <c r="E18" s="1256"/>
      <c r="F18" s="59">
        <f>(Unit.TWh)*3.31</f>
        <v>3.31</v>
      </c>
      <c r="G18" s="59">
        <f>(Unit.TWh)*3.33771960710697</f>
        <v>3.3377196071069699</v>
      </c>
      <c r="H18" s="59">
        <f>(Unit.TWh)*3.40701862487439</f>
        <v>3.4070186248743899</v>
      </c>
      <c r="I18" s="59">
        <f>(Unit.TWh)*3.47631764264181</f>
        <v>3.4763176426418099</v>
      </c>
      <c r="J18" s="59">
        <f>(Unit.TWh)*3.54561666040924</f>
        <v>3.5456166604092401</v>
      </c>
      <c r="K18" s="59">
        <f>(Unit.TWh)*3.61491567817666</f>
        <v>3.61491567817666</v>
      </c>
      <c r="L18" s="59">
        <f>(Unit.TWh)*3.68421469594408</f>
        <v>3.68421469594408</v>
      </c>
      <c r="M18" s="59">
        <f>(Unit.TWh)*3.7535137137115</f>
        <v>3.7535137137115</v>
      </c>
      <c r="N18" s="59">
        <f>(Unit.TWh)*3.82281273147892</f>
        <v>3.82281273147892</v>
      </c>
      <c r="O18" s="876"/>
      <c r="P18" s="391">
        <f>(N18-F18)/F18</f>
        <v>0.15492831766734741</v>
      </c>
      <c r="Q18" s="1349"/>
    </row>
    <row r="19" spans="2:17" ht="15.5">
      <c r="B19" s="55"/>
      <c r="C19" s="65">
        <v>3</v>
      </c>
      <c r="D19" s="103"/>
      <c r="E19" s="1256"/>
      <c r="F19" s="59">
        <f>(Unit.TWh)*3.31</f>
        <v>3.31</v>
      </c>
      <c r="G19" s="59">
        <f>(Unit.TWh)*3.30135574338288</f>
        <v>3.3013557433828802</v>
      </c>
      <c r="H19" s="59">
        <f>(Unit.TWh)*3.27974510184008</f>
        <v>3.2797451018400801</v>
      </c>
      <c r="I19" s="59">
        <f>(Unit.TWh)*3.25813446029728</f>
        <v>3.2581344602972799</v>
      </c>
      <c r="J19" s="59">
        <f>(Unit.TWh)*3.23652381875448</f>
        <v>3.2365238187544798</v>
      </c>
      <c r="K19" s="59">
        <f>(Unit.TWh)*3.21491317721168</f>
        <v>3.2149131772116801</v>
      </c>
      <c r="L19" s="59">
        <f>(Unit.TWh)*3.19330253566888</f>
        <v>3.19330253566888</v>
      </c>
      <c r="M19" s="59">
        <f>(Unit.TWh)*3.17169189412608</f>
        <v>3.1716918941260799</v>
      </c>
      <c r="N19" s="59">
        <f>(Unit.TWh)*3.15008125258328</f>
        <v>3.1500812525832802</v>
      </c>
      <c r="O19" s="876"/>
      <c r="P19" s="391">
        <v>-0.1</v>
      </c>
      <c r="Q19" s="1349"/>
    </row>
    <row r="20" spans="2:17" ht="15.5">
      <c r="B20" s="55"/>
      <c r="C20" s="887">
        <v>4</v>
      </c>
      <c r="D20" s="888"/>
      <c r="E20" s="888"/>
      <c r="F20" s="1014">
        <f>(Unit.TWh)*3.31</f>
        <v>3.31</v>
      </c>
      <c r="G20" s="1014">
        <f>(Unit.TWh)*3.26227717770758</f>
        <v>3.2622771777075799</v>
      </c>
      <c r="H20" s="1014">
        <f>(Unit.TWh)*3.14297012197652</f>
        <v>3.14297012197652</v>
      </c>
      <c r="I20" s="1014">
        <f>(Unit.TWh)*3.02366306624547</f>
        <v>3.02366306624547</v>
      </c>
      <c r="J20" s="1014">
        <f>(Unit.TWh)*2.90435601051441</f>
        <v>2.9043560105144102</v>
      </c>
      <c r="K20" s="1014">
        <f>(Unit.TWh)*2.78504895478336</f>
        <v>2.7850489547833601</v>
      </c>
      <c r="L20" s="1014">
        <f>(Unit.TWh)*2.6657418990523</f>
        <v>2.6657418990522999</v>
      </c>
      <c r="M20" s="1014">
        <f>(Unit.TWh)*2.54643484332125</f>
        <v>2.5464348433212498</v>
      </c>
      <c r="N20" s="1014">
        <f>(Unit.TWh)*2.42712778759019</f>
        <v>2.42712778759019</v>
      </c>
      <c r="O20" s="876"/>
      <c r="P20" s="391">
        <f>(N20-F20)/F20</f>
        <v>-0.26672876507849247</v>
      </c>
      <c r="Q20" s="1349"/>
    </row>
    <row r="21" spans="2:17" ht="15.5">
      <c r="B21" s="55"/>
      <c r="C21" s="65"/>
      <c r="D21" s="103"/>
      <c r="E21" s="103"/>
      <c r="F21" s="59"/>
      <c r="G21" s="1217"/>
      <c r="H21" s="1217"/>
      <c r="I21" s="1217"/>
      <c r="J21" s="1217"/>
      <c r="K21" s="1217"/>
      <c r="L21" s="1217"/>
      <c r="M21" s="1217"/>
      <c r="N21" s="1217"/>
      <c r="O21" s="876"/>
    </row>
    <row r="22" spans="2:17" ht="15.5">
      <c r="B22" s="55"/>
      <c r="C22" s="49" t="s">
        <v>3050</v>
      </c>
      <c r="D22" s="67"/>
      <c r="E22" s="50"/>
      <c r="F22" s="67"/>
      <c r="G22" s="67"/>
      <c r="H22" s="67"/>
      <c r="I22" s="67"/>
      <c r="J22" s="67"/>
      <c r="K22" s="67"/>
      <c r="L22" s="67"/>
      <c r="M22" s="67"/>
      <c r="N22" s="50" t="str">
        <f>Preferences.EnergyUnits</f>
        <v>TWh</v>
      </c>
      <c r="O22" s="876"/>
    </row>
    <row r="23" spans="2:17" ht="15.5">
      <c r="B23" s="55"/>
      <c r="C23" s="67"/>
      <c r="D23" s="67"/>
      <c r="E23" s="67"/>
      <c r="F23" s="67"/>
      <c r="G23" s="67"/>
      <c r="H23" s="67"/>
      <c r="I23" s="67"/>
      <c r="J23" s="67"/>
      <c r="K23" s="67"/>
      <c r="L23" s="67"/>
      <c r="M23" s="67"/>
      <c r="N23" s="67"/>
      <c r="O23" s="876"/>
    </row>
    <row r="24" spans="2:17" ht="15.5">
      <c r="B24" s="55"/>
      <c r="C24" s="878" t="s">
        <v>8</v>
      </c>
      <c r="D24" s="878" t="s">
        <v>34</v>
      </c>
      <c r="E24" s="878" t="s">
        <v>30</v>
      </c>
      <c r="F24" s="87">
        <v>2013</v>
      </c>
      <c r="G24" s="87">
        <v>2015</v>
      </c>
      <c r="H24" s="87">
        <v>2020</v>
      </c>
      <c r="I24" s="87">
        <v>2025</v>
      </c>
      <c r="J24" s="87">
        <v>2030</v>
      </c>
      <c r="K24" s="87">
        <v>2035</v>
      </c>
      <c r="L24" s="87">
        <v>2040</v>
      </c>
      <c r="M24" s="87">
        <v>2045</v>
      </c>
      <c r="N24" s="87">
        <v>2050</v>
      </c>
      <c r="O24" s="876"/>
    </row>
    <row r="25" spans="2:17" ht="15.5">
      <c r="B25" s="55"/>
      <c r="C25" s="65">
        <v>1</v>
      </c>
      <c r="D25" s="103"/>
      <c r="E25" s="1256"/>
      <c r="F25" s="1025">
        <f>(Unit.TWh)*1.23</f>
        <v>1.23</v>
      </c>
      <c r="G25" s="59">
        <f>(Unit.TWh)*1.23045067381628</f>
        <v>1.2304506738162799</v>
      </c>
      <c r="H25" s="59">
        <f>(Unit.TWh)*1.231577358357</f>
        <v>1.231577358357</v>
      </c>
      <c r="I25" s="59">
        <f>(Unit.TWh)*1.23270404289771</f>
        <v>1.2327040428977101</v>
      </c>
      <c r="J25" s="59">
        <f>(Unit.TWh)*1.23383072743842</f>
        <v>1.2338307274384199</v>
      </c>
      <c r="K25" s="59">
        <f>(Unit.TWh)*1.23495741197913</f>
        <v>1.23495741197913</v>
      </c>
      <c r="L25" s="59">
        <f>(Unit.TWh)*1.23608409651984</f>
        <v>1.2360840965198401</v>
      </c>
      <c r="M25" s="59">
        <f>(Unit.TWh)*1.23721078106055</f>
        <v>1.2372107810605499</v>
      </c>
      <c r="N25" s="1025">
        <f>(Unit.TWh)*1.23833746560126</f>
        <v>1.23833746560126</v>
      </c>
      <c r="O25" s="876"/>
      <c r="P25" s="391">
        <f>(N25-F25)/F25</f>
        <v>6.7784273180975857E-3</v>
      </c>
      <c r="Q25" s="1349"/>
    </row>
    <row r="26" spans="2:17" ht="15.5">
      <c r="B26" s="55"/>
      <c r="C26" s="65">
        <v>2</v>
      </c>
      <c r="D26" s="103"/>
      <c r="E26" s="1256"/>
      <c r="F26" s="59">
        <f>(Unit.TWh)*1.23</f>
        <v>1.23</v>
      </c>
      <c r="G26" s="59">
        <f>(Unit.TWh)*1.22577289574122</f>
        <v>1.2257728957412199</v>
      </c>
      <c r="H26" s="59">
        <f>(Unit.TWh)*1.21520513509426</f>
        <v>1.2152051350942601</v>
      </c>
      <c r="I26" s="59">
        <f>(Unit.TWh)*1.20463737444731</f>
        <v>1.20463737444731</v>
      </c>
      <c r="J26" s="59">
        <f>(Unit.TWh)*1.19406961380035</f>
        <v>1.1940696138003499</v>
      </c>
      <c r="K26" s="59">
        <f>(Unit.TWh)*1.18350185315339</f>
        <v>1.1835018531533901</v>
      </c>
      <c r="L26" s="59">
        <f>(Unit.TWh)*1.17293409250644</f>
        <v>1.17293409250644</v>
      </c>
      <c r="M26" s="59">
        <f>(Unit.TWh)*1.16236633185948</f>
        <v>1.1623663318594799</v>
      </c>
      <c r="N26" s="59">
        <f>(Unit.TWh)*1.15179857121252</f>
        <v>1.1517985712125201</v>
      </c>
      <c r="O26" s="876"/>
      <c r="P26" s="391">
        <f>(N26-F26)/F26</f>
        <v>-6.3578397388195068E-2</v>
      </c>
      <c r="Q26" s="1349"/>
    </row>
    <row r="27" spans="2:17" ht="15.5">
      <c r="B27" s="55"/>
      <c r="C27" s="65">
        <v>3</v>
      </c>
      <c r="D27" s="103"/>
      <c r="E27" s="1256"/>
      <c r="F27" s="59">
        <f>(Unit.TWh)*1.23</f>
        <v>1.23</v>
      </c>
      <c r="G27" s="59">
        <f>(Unit.TWh)*1.21796973439694</f>
        <v>1.21796973439694</v>
      </c>
      <c r="H27" s="59">
        <f>(Unit.TWh)*1.18789407038927</f>
        <v>1.18789407038927</v>
      </c>
      <c r="I27" s="59">
        <f>(Unit.TWh)*1.15781840638161</f>
        <v>1.1578184063816099</v>
      </c>
      <c r="J27" s="59">
        <f>(Unit.TWh)*1.12774274237395</f>
        <v>1.1277427423739499</v>
      </c>
      <c r="K27" s="59">
        <f>(Unit.TWh)*1.09766707836629</f>
        <v>1.0976670783662901</v>
      </c>
      <c r="L27" s="59">
        <f>(Unit.TWh)*1.06759141435863</f>
        <v>1.06759141435863</v>
      </c>
      <c r="M27" s="59">
        <f>(Unit.TWh)*1.03751575035097</f>
        <v>1.03751575035097</v>
      </c>
      <c r="N27" s="59">
        <f>(Unit.TWh)*1.00744008634331</f>
        <v>1.0074400863433099</v>
      </c>
      <c r="O27" s="876"/>
      <c r="P27" s="391">
        <f>(N27-F27)/F27</f>
        <v>-0.18094301923308134</v>
      </c>
      <c r="Q27" s="1349"/>
    </row>
    <row r="28" spans="2:17" ht="15.5">
      <c r="B28" s="55"/>
      <c r="C28" s="887">
        <v>4</v>
      </c>
      <c r="D28" s="888"/>
      <c r="E28" s="888"/>
      <c r="F28" s="1014">
        <f>(Unit.TWh)*1.23</f>
        <v>1.23</v>
      </c>
      <c r="G28" s="1014">
        <f>(Unit.TWh)*1.21479014640425</f>
        <v>1.2147901464042501</v>
      </c>
      <c r="H28" s="1014">
        <f>(Unit.TWh)*1.17676551241488</f>
        <v>1.1767655124148799</v>
      </c>
      <c r="I28" s="1014">
        <f>(Unit.TWh)*1.13874087842551</f>
        <v>1.13874087842551</v>
      </c>
      <c r="J28" s="1014">
        <f>(Unit.TWh)*1.10071624443614</f>
        <v>1.10071624443614</v>
      </c>
      <c r="K28" s="1014">
        <f>(Unit.TWh)*1.06269161044678</f>
        <v>1.0626916104467801</v>
      </c>
      <c r="L28" s="1014">
        <f>(Unit.TWh)*1.02466697645741</f>
        <v>1.0246669764574099</v>
      </c>
      <c r="M28" s="1014">
        <f>(Unit.TWh)*0.986642342468037</f>
        <v>0.98664234246803695</v>
      </c>
      <c r="N28" s="1014">
        <f>(Unit.TWh)*0.948617708478668</f>
        <v>0.948617708478668</v>
      </c>
      <c r="O28" s="876"/>
      <c r="P28" s="391">
        <f>(N28-F28)/F28</f>
        <v>-0.22876609066774958</v>
      </c>
      <c r="Q28" s="1349"/>
    </row>
    <row r="29" spans="2:17" ht="15.5">
      <c r="B29" s="55"/>
      <c r="C29" s="65"/>
      <c r="D29" s="103"/>
      <c r="E29" s="103"/>
      <c r="F29" s="59"/>
      <c r="G29" s="1217"/>
      <c r="H29" s="1217"/>
      <c r="I29" s="1217"/>
      <c r="J29" s="1217"/>
      <c r="K29" s="1217"/>
      <c r="L29" s="1217"/>
      <c r="M29" s="1217"/>
      <c r="N29" s="1217"/>
      <c r="O29" s="876"/>
    </row>
    <row r="30" spans="2:17" ht="15.5">
      <c r="B30" s="55"/>
      <c r="C30" s="84" t="s">
        <v>3051</v>
      </c>
      <c r="D30" s="103"/>
      <c r="E30" s="103"/>
      <c r="F30" s="59"/>
      <c r="G30" s="1217"/>
      <c r="H30" s="1217"/>
      <c r="I30" s="1217"/>
      <c r="J30" s="1217"/>
      <c r="K30" s="1217"/>
      <c r="L30" s="1217"/>
      <c r="M30" s="1217"/>
      <c r="N30" s="1217"/>
      <c r="O30" s="1217"/>
    </row>
    <row r="31" spans="2:17" ht="21">
      <c r="B31" s="55"/>
      <c r="C31" s="65"/>
      <c r="D31" s="103"/>
      <c r="E31" s="103"/>
      <c r="F31" s="59"/>
      <c r="G31" s="1261" t="s">
        <v>85</v>
      </c>
      <c r="H31" s="1261" t="s">
        <v>89</v>
      </c>
      <c r="I31" s="1217"/>
      <c r="J31" s="1217"/>
      <c r="K31" s="1217"/>
      <c r="L31" s="1217"/>
      <c r="M31" s="1217"/>
      <c r="N31" s="1217"/>
      <c r="O31" s="1217"/>
    </row>
    <row r="32" spans="2:17" ht="15.5">
      <c r="B32" s="55"/>
      <c r="C32" s="878" t="s">
        <v>8</v>
      </c>
      <c r="D32" s="878" t="s">
        <v>71</v>
      </c>
      <c r="E32" s="878" t="s">
        <v>30</v>
      </c>
      <c r="F32" s="879" t="s">
        <v>982</v>
      </c>
      <c r="G32" s="1350" t="s">
        <v>95</v>
      </c>
      <c r="H32" s="1350" t="s">
        <v>99</v>
      </c>
      <c r="I32" s="1217"/>
      <c r="J32" s="1217"/>
      <c r="K32" s="1217"/>
      <c r="L32" s="1217"/>
      <c r="M32" s="1217"/>
      <c r="N32" s="1217"/>
      <c r="O32" s="1217"/>
    </row>
    <row r="33" spans="1:16" ht="15.5">
      <c r="B33" s="55"/>
      <c r="C33" s="65">
        <v>1</v>
      </c>
      <c r="D33" s="103" t="s">
        <v>983</v>
      </c>
      <c r="E33" s="1256"/>
      <c r="F33" s="1351"/>
      <c r="G33" s="88">
        <f>$F$45</f>
        <v>0.6</v>
      </c>
      <c r="H33" s="88">
        <f>$F$46</f>
        <v>0.4</v>
      </c>
      <c r="I33" s="1217"/>
      <c r="J33" s="1217"/>
      <c r="K33" s="1217"/>
      <c r="L33" s="1217"/>
      <c r="M33" s="1217"/>
      <c r="N33" s="1217"/>
      <c r="O33" s="1217"/>
    </row>
    <row r="34" spans="1:16" ht="15.5">
      <c r="B34" s="55"/>
      <c r="C34" s="917">
        <v>2</v>
      </c>
      <c r="D34" s="194" t="s">
        <v>984</v>
      </c>
      <c r="E34" s="194"/>
      <c r="F34" s="1718"/>
      <c r="G34" s="142">
        <v>1</v>
      </c>
      <c r="H34" s="142">
        <v>0</v>
      </c>
      <c r="I34" s="1217"/>
      <c r="J34" s="1217"/>
      <c r="K34" s="1217"/>
      <c r="L34" s="1217"/>
      <c r="M34" s="1217"/>
      <c r="N34" s="1217"/>
      <c r="O34" s="1217"/>
    </row>
    <row r="35" spans="1:16" ht="15.5">
      <c r="B35" s="55"/>
      <c r="C35" s="65"/>
      <c r="D35" s="103"/>
      <c r="E35" s="103"/>
      <c r="F35" s="59"/>
      <c r="G35" s="1217"/>
      <c r="H35" s="1217"/>
      <c r="I35" s="1217"/>
      <c r="J35" s="1217"/>
      <c r="K35" s="1217"/>
      <c r="L35" s="1217"/>
      <c r="M35" s="1217"/>
      <c r="N35" s="1217"/>
      <c r="O35" s="1217"/>
    </row>
    <row r="36" spans="1:16" ht="15.5">
      <c r="B36" s="55"/>
      <c r="C36" s="3850" t="s">
        <v>63</v>
      </c>
      <c r="D36" s="103"/>
      <c r="E36" s="103"/>
      <c r="F36" s="59"/>
      <c r="G36" s="1217"/>
      <c r="H36" s="1217"/>
      <c r="I36" s="1217"/>
      <c r="J36" s="1217"/>
      <c r="K36" s="1217"/>
      <c r="L36" s="1217"/>
      <c r="M36" s="1217"/>
      <c r="N36" s="1217"/>
      <c r="O36" s="1217"/>
    </row>
    <row r="37" spans="1:16">
      <c r="B37" s="45"/>
      <c r="C37" s="920" t="s">
        <v>64</v>
      </c>
      <c r="D37" s="3830" t="s">
        <v>3173</v>
      </c>
      <c r="E37" s="67"/>
      <c r="F37" s="67"/>
      <c r="G37" s="67"/>
      <c r="H37" s="67"/>
      <c r="I37" s="67"/>
      <c r="J37" s="67"/>
      <c r="K37" s="67"/>
      <c r="L37" s="67"/>
      <c r="M37" s="67"/>
      <c r="N37" s="67"/>
      <c r="O37" s="67"/>
    </row>
    <row r="38" spans="1:16" ht="15.5">
      <c r="B38" s="1097"/>
      <c r="C38" s="1098"/>
      <c r="D38" s="3830" t="s">
        <v>3048</v>
      </c>
      <c r="E38" s="1258"/>
      <c r="F38" s="108"/>
      <c r="G38" s="1259"/>
      <c r="H38" s="1259"/>
      <c r="I38" s="1259"/>
      <c r="J38" s="1259"/>
      <c r="K38" s="1259"/>
      <c r="L38" s="1259"/>
      <c r="M38" s="1259"/>
      <c r="N38" s="1259"/>
      <c r="O38" s="1259"/>
    </row>
    <row r="40" spans="1:16" s="6" customFormat="1" ht="23.5">
      <c r="A40" s="40"/>
      <c r="B40" s="869" t="s">
        <v>69</v>
      </c>
      <c r="C40" s="870"/>
      <c r="D40" s="870"/>
      <c r="E40" s="870"/>
      <c r="F40" s="870"/>
      <c r="G40" s="870"/>
      <c r="H40" s="870"/>
      <c r="I40" s="870"/>
      <c r="J40" s="870"/>
      <c r="K40" s="870"/>
      <c r="L40" s="870"/>
      <c r="M40" s="870"/>
      <c r="N40" s="870"/>
      <c r="O40" s="870"/>
    </row>
    <row r="41" spans="1:16">
      <c r="B41" s="105"/>
      <c r="C41" s="67"/>
      <c r="D41" s="67"/>
      <c r="E41" s="67"/>
      <c r="F41" s="67"/>
      <c r="G41" s="67"/>
      <c r="H41" s="67"/>
      <c r="I41" s="67"/>
      <c r="J41" s="67"/>
      <c r="K41" s="67"/>
      <c r="L41" s="67"/>
      <c r="M41" s="67"/>
      <c r="N41" s="67"/>
      <c r="O41" s="67"/>
    </row>
    <row r="42" spans="1:16">
      <c r="B42" s="105"/>
      <c r="C42" s="49" t="s">
        <v>1311</v>
      </c>
      <c r="D42" s="67"/>
      <c r="E42" s="50"/>
      <c r="F42" s="51" t="s">
        <v>986</v>
      </c>
      <c r="G42" s="67"/>
      <c r="H42" s="67"/>
      <c r="I42" s="67"/>
      <c r="J42" s="67"/>
      <c r="K42" s="67"/>
      <c r="L42" s="67"/>
      <c r="M42" s="67"/>
      <c r="N42" s="67"/>
      <c r="O42" s="51"/>
    </row>
    <row r="43" spans="1:16">
      <c r="B43" s="105"/>
      <c r="C43" s="67"/>
      <c r="D43" s="67"/>
      <c r="E43" s="67"/>
      <c r="F43" s="67"/>
      <c r="G43" s="67"/>
      <c r="H43" s="67"/>
      <c r="I43" s="67"/>
      <c r="J43" s="67"/>
      <c r="K43" s="67"/>
      <c r="L43" s="67"/>
      <c r="M43" s="67"/>
      <c r="N43" s="67"/>
      <c r="O43" s="67"/>
    </row>
    <row r="44" spans="1:16" ht="18.5">
      <c r="B44" s="1719"/>
      <c r="C44" s="878" t="s">
        <v>28</v>
      </c>
      <c r="D44" s="878" t="s">
        <v>1312</v>
      </c>
      <c r="E44" s="878" t="s">
        <v>30</v>
      </c>
      <c r="F44" s="87">
        <v>2013</v>
      </c>
      <c r="G44" s="911"/>
      <c r="H44" s="911"/>
      <c r="I44" s="911"/>
      <c r="J44" s="911"/>
      <c r="K44" s="911"/>
      <c r="L44" s="911"/>
      <c r="M44" s="911"/>
      <c r="N44" s="911"/>
      <c r="O44" s="911"/>
    </row>
    <row r="45" spans="1:16" ht="18.5">
      <c r="B45" s="1719"/>
      <c r="C45" s="65" t="s">
        <v>95</v>
      </c>
      <c r="D45" s="103" t="s">
        <v>85</v>
      </c>
      <c r="E45" s="1256"/>
      <c r="F45" s="88">
        <v>0.6</v>
      </c>
      <c r="G45" s="88"/>
      <c r="H45" s="88"/>
      <c r="I45" s="88"/>
      <c r="J45" s="88"/>
      <c r="K45" s="88"/>
      <c r="L45" s="88"/>
      <c r="M45" s="88"/>
      <c r="N45" s="88"/>
      <c r="O45" s="88"/>
    </row>
    <row r="46" spans="1:16" ht="18.5">
      <c r="B46" s="1719"/>
      <c r="C46" s="887" t="s">
        <v>99</v>
      </c>
      <c r="D46" s="888" t="s">
        <v>89</v>
      </c>
      <c r="E46" s="888"/>
      <c r="F46" s="93">
        <v>0.4</v>
      </c>
      <c r="G46" s="185"/>
      <c r="H46" s="185"/>
      <c r="I46" s="185"/>
      <c r="J46" s="185"/>
      <c r="K46" s="185"/>
      <c r="L46" s="185"/>
      <c r="M46" s="185"/>
      <c r="N46" s="185"/>
      <c r="O46" s="185"/>
    </row>
    <row r="47" spans="1:16" s="918" customFormat="1">
      <c r="B47" s="1268"/>
      <c r="C47" s="1269"/>
      <c r="D47" s="1150"/>
      <c r="E47" s="1270"/>
      <c r="F47" s="1270"/>
      <c r="G47" s="1270"/>
      <c r="H47" s="1270"/>
      <c r="I47" s="1270"/>
      <c r="J47" s="1270"/>
      <c r="K47" s="1270"/>
      <c r="L47" s="1270"/>
      <c r="M47" s="1270"/>
      <c r="N47" s="1270"/>
      <c r="O47" s="1720"/>
    </row>
    <row r="48" spans="1:16">
      <c r="B48" s="105"/>
      <c r="C48" s="49" t="s">
        <v>779</v>
      </c>
      <c r="D48" s="67"/>
      <c r="E48" s="67"/>
      <c r="F48" s="67"/>
      <c r="G48" s="67"/>
      <c r="H48" s="67"/>
      <c r="I48" s="67"/>
      <c r="J48" s="67"/>
      <c r="K48" s="67"/>
      <c r="L48" s="67"/>
      <c r="M48" s="67"/>
      <c r="N48" s="935" t="str">
        <f>"kt per "&amp;Preferences.EnergyUnits</f>
        <v>kt per TWh</v>
      </c>
      <c r="O48" s="876"/>
      <c r="P48" t="s">
        <v>5</v>
      </c>
    </row>
    <row r="49" spans="2:15">
      <c r="B49" s="105"/>
      <c r="C49" s="67"/>
      <c r="D49" s="67"/>
      <c r="E49" s="1352"/>
      <c r="F49" s="67"/>
      <c r="G49" s="67"/>
      <c r="H49" s="67"/>
      <c r="I49" s="67"/>
      <c r="J49" s="67"/>
      <c r="K49" s="67"/>
      <c r="L49" s="67"/>
      <c r="M49" s="67"/>
      <c r="N49" s="67"/>
      <c r="O49" s="876"/>
    </row>
    <row r="50" spans="2:15">
      <c r="B50" s="105"/>
      <c r="C50" s="1354" t="s">
        <v>43</v>
      </c>
      <c r="D50" s="1354" t="s">
        <v>987</v>
      </c>
      <c r="E50" s="1355" t="s">
        <v>44</v>
      </c>
      <c r="F50" s="1356">
        <v>2013</v>
      </c>
      <c r="G50" s="1356" t="s">
        <v>132</v>
      </c>
      <c r="H50" s="1356" t="s">
        <v>133</v>
      </c>
      <c r="I50" s="1356" t="s">
        <v>134</v>
      </c>
      <c r="J50" s="1356" t="s">
        <v>135</v>
      </c>
      <c r="K50" s="1356" t="s">
        <v>136</v>
      </c>
      <c r="L50" s="1356" t="s">
        <v>137</v>
      </c>
      <c r="M50" s="1356" t="s">
        <v>138</v>
      </c>
      <c r="N50" s="1357" t="s">
        <v>139</v>
      </c>
      <c r="O50" s="876"/>
    </row>
    <row r="51" spans="2:15">
      <c r="B51" s="105"/>
      <c r="C51" s="1358" t="s">
        <v>463</v>
      </c>
      <c r="D51" s="1359" t="s">
        <v>1313</v>
      </c>
      <c r="E51" s="1360" t="s">
        <v>89</v>
      </c>
      <c r="F51" s="3646">
        <f t="shared" ref="F51:N51" si="0">0.0000018*(1/Unit.GWh)</f>
        <v>1.8E-3</v>
      </c>
      <c r="G51" s="3646">
        <f t="shared" si="0"/>
        <v>1.8E-3</v>
      </c>
      <c r="H51" s="3646">
        <f t="shared" si="0"/>
        <v>1.8E-3</v>
      </c>
      <c r="I51" s="3646">
        <f t="shared" si="0"/>
        <v>1.8E-3</v>
      </c>
      <c r="J51" s="3646">
        <f t="shared" si="0"/>
        <v>1.8E-3</v>
      </c>
      <c r="K51" s="3646">
        <f t="shared" si="0"/>
        <v>1.8E-3</v>
      </c>
      <c r="L51" s="3646">
        <f t="shared" si="0"/>
        <v>1.8E-3</v>
      </c>
      <c r="M51" s="3646">
        <f t="shared" si="0"/>
        <v>1.8E-3</v>
      </c>
      <c r="N51" s="2427">
        <f t="shared" si="0"/>
        <v>1.8E-3</v>
      </c>
      <c r="O51" s="876"/>
    </row>
    <row r="52" spans="2:15">
      <c r="B52" s="105"/>
      <c r="C52" s="67"/>
      <c r="D52" s="67"/>
      <c r="E52" s="67"/>
      <c r="F52" s="67"/>
      <c r="G52" s="67"/>
      <c r="H52" s="67"/>
      <c r="I52" s="67"/>
      <c r="J52" s="67"/>
      <c r="K52" s="67"/>
      <c r="L52" s="67"/>
      <c r="M52" s="67"/>
      <c r="N52" s="67"/>
      <c r="O52" s="876"/>
    </row>
    <row r="53" spans="2:15">
      <c r="B53" s="105"/>
      <c r="C53" s="49" t="s">
        <v>781</v>
      </c>
      <c r="D53" s="67"/>
      <c r="E53" s="67"/>
      <c r="F53" s="67"/>
      <c r="G53" s="67"/>
      <c r="H53" s="67"/>
      <c r="I53" s="67"/>
      <c r="J53" s="67"/>
      <c r="K53" s="67"/>
      <c r="L53" s="67"/>
      <c r="M53" s="67"/>
      <c r="N53" s="935" t="str">
        <f>"kt per "&amp;Preferences.EnergyUnits</f>
        <v>kt per TWh</v>
      </c>
      <c r="O53" s="876"/>
    </row>
    <row r="54" spans="2:15">
      <c r="B54" s="105"/>
      <c r="C54" s="67"/>
      <c r="D54" s="67"/>
      <c r="E54" s="1352"/>
      <c r="F54" s="67"/>
      <c r="G54" s="67"/>
      <c r="H54" s="67"/>
      <c r="I54" s="67"/>
      <c r="J54" s="67"/>
      <c r="K54" s="67"/>
      <c r="L54" s="67"/>
      <c r="M54" s="67"/>
      <c r="N54" s="67"/>
      <c r="O54" s="876"/>
    </row>
    <row r="55" spans="2:15">
      <c r="B55" s="105"/>
      <c r="C55" s="1354" t="s">
        <v>43</v>
      </c>
      <c r="D55" s="1354" t="s">
        <v>987</v>
      </c>
      <c r="E55" s="1355" t="s">
        <v>44</v>
      </c>
      <c r="F55" s="1356">
        <v>2013</v>
      </c>
      <c r="G55" s="1356" t="s">
        <v>132</v>
      </c>
      <c r="H55" s="1356" t="s">
        <v>133</v>
      </c>
      <c r="I55" s="1356" t="s">
        <v>134</v>
      </c>
      <c r="J55" s="1356" t="s">
        <v>135</v>
      </c>
      <c r="K55" s="1356" t="s">
        <v>136</v>
      </c>
      <c r="L55" s="1356" t="s">
        <v>137</v>
      </c>
      <c r="M55" s="1356" t="s">
        <v>138</v>
      </c>
      <c r="N55" s="1357" t="s">
        <v>139</v>
      </c>
      <c r="O55" s="876"/>
    </row>
    <row r="56" spans="2:15">
      <c r="B56" s="105"/>
      <c r="C56" s="1358" t="s">
        <v>463</v>
      </c>
      <c r="D56" s="1359" t="s">
        <v>1313</v>
      </c>
      <c r="E56" s="1360" t="s">
        <v>89</v>
      </c>
      <c r="F56" s="3646">
        <f t="shared" ref="F56:N56" si="1">0.000252*(1/Unit.GWh)</f>
        <v>0.252</v>
      </c>
      <c r="G56" s="3646">
        <f t="shared" si="1"/>
        <v>0.252</v>
      </c>
      <c r="H56" s="3646">
        <f t="shared" si="1"/>
        <v>0.252</v>
      </c>
      <c r="I56" s="3646">
        <f t="shared" si="1"/>
        <v>0.252</v>
      </c>
      <c r="J56" s="3646">
        <f t="shared" si="1"/>
        <v>0.252</v>
      </c>
      <c r="K56" s="3646">
        <f t="shared" si="1"/>
        <v>0.252</v>
      </c>
      <c r="L56" s="3646">
        <f t="shared" si="1"/>
        <v>0.252</v>
      </c>
      <c r="M56" s="3646">
        <f t="shared" si="1"/>
        <v>0.252</v>
      </c>
      <c r="N56" s="2427">
        <f t="shared" si="1"/>
        <v>0.252</v>
      </c>
      <c r="O56" s="876"/>
    </row>
    <row r="57" spans="2:15">
      <c r="B57" s="105"/>
      <c r="C57" s="67"/>
      <c r="D57" s="67"/>
      <c r="E57" s="67"/>
      <c r="F57" s="67"/>
      <c r="G57" s="67"/>
      <c r="H57" s="67"/>
      <c r="I57" s="67"/>
      <c r="J57" s="67"/>
      <c r="K57" s="67"/>
      <c r="L57" s="67"/>
      <c r="M57" s="67"/>
      <c r="N57" s="67"/>
      <c r="O57" s="876"/>
    </row>
    <row r="58" spans="2:15">
      <c r="B58" s="105"/>
      <c r="C58" s="49" t="s">
        <v>782</v>
      </c>
      <c r="D58" s="67"/>
      <c r="E58" s="67"/>
      <c r="F58" s="67"/>
      <c r="G58" s="67"/>
      <c r="H58" s="67"/>
      <c r="I58" s="67"/>
      <c r="J58" s="67"/>
      <c r="K58" s="67"/>
      <c r="L58" s="67"/>
      <c r="M58" s="67"/>
      <c r="N58" s="935" t="str">
        <f>"kt per "&amp;Preferences.EnergyUnits</f>
        <v>kt per TWh</v>
      </c>
      <c r="O58" s="876"/>
    </row>
    <row r="59" spans="2:15">
      <c r="B59" s="105"/>
      <c r="C59" s="67"/>
      <c r="D59" s="67"/>
      <c r="E59" s="1352"/>
      <c r="F59" s="67"/>
      <c r="G59" s="67"/>
      <c r="H59" s="67"/>
      <c r="I59" s="67"/>
      <c r="J59" s="67"/>
      <c r="K59" s="67"/>
      <c r="L59" s="67"/>
      <c r="M59" s="67"/>
      <c r="N59" s="67"/>
      <c r="O59" s="876"/>
    </row>
    <row r="60" spans="2:15">
      <c r="B60" s="105"/>
      <c r="C60" s="1354" t="s">
        <v>43</v>
      </c>
      <c r="D60" s="1354" t="s">
        <v>987</v>
      </c>
      <c r="E60" s="1355" t="s">
        <v>44</v>
      </c>
      <c r="F60" s="1356">
        <v>2013</v>
      </c>
      <c r="G60" s="1356" t="s">
        <v>132</v>
      </c>
      <c r="H60" s="1356" t="s">
        <v>133</v>
      </c>
      <c r="I60" s="1356" t="s">
        <v>134</v>
      </c>
      <c r="J60" s="1356" t="s">
        <v>135</v>
      </c>
      <c r="K60" s="1356" t="s">
        <v>136</v>
      </c>
      <c r="L60" s="1356" t="s">
        <v>137</v>
      </c>
      <c r="M60" s="1356" t="s">
        <v>138</v>
      </c>
      <c r="N60" s="1357" t="s">
        <v>139</v>
      </c>
      <c r="O60" s="876"/>
    </row>
    <row r="61" spans="2:15">
      <c r="B61" s="105"/>
      <c r="C61" s="1358" t="s">
        <v>463</v>
      </c>
      <c r="D61" s="1359" t="s">
        <v>1313</v>
      </c>
      <c r="E61" s="1360" t="s">
        <v>89</v>
      </c>
      <c r="F61" s="3646">
        <v>0</v>
      </c>
      <c r="G61" s="3646">
        <v>0</v>
      </c>
      <c r="H61" s="3646">
        <v>0</v>
      </c>
      <c r="I61" s="3646">
        <v>0</v>
      </c>
      <c r="J61" s="3646">
        <v>0</v>
      </c>
      <c r="K61" s="3646">
        <v>0</v>
      </c>
      <c r="L61" s="3646">
        <v>0</v>
      </c>
      <c r="M61" s="3646">
        <v>0</v>
      </c>
      <c r="N61" s="2427">
        <v>0</v>
      </c>
      <c r="O61" s="876"/>
    </row>
    <row r="62" spans="2:15">
      <c r="B62" s="105"/>
      <c r="C62" s="67"/>
      <c r="D62" s="67"/>
      <c r="E62" s="67"/>
      <c r="F62" s="67"/>
      <c r="G62" s="67"/>
      <c r="H62" s="67"/>
      <c r="I62" s="67"/>
      <c r="J62" s="67"/>
      <c r="K62" s="67"/>
      <c r="L62" s="67"/>
      <c r="M62" s="67"/>
      <c r="N62" s="67"/>
      <c r="O62" s="876"/>
    </row>
    <row r="63" spans="2:15">
      <c r="B63" s="105"/>
      <c r="C63" s="49" t="s">
        <v>783</v>
      </c>
      <c r="D63" s="67"/>
      <c r="E63" s="67"/>
      <c r="F63" s="67"/>
      <c r="G63" s="67"/>
      <c r="H63" s="67"/>
      <c r="I63" s="67"/>
      <c r="J63" s="67"/>
      <c r="K63" s="67"/>
      <c r="L63" s="67"/>
      <c r="M63" s="67"/>
      <c r="N63" s="935" t="str">
        <f>"kt per "&amp;Preferences.EnergyUnits</f>
        <v>kt per TWh</v>
      </c>
      <c r="O63" s="876"/>
    </row>
    <row r="64" spans="2:15">
      <c r="B64" s="105"/>
      <c r="C64" s="67"/>
      <c r="D64" s="67"/>
      <c r="E64" s="1352"/>
      <c r="F64" s="67"/>
      <c r="G64" s="67"/>
      <c r="H64" s="67"/>
      <c r="I64" s="67"/>
      <c r="J64" s="67"/>
      <c r="K64" s="67"/>
      <c r="L64" s="67"/>
      <c r="M64" s="67"/>
      <c r="N64" s="67"/>
      <c r="O64" s="876"/>
    </row>
    <row r="65" spans="1:25">
      <c r="B65" s="105"/>
      <c r="C65" s="1354" t="s">
        <v>43</v>
      </c>
      <c r="D65" s="1354" t="s">
        <v>987</v>
      </c>
      <c r="E65" s="1355" t="s">
        <v>44</v>
      </c>
      <c r="F65" s="1356">
        <v>2013</v>
      </c>
      <c r="G65" s="1356" t="s">
        <v>132</v>
      </c>
      <c r="H65" s="1356" t="s">
        <v>133</v>
      </c>
      <c r="I65" s="1356" t="s">
        <v>134</v>
      </c>
      <c r="J65" s="1356" t="s">
        <v>135</v>
      </c>
      <c r="K65" s="1356" t="s">
        <v>136</v>
      </c>
      <c r="L65" s="1356" t="s">
        <v>137</v>
      </c>
      <c r="M65" s="1356" t="s">
        <v>138</v>
      </c>
      <c r="N65" s="1357" t="s">
        <v>139</v>
      </c>
      <c r="O65" s="876"/>
    </row>
    <row r="66" spans="1:25">
      <c r="B66" s="105"/>
      <c r="C66" s="1358" t="s">
        <v>463</v>
      </c>
      <c r="D66" s="1359" t="s">
        <v>1313</v>
      </c>
      <c r="E66" s="1360" t="s">
        <v>89</v>
      </c>
      <c r="F66" s="3646">
        <f t="shared" ref="F66:N66" si="2">0.000036*(1/Unit.GWh)</f>
        <v>3.6000000000000004E-2</v>
      </c>
      <c r="G66" s="3646">
        <f t="shared" si="2"/>
        <v>3.6000000000000004E-2</v>
      </c>
      <c r="H66" s="3646">
        <f t="shared" si="2"/>
        <v>3.6000000000000004E-2</v>
      </c>
      <c r="I66" s="3646">
        <f t="shared" si="2"/>
        <v>3.6000000000000004E-2</v>
      </c>
      <c r="J66" s="3646">
        <f t="shared" si="2"/>
        <v>3.6000000000000004E-2</v>
      </c>
      <c r="K66" s="3646">
        <f t="shared" si="2"/>
        <v>3.6000000000000004E-2</v>
      </c>
      <c r="L66" s="3646">
        <f t="shared" si="2"/>
        <v>3.6000000000000004E-2</v>
      </c>
      <c r="M66" s="3646">
        <f t="shared" si="2"/>
        <v>3.6000000000000004E-2</v>
      </c>
      <c r="N66" s="2427">
        <f t="shared" si="2"/>
        <v>3.6000000000000004E-2</v>
      </c>
      <c r="O66" s="876"/>
    </row>
    <row r="67" spans="1:25">
      <c r="B67" s="105"/>
      <c r="C67" s="67"/>
      <c r="D67" s="67"/>
      <c r="E67" s="67"/>
      <c r="F67" s="67"/>
      <c r="G67" s="67"/>
      <c r="H67" s="67"/>
      <c r="I67" s="67"/>
      <c r="J67" s="67"/>
      <c r="K67" s="67"/>
      <c r="L67" s="67"/>
      <c r="M67" s="67"/>
      <c r="N67" s="67"/>
      <c r="O67" s="876"/>
    </row>
    <row r="68" spans="1:25">
      <c r="B68" s="105"/>
      <c r="C68" s="3826" t="s">
        <v>63</v>
      </c>
      <c r="D68" s="3828" t="s">
        <v>1314</v>
      </c>
      <c r="E68" s="67"/>
      <c r="F68" s="67"/>
      <c r="G68" s="67"/>
      <c r="H68" s="67"/>
      <c r="I68" s="67"/>
      <c r="J68" s="67"/>
      <c r="K68" s="67" t="s">
        <v>5</v>
      </c>
      <c r="L68" s="67"/>
      <c r="M68" s="67"/>
      <c r="N68" s="67"/>
      <c r="O68" s="876"/>
      <c r="W68" s="39"/>
      <c r="X68" s="39"/>
      <c r="Y68" s="39"/>
    </row>
    <row r="69" spans="1:25" s="918" customFormat="1">
      <c r="B69" s="1268"/>
      <c r="C69" s="1269"/>
      <c r="D69" s="1150"/>
      <c r="E69" s="1270"/>
      <c r="F69" s="1270"/>
      <c r="G69" s="1270"/>
      <c r="H69" s="1270"/>
      <c r="I69" s="1270"/>
      <c r="J69" s="1270"/>
      <c r="K69" s="1270"/>
      <c r="L69" s="1270"/>
      <c r="M69" s="1270"/>
      <c r="N69" s="1270"/>
      <c r="O69" s="1271"/>
      <c r="W69" s="1298"/>
      <c r="X69" s="1298"/>
      <c r="Y69" s="1298"/>
    </row>
    <row r="70" spans="1:25" s="918" customFormat="1" ht="10.5">
      <c r="W70" s="1298"/>
      <c r="X70" s="1298"/>
      <c r="Y70" s="1298"/>
    </row>
    <row r="71" spans="1:25" s="918" customFormat="1" ht="15">
      <c r="B71" s="869" t="s">
        <v>2719</v>
      </c>
      <c r="C71" s="1272"/>
      <c r="D71" s="1272"/>
      <c r="E71" s="1272"/>
      <c r="F71" s="1272"/>
      <c r="G71" s="1272"/>
      <c r="H71" s="1272"/>
      <c r="I71" s="1272"/>
      <c r="J71" s="1272"/>
      <c r="K71" s="1272"/>
      <c r="L71" s="1272"/>
      <c r="M71" s="1272"/>
      <c r="N71" s="1272"/>
      <c r="O71" s="1273"/>
      <c r="W71" s="1298"/>
      <c r="X71" s="1298"/>
      <c r="Y71" s="1298"/>
    </row>
    <row r="72" spans="1:25" hidden="1">
      <c r="A72" s="918"/>
      <c r="B72" s="105"/>
      <c r="C72" s="67"/>
      <c r="D72" s="67"/>
      <c r="E72" s="67"/>
      <c r="F72" s="67"/>
      <c r="G72" s="67"/>
      <c r="H72" s="67"/>
      <c r="I72" s="67"/>
      <c r="J72" s="67"/>
      <c r="K72" s="67"/>
      <c r="L72" s="67"/>
      <c r="M72" s="67"/>
      <c r="N72" s="67"/>
      <c r="O72" s="876"/>
      <c r="P72" s="918"/>
      <c r="Q72" s="918"/>
      <c r="R72" s="918"/>
      <c r="W72" s="81"/>
      <c r="X72" s="81"/>
      <c r="Y72" s="39"/>
    </row>
    <row r="73" spans="1:25" hidden="1">
      <c r="A73" s="918"/>
      <c r="B73" s="105"/>
      <c r="C73" s="49" t="s">
        <v>2761</v>
      </c>
      <c r="D73" s="67"/>
      <c r="E73" s="51"/>
      <c r="F73" s="67"/>
      <c r="G73" s="67"/>
      <c r="H73" s="67"/>
      <c r="I73" s="67"/>
      <c r="J73" s="67"/>
      <c r="K73" s="67"/>
      <c r="L73" s="67"/>
      <c r="M73" s="67"/>
      <c r="N73" s="67"/>
      <c r="O73" s="876"/>
      <c r="P73" s="918"/>
      <c r="Q73" s="918"/>
      <c r="R73" s="918"/>
      <c r="W73" s="39"/>
      <c r="X73" s="39"/>
      <c r="Y73" s="39"/>
    </row>
    <row r="74" spans="1:25" hidden="1">
      <c r="B74" s="105"/>
      <c r="C74" s="49"/>
      <c r="D74" s="67"/>
      <c r="E74" s="51"/>
      <c r="F74" s="67"/>
      <c r="G74" s="67"/>
      <c r="H74" s="67"/>
      <c r="I74" s="67"/>
      <c r="J74" s="67"/>
      <c r="K74" s="67"/>
      <c r="L74" s="67"/>
      <c r="M74" s="67"/>
      <c r="N74" s="67"/>
      <c r="O74" s="876"/>
      <c r="R74" s="918"/>
      <c r="W74" s="39"/>
      <c r="X74" s="39"/>
      <c r="Y74" s="39"/>
    </row>
    <row r="75" spans="1:25" hidden="1">
      <c r="B75" s="105"/>
      <c r="C75" s="1721" t="s">
        <v>1315</v>
      </c>
      <c r="D75" s="1721" t="s">
        <v>20</v>
      </c>
      <c r="E75" s="1721" t="s">
        <v>22</v>
      </c>
      <c r="F75" s="1094" t="s">
        <v>1316</v>
      </c>
      <c r="G75" s="51"/>
      <c r="H75" s="67"/>
      <c r="I75" s="67"/>
      <c r="J75" s="67"/>
      <c r="K75" s="67"/>
      <c r="L75" s="67"/>
      <c r="M75" s="67"/>
      <c r="N75" s="67"/>
      <c r="O75" s="876"/>
      <c r="Q75" s="39"/>
      <c r="R75" s="918"/>
      <c r="W75" s="39"/>
      <c r="X75" s="39"/>
      <c r="Y75" s="39"/>
    </row>
    <row r="76" spans="1:25" hidden="1">
      <c r="B76" s="105"/>
      <c r="C76" s="1722">
        <v>1</v>
      </c>
      <c r="D76" s="1722">
        <v>0</v>
      </c>
      <c r="E76" s="1723">
        <v>0</v>
      </c>
      <c r="F76" s="1724">
        <v>0</v>
      </c>
      <c r="G76" s="51"/>
      <c r="H76" s="67"/>
      <c r="I76" s="67"/>
      <c r="J76" s="67"/>
      <c r="K76" s="67"/>
      <c r="L76" s="67"/>
      <c r="M76" s="67"/>
      <c r="N76" s="67"/>
      <c r="O76" s="876"/>
      <c r="Q76" s="39"/>
      <c r="R76" s="918"/>
      <c r="W76" s="39"/>
      <c r="X76" s="39"/>
      <c r="Y76" s="39"/>
    </row>
    <row r="77" spans="1:25" hidden="1">
      <c r="B77" s="105"/>
      <c r="C77" s="1158">
        <v>2</v>
      </c>
      <c r="D77" s="1725">
        <v>95.059011999999996</v>
      </c>
      <c r="E77" s="1725">
        <v>329.48567600000001</v>
      </c>
      <c r="F77" s="1726">
        <v>177.10834439999999</v>
      </c>
      <c r="G77" s="51"/>
      <c r="H77" s="67"/>
      <c r="I77" s="67"/>
      <c r="J77" s="67"/>
      <c r="K77" s="67"/>
      <c r="L77" s="67"/>
      <c r="M77" s="67"/>
      <c r="N77" s="67"/>
      <c r="O77" s="876"/>
      <c r="Q77" s="39"/>
      <c r="R77" s="918"/>
    </row>
    <row r="78" spans="1:25" hidden="1">
      <c r="B78" s="105"/>
      <c r="C78" s="1158">
        <v>3</v>
      </c>
      <c r="D78" s="1725">
        <v>310.68899699999997</v>
      </c>
      <c r="E78" s="1725">
        <v>621.37799399999994</v>
      </c>
      <c r="F78" s="1726">
        <v>419.43014594999994</v>
      </c>
      <c r="G78" s="51"/>
      <c r="H78" s="67"/>
      <c r="I78" s="67"/>
      <c r="J78" s="67"/>
      <c r="K78" s="67"/>
      <c r="L78" s="67"/>
      <c r="M78" s="67"/>
      <c r="N78" s="67"/>
      <c r="O78" s="876"/>
      <c r="Q78" s="39"/>
      <c r="R78" s="918"/>
    </row>
    <row r="79" spans="1:25" hidden="1">
      <c r="B79" s="105"/>
      <c r="C79" s="1727">
        <v>4</v>
      </c>
      <c r="D79" s="1728">
        <v>329.48567600000001</v>
      </c>
      <c r="E79" s="1728">
        <v>658.97135200000002</v>
      </c>
      <c r="F79" s="1729">
        <v>444.80566260000001</v>
      </c>
      <c r="G79" s="51"/>
      <c r="H79" s="67"/>
      <c r="I79" s="67"/>
      <c r="J79" s="67"/>
      <c r="K79" s="67"/>
      <c r="L79" s="67"/>
      <c r="M79" s="67"/>
      <c r="N79" s="67"/>
      <c r="O79" s="876"/>
      <c r="Q79" s="39"/>
      <c r="R79" s="918"/>
    </row>
    <row r="80" spans="1:25" hidden="1">
      <c r="B80" s="105"/>
      <c r="C80" s="49"/>
      <c r="D80" s="67"/>
      <c r="E80" s="51"/>
      <c r="F80" s="51"/>
      <c r="G80" s="51"/>
      <c r="H80" s="67"/>
      <c r="I80" s="67"/>
      <c r="J80" s="67"/>
      <c r="K80" s="67"/>
      <c r="L80" s="67"/>
      <c r="M80" s="67"/>
      <c r="N80" s="67"/>
      <c r="O80" s="876"/>
      <c r="R80" s="918"/>
    </row>
    <row r="81" spans="1:18" hidden="1">
      <c r="B81" s="105"/>
      <c r="C81" s="67" t="s">
        <v>30</v>
      </c>
      <c r="D81" s="67"/>
      <c r="E81" s="67"/>
      <c r="F81" s="67"/>
      <c r="G81" s="67"/>
      <c r="H81" s="67"/>
      <c r="I81" s="67"/>
      <c r="J81" s="67"/>
      <c r="K81" s="67"/>
      <c r="L81" s="67"/>
      <c r="M81" s="67"/>
      <c r="N81" s="67"/>
      <c r="O81" s="876"/>
      <c r="R81" s="918"/>
    </row>
    <row r="82" spans="1:18" hidden="1">
      <c r="B82" s="105"/>
      <c r="C82" s="99" t="s">
        <v>64</v>
      </c>
      <c r="D82" s="1597" t="s">
        <v>1317</v>
      </c>
      <c r="E82" s="67"/>
      <c r="F82" s="67"/>
      <c r="G82" s="67"/>
      <c r="H82" s="67"/>
      <c r="I82" s="67"/>
      <c r="J82" s="67"/>
      <c r="K82" s="67"/>
      <c r="L82" s="67"/>
      <c r="M82" s="67"/>
      <c r="N82" s="67"/>
      <c r="O82" s="876"/>
      <c r="R82" s="918"/>
    </row>
    <row r="83" spans="1:18" hidden="1">
      <c r="B83" s="105"/>
      <c r="C83" s="67"/>
      <c r="D83" s="67"/>
      <c r="E83" s="67"/>
      <c r="F83" s="67"/>
      <c r="G83" s="67"/>
      <c r="H83" s="67"/>
      <c r="I83" s="67"/>
      <c r="J83" s="67"/>
      <c r="K83" s="67"/>
      <c r="L83" s="67"/>
      <c r="M83" s="67"/>
      <c r="N83" s="67"/>
      <c r="O83" s="876"/>
      <c r="R83" s="918"/>
    </row>
    <row r="84" spans="1:18" hidden="1">
      <c r="R84" s="918"/>
    </row>
    <row r="85" spans="1:18">
      <c r="R85" s="918"/>
    </row>
    <row r="86" spans="1:18" ht="23.5">
      <c r="A86" s="7"/>
      <c r="B86" s="869" t="s">
        <v>177</v>
      </c>
      <c r="C86" s="1272"/>
      <c r="D86" s="1272"/>
      <c r="E86" s="1272"/>
      <c r="F86" s="1272"/>
      <c r="G86" s="1272"/>
      <c r="H86" s="1272"/>
      <c r="I86" s="1272"/>
      <c r="J86" s="1272"/>
      <c r="K86" s="1272"/>
      <c r="L86" s="1272"/>
      <c r="M86" s="1272"/>
      <c r="N86" s="1272"/>
      <c r="O86" s="1273"/>
    </row>
    <row r="87" spans="1:18">
      <c r="B87" s="105"/>
      <c r="C87" s="67"/>
      <c r="D87" s="67"/>
      <c r="E87" s="67"/>
      <c r="F87" s="67"/>
      <c r="G87" s="67"/>
      <c r="H87" s="67"/>
      <c r="I87" s="67"/>
      <c r="J87" s="67"/>
      <c r="K87" s="67"/>
      <c r="L87" s="67"/>
      <c r="M87" s="67"/>
      <c r="N87" s="67"/>
      <c r="O87" s="876"/>
    </row>
    <row r="88" spans="1:18">
      <c r="B88" s="105"/>
      <c r="C88" s="49" t="s">
        <v>1318</v>
      </c>
      <c r="D88" s="67"/>
      <c r="E88" s="67"/>
      <c r="F88" s="67"/>
      <c r="G88" s="67"/>
      <c r="H88" s="67"/>
      <c r="I88" s="67"/>
      <c r="J88" s="67"/>
      <c r="K88" s="67"/>
      <c r="L88" s="67"/>
      <c r="M88" s="67"/>
      <c r="N88" s="67"/>
      <c r="O88" s="876"/>
    </row>
    <row r="89" spans="1:18">
      <c r="B89" s="105"/>
      <c r="C89" s="49"/>
      <c r="D89" s="67"/>
      <c r="E89" s="67"/>
      <c r="F89" s="67"/>
      <c r="G89" s="67"/>
      <c r="H89" s="67"/>
      <c r="I89" s="67"/>
      <c r="J89" s="67"/>
      <c r="K89" s="67"/>
      <c r="L89" s="67"/>
      <c r="M89" s="67"/>
      <c r="N89" s="67"/>
      <c r="O89" s="876"/>
    </row>
    <row r="90" spans="1:18">
      <c r="B90" s="105"/>
      <c r="C90" s="878" t="s">
        <v>28</v>
      </c>
      <c r="D90" s="878" t="s">
        <v>71</v>
      </c>
      <c r="E90" s="878" t="s">
        <v>30</v>
      </c>
      <c r="F90" s="87">
        <v>2013</v>
      </c>
      <c r="G90" s="87">
        <v>2015</v>
      </c>
      <c r="H90" s="87">
        <v>2020</v>
      </c>
      <c r="I90" s="87">
        <v>2025</v>
      </c>
      <c r="J90" s="87">
        <v>2030</v>
      </c>
      <c r="K90" s="87">
        <v>2035</v>
      </c>
      <c r="L90" s="87">
        <v>2040</v>
      </c>
      <c r="M90" s="87">
        <v>2045</v>
      </c>
      <c r="N90" s="87">
        <v>2050</v>
      </c>
      <c r="O90" s="876"/>
    </row>
    <row r="91" spans="1:18">
      <c r="B91" s="105"/>
      <c r="C91" s="907"/>
      <c r="D91" s="908" t="s">
        <v>1319</v>
      </c>
      <c r="E91" s="1499"/>
      <c r="F91" s="1730">
        <f>F17-F110</f>
        <v>0</v>
      </c>
      <c r="G91" s="1730">
        <f t="shared" ref="G91:N91" si="3">(G17-F17)+(F110-G110)</f>
        <v>0</v>
      </c>
      <c r="H91" s="1730">
        <f t="shared" si="3"/>
        <v>0</v>
      </c>
      <c r="I91" s="1730">
        <f t="shared" si="3"/>
        <v>0</v>
      </c>
      <c r="J91" s="1730">
        <f t="shared" si="3"/>
        <v>0</v>
      </c>
      <c r="K91" s="1730">
        <f t="shared" si="3"/>
        <v>0</v>
      </c>
      <c r="L91" s="1730">
        <f t="shared" si="3"/>
        <v>0</v>
      </c>
      <c r="M91" s="1730">
        <f t="shared" si="3"/>
        <v>0</v>
      </c>
      <c r="N91" s="1730">
        <f t="shared" si="3"/>
        <v>0</v>
      </c>
      <c r="O91" s="876"/>
    </row>
    <row r="92" spans="1:18">
      <c r="B92" s="105"/>
      <c r="C92" s="67"/>
      <c r="D92" s="67"/>
      <c r="E92" s="67"/>
      <c r="F92" s="67"/>
      <c r="G92" s="1594"/>
      <c r="H92" s="1594"/>
      <c r="I92" s="1594"/>
      <c r="J92" s="1594"/>
      <c r="K92" s="1594"/>
      <c r="L92" s="1594"/>
      <c r="M92" s="1594"/>
      <c r="N92" s="1594"/>
      <c r="O92" s="876"/>
      <c r="Q92" s="1731"/>
    </row>
    <row r="93" spans="1:18">
      <c r="B93" s="105"/>
      <c r="C93" s="49" t="s">
        <v>1320</v>
      </c>
      <c r="D93" s="67"/>
      <c r="E93" s="67"/>
      <c r="F93" s="1217"/>
      <c r="G93" s="67"/>
      <c r="H93" s="67"/>
      <c r="I93" s="67"/>
      <c r="J93" s="67"/>
      <c r="K93" s="67"/>
      <c r="L93" s="67"/>
      <c r="M93" s="67"/>
      <c r="N93" s="1217" t="s">
        <v>986</v>
      </c>
      <c r="O93" s="876"/>
    </row>
    <row r="94" spans="1:18">
      <c r="B94" s="105"/>
      <c r="C94" s="67"/>
      <c r="D94" s="67"/>
      <c r="E94" s="67"/>
      <c r="F94" s="67"/>
      <c r="G94" s="67"/>
      <c r="H94" s="67"/>
      <c r="I94" s="67"/>
      <c r="J94" s="67"/>
      <c r="K94" s="67"/>
      <c r="L94" s="67"/>
      <c r="M94" s="67"/>
      <c r="N94" s="67"/>
      <c r="O94" s="876"/>
    </row>
    <row r="95" spans="1:18" ht="15.5">
      <c r="B95" s="55"/>
      <c r="C95" s="878" t="s">
        <v>28</v>
      </c>
      <c r="D95" s="878" t="s">
        <v>71</v>
      </c>
      <c r="E95" s="878" t="s">
        <v>30</v>
      </c>
      <c r="F95" s="87">
        <v>2013</v>
      </c>
      <c r="G95" s="87">
        <v>2015</v>
      </c>
      <c r="H95" s="87">
        <v>2020</v>
      </c>
      <c r="I95" s="87">
        <v>2025</v>
      </c>
      <c r="J95" s="87">
        <v>2030</v>
      </c>
      <c r="K95" s="87">
        <v>2035</v>
      </c>
      <c r="L95" s="87">
        <v>2040</v>
      </c>
      <c r="M95" s="87">
        <v>2045</v>
      </c>
      <c r="N95" s="87">
        <v>2050</v>
      </c>
      <c r="O95" s="876"/>
    </row>
    <row r="96" spans="1:18" ht="15.5">
      <c r="B96" s="55"/>
      <c r="C96" s="65" t="s">
        <v>95</v>
      </c>
      <c r="D96" s="103" t="s">
        <v>85</v>
      </c>
      <c r="E96" s="1256"/>
      <c r="F96" s="88">
        <f>F45</f>
        <v>0.6</v>
      </c>
      <c r="G96" s="1364">
        <f>$F96+($N96-$F96)/($N$95-$F$95)*(G$95-$F$95)</f>
        <v>0.6</v>
      </c>
      <c r="H96" s="1058">
        <f t="shared" ref="H96:M97" si="4">$F96+($N96-$F96)/($N$95-$F$95)*(H$95-$F$95)</f>
        <v>0.6</v>
      </c>
      <c r="I96" s="1058">
        <f t="shared" si="4"/>
        <v>0.6</v>
      </c>
      <c r="J96" s="1058">
        <f t="shared" si="4"/>
        <v>0.6</v>
      </c>
      <c r="K96" s="1058">
        <f t="shared" si="4"/>
        <v>0.6</v>
      </c>
      <c r="L96" s="1058">
        <f t="shared" si="4"/>
        <v>0.6</v>
      </c>
      <c r="M96" s="1058">
        <f t="shared" si="4"/>
        <v>0.6</v>
      </c>
      <c r="N96" s="88">
        <f>INDEX($G$33:$H$34, MATCH($E$9, $C$33:$C$34, 0), MATCH($C96, $G$32:$H$32, 0))</f>
        <v>0.6</v>
      </c>
      <c r="O96" s="876"/>
    </row>
    <row r="97" spans="1:15" ht="15.5">
      <c r="B97" s="55"/>
      <c r="C97" s="917" t="s">
        <v>99</v>
      </c>
      <c r="D97" s="194" t="s">
        <v>89</v>
      </c>
      <c r="E97" s="194"/>
      <c r="F97" s="142">
        <f>F46</f>
        <v>0.4</v>
      </c>
      <c r="G97" s="1365">
        <f>$F97+($N97-$F97)/($N$95-$F$95)*(G$95-$F$95)</f>
        <v>0.4</v>
      </c>
      <c r="H97" s="1366">
        <f t="shared" si="4"/>
        <v>0.4</v>
      </c>
      <c r="I97" s="1366">
        <f t="shared" si="4"/>
        <v>0.4</v>
      </c>
      <c r="J97" s="1366">
        <f t="shared" si="4"/>
        <v>0.4</v>
      </c>
      <c r="K97" s="1366">
        <f t="shared" si="4"/>
        <v>0.4</v>
      </c>
      <c r="L97" s="1366">
        <f t="shared" si="4"/>
        <v>0.4</v>
      </c>
      <c r="M97" s="1366">
        <f t="shared" si="4"/>
        <v>0.4</v>
      </c>
      <c r="N97" s="164">
        <f>INDEX($G$33:$H$34, MATCH($E$9, $C$33:$C$34, 0), MATCH($C97, $G$32:$H$32, 0))</f>
        <v>0.4</v>
      </c>
      <c r="O97" s="876"/>
    </row>
    <row r="98" spans="1:15">
      <c r="B98" s="1163"/>
      <c r="C98" s="1065"/>
      <c r="D98" s="1065"/>
      <c r="E98" s="1065"/>
      <c r="F98" s="1065"/>
      <c r="G98" s="1065"/>
      <c r="H98" s="1065"/>
      <c r="I98" s="1065"/>
      <c r="J98" s="1065"/>
      <c r="K98" s="1065"/>
      <c r="L98" s="1065"/>
      <c r="M98" s="1065"/>
      <c r="N98" s="1065"/>
      <c r="O98" s="1100"/>
    </row>
    <row r="100" spans="1:15" ht="18.5">
      <c r="A100" s="346"/>
      <c r="B100" s="1101" t="s">
        <v>206</v>
      </c>
    </row>
    <row r="101" spans="1:15" s="2" customFormat="1">
      <c r="B101" s="354">
        <v>1</v>
      </c>
      <c r="C101" s="354" t="s">
        <v>1321</v>
      </c>
    </row>
    <row r="102" spans="1:15">
      <c r="F102" s="1313">
        <v>2013</v>
      </c>
      <c r="G102" s="1313">
        <v>2015</v>
      </c>
      <c r="H102" s="1313">
        <v>2020</v>
      </c>
      <c r="I102" s="1313">
        <v>2025</v>
      </c>
      <c r="J102" s="1313">
        <v>2030</v>
      </c>
      <c r="K102" s="1313">
        <v>2035</v>
      </c>
      <c r="L102" s="1313">
        <v>2040</v>
      </c>
      <c r="M102" s="1313">
        <v>2045</v>
      </c>
      <c r="N102" s="1313">
        <v>2050</v>
      </c>
    </row>
    <row r="103" spans="1:15">
      <c r="B103" s="366"/>
      <c r="C103" s="354" t="s">
        <v>996</v>
      </c>
      <c r="D103" s="354"/>
      <c r="E103" s="355" t="str">
        <f>Preferences.EnergyUnits</f>
        <v>TWh</v>
      </c>
      <c r="F103" s="1315">
        <f>INDEX(F$25:F$28, MATCH($E$8, $C$25:$C$28, 0))</f>
        <v>1.23</v>
      </c>
      <c r="G103" s="1315">
        <f t="shared" ref="G103:N103" si="5">INDEX(G$25:G$28, MATCH($E$8, $C$25:$C$28, 0))</f>
        <v>1.2304506738162799</v>
      </c>
      <c r="H103" s="1315">
        <f t="shared" si="5"/>
        <v>1.231577358357</v>
      </c>
      <c r="I103" s="1315">
        <f t="shared" si="5"/>
        <v>1.2327040428977101</v>
      </c>
      <c r="J103" s="1315">
        <f t="shared" si="5"/>
        <v>1.2338307274384199</v>
      </c>
      <c r="K103" s="1315">
        <f t="shared" si="5"/>
        <v>1.23495741197913</v>
      </c>
      <c r="L103" s="1315">
        <f t="shared" si="5"/>
        <v>1.2360840965198401</v>
      </c>
      <c r="M103" s="1315">
        <f t="shared" si="5"/>
        <v>1.2372107810605499</v>
      </c>
      <c r="N103" s="1315">
        <f t="shared" si="5"/>
        <v>1.23833746560126</v>
      </c>
    </row>
    <row r="104" spans="1:15">
      <c r="B104" s="373" t="s">
        <v>95</v>
      </c>
      <c r="C104" t="s">
        <v>85</v>
      </c>
      <c r="E104" s="3801"/>
      <c r="F104" s="1314">
        <f>F$103*F96</f>
        <v>0.73799999999999999</v>
      </c>
      <c r="G104" s="1314">
        <f t="shared" ref="G104:N105" si="6">G$103*G96</f>
        <v>0.73827040428976798</v>
      </c>
      <c r="H104" s="1314">
        <f t="shared" si="6"/>
        <v>0.7389464150142</v>
      </c>
      <c r="I104" s="1314">
        <f t="shared" si="6"/>
        <v>0.73962242573862602</v>
      </c>
      <c r="J104" s="1314">
        <f t="shared" si="6"/>
        <v>0.74029843646305193</v>
      </c>
      <c r="K104" s="1314">
        <f t="shared" si="6"/>
        <v>0.74097444718747796</v>
      </c>
      <c r="L104" s="1314">
        <f t="shared" si="6"/>
        <v>0.74165045791190398</v>
      </c>
      <c r="M104" s="1314">
        <f t="shared" si="6"/>
        <v>0.74232646863632989</v>
      </c>
      <c r="N104" s="1314">
        <f t="shared" si="6"/>
        <v>0.74300247936075603</v>
      </c>
    </row>
    <row r="105" spans="1:15">
      <c r="B105" s="373" t="s">
        <v>99</v>
      </c>
      <c r="C105" t="s">
        <v>89</v>
      </c>
      <c r="E105" s="3801"/>
      <c r="F105" s="1314">
        <f>F$103*F97</f>
        <v>0.49199999999999999</v>
      </c>
      <c r="G105" s="1314">
        <f t="shared" si="6"/>
        <v>0.492180269526512</v>
      </c>
      <c r="H105" s="1314">
        <f t="shared" si="6"/>
        <v>0.4926309433428</v>
      </c>
      <c r="I105" s="1314">
        <f t="shared" si="6"/>
        <v>0.49308161715908405</v>
      </c>
      <c r="J105" s="1314">
        <f t="shared" si="6"/>
        <v>0.49353229097536799</v>
      </c>
      <c r="K105" s="1314">
        <f t="shared" si="6"/>
        <v>0.49398296479165205</v>
      </c>
      <c r="L105" s="1314">
        <f t="shared" si="6"/>
        <v>0.49443363860793604</v>
      </c>
      <c r="M105" s="1314">
        <f t="shared" si="6"/>
        <v>0.49488431242421999</v>
      </c>
      <c r="N105" s="1314">
        <f t="shared" si="6"/>
        <v>0.49533498624050404</v>
      </c>
    </row>
    <row r="106" spans="1:15">
      <c r="C106" s="354"/>
      <c r="E106" s="373"/>
      <c r="F106" s="1315"/>
      <c r="G106" s="1315"/>
      <c r="H106" s="1315"/>
      <c r="I106" s="1315"/>
      <c r="J106" s="1315"/>
      <c r="K106" s="1315"/>
      <c r="L106" s="1315"/>
      <c r="M106" s="1315"/>
      <c r="N106" s="1315"/>
    </row>
    <row r="107" spans="1:15">
      <c r="C107" s="354"/>
      <c r="E107" s="373"/>
      <c r="F107" s="1315"/>
      <c r="G107" s="1315"/>
      <c r="H107" s="1315"/>
      <c r="I107" s="1315"/>
      <c r="J107" s="1315"/>
      <c r="K107" s="1315"/>
      <c r="L107" s="1315"/>
      <c r="M107" s="1315"/>
      <c r="N107" s="1315"/>
    </row>
    <row r="108" spans="1:15">
      <c r="B108" s="354">
        <v>2</v>
      </c>
      <c r="C108" s="354" t="s">
        <v>997</v>
      </c>
      <c r="E108" s="373"/>
      <c r="F108" s="1315"/>
      <c r="G108" s="1315"/>
      <c r="H108" s="1315"/>
      <c r="I108" s="1315"/>
      <c r="J108" s="1315"/>
      <c r="K108" s="1315"/>
      <c r="L108" s="1315"/>
      <c r="M108" s="1315"/>
      <c r="N108" s="1315"/>
    </row>
    <row r="109" spans="1:15">
      <c r="C109" s="354"/>
      <c r="E109" s="373"/>
      <c r="F109" s="1313">
        <v>2013</v>
      </c>
      <c r="G109" s="1313">
        <v>2015</v>
      </c>
      <c r="H109" s="1313">
        <v>2020</v>
      </c>
      <c r="I109" s="1313">
        <v>2025</v>
      </c>
      <c r="J109" s="1313">
        <v>2030</v>
      </c>
      <c r="K109" s="1313">
        <v>2035</v>
      </c>
      <c r="L109" s="1313">
        <v>2040</v>
      </c>
      <c r="M109" s="1313">
        <v>2045</v>
      </c>
      <c r="N109" s="1313">
        <v>2050</v>
      </c>
    </row>
    <row r="110" spans="1:15">
      <c r="B110" s="366"/>
      <c r="C110" s="354" t="s">
        <v>999</v>
      </c>
      <c r="E110" s="355" t="str">
        <f>Preferences.EnergyUnits</f>
        <v>TWh</v>
      </c>
      <c r="F110" s="1315">
        <f>INDEX(F$17:F$20, MATCH($E$8, $C$17:$C$20, 0))</f>
        <v>3.31</v>
      </c>
      <c r="G110" s="1315">
        <f t="shared" ref="G110:N110" si="7">INDEX(G$17:G$20, MATCH($E$8, $C$17:$C$20, 0))</f>
        <v>3.36274759090269</v>
      </c>
      <c r="H110" s="1315">
        <f t="shared" si="7"/>
        <v>3.4946165681594201</v>
      </c>
      <c r="I110" s="1315">
        <f t="shared" si="7"/>
        <v>3.62648554541614</v>
      </c>
      <c r="J110" s="1315">
        <f t="shared" si="7"/>
        <v>3.7583545226728701</v>
      </c>
      <c r="K110" s="1315">
        <f t="shared" si="7"/>
        <v>3.8902234999295899</v>
      </c>
      <c r="L110" s="1315">
        <f t="shared" si="7"/>
        <v>4.0220924771863196</v>
      </c>
      <c r="M110" s="1315">
        <f t="shared" si="7"/>
        <v>4.1539614544430501</v>
      </c>
      <c r="N110" s="1315">
        <f t="shared" si="7"/>
        <v>4.28583043169977</v>
      </c>
    </row>
    <row r="111" spans="1:15">
      <c r="B111" s="373" t="s">
        <v>95</v>
      </c>
      <c r="C111" t="s">
        <v>85</v>
      </c>
      <c r="E111" s="373"/>
      <c r="F111" s="1314">
        <f>F110</f>
        <v>3.31</v>
      </c>
      <c r="G111" s="1314">
        <f t="shared" ref="G111:N111" si="8">G110</f>
        <v>3.36274759090269</v>
      </c>
      <c r="H111" s="1314">
        <f t="shared" si="8"/>
        <v>3.4946165681594201</v>
      </c>
      <c r="I111" s="1314">
        <f t="shared" si="8"/>
        <v>3.62648554541614</v>
      </c>
      <c r="J111" s="1314">
        <f t="shared" si="8"/>
        <v>3.7583545226728701</v>
      </c>
      <c r="K111" s="1314">
        <f t="shared" si="8"/>
        <v>3.8902234999295899</v>
      </c>
      <c r="L111" s="1314">
        <f t="shared" si="8"/>
        <v>4.0220924771863196</v>
      </c>
      <c r="M111" s="1314">
        <f t="shared" si="8"/>
        <v>4.1539614544430501</v>
      </c>
      <c r="N111" s="1314">
        <f t="shared" si="8"/>
        <v>4.28583043169977</v>
      </c>
    </row>
    <row r="112" spans="1:15">
      <c r="C112" s="354"/>
      <c r="E112" s="373"/>
      <c r="F112" s="1315"/>
      <c r="G112" s="1315"/>
      <c r="H112" s="1315"/>
      <c r="I112" s="1315"/>
      <c r="J112" s="1315"/>
      <c r="K112" s="1315"/>
      <c r="L112" s="1315"/>
      <c r="M112" s="1315"/>
      <c r="N112" s="1315"/>
    </row>
    <row r="113" spans="2:15">
      <c r="B113" s="354">
        <v>3</v>
      </c>
      <c r="C113" s="354" t="s">
        <v>1000</v>
      </c>
      <c r="E113" s="373"/>
      <c r="F113" s="1314"/>
      <c r="G113" s="1314"/>
      <c r="H113" s="1314"/>
      <c r="I113" s="1314"/>
      <c r="J113" s="1314"/>
      <c r="K113" s="1314"/>
      <c r="L113" s="1314"/>
      <c r="M113" s="1314"/>
      <c r="N113" s="1314"/>
    </row>
    <row r="114" spans="2:15">
      <c r="B114" s="354"/>
      <c r="C114" s="354"/>
      <c r="E114" s="373"/>
      <c r="F114" s="1313">
        <v>2013</v>
      </c>
      <c r="G114" s="1313">
        <v>2015</v>
      </c>
      <c r="H114" s="1313">
        <v>2020</v>
      </c>
      <c r="I114" s="1313">
        <v>2025</v>
      </c>
      <c r="J114" s="1313">
        <v>2030</v>
      </c>
      <c r="K114" s="1313">
        <v>2035</v>
      </c>
      <c r="L114" s="1313">
        <v>2040</v>
      </c>
      <c r="M114" s="1313">
        <v>2045</v>
      </c>
      <c r="N114" s="1313">
        <v>2050</v>
      </c>
    </row>
    <row r="115" spans="2:15">
      <c r="B115" s="373" t="s">
        <v>95</v>
      </c>
      <c r="C115" t="s">
        <v>85</v>
      </c>
      <c r="E115" s="358" t="str">
        <f>Preferences.EnergyUnits</f>
        <v>TWh</v>
      </c>
      <c r="F115" s="1314">
        <f>F104+F111</f>
        <v>4.048</v>
      </c>
      <c r="G115" s="1314">
        <f t="shared" ref="G115:N115" si="9">G104+G111</f>
        <v>4.1010179951924579</v>
      </c>
      <c r="H115" s="1314">
        <f t="shared" si="9"/>
        <v>4.2335629831736199</v>
      </c>
      <c r="I115" s="1314">
        <f t="shared" si="9"/>
        <v>4.3661079711547659</v>
      </c>
      <c r="J115" s="1314">
        <f t="shared" si="9"/>
        <v>4.4986529591359217</v>
      </c>
      <c r="K115" s="1314">
        <f t="shared" si="9"/>
        <v>4.6311979471170677</v>
      </c>
      <c r="L115" s="1314">
        <f t="shared" si="9"/>
        <v>4.7637429350982234</v>
      </c>
      <c r="M115" s="1314">
        <f t="shared" si="9"/>
        <v>4.8962879230793801</v>
      </c>
      <c r="N115" s="1314">
        <f t="shared" si="9"/>
        <v>5.0288329110605261</v>
      </c>
    </row>
    <row r="116" spans="2:15">
      <c r="B116" s="373" t="s">
        <v>99</v>
      </c>
      <c r="C116" t="s">
        <v>89</v>
      </c>
      <c r="E116" s="358" t="str">
        <f>Preferences.EnergyUnits</f>
        <v>TWh</v>
      </c>
      <c r="F116" s="1314">
        <f>F105</f>
        <v>0.49199999999999999</v>
      </c>
      <c r="G116" s="1314">
        <f t="shared" ref="G116:N116" si="10">G105</f>
        <v>0.492180269526512</v>
      </c>
      <c r="H116" s="1314">
        <f t="shared" si="10"/>
        <v>0.4926309433428</v>
      </c>
      <c r="I116" s="1314">
        <f t="shared" si="10"/>
        <v>0.49308161715908405</v>
      </c>
      <c r="J116" s="1314">
        <f t="shared" si="10"/>
        <v>0.49353229097536799</v>
      </c>
      <c r="K116" s="1314">
        <f t="shared" si="10"/>
        <v>0.49398296479165205</v>
      </c>
      <c r="L116" s="1314">
        <f t="shared" si="10"/>
        <v>0.49443363860793604</v>
      </c>
      <c r="M116" s="1314">
        <f t="shared" si="10"/>
        <v>0.49488431242421999</v>
      </c>
      <c r="N116" s="1314">
        <f t="shared" si="10"/>
        <v>0.49533498624050404</v>
      </c>
    </row>
    <row r="117" spans="2:15">
      <c r="C117" s="354"/>
      <c r="E117" s="373"/>
      <c r="F117" s="1315"/>
      <c r="G117" s="1315"/>
      <c r="H117" s="1315"/>
      <c r="I117" s="1315"/>
      <c r="J117" s="1315"/>
      <c r="K117" s="1315"/>
      <c r="L117" s="1315"/>
      <c r="M117" s="1315"/>
      <c r="N117" s="1315"/>
    </row>
    <row r="118" spans="2:15">
      <c r="B118" s="354">
        <v>4</v>
      </c>
      <c r="C118" s="354" t="s">
        <v>249</v>
      </c>
      <c r="E118" s="3801"/>
      <c r="F118" s="1314"/>
      <c r="G118" s="1314"/>
      <c r="H118" s="1314"/>
      <c r="I118" s="1314"/>
      <c r="J118" s="1314"/>
      <c r="K118" s="1314"/>
      <c r="L118" s="1314"/>
      <c r="M118" s="1314"/>
      <c r="N118" s="1314"/>
    </row>
    <row r="119" spans="2:15">
      <c r="B119" s="354"/>
      <c r="E119" s="3801"/>
      <c r="F119" s="1314"/>
      <c r="G119" s="1314"/>
      <c r="H119" s="1314"/>
      <c r="I119" s="1314"/>
      <c r="J119" s="1314"/>
      <c r="K119" s="1314"/>
      <c r="L119" s="1314"/>
      <c r="M119" s="1314"/>
      <c r="N119" s="1314"/>
    </row>
    <row r="120" spans="2:15">
      <c r="B120" s="354"/>
      <c r="C120" t="s">
        <v>250</v>
      </c>
      <c r="E120" s="373" t="s">
        <v>251</v>
      </c>
      <c r="F120" s="2137">
        <f t="array" ref="F120">SUM(F$115:F$116*SUMIFS(EF[CO2], EF[Vector], $B$115:$B$116))</f>
        <v>0.10072283039999999</v>
      </c>
      <c r="G120" s="2137">
        <f t="array" ref="G120">SUM(G$115:G$116*SUMIFS(EF[CO2], EF[Vector], $B$115:$B$116))</f>
        <v>0.10075973539379096</v>
      </c>
      <c r="H120" s="2137">
        <f t="array" ref="H120">SUM(H$115:H$116*SUMIFS(EF[CO2], EF[Vector], $B$115:$B$116))</f>
        <v>0.10085199787827002</v>
      </c>
      <c r="I120" s="2137">
        <f t="array" ref="I120">SUM(I$115:I$116*SUMIFS(EF[CO2], EF[Vector], $B$115:$B$116))</f>
        <v>0.10094426036274827</v>
      </c>
      <c r="J120" s="2137">
        <f t="array" ref="J120">SUM(J$115:J$116*SUMIFS(EF[CO2], EF[Vector], $B$115:$B$116))</f>
        <v>0.1010365228472265</v>
      </c>
      <c r="K120" s="2137">
        <f t="array" ref="K120">SUM(K$115:K$116*SUMIFS(EF[CO2], EF[Vector], $B$115:$B$116))</f>
        <v>0.10112878533170476</v>
      </c>
      <c r="L120" s="2137">
        <f t="array" ref="L120">SUM(L$115:L$116*SUMIFS(EF[CO2], EF[Vector], $B$115:$B$116))</f>
        <v>0.10122104781618299</v>
      </c>
      <c r="M120" s="2137">
        <f t="array" ref="M120">SUM(M$115:M$116*SUMIFS(EF[CO2], EF[Vector], $B$115:$B$116))</f>
        <v>0.10131331030066122</v>
      </c>
      <c r="N120" s="2137">
        <f t="array" ref="N120">SUM(N$115:N$116*SUMIFS(EF[CO2], EF[Vector], $B$115:$B$116))</f>
        <v>0.10140557278513947</v>
      </c>
    </row>
    <row r="121" spans="2:15">
      <c r="B121" s="354"/>
      <c r="C121" t="s">
        <v>252</v>
      </c>
      <c r="E121" s="373"/>
      <c r="F121" s="2137">
        <f t="array" ref="F121">SUM(F$115:F$116*SUMIFS(EF[CH4], EF[Vector], $B$115:$B$116))</f>
        <v>3.7195200000000006E-5</v>
      </c>
      <c r="G121" s="2137">
        <f t="array" ref="G121">SUM(G$115:G$116*SUMIFS(EF[CH4], EF[Vector], $B$115:$B$116))</f>
        <v>3.7208828376204308E-5</v>
      </c>
      <c r="H121" s="2137">
        <f t="array" ref="H121">SUM(H$115:H$116*SUMIFS(EF[CH4], EF[Vector], $B$115:$B$116))</f>
        <v>3.7242899316715681E-5</v>
      </c>
      <c r="I121" s="2137">
        <f t="array" ref="I121">SUM(I$115:I$116*SUMIFS(EF[CH4], EF[Vector], $B$115:$B$116))</f>
        <v>3.7276970257226756E-5</v>
      </c>
      <c r="J121" s="2137">
        <f t="array" ref="J121">SUM(J$115:J$116*SUMIFS(EF[CH4], EF[Vector], $B$115:$B$116))</f>
        <v>3.7311041197737823E-5</v>
      </c>
      <c r="K121" s="2137">
        <f t="array" ref="K121">SUM(K$115:K$116*SUMIFS(EF[CH4], EF[Vector], $B$115:$B$116))</f>
        <v>3.7345112138248898E-5</v>
      </c>
      <c r="L121" s="2137">
        <f t="array" ref="L121">SUM(L$115:L$116*SUMIFS(EF[CH4], EF[Vector], $B$115:$B$116))</f>
        <v>3.7379183078759966E-5</v>
      </c>
      <c r="M121" s="2137">
        <f t="array" ref="M121">SUM(M$115:M$116*SUMIFS(EF[CH4], EF[Vector], $B$115:$B$116))</f>
        <v>3.7413254019271034E-5</v>
      </c>
      <c r="N121" s="2137">
        <f t="array" ref="N121">SUM(N$115:N$116*SUMIFS(EF[CH4], EF[Vector], $B$115:$B$116))</f>
        <v>3.7447324959782108E-5</v>
      </c>
    </row>
    <row r="122" spans="2:15">
      <c r="B122" s="354"/>
      <c r="C122" t="s">
        <v>253</v>
      </c>
      <c r="E122" s="373"/>
      <c r="F122" s="2137">
        <f t="array" ref="F122">SUM(F$115:F$116*SUMIFS(EF[N2O], EF[Vector], $B$115:$B$116))</f>
        <v>1.5923088E-3</v>
      </c>
      <c r="G122" s="2137">
        <f t="array" ref="G122">SUM(G$115:G$116*SUMIFS(EF[N2O], EF[Vector], $B$115:$B$116))</f>
        <v>1.5928922242956034E-3</v>
      </c>
      <c r="H122" s="2137">
        <f t="array" ref="H122">SUM(H$115:H$116*SUMIFS(EF[N2O], EF[Vector], $B$115:$B$116))</f>
        <v>1.5943507850346378E-3</v>
      </c>
      <c r="I122" s="2137">
        <f t="array" ref="I122">SUM(I$115:I$116*SUMIFS(EF[N2O], EF[Vector], $B$115:$B$116))</f>
        <v>1.5958093457736596E-3</v>
      </c>
      <c r="J122" s="2137">
        <f t="array" ref="J122">SUM(J$115:J$116*SUMIFS(EF[N2O], EF[Vector], $B$115:$B$116))</f>
        <v>1.597267906512681E-3</v>
      </c>
      <c r="K122" s="2137">
        <f t="array" ref="K122">SUM(K$115:K$116*SUMIFS(EF[N2O], EF[Vector], $B$115:$B$116))</f>
        <v>1.5987264672517026E-3</v>
      </c>
      <c r="L122" s="2137">
        <f t="array" ref="L122">SUM(L$115:L$116*SUMIFS(EF[N2O], EF[Vector], $B$115:$B$116))</f>
        <v>1.6001850279907242E-3</v>
      </c>
      <c r="M122" s="2137">
        <f t="array" ref="M122">SUM(M$115:M$116*SUMIFS(EF[N2O], EF[Vector], $B$115:$B$116))</f>
        <v>1.6016435887297455E-3</v>
      </c>
      <c r="N122" s="2137">
        <f t="array" ref="N122">SUM(N$115:N$116*SUMIFS(EF[N2O], EF[Vector], $B$115:$B$116))</f>
        <v>1.6031021494687674E-3</v>
      </c>
    </row>
    <row r="123" spans="2:15">
      <c r="E123" s="373"/>
      <c r="F123" s="1314"/>
      <c r="G123" s="1314"/>
      <c r="H123" s="1314"/>
      <c r="I123" s="1314"/>
      <c r="J123" s="1314"/>
      <c r="K123" s="1314"/>
      <c r="L123" s="1314"/>
      <c r="M123" s="1314"/>
      <c r="N123" s="1314"/>
    </row>
    <row r="124" spans="2:15">
      <c r="B124" t="s">
        <v>738</v>
      </c>
      <c r="C124" s="354"/>
      <c r="E124" s="3801"/>
      <c r="F124" s="983"/>
      <c r="G124" s="983"/>
      <c r="H124" s="983"/>
      <c r="I124" s="983"/>
      <c r="J124" s="983"/>
      <c r="K124" s="983"/>
      <c r="L124" s="983"/>
      <c r="M124" s="983"/>
      <c r="N124" s="983"/>
      <c r="O124" s="983"/>
    </row>
    <row r="125" spans="2:15">
      <c r="E125" s="6"/>
      <c r="F125" s="1313">
        <v>2013</v>
      </c>
      <c r="G125" s="1313">
        <v>2015</v>
      </c>
      <c r="H125" s="1313">
        <v>2020</v>
      </c>
      <c r="I125" s="1313">
        <v>2025</v>
      </c>
      <c r="J125" s="1313">
        <v>2030</v>
      </c>
      <c r="K125" s="1313">
        <v>2035</v>
      </c>
      <c r="L125" s="1313">
        <v>2040</v>
      </c>
      <c r="M125" s="1313">
        <v>2045</v>
      </c>
      <c r="N125" s="1313">
        <v>2050</v>
      </c>
      <c r="O125" s="983"/>
    </row>
    <row r="126" spans="2:15" s="405" customFormat="1" ht="13">
      <c r="C126" s="405" t="s">
        <v>1322</v>
      </c>
      <c r="E126" s="824" t="s">
        <v>1323</v>
      </c>
      <c r="F126" s="981">
        <v>0.9</v>
      </c>
      <c r="G126" s="981">
        <v>0.9</v>
      </c>
      <c r="H126" s="981">
        <v>0.9</v>
      </c>
      <c r="I126" s="981">
        <v>0.9</v>
      </c>
      <c r="J126" s="981">
        <v>0.9</v>
      </c>
      <c r="K126" s="981">
        <v>0.9</v>
      </c>
      <c r="L126" s="981">
        <v>0.9</v>
      </c>
      <c r="M126" s="981">
        <v>0.9</v>
      </c>
      <c r="N126" s="981">
        <v>0.9</v>
      </c>
      <c r="O126" s="981"/>
    </row>
    <row r="127" spans="2:15" s="405" customFormat="1" ht="13">
      <c r="C127" s="405" t="s">
        <v>1324</v>
      </c>
      <c r="E127" s="824" t="s">
        <v>1323</v>
      </c>
      <c r="F127" s="981">
        <v>0.5</v>
      </c>
      <c r="G127" s="981">
        <v>0.5</v>
      </c>
      <c r="H127" s="981">
        <v>0.5</v>
      </c>
      <c r="I127" s="981">
        <v>0.5</v>
      </c>
      <c r="J127" s="981">
        <v>0.5</v>
      </c>
      <c r="K127" s="981">
        <v>0.5</v>
      </c>
      <c r="L127" s="981">
        <v>0.5</v>
      </c>
      <c r="M127" s="981">
        <v>0.5</v>
      </c>
      <c r="N127" s="981">
        <v>0.5</v>
      </c>
      <c r="O127" s="981"/>
    </row>
    <row r="128" spans="2:15">
      <c r="E128" s="6"/>
      <c r="F128" s="983"/>
      <c r="G128" s="983"/>
      <c r="H128" s="983"/>
      <c r="I128" s="983"/>
      <c r="J128" s="983"/>
      <c r="K128" s="983"/>
      <c r="L128" s="983"/>
      <c r="M128" s="983"/>
      <c r="N128" s="983"/>
      <c r="O128" s="983"/>
    </row>
    <row r="129" spans="2:17">
      <c r="C129" t="s">
        <v>1325</v>
      </c>
      <c r="E129" s="6" t="s">
        <v>27</v>
      </c>
      <c r="F129" s="983">
        <f xml:space="preserve"> (F110 * 0.9)</f>
        <v>2.9790000000000001</v>
      </c>
      <c r="G129" s="983">
        <f xml:space="preserve"> (F110 * 0.9) + (G110-F110)</f>
        <v>3.0317475909026901</v>
      </c>
      <c r="H129" s="983">
        <f xml:space="preserve"> (G110 * 0.9) + (H110-G110)</f>
        <v>3.1583418090691513</v>
      </c>
      <c r="I129" s="983">
        <f t="shared" ref="I129:N129" si="11" xml:space="preserve"> (H110 * 0.9) + (I110-H110)</f>
        <v>3.2770238886001981</v>
      </c>
      <c r="J129" s="983">
        <f t="shared" si="11"/>
        <v>3.395705968131256</v>
      </c>
      <c r="K129" s="983">
        <f t="shared" si="11"/>
        <v>3.5143880476623028</v>
      </c>
      <c r="L129" s="983">
        <f t="shared" si="11"/>
        <v>3.6330701271933608</v>
      </c>
      <c r="M129" s="983">
        <f t="shared" si="11"/>
        <v>3.7517522067244182</v>
      </c>
      <c r="N129" s="983">
        <f t="shared" si="11"/>
        <v>3.870434286255465</v>
      </c>
      <c r="O129" s="983"/>
    </row>
    <row r="130" spans="2:17">
      <c r="C130" t="s">
        <v>1326</v>
      </c>
      <c r="E130" s="6" t="s">
        <v>27</v>
      </c>
      <c r="F130" s="983">
        <f xml:space="preserve"> (F103 * F127)</f>
        <v>0.61499999999999999</v>
      </c>
      <c r="G130" s="983">
        <f xml:space="preserve"> (G103 * G127) + (G103 - F103)</f>
        <v>0.61567601072441991</v>
      </c>
      <c r="H130" s="983">
        <f t="shared" ref="H130:N130" si="12" xml:space="preserve"> (H103 * H127) + (H103 - G103)</f>
        <v>0.61691536371922007</v>
      </c>
      <c r="I130" s="983">
        <f t="shared" si="12"/>
        <v>0.61747870598956511</v>
      </c>
      <c r="J130" s="983">
        <f t="shared" si="12"/>
        <v>0.61804204825991982</v>
      </c>
      <c r="K130" s="983">
        <f t="shared" si="12"/>
        <v>0.61860539053027508</v>
      </c>
      <c r="L130" s="983">
        <f t="shared" si="12"/>
        <v>0.61916873280063012</v>
      </c>
      <c r="M130" s="983">
        <f t="shared" si="12"/>
        <v>0.61973207507098482</v>
      </c>
      <c r="N130" s="983">
        <f t="shared" si="12"/>
        <v>0.62029541734134008</v>
      </c>
      <c r="O130" s="983"/>
    </row>
    <row r="131" spans="2:17">
      <c r="E131" s="6"/>
      <c r="F131" s="983"/>
      <c r="G131" s="983"/>
      <c r="H131" s="983"/>
      <c r="I131" s="983"/>
      <c r="J131" s="983"/>
      <c r="K131" s="983"/>
      <c r="L131" s="983"/>
      <c r="M131" s="983"/>
      <c r="N131" s="983"/>
      <c r="O131" s="983"/>
    </row>
    <row r="132" spans="2:17">
      <c r="C132" s="377" t="s">
        <v>2720</v>
      </c>
      <c r="E132" s="6"/>
      <c r="F132" s="1313"/>
      <c r="G132" s="1313"/>
      <c r="H132" s="1313"/>
      <c r="I132" s="1313"/>
      <c r="J132" s="1313"/>
      <c r="K132" s="1313"/>
      <c r="L132" s="1313"/>
      <c r="M132" s="1313"/>
      <c r="N132" s="1313"/>
      <c r="O132" s="983"/>
    </row>
    <row r="133" spans="2:17" hidden="1">
      <c r="B133" t="s">
        <v>1327</v>
      </c>
      <c r="F133" s="983"/>
      <c r="G133" s="983"/>
      <c r="H133" s="983"/>
      <c r="I133" s="983"/>
      <c r="J133" s="983"/>
      <c r="K133" s="983"/>
      <c r="L133" s="983"/>
      <c r="M133" s="983"/>
      <c r="N133" s="983"/>
      <c r="O133" s="983"/>
    </row>
    <row r="134" spans="2:17" hidden="1">
      <c r="C134" t="s">
        <v>168</v>
      </c>
      <c r="E134" s="3578" t="s">
        <v>2736</v>
      </c>
      <c r="F134" s="983">
        <v>0</v>
      </c>
      <c r="G134" s="983">
        <v>0</v>
      </c>
      <c r="H134" s="983">
        <v>0</v>
      </c>
      <c r="I134" s="983">
        <v>0</v>
      </c>
      <c r="J134" s="983">
        <v>0</v>
      </c>
      <c r="K134" s="983">
        <v>0</v>
      </c>
      <c r="L134" s="983">
        <v>0</v>
      </c>
      <c r="M134" s="983">
        <v>0</v>
      </c>
      <c r="N134" s="983">
        <v>0</v>
      </c>
      <c r="O134" s="983"/>
    </row>
    <row r="135" spans="2:17" hidden="1">
      <c r="C135" t="s">
        <v>172</v>
      </c>
      <c r="E135" s="3578" t="s">
        <v>2736</v>
      </c>
      <c r="F135" s="983"/>
      <c r="G135" s="983"/>
      <c r="H135" s="983"/>
      <c r="I135" s="983"/>
      <c r="J135" s="983"/>
      <c r="K135" s="983"/>
      <c r="L135" s="983"/>
      <c r="M135" s="983"/>
      <c r="N135" s="983"/>
      <c r="O135" s="983"/>
    </row>
    <row r="136" spans="2:17" hidden="1">
      <c r="C136" t="s">
        <v>291</v>
      </c>
      <c r="E136" s="3578" t="s">
        <v>2736</v>
      </c>
      <c r="F136" s="983">
        <v>0</v>
      </c>
      <c r="G136" s="983">
        <v>0</v>
      </c>
      <c r="H136" s="983">
        <v>0</v>
      </c>
      <c r="I136" s="983">
        <v>0</v>
      </c>
      <c r="J136" s="983">
        <v>0</v>
      </c>
      <c r="K136" s="983">
        <v>0</v>
      </c>
      <c r="L136" s="983">
        <v>0</v>
      </c>
      <c r="M136" s="983">
        <v>0</v>
      </c>
      <c r="N136" s="983">
        <v>0</v>
      </c>
      <c r="O136" s="983"/>
    </row>
    <row r="137" spans="2:17" hidden="1">
      <c r="F137" s="983"/>
      <c r="G137" s="983"/>
      <c r="H137" s="983"/>
      <c r="I137" s="983"/>
      <c r="J137" s="983"/>
      <c r="K137" s="983"/>
      <c r="L137" s="983"/>
      <c r="M137" s="983"/>
      <c r="N137" s="983"/>
      <c r="O137" s="983"/>
    </row>
    <row r="138" spans="2:17" hidden="1">
      <c r="B138" t="s">
        <v>1328</v>
      </c>
      <c r="F138" s="983"/>
      <c r="G138" s="983"/>
      <c r="H138" s="983"/>
      <c r="I138" s="983"/>
      <c r="J138" s="983"/>
      <c r="K138" s="983"/>
      <c r="L138" s="983"/>
      <c r="M138" s="983"/>
      <c r="N138" s="983"/>
      <c r="O138" s="983"/>
    </row>
    <row r="139" spans="2:17" hidden="1">
      <c r="C139" t="s">
        <v>168</v>
      </c>
      <c r="E139" s="3578" t="s">
        <v>2736</v>
      </c>
      <c r="F139" s="983">
        <v>0</v>
      </c>
      <c r="G139" s="983">
        <v>0</v>
      </c>
      <c r="H139" s="983">
        <v>0</v>
      </c>
      <c r="I139" s="983">
        <v>0</v>
      </c>
      <c r="J139" s="983">
        <v>0</v>
      </c>
      <c r="K139" s="983">
        <v>0</v>
      </c>
      <c r="L139" s="983">
        <v>0</v>
      </c>
      <c r="M139" s="983">
        <v>0</v>
      </c>
      <c r="N139" s="983">
        <v>0</v>
      </c>
      <c r="O139" s="983"/>
      <c r="Q139" s="39"/>
    </row>
    <row r="140" spans="2:17" hidden="1">
      <c r="C140" t="s">
        <v>172</v>
      </c>
      <c r="E140" s="3578" t="s">
        <v>2736</v>
      </c>
      <c r="F140" s="983"/>
      <c r="G140" s="983"/>
      <c r="H140" s="983"/>
      <c r="I140" s="983"/>
      <c r="J140" s="983"/>
      <c r="K140" s="983"/>
      <c r="L140" s="983"/>
      <c r="M140" s="983"/>
      <c r="N140" s="983"/>
      <c r="O140" s="983"/>
      <c r="Q140" s="39"/>
    </row>
    <row r="141" spans="2:17" hidden="1">
      <c r="C141" t="s">
        <v>291</v>
      </c>
      <c r="E141" s="3578" t="s">
        <v>2736</v>
      </c>
      <c r="F141" s="983">
        <v>0</v>
      </c>
      <c r="G141" s="983">
        <v>0</v>
      </c>
      <c r="H141" s="983">
        <v>0</v>
      </c>
      <c r="I141" s="983">
        <v>0</v>
      </c>
      <c r="J141" s="983">
        <v>0</v>
      </c>
      <c r="K141" s="983">
        <v>0</v>
      </c>
      <c r="L141" s="983">
        <v>0</v>
      </c>
      <c r="M141" s="983">
        <v>0</v>
      </c>
      <c r="N141" s="983">
        <v>0</v>
      </c>
      <c r="O141" s="983"/>
      <c r="Q141" s="39"/>
    </row>
    <row r="142" spans="2:17" hidden="1">
      <c r="F142" s="983"/>
      <c r="G142" s="983"/>
      <c r="H142" s="983"/>
      <c r="I142" s="983"/>
      <c r="J142" s="983"/>
      <c r="K142" s="983"/>
      <c r="L142" s="983"/>
      <c r="M142" s="983"/>
      <c r="N142" s="983"/>
      <c r="O142" s="983"/>
      <c r="Q142" s="39"/>
    </row>
    <row r="143" spans="2:17" hidden="1">
      <c r="B143" t="s">
        <v>1329</v>
      </c>
      <c r="F143" s="1313">
        <v>2013</v>
      </c>
      <c r="G143" s="1313">
        <v>2015</v>
      </c>
      <c r="H143" s="1313">
        <v>2020</v>
      </c>
      <c r="I143" s="1313">
        <v>2025</v>
      </c>
      <c r="J143" s="1313">
        <v>2030</v>
      </c>
      <c r="K143" s="1313">
        <v>2035</v>
      </c>
      <c r="L143" s="1313">
        <v>2040</v>
      </c>
      <c r="M143" s="1313">
        <v>2045</v>
      </c>
      <c r="N143" s="1313">
        <v>2050</v>
      </c>
      <c r="O143" s="983"/>
    </row>
    <row r="144" spans="2:17" hidden="1">
      <c r="C144" t="s">
        <v>168</v>
      </c>
      <c r="E144" s="3578" t="s">
        <v>2736</v>
      </c>
      <c r="F144" s="983">
        <v>0</v>
      </c>
      <c r="G144" s="983">
        <v>0</v>
      </c>
      <c r="H144" s="983">
        <v>0</v>
      </c>
      <c r="I144" s="983">
        <v>0</v>
      </c>
      <c r="J144" s="983">
        <v>0</v>
      </c>
      <c r="K144" s="983">
        <v>0</v>
      </c>
      <c r="L144" s="983">
        <v>0</v>
      </c>
      <c r="M144" s="983">
        <v>0</v>
      </c>
      <c r="N144" s="983">
        <v>0</v>
      </c>
      <c r="O144" s="983"/>
    </row>
    <row r="145" spans="1:18" hidden="1">
      <c r="C145" t="s">
        <v>172</v>
      </c>
      <c r="E145" s="3578" t="s">
        <v>2736</v>
      </c>
      <c r="F145" s="983"/>
      <c r="G145" s="983"/>
      <c r="H145" s="983"/>
      <c r="I145" s="983"/>
      <c r="J145" s="983"/>
      <c r="K145" s="983"/>
      <c r="L145" s="983"/>
      <c r="M145" s="983"/>
      <c r="N145" s="983"/>
    </row>
    <row r="146" spans="1:18" hidden="1">
      <c r="C146" t="s">
        <v>291</v>
      </c>
      <c r="E146" s="3578" t="s">
        <v>2736</v>
      </c>
      <c r="F146" s="983">
        <v>0</v>
      </c>
      <c r="G146" s="983">
        <v>0</v>
      </c>
      <c r="H146" s="983">
        <v>0</v>
      </c>
      <c r="I146" s="983">
        <v>0</v>
      </c>
      <c r="J146" s="983">
        <v>0</v>
      </c>
      <c r="K146" s="983">
        <v>0</v>
      </c>
      <c r="L146" s="983">
        <v>0</v>
      </c>
      <c r="M146" s="983">
        <v>0</v>
      </c>
      <c r="N146" s="983">
        <v>0</v>
      </c>
    </row>
    <row r="147" spans="1:18" s="6" customFormat="1">
      <c r="F147" s="365"/>
      <c r="R147" s="365"/>
    </row>
    <row r="148" spans="1:18" ht="23.5">
      <c r="A148" s="7"/>
      <c r="B148" s="502" t="s">
        <v>296</v>
      </c>
      <c r="C148" s="503"/>
      <c r="D148" s="503"/>
      <c r="E148" s="503"/>
      <c r="F148" s="503"/>
      <c r="G148" s="503"/>
      <c r="H148" s="503"/>
      <c r="I148" s="503"/>
      <c r="J148" s="503"/>
      <c r="K148" s="503"/>
      <c r="L148" s="503"/>
      <c r="M148" s="503"/>
      <c r="N148" s="503"/>
      <c r="O148" s="857"/>
      <c r="R148" s="365"/>
    </row>
    <row r="149" spans="1:18">
      <c r="B149" s="505"/>
      <c r="C149" s="506"/>
      <c r="D149" s="506"/>
      <c r="E149" s="506"/>
      <c r="F149" s="506"/>
      <c r="G149" s="506"/>
      <c r="H149" s="506"/>
      <c r="I149" s="506"/>
      <c r="J149" s="506"/>
      <c r="K149" s="506"/>
      <c r="L149" s="506"/>
      <c r="M149" s="506"/>
      <c r="N149" s="506"/>
      <c r="O149" s="858"/>
      <c r="R149" s="365"/>
    </row>
    <row r="150" spans="1:18">
      <c r="B150" s="505"/>
      <c r="C150" s="34" t="s">
        <v>746</v>
      </c>
      <c r="D150" s="506"/>
      <c r="E150" s="507" t="str">
        <f>Preferences.EnergyUnits</f>
        <v>TWh</v>
      </c>
      <c r="F150" s="506"/>
      <c r="G150" s="506"/>
      <c r="H150" s="506"/>
      <c r="I150" s="506"/>
      <c r="J150" s="506"/>
      <c r="K150" s="506"/>
      <c r="L150" s="506"/>
      <c r="M150" s="506"/>
      <c r="N150" s="506"/>
      <c r="O150" s="858"/>
      <c r="R150" s="365"/>
    </row>
    <row r="151" spans="1:18">
      <c r="B151" s="505"/>
      <c r="C151" s="506"/>
      <c r="D151" s="506"/>
      <c r="E151" s="506"/>
      <c r="F151" s="506"/>
      <c r="G151" s="506"/>
      <c r="H151" s="506"/>
      <c r="I151" s="506"/>
      <c r="J151" s="506"/>
      <c r="K151" s="506"/>
      <c r="L151" s="506"/>
      <c r="M151" s="506"/>
      <c r="N151" s="506"/>
      <c r="O151" s="858"/>
      <c r="R151" s="365"/>
    </row>
    <row r="152" spans="1:18" ht="15.5">
      <c r="A152" s="434"/>
      <c r="B152" s="15"/>
      <c r="C152" s="1712" t="s">
        <v>28</v>
      </c>
      <c r="D152" s="1712" t="s">
        <v>29</v>
      </c>
      <c r="E152" s="1712" t="s">
        <v>30</v>
      </c>
      <c r="F152" s="1712" t="s">
        <v>588</v>
      </c>
      <c r="G152" s="1712" t="s">
        <v>132</v>
      </c>
      <c r="H152" s="1712" t="s">
        <v>133</v>
      </c>
      <c r="I152" s="1712" t="s">
        <v>134</v>
      </c>
      <c r="J152" s="1712" t="s">
        <v>135</v>
      </c>
      <c r="K152" s="1712" t="s">
        <v>136</v>
      </c>
      <c r="L152" s="1712" t="s">
        <v>137</v>
      </c>
      <c r="M152" s="1712" t="s">
        <v>138</v>
      </c>
      <c r="N152" s="1712" t="s">
        <v>139</v>
      </c>
      <c r="O152" s="858"/>
    </row>
    <row r="153" spans="1:18" ht="15.5">
      <c r="A153" s="434"/>
      <c r="B153" s="15"/>
      <c r="C153" s="1712" t="s">
        <v>407</v>
      </c>
      <c r="D153" s="3047" t="str">
        <f>INDEX(Vectors[Description], MATCH(X.b.Outputs[Vector], Vectors[Code], 0))</f>
        <v>Lighting &amp; appliances</v>
      </c>
      <c r="E153" s="1712"/>
      <c r="F153" s="1715">
        <f>F115+F116</f>
        <v>4.54</v>
      </c>
      <c r="G153" s="1715">
        <f t="shared" ref="G153:N153" si="13">G115+G116</f>
        <v>4.5931982647189695</v>
      </c>
      <c r="H153" s="1715">
        <f t="shared" si="13"/>
        <v>4.7261939265164195</v>
      </c>
      <c r="I153" s="1715">
        <f t="shared" si="13"/>
        <v>4.8591895883138498</v>
      </c>
      <c r="J153" s="1715">
        <f t="shared" si="13"/>
        <v>4.99218525011129</v>
      </c>
      <c r="K153" s="1715">
        <f t="shared" si="13"/>
        <v>5.1251809119087195</v>
      </c>
      <c r="L153" s="1715">
        <f t="shared" si="13"/>
        <v>5.2581765737061597</v>
      </c>
      <c r="M153" s="1715">
        <f t="shared" si="13"/>
        <v>5.3911722355035998</v>
      </c>
      <c r="N153" s="1715">
        <f t="shared" si="13"/>
        <v>5.5241678973010302</v>
      </c>
      <c r="O153" s="858"/>
    </row>
    <row r="154" spans="1:18" ht="15.5">
      <c r="A154" s="434"/>
      <c r="B154" s="15"/>
      <c r="C154" s="1712" t="s">
        <v>95</v>
      </c>
      <c r="D154" s="3047" t="str">
        <f>INDEX(Vectors[Description], MATCH(X.b.Outputs[Vector], Vectors[Code], 0))</f>
        <v>Electricity (delivered to end user)</v>
      </c>
      <c r="E154" s="1712"/>
      <c r="F154" s="1715">
        <f>-F115</f>
        <v>-4.048</v>
      </c>
      <c r="G154" s="1715">
        <f t="shared" ref="G154:N155" si="14">-G115</f>
        <v>-4.1010179951924579</v>
      </c>
      <c r="H154" s="1715">
        <f t="shared" si="14"/>
        <v>-4.2335629831736199</v>
      </c>
      <c r="I154" s="1715">
        <f t="shared" si="14"/>
        <v>-4.3661079711547659</v>
      </c>
      <c r="J154" s="1715">
        <f t="shared" si="14"/>
        <v>-4.4986529591359217</v>
      </c>
      <c r="K154" s="1715">
        <f t="shared" si="14"/>
        <v>-4.6311979471170677</v>
      </c>
      <c r="L154" s="1715">
        <f t="shared" si="14"/>
        <v>-4.7637429350982234</v>
      </c>
      <c r="M154" s="1715">
        <f t="shared" si="14"/>
        <v>-4.8962879230793801</v>
      </c>
      <c r="N154" s="1715">
        <f t="shared" si="14"/>
        <v>-5.0288329110605261</v>
      </c>
      <c r="O154" s="858"/>
    </row>
    <row r="155" spans="1:18" ht="15.5">
      <c r="A155" s="434"/>
      <c r="B155" s="15"/>
      <c r="C155" s="1712" t="s">
        <v>99</v>
      </c>
      <c r="D155" s="3047" t="str">
        <f>INDEX(Vectors[Description], MATCH(X.b.Outputs[Vector], Vectors[Code], 0))</f>
        <v>Gaseous hydrocarbons</v>
      </c>
      <c r="E155" s="1712"/>
      <c r="F155" s="1715">
        <f>-F116</f>
        <v>-0.49199999999999999</v>
      </c>
      <c r="G155" s="1715">
        <f t="shared" si="14"/>
        <v>-0.492180269526512</v>
      </c>
      <c r="H155" s="1715">
        <f t="shared" si="14"/>
        <v>-0.4926309433428</v>
      </c>
      <c r="I155" s="1715">
        <f t="shared" si="14"/>
        <v>-0.49308161715908405</v>
      </c>
      <c r="J155" s="1715">
        <f t="shared" si="14"/>
        <v>-0.49353229097536799</v>
      </c>
      <c r="K155" s="1715">
        <f t="shared" si="14"/>
        <v>-0.49398296479165205</v>
      </c>
      <c r="L155" s="1715">
        <f t="shared" si="14"/>
        <v>-0.49443363860793604</v>
      </c>
      <c r="M155" s="1715">
        <f t="shared" si="14"/>
        <v>-0.49488431242421999</v>
      </c>
      <c r="N155" s="1715">
        <f t="shared" si="14"/>
        <v>-0.49533498624050404</v>
      </c>
      <c r="O155" s="858"/>
    </row>
    <row r="156" spans="1:18" ht="15.5">
      <c r="A156" s="434"/>
      <c r="B156" s="15"/>
      <c r="C156" s="3525" t="s">
        <v>58</v>
      </c>
      <c r="D156" s="3525"/>
      <c r="E156" s="3525"/>
      <c r="F156" s="3046">
        <f>SUBTOTAL(109,X.b.Outputs[2013])</f>
        <v>0</v>
      </c>
      <c r="G156" s="3046">
        <f>SUBTOTAL(109,X.b.Outputs[2015])</f>
        <v>0</v>
      </c>
      <c r="H156" s="3046">
        <f>SUBTOTAL(109,X.b.Outputs[2020])</f>
        <v>-4.4408920985006262E-16</v>
      </c>
      <c r="I156" s="3046">
        <f>SUBTOTAL(109,X.b.Outputs[2025])</f>
        <v>0</v>
      </c>
      <c r="J156" s="3046">
        <f>SUBTOTAL(109,X.b.Outputs[2030])</f>
        <v>0</v>
      </c>
      <c r="K156" s="3046">
        <f>SUBTOTAL(109,X.b.Outputs[2035])</f>
        <v>0</v>
      </c>
      <c r="L156" s="3046">
        <f>SUBTOTAL(109,X.b.Outputs[2040])</f>
        <v>0</v>
      </c>
      <c r="M156" s="3046">
        <f>SUBTOTAL(109,X.b.Outputs[2045])</f>
        <v>0</v>
      </c>
      <c r="N156" s="3046">
        <f>SUBTOTAL(109,X.b.Outputs[2050])</f>
        <v>0</v>
      </c>
      <c r="O156" s="858"/>
    </row>
    <row r="157" spans="1:18">
      <c r="B157" s="506"/>
      <c r="C157" s="443"/>
      <c r="D157" s="443"/>
      <c r="E157" s="443"/>
      <c r="F157" s="1325"/>
      <c r="G157" s="443"/>
      <c r="H157" s="443"/>
      <c r="I157" s="443"/>
      <c r="J157" s="443"/>
      <c r="K157" s="443"/>
      <c r="L157" s="443"/>
      <c r="M157" s="443"/>
      <c r="N157" s="443"/>
      <c r="O157" s="506"/>
    </row>
    <row r="158" spans="1:18" ht="23.5">
      <c r="A158" s="7"/>
    </row>
    <row r="159" spans="1:18" ht="15">
      <c r="B159" s="1118" t="s">
        <v>300</v>
      </c>
      <c r="C159" s="1119"/>
      <c r="D159" s="1120"/>
      <c r="E159" s="1120"/>
      <c r="F159" s="1120"/>
      <c r="G159" s="1120"/>
      <c r="H159" s="1120"/>
      <c r="I159" s="1120"/>
      <c r="J159" s="1120"/>
      <c r="K159" s="1120"/>
      <c r="L159" s="1120"/>
      <c r="M159" s="1120"/>
      <c r="N159" s="1120"/>
      <c r="O159" s="1121"/>
    </row>
    <row r="160" spans="1:18">
      <c r="B160" s="1122"/>
      <c r="C160" s="1123"/>
      <c r="D160" s="1123"/>
      <c r="E160" s="1123"/>
      <c r="F160" s="1123"/>
      <c r="G160" s="1123"/>
      <c r="H160" s="1123"/>
      <c r="I160" s="1123"/>
      <c r="J160" s="1123"/>
      <c r="K160" s="1123"/>
      <c r="L160" s="1123"/>
      <c r="M160" s="1123"/>
      <c r="N160" s="1123"/>
      <c r="O160" s="1124"/>
    </row>
    <row r="161" spans="2:15">
      <c r="B161" s="1125"/>
      <c r="C161" s="453" t="s">
        <v>1005</v>
      </c>
      <c r="D161" s="1126"/>
      <c r="E161" s="1127"/>
      <c r="F161" s="1126"/>
      <c r="G161" s="1126"/>
      <c r="H161" s="1126"/>
      <c r="I161" s="1126"/>
      <c r="J161" s="1126"/>
      <c r="K161" s="1126"/>
      <c r="L161" s="1126"/>
      <c r="M161" s="1126"/>
      <c r="N161" s="1128" t="s">
        <v>251</v>
      </c>
      <c r="O161" s="1129"/>
    </row>
    <row r="162" spans="2:15">
      <c r="B162" s="1125"/>
      <c r="C162" s="1126"/>
      <c r="D162" s="1126"/>
      <c r="E162" s="1126"/>
      <c r="F162" s="1126"/>
      <c r="G162" s="1126"/>
      <c r="H162" s="1126"/>
      <c r="I162" s="1126"/>
      <c r="J162" s="1126"/>
      <c r="K162" s="1126"/>
      <c r="L162" s="1126"/>
      <c r="M162" s="1126"/>
      <c r="N162" s="1126"/>
      <c r="O162" s="1129"/>
    </row>
    <row r="163" spans="2:15" ht="15.5">
      <c r="B163" s="458"/>
      <c r="C163" s="1327" t="s">
        <v>302</v>
      </c>
      <c r="D163" s="1327" t="s">
        <v>303</v>
      </c>
      <c r="E163" s="1327" t="s">
        <v>30</v>
      </c>
      <c r="F163" s="1327" t="s">
        <v>588</v>
      </c>
      <c r="G163" s="1327" t="s">
        <v>132</v>
      </c>
      <c r="H163" s="1327" t="s">
        <v>133</v>
      </c>
      <c r="I163" s="1327" t="s">
        <v>134</v>
      </c>
      <c r="J163" s="1327" t="s">
        <v>135</v>
      </c>
      <c r="K163" s="1327" t="s">
        <v>136</v>
      </c>
      <c r="L163" s="1327" t="s">
        <v>137</v>
      </c>
      <c r="M163" s="1327" t="s">
        <v>138</v>
      </c>
      <c r="N163" s="1327" t="s">
        <v>139</v>
      </c>
      <c r="O163" s="1129"/>
    </row>
    <row r="164" spans="2:15" ht="15.5">
      <c r="B164" s="458"/>
      <c r="C164" s="1131" t="s">
        <v>250</v>
      </c>
      <c r="D164" s="1132" t="s">
        <v>304</v>
      </c>
      <c r="E164" s="1131" t="s">
        <v>305</v>
      </c>
      <c r="F164" s="461">
        <f>F120</f>
        <v>0.10072283039999999</v>
      </c>
      <c r="G164" s="461">
        <f t="shared" ref="G164:N166" si="15">G120</f>
        <v>0.10075973539379096</v>
      </c>
      <c r="H164" s="461">
        <f t="shared" si="15"/>
        <v>0.10085199787827002</v>
      </c>
      <c r="I164" s="461">
        <f t="shared" si="15"/>
        <v>0.10094426036274827</v>
      </c>
      <c r="J164" s="461">
        <f t="shared" si="15"/>
        <v>0.1010365228472265</v>
      </c>
      <c r="K164" s="461">
        <f t="shared" si="15"/>
        <v>0.10112878533170476</v>
      </c>
      <c r="L164" s="461">
        <f t="shared" si="15"/>
        <v>0.10122104781618299</v>
      </c>
      <c r="M164" s="461">
        <f t="shared" si="15"/>
        <v>0.10131331030066122</v>
      </c>
      <c r="N164" s="461">
        <f t="shared" si="15"/>
        <v>0.10140557278513947</v>
      </c>
      <c r="O164" s="1129"/>
    </row>
    <row r="165" spans="2:15" ht="15.5">
      <c r="B165" s="458"/>
      <c r="C165" s="1131" t="s">
        <v>252</v>
      </c>
      <c r="D165" s="1132" t="s">
        <v>304</v>
      </c>
      <c r="E165" s="1131" t="s">
        <v>305</v>
      </c>
      <c r="F165" s="461">
        <f>F121</f>
        <v>3.7195200000000006E-5</v>
      </c>
      <c r="G165" s="461">
        <f t="shared" si="15"/>
        <v>3.7208828376204308E-5</v>
      </c>
      <c r="H165" s="461">
        <f t="shared" si="15"/>
        <v>3.7242899316715681E-5</v>
      </c>
      <c r="I165" s="461">
        <f t="shared" si="15"/>
        <v>3.7276970257226756E-5</v>
      </c>
      <c r="J165" s="461">
        <f t="shared" si="15"/>
        <v>3.7311041197737823E-5</v>
      </c>
      <c r="K165" s="461">
        <f t="shared" si="15"/>
        <v>3.7345112138248898E-5</v>
      </c>
      <c r="L165" s="461">
        <f t="shared" si="15"/>
        <v>3.7379183078759966E-5</v>
      </c>
      <c r="M165" s="461">
        <f t="shared" si="15"/>
        <v>3.7413254019271034E-5</v>
      </c>
      <c r="N165" s="461">
        <f t="shared" si="15"/>
        <v>3.7447324959782108E-5</v>
      </c>
      <c r="O165" s="1129"/>
    </row>
    <row r="166" spans="2:15" ht="15.5">
      <c r="B166" s="458"/>
      <c r="C166" s="1131" t="s">
        <v>253</v>
      </c>
      <c r="D166" s="1132" t="s">
        <v>304</v>
      </c>
      <c r="E166" s="1131" t="s">
        <v>305</v>
      </c>
      <c r="F166" s="461">
        <f>F122</f>
        <v>1.5923088E-3</v>
      </c>
      <c r="G166" s="461">
        <f t="shared" si="15"/>
        <v>1.5928922242956034E-3</v>
      </c>
      <c r="H166" s="461">
        <f t="shared" si="15"/>
        <v>1.5943507850346378E-3</v>
      </c>
      <c r="I166" s="461">
        <f t="shared" si="15"/>
        <v>1.5958093457736596E-3</v>
      </c>
      <c r="J166" s="461">
        <f t="shared" si="15"/>
        <v>1.597267906512681E-3</v>
      </c>
      <c r="K166" s="461">
        <f t="shared" si="15"/>
        <v>1.5987264672517026E-3</v>
      </c>
      <c r="L166" s="461">
        <f t="shared" si="15"/>
        <v>1.6001850279907242E-3</v>
      </c>
      <c r="M166" s="461">
        <f t="shared" si="15"/>
        <v>1.6016435887297455E-3</v>
      </c>
      <c r="N166" s="461">
        <f t="shared" si="15"/>
        <v>1.6031021494687674E-3</v>
      </c>
      <c r="O166" s="1129"/>
    </row>
    <row r="167" spans="2:15" ht="15.5">
      <c r="B167" s="458"/>
      <c r="C167" s="2436" t="s">
        <v>58</v>
      </c>
      <c r="D167" s="2436"/>
      <c r="E167" s="2436"/>
      <c r="F167" s="3526"/>
      <c r="G167" s="3526"/>
      <c r="H167" s="3526"/>
      <c r="I167" s="3526"/>
      <c r="J167" s="3526"/>
      <c r="K167" s="3526"/>
      <c r="L167" s="3526"/>
      <c r="M167" s="3526"/>
      <c r="N167" s="3527">
        <f>SUBTOTAL(109,X.b.Emissions[2050])</f>
        <v>0.10304612225956801</v>
      </c>
      <c r="O167" s="1129"/>
    </row>
    <row r="168" spans="2:15">
      <c r="B168" s="468"/>
      <c r="C168" s="468"/>
      <c r="D168" s="468"/>
      <c r="E168" s="468"/>
      <c r="F168" s="468"/>
      <c r="G168" s="468"/>
      <c r="H168" s="468"/>
      <c r="I168" s="468"/>
      <c r="J168" s="468"/>
      <c r="K168" s="468"/>
      <c r="L168" s="468"/>
      <c r="M168" s="468"/>
      <c r="N168" s="468"/>
      <c r="O168" s="468"/>
    </row>
    <row r="169" spans="2:15">
      <c r="B169" s="468"/>
      <c r="C169" s="466" t="s">
        <v>2690</v>
      </c>
      <c r="D169" s="1372"/>
      <c r="E169" s="1131"/>
      <c r="F169" s="462"/>
      <c r="G169" s="462"/>
      <c r="H169" s="462"/>
      <c r="I169" s="462"/>
      <c r="J169" s="462"/>
      <c r="K169" s="462"/>
      <c r="L169" s="462"/>
      <c r="M169" s="462"/>
      <c r="N169" s="1134" t="s">
        <v>831</v>
      </c>
      <c r="O169" s="468"/>
    </row>
    <row r="170" spans="2:15">
      <c r="B170" s="468"/>
      <c r="C170" s="3528"/>
      <c r="D170" s="3528"/>
      <c r="E170" s="3528"/>
      <c r="F170" s="3528"/>
      <c r="G170" s="3528"/>
      <c r="H170" s="3528"/>
      <c r="I170" s="3528"/>
      <c r="J170" s="3528"/>
      <c r="K170" s="3528"/>
      <c r="L170" s="3528"/>
      <c r="M170" s="3528"/>
      <c r="N170" s="3528"/>
      <c r="O170" s="468"/>
    </row>
    <row r="171" spans="2:15">
      <c r="B171" s="468"/>
      <c r="C171" s="1732" t="s">
        <v>28</v>
      </c>
      <c r="D171" s="1733" t="s">
        <v>29</v>
      </c>
      <c r="E171" s="1733" t="s">
        <v>303</v>
      </c>
      <c r="F171" s="1733" t="s">
        <v>588</v>
      </c>
      <c r="G171" s="1733" t="s">
        <v>132</v>
      </c>
      <c r="H171" s="1733" t="s">
        <v>133</v>
      </c>
      <c r="I171" s="1733" t="s">
        <v>134</v>
      </c>
      <c r="J171" s="1733" t="s">
        <v>135</v>
      </c>
      <c r="K171" s="1733" t="s">
        <v>136</v>
      </c>
      <c r="L171" s="1733" t="s">
        <v>137</v>
      </c>
      <c r="M171" s="1733" t="s">
        <v>138</v>
      </c>
      <c r="N171" s="1734" t="s">
        <v>139</v>
      </c>
      <c r="O171" s="468"/>
    </row>
    <row r="172" spans="2:15">
      <c r="B172" s="468"/>
      <c r="C172" s="3598" t="str">
        <f>INDEX(AirQualityVectors[Code],MATCH(D172,AirQualityVectors[Description],0))</f>
        <v>AQ.01</v>
      </c>
      <c r="D172" s="1375" t="s">
        <v>258</v>
      </c>
      <c r="E172" s="1374" t="s">
        <v>304</v>
      </c>
      <c r="F172" s="3520">
        <f ca="1">F51*F$116*(1-'Intermediate output'!AY$255*(1-Constants!$F$37))</f>
        <v>9.1478183333564759E-4</v>
      </c>
      <c r="G172" s="3520">
        <f ca="1">G51*G$116*(1-'Intermediate output'!AZ$255*(1-Constants!$F$37))</f>
        <v>9.1864235212070456E-4</v>
      </c>
      <c r="H172" s="3520">
        <f ca="1">H51*H$116*(1-'Intermediate output'!BA$255*(1-Constants!$F$37))</f>
        <v>9.2619470554045318E-4</v>
      </c>
      <c r="I172" s="3520">
        <f ca="1">I51*I$116*(1-'Intermediate output'!BB$255*(1-Constants!$F$37))</f>
        <v>9.3784849724942677E-4</v>
      </c>
      <c r="J172" s="3520">
        <f ca="1">J51*J$116*(1-'Intermediate output'!BC$255*(1-Constants!$F$37))</f>
        <v>9.3030039388540466E-4</v>
      </c>
      <c r="K172" s="3520">
        <f ca="1">K51*K$116*(1-'Intermediate output'!BD$255*(1-Constants!$F$37))</f>
        <v>9.3347062644555726E-4</v>
      </c>
      <c r="L172" s="3520">
        <f ca="1">L51*L$116*(1-'Intermediate output'!BE$255*(1-Constants!$F$37))</f>
        <v>9.4135143122989608E-4</v>
      </c>
      <c r="M172" s="3520">
        <f ca="1">M51*M$116*(1-'Intermediate output'!BF$255*(1-Constants!$F$37))</f>
        <v>9.488430355107276E-4</v>
      </c>
      <c r="N172" s="3520">
        <f ca="1">N51*N$116*(1-'Intermediate output'!BG$255*(1-Constants!$F$37))</f>
        <v>9.4751062548101641E-4</v>
      </c>
      <c r="O172" s="468"/>
    </row>
    <row r="173" spans="2:15">
      <c r="B173" s="468"/>
      <c r="C173" s="3599" t="str">
        <f>INDEX(AirQualityVectors[Code],MATCH(D173,AirQualityVectors[Description],0))</f>
        <v>AQ.02</v>
      </c>
      <c r="D173" s="1376" t="s">
        <v>260</v>
      </c>
      <c r="E173" s="1373" t="s">
        <v>304</v>
      </c>
      <c r="F173" s="3521">
        <f ca="1">F56*F$116*(1-'Intermediate output'!AY$255*(1-Constants!$G$37))</f>
        <v>0.12379139187127436</v>
      </c>
      <c r="G173" s="3521">
        <f ca="1">G56*G$116*(1-'Intermediate output'!AZ$255*(1-Constants!$G$37))</f>
        <v>0.12381348099709065</v>
      </c>
      <c r="H173" s="3521">
        <f ca="1">H56*H$116*(1-'Intermediate output'!BA$255*(1-Constants!$G$37))</f>
        <v>0.12388255741649259</v>
      </c>
      <c r="I173" s="3521">
        <f ca="1">I56*I$116*(1-'Intermediate output'!BB$255*(1-Constants!$G$37))</f>
        <v>0.12392456321476818</v>
      </c>
      <c r="J173" s="3521">
        <f ca="1">J56*J$116*(1-'Intermediate output'!BC$255*(1-Constants!$G$37))</f>
        <v>0.12409330680348535</v>
      </c>
      <c r="K173" s="3521">
        <f ca="1">K56*K$116*(1-'Intermediate output'!BD$255*(1-Constants!$G$37))</f>
        <v>0.12419130642619937</v>
      </c>
      <c r="L173" s="3521">
        <f ca="1">L56*L$116*(1-'Intermediate output'!BE$255*(1-Constants!$G$37))</f>
        <v>0.12425821497622812</v>
      </c>
      <c r="M173" s="3521">
        <f ca="1">M56*M$116*(1-'Intermediate output'!BF$255*(1-Constants!$G$37))</f>
        <v>0.12432769235665955</v>
      </c>
      <c r="N173" s="3521">
        <f ca="1">N56*N$116*(1-'Intermediate output'!BG$255*(1-Constants!$G$37))</f>
        <v>0.12445541065926524</v>
      </c>
      <c r="O173" s="468"/>
    </row>
    <row r="174" spans="2:15">
      <c r="B174" s="468"/>
      <c r="C174" s="3599" t="str">
        <f>INDEX(AirQualityVectors[Code],MATCH(D174,AirQualityVectors[Description],0))</f>
        <v>AQ.03</v>
      </c>
      <c r="D174" s="1376" t="s">
        <v>262</v>
      </c>
      <c r="E174" s="1373" t="s">
        <v>304</v>
      </c>
      <c r="F174" s="3521">
        <f ca="1">F61*F$116*(1-'Intermediate output'!AY$255*(1-Constants!$H$37))</f>
        <v>0</v>
      </c>
      <c r="G174" s="3521">
        <f ca="1">G61*G$116*(1-'Intermediate output'!AZ$255*(1-Constants!$H$37))</f>
        <v>0</v>
      </c>
      <c r="H174" s="3521">
        <f ca="1">H61*H$116*(1-'Intermediate output'!BA$255*(1-Constants!$H$37))</f>
        <v>0</v>
      </c>
      <c r="I174" s="3521">
        <f ca="1">I61*I$116*(1-'Intermediate output'!BB$255*(1-Constants!$H$37))</f>
        <v>0</v>
      </c>
      <c r="J174" s="3521">
        <f ca="1">J61*J$116*(1-'Intermediate output'!BC$255*(1-Constants!$H$37))</f>
        <v>0</v>
      </c>
      <c r="K174" s="3521">
        <f ca="1">K61*K$116*(1-'Intermediate output'!BD$255*(1-Constants!$H$37))</f>
        <v>0</v>
      </c>
      <c r="L174" s="3521">
        <f ca="1">L61*L$116*(1-'Intermediate output'!BE$255*(1-Constants!$H$37))</f>
        <v>0</v>
      </c>
      <c r="M174" s="3521">
        <f ca="1">M61*M$116*(1-'Intermediate output'!BF$255*(1-Constants!$H$37))</f>
        <v>0</v>
      </c>
      <c r="N174" s="3521">
        <f ca="1">N61*N$116*(1-'Intermediate output'!BG$255*(1-Constants!$H$37))</f>
        <v>0</v>
      </c>
      <c r="O174" s="468"/>
    </row>
    <row r="175" spans="2:15">
      <c r="B175" s="468"/>
      <c r="C175" s="3600" t="str">
        <f>INDEX(AirQualityVectors[Code],MATCH(D175,AirQualityVectors[Description],0))</f>
        <v>AQ.04</v>
      </c>
      <c r="D175" s="1735" t="s">
        <v>264</v>
      </c>
      <c r="E175" s="1736" t="s">
        <v>304</v>
      </c>
      <c r="F175" s="3529">
        <f ca="1">F66*F$116*(1-'Intermediate output'!AY$255*(1-Constants!$I$37))</f>
        <v>1.7752527878705935E-2</v>
      </c>
      <c r="G175" s="3529">
        <f ca="1">G66*G$116*(1-'Intermediate output'!AZ$255*(1-Constants!$I$37))</f>
        <v>1.7763928443178412E-2</v>
      </c>
      <c r="H175" s="3529">
        <f ca="1">H66*H$116*(1-'Intermediate output'!BA$255*(1-Constants!$I$37))</f>
        <v>1.7789514830881446E-2</v>
      </c>
      <c r="I175" s="3529">
        <f ca="1">I66*I$116*(1-'Intermediate output'!BB$255*(1-Constants!$I$37))</f>
        <v>1.7820797316961498E-2</v>
      </c>
      <c r="J175" s="3529">
        <f ca="1">J66*J$116*(1-'Intermediate output'!BC$255*(1-Constants!$I$37))</f>
        <v>1.782541211340425E-2</v>
      </c>
      <c r="K175" s="3529">
        <f ca="1">K66*K$116*(1-'Intermediate output'!BD$255*(1-Constants!$I$37))</f>
        <v>1.7844912589347266E-2</v>
      </c>
      <c r="L175" s="3529">
        <f ca="1">L66*L$116*(1-'Intermediate output'!BE$255*(1-Constants!$I$37))</f>
        <v>1.7870955131977499E-2</v>
      </c>
      <c r="M175" s="3529">
        <f ca="1">M66*M$116*(1-'Intermediate output'!BF$255*(1-Constants!$I$37))</f>
        <v>1.7896457150966986E-2</v>
      </c>
      <c r="N175" s="3529">
        <f ca="1">N66*N$116*(1-'Intermediate output'!BG$255*(1-Constants!$I$37))</f>
        <v>1.7909704333957523E-2</v>
      </c>
      <c r="O175" s="468"/>
    </row>
    <row r="176" spans="2:15" ht="15.5">
      <c r="B176" s="458"/>
      <c r="C176" s="468"/>
      <c r="D176" s="468"/>
      <c r="E176" s="468"/>
      <c r="F176" s="468"/>
      <c r="G176" s="468"/>
      <c r="H176" s="468"/>
      <c r="I176" s="468"/>
      <c r="J176" s="468"/>
      <c r="K176" s="468"/>
      <c r="L176" s="468"/>
      <c r="M176" s="468"/>
      <c r="N176" s="468"/>
      <c r="O176" s="1129"/>
    </row>
    <row r="177" spans="2:21" ht="15.5">
      <c r="B177" s="465"/>
      <c r="C177" s="1140"/>
      <c r="D177" s="1140"/>
      <c r="E177" s="1140"/>
      <c r="F177" s="1140"/>
      <c r="G177" s="1140"/>
      <c r="H177" s="1140"/>
      <c r="I177" s="1140"/>
      <c r="J177" s="1140"/>
      <c r="K177" s="1140"/>
      <c r="L177" s="1140"/>
      <c r="M177" s="1140"/>
      <c r="N177" s="1140"/>
      <c r="O177" s="1126"/>
    </row>
    <row r="178" spans="2:21">
      <c r="R178" s="1143"/>
      <c r="S178" s="1144"/>
      <c r="T178" s="1143"/>
      <c r="U178" s="1143"/>
    </row>
    <row r="179" spans="2:21">
      <c r="S179" s="6"/>
    </row>
    <row r="180" spans="2:21" ht="15">
      <c r="B180" s="986" t="s">
        <v>310</v>
      </c>
      <c r="C180" s="987"/>
      <c r="D180" s="988"/>
      <c r="E180" s="988"/>
      <c r="F180" s="988"/>
      <c r="G180" s="988"/>
      <c r="H180" s="988"/>
      <c r="I180" s="988"/>
      <c r="J180" s="988"/>
      <c r="K180" s="988"/>
      <c r="L180" s="988"/>
      <c r="M180" s="988"/>
      <c r="N180" s="988"/>
      <c r="O180" s="989"/>
      <c r="S180" s="6"/>
    </row>
    <row r="181" spans="2:21">
      <c r="B181" s="990"/>
      <c r="C181" s="991"/>
      <c r="D181" s="991"/>
      <c r="E181" s="991"/>
      <c r="F181" s="991"/>
      <c r="G181" s="991"/>
      <c r="H181" s="991"/>
      <c r="I181" s="991"/>
      <c r="J181" s="991"/>
      <c r="K181" s="991"/>
      <c r="L181" s="991"/>
      <c r="M181" s="991"/>
      <c r="N181" s="991"/>
      <c r="O181" s="992"/>
      <c r="S181" s="6"/>
    </row>
    <row r="182" spans="2:21">
      <c r="B182" s="993"/>
      <c r="C182" s="479" t="s">
        <v>311</v>
      </c>
      <c r="D182" s="994"/>
      <c r="E182" s="995"/>
      <c r="F182" s="994"/>
      <c r="G182" s="994"/>
      <c r="H182" s="994"/>
      <c r="I182" s="994"/>
      <c r="J182" s="994"/>
      <c r="K182" s="994"/>
      <c r="L182" s="994"/>
      <c r="M182" s="994"/>
      <c r="N182" s="995"/>
      <c r="O182" s="996"/>
    </row>
    <row r="183" spans="2:21">
      <c r="B183" s="993"/>
      <c r="C183" s="994"/>
      <c r="D183" s="994"/>
      <c r="E183" s="994"/>
      <c r="F183" s="994"/>
      <c r="G183" s="994"/>
      <c r="H183" s="994"/>
      <c r="I183" s="994"/>
      <c r="J183" s="994"/>
      <c r="K183" s="994"/>
      <c r="L183" s="994"/>
      <c r="M183" s="994"/>
      <c r="N183" s="994"/>
      <c r="O183" s="996"/>
    </row>
    <row r="184" spans="2:21" ht="15.5">
      <c r="B184" s="483"/>
      <c r="C184" s="997" t="s">
        <v>28</v>
      </c>
      <c r="D184" s="997" t="s">
        <v>312</v>
      </c>
      <c r="E184" s="997" t="s">
        <v>30</v>
      </c>
      <c r="F184" s="997">
        <v>2013</v>
      </c>
      <c r="G184" s="997" t="s">
        <v>132</v>
      </c>
      <c r="H184" s="997" t="s">
        <v>133</v>
      </c>
      <c r="I184" s="997" t="s">
        <v>134</v>
      </c>
      <c r="J184" s="997" t="s">
        <v>135</v>
      </c>
      <c r="K184" s="997" t="s">
        <v>136</v>
      </c>
      <c r="L184" s="997" t="s">
        <v>137</v>
      </c>
      <c r="M184" s="997" t="s">
        <v>138</v>
      </c>
      <c r="N184" s="997" t="s">
        <v>139</v>
      </c>
      <c r="O184" s="996"/>
    </row>
    <row r="185" spans="2:21" ht="15.5">
      <c r="B185" s="483"/>
      <c r="C185" s="998"/>
      <c r="D185" s="485"/>
      <c r="E185" s="485"/>
      <c r="F185" s="999"/>
      <c r="G185" s="999"/>
      <c r="H185" s="999"/>
      <c r="I185" s="999"/>
      <c r="J185" s="999"/>
      <c r="K185" s="999"/>
      <c r="L185" s="999"/>
      <c r="M185" s="999"/>
      <c r="N185" s="999"/>
      <c r="O185" s="996"/>
    </row>
    <row r="186" spans="2:21" ht="15.5">
      <c r="B186" s="483"/>
      <c r="C186" s="998"/>
      <c r="D186" s="485"/>
      <c r="E186" s="485"/>
      <c r="F186" s="999"/>
      <c r="G186" s="999"/>
      <c r="H186" s="999"/>
      <c r="I186" s="999"/>
      <c r="J186" s="999"/>
      <c r="K186" s="999"/>
      <c r="L186" s="999"/>
      <c r="M186" s="999"/>
      <c r="N186" s="999"/>
      <c r="O186" s="996"/>
    </row>
    <row r="187" spans="2:21" ht="15.5">
      <c r="B187" s="488"/>
      <c r="C187" s="1001"/>
      <c r="D187" s="1001"/>
      <c r="E187" s="1001"/>
      <c r="F187" s="1001"/>
      <c r="G187" s="1001"/>
      <c r="H187" s="1001"/>
      <c r="I187" s="1001"/>
      <c r="J187" s="1001"/>
      <c r="K187" s="1001"/>
      <c r="L187" s="1001"/>
      <c r="M187" s="1001"/>
      <c r="N187" s="1001"/>
      <c r="O187" s="1002"/>
    </row>
    <row r="190" spans="2:21" ht="15">
      <c r="B190" s="986" t="s">
        <v>2720</v>
      </c>
      <c r="C190" s="988"/>
      <c r="D190" s="988"/>
      <c r="E190" s="988"/>
      <c r="F190" s="988"/>
      <c r="G190" s="988"/>
      <c r="H190" s="988"/>
      <c r="I190" s="988"/>
      <c r="J190" s="988"/>
      <c r="K190" s="988"/>
      <c r="L190" s="988"/>
      <c r="M190" s="988"/>
      <c r="N190" s="988"/>
      <c r="O190" s="989"/>
    </row>
    <row r="191" spans="2:21" hidden="1">
      <c r="B191" s="993"/>
      <c r="C191" s="994"/>
      <c r="D191" s="994"/>
      <c r="E191" s="994"/>
      <c r="F191" s="994"/>
      <c r="G191" s="994"/>
      <c r="H191" s="994"/>
      <c r="I191" s="994"/>
      <c r="J191" s="994"/>
      <c r="K191" s="994"/>
      <c r="L191" s="994"/>
      <c r="M191" s="994"/>
      <c r="N191" s="994"/>
      <c r="O191" s="996"/>
    </row>
    <row r="192" spans="2:21" hidden="1">
      <c r="B192" s="993"/>
      <c r="C192" s="491" t="s">
        <v>751</v>
      </c>
      <c r="D192" s="1003"/>
      <c r="E192" s="1003"/>
      <c r="F192" s="1003"/>
      <c r="G192" s="1003"/>
      <c r="H192" s="1003"/>
      <c r="I192" s="1003"/>
      <c r="J192" s="1003"/>
      <c r="K192" s="1003"/>
      <c r="L192" s="1003"/>
      <c r="M192" s="1003"/>
      <c r="N192" s="1003"/>
      <c r="O192" s="996"/>
    </row>
    <row r="193" spans="2:15" hidden="1">
      <c r="B193" s="993"/>
      <c r="C193" s="994"/>
      <c r="D193" s="994"/>
      <c r="E193" s="994"/>
      <c r="F193" s="994"/>
      <c r="G193" s="994"/>
      <c r="H193" s="994"/>
      <c r="I193" s="994"/>
      <c r="J193" s="994"/>
      <c r="K193" s="994"/>
      <c r="L193" s="994"/>
      <c r="M193" s="994"/>
      <c r="N193" s="994"/>
      <c r="O193" s="996"/>
    </row>
    <row r="194" spans="2:15" ht="15.5" hidden="1">
      <c r="B194" s="483"/>
      <c r="C194" s="997" t="s">
        <v>28</v>
      </c>
      <c r="D194" s="997" t="s">
        <v>29</v>
      </c>
      <c r="E194" s="997" t="s">
        <v>30</v>
      </c>
      <c r="F194" s="997">
        <v>2013</v>
      </c>
      <c r="G194" s="997" t="s">
        <v>132</v>
      </c>
      <c r="H194" s="997" t="s">
        <v>133</v>
      </c>
      <c r="I194" s="997" t="s">
        <v>134</v>
      </c>
      <c r="J194" s="997" t="s">
        <v>135</v>
      </c>
      <c r="K194" s="997" t="s">
        <v>136</v>
      </c>
      <c r="L194" s="997" t="s">
        <v>137</v>
      </c>
      <c r="M194" s="997" t="s">
        <v>138</v>
      </c>
      <c r="N194" s="997" t="s">
        <v>139</v>
      </c>
      <c r="O194" s="1141"/>
    </row>
    <row r="195" spans="2:15" ht="15.5" hidden="1">
      <c r="B195" s="483"/>
      <c r="C195" s="998" t="s">
        <v>321</v>
      </c>
      <c r="D195" s="485" t="s">
        <v>322</v>
      </c>
      <c r="E195" s="485"/>
      <c r="F195" s="999">
        <v>0</v>
      </c>
      <c r="G195" s="999">
        <v>0</v>
      </c>
      <c r="H195" s="999">
        <v>0</v>
      </c>
      <c r="I195" s="999">
        <v>0</v>
      </c>
      <c r="J195" s="999">
        <v>0</v>
      </c>
      <c r="K195" s="999">
        <v>0</v>
      </c>
      <c r="L195" s="999">
        <v>0</v>
      </c>
      <c r="M195" s="999">
        <v>0</v>
      </c>
      <c r="N195" s="999">
        <v>0</v>
      </c>
      <c r="O195" s="1141"/>
    </row>
    <row r="196" spans="2:15" ht="15.5" hidden="1">
      <c r="B196" s="483"/>
      <c r="C196" s="998" t="s">
        <v>328</v>
      </c>
      <c r="D196" s="485" t="s">
        <v>329</v>
      </c>
      <c r="E196" s="485"/>
      <c r="F196" s="999"/>
      <c r="G196" s="999"/>
      <c r="H196" s="999"/>
      <c r="I196" s="999"/>
      <c r="J196" s="999"/>
      <c r="K196" s="999"/>
      <c r="L196" s="999"/>
      <c r="M196" s="999"/>
      <c r="N196" s="999"/>
      <c r="O196" s="1141"/>
    </row>
    <row r="197" spans="2:15" ht="15.5" hidden="1">
      <c r="B197" s="483"/>
      <c r="C197" s="998" t="s">
        <v>752</v>
      </c>
      <c r="D197" s="485" t="s">
        <v>753</v>
      </c>
      <c r="E197" s="485"/>
      <c r="F197" s="999"/>
      <c r="G197" s="999"/>
      <c r="H197" s="999"/>
      <c r="I197" s="999"/>
      <c r="J197" s="999"/>
      <c r="K197" s="999"/>
      <c r="L197" s="999"/>
      <c r="M197" s="999"/>
      <c r="N197" s="999"/>
      <c r="O197" s="1141"/>
    </row>
    <row r="198" spans="2:15" ht="15.5" hidden="1">
      <c r="B198" s="483"/>
      <c r="C198" s="998" t="s">
        <v>323</v>
      </c>
      <c r="D198" s="998" t="s">
        <v>324</v>
      </c>
      <c r="E198" s="485"/>
      <c r="F198" s="999"/>
      <c r="G198" s="999">
        <v>0</v>
      </c>
      <c r="H198" s="999">
        <v>0</v>
      </c>
      <c r="I198" s="999">
        <v>0</v>
      </c>
      <c r="J198" s="999">
        <v>0</v>
      </c>
      <c r="K198" s="999">
        <v>0</v>
      </c>
      <c r="L198" s="999">
        <v>0</v>
      </c>
      <c r="M198" s="999">
        <v>0</v>
      </c>
      <c r="N198" s="999">
        <v>0</v>
      </c>
      <c r="O198" s="1141"/>
    </row>
    <row r="199" spans="2:15" ht="15.5" hidden="1">
      <c r="B199" s="483"/>
      <c r="C199" s="998" t="s">
        <v>330</v>
      </c>
      <c r="D199" s="998" t="s">
        <v>1330</v>
      </c>
      <c r="E199" s="485"/>
      <c r="F199" s="999"/>
      <c r="G199" s="999"/>
      <c r="H199" s="999"/>
      <c r="I199" s="999"/>
      <c r="J199" s="999"/>
      <c r="K199" s="999"/>
      <c r="L199" s="999"/>
      <c r="M199" s="999"/>
      <c r="N199" s="999"/>
      <c r="O199" s="1141"/>
    </row>
    <row r="200" spans="2:15" ht="15.5" hidden="1">
      <c r="B200" s="483"/>
      <c r="C200" s="998" t="s">
        <v>754</v>
      </c>
      <c r="D200" s="998" t="s">
        <v>755</v>
      </c>
      <c r="E200" s="485"/>
      <c r="F200" s="999"/>
      <c r="G200" s="999"/>
      <c r="H200" s="999"/>
      <c r="I200" s="999"/>
      <c r="J200" s="999"/>
      <c r="K200" s="999"/>
      <c r="L200" s="999"/>
      <c r="M200" s="999"/>
      <c r="N200" s="999"/>
      <c r="O200" s="1141"/>
    </row>
    <row r="201" spans="2:15" hidden="1">
      <c r="B201" s="494"/>
      <c r="C201" s="998" t="s">
        <v>325</v>
      </c>
      <c r="D201" s="485" t="s">
        <v>326</v>
      </c>
      <c r="E201" s="485"/>
      <c r="F201" s="999">
        <v>0</v>
      </c>
      <c r="G201" s="999">
        <v>0</v>
      </c>
      <c r="H201" s="999">
        <v>0</v>
      </c>
      <c r="I201" s="999">
        <v>0</v>
      </c>
      <c r="J201" s="999">
        <v>0</v>
      </c>
      <c r="K201" s="999">
        <v>0</v>
      </c>
      <c r="L201" s="999">
        <v>0</v>
      </c>
      <c r="M201" s="999">
        <v>0</v>
      </c>
      <c r="N201" s="999">
        <v>0</v>
      </c>
      <c r="O201" s="1142"/>
    </row>
    <row r="202" spans="2:15" hidden="1">
      <c r="B202" s="494"/>
      <c r="C202" s="998" t="s">
        <v>332</v>
      </c>
      <c r="D202" s="485" t="s">
        <v>333</v>
      </c>
      <c r="E202" s="485"/>
      <c r="F202" s="999"/>
      <c r="G202" s="999"/>
      <c r="H202" s="999"/>
      <c r="I202" s="999"/>
      <c r="J202" s="999"/>
      <c r="K202" s="999"/>
      <c r="L202" s="999"/>
      <c r="M202" s="999"/>
      <c r="N202" s="999"/>
      <c r="O202" s="1142"/>
    </row>
    <row r="203" spans="2:15" hidden="1">
      <c r="B203" s="494"/>
      <c r="C203" s="998" t="s">
        <v>756</v>
      </c>
      <c r="D203" s="485" t="s">
        <v>757</v>
      </c>
      <c r="E203" s="485"/>
      <c r="F203" s="999"/>
      <c r="G203" s="999"/>
      <c r="H203" s="999"/>
      <c r="I203" s="999"/>
      <c r="J203" s="999"/>
      <c r="K203" s="999"/>
      <c r="L203" s="999"/>
      <c r="M203" s="999"/>
      <c r="N203" s="999"/>
      <c r="O203" s="1142"/>
    </row>
    <row r="204" spans="2:15" hidden="1">
      <c r="B204" s="1005"/>
      <c r="C204" s="1001"/>
      <c r="D204" s="1001"/>
      <c r="E204" s="1001"/>
      <c r="F204" s="1001"/>
      <c r="G204" s="1001"/>
      <c r="H204" s="1001"/>
      <c r="I204" s="1001"/>
      <c r="J204" s="1001"/>
      <c r="K204" s="1001"/>
      <c r="L204" s="1001"/>
      <c r="M204" s="1001"/>
      <c r="N204" s="1001"/>
      <c r="O204" s="1006"/>
    </row>
    <row r="417" spans="30:86">
      <c r="AD417" s="1378"/>
      <c r="AE417" s="1378"/>
      <c r="AF417" s="1378"/>
      <c r="AG417" s="1378"/>
      <c r="AH417" s="1378"/>
      <c r="AI417" s="1378"/>
      <c r="AJ417" s="1378"/>
      <c r="AK417" s="1378"/>
      <c r="AL417" s="1378"/>
      <c r="AM417" s="1378"/>
      <c r="AN417" s="1378"/>
      <c r="AO417" s="1378"/>
      <c r="AP417" s="1378"/>
      <c r="AQ417" s="1378"/>
      <c r="AR417" s="1378"/>
      <c r="AS417" s="1378"/>
      <c r="AT417" s="1378"/>
      <c r="AU417" s="1737"/>
      <c r="AV417" s="1378"/>
      <c r="AW417" s="1378"/>
      <c r="AX417" s="1378"/>
      <c r="AY417" s="1378"/>
      <c r="AZ417" s="1378"/>
      <c r="BA417" s="1378"/>
      <c r="BB417" s="1378"/>
      <c r="BC417" s="1378"/>
      <c r="BD417" s="1378"/>
      <c r="BE417" s="1378"/>
      <c r="BF417" s="1378"/>
      <c r="BG417" s="1378"/>
      <c r="BH417" s="1378"/>
      <c r="BI417" s="1378"/>
      <c r="BJ417" s="1378">
        <v>0</v>
      </c>
      <c r="BK417" s="1378">
        <v>0</v>
      </c>
      <c r="BL417" s="1378">
        <v>0</v>
      </c>
      <c r="BM417" s="1378">
        <v>0</v>
      </c>
      <c r="BN417" s="1378">
        <v>0</v>
      </c>
      <c r="BO417" s="1378">
        <v>0</v>
      </c>
      <c r="BP417" s="1378">
        <v>0</v>
      </c>
      <c r="BQ417" s="1378">
        <v>0</v>
      </c>
      <c r="BR417" s="1378">
        <v>0</v>
      </c>
      <c r="BS417" s="1378">
        <v>0</v>
      </c>
      <c r="BT417" s="1378">
        <v>0</v>
      </c>
      <c r="BU417" s="1738"/>
      <c r="BV417" s="1738"/>
      <c r="BW417" s="1378">
        <v>0</v>
      </c>
      <c r="BX417" s="1378">
        <v>0</v>
      </c>
      <c r="BY417" s="1378">
        <v>0</v>
      </c>
      <c r="BZ417" s="1378">
        <v>0</v>
      </c>
      <c r="CA417" s="1378">
        <v>0</v>
      </c>
      <c r="CB417" s="1378">
        <v>0</v>
      </c>
      <c r="CC417" s="1378">
        <v>0</v>
      </c>
      <c r="CD417" s="1378">
        <v>0</v>
      </c>
      <c r="CE417" s="1378">
        <v>0</v>
      </c>
      <c r="CF417" s="1378">
        <v>0</v>
      </c>
      <c r="CG417" s="1378">
        <v>0</v>
      </c>
      <c r="CH417" s="1738"/>
    </row>
    <row r="418" spans="30:86">
      <c r="AU418" s="39"/>
      <c r="AV418" s="39"/>
      <c r="AW418" s="1739"/>
      <c r="AX418" s="1739"/>
      <c r="AY418" s="1739"/>
      <c r="AZ418" s="1739"/>
      <c r="BA418" s="1739"/>
      <c r="BB418" s="1739"/>
      <c r="BC418" s="1739"/>
      <c r="BD418" s="1739"/>
      <c r="BE418" s="1739"/>
      <c r="BF418" s="1739"/>
      <c r="BG418" s="1739"/>
      <c r="BH418" s="39"/>
      <c r="BI418" s="39"/>
      <c r="BJ418" s="1739">
        <v>0</v>
      </c>
      <c r="BK418" s="1739">
        <v>0</v>
      </c>
      <c r="BL418" s="1739">
        <v>0</v>
      </c>
      <c r="BM418" s="1739">
        <v>0</v>
      </c>
      <c r="BN418" s="1739">
        <v>0</v>
      </c>
      <c r="BO418" s="1739">
        <v>0</v>
      </c>
      <c r="BP418" s="1739">
        <v>0</v>
      </c>
      <c r="BQ418" s="1739">
        <v>0</v>
      </c>
      <c r="BR418" s="1739">
        <v>0</v>
      </c>
      <c r="BS418" s="1739">
        <v>0</v>
      </c>
      <c r="BT418" s="1739">
        <v>0</v>
      </c>
      <c r="BU418" s="1068"/>
      <c r="BV418" s="1068"/>
      <c r="BW418" s="1739">
        <v>0</v>
      </c>
      <c r="BX418" s="1739">
        <v>0</v>
      </c>
      <c r="BY418" s="1739">
        <v>0</v>
      </c>
      <c r="BZ418" s="1739">
        <v>0</v>
      </c>
      <c r="CA418" s="1739">
        <v>0</v>
      </c>
      <c r="CB418" s="1739">
        <v>0</v>
      </c>
      <c r="CC418" s="1739">
        <v>0</v>
      </c>
      <c r="CD418" s="1739">
        <v>0</v>
      </c>
      <c r="CE418" s="1739">
        <v>0</v>
      </c>
      <c r="CF418" s="1739">
        <v>0</v>
      </c>
      <c r="CG418" s="1739">
        <v>0</v>
      </c>
      <c r="CH418" s="1068"/>
    </row>
    <row r="420" spans="30:86">
      <c r="AD420" s="1378"/>
      <c r="AE420" s="1378"/>
      <c r="AF420" s="1378"/>
      <c r="AG420" s="1378"/>
      <c r="AH420" s="1378"/>
      <c r="AI420" s="1378"/>
      <c r="AJ420" s="1378"/>
      <c r="AK420" s="1378"/>
      <c r="AL420" s="1378"/>
      <c r="AM420" s="1378"/>
      <c r="AN420" s="1378"/>
      <c r="AO420" s="1378"/>
      <c r="AP420" s="1378"/>
      <c r="AQ420" s="1378"/>
      <c r="AR420" s="1378"/>
      <c r="AS420" s="1378"/>
      <c r="AT420" s="1378"/>
      <c r="AU420" s="1737"/>
      <c r="AV420" s="1378"/>
      <c r="AW420" s="1378"/>
      <c r="AX420" s="1378"/>
      <c r="AY420" s="1378"/>
      <c r="AZ420" s="1378"/>
      <c r="BA420" s="1378"/>
      <c r="BB420" s="1378"/>
      <c r="BC420" s="1378"/>
      <c r="BD420" s="1378"/>
      <c r="BE420" s="1378"/>
      <c r="BF420" s="1378"/>
      <c r="BG420" s="1378"/>
      <c r="BH420" s="1378"/>
      <c r="BI420" s="1378"/>
      <c r="BJ420" s="1378">
        <v>0</v>
      </c>
      <c r="BK420" s="1378">
        <v>0</v>
      </c>
      <c r="BL420" s="1378">
        <v>0</v>
      </c>
      <c r="BM420" s="1378">
        <v>0</v>
      </c>
      <c r="BN420" s="1378">
        <v>0</v>
      </c>
      <c r="BO420" s="1378">
        <v>0</v>
      </c>
      <c r="BP420" s="1378">
        <v>0</v>
      </c>
      <c r="BQ420" s="1378">
        <v>0</v>
      </c>
      <c r="BR420" s="1378">
        <v>0</v>
      </c>
      <c r="BS420" s="1378">
        <v>0</v>
      </c>
      <c r="BT420" s="1378">
        <v>0</v>
      </c>
      <c r="BU420" s="1738"/>
      <c r="BV420" s="1738"/>
      <c r="BW420" s="1378">
        <v>0</v>
      </c>
      <c r="BX420" s="1378">
        <v>0</v>
      </c>
      <c r="BY420" s="1378">
        <v>0</v>
      </c>
      <c r="BZ420" s="1378">
        <v>0</v>
      </c>
      <c r="CA420" s="1378">
        <v>0</v>
      </c>
      <c r="CB420" s="1378">
        <v>0</v>
      </c>
      <c r="CC420" s="1378">
        <v>0</v>
      </c>
      <c r="CD420" s="1378">
        <v>0</v>
      </c>
      <c r="CE420" s="1378">
        <v>0</v>
      </c>
      <c r="CF420" s="1378">
        <v>0</v>
      </c>
      <c r="CG420" s="1378">
        <v>0</v>
      </c>
      <c r="CH420" s="1738"/>
    </row>
    <row r="421" spans="30:86">
      <c r="AU421" s="39"/>
      <c r="AV421" s="39"/>
      <c r="AW421" s="1739"/>
      <c r="AX421" s="1739"/>
      <c r="AY421" s="1739"/>
      <c r="AZ421" s="1739"/>
      <c r="BA421" s="1739"/>
      <c r="BB421" s="1739"/>
      <c r="BC421" s="1739"/>
      <c r="BD421" s="1739"/>
      <c r="BE421" s="1739"/>
      <c r="BF421" s="1739"/>
      <c r="BG421" s="1739"/>
      <c r="BH421" s="39"/>
      <c r="BI421" s="39"/>
      <c r="BJ421" s="1739">
        <v>0</v>
      </c>
      <c r="BK421" s="1739">
        <v>0</v>
      </c>
      <c r="BL421" s="1739">
        <v>0</v>
      </c>
      <c r="BM421" s="1739">
        <v>0</v>
      </c>
      <c r="BN421" s="1739">
        <v>0</v>
      </c>
      <c r="BO421" s="1739">
        <v>0</v>
      </c>
      <c r="BP421" s="1739">
        <v>0</v>
      </c>
      <c r="BQ421" s="1739">
        <v>0</v>
      </c>
      <c r="BR421" s="1739">
        <v>0</v>
      </c>
      <c r="BS421" s="1739">
        <v>0</v>
      </c>
      <c r="BT421" s="1739">
        <v>0</v>
      </c>
      <c r="BU421" s="1068"/>
      <c r="BV421" s="1068"/>
      <c r="BW421" s="1739">
        <v>0</v>
      </c>
      <c r="BX421" s="1739">
        <v>0</v>
      </c>
      <c r="BY421" s="1739">
        <v>0</v>
      </c>
      <c r="BZ421" s="1739">
        <v>0</v>
      </c>
      <c r="CA421" s="1739">
        <v>0</v>
      </c>
      <c r="CB421" s="1739">
        <v>0</v>
      </c>
      <c r="CC421" s="1739">
        <v>0</v>
      </c>
      <c r="CD421" s="1739">
        <v>0</v>
      </c>
      <c r="CE421" s="1739">
        <v>0</v>
      </c>
      <c r="CF421" s="1739">
        <v>0</v>
      </c>
      <c r="CG421" s="1739">
        <v>0</v>
      </c>
      <c r="CH421" s="1068"/>
    </row>
    <row r="472" spans="35:35">
      <c r="AI472" s="3578" t="s">
        <v>2758</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9"/>
  </sheetPr>
  <dimension ref="A1:CI517"/>
  <sheetViews>
    <sheetView showGridLines="0" topLeftCell="A369" zoomScale="80" zoomScaleNormal="80" workbookViewId="0">
      <selection activeCell="N346" sqref="N346"/>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16.81640625" customWidth="1"/>
    <col min="17" max="17" width="10.81640625" customWidth="1"/>
    <col min="18" max="18" width="2.26953125" customWidth="1"/>
    <col min="19" max="28" width="11.453125" customWidth="1"/>
  </cols>
  <sheetData>
    <row r="1" spans="1:18" ht="20">
      <c r="A1" s="1007" t="s">
        <v>468</v>
      </c>
      <c r="B1" s="1007" t="s">
        <v>359</v>
      </c>
      <c r="C1" s="1007"/>
      <c r="F1" s="39" t="s">
        <v>2967</v>
      </c>
      <c r="G1" s="39"/>
      <c r="H1" s="39"/>
      <c r="I1" s="39"/>
      <c r="J1" s="39"/>
    </row>
    <row r="2" spans="1:18" s="6" customFormat="1" ht="15">
      <c r="A2" s="855" t="s">
        <v>466</v>
      </c>
      <c r="B2" s="855" t="s">
        <v>467</v>
      </c>
      <c r="C2" s="855"/>
      <c r="E2" s="5"/>
    </row>
    <row r="4" spans="1:18" ht="23.5">
      <c r="A4" s="7"/>
      <c r="B4" s="502" t="s">
        <v>6</v>
      </c>
      <c r="C4" s="503"/>
      <c r="D4" s="503"/>
      <c r="E4" s="503"/>
      <c r="F4" s="503"/>
      <c r="G4" s="503"/>
      <c r="H4" s="503"/>
      <c r="I4" s="503"/>
      <c r="J4" s="503"/>
      <c r="K4" s="503"/>
      <c r="L4" s="503"/>
      <c r="M4" s="503"/>
      <c r="N4" s="503"/>
      <c r="O4" s="503"/>
      <c r="P4" s="857"/>
      <c r="R4" s="372"/>
    </row>
    <row r="5" spans="1:18">
      <c r="B5" s="505"/>
      <c r="C5" s="506"/>
      <c r="D5" s="506"/>
      <c r="E5" s="506"/>
      <c r="F5" s="506"/>
      <c r="G5" s="506"/>
      <c r="H5" s="506"/>
      <c r="I5" s="506"/>
      <c r="J5" s="506"/>
      <c r="K5" s="506"/>
      <c r="L5" s="506"/>
      <c r="M5" s="506"/>
      <c r="N5" s="506"/>
      <c r="O5" s="506"/>
      <c r="P5" s="858"/>
    </row>
    <row r="6" spans="1:18">
      <c r="B6" s="505"/>
      <c r="C6" s="12"/>
      <c r="D6" s="506"/>
      <c r="E6" s="507"/>
      <c r="F6" s="506"/>
      <c r="G6" s="506"/>
      <c r="H6" s="506"/>
      <c r="I6" s="506"/>
      <c r="J6" s="506"/>
      <c r="K6" s="506"/>
      <c r="L6" s="506"/>
      <c r="M6" s="506"/>
      <c r="N6" s="506"/>
      <c r="O6" s="506"/>
      <c r="P6" s="858"/>
    </row>
    <row r="7" spans="1:18" ht="15.5">
      <c r="B7" s="15"/>
      <c r="C7" s="506"/>
      <c r="D7" s="16" t="s">
        <v>7</v>
      </c>
      <c r="E7" s="16" t="s">
        <v>8</v>
      </c>
      <c r="F7" s="506"/>
      <c r="G7" s="506"/>
      <c r="H7" s="506"/>
      <c r="I7" s="506"/>
      <c r="J7" s="506"/>
      <c r="K7" s="506"/>
      <c r="L7" s="506"/>
      <c r="M7" s="506"/>
      <c r="N7" s="506"/>
      <c r="O7" s="506"/>
      <c r="P7" s="858"/>
    </row>
    <row r="8" spans="1:18" ht="15.5">
      <c r="B8" s="15"/>
      <c r="C8" s="506"/>
      <c r="D8" s="1009" t="s">
        <v>1008</v>
      </c>
      <c r="E8" s="1010">
        <f>MIN(XI.a.1, 3)</f>
        <v>1</v>
      </c>
      <c r="F8" s="506"/>
      <c r="G8" s="506"/>
      <c r="H8" s="506"/>
      <c r="I8" s="506"/>
      <c r="J8" s="506"/>
      <c r="K8" s="506"/>
      <c r="L8" s="506"/>
      <c r="M8" s="506"/>
      <c r="N8" s="506"/>
      <c r="O8" s="506"/>
      <c r="P8" s="858"/>
    </row>
    <row r="9" spans="1:18" ht="15.5">
      <c r="B9" s="15"/>
      <c r="C9" s="506"/>
      <c r="D9" s="508" t="s">
        <v>1009</v>
      </c>
      <c r="E9" s="508">
        <f>MIN(XI.a.2.Scenario,3)</f>
        <v>1</v>
      </c>
      <c r="F9" s="506"/>
      <c r="G9" s="506"/>
      <c r="H9" s="506"/>
      <c r="I9" s="506"/>
      <c r="J9" s="506"/>
      <c r="K9" s="506"/>
      <c r="L9" s="506"/>
      <c r="M9" s="506"/>
      <c r="N9" s="506"/>
      <c r="O9" s="506"/>
      <c r="P9" s="858"/>
      <c r="R9" s="39"/>
    </row>
    <row r="10" spans="1:18" ht="15.5">
      <c r="B10" s="15"/>
      <c r="C10" s="506"/>
      <c r="D10" s="506"/>
      <c r="E10" s="18"/>
      <c r="F10" s="506"/>
      <c r="G10" s="506"/>
      <c r="H10" s="506"/>
      <c r="I10" s="506"/>
      <c r="J10" s="506"/>
      <c r="K10" s="506"/>
      <c r="L10" s="506"/>
      <c r="M10" s="506"/>
      <c r="N10" s="506"/>
      <c r="O10" s="506"/>
      <c r="P10" s="858"/>
    </row>
    <row r="11" spans="1:18">
      <c r="B11" s="1243"/>
      <c r="C11" s="860"/>
      <c r="D11" s="860"/>
      <c r="E11" s="860"/>
      <c r="F11" s="860"/>
      <c r="G11" s="860"/>
      <c r="H11" s="860"/>
      <c r="I11" s="860"/>
      <c r="J11" s="860"/>
      <c r="K11" s="860"/>
      <c r="L11" s="860"/>
      <c r="M11" s="860"/>
      <c r="N11" s="860"/>
      <c r="O11" s="860"/>
      <c r="P11" s="861"/>
    </row>
    <row r="13" spans="1:18" s="6" customFormat="1" ht="23.5">
      <c r="A13" s="40"/>
      <c r="B13" s="869" t="s">
        <v>33</v>
      </c>
      <c r="C13" s="870"/>
      <c r="D13" s="870"/>
      <c r="E13" s="870"/>
      <c r="F13" s="870"/>
      <c r="G13" s="870"/>
      <c r="H13" s="870"/>
      <c r="I13" s="870"/>
      <c r="J13" s="870"/>
      <c r="K13" s="870"/>
      <c r="L13" s="870"/>
      <c r="M13" s="870"/>
      <c r="N13" s="870"/>
      <c r="O13" s="870"/>
      <c r="P13" s="871"/>
    </row>
    <row r="14" spans="1:18">
      <c r="B14" s="105"/>
      <c r="C14" s="67"/>
      <c r="D14" s="67"/>
      <c r="E14" s="67"/>
      <c r="F14" s="67"/>
      <c r="G14" s="67"/>
      <c r="H14" s="67"/>
      <c r="I14" s="67"/>
      <c r="J14" s="67"/>
      <c r="K14" s="67"/>
      <c r="L14" s="67"/>
      <c r="M14" s="67"/>
      <c r="N14" s="67"/>
      <c r="O14" s="67"/>
      <c r="P14" s="876"/>
    </row>
    <row r="15" spans="1:18">
      <c r="B15" s="105"/>
      <c r="C15" s="49" t="s">
        <v>1010</v>
      </c>
      <c r="D15" s="67"/>
      <c r="E15" s="50"/>
      <c r="F15" s="1379" t="s">
        <v>1011</v>
      </c>
      <c r="G15" s="1379"/>
      <c r="H15" s="1379"/>
      <c r="I15" s="51" t="s">
        <v>1012</v>
      </c>
      <c r="J15" s="1379" t="s">
        <v>1013</v>
      </c>
      <c r="K15" s="1379"/>
      <c r="L15" s="1379"/>
      <c r="M15" s="47"/>
      <c r="N15" s="47"/>
      <c r="O15" s="47"/>
      <c r="P15" s="47"/>
    </row>
    <row r="16" spans="1:18">
      <c r="B16" s="105"/>
      <c r="C16" s="67"/>
      <c r="D16" s="67"/>
      <c r="E16" s="1352"/>
      <c r="F16" s="1353"/>
      <c r="G16" s="67"/>
      <c r="H16" s="67"/>
      <c r="I16" s="67"/>
      <c r="J16" s="1353"/>
      <c r="K16" s="67"/>
      <c r="L16" s="67"/>
      <c r="M16" s="47"/>
      <c r="N16" s="47"/>
      <c r="O16" s="47"/>
      <c r="P16" s="47"/>
    </row>
    <row r="17" spans="2:19" ht="15.5">
      <c r="B17" s="55"/>
      <c r="C17" s="878" t="s">
        <v>359</v>
      </c>
      <c r="D17" s="878" t="s">
        <v>71</v>
      </c>
      <c r="E17" s="878" t="s">
        <v>30</v>
      </c>
      <c r="F17" s="1350">
        <v>3</v>
      </c>
      <c r="G17" s="1350">
        <v>2</v>
      </c>
      <c r="H17" s="1350">
        <v>1</v>
      </c>
      <c r="I17" s="1380"/>
      <c r="J17" s="1350">
        <v>3</v>
      </c>
      <c r="K17" s="1350">
        <v>2</v>
      </c>
      <c r="L17" s="1350">
        <v>1</v>
      </c>
      <c r="M17" s="47"/>
      <c r="N17" s="47"/>
      <c r="O17" s="47"/>
      <c r="P17" s="47"/>
    </row>
    <row r="18" spans="2:19" ht="15.5">
      <c r="B18" s="55"/>
      <c r="C18" s="65" t="s">
        <v>1014</v>
      </c>
      <c r="D18" s="103" t="s">
        <v>2777</v>
      </c>
      <c r="E18" s="916"/>
      <c r="F18" s="296">
        <v>-1.0846829685525305E-2</v>
      </c>
      <c r="G18" s="296">
        <v>1.4999999999999999E-2</v>
      </c>
      <c r="H18" s="296">
        <v>2.3E-2</v>
      </c>
      <c r="I18" s="1380"/>
      <c r="J18" s="296">
        <v>-1.0846829685525305E-2</v>
      </c>
      <c r="K18" s="296">
        <v>0.01</v>
      </c>
      <c r="L18" s="296">
        <v>1.4999999999999999E-2</v>
      </c>
      <c r="M18" s="47"/>
      <c r="N18" s="47"/>
      <c r="O18" s="47"/>
      <c r="P18" s="47"/>
    </row>
    <row r="19" spans="2:19" ht="15.5">
      <c r="B19" s="55"/>
      <c r="C19" s="65" t="s">
        <v>1015</v>
      </c>
      <c r="D19" s="103" t="s">
        <v>1016</v>
      </c>
      <c r="E19" s="67"/>
      <c r="F19" s="906">
        <v>-1.1726082808074967E-2</v>
      </c>
      <c r="G19" s="906">
        <v>0.01</v>
      </c>
      <c r="H19" s="906">
        <v>5.0000000000000001E-3</v>
      </c>
      <c r="I19" s="1380"/>
      <c r="J19" s="906">
        <v>-1.1726082808074967E-2</v>
      </c>
      <c r="K19" s="906">
        <v>0.01</v>
      </c>
      <c r="L19" s="906">
        <v>5.0000000000000001E-3</v>
      </c>
      <c r="M19" s="47"/>
      <c r="N19" s="47"/>
      <c r="O19" s="47"/>
      <c r="P19" s="47"/>
    </row>
    <row r="20" spans="2:19" ht="15.5">
      <c r="B20" s="55"/>
      <c r="C20" s="65" t="s">
        <v>1017</v>
      </c>
      <c r="D20" s="103" t="s">
        <v>1018</v>
      </c>
      <c r="E20" s="67"/>
      <c r="F20" s="906">
        <v>0</v>
      </c>
      <c r="G20" s="906">
        <v>-1.4999999999999999E-2</v>
      </c>
      <c r="H20" s="906">
        <v>1.4999999999999999E-2</v>
      </c>
      <c r="I20" s="1380"/>
      <c r="J20" s="906">
        <v>0</v>
      </c>
      <c r="K20" s="906">
        <v>-0.01</v>
      </c>
      <c r="L20" s="906">
        <v>0.01</v>
      </c>
      <c r="M20" s="47"/>
      <c r="N20" s="47"/>
      <c r="O20" s="47"/>
      <c r="P20" s="47"/>
      <c r="R20" s="6"/>
    </row>
    <row r="21" spans="2:19" ht="15.5">
      <c r="B21" s="55"/>
      <c r="C21" s="887" t="s">
        <v>1019</v>
      </c>
      <c r="D21" s="888" t="s">
        <v>402</v>
      </c>
      <c r="E21" s="969"/>
      <c r="F21" s="1381">
        <v>-8.7738643384517312E-3</v>
      </c>
      <c r="G21" s="1381">
        <v>0.01</v>
      </c>
      <c r="H21" s="1381">
        <v>2.5999999999999999E-2</v>
      </c>
      <c r="I21" s="1380"/>
      <c r="J21" s="1381">
        <v>-8.7738643384517312E-3</v>
      </c>
      <c r="K21" s="1381">
        <v>0.01</v>
      </c>
      <c r="L21" s="1381">
        <v>1.7999999999999999E-2</v>
      </c>
      <c r="M21" s="47"/>
      <c r="N21" s="47"/>
      <c r="O21" s="47"/>
      <c r="P21" s="47"/>
      <c r="R21" s="6"/>
    </row>
    <row r="22" spans="2:19">
      <c r="B22" s="105"/>
      <c r="C22" s="67"/>
      <c r="D22" s="67"/>
      <c r="E22" s="1352"/>
      <c r="F22" s="1353"/>
      <c r="G22" s="67"/>
      <c r="H22" s="67"/>
      <c r="I22" s="67"/>
      <c r="J22" s="67"/>
      <c r="K22" s="67"/>
      <c r="L22" s="67"/>
      <c r="M22" s="67"/>
      <c r="N22" s="67"/>
      <c r="O22" s="67"/>
      <c r="P22" s="67"/>
      <c r="S22" s="6"/>
    </row>
    <row r="23" spans="2:19">
      <c r="B23" s="105"/>
      <c r="C23" s="49" t="s">
        <v>1020</v>
      </c>
      <c r="D23" s="67"/>
      <c r="E23" s="1382"/>
      <c r="F23" s="1353" t="s">
        <v>8</v>
      </c>
      <c r="G23" s="67"/>
      <c r="H23" s="51" t="s">
        <v>1012</v>
      </c>
      <c r="I23" s="67"/>
      <c r="J23" s="67"/>
      <c r="K23" s="67"/>
      <c r="L23" s="67"/>
      <c r="M23" s="99"/>
      <c r="N23" s="67"/>
      <c r="O23" s="67"/>
      <c r="P23" s="876"/>
    </row>
    <row r="24" spans="2:19">
      <c r="B24" s="105"/>
      <c r="C24" s="67"/>
      <c r="D24" s="67"/>
      <c r="E24" s="1352"/>
      <c r="F24" s="1353"/>
      <c r="G24" s="67"/>
      <c r="H24" s="67"/>
      <c r="I24" s="67" t="s">
        <v>5</v>
      </c>
      <c r="J24" s="67"/>
      <c r="K24" s="67"/>
      <c r="L24" s="67"/>
      <c r="M24" s="67"/>
      <c r="N24" s="67"/>
      <c r="O24" s="67"/>
      <c r="P24" s="876"/>
    </row>
    <row r="25" spans="2:19" ht="15.5">
      <c r="B25" s="55"/>
      <c r="C25" s="878" t="s">
        <v>359</v>
      </c>
      <c r="D25" s="878" t="s">
        <v>71</v>
      </c>
      <c r="E25" s="878" t="s">
        <v>30</v>
      </c>
      <c r="F25" s="1350">
        <v>1</v>
      </c>
      <c r="G25" s="1350">
        <v>2</v>
      </c>
      <c r="H25" s="1350">
        <v>3</v>
      </c>
      <c r="I25" s="1380"/>
      <c r="J25" s="1380"/>
      <c r="K25" s="1380"/>
      <c r="L25" s="1380"/>
      <c r="M25" s="1380"/>
      <c r="N25" s="67"/>
      <c r="O25" s="67"/>
      <c r="P25" s="876"/>
    </row>
    <row r="26" spans="2:19" ht="15.5">
      <c r="B26" s="55"/>
      <c r="C26" s="65" t="s">
        <v>1014</v>
      </c>
      <c r="D26" s="103" t="s">
        <v>2777</v>
      </c>
      <c r="E26" s="1256"/>
      <c r="F26" s="2648">
        <v>-5.0000000000000001E-3</v>
      </c>
      <c r="G26" s="2648">
        <v>-1.0999999999999999E-2</v>
      </c>
      <c r="H26" s="2648">
        <v>-1.5990474778403541E-2</v>
      </c>
      <c r="I26" s="2648"/>
      <c r="J26" s="3605" t="s">
        <v>5</v>
      </c>
      <c r="K26" s="3605"/>
      <c r="L26" s="3605"/>
      <c r="M26" s="58"/>
      <c r="N26" s="67"/>
      <c r="O26" s="67"/>
      <c r="P26" s="876"/>
    </row>
    <row r="27" spans="2:19" ht="15.5">
      <c r="B27" s="55"/>
      <c r="C27" s="65" t="s">
        <v>1015</v>
      </c>
      <c r="D27" s="103" t="s">
        <v>1016</v>
      </c>
      <c r="E27" s="1256"/>
      <c r="F27" s="2648">
        <v>-5.0000000000000001E-3</v>
      </c>
      <c r="G27" s="3603">
        <v>-6.0000000000000001E-3</v>
      </c>
      <c r="H27" s="3603">
        <v>-8.2604594862157876E-3</v>
      </c>
      <c r="I27" s="3603" t="s">
        <v>5</v>
      </c>
      <c r="J27" s="3605" t="s">
        <v>5</v>
      </c>
      <c r="K27" s="3606"/>
      <c r="L27" s="3606"/>
      <c r="M27" s="73"/>
      <c r="N27" s="67"/>
      <c r="O27" s="67"/>
      <c r="P27" s="876"/>
    </row>
    <row r="28" spans="2:19" ht="15.5">
      <c r="B28" s="55"/>
      <c r="C28" s="65" t="s">
        <v>1017</v>
      </c>
      <c r="D28" s="103" t="s">
        <v>1018</v>
      </c>
      <c r="E28" s="1256"/>
      <c r="F28" s="2648">
        <v>-5.0000000000000001E-3</v>
      </c>
      <c r="G28" s="3603">
        <v>-6.0000000000000001E-3</v>
      </c>
      <c r="H28" s="3603">
        <v>-8.2604594862157876E-3</v>
      </c>
      <c r="I28" s="3603" t="s">
        <v>5</v>
      </c>
      <c r="J28" s="3605"/>
      <c r="K28" s="3606"/>
      <c r="L28" s="3606"/>
      <c r="M28" s="73"/>
      <c r="N28" s="67"/>
      <c r="O28" s="67"/>
      <c r="P28" s="876"/>
    </row>
    <row r="29" spans="2:19" ht="15.5">
      <c r="B29" s="55"/>
      <c r="C29" s="887" t="s">
        <v>1019</v>
      </c>
      <c r="D29" s="888" t="s">
        <v>402</v>
      </c>
      <c r="E29" s="888"/>
      <c r="F29" s="2649">
        <v>-5.0000000000000001E-3</v>
      </c>
      <c r="G29" s="3604">
        <v>-8.9999999999999993E-3</v>
      </c>
      <c r="H29" s="3604">
        <v>-1.7999999999999999E-2</v>
      </c>
      <c r="I29" s="3603"/>
      <c r="J29" s="3605"/>
      <c r="K29" s="3606"/>
      <c r="L29" s="3606"/>
      <c r="M29" s="73"/>
      <c r="N29" s="67"/>
      <c r="O29" s="67"/>
      <c r="P29" s="876"/>
    </row>
    <row r="30" spans="2:19">
      <c r="B30" s="105"/>
      <c r="C30" s="67"/>
      <c r="D30" s="67"/>
      <c r="E30" s="1352"/>
      <c r="F30" s="1353" t="s">
        <v>5</v>
      </c>
      <c r="G30" s="67"/>
      <c r="H30" s="67"/>
      <c r="I30" s="67"/>
      <c r="J30" s="67"/>
      <c r="K30" s="67"/>
      <c r="L30" s="67"/>
      <c r="M30" s="67"/>
      <c r="N30" s="67"/>
      <c r="O30" s="67"/>
      <c r="P30" s="67"/>
    </row>
    <row r="31" spans="2:19">
      <c r="B31" s="105"/>
      <c r="C31" s="49" t="s">
        <v>1021</v>
      </c>
      <c r="D31" s="67"/>
      <c r="E31" s="50"/>
      <c r="F31" s="1383" t="s">
        <v>1022</v>
      </c>
      <c r="G31" s="1384"/>
      <c r="H31" s="1384"/>
      <c r="I31" s="1384"/>
      <c r="J31" s="1383" t="s">
        <v>1023</v>
      </c>
      <c r="K31" s="1384"/>
      <c r="L31" s="1384"/>
      <c r="M31" s="1384"/>
      <c r="N31" s="1383" t="s">
        <v>1024</v>
      </c>
      <c r="O31" s="1384"/>
      <c r="P31" s="1384"/>
    </row>
    <row r="32" spans="2:19">
      <c r="B32" s="105"/>
      <c r="C32" s="67"/>
      <c r="D32" s="67"/>
      <c r="E32" s="67"/>
      <c r="F32" s="1353"/>
      <c r="G32" s="67"/>
      <c r="H32" s="67"/>
      <c r="I32" s="67"/>
      <c r="J32" s="1353"/>
      <c r="K32" s="67"/>
      <c r="L32" s="67"/>
      <c r="M32" s="67"/>
      <c r="N32" s="1353"/>
      <c r="O32" s="67"/>
      <c r="P32" s="67"/>
    </row>
    <row r="33" spans="2:22" ht="15.5">
      <c r="B33" s="55"/>
      <c r="C33" s="878" t="s">
        <v>28</v>
      </c>
      <c r="D33" s="878" t="s">
        <v>71</v>
      </c>
      <c r="E33" s="1385">
        <v>2013</v>
      </c>
      <c r="F33" s="1386">
        <v>1</v>
      </c>
      <c r="G33" s="1350">
        <v>2</v>
      </c>
      <c r="H33" s="1350">
        <v>3</v>
      </c>
      <c r="I33" s="1380"/>
      <c r="J33" s="1350">
        <v>1</v>
      </c>
      <c r="K33" s="1350">
        <v>2</v>
      </c>
      <c r="L33" s="1350">
        <v>3</v>
      </c>
      <c r="M33" s="1380"/>
      <c r="N33" s="1350">
        <v>1</v>
      </c>
      <c r="O33" s="1350">
        <v>2</v>
      </c>
      <c r="P33" s="1350">
        <v>3</v>
      </c>
    </row>
    <row r="34" spans="2:22" ht="15.5">
      <c r="B34" s="55"/>
      <c r="C34" s="65" t="s">
        <v>95</v>
      </c>
      <c r="D34" s="103" t="s">
        <v>85</v>
      </c>
      <c r="E34" s="1387">
        <v>0.35744517121969988</v>
      </c>
      <c r="F34" s="88">
        <v>0.35744517121969988</v>
      </c>
      <c r="G34" s="88">
        <v>0.35744517121969988</v>
      </c>
      <c r="H34" s="88">
        <v>0.43</v>
      </c>
      <c r="I34" s="88"/>
      <c r="J34" s="88">
        <v>0.35744517121969988</v>
      </c>
      <c r="K34" s="88">
        <v>0.3909067797181936</v>
      </c>
      <c r="L34" s="88">
        <v>0.47590677971819362</v>
      </c>
      <c r="M34" s="88"/>
      <c r="N34" s="88">
        <v>0.35744517121969988</v>
      </c>
      <c r="O34" s="88">
        <v>0.3909067797181936</v>
      </c>
      <c r="P34" s="88">
        <v>0.65590677971819367</v>
      </c>
      <c r="S34" s="1388"/>
      <c r="T34" s="1388"/>
      <c r="U34" s="1388"/>
      <c r="V34" s="1388"/>
    </row>
    <row r="35" spans="2:22" ht="15.5">
      <c r="B35" s="55"/>
      <c r="C35" s="65" t="s">
        <v>97</v>
      </c>
      <c r="D35" s="103" t="s">
        <v>87</v>
      </c>
      <c r="E35" s="1387">
        <v>0.11966140823393613</v>
      </c>
      <c r="F35" s="88">
        <v>0.11966140823393613</v>
      </c>
      <c r="G35" s="88">
        <v>0.11966140823393613</v>
      </c>
      <c r="H35" s="185">
        <v>0.12</v>
      </c>
      <c r="I35" s="185"/>
      <c r="J35" s="88">
        <v>0.11966140823393613</v>
      </c>
      <c r="K35" s="185">
        <v>0.13350981964367689</v>
      </c>
      <c r="L35" s="185">
        <v>0.10550981964367689</v>
      </c>
      <c r="M35" s="185"/>
      <c r="N35" s="88">
        <v>0.11966140823393613</v>
      </c>
      <c r="O35" s="185">
        <v>0.13350981964367689</v>
      </c>
      <c r="P35" s="185">
        <v>9.0509819643676895E-2</v>
      </c>
      <c r="S35" s="1388"/>
      <c r="T35" s="1388"/>
      <c r="U35" s="1388"/>
      <c r="V35" s="1388"/>
    </row>
    <row r="36" spans="2:22" ht="15.5">
      <c r="B36" s="55"/>
      <c r="C36" s="65" t="s">
        <v>98</v>
      </c>
      <c r="D36" s="103" t="s">
        <v>88</v>
      </c>
      <c r="E36" s="1387">
        <v>0.2443247402847249</v>
      </c>
      <c r="F36" s="88">
        <v>0.2443247402847249</v>
      </c>
      <c r="G36" s="88">
        <v>0.2443247402847249</v>
      </c>
      <c r="H36" s="185">
        <v>0.19</v>
      </c>
      <c r="I36" s="185"/>
      <c r="J36" s="88">
        <v>0.2443247402847249</v>
      </c>
      <c r="K36" s="185">
        <v>0.15675845340254765</v>
      </c>
      <c r="L36" s="185">
        <v>0.17175845340254764</v>
      </c>
      <c r="M36" s="185"/>
      <c r="N36" s="88">
        <v>0.2443247402847249</v>
      </c>
      <c r="O36" s="185">
        <v>0.15675845340254765</v>
      </c>
      <c r="P36" s="185">
        <v>0.15675845340254765</v>
      </c>
      <c r="S36" s="1388"/>
      <c r="T36" s="1388"/>
      <c r="U36" s="1388"/>
      <c r="V36" s="1388"/>
    </row>
    <row r="37" spans="2:22" ht="15.5">
      <c r="B37" s="55"/>
      <c r="C37" s="65" t="s">
        <v>99</v>
      </c>
      <c r="D37" s="103" t="s">
        <v>89</v>
      </c>
      <c r="E37" s="1387">
        <v>0.27856868026163911</v>
      </c>
      <c r="F37" s="88">
        <v>0.27856868026163911</v>
      </c>
      <c r="G37" s="88">
        <v>0.27856868026163911</v>
      </c>
      <c r="H37" s="185">
        <v>0.25</v>
      </c>
      <c r="I37" s="185"/>
      <c r="J37" s="88">
        <v>0.27856868026163911</v>
      </c>
      <c r="K37" s="185">
        <v>0.29922905538728678</v>
      </c>
      <c r="L37" s="185">
        <v>0.22722905538728683</v>
      </c>
      <c r="M37" s="185"/>
      <c r="N37" s="88">
        <v>0.27856868026163911</v>
      </c>
      <c r="O37" s="185">
        <v>0.29922905538728678</v>
      </c>
      <c r="P37" s="185">
        <v>7.7229055387286819E-2</v>
      </c>
      <c r="S37" s="1388"/>
      <c r="T37" s="1388"/>
      <c r="U37" s="1388"/>
      <c r="V37" s="1388"/>
    </row>
    <row r="38" spans="2:22" ht="15.5">
      <c r="B38" s="55"/>
      <c r="C38" s="887" t="s">
        <v>100</v>
      </c>
      <c r="D38" s="888" t="s">
        <v>90</v>
      </c>
      <c r="E38" s="1389">
        <v>0</v>
      </c>
      <c r="F38" s="93">
        <v>0</v>
      </c>
      <c r="G38" s="93">
        <v>0</v>
      </c>
      <c r="H38" s="139">
        <v>0.01</v>
      </c>
      <c r="I38" s="185"/>
      <c r="J38" s="93">
        <v>0</v>
      </c>
      <c r="K38" s="139">
        <v>1.95958918482949E-2</v>
      </c>
      <c r="L38" s="139">
        <v>1.95958918482949E-2</v>
      </c>
      <c r="M38" s="185"/>
      <c r="N38" s="93">
        <v>0</v>
      </c>
      <c r="O38" s="139">
        <v>1.95958918482949E-2</v>
      </c>
      <c r="P38" s="139">
        <v>1.95958918482949E-2</v>
      </c>
      <c r="S38" s="1388"/>
      <c r="T38" s="1388"/>
      <c r="U38" s="1388"/>
      <c r="V38" s="1388"/>
    </row>
    <row r="39" spans="2:22">
      <c r="B39" s="105"/>
      <c r="C39" s="84"/>
      <c r="D39" s="117"/>
      <c r="E39" s="1352"/>
      <c r="F39" s="1353"/>
      <c r="G39" s="1390"/>
      <c r="H39" s="1390"/>
      <c r="I39" s="1391"/>
      <c r="J39" s="1353" t="s">
        <v>5</v>
      </c>
      <c r="K39" s="67"/>
      <c r="L39" s="67"/>
      <c r="M39" s="1352"/>
      <c r="N39" s="1353"/>
      <c r="O39" s="67"/>
      <c r="P39" s="67"/>
    </row>
    <row r="40" spans="2:22">
      <c r="B40" s="105"/>
      <c r="C40" s="49" t="s">
        <v>1025</v>
      </c>
      <c r="D40" s="67"/>
      <c r="E40" s="50"/>
      <c r="F40" s="1353" t="s">
        <v>8</v>
      </c>
      <c r="G40" s="67"/>
      <c r="H40" s="51" t="s">
        <v>1012</v>
      </c>
      <c r="I40" s="1391"/>
      <c r="J40" s="67" t="s">
        <v>5</v>
      </c>
      <c r="K40" s="67"/>
      <c r="L40" s="67"/>
      <c r="M40" s="67"/>
      <c r="N40" s="67"/>
      <c r="O40" s="67"/>
      <c r="P40" s="876"/>
    </row>
    <row r="41" spans="2:22">
      <c r="B41" s="105"/>
      <c r="C41" s="67"/>
      <c r="D41" s="67"/>
      <c r="E41" s="67"/>
      <c r="F41" s="1353"/>
      <c r="G41" s="67"/>
      <c r="H41" s="67"/>
      <c r="I41" s="67"/>
      <c r="J41" s="67"/>
      <c r="K41" s="67"/>
      <c r="L41" s="67"/>
      <c r="M41" s="67"/>
      <c r="N41" s="67"/>
      <c r="O41" s="67"/>
      <c r="P41" s="876"/>
    </row>
    <row r="42" spans="2:22" ht="15.5">
      <c r="B42" s="55"/>
      <c r="C42" s="878" t="s">
        <v>359</v>
      </c>
      <c r="D42" s="878" t="s">
        <v>71</v>
      </c>
      <c r="E42" s="1392"/>
      <c r="F42" s="1386">
        <v>1</v>
      </c>
      <c r="G42" s="1350">
        <v>2</v>
      </c>
      <c r="H42" s="1350">
        <v>3</v>
      </c>
      <c r="I42" s="1380"/>
      <c r="J42" s="67"/>
      <c r="K42" s="67" t="s">
        <v>5</v>
      </c>
      <c r="L42" s="67"/>
      <c r="M42" s="67"/>
      <c r="N42" s="67"/>
      <c r="O42" s="67"/>
      <c r="P42" s="876"/>
    </row>
    <row r="43" spans="2:22" ht="15.5">
      <c r="B43" s="55"/>
      <c r="C43" s="65" t="s">
        <v>1014</v>
      </c>
      <c r="D43" s="103" t="s">
        <v>2777</v>
      </c>
      <c r="E43" s="1393"/>
      <c r="F43" s="1394">
        <v>0</v>
      </c>
      <c r="G43" s="296">
        <v>-4.0000000000000001E-3</v>
      </c>
      <c r="H43" s="296">
        <v>-0.01</v>
      </c>
      <c r="I43" s="296"/>
      <c r="J43" s="67"/>
      <c r="K43" s="1395"/>
      <c r="L43" s="1395"/>
      <c r="M43" s="1395"/>
      <c r="N43" s="1395"/>
      <c r="O43" s="67"/>
      <c r="P43" s="876"/>
    </row>
    <row r="44" spans="2:22" ht="15.5">
      <c r="B44" s="55"/>
      <c r="C44" s="65" t="s">
        <v>1015</v>
      </c>
      <c r="D44" s="103" t="s">
        <v>1016</v>
      </c>
      <c r="E44" s="1393"/>
      <c r="F44" s="1394">
        <v>0</v>
      </c>
      <c r="G44" s="906">
        <v>-2E-3</v>
      </c>
      <c r="H44" s="906">
        <v>-6.6679506523734666E-3</v>
      </c>
      <c r="I44" s="906"/>
      <c r="J44" s="67"/>
      <c r="K44" s="1395"/>
      <c r="L44" s="1395"/>
      <c r="M44" s="1395"/>
      <c r="N44" s="1395"/>
      <c r="O44" s="67"/>
      <c r="P44" s="876"/>
    </row>
    <row r="45" spans="2:22" ht="15.5">
      <c r="B45" s="55"/>
      <c r="C45" s="65" t="s">
        <v>1017</v>
      </c>
      <c r="D45" s="103" t="s">
        <v>1018</v>
      </c>
      <c r="E45" s="1393"/>
      <c r="F45" s="1394">
        <v>0</v>
      </c>
      <c r="G45" s="906">
        <v>-1.1921561279377713E-3</v>
      </c>
      <c r="H45" s="906">
        <v>-8.0000000000000002E-3</v>
      </c>
      <c r="I45" s="906"/>
      <c r="J45" s="67"/>
      <c r="K45" s="1395"/>
      <c r="L45" s="1395"/>
      <c r="M45" s="1395"/>
      <c r="N45" s="1395"/>
      <c r="O45" s="67"/>
      <c r="P45" s="876"/>
    </row>
    <row r="46" spans="2:22" ht="15.5">
      <c r="B46" s="55"/>
      <c r="C46" s="887" t="s">
        <v>1019</v>
      </c>
      <c r="D46" s="888" t="s">
        <v>402</v>
      </c>
      <c r="E46" s="1396"/>
      <c r="F46" s="1397">
        <v>-2.6341839434337544E-2</v>
      </c>
      <c r="G46" s="1398">
        <v>-2.6341839434337544E-2</v>
      </c>
      <c r="H46" s="1398">
        <v>-4.4739429695181743E-2</v>
      </c>
      <c r="I46" s="906"/>
      <c r="J46" s="67"/>
      <c r="K46" s="1395"/>
      <c r="L46" s="1395"/>
      <c r="M46" s="1395"/>
      <c r="N46" s="1395"/>
      <c r="O46" s="67"/>
      <c r="P46" s="876"/>
    </row>
    <row r="47" spans="2:22" ht="15.5">
      <c r="B47" s="55"/>
      <c r="C47" s="65"/>
      <c r="D47" s="103"/>
      <c r="E47" s="1399"/>
      <c r="F47" s="1400"/>
      <c r="G47" s="73"/>
      <c r="H47" s="73"/>
      <c r="I47" s="73"/>
      <c r="J47" s="67"/>
      <c r="K47" s="67"/>
      <c r="L47" s="67"/>
      <c r="M47" s="67"/>
      <c r="N47" s="67"/>
      <c r="O47" s="67"/>
      <c r="P47" s="876"/>
    </row>
    <row r="48" spans="2:22">
      <c r="B48" s="105"/>
      <c r="C48" s="49" t="s">
        <v>2691</v>
      </c>
      <c r="D48" s="67"/>
      <c r="E48" s="67"/>
      <c r="F48" s="67"/>
      <c r="G48" s="67"/>
      <c r="H48" s="51"/>
      <c r="I48" s="67"/>
      <c r="J48" s="67"/>
      <c r="K48" s="67"/>
      <c r="L48" s="67"/>
      <c r="M48" s="67"/>
      <c r="N48" s="51" t="s">
        <v>1026</v>
      </c>
      <c r="O48" s="67"/>
      <c r="P48" s="876"/>
    </row>
    <row r="49" spans="1:16">
      <c r="B49" s="105"/>
      <c r="C49" s="67"/>
      <c r="D49" s="67"/>
      <c r="E49" s="67"/>
      <c r="F49" s="67"/>
      <c r="G49" s="67"/>
      <c r="H49" s="67"/>
      <c r="I49" s="67"/>
      <c r="J49" s="67"/>
      <c r="K49" s="67"/>
      <c r="L49" s="67"/>
      <c r="M49" s="67"/>
      <c r="N49" s="67"/>
      <c r="O49" s="67"/>
      <c r="P49" s="876"/>
    </row>
    <row r="50" spans="1:16" ht="15.5">
      <c r="B50" s="55"/>
      <c r="C50" s="878" t="s">
        <v>8</v>
      </c>
      <c r="D50" s="878" t="s">
        <v>34</v>
      </c>
      <c r="E50" s="878" t="s">
        <v>30</v>
      </c>
      <c r="F50" s="87">
        <v>2013</v>
      </c>
      <c r="G50" s="87">
        <v>2015</v>
      </c>
      <c r="H50" s="87">
        <v>2020</v>
      </c>
      <c r="I50" s="87">
        <v>2025</v>
      </c>
      <c r="J50" s="87">
        <v>2030</v>
      </c>
      <c r="K50" s="87">
        <v>2035</v>
      </c>
      <c r="L50" s="87">
        <v>2040</v>
      </c>
      <c r="M50" s="87">
        <v>2045</v>
      </c>
      <c r="N50" s="87">
        <v>2050</v>
      </c>
      <c r="O50" s="67"/>
      <c r="P50" s="876"/>
    </row>
    <row r="51" spans="1:16" ht="15.5">
      <c r="B51" s="55"/>
      <c r="C51" s="65">
        <v>1</v>
      </c>
      <c r="D51" s="103"/>
      <c r="E51" s="1256"/>
      <c r="F51" s="88">
        <v>0</v>
      </c>
      <c r="G51" s="88">
        <v>0</v>
      </c>
      <c r="H51" s="88">
        <v>0</v>
      </c>
      <c r="I51" s="88">
        <v>0</v>
      </c>
      <c r="J51" s="88">
        <v>0</v>
      </c>
      <c r="K51" s="88">
        <v>0</v>
      </c>
      <c r="L51" s="88">
        <v>0</v>
      </c>
      <c r="M51" s="88">
        <v>0</v>
      </c>
      <c r="N51" s="88">
        <v>0</v>
      </c>
      <c r="O51" s="67"/>
      <c r="P51" s="876"/>
    </row>
    <row r="52" spans="1:16" ht="15.5">
      <c r="B52" s="55"/>
      <c r="C52" s="65">
        <v>2</v>
      </c>
      <c r="D52" s="103"/>
      <c r="E52" s="1256"/>
      <c r="F52" s="185">
        <v>0</v>
      </c>
      <c r="G52" s="185">
        <v>0</v>
      </c>
      <c r="H52" s="185">
        <v>0</v>
      </c>
      <c r="I52" s="185">
        <v>0</v>
      </c>
      <c r="J52" s="185">
        <v>0</v>
      </c>
      <c r="K52" s="185">
        <v>0</v>
      </c>
      <c r="L52" s="185">
        <v>0</v>
      </c>
      <c r="M52" s="185">
        <v>0</v>
      </c>
      <c r="N52" s="185">
        <v>0</v>
      </c>
      <c r="O52" s="67"/>
      <c r="P52" s="876"/>
    </row>
    <row r="53" spans="1:16" ht="15.5">
      <c r="B53" s="55"/>
      <c r="C53" s="917">
        <v>3</v>
      </c>
      <c r="D53" s="194"/>
      <c r="E53" s="1310"/>
      <c r="F53" s="164">
        <v>0</v>
      </c>
      <c r="G53" s="164">
        <v>0</v>
      </c>
      <c r="H53" s="164">
        <v>0</v>
      </c>
      <c r="I53" s="164">
        <v>0</v>
      </c>
      <c r="J53" s="164">
        <v>0</v>
      </c>
      <c r="K53" s="164">
        <v>0</v>
      </c>
      <c r="L53" s="164">
        <v>0</v>
      </c>
      <c r="M53" s="164">
        <v>0</v>
      </c>
      <c r="N53" s="164">
        <v>0</v>
      </c>
      <c r="O53" s="67"/>
      <c r="P53" s="876"/>
    </row>
    <row r="54" spans="1:16">
      <c r="B54" s="105"/>
      <c r="C54" s="67"/>
      <c r="D54" s="67"/>
      <c r="E54" s="67"/>
      <c r="F54" s="67"/>
      <c r="G54" s="67"/>
      <c r="H54" s="67"/>
      <c r="I54" s="67"/>
      <c r="J54" s="67"/>
      <c r="K54" s="67"/>
      <c r="L54" s="67"/>
      <c r="M54" s="67"/>
      <c r="N54" s="67"/>
      <c r="O54" s="67"/>
      <c r="P54" s="876"/>
    </row>
    <row r="55" spans="1:16">
      <c r="B55" s="105"/>
      <c r="C55" s="3826" t="s">
        <v>63</v>
      </c>
      <c r="D55" s="67"/>
      <c r="E55" s="67"/>
      <c r="F55" s="67"/>
      <c r="G55" s="67"/>
      <c r="H55" s="67"/>
      <c r="I55" s="67"/>
      <c r="J55" s="67"/>
      <c r="K55" s="67"/>
      <c r="L55" s="67"/>
      <c r="M55" s="67"/>
      <c r="N55" s="67"/>
      <c r="O55" s="67"/>
      <c r="P55" s="876"/>
    </row>
    <row r="56" spans="1:16">
      <c r="B56" s="105"/>
      <c r="C56" s="2249"/>
      <c r="D56" s="3828" t="s">
        <v>3189</v>
      </c>
      <c r="E56" s="67"/>
      <c r="F56" s="67"/>
      <c r="G56" s="67"/>
      <c r="H56" s="67"/>
      <c r="I56" s="67"/>
      <c r="J56" s="67"/>
      <c r="K56" s="67"/>
      <c r="L56" s="67"/>
      <c r="M56" s="67"/>
      <c r="N56" s="67"/>
      <c r="O56" s="67"/>
      <c r="P56" s="876"/>
    </row>
    <row r="57" spans="1:16">
      <c r="B57" s="105"/>
      <c r="C57" s="2249" t="s">
        <v>64</v>
      </c>
      <c r="D57" s="2248" t="s">
        <v>3052</v>
      </c>
      <c r="E57" s="67"/>
      <c r="F57" s="67"/>
      <c r="G57" s="67"/>
      <c r="H57" s="67"/>
      <c r="I57" s="67"/>
      <c r="J57" s="67"/>
      <c r="K57" s="67"/>
      <c r="L57" s="67"/>
      <c r="M57" s="67"/>
      <c r="N57" s="67"/>
      <c r="O57" s="67"/>
      <c r="P57" s="876"/>
    </row>
    <row r="58" spans="1:16">
      <c r="B58" s="105"/>
      <c r="C58" s="51"/>
      <c r="D58" s="3828" t="s">
        <v>3053</v>
      </c>
      <c r="E58" s="67"/>
      <c r="F58" s="67"/>
      <c r="G58" s="67"/>
      <c r="H58" s="67"/>
      <c r="I58" s="67"/>
      <c r="J58" s="67"/>
      <c r="K58" s="67"/>
      <c r="L58" s="67"/>
      <c r="M58" s="67"/>
      <c r="N58" s="67"/>
      <c r="O58" s="67"/>
      <c r="P58" s="876"/>
    </row>
    <row r="60" spans="1:16" s="6" customFormat="1" ht="23.5">
      <c r="A60" s="40"/>
      <c r="B60" s="869" t="s">
        <v>69</v>
      </c>
      <c r="C60" s="870"/>
      <c r="D60" s="870"/>
      <c r="E60" s="870"/>
      <c r="F60" s="870"/>
      <c r="G60" s="870"/>
      <c r="H60" s="870"/>
      <c r="I60" s="870"/>
      <c r="J60" s="870"/>
      <c r="K60" s="870"/>
      <c r="L60" s="870"/>
      <c r="M60" s="870"/>
      <c r="N60" s="870"/>
      <c r="O60" s="870"/>
      <c r="P60" s="871"/>
    </row>
    <row r="61" spans="1:16">
      <c r="B61" s="105"/>
      <c r="C61" s="67"/>
      <c r="D61" s="67"/>
      <c r="E61" s="67"/>
      <c r="F61" s="67"/>
      <c r="G61" s="67"/>
      <c r="H61" s="67"/>
      <c r="I61" s="67"/>
      <c r="J61" s="67"/>
      <c r="K61" s="67"/>
      <c r="L61" s="67"/>
      <c r="M61" s="67"/>
      <c r="N61" s="67"/>
      <c r="O61" s="67"/>
      <c r="P61" s="876"/>
    </row>
    <row r="62" spans="1:16">
      <c r="B62" s="105"/>
      <c r="C62" s="49" t="s">
        <v>1027</v>
      </c>
      <c r="D62" s="67"/>
      <c r="E62" s="67"/>
      <c r="F62" s="67"/>
      <c r="G62" s="67"/>
      <c r="H62" s="67"/>
      <c r="I62" s="51" t="str">
        <f>Preferences.EnergyUnits</f>
        <v>TWh</v>
      </c>
      <c r="J62" s="51"/>
      <c r="K62" s="67"/>
      <c r="L62" s="67"/>
      <c r="M62" s="67"/>
      <c r="N62" s="67"/>
      <c r="O62" s="67"/>
      <c r="P62" s="876"/>
    </row>
    <row r="63" spans="1:16">
      <c r="B63" s="105"/>
      <c r="C63" s="67"/>
      <c r="D63" s="67"/>
      <c r="E63" s="1352"/>
      <c r="F63" s="1353"/>
      <c r="G63" s="67"/>
      <c r="H63" s="67"/>
      <c r="I63" s="1352"/>
      <c r="J63" s="1353"/>
      <c r="K63" s="67"/>
      <c r="L63" s="67"/>
      <c r="M63" s="67"/>
      <c r="N63" s="67"/>
      <c r="O63" s="67"/>
      <c r="P63" s="876"/>
    </row>
    <row r="64" spans="1:16" ht="15.5">
      <c r="B64" s="55"/>
      <c r="C64" s="878" t="s">
        <v>28</v>
      </c>
      <c r="D64" s="878" t="s">
        <v>71</v>
      </c>
      <c r="E64" s="1392" t="s">
        <v>30</v>
      </c>
      <c r="F64" s="1401" t="s">
        <v>2777</v>
      </c>
      <c r="G64" s="87" t="s">
        <v>1016</v>
      </c>
      <c r="H64" s="87" t="s">
        <v>1018</v>
      </c>
      <c r="I64" s="1402" t="s">
        <v>402</v>
      </c>
      <c r="J64" s="1401" t="s">
        <v>58</v>
      </c>
      <c r="K64" s="1401" t="s">
        <v>2851</v>
      </c>
      <c r="L64" s="67"/>
      <c r="M64" s="67"/>
      <c r="N64" s="67"/>
      <c r="O64" s="67"/>
      <c r="P64" s="876"/>
    </row>
    <row r="65" spans="2:25" ht="15.5">
      <c r="B65" s="55"/>
      <c r="C65" s="65" t="s">
        <v>95</v>
      </c>
      <c r="D65" s="103" t="s">
        <v>85</v>
      </c>
      <c r="E65" s="1393"/>
      <c r="F65" s="1403">
        <f>(Unit.TWh)*1.69</f>
        <v>1.69</v>
      </c>
      <c r="G65" s="1403">
        <f>(Unit.TWh)*0.74</f>
        <v>0.74</v>
      </c>
      <c r="H65" s="60">
        <f>(Unit.TWh)*0.59</f>
        <v>0.59</v>
      </c>
      <c r="I65" s="1403">
        <f>J65-SUM(F65:H65)</f>
        <v>6.27</v>
      </c>
      <c r="J65" s="1403">
        <f>(Unit.TWh)*9.29</f>
        <v>9.2899999999999991</v>
      </c>
      <c r="K65" s="3687">
        <f>J65/J$70</f>
        <v>0.35744517121969982</v>
      </c>
      <c r="L65" s="67" t="s">
        <v>5</v>
      </c>
      <c r="M65" s="67"/>
      <c r="N65" s="67"/>
      <c r="O65" s="67"/>
      <c r="P65" s="876"/>
    </row>
    <row r="66" spans="2:25" ht="15.5">
      <c r="B66" s="55"/>
      <c r="C66" s="65" t="s">
        <v>97</v>
      </c>
      <c r="D66" s="103" t="s">
        <v>87</v>
      </c>
      <c r="E66" s="1393"/>
      <c r="F66" s="1403">
        <f>(Unit.TWh)*0</f>
        <v>0</v>
      </c>
      <c r="G66" s="60">
        <f>(Unit.TWh)*0</f>
        <v>0</v>
      </c>
      <c r="H66" s="60">
        <f>(Unit.TWh)*1.4</f>
        <v>1.4</v>
      </c>
      <c r="I66" s="1403">
        <f>J66-SUM(F66:H66)</f>
        <v>1.71</v>
      </c>
      <c r="J66" s="1404">
        <f>(Unit.TWh)*3.11</f>
        <v>3.11</v>
      </c>
      <c r="K66" s="3688">
        <f>J66/J$70</f>
        <v>0.11966140823393612</v>
      </c>
      <c r="L66" s="67"/>
      <c r="M66" s="67"/>
      <c r="N66" s="67"/>
      <c r="O66" s="67"/>
      <c r="P66" s="876"/>
    </row>
    <row r="67" spans="2:25" ht="15.5">
      <c r="B67" s="55"/>
      <c r="C67" s="65" t="s">
        <v>98</v>
      </c>
      <c r="D67" s="103" t="s">
        <v>88</v>
      </c>
      <c r="E67" s="1393"/>
      <c r="F67" s="1403">
        <f>(Unit.TWh)*0.34</f>
        <v>0.34</v>
      </c>
      <c r="G67" s="60">
        <f>(Unit.TWh)*1.11</f>
        <v>1.1100000000000001</v>
      </c>
      <c r="H67" s="60">
        <f>(Unit.TWh)*1.64</f>
        <v>1.64</v>
      </c>
      <c r="I67" s="1403">
        <f>J67-SUM(F67:H67)</f>
        <v>3.26</v>
      </c>
      <c r="J67" s="1404">
        <f>(Unit.TWh)*6.35</f>
        <v>6.35</v>
      </c>
      <c r="K67" s="3688">
        <f>J67/J$70</f>
        <v>0.24432474028472487</v>
      </c>
      <c r="L67" s="67"/>
      <c r="M67" s="67"/>
      <c r="N67" s="67"/>
      <c r="O67" s="67"/>
      <c r="P67" s="876"/>
    </row>
    <row r="68" spans="2:25" ht="15.5">
      <c r="B68" s="55"/>
      <c r="C68" s="65" t="s">
        <v>99</v>
      </c>
      <c r="D68" s="103" t="s">
        <v>89</v>
      </c>
      <c r="E68" s="1393"/>
      <c r="F68" s="1403">
        <f>(Unit.TWh)*0.65</f>
        <v>0.65</v>
      </c>
      <c r="G68" s="60">
        <f>(Unit.TWh)*3.73</f>
        <v>3.73</v>
      </c>
      <c r="H68" s="60">
        <f>(Unit.TWh)*0.17</f>
        <v>0.17</v>
      </c>
      <c r="I68" s="1403">
        <f>J68-SUM(F68:H68)</f>
        <v>2.6900000000000004</v>
      </c>
      <c r="J68" s="1404">
        <f>(Unit.TWh)*7.24</f>
        <v>7.24</v>
      </c>
      <c r="K68" s="3688">
        <f>J68/J$70</f>
        <v>0.27856868026163906</v>
      </c>
      <c r="L68" s="67"/>
      <c r="M68" s="67"/>
      <c r="N68" s="67"/>
      <c r="O68" s="67"/>
      <c r="P68" s="876"/>
    </row>
    <row r="69" spans="2:25" ht="15.5">
      <c r="B69" s="55"/>
      <c r="C69" s="887" t="s">
        <v>100</v>
      </c>
      <c r="D69" s="888" t="s">
        <v>90</v>
      </c>
      <c r="E69" s="1405"/>
      <c r="F69" s="1406">
        <f>(Unit.TWh)*0</f>
        <v>0</v>
      </c>
      <c r="G69" s="898">
        <f>(Unit.TWh)*0</f>
        <v>0</v>
      </c>
      <c r="H69" s="898">
        <f>(Unit.TWh)*0</f>
        <v>0</v>
      </c>
      <c r="I69" s="1407">
        <v>0</v>
      </c>
      <c r="J69" s="1408">
        <v>0</v>
      </c>
      <c r="K69" s="1408">
        <f>J69/J$70</f>
        <v>0</v>
      </c>
      <c r="L69" s="67"/>
      <c r="M69" s="67"/>
      <c r="N69" s="67"/>
      <c r="O69" s="67"/>
      <c r="P69" s="876"/>
      <c r="X69" s="39"/>
      <c r="Y69" s="39"/>
    </row>
    <row r="70" spans="2:25" ht="15.5">
      <c r="B70" s="55"/>
      <c r="C70" s="84" t="s">
        <v>58</v>
      </c>
      <c r="D70" s="117"/>
      <c r="E70" s="1409"/>
      <c r="F70" s="1391">
        <f>SUM(F65:F68)</f>
        <v>2.6799999999999997</v>
      </c>
      <c r="G70" s="1391">
        <f>SUM(G65:G68)</f>
        <v>5.58</v>
      </c>
      <c r="H70" s="1391">
        <f>SUM(H65:H68)</f>
        <v>3.8</v>
      </c>
      <c r="I70" s="1391">
        <f>SUM(I65:I68)</f>
        <v>13.93</v>
      </c>
      <c r="J70" s="1391">
        <f>SUM(J65:J68)</f>
        <v>25.990000000000002</v>
      </c>
      <c r="K70" s="67"/>
      <c r="L70" s="67"/>
      <c r="M70" s="67"/>
      <c r="N70" s="67"/>
      <c r="O70" s="67"/>
      <c r="P70" s="876"/>
      <c r="X70" s="39"/>
      <c r="Y70" s="39"/>
    </row>
    <row r="71" spans="2:25">
      <c r="B71" s="105"/>
      <c r="C71" s="67"/>
      <c r="D71" s="67"/>
      <c r="E71" s="67"/>
      <c r="F71" s="67"/>
      <c r="G71" s="67"/>
      <c r="H71" s="67"/>
      <c r="I71" s="67"/>
      <c r="J71" s="67" t="s">
        <v>5</v>
      </c>
      <c r="K71" s="67"/>
      <c r="L71" s="67"/>
      <c r="M71" s="67"/>
      <c r="N71" s="67"/>
      <c r="O71" s="67"/>
      <c r="P71" s="876"/>
      <c r="X71" s="39"/>
      <c r="Y71" s="39"/>
    </row>
    <row r="72" spans="2:25">
      <c r="B72" s="105"/>
      <c r="C72" s="49" t="s">
        <v>1028</v>
      </c>
      <c r="D72" s="67"/>
      <c r="E72" s="50"/>
      <c r="F72" s="67"/>
      <c r="G72" s="67"/>
      <c r="H72" s="67"/>
      <c r="I72" s="935" t="s">
        <v>251</v>
      </c>
      <c r="J72" s="67"/>
      <c r="K72" s="67"/>
      <c r="L72" s="67"/>
      <c r="M72" s="67"/>
      <c r="N72" s="67"/>
      <c r="O72" s="67"/>
      <c r="P72" s="876"/>
      <c r="X72" s="1410"/>
      <c r="Y72" s="1410"/>
    </row>
    <row r="73" spans="2:25">
      <c r="B73" s="105"/>
      <c r="C73" s="67"/>
      <c r="D73" s="67"/>
      <c r="E73" s="1352"/>
      <c r="F73" s="1353"/>
      <c r="G73" s="67"/>
      <c r="H73" s="67"/>
      <c r="I73" s="67"/>
      <c r="J73" s="67"/>
      <c r="K73" s="67"/>
      <c r="L73" s="67"/>
      <c r="M73" s="67"/>
      <c r="N73" s="67"/>
      <c r="O73" s="67"/>
      <c r="P73" s="876"/>
      <c r="X73" s="39"/>
      <c r="Y73" s="39"/>
    </row>
    <row r="74" spans="2:25" ht="15.5">
      <c r="B74" s="55"/>
      <c r="C74" s="878" t="s">
        <v>359</v>
      </c>
      <c r="D74" s="878" t="s">
        <v>71</v>
      </c>
      <c r="E74" s="1392" t="s">
        <v>30</v>
      </c>
      <c r="F74" s="1401" t="s">
        <v>250</v>
      </c>
      <c r="G74" s="87" t="s">
        <v>252</v>
      </c>
      <c r="H74" s="87" t="s">
        <v>253</v>
      </c>
      <c r="I74" s="87" t="s">
        <v>451</v>
      </c>
      <c r="J74" s="67"/>
      <c r="K74" s="67"/>
      <c r="L74" s="67"/>
      <c r="M74" s="67"/>
      <c r="N74" s="67"/>
      <c r="O74" s="67"/>
      <c r="P74" s="876"/>
      <c r="X74" s="39"/>
      <c r="Y74" s="39"/>
    </row>
    <row r="75" spans="2:25" s="6" customFormat="1" ht="15.5">
      <c r="B75" s="966"/>
      <c r="C75" s="65" t="s">
        <v>1014</v>
      </c>
      <c r="D75" s="103" t="s">
        <v>2777</v>
      </c>
      <c r="E75" s="1393"/>
      <c r="F75" s="1411">
        <v>0</v>
      </c>
      <c r="G75" s="883">
        <v>0</v>
      </c>
      <c r="H75" s="883">
        <v>0</v>
      </c>
      <c r="I75" s="883">
        <v>0</v>
      </c>
      <c r="J75" s="103"/>
      <c r="K75" s="103"/>
      <c r="L75" s="103"/>
      <c r="M75" s="103"/>
      <c r="N75" s="103"/>
      <c r="O75" s="103"/>
      <c r="P75" s="884"/>
    </row>
    <row r="76" spans="2:25" s="6" customFormat="1" ht="15.5">
      <c r="B76" s="966"/>
      <c r="C76" s="103" t="s">
        <v>1015</v>
      </c>
      <c r="D76" s="103" t="s">
        <v>1016</v>
      </c>
      <c r="E76" s="1399"/>
      <c r="F76" s="1411">
        <v>0</v>
      </c>
      <c r="G76" s="883">
        <v>0</v>
      </c>
      <c r="H76" s="883">
        <v>0</v>
      </c>
      <c r="I76" s="883">
        <v>0</v>
      </c>
      <c r="J76" s="103"/>
      <c r="K76" s="103"/>
      <c r="L76" s="103"/>
      <c r="M76" s="103"/>
      <c r="N76" s="103"/>
      <c r="O76" s="103"/>
      <c r="P76" s="884"/>
    </row>
    <row r="77" spans="2:25" s="6" customFormat="1" ht="15.5">
      <c r="B77" s="966"/>
      <c r="C77" s="103" t="s">
        <v>1017</v>
      </c>
      <c r="D77" s="103" t="s">
        <v>1018</v>
      </c>
      <c r="E77" s="1399"/>
      <c r="F77" s="1411">
        <f>'EPA Emissions 2013'!G20</f>
        <v>1.11175</v>
      </c>
      <c r="G77" s="883">
        <v>0</v>
      </c>
      <c r="H77" s="883">
        <v>0</v>
      </c>
      <c r="I77" s="883">
        <v>0</v>
      </c>
      <c r="J77" s="103"/>
      <c r="K77" s="103"/>
      <c r="L77" s="103"/>
      <c r="M77" s="103"/>
      <c r="N77" s="103"/>
      <c r="O77" s="103"/>
      <c r="P77" s="884"/>
    </row>
    <row r="78" spans="2:25" s="6" customFormat="1" ht="15.5">
      <c r="B78" s="966"/>
      <c r="C78" s="194" t="s">
        <v>1019</v>
      </c>
      <c r="D78" s="194" t="s">
        <v>402</v>
      </c>
      <c r="E78" s="1412"/>
      <c r="F78" s="3607">
        <v>0</v>
      </c>
      <c r="G78" s="1148">
        <v>0</v>
      </c>
      <c r="H78" s="1148">
        <v>0</v>
      </c>
      <c r="I78" s="1148">
        <f>'EPA Emissions 2013'!G19</f>
        <v>1.12416</v>
      </c>
      <c r="J78" s="103"/>
      <c r="K78" s="103"/>
      <c r="L78" s="103"/>
      <c r="M78" s="103"/>
      <c r="N78" s="103"/>
      <c r="O78" s="103"/>
      <c r="P78" s="884"/>
    </row>
    <row r="79" spans="2:25">
      <c r="B79" s="105"/>
      <c r="C79" s="67"/>
      <c r="D79" s="67"/>
      <c r="E79" s="1352"/>
      <c r="F79" s="1353"/>
      <c r="G79" s="67"/>
      <c r="H79" s="67"/>
      <c r="I79" s="67"/>
      <c r="J79" s="67"/>
      <c r="K79" s="67"/>
      <c r="L79" s="67"/>
      <c r="M79" s="67"/>
      <c r="N79" s="67"/>
      <c r="O79" s="67"/>
      <c r="P79" s="876"/>
    </row>
    <row r="80" spans="2:25">
      <c r="B80" s="105"/>
      <c r="C80" s="49" t="s">
        <v>1029</v>
      </c>
      <c r="D80" s="67"/>
      <c r="E80" s="50"/>
      <c r="F80" s="67"/>
      <c r="G80" s="67"/>
      <c r="H80" s="67"/>
      <c r="I80" s="935" t="s">
        <v>972</v>
      </c>
      <c r="J80" s="67"/>
      <c r="K80" s="67"/>
      <c r="L80" s="67"/>
      <c r="M80" s="67"/>
      <c r="N80" s="67"/>
      <c r="O80" s="67"/>
      <c r="P80" s="876"/>
    </row>
    <row r="81" spans="2:16">
      <c r="B81" s="105"/>
      <c r="C81" s="67"/>
      <c r="D81" s="67"/>
      <c r="E81" s="1352"/>
      <c r="F81" s="1353"/>
      <c r="G81" s="67"/>
      <c r="H81" s="67"/>
      <c r="I81" s="67"/>
      <c r="J81" s="67"/>
      <c r="K81" s="67"/>
      <c r="L81" s="67"/>
      <c r="M81" s="67"/>
      <c r="N81" s="67"/>
      <c r="O81" s="67"/>
      <c r="P81" s="876"/>
    </row>
    <row r="82" spans="2:16" ht="15.5">
      <c r="B82" s="55"/>
      <c r="C82" s="878" t="s">
        <v>359</v>
      </c>
      <c r="D82" s="878" t="s">
        <v>71</v>
      </c>
      <c r="E82" s="1392" t="s">
        <v>30</v>
      </c>
      <c r="F82" s="1401" t="s">
        <v>258</v>
      </c>
      <c r="G82" s="87" t="s">
        <v>260</v>
      </c>
      <c r="H82" s="87" t="s">
        <v>262</v>
      </c>
      <c r="I82" s="87" t="s">
        <v>264</v>
      </c>
      <c r="J82" s="67"/>
      <c r="K82" s="67"/>
      <c r="L82" s="67"/>
      <c r="M82" s="67"/>
      <c r="N82" s="67"/>
      <c r="O82" s="67"/>
      <c r="P82" s="876"/>
    </row>
    <row r="83" spans="2:16" s="6" customFormat="1" ht="15.5">
      <c r="B83" s="966"/>
      <c r="C83" s="65" t="s">
        <v>1014</v>
      </c>
      <c r="D83" s="103" t="s">
        <v>2777</v>
      </c>
      <c r="E83" s="1393"/>
      <c r="F83" s="3050"/>
      <c r="G83" s="3048"/>
      <c r="H83" s="3048"/>
      <c r="I83" s="3048"/>
      <c r="J83" s="103"/>
      <c r="K83" s="103"/>
      <c r="L83" s="103"/>
      <c r="M83" s="103"/>
      <c r="N83" s="103"/>
      <c r="O83" s="103"/>
      <c r="P83" s="884"/>
    </row>
    <row r="84" spans="2:16" s="6" customFormat="1" ht="15.5">
      <c r="B84" s="966"/>
      <c r="C84" s="103" t="s">
        <v>1015</v>
      </c>
      <c r="D84" s="103" t="s">
        <v>1016</v>
      </c>
      <c r="E84" s="1399"/>
      <c r="F84" s="3050"/>
      <c r="G84" s="3048"/>
      <c r="H84" s="3048"/>
      <c r="I84" s="3048"/>
      <c r="J84" s="103"/>
      <c r="K84" s="103"/>
      <c r="L84" s="103"/>
      <c r="M84" s="103"/>
      <c r="N84" s="103"/>
      <c r="O84" s="103"/>
      <c r="P84" s="884"/>
    </row>
    <row r="85" spans="2:16" s="6" customFormat="1" ht="15.5">
      <c r="B85" s="966"/>
      <c r="C85" s="103" t="s">
        <v>1017</v>
      </c>
      <c r="D85" s="103" t="s">
        <v>1018</v>
      </c>
      <c r="E85" s="1399"/>
      <c r="F85" s="3050"/>
      <c r="G85" s="3048"/>
      <c r="H85" s="3048"/>
      <c r="I85" s="3048"/>
      <c r="J85" s="103"/>
      <c r="K85" s="103"/>
      <c r="L85" s="103"/>
      <c r="M85" s="103"/>
      <c r="N85" s="103"/>
      <c r="O85" s="103"/>
      <c r="P85" s="884"/>
    </row>
    <row r="86" spans="2:16" s="6" customFormat="1" ht="15.5">
      <c r="B86" s="966"/>
      <c r="C86" s="194" t="s">
        <v>1019</v>
      </c>
      <c r="D86" s="194" t="s">
        <v>402</v>
      </c>
      <c r="E86" s="1412"/>
      <c r="F86" s="3051"/>
      <c r="G86" s="3049"/>
      <c r="H86" s="3049"/>
      <c r="I86" s="3049"/>
      <c r="J86" s="103"/>
      <c r="K86" s="103"/>
      <c r="L86" s="103"/>
      <c r="M86" s="103"/>
      <c r="N86" s="103"/>
      <c r="O86" s="103"/>
      <c r="P86" s="884"/>
    </row>
    <row r="87" spans="2:16" s="6" customFormat="1" ht="15.5">
      <c r="B87" s="966"/>
      <c r="C87" s="103"/>
      <c r="D87" s="117" t="s">
        <v>58</v>
      </c>
      <c r="E87" s="1399"/>
      <c r="F87" s="1411"/>
      <c r="G87" s="883"/>
      <c r="H87" s="883"/>
      <c r="I87" s="883"/>
      <c r="J87" s="103"/>
      <c r="K87" s="103"/>
      <c r="L87" s="103"/>
      <c r="M87" s="103"/>
      <c r="N87" s="103"/>
      <c r="O87" s="103"/>
      <c r="P87" s="884"/>
    </row>
    <row r="88" spans="2:16" s="6" customFormat="1" ht="15.5">
      <c r="B88" s="966"/>
      <c r="C88" s="103"/>
      <c r="D88" s="103"/>
      <c r="E88" s="1399"/>
      <c r="F88" s="1411"/>
      <c r="G88" s="883"/>
      <c r="H88" s="883"/>
      <c r="I88" s="883"/>
      <c r="J88" s="103"/>
      <c r="K88" s="103"/>
      <c r="L88" s="103"/>
      <c r="M88" s="103"/>
      <c r="N88" s="103"/>
      <c r="O88" s="103"/>
      <c r="P88" s="884"/>
    </row>
    <row r="89" spans="2:16">
      <c r="B89" s="105"/>
      <c r="C89" s="49" t="s">
        <v>1030</v>
      </c>
      <c r="D89" s="67"/>
      <c r="E89" s="50"/>
      <c r="F89" s="67"/>
      <c r="G89" s="67"/>
      <c r="H89" s="67"/>
      <c r="I89" s="935" t="s">
        <v>972</v>
      </c>
      <c r="J89" s="67"/>
      <c r="K89" s="67"/>
      <c r="L89" s="67"/>
      <c r="M89" s="67"/>
      <c r="N89" s="67"/>
      <c r="O89" s="67"/>
      <c r="P89" s="876"/>
    </row>
    <row r="90" spans="2:16">
      <c r="B90" s="105"/>
      <c r="C90" s="67"/>
      <c r="D90" s="67"/>
      <c r="E90" s="1352"/>
      <c r="F90" s="1353"/>
      <c r="G90" s="67"/>
      <c r="H90" s="67"/>
      <c r="I90" s="67"/>
      <c r="J90" s="67"/>
      <c r="K90" s="67"/>
      <c r="L90" s="67"/>
      <c r="M90" s="67"/>
      <c r="N90" s="67"/>
      <c r="O90" s="67"/>
      <c r="P90" s="876"/>
    </row>
    <row r="91" spans="2:16" ht="15.5">
      <c r="B91" s="55"/>
      <c r="C91" s="878" t="s">
        <v>359</v>
      </c>
      <c r="D91" s="878" t="s">
        <v>71</v>
      </c>
      <c r="E91" s="1392" t="s">
        <v>30</v>
      </c>
      <c r="F91" s="1401" t="s">
        <v>258</v>
      </c>
      <c r="G91" s="87" t="s">
        <v>260</v>
      </c>
      <c r="H91" s="87" t="s">
        <v>262</v>
      </c>
      <c r="I91" s="87" t="s">
        <v>264</v>
      </c>
      <c r="J91" s="67"/>
      <c r="K91" s="67"/>
      <c r="L91" s="67"/>
      <c r="M91" s="67"/>
      <c r="N91" s="67"/>
      <c r="O91" s="67"/>
      <c r="P91" s="876"/>
    </row>
    <row r="92" spans="2:16" s="6" customFormat="1" ht="15.5">
      <c r="B92" s="966"/>
      <c r="C92" s="65" t="s">
        <v>1014</v>
      </c>
      <c r="D92" s="103" t="s">
        <v>2777</v>
      </c>
      <c r="E92" s="1393"/>
      <c r="F92" s="3050"/>
      <c r="G92" s="3048"/>
      <c r="H92" s="3048"/>
      <c r="I92" s="3048"/>
      <c r="J92" s="103"/>
      <c r="K92" s="103"/>
      <c r="L92" s="103"/>
      <c r="M92" s="103"/>
      <c r="N92" s="103"/>
      <c r="O92" s="103"/>
      <c r="P92" s="884"/>
    </row>
    <row r="93" spans="2:16" s="6" customFormat="1" ht="15.5">
      <c r="B93" s="966"/>
      <c r="C93" s="103" t="s">
        <v>1015</v>
      </c>
      <c r="D93" s="103" t="s">
        <v>1016</v>
      </c>
      <c r="E93" s="1399"/>
      <c r="F93" s="3050"/>
      <c r="G93" s="3048"/>
      <c r="H93" s="3048"/>
      <c r="I93" s="3048"/>
      <c r="J93" s="103"/>
      <c r="K93" s="103"/>
      <c r="L93" s="103"/>
      <c r="M93" s="103"/>
      <c r="N93" s="103"/>
      <c r="O93" s="103"/>
      <c r="P93" s="884"/>
    </row>
    <row r="94" spans="2:16" s="6" customFormat="1" ht="15.5">
      <c r="B94" s="966"/>
      <c r="C94" s="103" t="s">
        <v>1017</v>
      </c>
      <c r="D94" s="103" t="s">
        <v>1018</v>
      </c>
      <c r="E94" s="1399"/>
      <c r="F94" s="3050"/>
      <c r="G94" s="3048"/>
      <c r="H94" s="3048"/>
      <c r="I94" s="3048"/>
      <c r="J94" s="103"/>
      <c r="K94" s="103"/>
      <c r="L94" s="103"/>
      <c r="M94" s="103"/>
      <c r="N94" s="103"/>
      <c r="O94" s="103"/>
      <c r="P94" s="884"/>
    </row>
    <row r="95" spans="2:16" s="6" customFormat="1" ht="15.5">
      <c r="B95" s="966"/>
      <c r="C95" s="194" t="s">
        <v>1019</v>
      </c>
      <c r="D95" s="194" t="s">
        <v>402</v>
      </c>
      <c r="E95" s="1412"/>
      <c r="F95" s="3051"/>
      <c r="G95" s="3049"/>
      <c r="H95" s="3049"/>
      <c r="I95" s="3049"/>
      <c r="J95" s="103"/>
      <c r="K95" s="103"/>
      <c r="L95" s="103"/>
      <c r="M95" s="103"/>
      <c r="N95" s="103"/>
      <c r="O95" s="103"/>
      <c r="P95" s="884"/>
    </row>
    <row r="96" spans="2:16" s="6" customFormat="1" ht="15.5">
      <c r="B96" s="966"/>
      <c r="C96" s="103"/>
      <c r="D96" s="117" t="s">
        <v>58</v>
      </c>
      <c r="E96" s="1399"/>
      <c r="F96" s="1411"/>
      <c r="G96" s="883"/>
      <c r="H96" s="883"/>
      <c r="I96" s="883"/>
      <c r="J96" s="103"/>
      <c r="K96" s="103"/>
      <c r="L96" s="103"/>
      <c r="M96" s="103"/>
      <c r="N96" s="103"/>
      <c r="O96" s="103"/>
      <c r="P96" s="884"/>
    </row>
    <row r="97" spans="2:16">
      <c r="B97" s="105"/>
      <c r="C97" s="67"/>
      <c r="D97" s="67"/>
      <c r="E97" s="1352"/>
      <c r="F97" s="1353"/>
      <c r="G97" s="67"/>
      <c r="H97" s="67"/>
      <c r="I97" s="67"/>
      <c r="J97" s="67"/>
      <c r="K97" s="67"/>
      <c r="L97" s="67"/>
      <c r="M97" s="67"/>
      <c r="N97" s="67"/>
      <c r="O97" s="67"/>
      <c r="P97" s="876"/>
    </row>
    <row r="98" spans="2:16">
      <c r="B98" s="105"/>
      <c r="C98" s="49" t="s">
        <v>1031</v>
      </c>
      <c r="D98" s="67"/>
      <c r="E98" s="50"/>
      <c r="F98" s="67"/>
      <c r="G98" s="67"/>
      <c r="H98" s="67"/>
      <c r="I98" s="935" t="s">
        <v>972</v>
      </c>
      <c r="J98" s="67"/>
      <c r="K98" s="67"/>
      <c r="L98" s="67"/>
      <c r="M98" s="67"/>
      <c r="N98" s="67"/>
      <c r="O98" s="67"/>
      <c r="P98" s="876"/>
    </row>
    <row r="99" spans="2:16">
      <c r="B99" s="105"/>
      <c r="C99" s="67"/>
      <c r="D99" s="67"/>
      <c r="E99" s="1352"/>
      <c r="F99" s="1353"/>
      <c r="G99" s="67"/>
      <c r="H99" s="67"/>
      <c r="I99" s="67"/>
      <c r="J99" s="67"/>
      <c r="K99" s="67"/>
      <c r="L99" s="67"/>
      <c r="M99" s="67"/>
      <c r="N99" s="67"/>
      <c r="O99" s="67"/>
      <c r="P99" s="876"/>
    </row>
    <row r="100" spans="2:16" ht="15.5">
      <c r="B100" s="55"/>
      <c r="C100" s="878" t="s">
        <v>359</v>
      </c>
      <c r="D100" s="878" t="s">
        <v>71</v>
      </c>
      <c r="E100" s="1392" t="s">
        <v>30</v>
      </c>
      <c r="F100" s="1401" t="s">
        <v>258</v>
      </c>
      <c r="G100" s="87" t="s">
        <v>260</v>
      </c>
      <c r="H100" s="87" t="s">
        <v>262</v>
      </c>
      <c r="I100" s="87" t="s">
        <v>264</v>
      </c>
      <c r="J100" s="67"/>
      <c r="K100" s="67"/>
      <c r="L100" s="67"/>
      <c r="M100" s="67"/>
      <c r="N100" s="67"/>
      <c r="O100" s="67"/>
      <c r="P100" s="876"/>
    </row>
    <row r="101" spans="2:16" s="6" customFormat="1" ht="15.5">
      <c r="B101" s="966"/>
      <c r="C101" s="65" t="s">
        <v>1014</v>
      </c>
      <c r="D101" s="103" t="s">
        <v>2777</v>
      </c>
      <c r="E101" s="1393"/>
      <c r="F101" s="3050"/>
      <c r="G101" s="3048"/>
      <c r="H101" s="3048"/>
      <c r="I101" s="3048"/>
      <c r="J101" s="103"/>
      <c r="K101" s="103"/>
      <c r="L101" s="103"/>
      <c r="M101" s="103"/>
      <c r="N101" s="103"/>
      <c r="O101" s="103"/>
      <c r="P101" s="884"/>
    </row>
    <row r="102" spans="2:16" s="6" customFormat="1" ht="15.5">
      <c r="B102" s="966"/>
      <c r="C102" s="103" t="s">
        <v>1015</v>
      </c>
      <c r="D102" s="103" t="s">
        <v>1016</v>
      </c>
      <c r="E102" s="1399"/>
      <c r="F102" s="3050"/>
      <c r="G102" s="3048"/>
      <c r="H102" s="3048"/>
      <c r="I102" s="3048"/>
      <c r="J102" s="103"/>
      <c r="K102" s="103"/>
      <c r="L102" s="103"/>
      <c r="M102" s="103"/>
      <c r="N102" s="103"/>
      <c r="O102" s="103"/>
      <c r="P102" s="884"/>
    </row>
    <row r="103" spans="2:16" s="6" customFormat="1" ht="15.5">
      <c r="B103" s="966"/>
      <c r="C103" s="103" t="s">
        <v>1017</v>
      </c>
      <c r="D103" s="103" t="s">
        <v>1018</v>
      </c>
      <c r="E103" s="1399"/>
      <c r="F103" s="3050"/>
      <c r="G103" s="3048"/>
      <c r="H103" s="3048"/>
      <c r="I103" s="3048"/>
      <c r="J103" s="103"/>
      <c r="K103" s="103"/>
      <c r="L103" s="103"/>
      <c r="M103" s="103"/>
      <c r="N103" s="103"/>
      <c r="O103" s="103"/>
      <c r="P103" s="884"/>
    </row>
    <row r="104" spans="2:16" s="6" customFormat="1" ht="15.5">
      <c r="B104" s="966"/>
      <c r="C104" s="194" t="s">
        <v>1019</v>
      </c>
      <c r="D104" s="194" t="s">
        <v>402</v>
      </c>
      <c r="E104" s="1412"/>
      <c r="F104" s="3051"/>
      <c r="G104" s="3049"/>
      <c r="H104" s="3049"/>
      <c r="I104" s="3049"/>
      <c r="J104" s="103"/>
      <c r="K104" s="103"/>
      <c r="L104" s="103"/>
      <c r="M104" s="103"/>
      <c r="N104" s="103"/>
      <c r="O104" s="103"/>
      <c r="P104" s="884"/>
    </row>
    <row r="105" spans="2:16" s="6" customFormat="1" ht="15.5">
      <c r="B105" s="966"/>
      <c r="C105" s="103"/>
      <c r="D105" s="117" t="s">
        <v>58</v>
      </c>
      <c r="E105" s="1399"/>
      <c r="F105" s="1411"/>
      <c r="G105" s="883"/>
      <c r="H105" s="883"/>
      <c r="I105" s="883"/>
      <c r="J105" s="103"/>
      <c r="K105" s="103"/>
      <c r="L105" s="103"/>
      <c r="M105" s="103"/>
      <c r="N105" s="103"/>
      <c r="O105" s="103"/>
      <c r="P105" s="884"/>
    </row>
    <row r="106" spans="2:16" s="6" customFormat="1" ht="15.5">
      <c r="B106" s="966"/>
      <c r="C106" s="103"/>
      <c r="D106" s="117"/>
      <c r="E106" s="103"/>
      <c r="F106" s="883"/>
      <c r="G106" s="883"/>
      <c r="H106" s="883"/>
      <c r="I106" s="883"/>
      <c r="J106" s="103"/>
      <c r="K106" s="103"/>
      <c r="L106" s="103"/>
      <c r="M106" s="103"/>
      <c r="N106" s="103"/>
      <c r="O106" s="103"/>
      <c r="P106" s="884"/>
    </row>
    <row r="107" spans="2:16">
      <c r="B107" s="105"/>
      <c r="C107" s="49" t="s">
        <v>779</v>
      </c>
      <c r="D107" s="67"/>
      <c r="E107" s="67"/>
      <c r="F107" s="67"/>
      <c r="G107" s="67"/>
      <c r="H107" s="67"/>
      <c r="I107" s="67"/>
      <c r="J107" s="67"/>
      <c r="K107" s="67"/>
      <c r="L107" s="67"/>
      <c r="M107" s="67"/>
      <c r="N107" s="935" t="str">
        <f>"kt per "&amp;Preferences.EnergyUnits</f>
        <v>kt per TWh</v>
      </c>
      <c r="O107" s="103"/>
      <c r="P107" s="876"/>
    </row>
    <row r="108" spans="2:16">
      <c r="B108" s="105"/>
      <c r="C108" s="67"/>
      <c r="D108" s="67"/>
      <c r="E108" s="1352"/>
      <c r="F108" s="67"/>
      <c r="G108" s="67"/>
      <c r="H108" s="67"/>
      <c r="I108" s="67"/>
      <c r="J108" s="67"/>
      <c r="K108" s="67"/>
      <c r="L108" s="67"/>
      <c r="M108" s="67"/>
      <c r="N108" s="67"/>
      <c r="O108" s="103"/>
      <c r="P108" s="876"/>
    </row>
    <row r="109" spans="2:16">
      <c r="B109" s="105"/>
      <c r="C109" s="1354" t="s">
        <v>43</v>
      </c>
      <c r="D109" s="1354" t="s">
        <v>130</v>
      </c>
      <c r="E109" s="1355" t="s">
        <v>28</v>
      </c>
      <c r="F109" s="1356">
        <v>2013</v>
      </c>
      <c r="G109" s="1356" t="s">
        <v>132</v>
      </c>
      <c r="H109" s="1356" t="s">
        <v>133</v>
      </c>
      <c r="I109" s="1356" t="s">
        <v>134</v>
      </c>
      <c r="J109" s="1356" t="s">
        <v>135</v>
      </c>
      <c r="K109" s="1356" t="s">
        <v>136</v>
      </c>
      <c r="L109" s="1356" t="s">
        <v>137</v>
      </c>
      <c r="M109" s="1356" t="s">
        <v>138</v>
      </c>
      <c r="N109" s="1357" t="s">
        <v>139</v>
      </c>
      <c r="O109" s="103"/>
      <c r="P109" s="876"/>
    </row>
    <row r="110" spans="2:16">
      <c r="B110" s="105"/>
      <c r="C110" s="1413" t="s">
        <v>466</v>
      </c>
      <c r="D110" s="1414" t="s">
        <v>467</v>
      </c>
      <c r="E110" s="1415" t="s">
        <v>97</v>
      </c>
      <c r="F110" s="3811">
        <f>0.0354889155686392*((1/Unit.TWh))</f>
        <v>3.5488915568639201E-2</v>
      </c>
      <c r="G110" s="3811">
        <f>0.039232371607233*((1/Unit.TWh))</f>
        <v>3.9232371607233002E-2</v>
      </c>
      <c r="H110" s="3811">
        <f>0.0343034933771326*((1/Unit.TWh))</f>
        <v>3.43034933771326E-2</v>
      </c>
      <c r="I110" s="3811">
        <f>0.0335913389233511*((1/Unit.TWh))</f>
        <v>3.3591338923351102E-2</v>
      </c>
      <c r="J110" s="3811">
        <f>0.0317334433826053*((1/Unit.TWh))</f>
        <v>3.1733443382605302E-2</v>
      </c>
      <c r="K110" s="3811">
        <f>0.0317334433826053*((1/Unit.TWh))</f>
        <v>3.1733443382605302E-2</v>
      </c>
      <c r="L110" s="3811">
        <f>0.0317334433826053*((1/Unit.TWh))</f>
        <v>3.1733443382605302E-2</v>
      </c>
      <c r="M110" s="3811">
        <f>0.0317334433826053*((1/Unit.TWh))</f>
        <v>3.1733443382605302E-2</v>
      </c>
      <c r="N110" s="3812">
        <f>0.0317334433826053*((1/Unit.TWh))</f>
        <v>3.1733443382605302E-2</v>
      </c>
      <c r="O110" s="103"/>
      <c r="P110" s="876"/>
    </row>
    <row r="111" spans="2:16">
      <c r="B111" s="105"/>
      <c r="C111" s="1416" t="s">
        <v>466</v>
      </c>
      <c r="D111" s="1414" t="s">
        <v>467</v>
      </c>
      <c r="E111" s="1416" t="s">
        <v>98</v>
      </c>
      <c r="F111" s="3813">
        <f>0.0312065378454299*((1/Unit.TWh))</f>
        <v>3.1206537845429899E-2</v>
      </c>
      <c r="G111" s="3813">
        <f>0.0404281848378382*((1/Unit.TWh))</f>
        <v>4.0428184837838201E-2</v>
      </c>
      <c r="H111" s="3813">
        <f>0.043641979312969*((1/Unit.TWh))</f>
        <v>4.3641979312969002E-2</v>
      </c>
      <c r="I111" s="3813">
        <f>0.0445525811865116*((1/Unit.TWh))</f>
        <v>4.4552581186511599E-2</v>
      </c>
      <c r="J111" s="3813">
        <f>0.045349285094027*((1/Unit.TWh))</f>
        <v>4.5349285094026998E-2</v>
      </c>
      <c r="K111" s="3813">
        <f>0.045349285094027*((1/Unit.TWh))</f>
        <v>4.5349285094026998E-2</v>
      </c>
      <c r="L111" s="3813">
        <f>0.045349285094027*((1/Unit.TWh))</f>
        <v>4.5349285094026998E-2</v>
      </c>
      <c r="M111" s="3813">
        <f>0.045349285094027*((1/Unit.TWh))</f>
        <v>4.5349285094026998E-2</v>
      </c>
      <c r="N111" s="3814">
        <f>0.045349285094027*((1/Unit.TWh))</f>
        <v>4.5349285094026998E-2</v>
      </c>
      <c r="O111" s="103"/>
      <c r="P111" s="876"/>
    </row>
    <row r="112" spans="2:16">
      <c r="B112" s="105"/>
      <c r="C112" s="1417" t="s">
        <v>466</v>
      </c>
      <c r="D112" s="1418" t="s">
        <v>467</v>
      </c>
      <c r="E112" s="1417" t="s">
        <v>99</v>
      </c>
      <c r="F112" s="3815">
        <f>0.00387238892224278*((1/Unit.TWh))</f>
        <v>3.87238892224278E-3</v>
      </c>
      <c r="G112" s="3815">
        <f>0.00434425023535965*((1/Unit.TWh))</f>
        <v>4.3442502353596502E-3</v>
      </c>
      <c r="H112" s="3815">
        <f>0.00408570465528237*((1/Unit.TWh))</f>
        <v>4.0857046552823699E-3</v>
      </c>
      <c r="I112" s="3815">
        <f>0.0040365947324016*((1/Unit.TWh))</f>
        <v>4.0365947324016004E-3</v>
      </c>
      <c r="J112" s="3815">
        <f>0.00403615544037582*((1/Unit.TWh))</f>
        <v>4.0361554403758196E-3</v>
      </c>
      <c r="K112" s="3815">
        <f>0.00403615544037582*((1/Unit.TWh))</f>
        <v>4.0361554403758196E-3</v>
      </c>
      <c r="L112" s="3815">
        <f>0.00403615544037582*((1/Unit.TWh))</f>
        <v>4.0361554403758196E-3</v>
      </c>
      <c r="M112" s="3815">
        <f>0.00403615544037582*((1/Unit.TWh))</f>
        <v>4.0361554403758196E-3</v>
      </c>
      <c r="N112" s="3816">
        <f>0.00403615544037582*((1/Unit.TWh))</f>
        <v>4.0361554403758196E-3</v>
      </c>
      <c r="O112" s="103"/>
      <c r="P112" s="876"/>
    </row>
    <row r="113" spans="2:16">
      <c r="B113" s="105"/>
      <c r="C113" s="67"/>
      <c r="D113" s="67"/>
      <c r="E113" s="67"/>
      <c r="F113" s="67"/>
      <c r="G113" s="67"/>
      <c r="H113" s="67"/>
      <c r="I113" s="67"/>
      <c r="J113" s="67"/>
      <c r="K113" s="67"/>
      <c r="L113" s="67"/>
      <c r="M113" s="67"/>
      <c r="N113" s="67"/>
      <c r="O113" s="103"/>
      <c r="P113" s="876"/>
    </row>
    <row r="114" spans="2:16">
      <c r="B114" s="105"/>
      <c r="C114" s="49" t="s">
        <v>781</v>
      </c>
      <c r="D114" s="67"/>
      <c r="E114" s="67"/>
      <c r="F114" s="67"/>
      <c r="G114" s="67"/>
      <c r="H114" s="67"/>
      <c r="I114" s="67"/>
      <c r="J114" s="67"/>
      <c r="K114" s="67"/>
      <c r="L114" s="67"/>
      <c r="M114" s="67"/>
      <c r="N114" s="935" t="str">
        <f>"kt per "&amp;Preferences.EnergyUnits</f>
        <v>kt per TWh</v>
      </c>
      <c r="O114" s="103"/>
      <c r="P114" s="876"/>
    </row>
    <row r="115" spans="2:16">
      <c r="B115" s="105"/>
      <c r="C115" s="67"/>
      <c r="D115" s="67"/>
      <c r="E115" s="1352"/>
      <c r="F115" s="67"/>
      <c r="G115" s="67"/>
      <c r="H115" s="67"/>
      <c r="I115" s="67"/>
      <c r="J115" s="67"/>
      <c r="K115" s="67"/>
      <c r="L115" s="67"/>
      <c r="M115" s="67"/>
      <c r="N115" s="67"/>
      <c r="O115" s="103"/>
      <c r="P115" s="876"/>
    </row>
    <row r="116" spans="2:16">
      <c r="B116" s="105"/>
      <c r="C116" s="1354" t="s">
        <v>43</v>
      </c>
      <c r="D116" s="1354" t="s">
        <v>130</v>
      </c>
      <c r="E116" s="1355" t="s">
        <v>28</v>
      </c>
      <c r="F116" s="1356">
        <v>2013</v>
      </c>
      <c r="G116" s="1356" t="s">
        <v>132</v>
      </c>
      <c r="H116" s="1356" t="s">
        <v>133</v>
      </c>
      <c r="I116" s="1356" t="s">
        <v>134</v>
      </c>
      <c r="J116" s="1356" t="s">
        <v>135</v>
      </c>
      <c r="K116" s="1356" t="s">
        <v>136</v>
      </c>
      <c r="L116" s="1356" t="s">
        <v>137</v>
      </c>
      <c r="M116" s="1356" t="s">
        <v>138</v>
      </c>
      <c r="N116" s="1357" t="s">
        <v>139</v>
      </c>
      <c r="O116" s="103"/>
      <c r="P116" s="876"/>
    </row>
    <row r="117" spans="2:16">
      <c r="B117" s="105"/>
      <c r="C117" s="1413" t="s">
        <v>466</v>
      </c>
      <c r="D117" s="1414" t="s">
        <v>467</v>
      </c>
      <c r="E117" s="1415" t="s">
        <v>97</v>
      </c>
      <c r="F117" s="3811">
        <f>0.437088797608031*((1/Unit.TWh))</f>
        <v>0.43708879760803099</v>
      </c>
      <c r="G117" s="3811">
        <f>0.429453068942194*((1/Unit.TWh))</f>
        <v>0.42945306894219398</v>
      </c>
      <c r="H117" s="3811">
        <f>0.401575760537987*((1/Unit.TWh))</f>
        <v>0.40157576053798699</v>
      </c>
      <c r="I117" s="3811">
        <f>0.403153612464331*((1/Unit.TWh))</f>
        <v>0.40315361246433101</v>
      </c>
      <c r="J117" s="3811">
        <f>0.407260538947283*((1/Unit.TWh))</f>
        <v>0.40726053894728298</v>
      </c>
      <c r="K117" s="3811">
        <f>0.407260538947283*((1/Unit.TWh))</f>
        <v>0.40726053894728298</v>
      </c>
      <c r="L117" s="3811">
        <f>0.407260538947283*((1/Unit.TWh))</f>
        <v>0.40726053894728298</v>
      </c>
      <c r="M117" s="3811">
        <f>0.407260538947283*((1/Unit.TWh))</f>
        <v>0.40726053894728298</v>
      </c>
      <c r="N117" s="3812">
        <f>0.407260538947283*((1/Unit.TWh))</f>
        <v>0.40726053894728298</v>
      </c>
      <c r="O117" s="103"/>
      <c r="P117" s="876"/>
    </row>
    <row r="118" spans="2:16">
      <c r="B118" s="105"/>
      <c r="C118" s="1416" t="s">
        <v>466</v>
      </c>
      <c r="D118" s="1414" t="s">
        <v>467</v>
      </c>
      <c r="E118" s="1416" t="s">
        <v>98</v>
      </c>
      <c r="F118" s="3813">
        <f>0.686784009344614*((1/Unit.TWh))</f>
        <v>0.68678400934461403</v>
      </c>
      <c r="G118" s="3813">
        <f>0.147921094355084*((1/Unit.TWh))</f>
        <v>0.14792109435508399</v>
      </c>
      <c r="H118" s="3813">
        <f>0.117051481585907*((1/Unit.TWh))</f>
        <v>0.117051481585907</v>
      </c>
      <c r="I118" s="3813">
        <f>0.108439524634562*((1/Unit.TWh))</f>
        <v>0.108439524634562</v>
      </c>
      <c r="J118" s="3813">
        <f>0.102312084080298*((1/Unit.TWh))</f>
        <v>0.102312084080298</v>
      </c>
      <c r="K118" s="3813">
        <f>0.102312084080298*((1/Unit.TWh))</f>
        <v>0.102312084080298</v>
      </c>
      <c r="L118" s="3813">
        <f>0.102312084080298*((1/Unit.TWh))</f>
        <v>0.102312084080298</v>
      </c>
      <c r="M118" s="3813">
        <f>0.102312084080298*((1/Unit.TWh))</f>
        <v>0.102312084080298</v>
      </c>
      <c r="N118" s="3814">
        <f>0.102312084080298*((1/Unit.TWh))</f>
        <v>0.102312084080298</v>
      </c>
      <c r="O118" s="103"/>
      <c r="P118" s="876"/>
    </row>
    <row r="119" spans="2:16">
      <c r="B119" s="105"/>
      <c r="C119" s="1417" t="s">
        <v>466</v>
      </c>
      <c r="D119" s="1418" t="s">
        <v>467</v>
      </c>
      <c r="E119" s="1417" t="s">
        <v>99</v>
      </c>
      <c r="F119" s="3815">
        <f>0.43502557905744*((1/Unit.TWh))</f>
        <v>0.43502557905743999</v>
      </c>
      <c r="G119" s="3815">
        <f>0.407768646036338*((1/Unit.TWh))</f>
        <v>0.407768646036338</v>
      </c>
      <c r="H119" s="3815">
        <f>0.39520339190337*((1/Unit.TWh))</f>
        <v>0.39520339190337</v>
      </c>
      <c r="I119" s="3815">
        <f>0.376579506209084*((1/Unit.TWh))</f>
        <v>0.37657950620908398</v>
      </c>
      <c r="J119" s="3815">
        <f>0.3577387044271*((1/Unit.TWh))</f>
        <v>0.35773870442709998</v>
      </c>
      <c r="K119" s="3815">
        <f>0.3577387044271*((1/Unit.TWh))</f>
        <v>0.35773870442709998</v>
      </c>
      <c r="L119" s="3815">
        <f>0.3577387044271*((1/Unit.TWh))</f>
        <v>0.35773870442709998</v>
      </c>
      <c r="M119" s="3815">
        <f>0.3577387044271*((1/Unit.TWh))</f>
        <v>0.35773870442709998</v>
      </c>
      <c r="N119" s="3816">
        <f>0.3577387044271*((1/Unit.TWh))</f>
        <v>0.35773870442709998</v>
      </c>
      <c r="O119" s="103"/>
      <c r="P119" s="876"/>
    </row>
    <row r="120" spans="2:16">
      <c r="B120" s="105"/>
      <c r="C120" s="67"/>
      <c r="D120" s="67"/>
      <c r="E120" s="67"/>
      <c r="F120" s="67"/>
      <c r="G120" s="67"/>
      <c r="H120" s="67"/>
      <c r="I120" s="67"/>
      <c r="J120" s="67"/>
      <c r="K120" s="67"/>
      <c r="L120" s="67"/>
      <c r="M120" s="67"/>
      <c r="N120" s="67"/>
      <c r="O120" s="103"/>
      <c r="P120" s="876"/>
    </row>
    <row r="121" spans="2:16">
      <c r="B121" s="105"/>
      <c r="C121" s="49" t="s">
        <v>782</v>
      </c>
      <c r="D121" s="67"/>
      <c r="E121" s="67"/>
      <c r="F121" s="67"/>
      <c r="G121" s="67"/>
      <c r="H121" s="67"/>
      <c r="I121" s="67"/>
      <c r="J121" s="67"/>
      <c r="K121" s="67"/>
      <c r="L121" s="67"/>
      <c r="M121" s="67"/>
      <c r="N121" s="935" t="str">
        <f>"kt per "&amp;Preferences.EnergyUnits</f>
        <v>kt per TWh</v>
      </c>
      <c r="O121" s="103"/>
      <c r="P121" s="876"/>
    </row>
    <row r="122" spans="2:16">
      <c r="B122" s="105"/>
      <c r="C122" s="67"/>
      <c r="D122" s="67"/>
      <c r="E122" s="1352"/>
      <c r="F122" s="67"/>
      <c r="G122" s="67"/>
      <c r="H122" s="67"/>
      <c r="I122" s="67"/>
      <c r="J122" s="67"/>
      <c r="K122" s="67"/>
      <c r="L122" s="67"/>
      <c r="M122" s="67"/>
      <c r="N122" s="67"/>
      <c r="O122" s="103"/>
      <c r="P122" s="876"/>
    </row>
    <row r="123" spans="2:16">
      <c r="B123" s="105"/>
      <c r="C123" s="1354" t="s">
        <v>43</v>
      </c>
      <c r="D123" s="1354" t="s">
        <v>130</v>
      </c>
      <c r="E123" s="1355" t="s">
        <v>28</v>
      </c>
      <c r="F123" s="1356">
        <v>2013</v>
      </c>
      <c r="G123" s="1356" t="s">
        <v>132</v>
      </c>
      <c r="H123" s="1356" t="s">
        <v>133</v>
      </c>
      <c r="I123" s="1356" t="s">
        <v>134</v>
      </c>
      <c r="J123" s="1356" t="s">
        <v>135</v>
      </c>
      <c r="K123" s="1356" t="s">
        <v>136</v>
      </c>
      <c r="L123" s="1356" t="s">
        <v>137</v>
      </c>
      <c r="M123" s="1356" t="s">
        <v>138</v>
      </c>
      <c r="N123" s="1357" t="s">
        <v>139</v>
      </c>
      <c r="O123" s="103"/>
      <c r="P123" s="876"/>
    </row>
    <row r="124" spans="2:16">
      <c r="B124" s="105"/>
      <c r="C124" s="1413" t="s">
        <v>466</v>
      </c>
      <c r="D124" s="1414" t="s">
        <v>467</v>
      </c>
      <c r="E124" s="1415" t="s">
        <v>97</v>
      </c>
      <c r="F124" s="3811">
        <f>1.48227153758029*((1/Unit.TWh))</f>
        <v>1.48227153758029</v>
      </c>
      <c r="G124" s="3811">
        <f>1.36697997255144*((1/Unit.TWh))</f>
        <v>1.36697997255144</v>
      </c>
      <c r="H124" s="3811">
        <f>1.2733652664094*((1/Unit.TWh))</f>
        <v>1.2733652664094</v>
      </c>
      <c r="I124" s="3811">
        <f>1.26568590681669*((1/Unit.TWh))</f>
        <v>1.2656859068166899</v>
      </c>
      <c r="J124" s="3811">
        <f>1.18457729426532*((1/Unit.TWh))</f>
        <v>1.1845772942653201</v>
      </c>
      <c r="K124" s="3811">
        <f>1.18457729426532*((1/Unit.TWh))</f>
        <v>1.1845772942653201</v>
      </c>
      <c r="L124" s="3811">
        <f>1.18457729426532*((1/Unit.TWh))</f>
        <v>1.1845772942653201</v>
      </c>
      <c r="M124" s="3811">
        <f>1.18457729426532*((1/Unit.TWh))</f>
        <v>1.1845772942653201</v>
      </c>
      <c r="N124" s="3812">
        <f>1.18457729426532*((1/Unit.TWh))</f>
        <v>1.1845772942653201</v>
      </c>
      <c r="O124" s="103"/>
      <c r="P124" s="876"/>
    </row>
    <row r="125" spans="2:16">
      <c r="B125" s="105"/>
      <c r="C125" s="1416" t="s">
        <v>466</v>
      </c>
      <c r="D125" s="1414" t="s">
        <v>467</v>
      </c>
      <c r="E125" s="1416" t="s">
        <v>98</v>
      </c>
      <c r="F125" s="3813">
        <f>0.185236018757782*((1/Unit.TWh))</f>
        <v>0.18523601875778201</v>
      </c>
      <c r="G125" s="3813">
        <f>0.295034642709199*((1/Unit.TWh))</f>
        <v>0.29503464270919899</v>
      </c>
      <c r="H125" s="3813">
        <f>0.315540658802812*((1/Unit.TWh))</f>
        <v>0.31554065880281201</v>
      </c>
      <c r="I125" s="3813">
        <f>0.322063176266117*((1/Unit.TWh))</f>
        <v>0.32206317626611702</v>
      </c>
      <c r="J125" s="3813">
        <f>0.327529463276718*((1/Unit.TWh))</f>
        <v>0.327529463276718</v>
      </c>
      <c r="K125" s="3813">
        <f>0.327529463276718*((1/Unit.TWh))</f>
        <v>0.327529463276718</v>
      </c>
      <c r="L125" s="3813">
        <f>0.327529463276718*((1/Unit.TWh))</f>
        <v>0.327529463276718</v>
      </c>
      <c r="M125" s="3813">
        <f>0.327529463276718*((1/Unit.TWh))</f>
        <v>0.327529463276718</v>
      </c>
      <c r="N125" s="3814">
        <f>0.327529463276718*((1/Unit.TWh))</f>
        <v>0.327529463276718</v>
      </c>
      <c r="O125" s="103"/>
      <c r="P125" s="876"/>
    </row>
    <row r="126" spans="2:16">
      <c r="B126" s="105"/>
      <c r="C126" s="1417" t="s">
        <v>466</v>
      </c>
      <c r="D126" s="1418" t="s">
        <v>467</v>
      </c>
      <c r="E126" s="1417" t="s">
        <v>99</v>
      </c>
      <c r="F126" s="3815">
        <f t="shared" ref="F126:N126" si="0">(0*(1/Unit.TWh))</f>
        <v>0</v>
      </c>
      <c r="G126" s="3815">
        <f t="shared" si="0"/>
        <v>0</v>
      </c>
      <c r="H126" s="3815">
        <f t="shared" si="0"/>
        <v>0</v>
      </c>
      <c r="I126" s="3815">
        <f t="shared" si="0"/>
        <v>0</v>
      </c>
      <c r="J126" s="3815">
        <f t="shared" si="0"/>
        <v>0</v>
      </c>
      <c r="K126" s="3815">
        <f t="shared" si="0"/>
        <v>0</v>
      </c>
      <c r="L126" s="3815">
        <f t="shared" si="0"/>
        <v>0</v>
      </c>
      <c r="M126" s="3815">
        <f t="shared" si="0"/>
        <v>0</v>
      </c>
      <c r="N126" s="3815">
        <f t="shared" si="0"/>
        <v>0</v>
      </c>
      <c r="O126" s="103"/>
      <c r="P126" s="876"/>
    </row>
    <row r="127" spans="2:16">
      <c r="B127" s="105"/>
      <c r="C127" s="103"/>
      <c r="D127" s="103"/>
      <c r="E127" s="103"/>
      <c r="F127" s="2412"/>
      <c r="G127" s="2412"/>
      <c r="H127" s="2412"/>
      <c r="I127" s="2412"/>
      <c r="J127" s="2412"/>
      <c r="K127" s="2412"/>
      <c r="L127" s="2412"/>
      <c r="M127" s="2412"/>
      <c r="N127" s="2412"/>
      <c r="O127" s="103"/>
      <c r="P127" s="876"/>
    </row>
    <row r="128" spans="2:16">
      <c r="B128" s="105"/>
      <c r="C128" s="49" t="s">
        <v>783</v>
      </c>
      <c r="D128" s="67"/>
      <c r="E128" s="67"/>
      <c r="F128" s="67"/>
      <c r="G128" s="67"/>
      <c r="H128" s="67"/>
      <c r="I128" s="67"/>
      <c r="J128" s="67"/>
      <c r="K128" s="67"/>
      <c r="L128" s="67"/>
      <c r="M128" s="67"/>
      <c r="N128" s="935" t="str">
        <f>"kt per "&amp;Preferences.EnergyUnits</f>
        <v>kt per TWh</v>
      </c>
      <c r="O128" s="103"/>
      <c r="P128" s="876"/>
    </row>
    <row r="129" spans="2:23">
      <c r="B129" s="105"/>
      <c r="C129" s="67"/>
      <c r="D129" s="67"/>
      <c r="E129" s="1352"/>
      <c r="F129" s="67"/>
      <c r="G129" s="67"/>
      <c r="H129" s="67"/>
      <c r="I129" s="67"/>
      <c r="J129" s="67"/>
      <c r="K129" s="67"/>
      <c r="L129" s="67"/>
      <c r="M129" s="67"/>
      <c r="N129" s="67"/>
      <c r="O129" s="103"/>
      <c r="P129" s="876"/>
    </row>
    <row r="130" spans="2:23">
      <c r="B130" s="105"/>
      <c r="C130" s="1354" t="s">
        <v>43</v>
      </c>
      <c r="D130" s="1354" t="s">
        <v>130</v>
      </c>
      <c r="E130" s="1355" t="s">
        <v>28</v>
      </c>
      <c r="F130" s="1356">
        <v>2013</v>
      </c>
      <c r="G130" s="1356" t="s">
        <v>132</v>
      </c>
      <c r="H130" s="1356" t="s">
        <v>133</v>
      </c>
      <c r="I130" s="1356" t="s">
        <v>134</v>
      </c>
      <c r="J130" s="1356" t="s">
        <v>135</v>
      </c>
      <c r="K130" s="1356" t="s">
        <v>136</v>
      </c>
      <c r="L130" s="1356" t="s">
        <v>137</v>
      </c>
      <c r="M130" s="1356" t="s">
        <v>138</v>
      </c>
      <c r="N130" s="1357" t="s">
        <v>139</v>
      </c>
      <c r="O130" s="103"/>
      <c r="P130" s="876"/>
    </row>
    <row r="131" spans="2:23">
      <c r="B131" s="105"/>
      <c r="C131" s="1413" t="s">
        <v>466</v>
      </c>
      <c r="D131" s="1414" t="s">
        <v>467</v>
      </c>
      <c r="E131" s="1415" t="s">
        <v>97</v>
      </c>
      <c r="F131" s="3811">
        <f>0.011290940588605*((1/Unit.TWh))</f>
        <v>1.1290940588605001E-2</v>
      </c>
      <c r="G131" s="3811">
        <f>0.00700089959913674*((1/Unit.TWh))</f>
        <v>7.0008995991367399E-3</v>
      </c>
      <c r="H131" s="3811">
        <f>0.00705777995977223*((1/Unit.TWh))</f>
        <v>7.0577799597722297E-3</v>
      </c>
      <c r="I131" s="3811">
        <f>0.00706604503646143*((1/Unit.TWh))</f>
        <v>7.0660450364614302E-3</v>
      </c>
      <c r="J131" s="3811">
        <f>0.00708314769297058*((1/Unit.TWh))</f>
        <v>7.0831476929705799E-3</v>
      </c>
      <c r="K131" s="3811">
        <f>0.00708314769297058*((1/Unit.TWh))</f>
        <v>7.0831476929705799E-3</v>
      </c>
      <c r="L131" s="3811">
        <f>0.00708314769297058*((1/Unit.TWh))</f>
        <v>7.0831476929705799E-3</v>
      </c>
      <c r="M131" s="3811">
        <f>0.00708314769297058*((1/Unit.TWh))</f>
        <v>7.0831476929705799E-3</v>
      </c>
      <c r="N131" s="3812">
        <f>0.00708314769297058*((1/Unit.TWh))</f>
        <v>7.0831476929705799E-3</v>
      </c>
      <c r="O131" s="103"/>
      <c r="P131" s="876"/>
    </row>
    <row r="132" spans="2:23">
      <c r="B132" s="105"/>
      <c r="C132" s="1416" t="s">
        <v>466</v>
      </c>
      <c r="D132" s="1414" t="s">
        <v>467</v>
      </c>
      <c r="E132" s="1416" t="s">
        <v>98</v>
      </c>
      <c r="F132" s="3813">
        <f>0.00660034306663864*((1/Unit.TWh))</f>
        <v>6.6003430666386398E-3</v>
      </c>
      <c r="G132" s="3813">
        <f>0.00675735428279228*((1/Unit.TWh))</f>
        <v>6.7573542827922802E-3</v>
      </c>
      <c r="H132" s="3813">
        <f>0.00683394221884969*((1/Unit.TWh))</f>
        <v>6.8339422188496901E-3</v>
      </c>
      <c r="I132" s="3813">
        <f>0.00685333414684661*((1/Unit.TWh))</f>
        <v>6.8533341468466104E-3</v>
      </c>
      <c r="J132" s="3813">
        <f>0.0068738634161671*((1/Unit.TWh))</f>
        <v>6.8738634161670999E-3</v>
      </c>
      <c r="K132" s="3813">
        <f>0.0068738634161671*((1/Unit.TWh))</f>
        <v>6.8738634161670999E-3</v>
      </c>
      <c r="L132" s="3813">
        <f>0.0068738634161671*((1/Unit.TWh))</f>
        <v>6.8738634161670999E-3</v>
      </c>
      <c r="M132" s="3813">
        <f>0.0068738634161671*((1/Unit.TWh))</f>
        <v>6.8738634161670999E-3</v>
      </c>
      <c r="N132" s="3814">
        <f>0.0068738634161671*((1/Unit.TWh))</f>
        <v>6.8738634161670999E-3</v>
      </c>
      <c r="O132" s="103"/>
      <c r="P132" s="876"/>
    </row>
    <row r="133" spans="2:23">
      <c r="B133" s="105"/>
      <c r="C133" s="1417" t="s">
        <v>466</v>
      </c>
      <c r="D133" s="1418" t="s">
        <v>467</v>
      </c>
      <c r="E133" s="1417" t="s">
        <v>99</v>
      </c>
      <c r="F133" s="3815">
        <f>0.00802071964139672*((1/Unit.TWh))</f>
        <v>8.0207196413967195E-3</v>
      </c>
      <c r="G133" s="3815">
        <f>0.00801191032434729*((1/Unit.TWh))</f>
        <v>8.0119103243472892E-3</v>
      </c>
      <c r="H133" s="3815">
        <f>0.0080120858226449*((1/Unit.TWh))</f>
        <v>8.0120858226449005E-3</v>
      </c>
      <c r="I133" s="3815">
        <f>0.00801204667531666*((1/Unit.TWh))</f>
        <v>8.0120466753166603E-3</v>
      </c>
      <c r="J133" s="3815">
        <f>0.00801198983441896*((1/Unit.TWh))</f>
        <v>8.0119898344189599E-3</v>
      </c>
      <c r="K133" s="3815">
        <f>0.00801198983441896*((1/Unit.TWh))</f>
        <v>8.0119898344189599E-3</v>
      </c>
      <c r="L133" s="3815">
        <f>0.00801198983441896*((1/Unit.TWh))</f>
        <v>8.0119898344189599E-3</v>
      </c>
      <c r="M133" s="3815">
        <f>0.00801198983441896*((1/Unit.TWh))</f>
        <v>8.0119898344189599E-3</v>
      </c>
      <c r="N133" s="3816">
        <f>0.00801198983441896*((1/Unit.TWh))</f>
        <v>8.0119898344189599E-3</v>
      </c>
      <c r="O133" s="103"/>
      <c r="P133" s="876"/>
    </row>
    <row r="134" spans="2:23">
      <c r="B134" s="105"/>
      <c r="C134" s="103"/>
      <c r="D134" s="103"/>
      <c r="E134" s="1399"/>
      <c r="F134" s="1411"/>
      <c r="G134" s="1062"/>
      <c r="H134" s="1062"/>
      <c r="I134" s="1062"/>
      <c r="J134" s="1062"/>
      <c r="K134" s="1062"/>
      <c r="L134" s="1062"/>
      <c r="M134" s="1062"/>
      <c r="N134" s="1062"/>
      <c r="O134" s="103"/>
      <c r="P134" s="876"/>
    </row>
    <row r="135" spans="2:23">
      <c r="B135" s="105"/>
      <c r="C135" s="3826" t="s">
        <v>63</v>
      </c>
      <c r="D135" s="67"/>
      <c r="E135" s="67"/>
      <c r="F135" s="67"/>
      <c r="G135" s="67"/>
      <c r="H135" s="67"/>
      <c r="I135" s="67"/>
      <c r="J135" s="67"/>
      <c r="K135" s="67"/>
      <c r="L135" s="67"/>
      <c r="M135" s="67"/>
      <c r="N135" s="67"/>
      <c r="O135" s="103"/>
      <c r="P135" s="876"/>
    </row>
    <row r="136" spans="2:23">
      <c r="B136" s="105"/>
      <c r="C136" s="3827" t="s">
        <v>64</v>
      </c>
      <c r="D136" s="3828" t="s">
        <v>1032</v>
      </c>
      <c r="E136" s="67"/>
      <c r="F136" s="67"/>
      <c r="G136" s="67"/>
      <c r="H136" s="67"/>
      <c r="I136" s="67"/>
      <c r="J136" s="67"/>
      <c r="K136" s="67"/>
      <c r="L136" s="67"/>
      <c r="M136" s="67"/>
      <c r="N136" s="67"/>
      <c r="O136" s="103"/>
      <c r="P136" s="876"/>
    </row>
    <row r="137" spans="2:23">
      <c r="B137" s="105"/>
      <c r="C137" s="3827" t="s">
        <v>66</v>
      </c>
      <c r="D137" s="3828" t="s">
        <v>3789</v>
      </c>
      <c r="E137" s="67"/>
      <c r="F137" s="67"/>
      <c r="G137" s="67"/>
      <c r="H137" s="67"/>
      <c r="I137" s="67"/>
      <c r="J137" s="67"/>
      <c r="K137" s="67"/>
      <c r="L137" s="67"/>
      <c r="M137" s="67"/>
      <c r="N137" s="67"/>
      <c r="O137" s="103"/>
      <c r="P137" s="876"/>
    </row>
    <row r="138" spans="2:23">
      <c r="B138" s="105"/>
      <c r="C138" s="67"/>
      <c r="D138" s="67"/>
      <c r="E138" s="67"/>
      <c r="F138" s="67"/>
      <c r="G138" s="67"/>
      <c r="H138" s="67"/>
      <c r="I138" s="67"/>
      <c r="J138" s="67"/>
      <c r="K138" s="67"/>
      <c r="L138" s="67"/>
      <c r="M138" s="67"/>
      <c r="N138" s="67"/>
      <c r="O138" s="103"/>
      <c r="P138" s="876"/>
      <c r="R138" s="918"/>
      <c r="S138" s="918"/>
      <c r="T138" s="918"/>
      <c r="U138" s="918"/>
      <c r="V138" s="918"/>
      <c r="W138" s="918"/>
    </row>
    <row r="139" spans="2:23">
      <c r="B139" s="105"/>
      <c r="C139" s="51"/>
      <c r="D139" s="67"/>
      <c r="E139" s="67"/>
      <c r="F139" s="67"/>
      <c r="G139" s="67"/>
      <c r="H139" s="67"/>
      <c r="I139" s="67"/>
      <c r="J139" s="67"/>
      <c r="K139" s="67"/>
      <c r="L139" s="67"/>
      <c r="M139" s="67"/>
      <c r="N139" s="67"/>
      <c r="O139" s="103"/>
      <c r="P139" s="876"/>
      <c r="T139" s="918"/>
      <c r="U139" s="918"/>
      <c r="V139" s="918"/>
      <c r="W139" s="918"/>
    </row>
    <row r="140" spans="2:23" s="918" customFormat="1">
      <c r="B140" s="1268"/>
      <c r="C140" s="1269"/>
      <c r="D140" s="1150"/>
      <c r="E140" s="1270"/>
      <c r="F140" s="1270"/>
      <c r="G140" s="1270"/>
      <c r="H140" s="1270"/>
      <c r="I140" s="1270"/>
      <c r="J140" s="1270"/>
      <c r="K140" s="1270"/>
      <c r="L140" s="1270"/>
      <c r="M140" s="1270"/>
      <c r="N140" s="1270"/>
      <c r="O140" s="103"/>
      <c r="P140" s="1271"/>
      <c r="R140"/>
      <c r="S140"/>
      <c r="W140"/>
    </row>
    <row r="141" spans="2:23" s="918" customFormat="1">
      <c r="B141" s="1162"/>
      <c r="C141" s="1419"/>
      <c r="D141" s="1420"/>
      <c r="E141" s="1162"/>
      <c r="F141" s="1162"/>
      <c r="G141" s="1162"/>
      <c r="H141" s="1162"/>
      <c r="I141" s="1162"/>
      <c r="J141" s="1162"/>
      <c r="K141" s="1162"/>
      <c r="L141" s="1162"/>
      <c r="M141" s="1162"/>
      <c r="N141" s="1162"/>
      <c r="O141" s="1162"/>
      <c r="P141" s="1162"/>
      <c r="R141"/>
      <c r="S141"/>
      <c r="W141"/>
    </row>
    <row r="142" spans="2:23" s="918" customFormat="1" ht="15">
      <c r="B142" s="869" t="s">
        <v>2719</v>
      </c>
      <c r="C142" s="1272"/>
      <c r="D142" s="1272"/>
      <c r="E142" s="1272"/>
      <c r="F142" s="1272"/>
      <c r="G142" s="1272"/>
      <c r="H142" s="1272"/>
      <c r="I142" s="1272"/>
      <c r="J142" s="1272"/>
      <c r="K142" s="1272"/>
      <c r="L142" s="1272"/>
      <c r="M142" s="1272"/>
      <c r="N142" s="1272"/>
      <c r="O142" s="1272"/>
      <c r="P142" s="1273"/>
      <c r="R142"/>
      <c r="S142"/>
      <c r="W142"/>
    </row>
    <row r="143" spans="2:23" s="918" customFormat="1" hidden="1">
      <c r="B143" s="105"/>
      <c r="C143" s="67"/>
      <c r="D143" s="67"/>
      <c r="E143" s="67"/>
      <c r="F143" s="67"/>
      <c r="G143" s="67"/>
      <c r="H143" s="67"/>
      <c r="I143" s="67"/>
      <c r="J143" s="67"/>
      <c r="K143" s="67"/>
      <c r="L143" s="67"/>
      <c r="M143" s="67"/>
      <c r="N143" s="67"/>
      <c r="O143" s="67"/>
      <c r="P143" s="876"/>
      <c r="R143"/>
      <c r="S143"/>
      <c r="W143"/>
    </row>
    <row r="144" spans="2:23" s="918" customFormat="1" hidden="1">
      <c r="B144" s="67"/>
      <c r="C144" s="67"/>
      <c r="D144" s="67"/>
      <c r="E144" s="67"/>
      <c r="F144" s="67"/>
      <c r="G144" s="67"/>
      <c r="H144" s="67" t="s">
        <v>1033</v>
      </c>
      <c r="I144" s="67"/>
      <c r="J144" s="67"/>
      <c r="K144" s="67"/>
      <c r="L144" s="67"/>
      <c r="M144" s="67"/>
      <c r="N144" s="67"/>
      <c r="O144" s="67"/>
      <c r="P144" s="67"/>
      <c r="R144"/>
      <c r="S144"/>
      <c r="W144"/>
    </row>
    <row r="145" spans="2:23" s="918" customFormat="1" hidden="1">
      <c r="B145" s="67"/>
      <c r="C145" s="49" t="s">
        <v>1034</v>
      </c>
      <c r="D145" s="67"/>
      <c r="E145" s="1382"/>
      <c r="F145" s="4345" t="s">
        <v>2762</v>
      </c>
      <c r="G145" s="4346"/>
      <c r="H145" s="1353"/>
      <c r="I145" s="67"/>
      <c r="J145" s="51" t="s">
        <v>1035</v>
      </c>
      <c r="K145" s="1353"/>
      <c r="L145" s="67"/>
      <c r="M145" s="51" t="s">
        <v>1036</v>
      </c>
      <c r="N145" s="67"/>
      <c r="O145" s="67"/>
      <c r="P145" s="67"/>
      <c r="R145"/>
      <c r="S145"/>
      <c r="W145"/>
    </row>
    <row r="146" spans="2:23" s="918" customFormat="1" hidden="1">
      <c r="B146" s="67"/>
      <c r="C146" s="67"/>
      <c r="D146" s="67"/>
      <c r="E146" s="1352"/>
      <c r="F146" s="67"/>
      <c r="G146" s="67"/>
      <c r="H146" s="1353"/>
      <c r="I146" s="67"/>
      <c r="J146" s="67"/>
      <c r="K146" s="1353"/>
      <c r="L146" s="67"/>
      <c r="M146" s="67"/>
      <c r="N146" s="67"/>
      <c r="O146" s="67"/>
      <c r="P146" s="67"/>
      <c r="R146"/>
      <c r="S146"/>
      <c r="W146"/>
    </row>
    <row r="147" spans="2:23" s="918" customFormat="1" hidden="1">
      <c r="B147" s="67"/>
      <c r="C147" s="878" t="s">
        <v>359</v>
      </c>
      <c r="D147" s="878" t="s">
        <v>71</v>
      </c>
      <c r="E147" s="878" t="s">
        <v>30</v>
      </c>
      <c r="F147" s="1386" t="s">
        <v>1037</v>
      </c>
      <c r="G147" s="1350" t="s">
        <v>1038</v>
      </c>
      <c r="H147" s="1350">
        <v>1</v>
      </c>
      <c r="I147" s="1350">
        <v>2</v>
      </c>
      <c r="J147" s="1350">
        <v>3</v>
      </c>
      <c r="K147" s="1350">
        <v>1</v>
      </c>
      <c r="L147" s="1350">
        <v>2</v>
      </c>
      <c r="M147" s="1350">
        <v>3</v>
      </c>
      <c r="N147" s="67"/>
      <c r="O147" s="67"/>
      <c r="P147" s="67"/>
      <c r="R147"/>
      <c r="S147"/>
      <c r="W147"/>
    </row>
    <row r="148" spans="2:23" s="918" customFormat="1" hidden="1">
      <c r="B148" s="67"/>
      <c r="C148" s="65" t="s">
        <v>1014</v>
      </c>
      <c r="D148" s="103" t="s">
        <v>2777</v>
      </c>
      <c r="E148" s="1256"/>
      <c r="F148" s="1421"/>
      <c r="G148" s="167"/>
      <c r="H148" s="89">
        <v>0</v>
      </c>
      <c r="I148" s="58">
        <v>1.25E-3</v>
      </c>
      <c r="J148" s="296">
        <v>0.02</v>
      </c>
      <c r="K148" s="89">
        <v>0</v>
      </c>
      <c r="L148" s="58">
        <v>2.5000000000000001E-3</v>
      </c>
      <c r="M148" s="296">
        <v>0.04</v>
      </c>
      <c r="N148" s="67"/>
      <c r="O148" s="67"/>
      <c r="P148" s="67"/>
      <c r="R148"/>
      <c r="S148"/>
      <c r="W148"/>
    </row>
    <row r="149" spans="2:23" s="918" customFormat="1" hidden="1">
      <c r="B149" s="67"/>
      <c r="C149" s="65" t="s">
        <v>1015</v>
      </c>
      <c r="D149" s="103" t="s">
        <v>1016</v>
      </c>
      <c r="E149" s="1256"/>
      <c r="F149" s="1421"/>
      <c r="G149" s="160"/>
      <c r="H149" s="89">
        <v>0</v>
      </c>
      <c r="I149" s="58">
        <v>1.25E-3</v>
      </c>
      <c r="J149" s="906">
        <v>0.02</v>
      </c>
      <c r="K149" s="89">
        <v>0</v>
      </c>
      <c r="L149" s="73">
        <v>2.5000000000000001E-3</v>
      </c>
      <c r="M149" s="906">
        <v>0.04</v>
      </c>
      <c r="N149" s="67"/>
      <c r="O149" s="67"/>
      <c r="P149" s="67"/>
      <c r="R149"/>
      <c r="S149"/>
      <c r="W149"/>
    </row>
    <row r="150" spans="2:23" s="918" customFormat="1" hidden="1">
      <c r="B150" s="67"/>
      <c r="C150" s="65" t="s">
        <v>1017</v>
      </c>
      <c r="D150" s="103" t="s">
        <v>1018</v>
      </c>
      <c r="E150" s="1256"/>
      <c r="F150" s="1421"/>
      <c r="G150" s="160"/>
      <c r="H150" s="89">
        <v>0</v>
      </c>
      <c r="I150" s="58">
        <v>1.25E-3</v>
      </c>
      <c r="J150" s="906">
        <v>0.02</v>
      </c>
      <c r="K150" s="89">
        <v>0</v>
      </c>
      <c r="L150" s="73">
        <v>2.5000000000000001E-3</v>
      </c>
      <c r="M150" s="906">
        <v>0.04</v>
      </c>
      <c r="N150" s="67"/>
      <c r="O150" s="67"/>
      <c r="P150" s="67"/>
      <c r="R150"/>
      <c r="S150"/>
      <c r="W150"/>
    </row>
    <row r="151" spans="2:23" s="918" customFormat="1" hidden="1">
      <c r="B151" s="67"/>
      <c r="C151" s="887" t="s">
        <v>1019</v>
      </c>
      <c r="D151" s="888" t="s">
        <v>402</v>
      </c>
      <c r="E151" s="888"/>
      <c r="F151" s="1422"/>
      <c r="G151" s="159"/>
      <c r="H151" s="94">
        <v>0</v>
      </c>
      <c r="I151" s="78">
        <v>1.25E-3</v>
      </c>
      <c r="J151" s="1381">
        <v>0.02</v>
      </c>
      <c r="K151" s="94">
        <v>0</v>
      </c>
      <c r="L151" s="78">
        <v>2.5000000000000001E-3</v>
      </c>
      <c r="M151" s="1381">
        <v>0.04</v>
      </c>
      <c r="N151" s="67"/>
      <c r="O151" s="67"/>
      <c r="P151" s="67"/>
      <c r="R151"/>
      <c r="S151"/>
      <c r="W151"/>
    </row>
    <row r="152" spans="2:23" s="918" customFormat="1" hidden="1">
      <c r="B152" s="67"/>
      <c r="C152" s="887"/>
      <c r="D152" s="888" t="s">
        <v>58</v>
      </c>
      <c r="E152" s="888"/>
      <c r="F152" s="1423"/>
      <c r="G152" s="1423"/>
      <c r="H152" s="1028"/>
      <c r="I152" s="1381"/>
      <c r="J152" s="1381"/>
      <c r="K152" s="1028"/>
      <c r="L152" s="1381"/>
      <c r="M152" s="1381"/>
      <c r="N152" s="67"/>
      <c r="O152" s="67"/>
      <c r="P152" s="67"/>
      <c r="R152"/>
      <c r="S152"/>
      <c r="W152"/>
    </row>
    <row r="153" spans="2:23" s="918" customFormat="1" hidden="1">
      <c r="B153" s="67"/>
      <c r="C153" s="67"/>
      <c r="D153" s="67"/>
      <c r="E153" s="67"/>
      <c r="F153" s="67"/>
      <c r="G153" s="67"/>
      <c r="H153" s="67"/>
      <c r="I153" s="67"/>
      <c r="J153" s="67"/>
      <c r="K153" s="67"/>
      <c r="L153" s="67"/>
      <c r="M153" s="67"/>
      <c r="N153" s="67"/>
      <c r="O153" s="67"/>
      <c r="P153" s="67"/>
      <c r="R153"/>
      <c r="S153"/>
      <c r="W153"/>
    </row>
    <row r="154" spans="2:23" s="918" customFormat="1" hidden="1">
      <c r="B154" s="67"/>
      <c r="C154" s="244" t="s">
        <v>1039</v>
      </c>
      <c r="D154" s="1424"/>
      <c r="E154" s="67"/>
      <c r="F154" s="67"/>
      <c r="G154" s="67"/>
      <c r="H154" s="67"/>
      <c r="I154" s="67"/>
      <c r="J154" s="67"/>
      <c r="K154" s="67"/>
      <c r="L154" s="67"/>
      <c r="M154" s="67"/>
      <c r="N154" s="67"/>
      <c r="O154" s="67"/>
      <c r="P154" s="67"/>
      <c r="R154"/>
      <c r="S154"/>
      <c r="W154"/>
    </row>
    <row r="155" spans="2:23" s="918" customFormat="1" hidden="1">
      <c r="B155" s="67"/>
      <c r="C155" s="244"/>
      <c r="D155" s="1424"/>
      <c r="E155" s="67"/>
      <c r="F155" s="67"/>
      <c r="G155" s="67"/>
      <c r="H155" s="67"/>
      <c r="I155" s="67"/>
      <c r="J155" s="67"/>
      <c r="K155" s="67"/>
      <c r="L155" s="67"/>
      <c r="M155" s="67"/>
      <c r="N155" s="67"/>
      <c r="O155" s="67"/>
      <c r="P155" s="67"/>
      <c r="R155"/>
      <c r="S155"/>
      <c r="W155"/>
    </row>
    <row r="156" spans="2:23" s="918" customFormat="1" hidden="1">
      <c r="B156" s="67"/>
      <c r="C156" s="49" t="s">
        <v>1040</v>
      </c>
      <c r="D156" s="1425"/>
      <c r="E156" s="1426"/>
      <c r="F156" s="67"/>
      <c r="G156" s="67"/>
      <c r="H156" s="51" t="s">
        <v>2742</v>
      </c>
      <c r="I156" s="67"/>
      <c r="J156" s="67"/>
      <c r="K156" s="67"/>
      <c r="L156" s="67"/>
      <c r="M156" s="67"/>
      <c r="N156" s="67"/>
      <c r="O156" s="67"/>
      <c r="P156" s="67"/>
      <c r="R156"/>
      <c r="S156"/>
      <c r="W156"/>
    </row>
    <row r="157" spans="2:23" s="918" customFormat="1" hidden="1">
      <c r="B157" s="67"/>
      <c r="C157" s="67"/>
      <c r="D157" s="67"/>
      <c r="E157" s="67"/>
      <c r="F157" s="67"/>
      <c r="G157" s="67"/>
      <c r="H157" s="67"/>
      <c r="I157" s="67"/>
      <c r="J157" s="67"/>
      <c r="K157" s="67"/>
      <c r="L157" s="67"/>
      <c r="M157" s="67"/>
      <c r="N157" s="67"/>
      <c r="O157" s="67"/>
      <c r="P157" s="67"/>
      <c r="R157"/>
      <c r="S157"/>
      <c r="W157"/>
    </row>
    <row r="158" spans="2:23" s="918" customFormat="1" hidden="1">
      <c r="B158" s="67"/>
      <c r="C158" s="878"/>
      <c r="D158" s="878"/>
      <c r="E158" s="900"/>
      <c r="F158" s="87" t="s">
        <v>22</v>
      </c>
      <c r="G158" s="87" t="s">
        <v>20</v>
      </c>
      <c r="H158" s="1152"/>
      <c r="I158" s="67"/>
      <c r="J158" s="67"/>
      <c r="K158" s="67"/>
      <c r="L158" s="67"/>
      <c r="M158" s="67"/>
      <c r="N158" s="67"/>
      <c r="O158" s="67"/>
      <c r="P158" s="67"/>
      <c r="R158"/>
      <c r="S158"/>
      <c r="W158"/>
    </row>
    <row r="159" spans="2:23" s="918" customFormat="1" hidden="1">
      <c r="B159" s="67"/>
      <c r="C159" s="914"/>
      <c r="D159" s="915" t="s">
        <v>168</v>
      </c>
      <c r="E159" s="932"/>
      <c r="F159" s="944"/>
      <c r="G159" s="944"/>
      <c r="H159" s="1154"/>
      <c r="I159" s="67"/>
      <c r="J159" s="67"/>
      <c r="K159" s="67"/>
      <c r="L159" s="67"/>
      <c r="M159" s="67"/>
      <c r="N159" s="67"/>
      <c r="O159" s="67"/>
      <c r="P159" s="67"/>
      <c r="R159"/>
      <c r="S159"/>
      <c r="W159"/>
    </row>
    <row r="160" spans="2:23" s="918" customFormat="1" hidden="1">
      <c r="B160" s="67"/>
      <c r="C160" s="917"/>
      <c r="D160" s="948" t="s">
        <v>172</v>
      </c>
      <c r="E160" s="1427"/>
      <c r="F160" s="949"/>
      <c r="G160" s="949"/>
      <c r="H160" s="1156"/>
      <c r="I160" s="67"/>
      <c r="J160" s="67"/>
      <c r="K160" s="67"/>
      <c r="L160" s="67"/>
      <c r="M160" s="67"/>
      <c r="N160" s="67"/>
      <c r="O160" s="67"/>
      <c r="P160" s="67"/>
      <c r="R160"/>
      <c r="S160"/>
      <c r="W160"/>
    </row>
    <row r="161" spans="1:23" s="918" customFormat="1" hidden="1">
      <c r="B161" s="67"/>
      <c r="C161" s="67"/>
      <c r="D161" s="67"/>
      <c r="E161" s="67"/>
      <c r="F161" s="67"/>
      <c r="G161" s="67"/>
      <c r="H161" s="67"/>
      <c r="I161" s="67"/>
      <c r="J161" s="67"/>
      <c r="K161" s="67"/>
      <c r="L161" s="67"/>
      <c r="M161" s="67"/>
      <c r="N161" s="67"/>
      <c r="O161" s="67"/>
      <c r="P161" s="67"/>
      <c r="R161"/>
      <c r="S161"/>
      <c r="W161"/>
    </row>
    <row r="162" spans="1:23" s="918" customFormat="1" hidden="1">
      <c r="B162" s="67"/>
      <c r="C162" s="49" t="s">
        <v>1041</v>
      </c>
      <c r="D162" s="67"/>
      <c r="E162" s="67"/>
      <c r="F162" s="67"/>
      <c r="G162" s="67"/>
      <c r="H162" s="51" t="s">
        <v>2742</v>
      </c>
      <c r="I162" s="67"/>
      <c r="J162" s="67"/>
      <c r="K162" s="67"/>
      <c r="L162" s="67"/>
      <c r="M162" s="67"/>
      <c r="N162" s="67"/>
      <c r="O162" s="67"/>
      <c r="P162" s="67"/>
      <c r="R162"/>
      <c r="S162"/>
      <c r="W162"/>
    </row>
    <row r="163" spans="1:23" s="918" customFormat="1" hidden="1">
      <c r="B163" s="67"/>
      <c r="C163" s="67"/>
      <c r="D163" s="67"/>
      <c r="E163" s="67"/>
      <c r="F163" s="67"/>
      <c r="G163" s="67"/>
      <c r="H163" s="67"/>
      <c r="I163" s="67"/>
      <c r="J163" s="67"/>
      <c r="K163" s="67"/>
      <c r="L163" s="67"/>
      <c r="M163" s="67"/>
      <c r="N163" s="67"/>
      <c r="O163" s="67"/>
      <c r="P163" s="67"/>
      <c r="R163"/>
      <c r="S163"/>
      <c r="W163"/>
    </row>
    <row r="164" spans="1:23" s="918" customFormat="1" hidden="1">
      <c r="B164" s="67"/>
      <c r="C164" s="878"/>
      <c r="D164" s="878"/>
      <c r="E164" s="900"/>
      <c r="F164" s="87" t="s">
        <v>22</v>
      </c>
      <c r="G164" s="87" t="s">
        <v>20</v>
      </c>
      <c r="H164" s="1152"/>
      <c r="I164" s="67"/>
      <c r="J164" s="67"/>
      <c r="K164" s="67"/>
      <c r="L164" s="67"/>
      <c r="M164" s="67"/>
      <c r="N164" s="67"/>
      <c r="O164" s="67"/>
      <c r="P164" s="67"/>
      <c r="R164"/>
      <c r="S164"/>
      <c r="W164"/>
    </row>
    <row r="165" spans="1:23" s="918" customFormat="1" hidden="1">
      <c r="B165" s="67"/>
      <c r="C165" s="914"/>
      <c r="D165" s="915" t="s">
        <v>1042</v>
      </c>
      <c r="E165" s="932"/>
      <c r="F165" s="944"/>
      <c r="G165" s="944"/>
      <c r="H165" s="1154"/>
      <c r="I165" s="67"/>
      <c r="J165" s="67"/>
      <c r="K165" s="67"/>
      <c r="L165" s="67"/>
      <c r="M165" s="67"/>
      <c r="N165" s="67"/>
      <c r="O165" s="67"/>
      <c r="P165" s="67"/>
      <c r="R165"/>
      <c r="S165"/>
      <c r="W165"/>
    </row>
    <row r="166" spans="1:23" s="918" customFormat="1" hidden="1">
      <c r="B166" s="67"/>
      <c r="C166" s="917"/>
      <c r="D166" s="948" t="s">
        <v>1043</v>
      </c>
      <c r="E166" s="1427"/>
      <c r="F166" s="949"/>
      <c r="G166" s="949"/>
      <c r="H166" s="1156"/>
      <c r="I166" s="67"/>
      <c r="J166" s="67"/>
      <c r="K166" s="67"/>
      <c r="L166" s="67"/>
      <c r="M166" s="67"/>
      <c r="N166" s="67"/>
      <c r="O166" s="67"/>
      <c r="P166" s="67"/>
      <c r="R166"/>
      <c r="S166"/>
      <c r="W166"/>
    </row>
    <row r="167" spans="1:23" s="918" customFormat="1" hidden="1">
      <c r="B167" s="67"/>
      <c r="C167" s="67"/>
      <c r="D167" s="67"/>
      <c r="E167" s="67"/>
      <c r="F167" s="67"/>
      <c r="G167" s="67"/>
      <c r="H167" s="67"/>
      <c r="I167" s="67"/>
      <c r="J167" s="67"/>
      <c r="K167" s="67"/>
      <c r="L167" s="67"/>
      <c r="M167" s="67"/>
      <c r="N167" s="67"/>
      <c r="O167" s="67"/>
      <c r="P167" s="67"/>
      <c r="R167"/>
      <c r="S167"/>
      <c r="W167"/>
    </row>
    <row r="169" spans="1:23" ht="23.5">
      <c r="A169" s="7"/>
      <c r="B169" s="869" t="s">
        <v>177</v>
      </c>
      <c r="C169" s="1272"/>
      <c r="D169" s="1272"/>
      <c r="E169" s="1272"/>
      <c r="F169" s="1272"/>
      <c r="G169" s="1272"/>
      <c r="H169" s="1272"/>
      <c r="I169" s="1272"/>
      <c r="J169" s="1272"/>
      <c r="K169" s="1272"/>
      <c r="L169" s="1272"/>
      <c r="M169" s="1272"/>
      <c r="N169" s="1272"/>
      <c r="O169" s="1273"/>
    </row>
    <row r="170" spans="1:23">
      <c r="B170" s="105"/>
      <c r="C170" s="67"/>
      <c r="D170" s="67"/>
      <c r="E170" s="67"/>
      <c r="F170" s="67"/>
      <c r="G170" s="67"/>
      <c r="H170" s="67"/>
      <c r="I170" s="67"/>
      <c r="J170" s="67"/>
      <c r="K170" s="67"/>
      <c r="L170" s="67"/>
      <c r="M170" s="67"/>
      <c r="N170" s="67"/>
      <c r="O170" s="876"/>
    </row>
    <row r="171" spans="1:23">
      <c r="B171" s="130">
        <v>1</v>
      </c>
      <c r="C171" s="49" t="s">
        <v>1044</v>
      </c>
      <c r="D171" s="67"/>
      <c r="E171" s="50"/>
      <c r="F171" s="67"/>
      <c r="G171" s="67"/>
      <c r="H171" s="51"/>
      <c r="I171" s="67"/>
      <c r="J171" s="67"/>
      <c r="K171" s="67"/>
      <c r="L171" s="67"/>
      <c r="M171" s="67"/>
      <c r="N171" s="51" t="s">
        <v>1045</v>
      </c>
      <c r="O171" s="876"/>
    </row>
    <row r="172" spans="1:23">
      <c r="B172" s="105"/>
      <c r="C172" s="67"/>
      <c r="D172" s="67"/>
      <c r="E172" s="67"/>
      <c r="F172" s="67"/>
      <c r="G172" s="67"/>
      <c r="H172" s="67"/>
      <c r="I172" s="67"/>
      <c r="J172" s="67"/>
      <c r="K172" s="67"/>
      <c r="L172" s="67"/>
      <c r="M172" s="67"/>
      <c r="N172" s="67"/>
      <c r="O172" s="876"/>
    </row>
    <row r="173" spans="1:23" ht="15.5">
      <c r="B173" s="55"/>
      <c r="C173" s="878" t="s">
        <v>359</v>
      </c>
      <c r="D173" s="878" t="s">
        <v>71</v>
      </c>
      <c r="E173" s="878"/>
      <c r="F173" s="87">
        <v>2013</v>
      </c>
      <c r="G173" s="87">
        <v>2015</v>
      </c>
      <c r="H173" s="879">
        <v>2020</v>
      </c>
      <c r="I173" s="1265">
        <v>2025</v>
      </c>
      <c r="J173" s="87">
        <v>2030</v>
      </c>
      <c r="K173" s="87">
        <v>2035</v>
      </c>
      <c r="L173" s="87">
        <v>2040</v>
      </c>
      <c r="M173" s="87">
        <v>2045</v>
      </c>
      <c r="N173" s="87">
        <v>2050</v>
      </c>
      <c r="O173" s="876"/>
    </row>
    <row r="174" spans="1:23" ht="15.5">
      <c r="B174" s="55"/>
      <c r="C174" s="65" t="s">
        <v>1014</v>
      </c>
      <c r="D174" s="103" t="s">
        <v>2777</v>
      </c>
      <c r="E174" s="1428"/>
      <c r="F174" s="167">
        <v>100</v>
      </c>
      <c r="G174" s="1429">
        <f>F174*(1+INDEX($F18:$H18, ,MATCH($E$8, $F$17:$H$17, 0)))^(G$173-F$173)</f>
        <v>104.65289999999999</v>
      </c>
      <c r="H174" s="342">
        <f t="shared" ref="H174:N177" si="1">G174*(1+INDEX($F18:$H18, ,MATCH($E$8, $F$17:$H$17, 0)))^(H$173-G$173)</f>
        <v>117.25447756378583</v>
      </c>
      <c r="I174" s="342">
        <f t="shared" si="1"/>
        <v>131.37344983996005</v>
      </c>
      <c r="J174" s="342">
        <f t="shared" si="1"/>
        <v>147.19253099280326</v>
      </c>
      <c r="K174" s="342">
        <f t="shared" si="1"/>
        <v>164.91643636108032</v>
      </c>
      <c r="L174" s="342">
        <f t="shared" si="1"/>
        <v>184.77453168712771</v>
      </c>
      <c r="M174" s="342">
        <f t="shared" si="1"/>
        <v>207.02380134776342</v>
      </c>
      <c r="N174" s="342">
        <f t="shared" si="1"/>
        <v>231.95217399900991</v>
      </c>
      <c r="O174" s="876"/>
    </row>
    <row r="175" spans="1:23" ht="15.5">
      <c r="B175" s="55"/>
      <c r="C175" s="65" t="s">
        <v>1015</v>
      </c>
      <c r="D175" s="103" t="s">
        <v>1016</v>
      </c>
      <c r="E175" s="1428"/>
      <c r="F175" s="160">
        <v>100</v>
      </c>
      <c r="G175" s="1430">
        <f>F175*(1+INDEX($F19:$H19, ,MATCH($E$8, $F$17:$H$17, 0)))^(G$173-F$173)</f>
        <v>101.00249999999997</v>
      </c>
      <c r="H175" s="167">
        <f t="shared" si="1"/>
        <v>103.55293969407333</v>
      </c>
      <c r="I175" s="167">
        <f t="shared" si="1"/>
        <v>106.16778118644976</v>
      </c>
      <c r="J175" s="167">
        <f t="shared" si="1"/>
        <v>108.8486507032401</v>
      </c>
      <c r="K175" s="167">
        <f t="shared" si="1"/>
        <v>111.59721553480239</v>
      </c>
      <c r="L175" s="167">
        <f t="shared" si="1"/>
        <v>114.41518507266551</v>
      </c>
      <c r="M175" s="167">
        <f t="shared" si="1"/>
        <v>117.30431187263656</v>
      </c>
      <c r="N175" s="167">
        <f t="shared" si="1"/>
        <v>120.26639274475292</v>
      </c>
      <c r="O175" s="876"/>
    </row>
    <row r="176" spans="1:23" ht="15.5">
      <c r="B176" s="55"/>
      <c r="C176" s="65" t="s">
        <v>1017</v>
      </c>
      <c r="D176" s="103" t="s">
        <v>1018</v>
      </c>
      <c r="E176" s="1428"/>
      <c r="F176" s="160">
        <v>100</v>
      </c>
      <c r="G176" s="1430">
        <f>F176*(1+INDEX($F20:$H20, ,MATCH($E$8, $F$17:$H$17, 0)))^(G$173-F$173)</f>
        <v>103.02249999999998</v>
      </c>
      <c r="H176" s="167">
        <f t="shared" si="1"/>
        <v>110.98449129017793</v>
      </c>
      <c r="I176" s="167">
        <f t="shared" si="1"/>
        <v>119.56181714615334</v>
      </c>
      <c r="J176" s="167">
        <f t="shared" si="1"/>
        <v>128.80203308689951</v>
      </c>
      <c r="K176" s="167">
        <f t="shared" si="1"/>
        <v>138.75636991230277</v>
      </c>
      <c r="L176" s="167">
        <f t="shared" si="1"/>
        <v>149.48001774358684</v>
      </c>
      <c r="M176" s="167">
        <f t="shared" si="1"/>
        <v>161.03243201551854</v>
      </c>
      <c r="N176" s="167">
        <f t="shared" si="1"/>
        <v>173.47766311691612</v>
      </c>
      <c r="O176" s="876"/>
    </row>
    <row r="177" spans="2:15" ht="15.5">
      <c r="B177" s="55"/>
      <c r="C177" s="887" t="s">
        <v>1019</v>
      </c>
      <c r="D177" s="888" t="s">
        <v>402</v>
      </c>
      <c r="E177" s="1431"/>
      <c r="F177" s="1432">
        <v>100</v>
      </c>
      <c r="G177" s="1433">
        <f>F177*(1+INDEX($F21:$H21, ,MATCH($E$8, $F$17:$H$17, 0)))^(G$173-F$173)</f>
        <v>105.26759999999999</v>
      </c>
      <c r="H177" s="343">
        <f t="shared" si="1"/>
        <v>119.68274058393382</v>
      </c>
      <c r="I177" s="343">
        <f t="shared" si="1"/>
        <v>136.0718625073736</v>
      </c>
      <c r="J177" s="343">
        <f t="shared" si="1"/>
        <v>154.70527893903449</v>
      </c>
      <c r="K177" s="343">
        <f t="shared" si="1"/>
        <v>175.89031920767249</v>
      </c>
      <c r="L177" s="343">
        <f t="shared" si="1"/>
        <v>199.9763977231093</v>
      </c>
      <c r="M177" s="343">
        <f t="shared" si="1"/>
        <v>227.36077702545197</v>
      </c>
      <c r="N177" s="343">
        <f t="shared" si="1"/>
        <v>258.49512001507389</v>
      </c>
      <c r="O177" s="1434"/>
    </row>
    <row r="178" spans="2:15">
      <c r="B178" s="105"/>
      <c r="C178" s="67"/>
      <c r="D178" s="67"/>
      <c r="E178" s="67"/>
      <c r="F178" s="67"/>
      <c r="G178" s="67"/>
      <c r="H178" s="67"/>
      <c r="I178" s="67"/>
      <c r="J178" s="67"/>
      <c r="K178" s="67"/>
      <c r="L178" s="67"/>
      <c r="M178" s="67"/>
      <c r="N178" s="67"/>
      <c r="O178" s="876"/>
    </row>
    <row r="179" spans="2:15">
      <c r="B179" s="130">
        <v>2</v>
      </c>
      <c r="C179" s="49" t="s">
        <v>1046</v>
      </c>
      <c r="D179" s="67"/>
      <c r="E179" s="67"/>
      <c r="F179" s="67"/>
      <c r="G179" s="67"/>
      <c r="H179" s="67"/>
      <c r="I179" s="67"/>
      <c r="J179" s="67"/>
      <c r="K179" s="67"/>
      <c r="L179" s="67"/>
      <c r="M179" s="67"/>
      <c r="N179" s="51" t="str">
        <f>Preferences.EnergyUnits &amp; " / unit output index"</f>
        <v>TWh / unit output index</v>
      </c>
      <c r="O179" s="876"/>
    </row>
    <row r="180" spans="2:15">
      <c r="B180" s="105"/>
      <c r="C180" s="67"/>
      <c r="D180" s="67"/>
      <c r="E180" s="67"/>
      <c r="F180" s="67"/>
      <c r="G180" s="67"/>
      <c r="H180" s="67"/>
      <c r="I180" s="67"/>
      <c r="J180" s="67"/>
      <c r="K180" s="67"/>
      <c r="L180" s="67"/>
      <c r="M180" s="67"/>
      <c r="N180" s="67"/>
      <c r="O180" s="876"/>
    </row>
    <row r="181" spans="2:15" ht="15.5">
      <c r="B181" s="55"/>
      <c r="C181" s="878" t="s">
        <v>359</v>
      </c>
      <c r="D181" s="878" t="s">
        <v>71</v>
      </c>
      <c r="E181" s="878" t="s">
        <v>1047</v>
      </c>
      <c r="F181" s="87">
        <v>2013</v>
      </c>
      <c r="G181" s="87">
        <v>2015</v>
      </c>
      <c r="H181" s="87">
        <v>2020</v>
      </c>
      <c r="I181" s="87">
        <v>2025</v>
      </c>
      <c r="J181" s="87">
        <v>2030</v>
      </c>
      <c r="K181" s="87">
        <v>2035</v>
      </c>
      <c r="L181" s="87">
        <v>2040</v>
      </c>
      <c r="M181" s="87">
        <v>2045</v>
      </c>
      <c r="N181" s="87">
        <v>2050</v>
      </c>
      <c r="O181" s="876"/>
    </row>
    <row r="182" spans="2:15" ht="15.5">
      <c r="B182" s="55"/>
      <c r="C182" s="65" t="s">
        <v>1014</v>
      </c>
      <c r="D182" s="103" t="s">
        <v>2777</v>
      </c>
      <c r="E182" s="1428">
        <f t="array" ref="E182:E185">INDEX($F$26:$H$29, ,MATCH($E$9, $F$25:$H$25, 0))</f>
        <v>-5.0000000000000001E-3</v>
      </c>
      <c r="F182" s="883">
        <f>INDEX($F$70:$I$70, MATCH($D182, $F$64:$I$64, 0))/100</f>
        <v>2.6799999999999997E-2</v>
      </c>
      <c r="G182" s="883">
        <f t="shared" ref="G182:M185" si="2">$F182*(1+$E182)^(G$173-$F$173)</f>
        <v>2.6532669999999998E-2</v>
      </c>
      <c r="H182" s="883">
        <f t="shared" si="2"/>
        <v>2.5875953334494179E-2</v>
      </c>
      <c r="I182" s="883">
        <f t="shared" si="2"/>
        <v>2.5235491225305273E-2</v>
      </c>
      <c r="J182" s="883">
        <f t="shared" si="2"/>
        <v>2.4610881351896985E-2</v>
      </c>
      <c r="K182" s="883">
        <f t="shared" si="2"/>
        <v>2.400173135166794E-2</v>
      </c>
      <c r="L182" s="883">
        <f t="shared" si="2"/>
        <v>2.3407658573480376E-2</v>
      </c>
      <c r="M182" s="883">
        <f t="shared" si="2"/>
        <v>2.2828289837289305E-2</v>
      </c>
      <c r="N182" s="883">
        <f>$F182*(1+$E182)^(N$173-$F$173)</f>
        <v>2.226326119972117E-2</v>
      </c>
      <c r="O182" s="876"/>
    </row>
    <row r="183" spans="2:15" ht="15.5">
      <c r="B183" s="55"/>
      <c r="C183" s="65" t="s">
        <v>1015</v>
      </c>
      <c r="D183" s="103" t="s">
        <v>1016</v>
      </c>
      <c r="E183" s="1428">
        <v>-5.0000000000000001E-3</v>
      </c>
      <c r="F183" s="886">
        <f>INDEX($F$70:$I$70, MATCH($D183, $F$64:$I$64, 0))/100</f>
        <v>5.5800000000000002E-2</v>
      </c>
      <c r="G183" s="886">
        <f t="shared" si="2"/>
        <v>5.5243395000000008E-2</v>
      </c>
      <c r="H183" s="886">
        <f t="shared" si="2"/>
        <v>5.3876052091969232E-2</v>
      </c>
      <c r="I183" s="886">
        <f t="shared" si="2"/>
        <v>5.2542552625822178E-2</v>
      </c>
      <c r="J183" s="886">
        <f t="shared" si="2"/>
        <v>5.1242058934173579E-2</v>
      </c>
      <c r="K183" s="886">
        <f t="shared" si="2"/>
        <v>4.997375408295042E-2</v>
      </c>
      <c r="L183" s="886">
        <f t="shared" si="2"/>
        <v>4.8736841358216605E-2</v>
      </c>
      <c r="M183" s="886">
        <f t="shared" si="2"/>
        <v>4.753054376569938E-2</v>
      </c>
      <c r="N183" s="886">
        <f>$F183*(1+$E183)^(N$173-$F$173)</f>
        <v>4.6354103542703036E-2</v>
      </c>
      <c r="O183" s="876"/>
    </row>
    <row r="184" spans="2:15" ht="15.5">
      <c r="B184" s="55"/>
      <c r="C184" s="65" t="s">
        <v>1017</v>
      </c>
      <c r="D184" s="103" t="s">
        <v>1018</v>
      </c>
      <c r="E184" s="1428">
        <v>-5.0000000000000001E-3</v>
      </c>
      <c r="F184" s="886">
        <f>INDEX($F$70:$I$70, MATCH($D184, $F$64:$I$64, 0))/100</f>
        <v>3.7999999999999999E-2</v>
      </c>
      <c r="G184" s="886">
        <f t="shared" si="2"/>
        <v>3.762095E-2</v>
      </c>
      <c r="H184" s="886">
        <f t="shared" si="2"/>
        <v>3.6689784578760404E-2</v>
      </c>
      <c r="I184" s="886">
        <f t="shared" si="2"/>
        <v>3.5781666662746285E-2</v>
      </c>
      <c r="J184" s="886">
        <f t="shared" si="2"/>
        <v>3.4896025797465875E-2</v>
      </c>
      <c r="K184" s="886">
        <f t="shared" si="2"/>
        <v>3.4032305647887381E-2</v>
      </c>
      <c r="L184" s="886">
        <f t="shared" si="2"/>
        <v>3.3189963648964711E-2</v>
      </c>
      <c r="M184" s="886">
        <f t="shared" si="2"/>
        <v>3.2368470664813194E-2</v>
      </c>
      <c r="N184" s="886">
        <f>$F184*(1+$E184)^(N$173-$F$173)</f>
        <v>3.1567310656321061E-2</v>
      </c>
      <c r="O184" s="876"/>
    </row>
    <row r="185" spans="2:15" ht="15.5">
      <c r="B185" s="55"/>
      <c r="C185" s="887" t="s">
        <v>1019</v>
      </c>
      <c r="D185" s="888" t="s">
        <v>402</v>
      </c>
      <c r="E185" s="1431">
        <v>-5.0000000000000001E-3</v>
      </c>
      <c r="F185" s="1195">
        <f>INDEX($F$70:$I$70, MATCH($D185, $F$64:$I$64, 0))/100</f>
        <v>0.13930000000000001</v>
      </c>
      <c r="G185" s="1195">
        <f t="shared" si="2"/>
        <v>0.13791048250000001</v>
      </c>
      <c r="H185" s="1195">
        <f t="shared" si="2"/>
        <v>0.13449702610056119</v>
      </c>
      <c r="I185" s="1195">
        <f t="shared" si="2"/>
        <v>0.13116805700317258</v>
      </c>
      <c r="J185" s="1195">
        <f t="shared" si="2"/>
        <v>0.12792148404176307</v>
      </c>
      <c r="K185" s="1195">
        <f t="shared" si="2"/>
        <v>0.12475526780922928</v>
      </c>
      <c r="L185" s="1195">
        <f t="shared" si="2"/>
        <v>0.12166741937633643</v>
      </c>
      <c r="M185" s="1195">
        <f t="shared" si="2"/>
        <v>0.11865599904232838</v>
      </c>
      <c r="N185" s="1195">
        <f>$F185*(1+$E185)^(N$173-$F$173)</f>
        <v>0.11571911511646116</v>
      </c>
      <c r="O185" s="876"/>
    </row>
    <row r="186" spans="2:15">
      <c r="B186" s="105"/>
      <c r="C186" s="67" t="s">
        <v>58</v>
      </c>
      <c r="D186" s="67"/>
      <c r="E186" s="67"/>
      <c r="F186" s="1435">
        <f t="shared" ref="F186:N186" si="3">SUM(F$182:F$185)</f>
        <v>0.25990000000000002</v>
      </c>
      <c r="G186" s="1435">
        <f t="shared" si="3"/>
        <v>0.25730749750000004</v>
      </c>
      <c r="H186" s="1435">
        <f t="shared" si="3"/>
        <v>0.250938816105785</v>
      </c>
      <c r="I186" s="1435">
        <f t="shared" si="3"/>
        <v>0.24472776751704631</v>
      </c>
      <c r="J186" s="1435">
        <f t="shared" si="3"/>
        <v>0.2386704501252995</v>
      </c>
      <c r="K186" s="1435">
        <f t="shared" si="3"/>
        <v>0.23276305889173504</v>
      </c>
      <c r="L186" s="1435">
        <f t="shared" si="3"/>
        <v>0.22700188295699814</v>
      </c>
      <c r="M186" s="1435">
        <f t="shared" si="3"/>
        <v>0.22138330331013026</v>
      </c>
      <c r="N186" s="1435">
        <f t="shared" si="3"/>
        <v>0.21590379051520642</v>
      </c>
      <c r="O186" s="4221">
        <f>(N186-F186)/F186</f>
        <v>-0.16928129851786686</v>
      </c>
    </row>
    <row r="187" spans="2:15">
      <c r="B187" s="105"/>
      <c r="C187" s="67"/>
      <c r="D187" s="67"/>
      <c r="E187" s="67"/>
      <c r="F187" s="67"/>
      <c r="G187" s="67"/>
      <c r="H187" s="67"/>
      <c r="I187" s="67"/>
      <c r="J187" s="67"/>
      <c r="K187" s="67"/>
      <c r="L187" s="67"/>
      <c r="M187" s="67"/>
      <c r="N187" s="67"/>
      <c r="O187" s="876"/>
    </row>
    <row r="188" spans="2:15">
      <c r="B188" s="130">
        <v>3</v>
      </c>
      <c r="C188" s="49" t="s">
        <v>1048</v>
      </c>
      <c r="D188" s="67"/>
      <c r="E188" s="67"/>
      <c r="F188" s="67"/>
      <c r="G188" s="67"/>
      <c r="H188" s="67"/>
      <c r="I188" s="67"/>
      <c r="J188" s="67"/>
      <c r="K188" s="67"/>
      <c r="L188" s="67"/>
      <c r="M188" s="67"/>
      <c r="N188" s="67"/>
      <c r="O188" s="876"/>
    </row>
    <row r="189" spans="2:15">
      <c r="B189" s="105"/>
      <c r="C189" s="67"/>
      <c r="D189" s="67"/>
      <c r="E189" s="67"/>
      <c r="F189" s="67"/>
      <c r="G189" s="67"/>
      <c r="H189" s="67"/>
      <c r="I189" s="67"/>
      <c r="J189" s="67"/>
      <c r="K189" s="67"/>
      <c r="L189" s="67"/>
      <c r="M189" s="67"/>
      <c r="N189" s="67"/>
      <c r="O189" s="876"/>
    </row>
    <row r="190" spans="2:15" ht="15.5">
      <c r="B190" s="55"/>
      <c r="C190" s="878" t="s">
        <v>28</v>
      </c>
      <c r="D190" s="878" t="s">
        <v>71</v>
      </c>
      <c r="E190" s="878" t="s">
        <v>30</v>
      </c>
      <c r="F190" s="879">
        <v>2013</v>
      </c>
      <c r="G190" s="87">
        <v>2015</v>
      </c>
      <c r="H190" s="87">
        <v>2020</v>
      </c>
      <c r="I190" s="87">
        <v>2025</v>
      </c>
      <c r="J190" s="87">
        <v>2030</v>
      </c>
      <c r="K190" s="87">
        <v>2035</v>
      </c>
      <c r="L190" s="87">
        <v>2040</v>
      </c>
      <c r="M190" s="87">
        <v>2045</v>
      </c>
      <c r="N190" s="87">
        <v>2050</v>
      </c>
      <c r="O190" s="876"/>
    </row>
    <row r="191" spans="2:15" ht="15.5">
      <c r="B191" s="55"/>
      <c r="C191" s="65" t="s">
        <v>95</v>
      </c>
      <c r="D191" s="103" t="s">
        <v>85</v>
      </c>
      <c r="E191" s="1256"/>
      <c r="F191" s="1022">
        <f>INDEX($J$65:$J$69, MATCH($C191, $C$65:$C$69, 0))/$J$70</f>
        <v>0.35744517121969982</v>
      </c>
      <c r="G191" s="1058">
        <f t="shared" ref="G191:H195" si="4">$F191+($I191-$F191)/($I$190-$F$190)*(G$190-$F$190)</f>
        <v>0.35744517121969982</v>
      </c>
      <c r="H191" s="1058">
        <f t="shared" si="4"/>
        <v>0.35744517121969988</v>
      </c>
      <c r="I191" s="88">
        <f>INDEX($F$34:$H$38, MATCH($C191, $C$34:$C$38, 0), MATCH($E$9, $F$33:$H$33, 0))</f>
        <v>0.35744517121969988</v>
      </c>
      <c r="J191" s="1058">
        <f>$I191+($K191-$I191)/($K$190-$I$190)*(J$190-$I$190)</f>
        <v>0.35744517121969988</v>
      </c>
      <c r="K191" s="88">
        <f>INDEX($J$34:$L$38, MATCH($C191, $C$34:$C$38, 0), MATCH($E$9, $J$33:$L$33, 0))</f>
        <v>0.35744517121969988</v>
      </c>
      <c r="L191" s="1058">
        <f t="shared" ref="L191:M195" si="5">$K191+($N191-$K191)/($N$190-$K$190)*(L$190-$K$190)</f>
        <v>0.35744517121969988</v>
      </c>
      <c r="M191" s="1058">
        <f t="shared" si="5"/>
        <v>0.35744517121969988</v>
      </c>
      <c r="N191" s="88">
        <f>INDEX($N$34:$P$38, MATCH($C191, $C$34:$C$38, 0), MATCH($E$9, $N$33:$P$33, 0))</f>
        <v>0.35744517121969988</v>
      </c>
      <c r="O191" s="876"/>
    </row>
    <row r="192" spans="2:15" ht="15.5">
      <c r="B192" s="55"/>
      <c r="C192" s="65" t="s">
        <v>97</v>
      </c>
      <c r="D192" s="103" t="s">
        <v>87</v>
      </c>
      <c r="E192" s="1256"/>
      <c r="F192" s="1022">
        <f>INDEX($J$65:$J$69, MATCH($C192, $C$65:$C$69, 0))/$J$70</f>
        <v>0.11966140823393612</v>
      </c>
      <c r="G192" s="1056">
        <f t="shared" si="4"/>
        <v>0.11966140823393612</v>
      </c>
      <c r="H192" s="1056">
        <f t="shared" si="4"/>
        <v>0.11966140823393613</v>
      </c>
      <c r="I192" s="88">
        <f>INDEX($F$34:$H$38, MATCH($C192, $C$34:$C$38, 0), MATCH($E$9, $F$33:$H$33, 0))</f>
        <v>0.11966140823393613</v>
      </c>
      <c r="J192" s="1056">
        <f>$I192+($K192-$I192)/($K$190-$I$190)*(J$190-$I$190)</f>
        <v>0.11966140823393613</v>
      </c>
      <c r="K192" s="88">
        <f>INDEX($J$34:$L$38, MATCH($C192, $C$34:$C$38, 0), MATCH($E$9, $J$33:$L$33, 0))</f>
        <v>0.11966140823393613</v>
      </c>
      <c r="L192" s="1056">
        <f t="shared" si="5"/>
        <v>0.11966140823393613</v>
      </c>
      <c r="M192" s="1056">
        <f t="shared" si="5"/>
        <v>0.11966140823393613</v>
      </c>
      <c r="N192" s="88">
        <f>INDEX($N$34:$P$38, MATCH($C192, $C$34:$C$38, 0), MATCH($E$9, $N$33:$P$33, 0))</f>
        <v>0.11966140823393613</v>
      </c>
      <c r="O192" s="876"/>
    </row>
    <row r="193" spans="2:15" ht="15.5">
      <c r="B193" s="55"/>
      <c r="C193" s="65" t="s">
        <v>98</v>
      </c>
      <c r="D193" s="103" t="s">
        <v>88</v>
      </c>
      <c r="E193" s="1256"/>
      <c r="F193" s="1022">
        <f>INDEX($J$65:$J$69, MATCH($C193, $C$65:$C$69, 0))/$J$70</f>
        <v>0.24432474028472487</v>
      </c>
      <c r="G193" s="1056">
        <f t="shared" si="4"/>
        <v>0.24432474028472487</v>
      </c>
      <c r="H193" s="1056">
        <f t="shared" si="4"/>
        <v>0.2443247402847249</v>
      </c>
      <c r="I193" s="88">
        <f>INDEX($F$34:$H$38, MATCH($C193, $C$34:$C$38, 0), MATCH($E$9, $F$33:$H$33, 0))</f>
        <v>0.2443247402847249</v>
      </c>
      <c r="J193" s="1056">
        <f>$I193+($K193-$I193)/($K$190-$I$190)*(J$190-$I$190)</f>
        <v>0.2443247402847249</v>
      </c>
      <c r="K193" s="88">
        <f>INDEX($J$34:$L$38, MATCH($C193, $C$34:$C$38, 0), MATCH($E$9, $J$33:$L$33, 0))</f>
        <v>0.2443247402847249</v>
      </c>
      <c r="L193" s="1056">
        <f t="shared" si="5"/>
        <v>0.2443247402847249</v>
      </c>
      <c r="M193" s="1056">
        <f t="shared" si="5"/>
        <v>0.2443247402847249</v>
      </c>
      <c r="N193" s="88">
        <f>INDEX($N$34:$P$38, MATCH($C193, $C$34:$C$38, 0), MATCH($E$9, $N$33:$P$33, 0))</f>
        <v>0.2443247402847249</v>
      </c>
      <c r="O193" s="876"/>
    </row>
    <row r="194" spans="2:15" ht="15.5">
      <c r="B194" s="55"/>
      <c r="C194" s="65" t="s">
        <v>99</v>
      </c>
      <c r="D194" s="103" t="s">
        <v>89</v>
      </c>
      <c r="E194" s="1256"/>
      <c r="F194" s="1022">
        <f>INDEX($J$65:$J$69, MATCH($C194, $C$65:$C$69, 0))/$J$70</f>
        <v>0.27856868026163906</v>
      </c>
      <c r="G194" s="1056">
        <f t="shared" si="4"/>
        <v>0.27856868026163906</v>
      </c>
      <c r="H194" s="1056">
        <f t="shared" si="4"/>
        <v>0.27856868026163911</v>
      </c>
      <c r="I194" s="88">
        <f>INDEX($F$34:$H$38, MATCH($C194, $C$34:$C$38, 0), MATCH($E$9, $F$33:$H$33, 0))</f>
        <v>0.27856868026163911</v>
      </c>
      <c r="J194" s="1056">
        <f>$I194+($K194-$I194)/($K$190-$I$190)*(J$190-$I$190)</f>
        <v>0.27856868026163911</v>
      </c>
      <c r="K194" s="88">
        <f>INDEX($J$34:$L$38, MATCH($C194, $C$34:$C$38, 0), MATCH($E$9, $J$33:$L$33, 0))</f>
        <v>0.27856868026163911</v>
      </c>
      <c r="L194" s="1056">
        <f t="shared" si="5"/>
        <v>0.27856868026163911</v>
      </c>
      <c r="M194" s="1056">
        <f t="shared" si="5"/>
        <v>0.27856868026163911</v>
      </c>
      <c r="N194" s="88">
        <f>INDEX($N$34:$P$38, MATCH($C194, $C$34:$C$38, 0), MATCH($E$9, $N$33:$P$33, 0))</f>
        <v>0.27856868026163911</v>
      </c>
      <c r="O194" s="876"/>
    </row>
    <row r="195" spans="2:15" ht="15.5">
      <c r="B195" s="55"/>
      <c r="C195" s="887" t="s">
        <v>100</v>
      </c>
      <c r="D195" s="888" t="s">
        <v>90</v>
      </c>
      <c r="E195" s="888"/>
      <c r="F195" s="1023">
        <f>INDEX($J$65:$J$69, MATCH($C195, $C$65:$C$69, 0))/$J$70</f>
        <v>0</v>
      </c>
      <c r="G195" s="1436">
        <f t="shared" si="4"/>
        <v>0</v>
      </c>
      <c r="H195" s="1436">
        <f t="shared" si="4"/>
        <v>0</v>
      </c>
      <c r="I195" s="142">
        <f>INDEX($F$34:$H$38, MATCH($C195, $C$34:$C$38, 0), MATCH($E$9, $F$33:$H$33, 0))</f>
        <v>0</v>
      </c>
      <c r="J195" s="1366">
        <f>$I195+($K195-$I195)/($K$190-$I$190)*(J$190-$I$190)</f>
        <v>0</v>
      </c>
      <c r="K195" s="142">
        <f>INDEX($J$34:$L$38, MATCH($C195, $C$34:$C$38, 0), MATCH($E$9, $J$33:$L$33, 0))</f>
        <v>0</v>
      </c>
      <c r="L195" s="1366">
        <f t="shared" si="5"/>
        <v>0</v>
      </c>
      <c r="M195" s="1366">
        <f t="shared" si="5"/>
        <v>0</v>
      </c>
      <c r="N195" s="142">
        <f>INDEX($N$34:$P$38, MATCH($C195, $C$34:$C$38, 0), MATCH($E$9, $N$33:$P$33, 0))</f>
        <v>0</v>
      </c>
      <c r="O195" s="876"/>
    </row>
    <row r="196" spans="2:15">
      <c r="B196" s="105"/>
      <c r="C196" s="84"/>
      <c r="D196" s="117"/>
      <c r="E196" s="117"/>
      <c r="F196" s="1390"/>
      <c r="G196" s="1390"/>
      <c r="H196" s="1390"/>
      <c r="I196" s="67"/>
      <c r="J196" s="67"/>
      <c r="K196" s="67"/>
      <c r="L196" s="67"/>
      <c r="M196" s="67"/>
      <c r="N196" s="67"/>
      <c r="O196" s="876"/>
    </row>
    <row r="197" spans="2:15">
      <c r="B197" s="1437" t="s">
        <v>242</v>
      </c>
      <c r="C197" s="49" t="s">
        <v>1049</v>
      </c>
      <c r="D197" s="67"/>
      <c r="E197" s="67"/>
      <c r="F197" s="67"/>
      <c r="G197" s="67"/>
      <c r="H197" s="67"/>
      <c r="I197" s="67"/>
      <c r="J197" s="67"/>
      <c r="K197" s="67"/>
      <c r="L197" s="67"/>
      <c r="M197" s="67"/>
      <c r="N197" s="51" t="s">
        <v>1050</v>
      </c>
      <c r="O197" s="876"/>
    </row>
    <row r="198" spans="2:15">
      <c r="B198" s="105"/>
      <c r="C198" s="67"/>
      <c r="D198" s="67"/>
      <c r="E198" s="67"/>
      <c r="F198" s="67"/>
      <c r="G198" s="67"/>
      <c r="H198" s="67"/>
      <c r="I198" s="67"/>
      <c r="J198" s="67"/>
      <c r="K198" s="67"/>
      <c r="L198" s="67"/>
      <c r="M198" s="67"/>
      <c r="N198" s="67"/>
      <c r="O198" s="876"/>
    </row>
    <row r="199" spans="2:15" ht="15.5">
      <c r="B199" s="55"/>
      <c r="C199" s="878" t="s">
        <v>359</v>
      </c>
      <c r="D199" s="878" t="s">
        <v>71</v>
      </c>
      <c r="E199" s="878" t="s">
        <v>1047</v>
      </c>
      <c r="F199" s="87">
        <v>2013</v>
      </c>
      <c r="G199" s="87">
        <v>2015</v>
      </c>
      <c r="H199" s="87">
        <v>2020</v>
      </c>
      <c r="I199" s="87">
        <v>2025</v>
      </c>
      <c r="J199" s="87">
        <v>2030</v>
      </c>
      <c r="K199" s="87">
        <v>2035</v>
      </c>
      <c r="L199" s="87">
        <v>2040</v>
      </c>
      <c r="M199" s="87">
        <v>2045</v>
      </c>
      <c r="N199" s="87">
        <v>2050</v>
      </c>
      <c r="O199" s="876"/>
    </row>
    <row r="200" spans="2:15" ht="15.5">
      <c r="B200" s="55"/>
      <c r="C200" s="65" t="s">
        <v>1014</v>
      </c>
      <c r="D200" s="103" t="s">
        <v>2777</v>
      </c>
      <c r="E200" s="1428">
        <f t="array" ref="E200:E203">INDEX($F$43:$H$46, ,MATCH($E$9, $F$42:$H$42, 0))</f>
        <v>0</v>
      </c>
      <c r="F200" s="883">
        <v>1</v>
      </c>
      <c r="G200" s="883">
        <f>$F200*(1+$E200)^(G$173-$F$173)</f>
        <v>1</v>
      </c>
      <c r="H200" s="883">
        <f t="shared" ref="G200:N203" si="6">$F200*(1+$E200)^(H$173-$F$173)</f>
        <v>1</v>
      </c>
      <c r="I200" s="883">
        <f t="shared" si="6"/>
        <v>1</v>
      </c>
      <c r="J200" s="883">
        <f t="shared" si="6"/>
        <v>1</v>
      </c>
      <c r="K200" s="883">
        <f t="shared" si="6"/>
        <v>1</v>
      </c>
      <c r="L200" s="883">
        <f t="shared" si="6"/>
        <v>1</v>
      </c>
      <c r="M200" s="883">
        <f t="shared" si="6"/>
        <v>1</v>
      </c>
      <c r="N200" s="883">
        <f t="shared" si="6"/>
        <v>1</v>
      </c>
      <c r="O200" s="876"/>
    </row>
    <row r="201" spans="2:15" ht="15.5">
      <c r="B201" s="55"/>
      <c r="C201" s="65" t="s">
        <v>1015</v>
      </c>
      <c r="D201" s="103" t="s">
        <v>1016</v>
      </c>
      <c r="E201" s="1428">
        <v>0</v>
      </c>
      <c r="F201" s="886">
        <v>1</v>
      </c>
      <c r="G201" s="886">
        <f t="shared" si="6"/>
        <v>1</v>
      </c>
      <c r="H201" s="886">
        <f t="shared" si="6"/>
        <v>1</v>
      </c>
      <c r="I201" s="886">
        <f t="shared" si="6"/>
        <v>1</v>
      </c>
      <c r="J201" s="886">
        <f t="shared" si="6"/>
        <v>1</v>
      </c>
      <c r="K201" s="886">
        <f t="shared" si="6"/>
        <v>1</v>
      </c>
      <c r="L201" s="886">
        <f t="shared" si="6"/>
        <v>1</v>
      </c>
      <c r="M201" s="886">
        <f t="shared" si="6"/>
        <v>1</v>
      </c>
      <c r="N201" s="886">
        <f t="shared" si="6"/>
        <v>1</v>
      </c>
      <c r="O201" s="876"/>
    </row>
    <row r="202" spans="2:15" ht="15.5">
      <c r="B202" s="55"/>
      <c r="C202" s="65" t="s">
        <v>1017</v>
      </c>
      <c r="D202" s="103" t="s">
        <v>1018</v>
      </c>
      <c r="E202" s="1428">
        <v>0</v>
      </c>
      <c r="F202" s="886">
        <v>1</v>
      </c>
      <c r="G202" s="886">
        <f t="shared" si="6"/>
        <v>1</v>
      </c>
      <c r="H202" s="886">
        <f t="shared" si="6"/>
        <v>1</v>
      </c>
      <c r="I202" s="886">
        <f t="shared" si="6"/>
        <v>1</v>
      </c>
      <c r="J202" s="886">
        <f t="shared" si="6"/>
        <v>1</v>
      </c>
      <c r="K202" s="886">
        <f t="shared" si="6"/>
        <v>1</v>
      </c>
      <c r="L202" s="886">
        <f t="shared" si="6"/>
        <v>1</v>
      </c>
      <c r="M202" s="886">
        <f t="shared" si="6"/>
        <v>1</v>
      </c>
      <c r="N202" s="886">
        <f t="shared" si="6"/>
        <v>1</v>
      </c>
      <c r="O202" s="876"/>
    </row>
    <row r="203" spans="2:15" ht="15.5">
      <c r="B203" s="55"/>
      <c r="C203" s="887" t="s">
        <v>1019</v>
      </c>
      <c r="D203" s="888" t="s">
        <v>402</v>
      </c>
      <c r="E203" s="1431">
        <v>-2.6341839434337544E-2</v>
      </c>
      <c r="F203" s="890">
        <v>1</v>
      </c>
      <c r="G203" s="890">
        <f t="shared" si="6"/>
        <v>0.94801021363610938</v>
      </c>
      <c r="H203" s="890">
        <f t="shared" si="6"/>
        <v>0.8295557104069845</v>
      </c>
      <c r="I203" s="890">
        <f t="shared" si="6"/>
        <v>0.7259021757048133</v>
      </c>
      <c r="J203" s="890">
        <f t="shared" si="6"/>
        <v>0.63520021872245935</v>
      </c>
      <c r="K203" s="890">
        <f t="shared" si="6"/>
        <v>0.55583153125736651</v>
      </c>
      <c r="L203" s="890">
        <f t="shared" si="6"/>
        <v>0.48638001378727314</v>
      </c>
      <c r="M203" s="890">
        <f t="shared" si="6"/>
        <v>0.42560650936186484</v>
      </c>
      <c r="N203" s="890">
        <f t="shared" si="6"/>
        <v>0.37242669451137506</v>
      </c>
      <c r="O203" s="876"/>
    </row>
    <row r="204" spans="2:15">
      <c r="B204" s="105"/>
      <c r="C204" s="67"/>
      <c r="D204" s="67"/>
      <c r="E204" s="67"/>
      <c r="F204" s="1435"/>
      <c r="G204" s="1435"/>
      <c r="H204" s="1435"/>
      <c r="I204" s="1435"/>
      <c r="J204" s="1435"/>
      <c r="K204" s="1435"/>
      <c r="L204" s="1435"/>
      <c r="M204" s="1435"/>
      <c r="N204" s="1435"/>
      <c r="O204" s="876"/>
    </row>
    <row r="205" spans="2:15">
      <c r="B205" s="1437" t="s">
        <v>1051</v>
      </c>
      <c r="C205" s="49" t="s">
        <v>1052</v>
      </c>
      <c r="D205" s="67"/>
      <c r="E205" s="67"/>
      <c r="F205" s="67"/>
      <c r="G205" s="67"/>
      <c r="H205" s="67"/>
      <c r="I205" s="67"/>
      <c r="J205" s="67"/>
      <c r="K205" s="67" t="s">
        <v>5</v>
      </c>
      <c r="L205" s="67"/>
      <c r="M205" s="67"/>
      <c r="N205" s="51" t="s">
        <v>1053</v>
      </c>
      <c r="O205" s="876"/>
    </row>
    <row r="206" spans="2:15">
      <c r="B206" s="105"/>
      <c r="C206" s="67"/>
      <c r="D206" s="67"/>
      <c r="E206" s="67"/>
      <c r="F206" s="67"/>
      <c r="G206" s="67"/>
      <c r="H206" s="67"/>
      <c r="I206" s="67"/>
      <c r="J206" s="67"/>
      <c r="K206" s="67"/>
      <c r="L206" s="67"/>
      <c r="M206" s="67"/>
      <c r="N206" s="67"/>
      <c r="O206" s="876"/>
    </row>
    <row r="207" spans="2:15" ht="15.5">
      <c r="B207" s="55"/>
      <c r="C207" s="878" t="s">
        <v>359</v>
      </c>
      <c r="D207" s="878" t="s">
        <v>71</v>
      </c>
      <c r="E207" s="878"/>
      <c r="F207" s="87">
        <v>2013</v>
      </c>
      <c r="G207" s="87">
        <v>2015</v>
      </c>
      <c r="H207" s="87">
        <v>2020</v>
      </c>
      <c r="I207" s="87">
        <v>2025</v>
      </c>
      <c r="J207" s="87">
        <v>2030</v>
      </c>
      <c r="K207" s="87">
        <v>2035</v>
      </c>
      <c r="L207" s="87">
        <v>2040</v>
      </c>
      <c r="M207" s="87">
        <v>2045</v>
      </c>
      <c r="N207" s="87">
        <v>2050</v>
      </c>
      <c r="O207" s="876"/>
    </row>
    <row r="208" spans="2:15" ht="15.5">
      <c r="B208" s="55"/>
      <c r="C208" s="65" t="s">
        <v>1014</v>
      </c>
      <c r="D208" s="103" t="s">
        <v>2777</v>
      </c>
      <c r="E208" s="1428"/>
      <c r="F208" s="883">
        <v>1</v>
      </c>
      <c r="G208" s="883">
        <f t="shared" ref="G208:N211" si="7">G200*G174/100</f>
        <v>1.0465289999999998</v>
      </c>
      <c r="H208" s="883">
        <f t="shared" si="7"/>
        <v>1.1725447756378582</v>
      </c>
      <c r="I208" s="883">
        <f t="shared" si="7"/>
        <v>1.3137344983996004</v>
      </c>
      <c r="J208" s="883">
        <f t="shared" si="7"/>
        <v>1.4719253099280325</v>
      </c>
      <c r="K208" s="883">
        <f t="shared" si="7"/>
        <v>1.6491643636108031</v>
      </c>
      <c r="L208" s="883">
        <f t="shared" si="7"/>
        <v>1.847745316871277</v>
      </c>
      <c r="M208" s="883">
        <f t="shared" si="7"/>
        <v>2.0702380134776344</v>
      </c>
      <c r="N208" s="883">
        <f t="shared" si="7"/>
        <v>2.3195217399900994</v>
      </c>
      <c r="O208" s="876"/>
    </row>
    <row r="209" spans="1:23" ht="15.5">
      <c r="B209" s="55"/>
      <c r="C209" s="65" t="s">
        <v>1015</v>
      </c>
      <c r="D209" s="103" t="s">
        <v>1016</v>
      </c>
      <c r="E209" s="1428"/>
      <c r="F209" s="886">
        <v>1</v>
      </c>
      <c r="G209" s="886">
        <f t="shared" si="7"/>
        <v>1.0100249999999997</v>
      </c>
      <c r="H209" s="886">
        <f t="shared" si="7"/>
        <v>1.0355293969407333</v>
      </c>
      <c r="I209" s="886">
        <f t="shared" si="7"/>
        <v>1.0616778118644976</v>
      </c>
      <c r="J209" s="886">
        <f t="shared" si="7"/>
        <v>1.088486507032401</v>
      </c>
      <c r="K209" s="886">
        <f t="shared" si="7"/>
        <v>1.115972155348024</v>
      </c>
      <c r="L209" s="886">
        <f t="shared" si="7"/>
        <v>1.144151850726655</v>
      </c>
      <c r="M209" s="886">
        <f t="shared" si="7"/>
        <v>1.1730431187263657</v>
      </c>
      <c r="N209" s="886">
        <f t="shared" si="7"/>
        <v>1.2026639274475293</v>
      </c>
      <c r="O209" s="876"/>
    </row>
    <row r="210" spans="1:23" ht="15.5">
      <c r="B210" s="55"/>
      <c r="C210" s="65" t="s">
        <v>1017</v>
      </c>
      <c r="D210" s="103" t="s">
        <v>1018</v>
      </c>
      <c r="E210" s="1428"/>
      <c r="F210" s="886">
        <v>1</v>
      </c>
      <c r="G210" s="886">
        <f t="shared" si="7"/>
        <v>1.0302249999999997</v>
      </c>
      <c r="H210" s="886">
        <f t="shared" si="7"/>
        <v>1.1098449129017793</v>
      </c>
      <c r="I210" s="886">
        <f t="shared" si="7"/>
        <v>1.1956181714615335</v>
      </c>
      <c r="J210" s="886">
        <f t="shared" si="7"/>
        <v>1.288020330868995</v>
      </c>
      <c r="K210" s="886">
        <f t="shared" si="7"/>
        <v>1.3875636991230278</v>
      </c>
      <c r="L210" s="886">
        <f t="shared" si="7"/>
        <v>1.4948001774358683</v>
      </c>
      <c r="M210" s="886">
        <f t="shared" si="7"/>
        <v>1.6103243201551853</v>
      </c>
      <c r="N210" s="886">
        <f t="shared" si="7"/>
        <v>1.7347766311691613</v>
      </c>
      <c r="O210" s="876"/>
    </row>
    <row r="211" spans="1:23" ht="15.5">
      <c r="B211" s="55"/>
      <c r="C211" s="887" t="s">
        <v>1019</v>
      </c>
      <c r="D211" s="888" t="s">
        <v>402</v>
      </c>
      <c r="E211" s="1431"/>
      <c r="F211" s="890">
        <v>1</v>
      </c>
      <c r="G211" s="890">
        <f t="shared" si="7"/>
        <v>0.99794759964960489</v>
      </c>
      <c r="H211" s="890">
        <f t="shared" si="7"/>
        <v>0.99283500888560061</v>
      </c>
      <c r="I211" s="890">
        <f t="shared" si="7"/>
        <v>0.98774861046308704</v>
      </c>
      <c r="J211" s="890">
        <f t="shared" si="7"/>
        <v>0.98268827019593785</v>
      </c>
      <c r="K211" s="890">
        <f t="shared" si="7"/>
        <v>0.97765385458547582</v>
      </c>
      <c r="L211" s="890">
        <f t="shared" si="7"/>
        <v>0.9726452308169512</v>
      </c>
      <c r="M211" s="890">
        <f t="shared" si="7"/>
        <v>0.96766226675603884</v>
      </c>
      <c r="N211" s="890">
        <f t="shared" si="7"/>
        <v>0.96270483094535153</v>
      </c>
      <c r="O211" s="876"/>
    </row>
    <row r="212" spans="1:23">
      <c r="B212" s="105"/>
      <c r="C212" s="67"/>
      <c r="D212" s="67"/>
      <c r="E212" s="67"/>
      <c r="F212" s="1435"/>
      <c r="G212" s="1435"/>
      <c r="H212" s="1435"/>
      <c r="I212" s="1435"/>
      <c r="J212" s="1435"/>
      <c r="K212" s="1435"/>
      <c r="L212" s="1435"/>
      <c r="M212" s="1435"/>
      <c r="N212" s="1435"/>
      <c r="O212" s="876"/>
    </row>
    <row r="213" spans="1:23">
      <c r="B213" s="130">
        <v>5</v>
      </c>
      <c r="C213" s="49" t="s">
        <v>2726</v>
      </c>
      <c r="D213" s="67"/>
      <c r="E213" s="50"/>
      <c r="F213" s="67"/>
      <c r="G213" s="67"/>
      <c r="H213" s="51" t="s">
        <v>2763</v>
      </c>
      <c r="I213" s="67"/>
      <c r="J213" s="67"/>
      <c r="K213" s="67"/>
      <c r="L213" s="67"/>
      <c r="M213" s="67"/>
      <c r="N213" s="67"/>
      <c r="O213" s="876"/>
    </row>
    <row r="214" spans="1:23" ht="15" hidden="1" customHeight="1">
      <c r="B214" s="105"/>
      <c r="C214" s="67"/>
      <c r="D214" s="67"/>
      <c r="E214" s="67"/>
      <c r="F214" s="4347" t="s">
        <v>20</v>
      </c>
      <c r="G214" s="4347"/>
      <c r="H214" s="4347" t="s">
        <v>22</v>
      </c>
      <c r="I214" s="4347"/>
      <c r="J214" s="67"/>
      <c r="K214" s="67"/>
      <c r="L214" s="67"/>
      <c r="M214" s="67"/>
      <c r="N214" s="67"/>
      <c r="O214" s="67"/>
      <c r="P214" s="876"/>
    </row>
    <row r="215" spans="1:23" ht="15" hidden="1" customHeight="1">
      <c r="B215" s="105"/>
      <c r="C215" s="67"/>
      <c r="D215" s="67"/>
      <c r="E215" s="67"/>
      <c r="F215" s="67"/>
      <c r="G215" s="67"/>
      <c r="H215" s="67"/>
      <c r="I215" s="67"/>
      <c r="J215" s="67"/>
      <c r="K215" s="67"/>
      <c r="L215" s="67"/>
      <c r="M215" s="67"/>
      <c r="N215" s="67"/>
      <c r="O215" s="67"/>
      <c r="P215" s="876"/>
    </row>
    <row r="216" spans="1:23" ht="15.75" hidden="1" customHeight="1">
      <c r="B216" s="55"/>
      <c r="C216" s="878" t="s">
        <v>359</v>
      </c>
      <c r="D216" s="878" t="s">
        <v>71</v>
      </c>
      <c r="E216" s="878"/>
      <c r="F216" s="1386" t="s">
        <v>1037</v>
      </c>
      <c r="G216" s="1350" t="s">
        <v>1038</v>
      </c>
      <c r="H216" s="1386" t="s">
        <v>1037</v>
      </c>
      <c r="I216" s="1350" t="s">
        <v>1038</v>
      </c>
      <c r="J216" s="67"/>
      <c r="K216" s="67"/>
      <c r="L216" s="67"/>
      <c r="M216" s="67"/>
      <c r="N216" s="67"/>
      <c r="O216" s="67"/>
      <c r="P216" s="876"/>
    </row>
    <row r="217" spans="1:23" ht="15.75" hidden="1" customHeight="1">
      <c r="B217" s="55"/>
      <c r="C217" s="65" t="s">
        <v>1014</v>
      </c>
      <c r="D217" s="103" t="s">
        <v>2777</v>
      </c>
      <c r="E217" s="1428"/>
      <c r="F217" s="1421"/>
      <c r="G217" s="167"/>
      <c r="H217" s="1421"/>
      <c r="I217" s="167"/>
      <c r="J217" s="67"/>
      <c r="K217" s="67"/>
      <c r="L217" s="67"/>
      <c r="M217" s="67"/>
      <c r="N217" s="67"/>
      <c r="O217" s="67"/>
      <c r="P217" s="876"/>
    </row>
    <row r="218" spans="1:23" ht="15.75" hidden="1" customHeight="1">
      <c r="B218" s="55"/>
      <c r="C218" s="65" t="s">
        <v>1015</v>
      </c>
      <c r="D218" s="103" t="s">
        <v>1016</v>
      </c>
      <c r="E218" s="1428"/>
      <c r="F218" s="1421"/>
      <c r="G218" s="160"/>
      <c r="H218" s="1421"/>
      <c r="I218" s="160"/>
      <c r="J218" s="67"/>
      <c r="K218" s="67"/>
      <c r="L218" s="67"/>
      <c r="M218" s="67"/>
      <c r="N218" s="67"/>
      <c r="O218" s="67"/>
      <c r="P218" s="876"/>
    </row>
    <row r="219" spans="1:23" ht="15.75" hidden="1" customHeight="1">
      <c r="B219" s="55"/>
      <c r="C219" s="65" t="s">
        <v>1017</v>
      </c>
      <c r="D219" s="103" t="s">
        <v>1018</v>
      </c>
      <c r="E219" s="1428"/>
      <c r="F219" s="1421"/>
      <c r="G219" s="160"/>
      <c r="H219" s="1421"/>
      <c r="I219" s="160"/>
      <c r="J219" s="67"/>
      <c r="K219" s="67"/>
      <c r="L219" s="67"/>
      <c r="M219" s="67"/>
      <c r="N219" s="67"/>
      <c r="O219" s="67"/>
      <c r="P219" s="876"/>
    </row>
    <row r="220" spans="1:23" ht="15.75" hidden="1" customHeight="1">
      <c r="B220" s="55"/>
      <c r="C220" s="887" t="s">
        <v>1019</v>
      </c>
      <c r="D220" s="888" t="s">
        <v>402</v>
      </c>
      <c r="E220" s="1431"/>
      <c r="F220" s="1422"/>
      <c r="G220" s="159"/>
      <c r="H220" s="1422"/>
      <c r="I220" s="159"/>
      <c r="J220" s="67"/>
      <c r="K220" s="67"/>
      <c r="L220" s="67"/>
      <c r="M220" s="67"/>
      <c r="N220" s="67"/>
      <c r="O220" s="67"/>
      <c r="P220" s="1434"/>
    </row>
    <row r="221" spans="1:23" ht="15" hidden="1" customHeight="1">
      <c r="B221" s="105"/>
      <c r="C221" s="67"/>
      <c r="D221" s="67"/>
      <c r="E221" s="67"/>
      <c r="F221" s="67"/>
      <c r="G221" s="67"/>
      <c r="H221" s="67"/>
      <c r="I221" s="67"/>
      <c r="J221" s="67"/>
      <c r="K221" s="67"/>
      <c r="L221" s="67"/>
      <c r="M221" s="67"/>
      <c r="N221" s="67"/>
      <c r="O221" s="67"/>
      <c r="P221" s="876"/>
    </row>
    <row r="222" spans="1:23" ht="15" hidden="1" customHeight="1">
      <c r="B222" s="1163"/>
      <c r="C222" s="1065"/>
      <c r="D222" s="1065"/>
      <c r="E222" s="1065"/>
      <c r="F222" s="1065"/>
      <c r="G222" s="1065"/>
      <c r="H222" s="1065"/>
      <c r="I222" s="1065"/>
      <c r="J222" s="1065"/>
      <c r="K222" s="1065"/>
      <c r="L222" s="1065"/>
      <c r="M222" s="1065"/>
      <c r="N222" s="1065"/>
      <c r="O222" s="1065"/>
      <c r="P222" s="1100"/>
    </row>
    <row r="223" spans="1:23">
      <c r="R223" s="2"/>
      <c r="S223" s="2"/>
      <c r="T223" s="2"/>
      <c r="U223" s="2"/>
      <c r="V223" s="2"/>
      <c r="W223" s="2"/>
    </row>
    <row r="224" spans="1:23" ht="18.5">
      <c r="A224" s="346"/>
      <c r="B224" s="1101" t="s">
        <v>206</v>
      </c>
      <c r="R224" s="2"/>
      <c r="S224" s="2"/>
      <c r="T224" s="2"/>
      <c r="U224" s="2"/>
      <c r="V224" s="2"/>
      <c r="W224" s="2"/>
    </row>
    <row r="225" spans="1:14" s="2" customFormat="1">
      <c r="B225" s="354">
        <v>1</v>
      </c>
      <c r="C225" t="s">
        <v>957</v>
      </c>
    </row>
    <row r="226" spans="1:14" s="2" customFormat="1">
      <c r="B226" s="354">
        <v>2</v>
      </c>
      <c r="C226" t="s">
        <v>1054</v>
      </c>
    </row>
    <row r="227" spans="1:14" s="2" customFormat="1">
      <c r="B227" s="354">
        <v>3</v>
      </c>
      <c r="C227" t="s">
        <v>1055</v>
      </c>
    </row>
    <row r="228" spans="1:14" s="2" customFormat="1">
      <c r="B228" s="354">
        <v>4</v>
      </c>
      <c r="C228" t="s">
        <v>1056</v>
      </c>
    </row>
    <row r="229" spans="1:14" s="2" customFormat="1">
      <c r="B229" s="354"/>
      <c r="C229"/>
    </row>
    <row r="230" spans="1:14" s="2" customFormat="1">
      <c r="B230" s="354" t="s">
        <v>1057</v>
      </c>
      <c r="C230"/>
      <c r="E230" s="355"/>
    </row>
    <row r="231" spans="1:14" s="2" customFormat="1">
      <c r="B231" s="354"/>
      <c r="C231"/>
      <c r="E231" s="355"/>
      <c r="F231" s="1313">
        <v>2013</v>
      </c>
      <c r="G231" s="1313">
        <v>2015</v>
      </c>
      <c r="H231" s="1313">
        <v>2020</v>
      </c>
      <c r="I231" s="1313">
        <v>2025</v>
      </c>
      <c r="J231" s="1313">
        <v>2030</v>
      </c>
      <c r="K231" s="1313">
        <v>2035</v>
      </c>
      <c r="L231" s="1313">
        <v>2040</v>
      </c>
      <c r="M231" s="1313">
        <v>2045</v>
      </c>
      <c r="N231" s="1313">
        <v>2050</v>
      </c>
    </row>
    <row r="232" spans="1:14" s="2" customFormat="1">
      <c r="B232" s="354"/>
      <c r="C232" s="405" t="s">
        <v>1058</v>
      </c>
      <c r="E232" s="355"/>
      <c r="F232" s="1313"/>
      <c r="G232" s="1313"/>
      <c r="H232" s="1313"/>
      <c r="I232" s="1313"/>
      <c r="J232" s="1313"/>
      <c r="K232" s="1313"/>
      <c r="L232" s="1313"/>
      <c r="M232" s="1313"/>
      <c r="N232" s="1313"/>
    </row>
    <row r="233" spans="1:14" s="2" customFormat="1">
      <c r="B233" s="373" t="s">
        <v>1014</v>
      </c>
      <c r="C233" s="3580" t="s">
        <v>2777</v>
      </c>
      <c r="E233" s="1438"/>
      <c r="F233" s="365">
        <f t="shared" ref="F233:N233" si="8">F174*F182</f>
        <v>2.6799999999999997</v>
      </c>
      <c r="G233" s="365">
        <f t="shared" si="8"/>
        <v>2.7767208602429996</v>
      </c>
      <c r="H233" s="365">
        <f t="shared" si="8"/>
        <v>3.0340713897010168</v>
      </c>
      <c r="I233" s="365">
        <f t="shared" si="8"/>
        <v>3.3152735406743941</v>
      </c>
      <c r="J233" s="365">
        <f t="shared" si="8"/>
        <v>3.6225379161493008</v>
      </c>
      <c r="K233" s="365">
        <f t="shared" si="8"/>
        <v>3.9582800010130921</v>
      </c>
      <c r="L233" s="365">
        <f t="shared" si="8"/>
        <v>4.3251391508070158</v>
      </c>
      <c r="M233" s="365">
        <f t="shared" si="8"/>
        <v>4.7259993403841474</v>
      </c>
      <c r="N233" s="365">
        <f t="shared" si="8"/>
        <v>5.164011835583131</v>
      </c>
    </row>
    <row r="234" spans="1:14" s="2" customFormat="1">
      <c r="B234" s="373" t="s">
        <v>1015</v>
      </c>
      <c r="C234" t="s">
        <v>1016</v>
      </c>
      <c r="E234" s="1438"/>
      <c r="F234" s="365">
        <f t="shared" ref="F234:N234" si="9">F175*F183</f>
        <v>5.58</v>
      </c>
      <c r="G234" s="365">
        <f t="shared" si="9"/>
        <v>5.5797210034874993</v>
      </c>
      <c r="H234" s="365">
        <f t="shared" si="9"/>
        <v>5.5790235732344433</v>
      </c>
      <c r="I234" s="365">
        <f t="shared" si="9"/>
        <v>5.5783262301558105</v>
      </c>
      <c r="J234" s="365">
        <f t="shared" si="9"/>
        <v>5.577628974240703</v>
      </c>
      <c r="K234" s="365">
        <f t="shared" si="9"/>
        <v>5.5769318054782291</v>
      </c>
      <c r="L234" s="365">
        <f t="shared" si="9"/>
        <v>5.5762347238574916</v>
      </c>
      <c r="M234" s="365">
        <f t="shared" si="9"/>
        <v>5.5755377293676016</v>
      </c>
      <c r="N234" s="365">
        <f t="shared" si="9"/>
        <v>5.5748408219976664</v>
      </c>
    </row>
    <row r="235" spans="1:14" s="2" customFormat="1">
      <c r="B235" s="373" t="s">
        <v>1017</v>
      </c>
      <c r="C235" t="s">
        <v>1018</v>
      </c>
      <c r="E235" s="1438"/>
      <c r="F235" s="365">
        <f t="shared" ref="F235:N235" si="10">F176*F184</f>
        <v>3.8</v>
      </c>
      <c r="G235" s="365">
        <f t="shared" si="10"/>
        <v>3.8758043213749991</v>
      </c>
      <c r="H235" s="365">
        <f t="shared" si="10"/>
        <v>4.0719970770199385</v>
      </c>
      <c r="I235" s="365">
        <f t="shared" si="10"/>
        <v>4.2781210867158821</v>
      </c>
      <c r="J235" s="365">
        <f t="shared" si="10"/>
        <v>4.4946790693664989</v>
      </c>
      <c r="K235" s="365">
        <f t="shared" si="10"/>
        <v>4.722199191446812</v>
      </c>
      <c r="L235" s="365">
        <f t="shared" si="10"/>
        <v>4.9612363551562471</v>
      </c>
      <c r="M235" s="365">
        <f t="shared" si="10"/>
        <v>5.2123735517778371</v>
      </c>
      <c r="N235" s="365">
        <f t="shared" si="10"/>
        <v>5.476223283544301</v>
      </c>
    </row>
    <row r="236" spans="1:14" s="2" customFormat="1">
      <c r="B236" s="373" t="s">
        <v>1019</v>
      </c>
      <c r="C236" t="s">
        <v>402</v>
      </c>
      <c r="E236" s="1438"/>
      <c r="F236" s="365">
        <f t="shared" ref="F236:N236" si="11">F177*F185</f>
        <v>13.930000000000001</v>
      </c>
      <c r="G236" s="365">
        <f t="shared" si="11"/>
        <v>14.517505507616999</v>
      </c>
      <c r="H236" s="365">
        <f t="shared" si="11"/>
        <v>16.096972684104042</v>
      </c>
      <c r="I236" s="365">
        <f t="shared" si="11"/>
        <v>17.848281817895042</v>
      </c>
      <c r="J236" s="365">
        <f t="shared" si="11"/>
        <v>19.790128870976204</v>
      </c>
      <c r="K236" s="365">
        <f t="shared" si="11"/>
        <v>21.943243877804008</v>
      </c>
      <c r="L236" s="365">
        <f t="shared" si="11"/>
        <v>24.33061224714659</v>
      </c>
      <c r="M236" s="365">
        <f t="shared" si="11"/>
        <v>26.977720140995064</v>
      </c>
      <c r="N236" s="365">
        <f t="shared" si="11"/>
        <v>29.912826550067777</v>
      </c>
    </row>
    <row r="237" spans="1:14" s="4" customFormat="1">
      <c r="B237" s="6"/>
      <c r="C237" s="372" t="s">
        <v>58</v>
      </c>
      <c r="E237" s="1439" t="str">
        <f>Preferences.EnergyUnits</f>
        <v>TWh</v>
      </c>
      <c r="F237" s="1440">
        <f>SUM(F233:F236)</f>
        <v>25.990000000000002</v>
      </c>
      <c r="G237" s="1440">
        <f t="shared" ref="G237:N237" si="12">SUM(G233:G236)</f>
        <v>26.749751692722498</v>
      </c>
      <c r="H237" s="1440">
        <f t="shared" si="12"/>
        <v>28.782064724059438</v>
      </c>
      <c r="I237" s="1440">
        <f t="shared" si="12"/>
        <v>31.02000267544113</v>
      </c>
      <c r="J237" s="1440">
        <f t="shared" si="12"/>
        <v>33.48497483073271</v>
      </c>
      <c r="K237" s="1440">
        <f t="shared" si="12"/>
        <v>36.200654875742146</v>
      </c>
      <c r="L237" s="1440">
        <f t="shared" si="12"/>
        <v>39.193222476967343</v>
      </c>
      <c r="M237" s="1440">
        <f t="shared" si="12"/>
        <v>42.49163076252465</v>
      </c>
      <c r="N237" s="1440">
        <f t="shared" si="12"/>
        <v>46.12790249119287</v>
      </c>
    </row>
    <row r="238" spans="1:14" s="2" customFormat="1">
      <c r="B238" s="354"/>
      <c r="C238"/>
      <c r="D238" s="354"/>
      <c r="E238" s="355"/>
      <c r="F238" s="357"/>
      <c r="G238" s="357"/>
      <c r="H238" s="357"/>
      <c r="I238" s="357"/>
      <c r="J238" s="357"/>
      <c r="K238" s="357"/>
      <c r="L238" s="357"/>
      <c r="M238" s="357"/>
      <c r="N238" s="357"/>
    </row>
    <row r="239" spans="1:14" s="2" customFormat="1">
      <c r="A239" s="354" t="s">
        <v>58</v>
      </c>
      <c r="B239" s="354"/>
      <c r="C239" s="405" t="s">
        <v>1059</v>
      </c>
      <c r="D239" s="354"/>
      <c r="E239" s="355"/>
      <c r="F239" s="357"/>
      <c r="G239" s="357"/>
      <c r="H239" s="357"/>
      <c r="I239" s="357"/>
      <c r="J239" s="357"/>
      <c r="K239" s="357"/>
      <c r="L239" s="357"/>
      <c r="M239" s="357"/>
      <c r="N239" s="357"/>
    </row>
    <row r="240" spans="1:14" s="2" customFormat="1">
      <c r="B240" s="373" t="s">
        <v>95</v>
      </c>
      <c r="C240" s="2" t="s">
        <v>85</v>
      </c>
      <c r="E240" s="358" t="str">
        <f>Preferences.EnergyUnits</f>
        <v>TWh</v>
      </c>
      <c r="F240" s="983">
        <f>F$237*INDEX(F$191:F$195, MATCH($B240, $C$191:$C$195, 0))</f>
        <v>9.2899999999999991</v>
      </c>
      <c r="G240" s="983">
        <f t="shared" ref="G240:N244" si="13">G$237*INDEX(G$191:G$195, MATCH($B240, $C$191:$C$195, 0))</f>
        <v>9.5615695738896491</v>
      </c>
      <c r="H240" s="983">
        <f t="shared" si="13"/>
        <v>10.288010053347909</v>
      </c>
      <c r="I240" s="983">
        <f t="shared" si="13"/>
        <v>11.087950167558603</v>
      </c>
      <c r="J240" s="983">
        <f t="shared" si="13"/>
        <v>11.969042561658595</v>
      </c>
      <c r="K240" s="983">
        <f t="shared" si="13"/>
        <v>12.939749280324914</v>
      </c>
      <c r="L240" s="983">
        <f t="shared" si="13"/>
        <v>14.009428118931382</v>
      </c>
      <c r="M240" s="983">
        <f t="shared" si="13"/>
        <v>15.188428233314889</v>
      </c>
      <c r="N240" s="983">
        <f t="shared" si="13"/>
        <v>16.488196003970057</v>
      </c>
    </row>
    <row r="241" spans="1:17" s="2" customFormat="1">
      <c r="B241" s="373" t="s">
        <v>97</v>
      </c>
      <c r="C241" s="2" t="s">
        <v>87</v>
      </c>
      <c r="E241" s="358" t="str">
        <f>Preferences.EnergyUnits</f>
        <v>TWh</v>
      </c>
      <c r="F241" s="983">
        <f>F$237*INDEX(F$191:F$195, MATCH($B241, $C$191:$C$195, 0))</f>
        <v>3.11</v>
      </c>
      <c r="G241" s="983">
        <f t="shared" si="13"/>
        <v>3.2009129574592907</v>
      </c>
      <c r="H241" s="983">
        <f t="shared" si="13"/>
        <v>3.4441023967612487</v>
      </c>
      <c r="I241" s="983">
        <f t="shared" si="13"/>
        <v>3.7118972035637521</v>
      </c>
      <c r="J241" s="983">
        <f t="shared" si="13"/>
        <v>4.0068592429233831</v>
      </c>
      <c r="K241" s="983">
        <f t="shared" si="13"/>
        <v>4.3318213414220113</v>
      </c>
      <c r="L241" s="983">
        <f t="shared" si="13"/>
        <v>4.6899161948198707</v>
      </c>
      <c r="M241" s="983">
        <f t="shared" si="13"/>
        <v>5.0846083752001414</v>
      </c>
      <c r="N241" s="983">
        <f t="shared" si="13"/>
        <v>5.5197297709738296</v>
      </c>
      <c r="Q241" s="983"/>
    </row>
    <row r="242" spans="1:17" s="2" customFormat="1">
      <c r="B242" s="373" t="s">
        <v>98</v>
      </c>
      <c r="C242" s="2" t="s">
        <v>88</v>
      </c>
      <c r="E242" s="358" t="str">
        <f>Preferences.EnergyUnits</f>
        <v>TWh</v>
      </c>
      <c r="F242" s="983">
        <f>F$237*INDEX(F$191:F$195, MATCH($B242, $C$191:$C$195, 0))</f>
        <v>6.35</v>
      </c>
      <c r="G242" s="983">
        <f t="shared" si="13"/>
        <v>6.5356261350053035</v>
      </c>
      <c r="H242" s="983">
        <f t="shared" si="13"/>
        <v>7.0321704885639642</v>
      </c>
      <c r="I242" s="983">
        <f t="shared" si="13"/>
        <v>7.5789540973086256</v>
      </c>
      <c r="J242" s="983">
        <f t="shared" si="13"/>
        <v>8.1812077789593189</v>
      </c>
      <c r="K242" s="983">
        <f t="shared" si="13"/>
        <v>8.844715600652659</v>
      </c>
      <c r="L242" s="983">
        <f t="shared" si="13"/>
        <v>9.5758739026064887</v>
      </c>
      <c r="M242" s="983">
        <f t="shared" si="13"/>
        <v>10.381756650328262</v>
      </c>
      <c r="N242" s="983">
        <f t="shared" si="13"/>
        <v>11.270187796039812</v>
      </c>
      <c r="Q242" s="983"/>
    </row>
    <row r="243" spans="1:17" s="2" customFormat="1">
      <c r="B243" s="373" t="s">
        <v>99</v>
      </c>
      <c r="C243" s="2" t="s">
        <v>89</v>
      </c>
      <c r="E243" s="358" t="str">
        <f>Preferences.EnergyUnits</f>
        <v>TWh</v>
      </c>
      <c r="F243" s="983">
        <f>F$237*INDEX(F$191:F$195, MATCH($B243, $C$191:$C$195, 0))</f>
        <v>7.2399999999999993</v>
      </c>
      <c r="G243" s="983">
        <f t="shared" si="13"/>
        <v>7.4516430263682514</v>
      </c>
      <c r="H243" s="983">
        <f t="shared" si="13"/>
        <v>8.0177817853863154</v>
      </c>
      <c r="I243" s="983">
        <f t="shared" si="13"/>
        <v>8.64120120701015</v>
      </c>
      <c r="J243" s="983">
        <f t="shared" si="13"/>
        <v>9.3278652471914132</v>
      </c>
      <c r="K243" s="983">
        <f t="shared" si="13"/>
        <v>10.08436865334256</v>
      </c>
      <c r="L243" s="983">
        <f t="shared" si="13"/>
        <v>10.918004260609603</v>
      </c>
      <c r="M243" s="983">
        <f t="shared" si="13"/>
        <v>11.836837503681357</v>
      </c>
      <c r="N243" s="983">
        <f t="shared" si="13"/>
        <v>12.849788920209173</v>
      </c>
      <c r="Q243" s="983"/>
    </row>
    <row r="244" spans="1:17" s="2" customFormat="1">
      <c r="B244" s="373" t="s">
        <v>100</v>
      </c>
      <c r="C244" s="2" t="s">
        <v>90</v>
      </c>
      <c r="E244" s="358" t="str">
        <f>Preferences.EnergyUnits</f>
        <v>TWh</v>
      </c>
      <c r="F244" s="983">
        <f>F$237*INDEX(F$191:F$195, MATCH($B244, $C$191:$C$195, 0))</f>
        <v>0</v>
      </c>
      <c r="G244" s="983">
        <f t="shared" si="13"/>
        <v>0</v>
      </c>
      <c r="H244" s="983">
        <f t="shared" si="13"/>
        <v>0</v>
      </c>
      <c r="I244" s="983">
        <f t="shared" si="13"/>
        <v>0</v>
      </c>
      <c r="J244" s="983">
        <f t="shared" si="13"/>
        <v>0</v>
      </c>
      <c r="K244" s="983">
        <f t="shared" si="13"/>
        <v>0</v>
      </c>
      <c r="L244" s="983">
        <f t="shared" si="13"/>
        <v>0</v>
      </c>
      <c r="M244" s="983">
        <f t="shared" si="13"/>
        <v>0</v>
      </c>
      <c r="N244" s="983">
        <f t="shared" si="13"/>
        <v>0</v>
      </c>
    </row>
    <row r="245" spans="1:17" s="2" customFormat="1">
      <c r="B245" s="373"/>
      <c r="E245" s="358"/>
      <c r="F245" s="983"/>
      <c r="G245" s="983"/>
      <c r="H245" s="983"/>
      <c r="I245" s="983"/>
      <c r="J245" s="983"/>
      <c r="K245" s="983"/>
      <c r="L245" s="983"/>
      <c r="M245" s="983"/>
      <c r="N245" s="983"/>
    </row>
    <row r="246" spans="1:17" s="2" customFormat="1">
      <c r="A246" s="354" t="s">
        <v>402</v>
      </c>
      <c r="B246" s="354"/>
      <c r="C246" s="405" t="s">
        <v>1060</v>
      </c>
      <c r="D246" s="354"/>
      <c r="E246" s="355"/>
      <c r="F246" s="357"/>
      <c r="G246" s="357"/>
      <c r="H246" s="357"/>
      <c r="I246" s="357"/>
      <c r="J246" s="357"/>
      <c r="K246" s="357"/>
      <c r="L246" s="357"/>
      <c r="M246" s="357"/>
      <c r="N246" s="357"/>
    </row>
    <row r="247" spans="1:17" s="2" customFormat="1">
      <c r="B247" s="373" t="s">
        <v>95</v>
      </c>
      <c r="C247" s="2" t="s">
        <v>85</v>
      </c>
      <c r="E247" s="358" t="str">
        <f>Preferences.EnergyUnits</f>
        <v>TWh</v>
      </c>
      <c r="F247" s="983">
        <f>F$236*INDEX(F$191:F$195, MATCH($B247, $C$191:$C$195, 0))</f>
        <v>4.9792112350904194</v>
      </c>
      <c r="G247" s="983">
        <f t="shared" ref="G247:N251" si="14">G$236*INDEX(G$191:G$195, MATCH($B247, $C$191:$C$195, 0))</f>
        <v>5.1892122418530935</v>
      </c>
      <c r="H247" s="983">
        <f t="shared" si="14"/>
        <v>5.7537851571884016</v>
      </c>
      <c r="I247" s="983">
        <f t="shared" si="14"/>
        <v>6.3797821503749494</v>
      </c>
      <c r="J247" s="983">
        <f t="shared" si="14"/>
        <v>7.0738860027460149</v>
      </c>
      <c r="K247" s="983">
        <f t="shared" si="14"/>
        <v>7.843506565017285</v>
      </c>
      <c r="L247" s="983">
        <f t="shared" si="14"/>
        <v>8.6968598605614389</v>
      </c>
      <c r="M247" s="983">
        <f t="shared" si="14"/>
        <v>9.6430557949151261</v>
      </c>
      <c r="N247" s="983">
        <f>N$236*INDEX(N$191:N$195, MATCH($B247, $C$191:$C$195, 0))</f>
        <v>10.692195407854161</v>
      </c>
    </row>
    <row r="248" spans="1:17" s="2" customFormat="1">
      <c r="B248" s="373" t="s">
        <v>97</v>
      </c>
      <c r="C248" s="2" t="s">
        <v>87</v>
      </c>
      <c r="E248" s="358" t="str">
        <f>Preferences.EnergyUnits</f>
        <v>TWh</v>
      </c>
      <c r="F248" s="983">
        <f>F$236*INDEX(F$191:F$195, MATCH($B248, $C$191:$C$195, 0))</f>
        <v>1.6668834166987303</v>
      </c>
      <c r="G248" s="983">
        <f t="shared" si="14"/>
        <v>1.7371851530853737</v>
      </c>
      <c r="H248" s="983">
        <f t="shared" si="14"/>
        <v>1.9261864196830925</v>
      </c>
      <c r="I248" s="983">
        <f t="shared" si="14"/>
        <v>2.1357505368854786</v>
      </c>
      <c r="J248" s="983">
        <f t="shared" si="14"/>
        <v>2.3681146898320891</v>
      </c>
      <c r="K248" s="983">
        <f t="shared" si="14"/>
        <v>2.6257594636387251</v>
      </c>
      <c r="L248" s="983">
        <f t="shared" si="14"/>
        <v>2.9114353246874143</v>
      </c>
      <c r="M248" s="983">
        <f t="shared" si="14"/>
        <v>3.2281919830124912</v>
      </c>
      <c r="N248" s="983">
        <f t="shared" si="14"/>
        <v>3.5794109492385835</v>
      </c>
    </row>
    <row r="249" spans="1:17" s="2" customFormat="1">
      <c r="B249" s="373" t="s">
        <v>98</v>
      </c>
      <c r="C249" s="2" t="s">
        <v>88</v>
      </c>
      <c r="E249" s="358" t="str">
        <f>Preferences.EnergyUnits</f>
        <v>TWh</v>
      </c>
      <c r="F249" s="983">
        <f>F$236*INDEX(F$191:F$195, MATCH($B249, $C$191:$C$195, 0))</f>
        <v>3.4034436321662178</v>
      </c>
      <c r="G249" s="983">
        <f t="shared" si="14"/>
        <v>3.5469857627305861</v>
      </c>
      <c r="H249" s="983">
        <f t="shared" si="14"/>
        <v>3.9328886704140311</v>
      </c>
      <c r="I249" s="983">
        <f t="shared" si="14"/>
        <v>4.3607768196857837</v>
      </c>
      <c r="J249" s="983">
        <f t="shared" si="14"/>
        <v>4.8352180966024969</v>
      </c>
      <c r="K249" s="983">
        <f t="shared" si="14"/>
        <v>5.3612773614488436</v>
      </c>
      <c r="L249" s="983">
        <f t="shared" si="14"/>
        <v>5.9445705182524371</v>
      </c>
      <c r="M249" s="983">
        <f t="shared" si="14"/>
        <v>6.591324466922611</v>
      </c>
      <c r="N249" s="983">
        <f t="shared" si="14"/>
        <v>7.3084435780273331</v>
      </c>
    </row>
    <row r="250" spans="1:17" s="2" customFormat="1">
      <c r="B250" s="373" t="s">
        <v>99</v>
      </c>
      <c r="C250" s="2" t="s">
        <v>89</v>
      </c>
      <c r="E250" s="358" t="str">
        <f>Preferences.EnergyUnits</f>
        <v>TWh</v>
      </c>
      <c r="F250" s="983">
        <f>F$236*INDEX(F$191:F$195, MATCH($B250, $C$191:$C$195, 0))</f>
        <v>3.8804617160446324</v>
      </c>
      <c r="G250" s="983">
        <f t="shared" si="14"/>
        <v>4.0441223499479442</v>
      </c>
      <c r="H250" s="983">
        <f t="shared" si="14"/>
        <v>4.4841124368185179</v>
      </c>
      <c r="I250" s="983">
        <f t="shared" si="14"/>
        <v>4.9719723109488312</v>
      </c>
      <c r="J250" s="983">
        <f t="shared" si="14"/>
        <v>5.5129100817956029</v>
      </c>
      <c r="K250" s="983">
        <f t="shared" si="14"/>
        <v>6.1127004876991551</v>
      </c>
      <c r="L250" s="983">
        <f t="shared" si="14"/>
        <v>6.777746543645299</v>
      </c>
      <c r="M250" s="983">
        <f t="shared" si="14"/>
        <v>7.5151478961448355</v>
      </c>
      <c r="N250" s="983">
        <f t="shared" si="14"/>
        <v>8.3327766149477007</v>
      </c>
    </row>
    <row r="251" spans="1:17" s="2" customFormat="1">
      <c r="B251" s="373" t="s">
        <v>100</v>
      </c>
      <c r="C251" s="2" t="s">
        <v>90</v>
      </c>
      <c r="E251" s="358" t="str">
        <f>Preferences.EnergyUnits</f>
        <v>TWh</v>
      </c>
      <c r="F251" s="983">
        <f>F$236*INDEX(F$191:F$195, MATCH($B251, $C$191:$C$195, 0))</f>
        <v>0</v>
      </c>
      <c r="G251" s="983">
        <f t="shared" si="14"/>
        <v>0</v>
      </c>
      <c r="H251" s="983">
        <f t="shared" si="14"/>
        <v>0</v>
      </c>
      <c r="I251" s="983">
        <f t="shared" si="14"/>
        <v>0</v>
      </c>
      <c r="J251" s="983">
        <f t="shared" si="14"/>
        <v>0</v>
      </c>
      <c r="K251" s="983">
        <f t="shared" si="14"/>
        <v>0</v>
      </c>
      <c r="L251" s="983">
        <f t="shared" si="14"/>
        <v>0</v>
      </c>
      <c r="M251" s="983">
        <f t="shared" si="14"/>
        <v>0</v>
      </c>
      <c r="N251" s="983">
        <f t="shared" si="14"/>
        <v>0</v>
      </c>
    </row>
    <row r="252" spans="1:17" s="2" customFormat="1">
      <c r="B252" s="354"/>
      <c r="C252"/>
      <c r="D252" s="354"/>
      <c r="E252" s="355"/>
      <c r="F252" s="357"/>
      <c r="G252" s="357"/>
      <c r="H252" s="357"/>
      <c r="I252" s="357"/>
      <c r="J252" s="357"/>
      <c r="K252" s="357"/>
      <c r="L252" s="357"/>
      <c r="M252" s="357"/>
      <c r="N252" s="357"/>
    </row>
    <row r="253" spans="1:17" s="2" customFormat="1">
      <c r="A253" s="354" t="s">
        <v>2777</v>
      </c>
      <c r="B253" s="354"/>
      <c r="C253" s="405"/>
      <c r="D253" s="354"/>
      <c r="E253" s="355"/>
      <c r="F253" s="357"/>
      <c r="G253" s="357"/>
      <c r="H253" s="357"/>
      <c r="I253" s="357"/>
      <c r="J253" s="357"/>
      <c r="K253" s="357"/>
      <c r="L253" s="357"/>
      <c r="M253" s="357"/>
      <c r="N253" s="357"/>
    </row>
    <row r="254" spans="1:17" s="2" customFormat="1">
      <c r="B254" s="373" t="s">
        <v>95</v>
      </c>
      <c r="C254" s="2" t="s">
        <v>85</v>
      </c>
      <c r="E254" s="358" t="str">
        <f>Preferences.EnergyUnits</f>
        <v>TWh</v>
      </c>
      <c r="F254" s="983">
        <f t="shared" ref="F254:N258" si="15">F$233*INDEX(F$191:F$195, MATCH($B254, $C$191:$C$195, 0))</f>
        <v>0.95795305886879545</v>
      </c>
      <c r="G254" s="983">
        <f t="shared" si="15"/>
        <v>0.99252546331887115</v>
      </c>
      <c r="H254" s="983">
        <f t="shared" si="15"/>
        <v>1.0845141673844727</v>
      </c>
      <c r="I254" s="983">
        <f t="shared" si="15"/>
        <v>1.1850285183864995</v>
      </c>
      <c r="J254" s="983">
        <f t="shared" si="15"/>
        <v>1.2948586856878417</v>
      </c>
      <c r="K254" s="983">
        <f t="shared" si="15"/>
        <v>1.4148680726976386</v>
      </c>
      <c r="L254" s="983">
        <f t="shared" si="15"/>
        <v>1.5460001043092411</v>
      </c>
      <c r="M254" s="983">
        <f t="shared" si="15"/>
        <v>1.6892856434078003</v>
      </c>
      <c r="N254" s="983">
        <f t="shared" si="15"/>
        <v>1.8458510947505689</v>
      </c>
    </row>
    <row r="255" spans="1:17" s="2" customFormat="1">
      <c r="B255" s="373" t="s">
        <v>97</v>
      </c>
      <c r="C255" s="2" t="s">
        <v>87</v>
      </c>
      <c r="E255" s="358" t="str">
        <f>Preferences.EnergyUnits</f>
        <v>TWh</v>
      </c>
      <c r="F255" s="983">
        <f t="shared" si="15"/>
        <v>0.32069257406694879</v>
      </c>
      <c r="G255" s="983">
        <f t="shared" si="15"/>
        <v>0.33226632840922382</v>
      </c>
      <c r="H255" s="983">
        <f t="shared" si="15"/>
        <v>0.3630612551739193</v>
      </c>
      <c r="I255" s="983">
        <f t="shared" si="15"/>
        <v>0.39671030055780554</v>
      </c>
      <c r="J255" s="983">
        <f t="shared" si="15"/>
        <v>0.43347798842725377</v>
      </c>
      <c r="K255" s="983">
        <f t="shared" si="15"/>
        <v>0.47365335910545275</v>
      </c>
      <c r="L255" s="983">
        <f t="shared" si="15"/>
        <v>0.51755224159329816</v>
      </c>
      <c r="M255" s="983">
        <f t="shared" si="15"/>
        <v>0.56551973638302033</v>
      </c>
      <c r="N255" s="983">
        <f t="shared" si="15"/>
        <v>0.61793292838259095</v>
      </c>
    </row>
    <row r="256" spans="1:17" s="2" customFormat="1">
      <c r="B256" s="373" t="s">
        <v>98</v>
      </c>
      <c r="C256" s="2" t="s">
        <v>88</v>
      </c>
      <c r="E256" s="358" t="str">
        <f>Preferences.EnergyUnits</f>
        <v>TWh</v>
      </c>
      <c r="F256" s="983">
        <f t="shared" si="15"/>
        <v>0.65479030396306259</v>
      </c>
      <c r="G256" s="983">
        <f t="shared" si="15"/>
        <v>0.67842160302204868</v>
      </c>
      <c r="H256" s="983">
        <f t="shared" si="15"/>
        <v>0.74129870429401523</v>
      </c>
      <c r="I256" s="983">
        <f t="shared" si="15"/>
        <v>0.81000334679809172</v>
      </c>
      <c r="J256" s="983">
        <f t="shared" si="15"/>
        <v>0.88507563553474644</v>
      </c>
      <c r="K256" s="983">
        <f t="shared" si="15"/>
        <v>0.96710573322174431</v>
      </c>
      <c r="L256" s="983">
        <f t="shared" si="15"/>
        <v>1.0567384997162197</v>
      </c>
      <c r="M256" s="983">
        <f t="shared" si="15"/>
        <v>1.154678561425138</v>
      </c>
      <c r="N256" s="983">
        <f t="shared" si="15"/>
        <v>1.261695850556094</v>
      </c>
    </row>
    <row r="257" spans="1:14" s="2" customFormat="1">
      <c r="B257" s="373" t="s">
        <v>99</v>
      </c>
      <c r="C257" s="2" t="s">
        <v>89</v>
      </c>
      <c r="E257" s="358" t="str">
        <f>Preferences.EnergyUnits</f>
        <v>TWh</v>
      </c>
      <c r="F257" s="983">
        <f t="shared" si="15"/>
        <v>0.74656406310119261</v>
      </c>
      <c r="G257" s="983">
        <f t="shared" si="15"/>
        <v>0.77350746549285554</v>
      </c>
      <c r="H257" s="983">
        <f t="shared" si="15"/>
        <v>0.84519726284860952</v>
      </c>
      <c r="I257" s="983">
        <f t="shared" si="15"/>
        <v>0.92353137493199744</v>
      </c>
      <c r="J257" s="983">
        <f t="shared" si="15"/>
        <v>1.0091256064994589</v>
      </c>
      <c r="K257" s="983">
        <f t="shared" si="15"/>
        <v>1.1026528359882566</v>
      </c>
      <c r="L257" s="983">
        <f t="shared" si="15"/>
        <v>1.2048483051882568</v>
      </c>
      <c r="M257" s="983">
        <f t="shared" si="15"/>
        <v>1.3165153991681888</v>
      </c>
      <c r="N257" s="983">
        <f t="shared" si="15"/>
        <v>1.4385319618938772</v>
      </c>
    </row>
    <row r="258" spans="1:14" s="2" customFormat="1">
      <c r="B258" s="373" t="s">
        <v>100</v>
      </c>
      <c r="C258" s="2" t="s">
        <v>90</v>
      </c>
      <c r="E258" s="358" t="str">
        <f>Preferences.EnergyUnits</f>
        <v>TWh</v>
      </c>
      <c r="F258" s="983">
        <f t="shared" si="15"/>
        <v>0</v>
      </c>
      <c r="G258" s="983">
        <f t="shared" si="15"/>
        <v>0</v>
      </c>
      <c r="H258" s="983">
        <f t="shared" si="15"/>
        <v>0</v>
      </c>
      <c r="I258" s="983">
        <f t="shared" si="15"/>
        <v>0</v>
      </c>
      <c r="J258" s="983">
        <f t="shared" si="15"/>
        <v>0</v>
      </c>
      <c r="K258" s="983">
        <f t="shared" si="15"/>
        <v>0</v>
      </c>
      <c r="L258" s="983">
        <f t="shared" si="15"/>
        <v>0</v>
      </c>
      <c r="M258" s="983">
        <f t="shared" si="15"/>
        <v>0</v>
      </c>
      <c r="N258" s="983">
        <f t="shared" si="15"/>
        <v>0</v>
      </c>
    </row>
    <row r="259" spans="1:14" s="2" customFormat="1">
      <c r="B259" s="373"/>
      <c r="E259" s="358"/>
      <c r="F259" s="983"/>
      <c r="G259" s="983"/>
      <c r="H259" s="983"/>
      <c r="I259" s="983"/>
      <c r="J259" s="983"/>
      <c r="K259" s="983"/>
      <c r="L259" s="983"/>
      <c r="M259" s="983"/>
      <c r="N259" s="983"/>
    </row>
    <row r="260" spans="1:14" s="2" customFormat="1">
      <c r="A260" s="354" t="s">
        <v>1016</v>
      </c>
      <c r="B260" s="354"/>
      <c r="C260" s="405"/>
      <c r="D260" s="354"/>
      <c r="E260" s="355"/>
      <c r="F260" s="357"/>
      <c r="G260" s="357"/>
      <c r="H260" s="357"/>
      <c r="I260" s="357"/>
      <c r="J260" s="357"/>
      <c r="K260" s="357"/>
      <c r="L260" s="357"/>
      <c r="M260" s="357"/>
      <c r="N260" s="357"/>
    </row>
    <row r="261" spans="1:14" s="2" customFormat="1">
      <c r="B261" s="373" t="s">
        <v>95</v>
      </c>
      <c r="C261" s="2" t="s">
        <v>85</v>
      </c>
      <c r="E261" s="358" t="str">
        <f>Preferences.EnergyUnits</f>
        <v>TWh</v>
      </c>
      <c r="F261" s="983">
        <f t="shared" ref="F261:N265" si="16">F$234*INDEX(F$191:F$195, MATCH($B261, $C$191:$C$195, 0))</f>
        <v>1.9945440554059251</v>
      </c>
      <c r="G261" s="983">
        <f t="shared" si="16"/>
        <v>1.9944443294497445</v>
      </c>
      <c r="H261" s="983">
        <f t="shared" si="16"/>
        <v>1.9941950363735275</v>
      </c>
      <c r="I261" s="983">
        <f t="shared" si="16"/>
        <v>1.9939457744573865</v>
      </c>
      <c r="J261" s="983">
        <f t="shared" si="16"/>
        <v>1.993696543697427</v>
      </c>
      <c r="K261" s="983">
        <f t="shared" si="16"/>
        <v>1.9934473440897555</v>
      </c>
      <c r="L261" s="983">
        <f t="shared" si="16"/>
        <v>1.9931981756304769</v>
      </c>
      <c r="M261" s="983">
        <f t="shared" si="16"/>
        <v>1.9929490383156989</v>
      </c>
      <c r="N261" s="983">
        <f t="shared" si="16"/>
        <v>1.9926999321415282</v>
      </c>
    </row>
    <row r="262" spans="1:14" s="2" customFormat="1">
      <c r="B262" s="373" t="s">
        <v>97</v>
      </c>
      <c r="C262" s="2" t="s">
        <v>87</v>
      </c>
      <c r="E262" s="358" t="str">
        <f>Preferences.EnergyUnits</f>
        <v>TWh</v>
      </c>
      <c r="F262" s="983">
        <f t="shared" si="16"/>
        <v>0.66771065794536355</v>
      </c>
      <c r="G262" s="983">
        <f t="shared" si="16"/>
        <v>0.6676772728297854</v>
      </c>
      <c r="H262" s="983">
        <f t="shared" si="16"/>
        <v>0.66759381734355983</v>
      </c>
      <c r="I262" s="983">
        <f t="shared" si="16"/>
        <v>0.66751037228874843</v>
      </c>
      <c r="J262" s="983">
        <f t="shared" si="16"/>
        <v>0.66742693766404715</v>
      </c>
      <c r="K262" s="983">
        <f t="shared" si="16"/>
        <v>0.6673435134681529</v>
      </c>
      <c r="L262" s="983">
        <f t="shared" si="16"/>
        <v>0.66726009969976141</v>
      </c>
      <c r="M262" s="983">
        <f t="shared" si="16"/>
        <v>0.66717669635756993</v>
      </c>
      <c r="N262" s="983">
        <f t="shared" si="16"/>
        <v>0.66709330344027484</v>
      </c>
    </row>
    <row r="263" spans="1:14" s="2" customFormat="1">
      <c r="B263" s="373" t="s">
        <v>98</v>
      </c>
      <c r="C263" s="2" t="s">
        <v>88</v>
      </c>
      <c r="E263" s="358" t="str">
        <f>Preferences.EnergyUnits</f>
        <v>TWh</v>
      </c>
      <c r="F263" s="983">
        <f t="shared" si="16"/>
        <v>1.3633320507887647</v>
      </c>
      <c r="G263" s="983">
        <f t="shared" si="16"/>
        <v>1.3632638850383076</v>
      </c>
      <c r="H263" s="983">
        <f t="shared" si="16"/>
        <v>1.3630934855728631</v>
      </c>
      <c r="I263" s="983">
        <f t="shared" si="16"/>
        <v>1.3629231074062869</v>
      </c>
      <c r="J263" s="983">
        <f t="shared" si="16"/>
        <v>1.3627527505359163</v>
      </c>
      <c r="K263" s="983">
        <f t="shared" si="16"/>
        <v>1.3625824149590902</v>
      </c>
      <c r="L263" s="983">
        <f t="shared" si="16"/>
        <v>1.3624121006731462</v>
      </c>
      <c r="M263" s="983">
        <f t="shared" si="16"/>
        <v>1.3622418076754241</v>
      </c>
      <c r="N263" s="983">
        <f t="shared" si="16"/>
        <v>1.362071535963262</v>
      </c>
    </row>
    <row r="264" spans="1:14" s="2" customFormat="1">
      <c r="B264" s="373" t="s">
        <v>99</v>
      </c>
      <c r="C264" s="2" t="s">
        <v>89</v>
      </c>
      <c r="E264" s="358" t="str">
        <f>Preferences.EnergyUnits</f>
        <v>TWh</v>
      </c>
      <c r="F264" s="983">
        <f t="shared" si="16"/>
        <v>1.5544132358599461</v>
      </c>
      <c r="G264" s="983">
        <f t="shared" si="16"/>
        <v>1.554335516169661</v>
      </c>
      <c r="H264" s="983">
        <f t="shared" si="16"/>
        <v>1.5541412339444929</v>
      </c>
      <c r="I264" s="983">
        <f t="shared" si="16"/>
        <v>1.5539469760033886</v>
      </c>
      <c r="J264" s="983">
        <f t="shared" si="16"/>
        <v>1.5537527423433126</v>
      </c>
      <c r="K264" s="983">
        <f t="shared" si="16"/>
        <v>1.5535585329612305</v>
      </c>
      <c r="L264" s="983">
        <f t="shared" si="16"/>
        <v>1.553364347854107</v>
      </c>
      <c r="M264" s="983">
        <f t="shared" si="16"/>
        <v>1.5531701870189087</v>
      </c>
      <c r="N264" s="983">
        <f t="shared" si="16"/>
        <v>1.5529760504526013</v>
      </c>
    </row>
    <row r="265" spans="1:14" s="2" customFormat="1">
      <c r="B265" s="373" t="s">
        <v>100</v>
      </c>
      <c r="C265" s="2" t="s">
        <v>90</v>
      </c>
      <c r="E265" s="358" t="str">
        <f>Preferences.EnergyUnits</f>
        <v>TWh</v>
      </c>
      <c r="F265" s="983">
        <f t="shared" si="16"/>
        <v>0</v>
      </c>
      <c r="G265" s="983">
        <f t="shared" si="16"/>
        <v>0</v>
      </c>
      <c r="H265" s="983">
        <f t="shared" si="16"/>
        <v>0</v>
      </c>
      <c r="I265" s="983">
        <f t="shared" si="16"/>
        <v>0</v>
      </c>
      <c r="J265" s="983">
        <f t="shared" si="16"/>
        <v>0</v>
      </c>
      <c r="K265" s="983">
        <f t="shared" si="16"/>
        <v>0</v>
      </c>
      <c r="L265" s="983">
        <f t="shared" si="16"/>
        <v>0</v>
      </c>
      <c r="M265" s="983">
        <f t="shared" si="16"/>
        <v>0</v>
      </c>
      <c r="N265" s="983">
        <f t="shared" si="16"/>
        <v>0</v>
      </c>
    </row>
    <row r="266" spans="1:14" s="2" customFormat="1">
      <c r="B266" s="373"/>
      <c r="E266" s="358"/>
      <c r="F266" s="983"/>
      <c r="G266" s="983"/>
      <c r="H266" s="983"/>
      <c r="I266" s="983"/>
      <c r="J266" s="983"/>
      <c r="K266" s="983"/>
      <c r="L266" s="983"/>
      <c r="M266" s="983"/>
      <c r="N266" s="983"/>
    </row>
    <row r="267" spans="1:14" s="2" customFormat="1">
      <c r="A267" s="354" t="s">
        <v>1018</v>
      </c>
      <c r="B267" s="354"/>
      <c r="C267" s="405"/>
      <c r="D267" s="354"/>
      <c r="E267" s="355"/>
      <c r="F267" s="357"/>
      <c r="G267" s="357"/>
      <c r="H267" s="357"/>
      <c r="I267" s="357"/>
      <c r="J267" s="357"/>
      <c r="K267" s="357"/>
      <c r="L267" s="357"/>
      <c r="M267" s="357"/>
      <c r="N267" s="357"/>
    </row>
    <row r="268" spans="1:14" s="2" customFormat="1">
      <c r="B268" s="373" t="s">
        <v>95</v>
      </c>
      <c r="C268" s="2" t="s">
        <v>85</v>
      </c>
      <c r="E268" s="358" t="str">
        <f>Preferences.EnergyUnits</f>
        <v>TWh</v>
      </c>
      <c r="F268" s="983">
        <f t="shared" ref="F268:N272" si="17">F$235*INDEX(F$191:F$195, MATCH($B268, $C$191:$C$195, 0))</f>
        <v>1.3582916506348592</v>
      </c>
      <c r="G268" s="983">
        <f t="shared" si="17"/>
        <v>1.3853875392679391</v>
      </c>
      <c r="H268" s="983">
        <f t="shared" si="17"/>
        <v>1.4555156924015094</v>
      </c>
      <c r="I268" s="983">
        <f t="shared" si="17"/>
        <v>1.5291937243397671</v>
      </c>
      <c r="J268" s="983">
        <f t="shared" si="17"/>
        <v>1.6066013295273094</v>
      </c>
      <c r="K268" s="983">
        <f t="shared" si="17"/>
        <v>1.687927298520234</v>
      </c>
      <c r="L268" s="983">
        <f t="shared" si="17"/>
        <v>1.7733699784302244</v>
      </c>
      <c r="M268" s="983">
        <f t="shared" si="17"/>
        <v>1.8631377566762641</v>
      </c>
      <c r="N268" s="983">
        <f t="shared" si="17"/>
        <v>1.9574495692237996</v>
      </c>
    </row>
    <row r="269" spans="1:14" s="2" customFormat="1">
      <c r="B269" s="373" t="s">
        <v>97</v>
      </c>
      <c r="C269" s="2" t="s">
        <v>87</v>
      </c>
      <c r="E269" s="358" t="str">
        <f>Preferences.EnergyUnits</f>
        <v>TWh</v>
      </c>
      <c r="F269" s="983">
        <f t="shared" si="17"/>
        <v>0.45471335128895723</v>
      </c>
      <c r="G269" s="983">
        <f t="shared" si="17"/>
        <v>0.46378420313490748</v>
      </c>
      <c r="H269" s="983">
        <f t="shared" si="17"/>
        <v>0.48726090456067755</v>
      </c>
      <c r="I269" s="983">
        <f t="shared" si="17"/>
        <v>0.51192599383171966</v>
      </c>
      <c r="J269" s="983">
        <f t="shared" si="17"/>
        <v>0.53783962699999277</v>
      </c>
      <c r="K269" s="983">
        <f t="shared" si="17"/>
        <v>0.56506500520968006</v>
      </c>
      <c r="L269" s="983">
        <f t="shared" si="17"/>
        <v>0.59366852883939703</v>
      </c>
      <c r="M269" s="983">
        <f t="shared" si="17"/>
        <v>0.62371995944705938</v>
      </c>
      <c r="N269" s="983">
        <f t="shared" si="17"/>
        <v>0.65529258991238082</v>
      </c>
    </row>
    <row r="270" spans="1:14" s="2" customFormat="1">
      <c r="B270" s="373" t="s">
        <v>98</v>
      </c>
      <c r="C270" s="2" t="s">
        <v>88</v>
      </c>
      <c r="E270" s="358" t="str">
        <f>Preferences.EnergyUnits</f>
        <v>TWh</v>
      </c>
      <c r="F270" s="983">
        <f t="shared" si="17"/>
        <v>0.9284340130819545</v>
      </c>
      <c r="G270" s="983">
        <f t="shared" si="17"/>
        <v>0.94695488421436091</v>
      </c>
      <c r="H270" s="983">
        <f t="shared" si="17"/>
        <v>0.99488962828305538</v>
      </c>
      <c r="I270" s="983">
        <f t="shared" si="17"/>
        <v>1.045250823418463</v>
      </c>
      <c r="J270" s="983">
        <f t="shared" si="17"/>
        <v>1.0981612962861589</v>
      </c>
      <c r="K270" s="983">
        <f t="shared" si="17"/>
        <v>1.1537500910229803</v>
      </c>
      <c r="L270" s="983">
        <f t="shared" si="17"/>
        <v>1.2121527839646853</v>
      </c>
      <c r="M270" s="983">
        <f t="shared" si="17"/>
        <v>1.2735118143050892</v>
      </c>
      <c r="N270" s="983">
        <f t="shared" si="17"/>
        <v>1.3379768314931246</v>
      </c>
    </row>
    <row r="271" spans="1:14" s="2" customFormat="1">
      <c r="B271" s="373" t="s">
        <v>99</v>
      </c>
      <c r="C271" s="2" t="s">
        <v>89</v>
      </c>
      <c r="E271" s="358" t="str">
        <f>Preferences.EnergyUnits</f>
        <v>TWh</v>
      </c>
      <c r="F271" s="983">
        <f t="shared" si="17"/>
        <v>1.0585609849942283</v>
      </c>
      <c r="G271" s="983">
        <f t="shared" si="17"/>
        <v>1.0796776947577911</v>
      </c>
      <c r="H271" s="983">
        <f t="shared" si="17"/>
        <v>1.1343308517746964</v>
      </c>
      <c r="I271" s="983">
        <f t="shared" si="17"/>
        <v>1.1917505451259327</v>
      </c>
      <c r="J271" s="983">
        <f t="shared" si="17"/>
        <v>1.2520768165530378</v>
      </c>
      <c r="K271" s="983">
        <f t="shared" si="17"/>
        <v>1.3154567966939177</v>
      </c>
      <c r="L271" s="983">
        <f t="shared" si="17"/>
        <v>1.3820450639219404</v>
      </c>
      <c r="M271" s="983">
        <f t="shared" si="17"/>
        <v>1.4520040213494245</v>
      </c>
      <c r="N271" s="983">
        <f t="shared" si="17"/>
        <v>1.5255042929149958</v>
      </c>
    </row>
    <row r="272" spans="1:14" s="2" customFormat="1">
      <c r="B272" s="373" t="s">
        <v>100</v>
      </c>
      <c r="C272" s="2" t="s">
        <v>90</v>
      </c>
      <c r="E272" s="358" t="str">
        <f>Preferences.EnergyUnits</f>
        <v>TWh</v>
      </c>
      <c r="F272" s="983">
        <f t="shared" si="17"/>
        <v>0</v>
      </c>
      <c r="G272" s="983">
        <f t="shared" si="17"/>
        <v>0</v>
      </c>
      <c r="H272" s="983">
        <f t="shared" si="17"/>
        <v>0</v>
      </c>
      <c r="I272" s="983">
        <f t="shared" si="17"/>
        <v>0</v>
      </c>
      <c r="J272" s="983">
        <f t="shared" si="17"/>
        <v>0</v>
      </c>
      <c r="K272" s="983">
        <f t="shared" si="17"/>
        <v>0</v>
      </c>
      <c r="L272" s="983">
        <f t="shared" si="17"/>
        <v>0</v>
      </c>
      <c r="M272" s="983">
        <f t="shared" si="17"/>
        <v>0</v>
      </c>
      <c r="N272" s="983">
        <f t="shared" si="17"/>
        <v>0</v>
      </c>
    </row>
    <row r="273" spans="2:14" s="2" customFormat="1">
      <c r="B273" s="373"/>
      <c r="E273" s="358"/>
      <c r="F273" s="983"/>
      <c r="G273" s="983"/>
      <c r="H273" s="983"/>
      <c r="I273" s="983"/>
      <c r="J273" s="983"/>
      <c r="K273" s="983"/>
      <c r="L273" s="983"/>
      <c r="M273" s="983"/>
      <c r="N273" s="983"/>
    </row>
    <row r="274" spans="2:14" s="2" customFormat="1">
      <c r="B274" s="373" t="s">
        <v>1014</v>
      </c>
      <c r="C274" s="3580" t="s">
        <v>2777</v>
      </c>
      <c r="E274" s="358"/>
      <c r="F274" s="983">
        <f>F254</f>
        <v>0.95795305886879545</v>
      </c>
      <c r="G274" s="983">
        <f t="shared" ref="G274:N274" si="18">G254</f>
        <v>0.99252546331887115</v>
      </c>
      <c r="H274" s="983">
        <f t="shared" si="18"/>
        <v>1.0845141673844727</v>
      </c>
      <c r="I274" s="983">
        <f t="shared" si="18"/>
        <v>1.1850285183864995</v>
      </c>
      <c r="J274" s="983">
        <f t="shared" si="18"/>
        <v>1.2948586856878417</v>
      </c>
      <c r="K274" s="983">
        <f t="shared" si="18"/>
        <v>1.4148680726976386</v>
      </c>
      <c r="L274" s="983">
        <f t="shared" si="18"/>
        <v>1.5460001043092411</v>
      </c>
      <c r="M274" s="983">
        <f t="shared" si="18"/>
        <v>1.6892856434078003</v>
      </c>
      <c r="N274" s="983">
        <f t="shared" si="18"/>
        <v>1.8458510947505689</v>
      </c>
    </row>
    <row r="275" spans="2:14" s="2" customFormat="1">
      <c r="B275" s="373" t="s">
        <v>1015</v>
      </c>
      <c r="C275" t="s">
        <v>1016</v>
      </c>
      <c r="E275" s="358"/>
      <c r="F275" s="983">
        <f>F268</f>
        <v>1.3582916506348592</v>
      </c>
      <c r="G275" s="983">
        <f t="shared" ref="G275:N275" si="19">G268</f>
        <v>1.3853875392679391</v>
      </c>
      <c r="H275" s="983">
        <f t="shared" si="19"/>
        <v>1.4555156924015094</v>
      </c>
      <c r="I275" s="983">
        <f t="shared" si="19"/>
        <v>1.5291937243397671</v>
      </c>
      <c r="J275" s="983">
        <f t="shared" si="19"/>
        <v>1.6066013295273094</v>
      </c>
      <c r="K275" s="983">
        <f t="shared" si="19"/>
        <v>1.687927298520234</v>
      </c>
      <c r="L275" s="983">
        <f t="shared" si="19"/>
        <v>1.7733699784302244</v>
      </c>
      <c r="M275" s="983">
        <f t="shared" si="19"/>
        <v>1.8631377566762641</v>
      </c>
      <c r="N275" s="983">
        <f t="shared" si="19"/>
        <v>1.9574495692237996</v>
      </c>
    </row>
    <row r="276" spans="2:14" s="2" customFormat="1">
      <c r="B276" s="373" t="s">
        <v>1017</v>
      </c>
      <c r="C276" t="s">
        <v>1018</v>
      </c>
      <c r="E276" s="358"/>
      <c r="F276" s="983">
        <f>F268</f>
        <v>1.3582916506348592</v>
      </c>
      <c r="G276" s="983">
        <f t="shared" ref="G276:N276" si="20">G268</f>
        <v>1.3853875392679391</v>
      </c>
      <c r="H276" s="983">
        <f t="shared" si="20"/>
        <v>1.4555156924015094</v>
      </c>
      <c r="I276" s="983">
        <f t="shared" si="20"/>
        <v>1.5291937243397671</v>
      </c>
      <c r="J276" s="983">
        <f t="shared" si="20"/>
        <v>1.6066013295273094</v>
      </c>
      <c r="K276" s="983">
        <f t="shared" si="20"/>
        <v>1.687927298520234</v>
      </c>
      <c r="L276" s="983">
        <f t="shared" si="20"/>
        <v>1.7733699784302244</v>
      </c>
      <c r="M276" s="983">
        <f t="shared" si="20"/>
        <v>1.8631377566762641</v>
      </c>
      <c r="N276" s="983">
        <f t="shared" si="20"/>
        <v>1.9574495692237996</v>
      </c>
    </row>
    <row r="277" spans="2:14" s="2" customFormat="1">
      <c r="B277" s="373" t="s">
        <v>1019</v>
      </c>
      <c r="C277" t="s">
        <v>402</v>
      </c>
      <c r="D277" s="354"/>
      <c r="E277" s="355"/>
      <c r="F277" s="983">
        <f>F247</f>
        <v>4.9792112350904194</v>
      </c>
      <c r="G277" s="983">
        <f t="shared" ref="G277:N277" si="21">G247</f>
        <v>5.1892122418530935</v>
      </c>
      <c r="H277" s="983">
        <f t="shared" si="21"/>
        <v>5.7537851571884016</v>
      </c>
      <c r="I277" s="983">
        <f t="shared" si="21"/>
        <v>6.3797821503749494</v>
      </c>
      <c r="J277" s="983">
        <f t="shared" si="21"/>
        <v>7.0738860027460149</v>
      </c>
      <c r="K277" s="983">
        <f t="shared" si="21"/>
        <v>7.843506565017285</v>
      </c>
      <c r="L277" s="983">
        <f t="shared" si="21"/>
        <v>8.6968598605614389</v>
      </c>
      <c r="M277" s="983">
        <f t="shared" si="21"/>
        <v>9.6430557949151261</v>
      </c>
      <c r="N277" s="983">
        <f t="shared" si="21"/>
        <v>10.692195407854161</v>
      </c>
    </row>
    <row r="278" spans="2:14" s="2" customFormat="1">
      <c r="B278" s="354"/>
      <c r="C278"/>
      <c r="D278" s="354"/>
      <c r="E278" s="355"/>
      <c r="F278" s="357"/>
      <c r="G278" s="357"/>
      <c r="H278" s="357"/>
      <c r="I278" s="357"/>
      <c r="J278" s="357"/>
      <c r="K278" s="357"/>
      <c r="L278" s="357"/>
      <c r="M278" s="357"/>
      <c r="N278" s="357"/>
    </row>
    <row r="279" spans="2:14" s="2" customFormat="1">
      <c r="B279" s="354" t="s">
        <v>1061</v>
      </c>
      <c r="C279"/>
      <c r="N279" s="401"/>
    </row>
    <row r="280" spans="2:14" s="2" customFormat="1">
      <c r="B280" s="354"/>
      <c r="C280"/>
      <c r="F280" s="1313">
        <v>2013</v>
      </c>
      <c r="G280" s="1313">
        <v>2015</v>
      </c>
      <c r="H280" s="1313">
        <v>2020</v>
      </c>
      <c r="I280" s="1313">
        <v>2025</v>
      </c>
      <c r="J280" s="1313">
        <v>2030</v>
      </c>
      <c r="K280" s="1313">
        <v>2035</v>
      </c>
      <c r="L280" s="1313">
        <v>2040</v>
      </c>
      <c r="M280" s="1313">
        <v>2045</v>
      </c>
      <c r="N280" s="1313">
        <v>2050</v>
      </c>
    </row>
    <row r="281" spans="2:14" s="2" customFormat="1">
      <c r="B281" s="355" t="s">
        <v>250</v>
      </c>
      <c r="C281" t="s">
        <v>1062</v>
      </c>
      <c r="E281" s="355"/>
      <c r="F281" s="1313"/>
      <c r="G281" s="1313"/>
      <c r="H281" s="1313"/>
      <c r="I281" s="1313"/>
      <c r="J281" s="1313"/>
      <c r="K281" s="1313"/>
      <c r="L281" s="1313"/>
      <c r="M281" s="1313"/>
      <c r="N281" s="1313"/>
    </row>
    <row r="282" spans="2:14" s="2" customFormat="1">
      <c r="B282" s="373" t="s">
        <v>1014</v>
      </c>
      <c r="C282" s="3580" t="s">
        <v>2777</v>
      </c>
      <c r="E282" s="1438"/>
      <c r="F282" s="365">
        <f>F208*$F75</f>
        <v>0</v>
      </c>
      <c r="G282" s="365">
        <f t="shared" ref="F282:N285" si="22">G208*$F75</f>
        <v>0</v>
      </c>
      <c r="H282" s="365">
        <f t="shared" si="22"/>
        <v>0</v>
      </c>
      <c r="I282" s="365">
        <f t="shared" si="22"/>
        <v>0</v>
      </c>
      <c r="J282" s="365">
        <f t="shared" si="22"/>
        <v>0</v>
      </c>
      <c r="K282" s="365">
        <f t="shared" si="22"/>
        <v>0</v>
      </c>
      <c r="L282" s="365">
        <f t="shared" si="22"/>
        <v>0</v>
      </c>
      <c r="M282" s="365">
        <f t="shared" si="22"/>
        <v>0</v>
      </c>
      <c r="N282" s="365">
        <f t="shared" si="22"/>
        <v>0</v>
      </c>
    </row>
    <row r="283" spans="2:14" s="2" customFormat="1">
      <c r="B283" s="373" t="s">
        <v>1015</v>
      </c>
      <c r="C283" t="s">
        <v>1016</v>
      </c>
      <c r="E283" s="1438"/>
      <c r="F283" s="365">
        <f t="shared" si="22"/>
        <v>0</v>
      </c>
      <c r="G283" s="365">
        <f t="shared" si="22"/>
        <v>0</v>
      </c>
      <c r="H283" s="365">
        <f t="shared" si="22"/>
        <v>0</v>
      </c>
      <c r="I283" s="365">
        <f t="shared" si="22"/>
        <v>0</v>
      </c>
      <c r="J283" s="365">
        <f t="shared" si="22"/>
        <v>0</v>
      </c>
      <c r="K283" s="365">
        <f t="shared" si="22"/>
        <v>0</v>
      </c>
      <c r="L283" s="365">
        <f t="shared" si="22"/>
        <v>0</v>
      </c>
      <c r="M283" s="365">
        <f t="shared" si="22"/>
        <v>0</v>
      </c>
      <c r="N283" s="365">
        <f t="shared" si="22"/>
        <v>0</v>
      </c>
    </row>
    <row r="284" spans="2:14" s="2" customFormat="1">
      <c r="B284" s="373" t="s">
        <v>1017</v>
      </c>
      <c r="C284" t="s">
        <v>1018</v>
      </c>
      <c r="E284" s="1438"/>
      <c r="F284" s="365">
        <f t="shared" si="22"/>
        <v>1.11175</v>
      </c>
      <c r="G284" s="365">
        <f t="shared" si="22"/>
        <v>1.1453526437499997</v>
      </c>
      <c r="H284" s="365">
        <f t="shared" si="22"/>
        <v>1.2338700819185533</v>
      </c>
      <c r="I284" s="365">
        <f t="shared" si="22"/>
        <v>1.3292285021223598</v>
      </c>
      <c r="J284" s="365">
        <f t="shared" si="22"/>
        <v>1.4319566028436053</v>
      </c>
      <c r="K284" s="365">
        <f t="shared" si="22"/>
        <v>1.5426239425000261</v>
      </c>
      <c r="L284" s="365">
        <f t="shared" si="22"/>
        <v>1.6618440972643267</v>
      </c>
      <c r="M284" s="365">
        <f t="shared" si="22"/>
        <v>1.7902780629325272</v>
      </c>
      <c r="N284" s="365">
        <f t="shared" si="22"/>
        <v>1.9286379197023151</v>
      </c>
    </row>
    <row r="285" spans="2:14" s="2" customFormat="1">
      <c r="B285" s="373" t="s">
        <v>1019</v>
      </c>
      <c r="C285" t="s">
        <v>402</v>
      </c>
      <c r="E285" s="1438"/>
      <c r="F285" s="365">
        <f t="shared" si="22"/>
        <v>0</v>
      </c>
      <c r="G285" s="365">
        <f t="shared" si="22"/>
        <v>0</v>
      </c>
      <c r="H285" s="365">
        <f t="shared" si="22"/>
        <v>0</v>
      </c>
      <c r="I285" s="365">
        <f t="shared" si="22"/>
        <v>0</v>
      </c>
      <c r="J285" s="365">
        <f t="shared" si="22"/>
        <v>0</v>
      </c>
      <c r="K285" s="365">
        <f t="shared" si="22"/>
        <v>0</v>
      </c>
      <c r="L285" s="365">
        <f t="shared" si="22"/>
        <v>0</v>
      </c>
      <c r="M285" s="365">
        <f t="shared" si="22"/>
        <v>0</v>
      </c>
      <c r="N285" s="365">
        <f t="shared" si="22"/>
        <v>0</v>
      </c>
    </row>
    <row r="286" spans="2:14" s="2" customFormat="1">
      <c r="B286" s="373"/>
      <c r="C286" s="354" t="s">
        <v>1063</v>
      </c>
      <c r="E286" s="1441" t="s">
        <v>251</v>
      </c>
      <c r="F286" s="1442">
        <f>SUM(F282:F285)</f>
        <v>1.11175</v>
      </c>
      <c r="G286" s="1442">
        <f t="shared" ref="G286:N286" si="23">SUM(G282:G285)</f>
        <v>1.1453526437499997</v>
      </c>
      <c r="H286" s="1442">
        <f t="shared" si="23"/>
        <v>1.2338700819185533</v>
      </c>
      <c r="I286" s="1442">
        <f t="shared" si="23"/>
        <v>1.3292285021223598</v>
      </c>
      <c r="J286" s="1442">
        <f t="shared" si="23"/>
        <v>1.4319566028436053</v>
      </c>
      <c r="K286" s="1442">
        <f t="shared" si="23"/>
        <v>1.5426239425000261</v>
      </c>
      <c r="L286" s="1442">
        <f t="shared" si="23"/>
        <v>1.6618440972643267</v>
      </c>
      <c r="M286" s="1442">
        <f t="shared" si="23"/>
        <v>1.7902780629325272</v>
      </c>
      <c r="N286" s="1442">
        <f t="shared" si="23"/>
        <v>1.9286379197023151</v>
      </c>
    </row>
    <row r="287" spans="2:14" s="2" customFormat="1">
      <c r="B287" s="354"/>
      <c r="C287"/>
    </row>
    <row r="288" spans="2:14" s="2" customFormat="1">
      <c r="B288" s="355" t="s">
        <v>252</v>
      </c>
      <c r="C288" t="s">
        <v>1064</v>
      </c>
      <c r="E288" s="355"/>
    </row>
    <row r="289" spans="2:28" s="2" customFormat="1">
      <c r="B289" s="373" t="s">
        <v>1014</v>
      </c>
      <c r="C289" s="3580" t="s">
        <v>2777</v>
      </c>
      <c r="E289" s="1438"/>
      <c r="F289" s="365">
        <f t="shared" ref="F289:N292" si="24">F208*$G75</f>
        <v>0</v>
      </c>
      <c r="G289" s="365">
        <f t="shared" si="24"/>
        <v>0</v>
      </c>
      <c r="H289" s="365">
        <f t="shared" si="24"/>
        <v>0</v>
      </c>
      <c r="I289" s="365">
        <f t="shared" si="24"/>
        <v>0</v>
      </c>
      <c r="J289" s="365">
        <f t="shared" si="24"/>
        <v>0</v>
      </c>
      <c r="K289" s="365">
        <f t="shared" si="24"/>
        <v>0</v>
      </c>
      <c r="L289" s="365">
        <f t="shared" si="24"/>
        <v>0</v>
      </c>
      <c r="M289" s="365">
        <f t="shared" si="24"/>
        <v>0</v>
      </c>
      <c r="N289" s="365">
        <f t="shared" si="24"/>
        <v>0</v>
      </c>
      <c r="S289" s="1443"/>
      <c r="T289" s="1443"/>
      <c r="U289" s="1443"/>
      <c r="V289" s="1443"/>
      <c r="W289" s="1443"/>
      <c r="X289" s="1443"/>
      <c r="Y289" s="1443"/>
      <c r="Z289" s="1443"/>
      <c r="AA289" s="1443"/>
      <c r="AB289" s="1443"/>
    </row>
    <row r="290" spans="2:28" s="2" customFormat="1">
      <c r="B290" s="373" t="s">
        <v>1015</v>
      </c>
      <c r="C290" t="s">
        <v>1016</v>
      </c>
      <c r="E290" s="1438"/>
      <c r="F290" s="365">
        <f>F209*$G76</f>
        <v>0</v>
      </c>
      <c r="G290" s="365">
        <f t="shared" si="24"/>
        <v>0</v>
      </c>
      <c r="H290" s="365">
        <f t="shared" si="24"/>
        <v>0</v>
      </c>
      <c r="I290" s="365">
        <f t="shared" si="24"/>
        <v>0</v>
      </c>
      <c r="J290" s="365">
        <f t="shared" si="24"/>
        <v>0</v>
      </c>
      <c r="K290" s="365">
        <f t="shared" si="24"/>
        <v>0</v>
      </c>
      <c r="L290" s="365">
        <f t="shared" si="24"/>
        <v>0</v>
      </c>
      <c r="M290" s="365">
        <f t="shared" si="24"/>
        <v>0</v>
      </c>
      <c r="N290" s="365">
        <f t="shared" si="24"/>
        <v>0</v>
      </c>
      <c r="S290" s="1443"/>
      <c r="T290" s="1443"/>
      <c r="U290" s="1443"/>
      <c r="V290" s="1443"/>
      <c r="W290" s="1443"/>
      <c r="X290" s="1443"/>
      <c r="Y290" s="1443"/>
      <c r="Z290" s="1443"/>
      <c r="AA290" s="1443"/>
      <c r="AB290" s="1443"/>
    </row>
    <row r="291" spans="2:28" s="2" customFormat="1">
      <c r="B291" s="373" t="s">
        <v>1017</v>
      </c>
      <c r="C291" t="s">
        <v>1018</v>
      </c>
      <c r="E291" s="1438"/>
      <c r="F291" s="365">
        <f t="shared" si="24"/>
        <v>0</v>
      </c>
      <c r="G291" s="365">
        <f t="shared" si="24"/>
        <v>0</v>
      </c>
      <c r="H291" s="365">
        <f t="shared" si="24"/>
        <v>0</v>
      </c>
      <c r="I291" s="365">
        <f t="shared" si="24"/>
        <v>0</v>
      </c>
      <c r="J291" s="365">
        <f t="shared" si="24"/>
        <v>0</v>
      </c>
      <c r="K291" s="365">
        <f t="shared" si="24"/>
        <v>0</v>
      </c>
      <c r="L291" s="365">
        <f t="shared" si="24"/>
        <v>0</v>
      </c>
      <c r="M291" s="365">
        <f t="shared" si="24"/>
        <v>0</v>
      </c>
      <c r="N291" s="365">
        <f t="shared" si="24"/>
        <v>0</v>
      </c>
      <c r="S291" s="1443"/>
      <c r="T291" s="1443"/>
      <c r="U291" s="1443"/>
      <c r="V291" s="1443"/>
      <c r="W291" s="1443"/>
      <c r="X291" s="1443"/>
      <c r="Y291" s="1443"/>
      <c r="Z291" s="1443"/>
      <c r="AA291" s="1443"/>
      <c r="AB291" s="1443"/>
    </row>
    <row r="292" spans="2:28" s="2" customFormat="1">
      <c r="B292" s="373" t="s">
        <v>1019</v>
      </c>
      <c r="C292" t="s">
        <v>402</v>
      </c>
      <c r="E292" s="1438"/>
      <c r="F292" s="365">
        <f t="shared" si="24"/>
        <v>0</v>
      </c>
      <c r="G292" s="365">
        <f t="shared" si="24"/>
        <v>0</v>
      </c>
      <c r="H292" s="365">
        <f t="shared" si="24"/>
        <v>0</v>
      </c>
      <c r="I292" s="365">
        <f t="shared" si="24"/>
        <v>0</v>
      </c>
      <c r="J292" s="365">
        <f t="shared" si="24"/>
        <v>0</v>
      </c>
      <c r="K292" s="365">
        <f t="shared" si="24"/>
        <v>0</v>
      </c>
      <c r="L292" s="365">
        <f t="shared" si="24"/>
        <v>0</v>
      </c>
      <c r="M292" s="365">
        <f t="shared" si="24"/>
        <v>0</v>
      </c>
      <c r="N292" s="365">
        <f t="shared" si="24"/>
        <v>0</v>
      </c>
      <c r="S292" s="1443"/>
      <c r="T292" s="1443"/>
      <c r="U292" s="1443"/>
      <c r="V292" s="1443"/>
      <c r="W292" s="1443"/>
      <c r="X292" s="1443"/>
      <c r="Y292" s="1443"/>
      <c r="Z292" s="1443"/>
      <c r="AA292" s="1443"/>
      <c r="AB292" s="1443"/>
    </row>
    <row r="293" spans="2:28" s="2" customFormat="1">
      <c r="B293" s="373"/>
      <c r="C293" s="354" t="s">
        <v>1065</v>
      </c>
      <c r="E293" s="1441" t="s">
        <v>251</v>
      </c>
      <c r="F293" s="1442">
        <f t="shared" ref="F293:N293" si="25">SUM(F289:F292)</f>
        <v>0</v>
      </c>
      <c r="G293" s="1442">
        <f t="shared" si="25"/>
        <v>0</v>
      </c>
      <c r="H293" s="1442">
        <f t="shared" si="25"/>
        <v>0</v>
      </c>
      <c r="I293" s="1442">
        <f t="shared" si="25"/>
        <v>0</v>
      </c>
      <c r="J293" s="1442">
        <f t="shared" si="25"/>
        <v>0</v>
      </c>
      <c r="K293" s="1442">
        <f t="shared" si="25"/>
        <v>0</v>
      </c>
      <c r="L293" s="1442">
        <f t="shared" si="25"/>
        <v>0</v>
      </c>
      <c r="M293" s="1442">
        <f t="shared" si="25"/>
        <v>0</v>
      </c>
      <c r="N293" s="1442">
        <f t="shared" si="25"/>
        <v>0</v>
      </c>
      <c r="S293" s="397"/>
      <c r="T293" s="397"/>
      <c r="U293" s="397"/>
      <c r="V293" s="397"/>
      <c r="W293" s="397"/>
      <c r="X293" s="397"/>
      <c r="Y293" s="397"/>
      <c r="Z293" s="397"/>
      <c r="AA293" s="397"/>
      <c r="AB293" s="397"/>
    </row>
    <row r="294" spans="2:28" s="2" customFormat="1">
      <c r="B294" s="354"/>
      <c r="C294"/>
      <c r="S294" s="297"/>
      <c r="T294" s="297"/>
      <c r="U294" s="297"/>
      <c r="V294" s="297"/>
      <c r="W294" s="297"/>
      <c r="X294" s="297"/>
      <c r="Y294" s="297"/>
      <c r="Z294" s="297"/>
      <c r="AA294" s="297"/>
      <c r="AB294" s="297"/>
    </row>
    <row r="295" spans="2:28" s="2" customFormat="1">
      <c r="B295" s="355" t="s">
        <v>253</v>
      </c>
      <c r="C295" t="s">
        <v>1066</v>
      </c>
      <c r="E295" s="355"/>
      <c r="S295" s="297"/>
      <c r="T295" s="297"/>
      <c r="U295" s="297"/>
      <c r="V295" s="297"/>
      <c r="W295" s="297"/>
      <c r="X295" s="297"/>
      <c r="Y295" s="297"/>
      <c r="Z295" s="297"/>
      <c r="AA295" s="297"/>
      <c r="AB295" s="297"/>
    </row>
    <row r="296" spans="2:28" s="2" customFormat="1">
      <c r="B296" s="373" t="s">
        <v>1014</v>
      </c>
      <c r="C296" s="3580" t="s">
        <v>2777</v>
      </c>
      <c r="E296" s="1438"/>
      <c r="F296" s="365">
        <f t="shared" ref="F296:N299" si="26">$H75*F208</f>
        <v>0</v>
      </c>
      <c r="G296" s="365">
        <f t="shared" si="26"/>
        <v>0</v>
      </c>
      <c r="H296" s="365">
        <f t="shared" si="26"/>
        <v>0</v>
      </c>
      <c r="I296" s="365">
        <f t="shared" si="26"/>
        <v>0</v>
      </c>
      <c r="J296" s="365">
        <f t="shared" si="26"/>
        <v>0</v>
      </c>
      <c r="K296" s="365">
        <f t="shared" si="26"/>
        <v>0</v>
      </c>
      <c r="L296" s="365">
        <f t="shared" si="26"/>
        <v>0</v>
      </c>
      <c r="M296" s="365">
        <f t="shared" si="26"/>
        <v>0</v>
      </c>
      <c r="N296" s="365">
        <f t="shared" si="26"/>
        <v>0</v>
      </c>
      <c r="S296" s="1443"/>
      <c r="T296" s="1443"/>
      <c r="U296" s="1443"/>
      <c r="V296" s="1443"/>
      <c r="W296" s="1443"/>
      <c r="X296" s="1443"/>
      <c r="Y296" s="1443"/>
      <c r="Z296" s="1443"/>
      <c r="AA296" s="1443"/>
      <c r="AB296" s="1443"/>
    </row>
    <row r="297" spans="2:28" s="2" customFormat="1">
      <c r="B297" s="373" t="s">
        <v>1015</v>
      </c>
      <c r="C297" t="s">
        <v>1016</v>
      </c>
      <c r="E297" s="1438"/>
      <c r="F297" s="365">
        <f t="shared" si="26"/>
        <v>0</v>
      </c>
      <c r="G297" s="365">
        <f t="shared" si="26"/>
        <v>0</v>
      </c>
      <c r="H297" s="365">
        <f t="shared" si="26"/>
        <v>0</v>
      </c>
      <c r="I297" s="365">
        <f t="shared" si="26"/>
        <v>0</v>
      </c>
      <c r="J297" s="365">
        <f t="shared" si="26"/>
        <v>0</v>
      </c>
      <c r="K297" s="365">
        <f t="shared" si="26"/>
        <v>0</v>
      </c>
      <c r="L297" s="365">
        <f t="shared" si="26"/>
        <v>0</v>
      </c>
      <c r="M297" s="365">
        <f t="shared" si="26"/>
        <v>0</v>
      </c>
      <c r="N297" s="365">
        <f t="shared" si="26"/>
        <v>0</v>
      </c>
      <c r="S297" s="1443"/>
      <c r="T297" s="1443"/>
      <c r="U297" s="1443"/>
      <c r="V297" s="1443"/>
      <c r="W297" s="1443"/>
      <c r="X297" s="1443"/>
      <c r="Y297" s="1443"/>
      <c r="Z297" s="1443"/>
      <c r="AA297" s="1443"/>
      <c r="AB297" s="1443"/>
    </row>
    <row r="298" spans="2:28" s="2" customFormat="1">
      <c r="B298" s="373" t="s">
        <v>1017</v>
      </c>
      <c r="C298" t="s">
        <v>1018</v>
      </c>
      <c r="E298" s="1438"/>
      <c r="F298" s="365">
        <f t="shared" si="26"/>
        <v>0</v>
      </c>
      <c r="G298" s="365">
        <f t="shared" si="26"/>
        <v>0</v>
      </c>
      <c r="H298" s="365">
        <f t="shared" si="26"/>
        <v>0</v>
      </c>
      <c r="I298" s="365">
        <f t="shared" si="26"/>
        <v>0</v>
      </c>
      <c r="J298" s="365">
        <f t="shared" si="26"/>
        <v>0</v>
      </c>
      <c r="K298" s="365">
        <f t="shared" si="26"/>
        <v>0</v>
      </c>
      <c r="L298" s="365">
        <f t="shared" si="26"/>
        <v>0</v>
      </c>
      <c r="M298" s="365">
        <f t="shared" si="26"/>
        <v>0</v>
      </c>
      <c r="N298" s="365">
        <f t="shared" si="26"/>
        <v>0</v>
      </c>
      <c r="S298" s="1443"/>
      <c r="T298" s="1443"/>
      <c r="U298" s="1443"/>
      <c r="V298" s="1443"/>
      <c r="W298" s="1443"/>
      <c r="X298" s="1443"/>
      <c r="Y298" s="1443"/>
      <c r="Z298" s="1443"/>
      <c r="AA298" s="1443"/>
      <c r="AB298" s="1443"/>
    </row>
    <row r="299" spans="2:28" s="2" customFormat="1">
      <c r="B299" s="373" t="s">
        <v>1019</v>
      </c>
      <c r="C299" t="s">
        <v>402</v>
      </c>
      <c r="E299" s="1438"/>
      <c r="F299" s="365">
        <f t="shared" si="26"/>
        <v>0</v>
      </c>
      <c r="G299" s="365">
        <f t="shared" si="26"/>
        <v>0</v>
      </c>
      <c r="H299" s="365">
        <f t="shared" si="26"/>
        <v>0</v>
      </c>
      <c r="I299" s="365">
        <f t="shared" si="26"/>
        <v>0</v>
      </c>
      <c r="J299" s="365">
        <f t="shared" si="26"/>
        <v>0</v>
      </c>
      <c r="K299" s="365">
        <f t="shared" si="26"/>
        <v>0</v>
      </c>
      <c r="L299" s="365">
        <f t="shared" si="26"/>
        <v>0</v>
      </c>
      <c r="M299" s="365">
        <f t="shared" si="26"/>
        <v>0</v>
      </c>
      <c r="N299" s="365">
        <f t="shared" si="26"/>
        <v>0</v>
      </c>
      <c r="S299" s="1443"/>
      <c r="T299" s="1443"/>
      <c r="U299" s="1443"/>
      <c r="V299" s="1443"/>
      <c r="W299" s="1443"/>
      <c r="X299" s="1443"/>
      <c r="Y299" s="1443"/>
      <c r="Z299" s="1443"/>
      <c r="AA299" s="1443"/>
      <c r="AB299" s="1443"/>
    </row>
    <row r="300" spans="2:28" s="2" customFormat="1">
      <c r="B300" s="373"/>
      <c r="C300" s="354" t="s">
        <v>1067</v>
      </c>
      <c r="E300" s="1441" t="s">
        <v>251</v>
      </c>
      <c r="F300" s="1442">
        <f t="shared" ref="F300:N300" si="27">SUM(F296:F299)</f>
        <v>0</v>
      </c>
      <c r="G300" s="1442">
        <f t="shared" si="27"/>
        <v>0</v>
      </c>
      <c r="H300" s="1442">
        <f t="shared" si="27"/>
        <v>0</v>
      </c>
      <c r="I300" s="1442">
        <f t="shared" si="27"/>
        <v>0</v>
      </c>
      <c r="J300" s="1442">
        <f t="shared" si="27"/>
        <v>0</v>
      </c>
      <c r="K300" s="1442">
        <f t="shared" si="27"/>
        <v>0</v>
      </c>
      <c r="L300" s="1442">
        <f t="shared" si="27"/>
        <v>0</v>
      </c>
      <c r="M300" s="1442">
        <f t="shared" si="27"/>
        <v>0</v>
      </c>
      <c r="N300" s="1442">
        <f t="shared" si="27"/>
        <v>0</v>
      </c>
      <c r="S300" s="397"/>
      <c r="T300" s="397"/>
      <c r="U300" s="397"/>
      <c r="V300" s="397"/>
      <c r="W300" s="397"/>
      <c r="X300" s="397"/>
      <c r="Y300" s="397"/>
      <c r="Z300" s="397"/>
      <c r="AA300" s="397"/>
      <c r="AB300" s="397"/>
    </row>
    <row r="301" spans="2:28" s="2" customFormat="1">
      <c r="B301" s="354"/>
      <c r="C301"/>
      <c r="S301" s="297"/>
      <c r="T301" s="297"/>
      <c r="U301" s="297"/>
      <c r="V301" s="297"/>
      <c r="W301" s="297"/>
      <c r="X301" s="297"/>
      <c r="Y301" s="297"/>
      <c r="Z301" s="297"/>
      <c r="AA301" s="297"/>
      <c r="AB301" s="297"/>
    </row>
    <row r="302" spans="2:28" s="2" customFormat="1">
      <c r="B302" s="355" t="s">
        <v>451</v>
      </c>
      <c r="C302" t="s">
        <v>1068</v>
      </c>
      <c r="E302" s="355"/>
      <c r="S302" s="297"/>
      <c r="T302" s="297"/>
      <c r="U302" s="297"/>
      <c r="V302" s="297"/>
      <c r="W302" s="297"/>
      <c r="X302" s="297"/>
      <c r="Y302" s="297"/>
      <c r="Z302" s="297"/>
      <c r="AA302" s="297"/>
      <c r="AB302" s="297"/>
    </row>
    <row r="303" spans="2:28" s="2" customFormat="1">
      <c r="B303" s="373" t="s">
        <v>1014</v>
      </c>
      <c r="C303" s="3580" t="s">
        <v>2777</v>
      </c>
      <c r="E303" s="1438"/>
      <c r="F303" s="365">
        <f t="shared" ref="F303:N306" si="28">F208*$I75</f>
        <v>0</v>
      </c>
      <c r="G303" s="365">
        <f t="shared" si="28"/>
        <v>0</v>
      </c>
      <c r="H303" s="365">
        <f t="shared" si="28"/>
        <v>0</v>
      </c>
      <c r="I303" s="365">
        <f t="shared" si="28"/>
        <v>0</v>
      </c>
      <c r="J303" s="365">
        <f t="shared" si="28"/>
        <v>0</v>
      </c>
      <c r="K303" s="365">
        <f t="shared" si="28"/>
        <v>0</v>
      </c>
      <c r="L303" s="365">
        <f t="shared" si="28"/>
        <v>0</v>
      </c>
      <c r="M303" s="365">
        <f t="shared" si="28"/>
        <v>0</v>
      </c>
      <c r="N303" s="365">
        <f t="shared" si="28"/>
        <v>0</v>
      </c>
      <c r="S303" s="1443"/>
      <c r="T303" s="1443"/>
      <c r="U303" s="1443"/>
      <c r="V303" s="1443"/>
      <c r="W303" s="1443"/>
      <c r="X303" s="1443"/>
      <c r="Y303" s="1443"/>
      <c r="Z303" s="1443"/>
      <c r="AA303" s="1443"/>
      <c r="AB303" s="1443"/>
    </row>
    <row r="304" spans="2:28" s="2" customFormat="1">
      <c r="B304" s="373" t="s">
        <v>1015</v>
      </c>
      <c r="C304" t="s">
        <v>1016</v>
      </c>
      <c r="E304" s="1438"/>
      <c r="F304" s="365">
        <f t="shared" si="28"/>
        <v>0</v>
      </c>
      <c r="G304" s="365">
        <f t="shared" si="28"/>
        <v>0</v>
      </c>
      <c r="H304" s="365">
        <f t="shared" si="28"/>
        <v>0</v>
      </c>
      <c r="I304" s="365">
        <f t="shared" si="28"/>
        <v>0</v>
      </c>
      <c r="J304" s="365">
        <f t="shared" si="28"/>
        <v>0</v>
      </c>
      <c r="K304" s="365">
        <f t="shared" si="28"/>
        <v>0</v>
      </c>
      <c r="L304" s="365">
        <f t="shared" si="28"/>
        <v>0</v>
      </c>
      <c r="M304" s="365">
        <f t="shared" si="28"/>
        <v>0</v>
      </c>
      <c r="N304" s="365">
        <f t="shared" si="28"/>
        <v>0</v>
      </c>
      <c r="S304" s="1443"/>
      <c r="T304" s="1443"/>
      <c r="U304" s="1443"/>
      <c r="V304" s="1443"/>
      <c r="W304" s="1443"/>
      <c r="X304" s="1443"/>
      <c r="Y304" s="1443"/>
      <c r="Z304" s="1443"/>
      <c r="AA304" s="1443"/>
      <c r="AB304" s="1443"/>
    </row>
    <row r="305" spans="2:28" s="2" customFormat="1">
      <c r="B305" s="373" t="s">
        <v>1017</v>
      </c>
      <c r="C305" t="s">
        <v>1018</v>
      </c>
      <c r="E305" s="1438"/>
      <c r="F305" s="365">
        <f t="shared" si="28"/>
        <v>0</v>
      </c>
      <c r="G305" s="365">
        <f t="shared" si="28"/>
        <v>0</v>
      </c>
      <c r="H305" s="365">
        <f t="shared" si="28"/>
        <v>0</v>
      </c>
      <c r="I305" s="365">
        <f t="shared" si="28"/>
        <v>0</v>
      </c>
      <c r="J305" s="365">
        <f t="shared" si="28"/>
        <v>0</v>
      </c>
      <c r="K305" s="365">
        <f t="shared" si="28"/>
        <v>0</v>
      </c>
      <c r="L305" s="365">
        <f t="shared" si="28"/>
        <v>0</v>
      </c>
      <c r="M305" s="365">
        <f t="shared" si="28"/>
        <v>0</v>
      </c>
      <c r="N305" s="365">
        <f t="shared" si="28"/>
        <v>0</v>
      </c>
      <c r="S305" s="1443"/>
      <c r="T305" s="1443"/>
      <c r="U305" s="1443"/>
      <c r="V305" s="1443"/>
      <c r="W305" s="1443"/>
      <c r="X305" s="1443"/>
      <c r="Y305" s="1443"/>
      <c r="Z305" s="1443"/>
      <c r="AA305" s="1443"/>
      <c r="AB305" s="1443"/>
    </row>
    <row r="306" spans="2:28" s="2" customFormat="1">
      <c r="B306" s="373" t="s">
        <v>1019</v>
      </c>
      <c r="C306" t="s">
        <v>402</v>
      </c>
      <c r="E306" s="1438"/>
      <c r="F306" s="365">
        <f t="shared" si="28"/>
        <v>1.12416</v>
      </c>
      <c r="G306" s="365">
        <f t="shared" si="28"/>
        <v>1.1218527736220998</v>
      </c>
      <c r="H306" s="365">
        <f t="shared" si="28"/>
        <v>1.1161054035888369</v>
      </c>
      <c r="I306" s="365">
        <f t="shared" si="28"/>
        <v>1.1103874779381839</v>
      </c>
      <c r="J306" s="365">
        <f t="shared" si="28"/>
        <v>1.1046988458234654</v>
      </c>
      <c r="K306" s="365">
        <f t="shared" si="28"/>
        <v>1.0990393571708086</v>
      </c>
      <c r="L306" s="365">
        <f t="shared" si="28"/>
        <v>1.0934088626751839</v>
      </c>
      <c r="M306" s="365">
        <f t="shared" si="28"/>
        <v>1.0878072137964687</v>
      </c>
      <c r="N306" s="365">
        <f t="shared" si="28"/>
        <v>1.0822342627555264</v>
      </c>
      <c r="S306" s="1443"/>
      <c r="T306" s="1443"/>
      <c r="U306" s="1443"/>
      <c r="V306" s="1443"/>
      <c r="W306" s="1443"/>
      <c r="X306" s="1443"/>
      <c r="Y306" s="1443"/>
      <c r="Z306" s="1443"/>
      <c r="AA306" s="1443"/>
      <c r="AB306" s="1443"/>
    </row>
    <row r="307" spans="2:28" s="2" customFormat="1">
      <c r="B307" s="354"/>
      <c r="C307" s="354" t="s">
        <v>1069</v>
      </c>
      <c r="E307" s="1441" t="s">
        <v>251</v>
      </c>
      <c r="F307" s="1442">
        <f t="shared" ref="F307:N307" si="29">SUM(F303:F306)</f>
        <v>1.12416</v>
      </c>
      <c r="G307" s="1442">
        <f t="shared" si="29"/>
        <v>1.1218527736220998</v>
      </c>
      <c r="H307" s="1442">
        <f t="shared" si="29"/>
        <v>1.1161054035888369</v>
      </c>
      <c r="I307" s="1442">
        <f t="shared" si="29"/>
        <v>1.1103874779381839</v>
      </c>
      <c r="J307" s="1442">
        <f t="shared" si="29"/>
        <v>1.1046988458234654</v>
      </c>
      <c r="K307" s="1442">
        <f t="shared" si="29"/>
        <v>1.0990393571708086</v>
      </c>
      <c r="L307" s="1442">
        <f t="shared" si="29"/>
        <v>1.0934088626751839</v>
      </c>
      <c r="M307" s="1442">
        <f t="shared" si="29"/>
        <v>1.0878072137964687</v>
      </c>
      <c r="N307" s="1442">
        <f t="shared" si="29"/>
        <v>1.0822342627555264</v>
      </c>
      <c r="S307" s="397"/>
      <c r="T307" s="397"/>
      <c r="U307" s="397"/>
      <c r="V307" s="397"/>
      <c r="W307" s="397"/>
      <c r="X307" s="397"/>
      <c r="Y307" s="397"/>
      <c r="Z307" s="397"/>
      <c r="AA307" s="397"/>
      <c r="AB307" s="397"/>
    </row>
    <row r="308" spans="2:28" s="2" customFormat="1">
      <c r="B308" s="354"/>
      <c r="C308"/>
      <c r="E308" s="355"/>
    </row>
    <row r="309" spans="2:28" s="2" customFormat="1">
      <c r="B309" s="354" t="s">
        <v>257</v>
      </c>
      <c r="C309" t="s">
        <v>258</v>
      </c>
      <c r="E309" s="355"/>
      <c r="F309" s="1313"/>
      <c r="G309" s="1313"/>
      <c r="H309" s="1313"/>
      <c r="I309" s="1313"/>
      <c r="J309" s="1313"/>
      <c r="K309" s="1313"/>
      <c r="L309" s="1313"/>
      <c r="M309" s="1313"/>
      <c r="N309" s="1313"/>
      <c r="S309" s="1313"/>
      <c r="T309" s="1313"/>
      <c r="U309" s="1313"/>
      <c r="V309" s="1313"/>
      <c r="W309" s="1313"/>
      <c r="X309" s="1313"/>
      <c r="Y309" s="1313"/>
      <c r="Z309" s="1313"/>
      <c r="AA309" s="1313"/>
      <c r="AB309" s="1313"/>
    </row>
    <row r="310" spans="2:28" s="2" customFormat="1">
      <c r="B310" s="373" t="s">
        <v>1014</v>
      </c>
      <c r="C310" s="3580" t="s">
        <v>2777</v>
      </c>
      <c r="E310" s="1438"/>
      <c r="F310" s="365">
        <f>$F83*F208/$G208</f>
        <v>0</v>
      </c>
      <c r="G310" s="365">
        <f>E92</f>
        <v>0</v>
      </c>
      <c r="H310" s="365">
        <f>E101</f>
        <v>0</v>
      </c>
      <c r="I310" s="1444">
        <f t="shared" ref="I310:N313" si="30">(I208/$I208)*$F101</f>
        <v>0</v>
      </c>
      <c r="J310" s="1445">
        <f t="shared" si="30"/>
        <v>0</v>
      </c>
      <c r="K310" s="1445">
        <f t="shared" si="30"/>
        <v>0</v>
      </c>
      <c r="L310" s="1445">
        <f t="shared" si="30"/>
        <v>0</v>
      </c>
      <c r="M310" s="1445">
        <f t="shared" si="30"/>
        <v>0</v>
      </c>
      <c r="N310" s="1445">
        <f t="shared" si="30"/>
        <v>0</v>
      </c>
      <c r="S310" s="1443"/>
      <c r="T310" s="1443"/>
      <c r="U310" s="1443"/>
      <c r="V310" s="1443"/>
      <c r="W310" s="1443"/>
      <c r="X310" s="1443"/>
      <c r="Y310" s="1443"/>
      <c r="Z310" s="1443"/>
      <c r="AA310" s="1443"/>
      <c r="AB310" s="1443"/>
    </row>
    <row r="311" spans="2:28" s="2" customFormat="1">
      <c r="B311" s="373" t="s">
        <v>1015</v>
      </c>
      <c r="C311" t="s">
        <v>1016</v>
      </c>
      <c r="E311" s="1438"/>
      <c r="F311" s="365">
        <f>$F84*F209/$G209</f>
        <v>0</v>
      </c>
      <c r="G311" s="365">
        <f>E93</f>
        <v>0</v>
      </c>
      <c r="H311" s="365">
        <f>E102</f>
        <v>0</v>
      </c>
      <c r="I311" s="1444">
        <f t="shared" si="30"/>
        <v>0</v>
      </c>
      <c r="J311" s="1445">
        <f t="shared" si="30"/>
        <v>0</v>
      </c>
      <c r="K311" s="1445">
        <f t="shared" si="30"/>
        <v>0</v>
      </c>
      <c r="L311" s="1445">
        <f t="shared" si="30"/>
        <v>0</v>
      </c>
      <c r="M311" s="1445">
        <f t="shared" si="30"/>
        <v>0</v>
      </c>
      <c r="N311" s="1445">
        <f t="shared" si="30"/>
        <v>0</v>
      </c>
      <c r="S311" s="1443"/>
      <c r="T311" s="1443"/>
      <c r="U311" s="1443"/>
      <c r="V311" s="1443"/>
      <c r="W311" s="1443"/>
      <c r="X311" s="1443"/>
      <c r="Y311" s="1443"/>
      <c r="Z311" s="1443"/>
      <c r="AA311" s="1443"/>
      <c r="AB311" s="1443"/>
    </row>
    <row r="312" spans="2:28" s="2" customFormat="1">
      <c r="B312" s="373" t="s">
        <v>1017</v>
      </c>
      <c r="C312" t="s">
        <v>1018</v>
      </c>
      <c r="E312" s="1438"/>
      <c r="F312" s="365">
        <f>$F85*F210/$G210</f>
        <v>0</v>
      </c>
      <c r="G312" s="365">
        <f>E94</f>
        <v>0</v>
      </c>
      <c r="H312" s="365">
        <f>E103</f>
        <v>0</v>
      </c>
      <c r="I312" s="1444">
        <f t="shared" si="30"/>
        <v>0</v>
      </c>
      <c r="J312" s="1445">
        <f t="shared" si="30"/>
        <v>0</v>
      </c>
      <c r="K312" s="1445">
        <f t="shared" si="30"/>
        <v>0</v>
      </c>
      <c r="L312" s="1445">
        <f t="shared" si="30"/>
        <v>0</v>
      </c>
      <c r="M312" s="1445">
        <f t="shared" si="30"/>
        <v>0</v>
      </c>
      <c r="N312" s="1445">
        <f t="shared" si="30"/>
        <v>0</v>
      </c>
      <c r="S312" s="1443"/>
      <c r="T312" s="1443"/>
      <c r="U312" s="1443"/>
      <c r="V312" s="1443"/>
      <c r="W312" s="1443"/>
      <c r="X312" s="1443"/>
      <c r="Y312" s="1443"/>
      <c r="Z312" s="1443"/>
      <c r="AA312" s="1443"/>
      <c r="AB312" s="1443"/>
    </row>
    <row r="313" spans="2:28" s="2" customFormat="1">
      <c r="B313" s="373" t="s">
        <v>1019</v>
      </c>
      <c r="C313" t="s">
        <v>402</v>
      </c>
      <c r="E313" s="1438"/>
      <c r="F313" s="365">
        <f>$F86*F211/$G211</f>
        <v>0</v>
      </c>
      <c r="G313" s="365">
        <f>E95</f>
        <v>0</v>
      </c>
      <c r="H313" s="365">
        <f>E104</f>
        <v>0</v>
      </c>
      <c r="I313" s="1444">
        <f t="shared" si="30"/>
        <v>0</v>
      </c>
      <c r="J313" s="1445">
        <f t="shared" si="30"/>
        <v>0</v>
      </c>
      <c r="K313" s="1445">
        <f t="shared" si="30"/>
        <v>0</v>
      </c>
      <c r="L313" s="1445">
        <f t="shared" si="30"/>
        <v>0</v>
      </c>
      <c r="M313" s="1445">
        <f t="shared" si="30"/>
        <v>0</v>
      </c>
      <c r="N313" s="1445">
        <f t="shared" si="30"/>
        <v>0</v>
      </c>
      <c r="S313" s="1443"/>
      <c r="T313" s="1443"/>
      <c r="U313" s="1443"/>
      <c r="V313" s="1443"/>
      <c r="W313" s="1443"/>
      <c r="X313" s="1443"/>
      <c r="Y313" s="1443"/>
      <c r="Z313" s="1443"/>
      <c r="AA313" s="1443"/>
      <c r="AB313" s="1443"/>
    </row>
    <row r="314" spans="2:28" s="2" customFormat="1">
      <c r="B314" s="373"/>
      <c r="C314" s="354" t="s">
        <v>1070</v>
      </c>
      <c r="E314" s="1441" t="s">
        <v>972</v>
      </c>
      <c r="F314" s="1442">
        <f t="shared" ref="F314:N314" si="31">SUM(F310:F313)</f>
        <v>0</v>
      </c>
      <c r="G314" s="1442">
        <f t="shared" si="31"/>
        <v>0</v>
      </c>
      <c r="H314" s="1442">
        <f t="shared" si="31"/>
        <v>0</v>
      </c>
      <c r="I314" s="1442">
        <f t="shared" si="31"/>
        <v>0</v>
      </c>
      <c r="J314" s="1442">
        <f t="shared" si="31"/>
        <v>0</v>
      </c>
      <c r="K314" s="1442">
        <f t="shared" si="31"/>
        <v>0</v>
      </c>
      <c r="L314" s="1442">
        <f t="shared" si="31"/>
        <v>0</v>
      </c>
      <c r="M314" s="1442">
        <f t="shared" si="31"/>
        <v>0</v>
      </c>
      <c r="N314" s="1442">
        <f t="shared" si="31"/>
        <v>0</v>
      </c>
      <c r="S314" s="397"/>
      <c r="T314" s="397"/>
      <c r="U314" s="397"/>
      <c r="V314" s="397"/>
      <c r="W314" s="397"/>
      <c r="X314" s="397"/>
      <c r="Y314" s="397"/>
      <c r="Z314" s="397"/>
      <c r="AA314" s="397"/>
      <c r="AB314" s="397"/>
    </row>
    <row r="315" spans="2:28" s="2" customFormat="1">
      <c r="B315" s="354"/>
      <c r="C315"/>
    </row>
    <row r="316" spans="2:28" s="2" customFormat="1">
      <c r="B316" s="354" t="s">
        <v>259</v>
      </c>
      <c r="C316" t="s">
        <v>260</v>
      </c>
      <c r="E316" s="355"/>
    </row>
    <row r="317" spans="2:28" s="2" customFormat="1">
      <c r="B317" s="373" t="s">
        <v>1014</v>
      </c>
      <c r="C317" s="3580" t="s">
        <v>2777</v>
      </c>
      <c r="E317" s="1438"/>
      <c r="F317" s="365">
        <f>G83*F208/G208</f>
        <v>0</v>
      </c>
      <c r="G317" s="365">
        <f>F92</f>
        <v>0</v>
      </c>
      <c r="H317" s="365">
        <f>F101</f>
        <v>0</v>
      </c>
      <c r="I317" s="365">
        <f t="shared" ref="I317:N320" si="32">$G101*I208/$I208</f>
        <v>0</v>
      </c>
      <c r="J317" s="365">
        <f t="shared" si="32"/>
        <v>0</v>
      </c>
      <c r="K317" s="365">
        <f t="shared" si="32"/>
        <v>0</v>
      </c>
      <c r="L317" s="365">
        <f t="shared" si="32"/>
        <v>0</v>
      </c>
      <c r="M317" s="365">
        <f t="shared" si="32"/>
        <v>0</v>
      </c>
      <c r="N317" s="365">
        <f t="shared" si="32"/>
        <v>0</v>
      </c>
    </row>
    <row r="318" spans="2:28" s="2" customFormat="1">
      <c r="B318" s="373" t="s">
        <v>1015</v>
      </c>
      <c r="C318" t="s">
        <v>1016</v>
      </c>
      <c r="E318" s="1438"/>
      <c r="F318" s="365">
        <f>G84*F209/G209</f>
        <v>0</v>
      </c>
      <c r="G318" s="365">
        <f>F93</f>
        <v>0</v>
      </c>
      <c r="H318" s="365">
        <f>F102</f>
        <v>0</v>
      </c>
      <c r="I318" s="365">
        <f t="shared" si="32"/>
        <v>0</v>
      </c>
      <c r="J318" s="365">
        <f t="shared" si="32"/>
        <v>0</v>
      </c>
      <c r="K318" s="365">
        <f t="shared" si="32"/>
        <v>0</v>
      </c>
      <c r="L318" s="365">
        <f t="shared" si="32"/>
        <v>0</v>
      </c>
      <c r="M318" s="365">
        <f t="shared" si="32"/>
        <v>0</v>
      </c>
      <c r="N318" s="365">
        <f t="shared" si="32"/>
        <v>0</v>
      </c>
    </row>
    <row r="319" spans="2:28" s="2" customFormat="1">
      <c r="B319" s="373" t="s">
        <v>1017</v>
      </c>
      <c r="C319" t="s">
        <v>1018</v>
      </c>
      <c r="E319" s="1438"/>
      <c r="F319" s="365">
        <f>G85*F210/G210</f>
        <v>0</v>
      </c>
      <c r="G319" s="365">
        <f>F94</f>
        <v>0</v>
      </c>
      <c r="H319" s="365">
        <f>F103</f>
        <v>0</v>
      </c>
      <c r="I319" s="365">
        <f t="shared" si="32"/>
        <v>0</v>
      </c>
      <c r="J319" s="365">
        <f t="shared" si="32"/>
        <v>0</v>
      </c>
      <c r="K319" s="365">
        <f t="shared" si="32"/>
        <v>0</v>
      </c>
      <c r="L319" s="365">
        <f t="shared" si="32"/>
        <v>0</v>
      </c>
      <c r="M319" s="365">
        <f t="shared" si="32"/>
        <v>0</v>
      </c>
      <c r="N319" s="365">
        <f t="shared" si="32"/>
        <v>0</v>
      </c>
    </row>
    <row r="320" spans="2:28" s="2" customFormat="1">
      <c r="B320" s="373" t="s">
        <v>1019</v>
      </c>
      <c r="C320" t="s">
        <v>402</v>
      </c>
      <c r="E320" s="1438"/>
      <c r="F320" s="365">
        <f>G86*F211/G211</f>
        <v>0</v>
      </c>
      <c r="G320" s="365">
        <f>F95</f>
        <v>0</v>
      </c>
      <c r="H320" s="365">
        <f>F104</f>
        <v>0</v>
      </c>
      <c r="I320" s="365">
        <f t="shared" si="32"/>
        <v>0</v>
      </c>
      <c r="J320" s="365">
        <f t="shared" si="32"/>
        <v>0</v>
      </c>
      <c r="K320" s="365">
        <f t="shared" si="32"/>
        <v>0</v>
      </c>
      <c r="L320" s="365">
        <f t="shared" si="32"/>
        <v>0</v>
      </c>
      <c r="M320" s="365">
        <f t="shared" si="32"/>
        <v>0</v>
      </c>
      <c r="N320" s="365">
        <f t="shared" si="32"/>
        <v>0</v>
      </c>
    </row>
    <row r="321" spans="2:28" s="2" customFormat="1">
      <c r="B321" s="373"/>
      <c r="C321" s="354" t="s">
        <v>1071</v>
      </c>
      <c r="E321" s="1441" t="s">
        <v>972</v>
      </c>
      <c r="F321" s="1442">
        <f t="shared" ref="F321:N321" si="33">SUM(F317:F320)</f>
        <v>0</v>
      </c>
      <c r="G321" s="1442">
        <f t="shared" si="33"/>
        <v>0</v>
      </c>
      <c r="H321" s="1442">
        <f t="shared" si="33"/>
        <v>0</v>
      </c>
      <c r="I321" s="1442">
        <f t="shared" si="33"/>
        <v>0</v>
      </c>
      <c r="J321" s="1442">
        <f t="shared" si="33"/>
        <v>0</v>
      </c>
      <c r="K321" s="1442">
        <f t="shared" si="33"/>
        <v>0</v>
      </c>
      <c r="L321" s="1442">
        <f t="shared" si="33"/>
        <v>0</v>
      </c>
      <c r="M321" s="1442">
        <f t="shared" si="33"/>
        <v>0</v>
      </c>
      <c r="N321" s="1442">
        <f t="shared" si="33"/>
        <v>0</v>
      </c>
    </row>
    <row r="322" spans="2:28" s="2" customFormat="1">
      <c r="B322" s="354"/>
      <c r="C322"/>
    </row>
    <row r="323" spans="2:28" s="2" customFormat="1">
      <c r="B323" s="354" t="s">
        <v>261</v>
      </c>
      <c r="C323" t="s">
        <v>262</v>
      </c>
      <c r="E323" s="355"/>
    </row>
    <row r="324" spans="2:28" s="2" customFormat="1">
      <c r="B324" s="373" t="s">
        <v>1014</v>
      </c>
      <c r="C324" s="3580" t="s">
        <v>2777</v>
      </c>
      <c r="E324" s="1438"/>
      <c r="F324" s="365">
        <f>H83*(F208/G208)</f>
        <v>0</v>
      </c>
      <c r="G324" s="365">
        <f>G92</f>
        <v>0</v>
      </c>
      <c r="H324" s="365">
        <f>G101</f>
        <v>0</v>
      </c>
      <c r="I324" s="365">
        <f t="shared" ref="I324:N327" si="34">$H101*I208/$I208</f>
        <v>0</v>
      </c>
      <c r="J324" s="365">
        <f t="shared" si="34"/>
        <v>0</v>
      </c>
      <c r="K324" s="365">
        <f t="shared" si="34"/>
        <v>0</v>
      </c>
      <c r="L324" s="365">
        <f t="shared" si="34"/>
        <v>0</v>
      </c>
      <c r="M324" s="365">
        <f t="shared" si="34"/>
        <v>0</v>
      </c>
      <c r="N324" s="365">
        <f t="shared" si="34"/>
        <v>0</v>
      </c>
      <c r="S324" s="1443"/>
      <c r="T324" s="1443"/>
      <c r="U324" s="1443"/>
      <c r="V324" s="1443"/>
      <c r="W324" s="1443"/>
      <c r="X324" s="1443"/>
      <c r="Y324" s="1443"/>
      <c r="Z324" s="1443"/>
      <c r="AA324" s="1443"/>
      <c r="AB324" s="1443"/>
    </row>
    <row r="325" spans="2:28" s="2" customFormat="1">
      <c r="B325" s="373" t="s">
        <v>1015</v>
      </c>
      <c r="C325" t="s">
        <v>1016</v>
      </c>
      <c r="E325" s="1438"/>
      <c r="F325" s="365">
        <f>H84*(F209/G209)</f>
        <v>0</v>
      </c>
      <c r="G325" s="365">
        <f>G93</f>
        <v>0</v>
      </c>
      <c r="H325" s="365">
        <f>G102</f>
        <v>0</v>
      </c>
      <c r="I325" s="365">
        <f t="shared" si="34"/>
        <v>0</v>
      </c>
      <c r="J325" s="365">
        <f t="shared" si="34"/>
        <v>0</v>
      </c>
      <c r="K325" s="365">
        <f t="shared" si="34"/>
        <v>0</v>
      </c>
      <c r="L325" s="365">
        <f t="shared" si="34"/>
        <v>0</v>
      </c>
      <c r="M325" s="365">
        <f t="shared" si="34"/>
        <v>0</v>
      </c>
      <c r="N325" s="365">
        <f t="shared" si="34"/>
        <v>0</v>
      </c>
      <c r="S325" s="1443"/>
      <c r="T325" s="1443"/>
      <c r="U325" s="1443"/>
      <c r="V325" s="1443"/>
      <c r="W325" s="1443"/>
      <c r="X325" s="1443"/>
      <c r="Y325" s="1443"/>
      <c r="Z325" s="1443"/>
      <c r="AA325" s="1443"/>
      <c r="AB325" s="1443"/>
    </row>
    <row r="326" spans="2:28" s="2" customFormat="1">
      <c r="B326" s="373" t="s">
        <v>1017</v>
      </c>
      <c r="C326" t="s">
        <v>1018</v>
      </c>
      <c r="E326" s="1438"/>
      <c r="F326" s="365">
        <f>H85*(F210/G210)</f>
        <v>0</v>
      </c>
      <c r="G326" s="365">
        <f>G94</f>
        <v>0</v>
      </c>
      <c r="H326" s="365">
        <f>G103</f>
        <v>0</v>
      </c>
      <c r="I326" s="365">
        <f t="shared" si="34"/>
        <v>0</v>
      </c>
      <c r="J326" s="365">
        <f t="shared" si="34"/>
        <v>0</v>
      </c>
      <c r="K326" s="365">
        <f t="shared" si="34"/>
        <v>0</v>
      </c>
      <c r="L326" s="365">
        <f t="shared" si="34"/>
        <v>0</v>
      </c>
      <c r="M326" s="365">
        <f t="shared" si="34"/>
        <v>0</v>
      </c>
      <c r="N326" s="365">
        <f t="shared" si="34"/>
        <v>0</v>
      </c>
      <c r="S326" s="1443"/>
      <c r="T326" s="1443"/>
      <c r="U326" s="1443"/>
      <c r="V326" s="1443"/>
      <c r="W326" s="1443"/>
      <c r="X326" s="1443"/>
      <c r="Y326" s="1443"/>
      <c r="Z326" s="1443"/>
      <c r="AA326" s="1443"/>
      <c r="AB326" s="1443"/>
    </row>
    <row r="327" spans="2:28" s="2" customFormat="1">
      <c r="B327" s="373" t="s">
        <v>1019</v>
      </c>
      <c r="C327" t="s">
        <v>402</v>
      </c>
      <c r="E327" s="1438"/>
      <c r="F327" s="365">
        <f>H86*(F211/G211)</f>
        <v>0</v>
      </c>
      <c r="G327" s="365">
        <f>G95</f>
        <v>0</v>
      </c>
      <c r="H327" s="365">
        <f>G104</f>
        <v>0</v>
      </c>
      <c r="I327" s="365">
        <f t="shared" si="34"/>
        <v>0</v>
      </c>
      <c r="J327" s="365">
        <f t="shared" si="34"/>
        <v>0</v>
      </c>
      <c r="K327" s="365">
        <f t="shared" si="34"/>
        <v>0</v>
      </c>
      <c r="L327" s="365">
        <f t="shared" si="34"/>
        <v>0</v>
      </c>
      <c r="M327" s="365">
        <f t="shared" si="34"/>
        <v>0</v>
      </c>
      <c r="N327" s="365">
        <f t="shared" si="34"/>
        <v>0</v>
      </c>
      <c r="S327" s="1443"/>
      <c r="T327" s="1443"/>
      <c r="U327" s="1443"/>
      <c r="V327" s="1443"/>
      <c r="W327" s="1443"/>
      <c r="X327" s="1443"/>
      <c r="Y327" s="1443"/>
      <c r="Z327" s="1443"/>
      <c r="AA327" s="1443"/>
      <c r="AB327" s="1443"/>
    </row>
    <row r="328" spans="2:28" s="2" customFormat="1">
      <c r="B328" s="373"/>
      <c r="C328" s="354" t="s">
        <v>1072</v>
      </c>
      <c r="E328" s="1441" t="s">
        <v>972</v>
      </c>
      <c r="F328" s="1442">
        <f t="shared" ref="F328:N328" si="35">SUM(F324:F327)</f>
        <v>0</v>
      </c>
      <c r="G328" s="1442">
        <f t="shared" si="35"/>
        <v>0</v>
      </c>
      <c r="H328" s="1442">
        <f t="shared" si="35"/>
        <v>0</v>
      </c>
      <c r="I328" s="1442">
        <f t="shared" si="35"/>
        <v>0</v>
      </c>
      <c r="J328" s="1442">
        <f t="shared" si="35"/>
        <v>0</v>
      </c>
      <c r="K328" s="1442">
        <f t="shared" si="35"/>
        <v>0</v>
      </c>
      <c r="L328" s="1442">
        <f t="shared" si="35"/>
        <v>0</v>
      </c>
      <c r="M328" s="1442">
        <f t="shared" si="35"/>
        <v>0</v>
      </c>
      <c r="N328" s="1442">
        <f t="shared" si="35"/>
        <v>0</v>
      </c>
      <c r="S328" s="397"/>
      <c r="T328" s="397"/>
      <c r="U328" s="397"/>
      <c r="V328" s="397"/>
      <c r="W328" s="397"/>
      <c r="X328" s="397"/>
      <c r="Y328" s="397"/>
      <c r="Z328" s="397"/>
      <c r="AA328" s="397"/>
      <c r="AB328" s="397"/>
    </row>
    <row r="329" spans="2:28" s="2" customFormat="1">
      <c r="B329" s="354"/>
      <c r="C329"/>
      <c r="S329" s="297"/>
      <c r="T329" s="297"/>
      <c r="U329" s="297"/>
      <c r="V329" s="297"/>
      <c r="W329" s="297"/>
      <c r="X329" s="297"/>
      <c r="Y329" s="297"/>
      <c r="Z329" s="297"/>
      <c r="AA329" s="297"/>
      <c r="AB329" s="297"/>
    </row>
    <row r="330" spans="2:28" s="2" customFormat="1">
      <c r="B330" s="354" t="s">
        <v>263</v>
      </c>
      <c r="C330" t="s">
        <v>264</v>
      </c>
      <c r="E330" s="355"/>
    </row>
    <row r="331" spans="2:28" s="2" customFormat="1">
      <c r="B331" s="373" t="s">
        <v>1014</v>
      </c>
      <c r="C331" s="3580" t="s">
        <v>2777</v>
      </c>
      <c r="E331" s="1438"/>
      <c r="F331" s="365">
        <f>I83*F208/G208</f>
        <v>0</v>
      </c>
      <c r="G331" s="365">
        <f>H92</f>
        <v>0</v>
      </c>
      <c r="H331" s="365">
        <f>H101</f>
        <v>0</v>
      </c>
      <c r="I331" s="365">
        <f t="shared" ref="I331:N334" si="36">$I101*(I208/$I208)</f>
        <v>0</v>
      </c>
      <c r="J331" s="365">
        <f t="shared" si="36"/>
        <v>0</v>
      </c>
      <c r="K331" s="365">
        <f t="shared" si="36"/>
        <v>0</v>
      </c>
      <c r="L331" s="365">
        <f t="shared" si="36"/>
        <v>0</v>
      </c>
      <c r="M331" s="365">
        <f t="shared" si="36"/>
        <v>0</v>
      </c>
      <c r="N331" s="365">
        <f t="shared" si="36"/>
        <v>0</v>
      </c>
    </row>
    <row r="332" spans="2:28" s="2" customFormat="1">
      <c r="B332" s="373" t="s">
        <v>1015</v>
      </c>
      <c r="C332" t="s">
        <v>1016</v>
      </c>
      <c r="E332" s="1438"/>
      <c r="F332" s="365">
        <f>I84*F209/G209</f>
        <v>0</v>
      </c>
      <c r="G332" s="365">
        <f>H93</f>
        <v>0</v>
      </c>
      <c r="H332" s="365">
        <f>H102</f>
        <v>0</v>
      </c>
      <c r="I332" s="365">
        <f t="shared" si="36"/>
        <v>0</v>
      </c>
      <c r="J332" s="365">
        <f t="shared" si="36"/>
        <v>0</v>
      </c>
      <c r="K332" s="365">
        <f t="shared" si="36"/>
        <v>0</v>
      </c>
      <c r="L332" s="365">
        <f t="shared" si="36"/>
        <v>0</v>
      </c>
      <c r="M332" s="365">
        <f t="shared" si="36"/>
        <v>0</v>
      </c>
      <c r="N332" s="365">
        <f t="shared" si="36"/>
        <v>0</v>
      </c>
    </row>
    <row r="333" spans="2:28" s="2" customFormat="1">
      <c r="B333" s="373" t="s">
        <v>1017</v>
      </c>
      <c r="C333" t="s">
        <v>1018</v>
      </c>
      <c r="E333" s="1438"/>
      <c r="F333" s="365">
        <f>I85*F210/G210</f>
        <v>0</v>
      </c>
      <c r="G333" s="365">
        <f>H94</f>
        <v>0</v>
      </c>
      <c r="H333" s="365">
        <f>H103</f>
        <v>0</v>
      </c>
      <c r="I333" s="365">
        <f t="shared" si="36"/>
        <v>0</v>
      </c>
      <c r="J333" s="365">
        <f t="shared" si="36"/>
        <v>0</v>
      </c>
      <c r="K333" s="365">
        <f t="shared" si="36"/>
        <v>0</v>
      </c>
      <c r="L333" s="365">
        <f t="shared" si="36"/>
        <v>0</v>
      </c>
      <c r="M333" s="365">
        <f t="shared" si="36"/>
        <v>0</v>
      </c>
      <c r="N333" s="365">
        <f t="shared" si="36"/>
        <v>0</v>
      </c>
    </row>
    <row r="334" spans="2:28" s="2" customFormat="1">
      <c r="B334" s="373" t="s">
        <v>1019</v>
      </c>
      <c r="C334" t="s">
        <v>402</v>
      </c>
      <c r="E334" s="1438"/>
      <c r="F334" s="365">
        <f>I86*F211/G211</f>
        <v>0</v>
      </c>
      <c r="G334" s="365">
        <f>H95</f>
        <v>0</v>
      </c>
      <c r="H334" s="365">
        <f>H104</f>
        <v>0</v>
      </c>
      <c r="I334" s="365">
        <f t="shared" si="36"/>
        <v>0</v>
      </c>
      <c r="J334" s="365">
        <f t="shared" si="36"/>
        <v>0</v>
      </c>
      <c r="K334" s="365">
        <f t="shared" si="36"/>
        <v>0</v>
      </c>
      <c r="L334" s="365">
        <f t="shared" si="36"/>
        <v>0</v>
      </c>
      <c r="M334" s="365">
        <f t="shared" si="36"/>
        <v>0</v>
      </c>
      <c r="N334" s="365">
        <f t="shared" si="36"/>
        <v>0</v>
      </c>
    </row>
    <row r="335" spans="2:28" s="2" customFormat="1">
      <c r="B335" s="354"/>
      <c r="C335" s="354" t="s">
        <v>1073</v>
      </c>
      <c r="E335" s="1441" t="s">
        <v>972</v>
      </c>
      <c r="F335" s="1442">
        <f t="shared" ref="F335:N335" si="37">SUM(F331:F334)</f>
        <v>0</v>
      </c>
      <c r="G335" s="1442">
        <f t="shared" si="37"/>
        <v>0</v>
      </c>
      <c r="H335" s="1442">
        <f t="shared" si="37"/>
        <v>0</v>
      </c>
      <c r="I335" s="1442">
        <f t="shared" si="37"/>
        <v>0</v>
      </c>
      <c r="J335" s="1442">
        <f t="shared" si="37"/>
        <v>0</v>
      </c>
      <c r="K335" s="1442">
        <f t="shared" si="37"/>
        <v>0</v>
      </c>
      <c r="L335" s="1442">
        <f t="shared" si="37"/>
        <v>0</v>
      </c>
      <c r="M335" s="1442">
        <f t="shared" si="37"/>
        <v>0</v>
      </c>
      <c r="N335" s="1442">
        <f t="shared" si="37"/>
        <v>0</v>
      </c>
    </row>
    <row r="336" spans="2:28" s="2" customFormat="1">
      <c r="B336" s="354"/>
      <c r="C336"/>
      <c r="E336" s="355"/>
    </row>
    <row r="337" spans="2:20" s="2" customFormat="1">
      <c r="B337" s="354"/>
      <c r="C337"/>
      <c r="E337" s="1438"/>
      <c r="F337" s="365"/>
      <c r="G337" s="365"/>
      <c r="H337" s="365"/>
      <c r="I337" s="365"/>
      <c r="J337" s="365"/>
      <c r="K337" s="365"/>
      <c r="L337" s="365"/>
      <c r="M337" s="365"/>
      <c r="N337" s="365"/>
    </row>
    <row r="338" spans="2:20" s="2" customFormat="1">
      <c r="B338" s="354" t="s">
        <v>1074</v>
      </c>
      <c r="C338" s="354"/>
      <c r="E338" s="1438"/>
      <c r="F338" s="365"/>
      <c r="G338" s="365"/>
      <c r="H338" s="365"/>
      <c r="I338" s="365"/>
      <c r="J338" s="365"/>
      <c r="K338" s="365"/>
      <c r="L338" s="365"/>
      <c r="M338" s="365"/>
    </row>
    <row r="339" spans="2:20" s="2" customFormat="1">
      <c r="B339" s="354"/>
      <c r="C339" s="354"/>
      <c r="E339" s="1438"/>
      <c r="F339" s="1321">
        <v>2013</v>
      </c>
      <c r="G339" s="1321">
        <v>2015</v>
      </c>
      <c r="H339" s="1321">
        <v>2020</v>
      </c>
      <c r="I339" s="1321">
        <v>2025</v>
      </c>
      <c r="J339" s="1321">
        <v>2030</v>
      </c>
      <c r="K339" s="1321">
        <v>2035</v>
      </c>
      <c r="L339" s="1321">
        <v>2040</v>
      </c>
      <c r="M339" s="1321">
        <v>2045</v>
      </c>
      <c r="N339" s="1321">
        <v>2050</v>
      </c>
    </row>
    <row r="340" spans="2:20" s="2" customFormat="1">
      <c r="B340" s="354"/>
      <c r="C340" s="354"/>
      <c r="E340" s="1438"/>
      <c r="F340" s="365"/>
      <c r="G340" s="365"/>
      <c r="H340" s="365"/>
      <c r="I340" s="365"/>
      <c r="J340" s="365"/>
      <c r="K340" s="365"/>
      <c r="L340" s="365"/>
      <c r="M340" s="365"/>
    </row>
    <row r="341" spans="2:20" s="2" customFormat="1">
      <c r="B341"/>
      <c r="C341" t="s">
        <v>1062</v>
      </c>
      <c r="D341" s="354"/>
      <c r="E341" s="1446" t="s">
        <v>251</v>
      </c>
      <c r="F341" s="2137">
        <f t="array" ref="F341">SUM(F$240:F$244*SUMIFS(EF[CO2], EF[Vector], $B$240:$B$244))</f>
        <v>4.2078251519999998</v>
      </c>
      <c r="G341" s="2137">
        <f t="array" ref="G341">SUM(G$240:G$244*SUMIFS(EF[CO2], EF[Vector], $B$240:$B$244))</f>
        <v>4.3308302417234428</v>
      </c>
      <c r="H341" s="2137">
        <f t="array" ref="H341">SUM(H$240:H$244*SUMIFS(EF[CO2], EF[Vector], $B$240:$B$244))</f>
        <v>4.659865174004973</v>
      </c>
      <c r="I341" s="2137">
        <f t="array" ref="I341">SUM(I$240:I$244*SUMIFS(EF[CO2], EF[Vector], $B$240:$B$244))</f>
        <v>5.0221911301588484</v>
      </c>
      <c r="J341" s="2137">
        <f t="array" ref="J341">SUM(J$240:J$244*SUMIFS(EF[CO2], EF[Vector], $B$240:$B$244))</f>
        <v>5.4212743096130831</v>
      </c>
      <c r="K341" s="2137">
        <f t="array" ref="K341">SUM(K$240:K$244*SUMIFS(EF[CO2], EF[Vector], $B$240:$B$244))</f>
        <v>5.8609475223170149</v>
      </c>
      <c r="L341" s="2137">
        <f t="array" ref="L341">SUM(L$240:L$244*SUMIFS(EF[CO2], EF[Vector], $B$240:$B$244))</f>
        <v>6.3454493007508628</v>
      </c>
      <c r="M341" s="2137">
        <f t="array" ref="M341">SUM(M$240:M$244*SUMIFS(EF[CO2], EF[Vector], $B$240:$B$244))</f>
        <v>6.8794672055424453</v>
      </c>
      <c r="N341" s="2137">
        <f t="array" ref="N341">SUM(N$240:N$244*SUMIFS(EF[CO2], EF[Vector], $B$240:$B$244))</f>
        <v>7.4681857757385455</v>
      </c>
    </row>
    <row r="342" spans="2:20" s="2" customFormat="1">
      <c r="B342"/>
      <c r="C342" t="s">
        <v>1064</v>
      </c>
      <c r="E342" s="1446" t="s">
        <v>251</v>
      </c>
      <c r="F342" s="2137">
        <f t="array" ref="F342">SUM(F$240:F$244*SUMIFS(EF[CH4], EF[Vector], $B$240:$B$244))</f>
        <v>2.1521051999999997E-3</v>
      </c>
      <c r="G342" s="2137">
        <f t="array" ref="G342">SUM(G$240:G$244*SUMIFS(EF[CH4], EF[Vector], $B$240:$B$244))</f>
        <v>2.2150165339213882E-3</v>
      </c>
      <c r="H342" s="2137">
        <f t="array" ref="H342">SUM(H$240:H$244*SUMIFS(EF[CH4], EF[Vector], $B$240:$B$244))</f>
        <v>2.3833024686181182E-3</v>
      </c>
      <c r="I342" s="2137">
        <f t="array" ref="I342">SUM(I$240:I$244*SUMIFS(EF[CH4], EF[Vector], $B$240:$B$244))</f>
        <v>2.5686152005321575E-3</v>
      </c>
      <c r="J342" s="2137">
        <f t="array" ref="J342">SUM(J$240:J$244*SUMIFS(EF[CH4], EF[Vector], $B$240:$B$244))</f>
        <v>2.7727275280911502E-3</v>
      </c>
      <c r="K342" s="2137">
        <f t="array" ref="K342">SUM(K$240:K$244*SUMIFS(EF[CH4], EF[Vector], $B$240:$B$244))</f>
        <v>2.9975997538087733E-3</v>
      </c>
      <c r="L342" s="2137">
        <f t="array" ref="L342">SUM(L$240:L$244*SUMIFS(EF[CH4], EF[Vector], $B$240:$B$244))</f>
        <v>3.2453996882431057E-3</v>
      </c>
      <c r="M342" s="2137">
        <f t="array" ref="M342">SUM(M$240:M$244*SUMIFS(EF[CH4], EF[Vector], $B$240:$B$244))</f>
        <v>3.5185247987883522E-3</v>
      </c>
      <c r="N342" s="2137">
        <f t="array" ref="N342">SUM(N$240:N$244*SUMIFS(EF[CH4], EF[Vector], $B$240:$B$244))</f>
        <v>3.8196267339895779E-3</v>
      </c>
    </row>
    <row r="343" spans="2:20" s="2" customFormat="1">
      <c r="B343"/>
      <c r="C343" t="s">
        <v>1066</v>
      </c>
      <c r="E343" s="1446" t="s">
        <v>251</v>
      </c>
      <c r="F343" s="2137">
        <f t="array" ref="F343">SUM(F$240:F$244*SUMIFS(EF[N2O], EF[Vector], $B$240:$B$244))</f>
        <v>2.9418875999999997E-2</v>
      </c>
      <c r="G343" s="2137">
        <f t="array" ref="G343">SUM(G$240:G$244*SUMIFS(EF[N2O], EF[Vector], $B$240:$B$244))</f>
        <v>3.0278862180800045E-2</v>
      </c>
      <c r="H343" s="2137">
        <f t="array" ref="H343">SUM(H$240:H$244*SUMIFS(EF[N2O], EF[Vector], $B$240:$B$244))</f>
        <v>3.2579299466759477E-2</v>
      </c>
      <c r="I343" s="2137">
        <f t="array" ref="I343">SUM(I$240:I$244*SUMIFS(EF[N2O], EF[Vector], $B$240:$B$244))</f>
        <v>3.5112489889514077E-2</v>
      </c>
      <c r="J343" s="2137">
        <f t="array" ref="J343">SUM(J$240:J$244*SUMIFS(EF[N2O], EF[Vector], $B$240:$B$244))</f>
        <v>3.7902667272352697E-2</v>
      </c>
      <c r="K343" s="2137">
        <f t="array" ref="K343">SUM(K$240:K$244*SUMIFS(EF[N2O], EF[Vector], $B$240:$B$244))</f>
        <v>4.0976628584388358E-2</v>
      </c>
      <c r="L343" s="2137">
        <f t="array" ref="L343">SUM(L$240:L$244*SUMIFS(EF[N2O], EF[Vector], $B$240:$B$244))</f>
        <v>4.4364007390931715E-2</v>
      </c>
      <c r="M343" s="2137">
        <f t="array" ref="M343">SUM(M$240:M$244*SUMIFS(EF[N2O], EF[Vector], $B$240:$B$244))</f>
        <v>4.8097576623335823E-2</v>
      </c>
      <c r="N343" s="2137">
        <f t="array" ref="N343">SUM(N$240:N$244*SUMIFS(EF[N2O], EF[Vector], $B$240:$B$244))</f>
        <v>5.2213583821796625E-2</v>
      </c>
    </row>
    <row r="344" spans="2:20" s="2" customFormat="1">
      <c r="B344" s="355"/>
      <c r="C344"/>
      <c r="E344" s="1446"/>
      <c r="F344" s="404"/>
      <c r="G344" s="404"/>
      <c r="H344" s="404"/>
      <c r="I344" s="404"/>
      <c r="J344" s="404"/>
      <c r="K344" s="404"/>
      <c r="L344" s="404"/>
      <c r="M344" s="404"/>
      <c r="N344" s="404"/>
    </row>
    <row r="345" spans="2:20" s="2" customFormat="1">
      <c r="B345" s="355"/>
      <c r="C345" t="s">
        <v>1075</v>
      </c>
      <c r="E345" s="1446" t="s">
        <v>251</v>
      </c>
      <c r="F345" s="404"/>
      <c r="G345" s="404"/>
      <c r="H345" s="404"/>
      <c r="I345" s="404"/>
      <c r="J345" s="404"/>
      <c r="K345" s="404"/>
      <c r="L345" s="404"/>
      <c r="M345" s="404"/>
      <c r="N345" s="404"/>
    </row>
    <row r="346" spans="2:20" s="2" customFormat="1">
      <c r="B346" s="354"/>
      <c r="E346" s="1438"/>
      <c r="F346" s="404"/>
      <c r="G346" s="404"/>
      <c r="H346" s="404"/>
      <c r="I346" s="404"/>
      <c r="J346" s="404"/>
      <c r="K346" s="404"/>
      <c r="L346" s="404"/>
      <c r="M346" s="404"/>
      <c r="N346" s="404"/>
    </row>
    <row r="347" spans="2:20" s="2" customFormat="1">
      <c r="B347" t="s">
        <v>1076</v>
      </c>
      <c r="E347" s="1438"/>
      <c r="F347" s="404" t="s">
        <v>5</v>
      </c>
      <c r="G347" s="404"/>
      <c r="H347" s="404"/>
      <c r="I347" s="404"/>
      <c r="J347" s="404"/>
      <c r="K347" s="404"/>
      <c r="L347" s="404"/>
      <c r="M347" s="404"/>
      <c r="N347" s="404"/>
    </row>
    <row r="348" spans="2:20">
      <c r="C348" t="s">
        <v>146</v>
      </c>
      <c r="D348" s="1447"/>
      <c r="E348" s="1447"/>
      <c r="F348" s="1448">
        <f ca="1">F241*(1-'Intermediate output'!AY$253)</f>
        <v>2.9615294185141749</v>
      </c>
      <c r="G348" s="1448">
        <f ca="1">G241*(1-'Intermediate output'!AZ$253)</f>
        <v>2.985231604527983</v>
      </c>
      <c r="H348" s="1448">
        <f ca="1">H241*(1-'Intermediate output'!BA$253)</f>
        <v>3.1336197621033031</v>
      </c>
      <c r="I348" s="1448">
        <f ca="1">I241*(1-'Intermediate output'!BB$253)</f>
        <v>3.3109164601096599</v>
      </c>
      <c r="J348" s="1448">
        <f ca="1">J241*(1-'Intermediate output'!BC$253)</f>
        <v>3.2388726279058306</v>
      </c>
      <c r="K348" s="1448">
        <f ca="1">K241*(1-'Intermediate output'!BD$253)</f>
        <v>1.1751115593935537</v>
      </c>
      <c r="L348" s="1448">
        <f ca="1">L241*(1-'Intermediate output'!BE$253)</f>
        <v>1.8605636577892755</v>
      </c>
      <c r="M348" s="1448">
        <f ca="1">M241*(1-'Intermediate output'!BF$253)</f>
        <v>2.6044534697270043</v>
      </c>
      <c r="N348" s="1448">
        <f ca="1">N241*(1-'Intermediate output'!BG$253)</f>
        <v>2.9094430028180738</v>
      </c>
      <c r="O348" s="1068"/>
      <c r="R348" s="6"/>
      <c r="S348" s="365"/>
      <c r="T348" s="6"/>
    </row>
    <row r="349" spans="2:20">
      <c r="C349" t="s">
        <v>144</v>
      </c>
      <c r="D349" s="1447"/>
      <c r="E349" s="1447"/>
      <c r="F349" s="1448">
        <f ca="1">F242*(1-'Intermediate output'!AY$254)</f>
        <v>6.2659913997895371</v>
      </c>
      <c r="G349" s="1448">
        <f ca="1">G242*(1-'Intermediate output'!AZ$254)</f>
        <v>6.4352557208724699</v>
      </c>
      <c r="H349" s="1448">
        <f ca="1">H242*(1-'Intermediate output'!BA$254)</f>
        <v>6.9252387122251671</v>
      </c>
      <c r="I349" s="1448">
        <f ca="1">I242*(1-'Intermediate output'!BB$254)</f>
        <v>7.4616745333586261</v>
      </c>
      <c r="J349" s="1448">
        <f ca="1">J242*(1-'Intermediate output'!BC$254)</f>
        <v>8.1017434678752149</v>
      </c>
      <c r="K349" s="1448">
        <f ca="1">K242*(1-'Intermediate output'!BD$254)</f>
        <v>8.7754679835686762</v>
      </c>
      <c r="L349" s="1448">
        <f ca="1">L242*(1-'Intermediate output'!BE$254)</f>
        <v>9.5189205984803653</v>
      </c>
      <c r="M349" s="1448">
        <f ca="1">M242*(1-'Intermediate output'!BF$254)</f>
        <v>10.33971504410367</v>
      </c>
      <c r="N349" s="1448">
        <f ca="1">N242*(1-'Intermediate output'!BG$254)</f>
        <v>11.245786237097184</v>
      </c>
      <c r="O349" s="1068"/>
      <c r="R349" s="6"/>
      <c r="S349" s="365"/>
      <c r="T349" s="6"/>
    </row>
    <row r="350" spans="2:20">
      <c r="C350" t="s">
        <v>141</v>
      </c>
      <c r="D350" s="1447"/>
      <c r="E350" s="1447"/>
      <c r="F350" s="1448">
        <f ca="1">F243*(1-'Intermediate output'!AY$255)</f>
        <v>7.2136092962056368</v>
      </c>
      <c r="G350" s="1448">
        <f ca="1">G243*(1-'Intermediate output'!AZ$255)</f>
        <v>7.4212007054250915</v>
      </c>
      <c r="H350" s="1448">
        <f ca="1">H243*(1-'Intermediate output'!BA$255)</f>
        <v>7.9783139199872508</v>
      </c>
      <c r="I350" s="1448">
        <f ca="1">I243*(1-'Intermediate output'!BB$255)</f>
        <v>8.5870258323245086</v>
      </c>
      <c r="J350" s="1448">
        <f ca="1">J243*(1-'Intermediate output'!BC$255)</f>
        <v>9.2791479080885129</v>
      </c>
      <c r="K350" s="1448">
        <f ca="1">K243*(1-'Intermediate output'!BD$255)</f>
        <v>10.028788716589776</v>
      </c>
      <c r="L350" s="1448">
        <f ca="1">L243*(1-'Intermediate output'!BE$255)</f>
        <v>10.848290709536013</v>
      </c>
      <c r="M350" s="1448">
        <f ca="1">M243*(1-'Intermediate output'!BF$255)</f>
        <v>11.75150614052874</v>
      </c>
      <c r="N350" s="1448">
        <f ca="1">N243*(1-'Intermediate output'!BG$255)</f>
        <v>12.760657019988516</v>
      </c>
      <c r="O350" s="1068"/>
      <c r="R350" s="6"/>
      <c r="S350" s="365"/>
      <c r="T350" s="6"/>
    </row>
    <row r="351" spans="2:20">
      <c r="C351" t="s">
        <v>147</v>
      </c>
      <c r="D351" s="1447"/>
      <c r="E351" s="1447"/>
      <c r="F351" s="1448">
        <f ca="1">F241*('Intermediate output'!AY$253)</f>
        <v>0.14847058148582504</v>
      </c>
      <c r="G351" s="1448">
        <f ca="1">G241*('Intermediate output'!AZ$253)</f>
        <v>0.21568135293130747</v>
      </c>
      <c r="H351" s="1448">
        <f ca="1">H241*('Intermediate output'!BA$253)</f>
        <v>0.31048263465794557</v>
      </c>
      <c r="I351" s="1448">
        <f ca="1">I241*('Intermediate output'!BB$253)</f>
        <v>0.40098074345409201</v>
      </c>
      <c r="J351" s="1448">
        <f ca="1">J241*('Intermediate output'!BC$253)</f>
        <v>0.76798661501755239</v>
      </c>
      <c r="K351" s="1448">
        <f ca="1">K241*('Intermediate output'!BD$253)</f>
        <v>3.1567097820284578</v>
      </c>
      <c r="L351" s="1448">
        <f ca="1">L241*('Intermediate output'!BE$253)</f>
        <v>2.8293525370305952</v>
      </c>
      <c r="M351" s="1448">
        <f ca="1">M241*('Intermediate output'!BF$253)</f>
        <v>2.4801549054731375</v>
      </c>
      <c r="N351" s="1448">
        <f ca="1">N241*('Intermediate output'!BG$253)</f>
        <v>2.6102867681557558</v>
      </c>
      <c r="O351" s="1068"/>
      <c r="R351" s="6"/>
      <c r="S351" s="365"/>
      <c r="T351" s="6"/>
    </row>
    <row r="352" spans="2:20">
      <c r="C352" t="s">
        <v>145</v>
      </c>
      <c r="D352" s="1447"/>
      <c r="E352" s="1447"/>
      <c r="F352" s="1448">
        <f ca="1">F242*'Intermediate output'!AY$254</f>
        <v>8.400860021046247E-2</v>
      </c>
      <c r="G352" s="1448">
        <f ca="1">G242*'Intermediate output'!AZ$254</f>
        <v>0.1003704141328339</v>
      </c>
      <c r="H352" s="1448">
        <f ca="1">H242*'Intermediate output'!BA$254</f>
        <v>0.1069317763387968</v>
      </c>
      <c r="I352" s="1448">
        <f ca="1">I242*'Intermediate output'!BB$254</f>
        <v>0.1172795639499995</v>
      </c>
      <c r="J352" s="1448">
        <f ca="1">J242*'Intermediate output'!BC$254</f>
        <v>7.9464311084104289E-2</v>
      </c>
      <c r="K352" s="1448">
        <f ca="1">K242*'Intermediate output'!BD$254</f>
        <v>6.9247617083983207E-2</v>
      </c>
      <c r="L352" s="1448">
        <f ca="1">L242*'Intermediate output'!BE$254</f>
        <v>5.6953304126122796E-2</v>
      </c>
      <c r="M352" s="1448">
        <f ca="1">M242*'Intermediate output'!BF$254</f>
        <v>4.2041606224590973E-2</v>
      </c>
      <c r="N352" s="1448">
        <f ca="1">N242*'Intermediate output'!BG$254</f>
        <v>2.4401558942628375E-2</v>
      </c>
      <c r="O352" s="1068"/>
      <c r="R352" s="6"/>
      <c r="S352" s="365"/>
      <c r="T352" s="6"/>
    </row>
    <row r="353" spans="2:28">
      <c r="C353" s="3580" t="s">
        <v>142</v>
      </c>
      <c r="D353" s="1447"/>
      <c r="E353" s="1447"/>
      <c r="F353" s="1448">
        <f ca="1">F243*'Intermediate output'!AY$255</f>
        <v>2.6390703794362265E-2</v>
      </c>
      <c r="G353" s="1448">
        <f ca="1">G243*'Intermediate output'!AZ$255</f>
        <v>3.0442320943160246E-2</v>
      </c>
      <c r="H353" s="1448">
        <f ca="1">H243*'Intermediate output'!BA$255</f>
        <v>3.9467865399064543E-2</v>
      </c>
      <c r="I353" s="1448">
        <f ca="1">I243*'Intermediate output'!BB$255</f>
        <v>5.4175374685641646E-2</v>
      </c>
      <c r="J353" s="1448">
        <f ca="1">J243*'Intermediate output'!BC$255</f>
        <v>4.8717339102900853E-2</v>
      </c>
      <c r="K353" s="1448">
        <f ca="1">K243*'Intermediate output'!BD$255</f>
        <v>5.557993675278286E-2</v>
      </c>
      <c r="L353" s="1448">
        <f ca="1">L243*'Intermediate output'!BE$255</f>
        <v>6.9713551073590466E-2</v>
      </c>
      <c r="M353" s="1448">
        <f ca="1">M243*'Intermediate output'!BF$255</f>
        <v>8.5331363152618675E-2</v>
      </c>
      <c r="N353" s="1448">
        <f ca="1">N243*'Intermediate output'!BG$255</f>
        <v>8.9131900220657839E-2</v>
      </c>
      <c r="O353" s="1068"/>
      <c r="R353" s="6"/>
      <c r="S353" s="365"/>
      <c r="T353" s="6"/>
    </row>
    <row r="354" spans="2:28" s="2" customFormat="1">
      <c r="B354" s="354"/>
      <c r="E354" s="1438"/>
      <c r="F354" s="404"/>
      <c r="G354" s="404"/>
      <c r="H354" s="404"/>
      <c r="I354" s="404"/>
      <c r="J354" s="404"/>
      <c r="K354" s="404"/>
      <c r="L354" s="404"/>
      <c r="M354" s="404"/>
      <c r="N354" s="404"/>
    </row>
    <row r="355" spans="2:28" s="2" customFormat="1">
      <c r="B355" s="354" t="s">
        <v>257</v>
      </c>
      <c r="C355" t="s">
        <v>258</v>
      </c>
      <c r="E355" s="1438" t="s">
        <v>972</v>
      </c>
      <c r="F355" s="2415">
        <f ca="1">SUMPRODUCT(F$348:F$350,F110:F112)+SUMPRODUCT(F$351:F$353,F110:F112,Constants!$F$35:$F$37)</f>
        <v>0.36395084742818745</v>
      </c>
      <c r="G355" s="2415">
        <f ca="1">SUMPRODUCT(G$348:G$350,G110:G112)+SUMPRODUCT(G$351:G$353,G110:G112,Constants!$F$35:$F$37)</f>
        <v>0.46529987400731332</v>
      </c>
      <c r="H355" s="2415">
        <f ca="1">SUMPRODUCT(H$348:H$350,H110:H112)+SUMPRODUCT(H$351:H$353,H110:H112,Constants!$F$35:$F$37)</f>
        <v>0.51041091274517703</v>
      </c>
      <c r="I355" s="2415">
        <f ca="1">SUMPRODUCT(I$348:I$350,I110:I112)+SUMPRODUCT(I$351:I$353,I110:I112,Constants!$F$35:$F$37)</f>
        <v>0.56140461652592266</v>
      </c>
      <c r="J355" s="2415">
        <f ca="1">SUMPRODUCT(J$348:J$350,J110:J112)+SUMPRODUCT(J$351:J$353,J110:J112,Constants!$F$35:$F$37)</f>
        <v>0.62856985554005729</v>
      </c>
      <c r="K355" s="2415">
        <f ca="1">SUMPRODUCT(K$348:K$350,K110:K112)+SUMPRODUCT(K$351:K$353,K110:K112,Constants!$F$35:$F$37)</f>
        <v>0.91225241877535357</v>
      </c>
      <c r="L355" s="2415">
        <f ca="1">SUMPRODUCT(L$348:L$350,L110:L112)+SUMPRODUCT(L$351:L$353,L110:L112,Constants!$F$35:$F$37)</f>
        <v>0.92547857143917689</v>
      </c>
      <c r="M355" s="2415">
        <f ca="1">SUMPRODUCT(M$348:M$350,M110:M112)+SUMPRODUCT(M$351:M$353,M110:M112,Constants!$F$35:$F$37)</f>
        <v>0.9410057246258936</v>
      </c>
      <c r="N355" s="2415">
        <f ca="1">SUMPRODUCT(N$348:N$350,N110:N112)+SUMPRODUCT(N$351:N$353,N110:N112,Constants!$F$35:$F$37)</f>
        <v>1.0095493543466747</v>
      </c>
      <c r="S355" s="404"/>
      <c r="T355" s="404"/>
      <c r="U355" s="404"/>
      <c r="V355" s="404"/>
      <c r="W355" s="404"/>
      <c r="X355" s="404"/>
      <c r="Y355" s="404"/>
      <c r="Z355" s="404"/>
      <c r="AA355" s="404"/>
      <c r="AB355" s="404"/>
    </row>
    <row r="356" spans="2:28" s="2" customFormat="1">
      <c r="B356" s="354" t="s">
        <v>259</v>
      </c>
      <c r="C356" t="s">
        <v>260</v>
      </c>
      <c r="E356" s="1438" t="s">
        <v>972</v>
      </c>
      <c r="F356" s="2415">
        <f ca="1">SUMPRODUCT(F$348:F$350,F117:F119)+SUMPRODUCT(F$351:F$353,F117:F119,Constants!$G$35:$G$37)</f>
        <v>8.8057182274036485</v>
      </c>
      <c r="G356" s="2415">
        <f ca="1">SUMPRODUCT(G$348:G$350,G117:G119)+SUMPRODUCT(G$351:G$353,G117:G119,Constants!$G$35:$G$37)</f>
        <v>5.3418194386828262</v>
      </c>
      <c r="H356" s="2415">
        <f ca="1">SUMPRODUCT(H$348:H$350,H117:H119)+SUMPRODUCT(H$351:H$353,H117:H119,Constants!$G$35:$G$37)</f>
        <v>5.3297488162059645</v>
      </c>
      <c r="I356" s="2415">
        <f ca="1">SUMPRODUCT(I$348:I$350,I117:I119)+SUMPRODUCT(I$351:I$353,I117:I119,Constants!$G$35:$G$37)</f>
        <v>5.5165737523197302</v>
      </c>
      <c r="J356" s="2415">
        <f ca="1">SUMPRODUCT(J$348:J$350,J117:J119)+SUMPRODUCT(J$351:J$353,J117:J119,Constants!$G$35:$G$37)</f>
        <v>5.7198292858599435</v>
      </c>
      <c r="K356" s="2415">
        <f ca="1">SUMPRODUCT(K$348:K$350,K117:K119)+SUMPRODUCT(K$351:K$353,K117:K119,Constants!$G$35:$G$37)</f>
        <v>5.9655755736227736</v>
      </c>
      <c r="L356" s="2415">
        <f ca="1">SUMPRODUCT(L$348:L$350,L117:L119)+SUMPRODUCT(L$351:L$353,L117:L119,Constants!$G$35:$G$37)</f>
        <v>6.5140736422841909</v>
      </c>
      <c r="M356" s="2415">
        <f ca="1">SUMPRODUCT(M$348:M$350,M117:M119)+SUMPRODUCT(M$351:M$353,M117:M119,Constants!$G$35:$G$37)</f>
        <v>7.1176358771795023</v>
      </c>
      <c r="N356" s="2415">
        <f ca="1">SUMPRODUCT(N$348:N$350,N117:N119)+SUMPRODUCT(N$351:N$353,N117:N119,Constants!$G$35:$G$37)</f>
        <v>7.7366717561707938</v>
      </c>
      <c r="S356" s="404"/>
      <c r="T356" s="404"/>
      <c r="U356" s="404"/>
      <c r="V356" s="404"/>
      <c r="W356" s="404"/>
      <c r="X356" s="404"/>
      <c r="Y356" s="404"/>
      <c r="Z356" s="404"/>
      <c r="AA356" s="404"/>
      <c r="AB356" s="404"/>
    </row>
    <row r="357" spans="2:28" s="2" customFormat="1">
      <c r="B357" s="354" t="s">
        <v>261</v>
      </c>
      <c r="C357" t="s">
        <v>262</v>
      </c>
      <c r="E357" s="1438" t="s">
        <v>972</v>
      </c>
      <c r="F357" s="2415">
        <f ca="1">SUMPRODUCT(F$348:F$350,F124:F126)+SUMPRODUCT(F$351:F$353,F124:F126,Constants!$H$35:$H$37)</f>
        <v>5.5532438772504733</v>
      </c>
      <c r="G357" s="2415">
        <f ca="1">SUMPRODUCT(G$348:G$350,G124:G126)+SUMPRODUCT(G$351:G$353,G124:G126,Constants!$H$35:$H$37)</f>
        <v>5.9831950572866175</v>
      </c>
      <c r="H357" s="2415">
        <f ca="1">SUMPRODUCT(H$348:H$350,H124:H126)+SUMPRODUCT(H$351:H$353,H124:H126,Constants!$H$35:$H$37)</f>
        <v>6.1804812611393487</v>
      </c>
      <c r="I357" s="2415">
        <f ca="1">SUMPRODUCT(I$348:I$350,I124:I126)+SUMPRODUCT(I$351:I$353,I124:I126,Constants!$H$35:$H$37)</f>
        <v>6.600113815539796</v>
      </c>
      <c r="J357" s="2415">
        <f ca="1">SUMPRODUCT(J$348:J$350,J124:J126)+SUMPRODUCT(J$351:J$353,J124:J126,Constants!$H$35:$H$37)</f>
        <v>6.5011875562859043</v>
      </c>
      <c r="K357" s="2415">
        <f ca="1">SUMPRODUCT(K$348:K$350,K124:K126)+SUMPRODUCT(K$351:K$353,K124:K126,Constants!$H$35:$H$37)</f>
        <v>4.3100716463805089</v>
      </c>
      <c r="L357" s="2415">
        <f ca="1">SUMPRODUCT(L$348:L$350,L124:L126)+SUMPRODUCT(L$351:L$353,L124:L126,Constants!$H$35:$H$37)</f>
        <v>5.3609774224618141</v>
      </c>
      <c r="M357" s="2415">
        <f ca="1">SUMPRODUCT(M$348:M$350,M124:M126)+SUMPRODUCT(M$351:M$353,M124:M126,Constants!$H$35:$H$37)</f>
        <v>6.5061264703909059</v>
      </c>
      <c r="N357" s="2415">
        <f ca="1">SUMPRODUCT(N$348:N$350,N124:N126)+SUMPRODUCT(N$351:N$353,N124:N126,Constants!$H$35:$H$37)</f>
        <v>7.1658945822619682</v>
      </c>
      <c r="S357" s="404"/>
      <c r="T357" s="404"/>
      <c r="U357" s="404"/>
      <c r="V357" s="404"/>
      <c r="W357" s="404"/>
      <c r="X357" s="404"/>
      <c r="Y357" s="404"/>
      <c r="Z357" s="404"/>
      <c r="AA357" s="404"/>
      <c r="AB357" s="404"/>
    </row>
    <row r="358" spans="2:28" s="2" customFormat="1">
      <c r="B358" s="354" t="s">
        <v>263</v>
      </c>
      <c r="C358" t="s">
        <v>264</v>
      </c>
      <c r="E358" s="1438" t="s">
        <v>972</v>
      </c>
      <c r="F358" s="3588">
        <f ca="1">SUMPRODUCT(F$348:F$350,F131:F133)+SUMPRODUCT(F$351:F$353,F131:F133,Constants!$I$35:$I$37)</f>
        <v>0.16344614830449589</v>
      </c>
      <c r="G358" s="3588">
        <f ca="1">SUMPRODUCT(G$348:G$350,G131:G133)+SUMPRODUCT(G$351:G$353,G131:G133,Constants!$I$35:$I$37)</f>
        <v>0.15320029224438733</v>
      </c>
      <c r="H358" s="3588">
        <f ca="1">SUMPRODUCT(H$348:H$350,H131:H133)+SUMPRODUCT(H$351:H$353,H131:H133,Constants!$I$35:$I$37)</f>
        <v>0.17373170478218752</v>
      </c>
      <c r="I358" s="3588">
        <f ca="1">SUMPRODUCT(I$348:I$350,I131:I133)+SUMPRODUCT(I$351:I$353,I131:I133,Constants!$I$35:$I$37)</f>
        <v>0.19435316305662442</v>
      </c>
      <c r="J358" s="3588">
        <f ca="1">SUMPRODUCT(J$348:J$350,J131:J133)+SUMPRODUCT(J$351:J$353,J131:J133,Constants!$I$35:$I$37)</f>
        <v>0.24164658917119908</v>
      </c>
      <c r="K358" s="3588">
        <f ca="1">SUMPRODUCT(K$348:K$350,K131:K133)+SUMPRODUCT(K$351:K$353,K131:K133,Constants!$I$35:$I$37)</f>
        <v>0.49637867812968411</v>
      </c>
      <c r="L358" s="3588">
        <f ca="1">SUMPRODUCT(L$348:L$350,L131:L133)+SUMPRODUCT(L$351:L$353,L131:L133,Constants!$I$35:$I$37)</f>
        <v>0.47684326603250937</v>
      </c>
      <c r="M358" s="3588">
        <f ca="1">SUMPRODUCT(M$348:M$350,M131:M133)+SUMPRODUCT(M$351:M$353,M131:M133,Constants!$I$35:$I$37)</f>
        <v>0.45641878158282917</v>
      </c>
      <c r="N358" s="3588">
        <f ca="1">SUMPRODUCT(N$348:N$350,N131:N133)+SUMPRODUCT(N$351:N$353,N131:N133,Constants!$I$35:$I$37)</f>
        <v>0.48602252496471254</v>
      </c>
      <c r="S358" s="404"/>
      <c r="T358" s="404"/>
      <c r="U358" s="404"/>
      <c r="V358" s="404"/>
      <c r="W358" s="404"/>
      <c r="X358" s="404"/>
      <c r="Y358" s="404"/>
      <c r="Z358" s="404"/>
      <c r="AA358" s="404"/>
      <c r="AB358" s="404"/>
    </row>
    <row r="359" spans="2:28" s="2" customFormat="1">
      <c r="B359" s="354"/>
      <c r="E359" s="1438"/>
      <c r="F359" s="404"/>
      <c r="G359" s="404"/>
      <c r="H359" s="404"/>
      <c r="I359" s="404"/>
      <c r="J359" s="404"/>
      <c r="K359" s="404"/>
      <c r="L359" s="404"/>
      <c r="M359" s="404"/>
      <c r="N359" s="404"/>
    </row>
    <row r="360" spans="2:28" s="2" customFormat="1">
      <c r="B360" s="354" t="s">
        <v>1077</v>
      </c>
      <c r="C360"/>
      <c r="J360" s="404"/>
      <c r="N360" s="401"/>
    </row>
    <row r="361" spans="2:28" s="2" customFormat="1">
      <c r="B361" s="354"/>
      <c r="C361"/>
      <c r="F361" s="1321">
        <v>2013</v>
      </c>
      <c r="G361" s="1321">
        <v>2015</v>
      </c>
      <c r="H361" s="1321">
        <v>2020</v>
      </c>
      <c r="I361" s="1321">
        <v>2025</v>
      </c>
      <c r="J361" s="1321">
        <v>2030</v>
      </c>
      <c r="K361" s="1321">
        <v>2035</v>
      </c>
      <c r="L361" s="1321">
        <v>2040</v>
      </c>
      <c r="M361" s="1321">
        <v>2045</v>
      </c>
      <c r="N361" s="1321">
        <v>2050</v>
      </c>
    </row>
    <row r="362" spans="2:28" s="2" customFormat="1">
      <c r="B362" s="354"/>
      <c r="C362"/>
      <c r="E362" s="355"/>
      <c r="F362" s="1313"/>
      <c r="G362" s="1313"/>
      <c r="H362" s="1313"/>
      <c r="I362" s="1313"/>
      <c r="J362" s="1313"/>
      <c r="K362" s="1313"/>
      <c r="L362" s="1313"/>
      <c r="M362" s="1313"/>
      <c r="N362" s="401"/>
    </row>
    <row r="363" spans="2:28" s="2" customFormat="1">
      <c r="B363" s="354"/>
      <c r="C363" t="s">
        <v>1078</v>
      </c>
      <c r="E363" s="1446" t="s">
        <v>251</v>
      </c>
      <c r="F363" s="365">
        <f t="shared" ref="F363:N363" si="38">F$286</f>
        <v>1.11175</v>
      </c>
      <c r="G363" s="365">
        <f t="shared" si="38"/>
        <v>1.1453526437499997</v>
      </c>
      <c r="H363" s="365">
        <f t="shared" si="38"/>
        <v>1.2338700819185533</v>
      </c>
      <c r="I363" s="365">
        <f t="shared" si="38"/>
        <v>1.3292285021223598</v>
      </c>
      <c r="J363" s="365">
        <f t="shared" si="38"/>
        <v>1.4319566028436053</v>
      </c>
      <c r="K363" s="365">
        <f t="shared" si="38"/>
        <v>1.5426239425000261</v>
      </c>
      <c r="L363" s="365">
        <f t="shared" si="38"/>
        <v>1.6618440972643267</v>
      </c>
      <c r="M363" s="365">
        <f t="shared" si="38"/>
        <v>1.7902780629325272</v>
      </c>
      <c r="N363" s="365">
        <f t="shared" si="38"/>
        <v>1.9286379197023151</v>
      </c>
    </row>
    <row r="364" spans="2:28" s="405" customFormat="1" ht="13">
      <c r="B364" s="1449" t="s">
        <v>218</v>
      </c>
      <c r="C364" s="405" t="s">
        <v>1079</v>
      </c>
      <c r="E364" s="1450"/>
      <c r="F364" s="1228">
        <f t="shared" ref="F364:N364" si="39">INDEX(F$51:F$53, MATCH($E$9,$C$51:$C$53, 0))</f>
        <v>0</v>
      </c>
      <c r="G364" s="1228">
        <f t="shared" si="39"/>
        <v>0</v>
      </c>
      <c r="H364" s="1228">
        <f t="shared" si="39"/>
        <v>0</v>
      </c>
      <c r="I364" s="1228">
        <f t="shared" si="39"/>
        <v>0</v>
      </c>
      <c r="J364" s="1228">
        <f t="shared" si="39"/>
        <v>0</v>
      </c>
      <c r="K364" s="1228">
        <f t="shared" si="39"/>
        <v>0</v>
      </c>
      <c r="L364" s="1228">
        <f t="shared" si="39"/>
        <v>0</v>
      </c>
      <c r="M364" s="1228">
        <f t="shared" si="39"/>
        <v>0</v>
      </c>
      <c r="N364" s="1228">
        <f t="shared" si="39"/>
        <v>0</v>
      </c>
    </row>
    <row r="365" spans="2:28" s="2" customFormat="1">
      <c r="B365" s="366" t="s">
        <v>220</v>
      </c>
      <c r="C365" s="354" t="s">
        <v>1080</v>
      </c>
      <c r="E365" s="1446" t="s">
        <v>251</v>
      </c>
      <c r="F365" s="365">
        <f t="shared" ref="F365:N365" si="40">F363*F364</f>
        <v>0</v>
      </c>
      <c r="G365" s="365">
        <f t="shared" si="40"/>
        <v>0</v>
      </c>
      <c r="H365" s="365">
        <f t="shared" si="40"/>
        <v>0</v>
      </c>
      <c r="I365" s="365">
        <f t="shared" si="40"/>
        <v>0</v>
      </c>
      <c r="J365" s="365">
        <f t="shared" si="40"/>
        <v>0</v>
      </c>
      <c r="K365" s="365">
        <f t="shared" si="40"/>
        <v>0</v>
      </c>
      <c r="L365" s="365">
        <f t="shared" si="40"/>
        <v>0</v>
      </c>
      <c r="M365" s="365">
        <f t="shared" si="40"/>
        <v>0</v>
      </c>
      <c r="N365" s="365">
        <f t="shared" si="40"/>
        <v>0</v>
      </c>
    </row>
    <row r="366" spans="2:28" s="2" customFormat="1">
      <c r="B366" s="366"/>
      <c r="C366"/>
      <c r="E366" s="1446"/>
      <c r="F366" s="365"/>
      <c r="G366" s="365"/>
      <c r="H366" s="365"/>
      <c r="I366" s="365"/>
      <c r="J366" s="365"/>
      <c r="K366" s="365"/>
      <c r="L366" s="365"/>
      <c r="M366" s="365"/>
      <c r="N366" s="365"/>
    </row>
    <row r="367" spans="2:28" s="2" customFormat="1">
      <c r="B367" s="354"/>
      <c r="C367" t="s">
        <v>1081</v>
      </c>
      <c r="E367" s="1446" t="s">
        <v>251</v>
      </c>
      <c r="F367" s="365">
        <f t="shared" ref="F367:M367" si="41">F$341-F$345</f>
        <v>4.2078251519999998</v>
      </c>
      <c r="G367" s="365">
        <f t="shared" si="41"/>
        <v>4.3308302417234428</v>
      </c>
      <c r="H367" s="365">
        <f t="shared" si="41"/>
        <v>4.659865174004973</v>
      </c>
      <c r="I367" s="365">
        <f t="shared" si="41"/>
        <v>5.0221911301588484</v>
      </c>
      <c r="J367" s="365">
        <f t="shared" si="41"/>
        <v>5.4212743096130831</v>
      </c>
      <c r="K367" s="365">
        <f t="shared" si="41"/>
        <v>5.8609475223170149</v>
      </c>
      <c r="L367" s="365">
        <f t="shared" si="41"/>
        <v>6.3454493007508628</v>
      </c>
      <c r="M367" s="365">
        <f t="shared" si="41"/>
        <v>6.8794672055424453</v>
      </c>
      <c r="N367" s="365">
        <v>36.58877394039159</v>
      </c>
    </row>
    <row r="368" spans="2:28" s="2" customFormat="1">
      <c r="B368" s="1449" t="s">
        <v>218</v>
      </c>
      <c r="C368" s="405" t="s">
        <v>1079</v>
      </c>
      <c r="D368" s="405"/>
      <c r="E368" s="1450"/>
      <c r="F368" s="1228">
        <f t="shared" ref="F368:M368" si="42">INDEX(F$51:F$53, MATCH($E$9,$C$51:$C$53, 0))</f>
        <v>0</v>
      </c>
      <c r="G368" s="1228">
        <f t="shared" si="42"/>
        <v>0</v>
      </c>
      <c r="H368" s="1228">
        <f t="shared" si="42"/>
        <v>0</v>
      </c>
      <c r="I368" s="1228">
        <f t="shared" si="42"/>
        <v>0</v>
      </c>
      <c r="J368" s="1228">
        <f t="shared" si="42"/>
        <v>0</v>
      </c>
      <c r="K368" s="1228">
        <f t="shared" si="42"/>
        <v>0</v>
      </c>
      <c r="L368" s="1228">
        <f t="shared" si="42"/>
        <v>0</v>
      </c>
      <c r="M368" s="1228">
        <f t="shared" si="42"/>
        <v>0</v>
      </c>
      <c r="N368" s="1228">
        <v>0</v>
      </c>
    </row>
    <row r="369" spans="2:17" s="2" customFormat="1">
      <c r="B369" s="366" t="s">
        <v>220</v>
      </c>
      <c r="C369" s="354" t="s">
        <v>1082</v>
      </c>
      <c r="E369" s="1446" t="s">
        <v>251</v>
      </c>
      <c r="F369" s="365">
        <f t="shared" ref="F369:M369" si="43">F367*F368</f>
        <v>0</v>
      </c>
      <c r="G369" s="365">
        <f t="shared" si="43"/>
        <v>0</v>
      </c>
      <c r="H369" s="365">
        <f t="shared" si="43"/>
        <v>0</v>
      </c>
      <c r="I369" s="365">
        <f t="shared" si="43"/>
        <v>0</v>
      </c>
      <c r="J369" s="365">
        <f t="shared" si="43"/>
        <v>0</v>
      </c>
      <c r="K369" s="365">
        <f t="shared" si="43"/>
        <v>0</v>
      </c>
      <c r="L369" s="365">
        <f t="shared" si="43"/>
        <v>0</v>
      </c>
      <c r="M369" s="365">
        <f t="shared" si="43"/>
        <v>0</v>
      </c>
      <c r="N369" s="365">
        <v>0</v>
      </c>
    </row>
    <row r="370" spans="2:17" s="2" customFormat="1">
      <c r="B370" s="354"/>
      <c r="C370"/>
      <c r="E370" s="1438"/>
      <c r="F370" s="365"/>
      <c r="G370" s="365"/>
      <c r="H370" s="365"/>
      <c r="I370" s="365"/>
      <c r="J370" s="365"/>
      <c r="K370" s="365"/>
      <c r="L370" s="365"/>
      <c r="M370" s="365"/>
      <c r="N370" s="365"/>
    </row>
    <row r="371" spans="2:17" s="2" customFormat="1">
      <c r="B371" s="354"/>
      <c r="C371"/>
      <c r="E371" s="1438"/>
      <c r="F371" s="365"/>
      <c r="G371" s="365"/>
      <c r="H371" s="365"/>
      <c r="I371" s="365"/>
      <c r="J371" s="365"/>
      <c r="K371" s="365"/>
      <c r="L371" s="365"/>
      <c r="M371" s="365"/>
      <c r="N371" s="365"/>
    </row>
    <row r="372" spans="2:17" s="2" customFormat="1">
      <c r="B372" s="354" t="s">
        <v>1083</v>
      </c>
      <c r="C372"/>
      <c r="E372" s="1438"/>
      <c r="F372" s="365"/>
      <c r="G372" s="365"/>
      <c r="H372" s="365"/>
      <c r="I372" s="365"/>
      <c r="J372" s="365"/>
      <c r="K372" s="365"/>
      <c r="L372" s="365"/>
      <c r="M372" s="365"/>
      <c r="N372" s="365"/>
    </row>
    <row r="373" spans="2:17" s="2" customFormat="1">
      <c r="B373" s="354"/>
      <c r="C373"/>
      <c r="E373" s="1438"/>
      <c r="F373" s="365"/>
      <c r="G373" s="365"/>
      <c r="H373" s="365"/>
      <c r="I373" s="365"/>
      <c r="J373" s="365"/>
      <c r="K373" s="365"/>
      <c r="L373" s="365"/>
      <c r="M373" s="365"/>
      <c r="N373" s="365"/>
    </row>
    <row r="374" spans="2:17" s="2" customFormat="1">
      <c r="B374" s="354"/>
      <c r="C374" t="s">
        <v>1084</v>
      </c>
      <c r="E374" s="3817" t="str">
        <f>Preferences.EnergyUnits</f>
        <v>TWh</v>
      </c>
      <c r="F374" s="365"/>
      <c r="G374" s="365"/>
      <c r="H374" s="365"/>
      <c r="I374" s="365"/>
      <c r="J374" s="365"/>
      <c r="K374" s="365"/>
      <c r="L374" s="365"/>
      <c r="M374" s="365"/>
      <c r="N374" s="365"/>
    </row>
    <row r="375" spans="2:17" s="2" customFormat="1">
      <c r="B375" s="354"/>
      <c r="C375"/>
      <c r="E375" s="1438"/>
      <c r="F375" s="365"/>
      <c r="G375" s="365"/>
      <c r="H375" s="365"/>
      <c r="I375" s="365"/>
      <c r="J375" s="365"/>
      <c r="K375" s="365"/>
      <c r="L375" s="365"/>
      <c r="M375" s="365"/>
      <c r="N375" s="365"/>
    </row>
    <row r="376" spans="2:17" s="2" customFormat="1">
      <c r="B376" s="354"/>
      <c r="C376"/>
      <c r="E376" s="1438"/>
      <c r="F376" s="365"/>
      <c r="G376" s="365"/>
      <c r="H376" s="365"/>
      <c r="I376" s="365"/>
      <c r="J376" s="365"/>
      <c r="K376" s="365"/>
      <c r="L376" s="365"/>
      <c r="M376" s="365"/>
      <c r="N376" s="365"/>
    </row>
    <row r="377" spans="2:17" s="2" customFormat="1">
      <c r="B377" s="354" t="s">
        <v>2727</v>
      </c>
      <c r="C377"/>
      <c r="E377" s="1441" t="s">
        <v>2736</v>
      </c>
      <c r="F377" s="1321">
        <v>2013</v>
      </c>
      <c r="G377" s="1321">
        <v>2015</v>
      </c>
      <c r="H377" s="1321">
        <v>2020</v>
      </c>
      <c r="I377" s="1321">
        <v>2025</v>
      </c>
      <c r="J377" s="1321">
        <v>2030</v>
      </c>
      <c r="K377" s="1321">
        <v>2035</v>
      </c>
      <c r="L377" s="1321">
        <v>2040</v>
      </c>
      <c r="M377" s="1321">
        <v>2045</v>
      </c>
      <c r="N377" s="1321">
        <v>2050</v>
      </c>
    </row>
    <row r="378" spans="2:17" s="2" customFormat="1" hidden="1">
      <c r="C378"/>
      <c r="E378" s="1438"/>
      <c r="F378" s="365"/>
      <c r="G378" s="365"/>
      <c r="H378" s="365"/>
      <c r="I378" s="365"/>
      <c r="J378" s="365"/>
      <c r="K378" s="365"/>
      <c r="L378" s="365"/>
      <c r="M378" s="365"/>
      <c r="N378" s="365"/>
    </row>
    <row r="379" spans="2:17" s="2" customFormat="1" hidden="1">
      <c r="B379" s="354" t="s">
        <v>1039</v>
      </c>
      <c r="C379"/>
    </row>
    <row r="380" spans="2:17" s="2" customFormat="1" hidden="1">
      <c r="B380" s="354" t="s">
        <v>1085</v>
      </c>
      <c r="C380" t="s">
        <v>1086</v>
      </c>
      <c r="E380" s="1438"/>
      <c r="F380" s="365"/>
      <c r="G380" s="365"/>
      <c r="H380" s="365"/>
      <c r="I380" s="365"/>
      <c r="J380" s="365"/>
      <c r="K380" s="365"/>
      <c r="L380" s="365"/>
      <c r="M380" s="365"/>
      <c r="N380" s="365"/>
    </row>
    <row r="381" spans="2:17" s="2" customFormat="1" hidden="1">
      <c r="B381" s="354" t="s">
        <v>1087</v>
      </c>
      <c r="C381" t="s">
        <v>1086</v>
      </c>
      <c r="F381" s="365"/>
      <c r="G381" s="365"/>
      <c r="H381" s="365"/>
      <c r="I381" s="365"/>
      <c r="J381" s="365"/>
      <c r="K381" s="365"/>
      <c r="L381" s="365"/>
      <c r="M381" s="365"/>
      <c r="N381" s="365"/>
      <c r="Q381" s="39"/>
    </row>
    <row r="382" spans="2:17" s="2" customFormat="1" hidden="1">
      <c r="B382" s="354" t="s">
        <v>1088</v>
      </c>
      <c r="C382" t="s">
        <v>1086</v>
      </c>
      <c r="F382" s="365"/>
      <c r="G382" s="365"/>
      <c r="H382" s="365"/>
      <c r="I382" s="365"/>
      <c r="J382" s="365"/>
      <c r="K382" s="365"/>
      <c r="L382" s="365"/>
      <c r="M382" s="365"/>
      <c r="N382" s="365"/>
      <c r="Q382" s="38"/>
    </row>
    <row r="383" spans="2:17" s="2" customFormat="1" hidden="1">
      <c r="B383" s="354" t="s">
        <v>1085</v>
      </c>
      <c r="C383" t="s">
        <v>1089</v>
      </c>
      <c r="E383" s="1438"/>
      <c r="F383" s="365"/>
      <c r="G383" s="365"/>
      <c r="H383" s="365"/>
      <c r="I383" s="365"/>
      <c r="J383" s="365"/>
      <c r="K383" s="365"/>
      <c r="L383" s="365"/>
      <c r="M383" s="365"/>
      <c r="N383" s="365"/>
      <c r="Q383" s="38"/>
    </row>
    <row r="384" spans="2:17" s="2" customFormat="1" hidden="1">
      <c r="B384" s="354" t="s">
        <v>1087</v>
      </c>
      <c r="C384" t="s">
        <v>1089</v>
      </c>
      <c r="F384" s="365"/>
      <c r="G384" s="365"/>
      <c r="H384" s="365"/>
      <c r="I384" s="365"/>
      <c r="J384" s="365"/>
      <c r="K384" s="365"/>
      <c r="L384" s="365"/>
      <c r="M384" s="365"/>
      <c r="N384" s="365"/>
      <c r="Q384" s="39"/>
    </row>
    <row r="385" spans="2:17" s="2" customFormat="1" hidden="1">
      <c r="B385" s="354" t="s">
        <v>1088</v>
      </c>
      <c r="C385" t="s">
        <v>1089</v>
      </c>
      <c r="E385" s="1438"/>
      <c r="F385" s="365"/>
      <c r="G385" s="365"/>
      <c r="H385" s="365"/>
      <c r="I385" s="365"/>
      <c r="J385" s="365"/>
      <c r="K385" s="365"/>
      <c r="L385" s="365"/>
      <c r="M385" s="365"/>
      <c r="N385" s="365"/>
      <c r="Q385" s="38"/>
    </row>
    <row r="386" spans="2:17" s="2" customFormat="1" hidden="1"/>
    <row r="387" spans="2:17" s="2" customFormat="1" hidden="1">
      <c r="B387" s="354" t="s">
        <v>1090</v>
      </c>
      <c r="C387"/>
      <c r="E387" s="1438"/>
      <c r="F387" s="365"/>
      <c r="G387" s="365"/>
      <c r="H387" s="365"/>
      <c r="I387" s="365"/>
      <c r="J387" s="365"/>
      <c r="K387" s="365"/>
      <c r="L387" s="365"/>
      <c r="M387" s="365"/>
      <c r="N387" s="365"/>
    </row>
    <row r="388" spans="2:17" s="2" customFormat="1" hidden="1">
      <c r="B388" s="354"/>
      <c r="C388"/>
      <c r="E388" s="1438"/>
      <c r="F388" s="365"/>
      <c r="G388" s="365"/>
      <c r="H388" s="365"/>
      <c r="I388" s="365"/>
      <c r="J388" s="365"/>
      <c r="K388" s="365"/>
      <c r="L388" s="365"/>
      <c r="M388" s="365"/>
      <c r="N388" s="365"/>
    </row>
    <row r="389" spans="2:17" s="2" customFormat="1" hidden="1">
      <c r="B389" s="354" t="s">
        <v>1085</v>
      </c>
      <c r="C389" s="354" t="s">
        <v>1091</v>
      </c>
      <c r="E389" s="1441" t="s">
        <v>2736</v>
      </c>
      <c r="F389" s="1313">
        <v>2013</v>
      </c>
      <c r="G389" s="1313">
        <v>2015</v>
      </c>
      <c r="H389" s="1313">
        <v>2020</v>
      </c>
      <c r="I389" s="1313">
        <v>2025</v>
      </c>
      <c r="J389" s="1313">
        <v>2030</v>
      </c>
      <c r="K389" s="1313">
        <v>2035</v>
      </c>
      <c r="L389" s="1313">
        <v>2040</v>
      </c>
      <c r="M389" s="1313">
        <v>2045</v>
      </c>
      <c r="N389" s="1313">
        <v>2050</v>
      </c>
    </row>
    <row r="390" spans="2:17" s="2" customFormat="1" hidden="1">
      <c r="B390" s="373" t="s">
        <v>1014</v>
      </c>
      <c r="C390" s="3580" t="s">
        <v>2777</v>
      </c>
      <c r="E390" s="1438"/>
      <c r="F390" s="365"/>
      <c r="G390" s="365"/>
      <c r="H390" s="365"/>
      <c r="I390" s="365"/>
      <c r="J390" s="365"/>
      <c r="K390" s="365"/>
      <c r="L390" s="365"/>
      <c r="M390" s="365"/>
      <c r="N390" s="365"/>
    </row>
    <row r="391" spans="2:17" s="2" customFormat="1" hidden="1">
      <c r="B391" s="373" t="s">
        <v>1015</v>
      </c>
      <c r="C391" t="s">
        <v>1016</v>
      </c>
      <c r="E391" s="1438"/>
      <c r="F391" s="365"/>
      <c r="G391" s="365"/>
      <c r="H391" s="365"/>
      <c r="I391" s="365"/>
      <c r="J391" s="365"/>
      <c r="K391" s="365"/>
      <c r="L391" s="365"/>
      <c r="M391" s="365"/>
      <c r="N391" s="365"/>
    </row>
    <row r="392" spans="2:17" s="2" customFormat="1" hidden="1">
      <c r="B392" s="373" t="s">
        <v>1017</v>
      </c>
      <c r="C392" t="s">
        <v>1018</v>
      </c>
      <c r="E392" s="1438"/>
      <c r="F392" s="365"/>
      <c r="G392" s="365"/>
      <c r="H392" s="365"/>
      <c r="I392" s="365"/>
      <c r="J392" s="365"/>
      <c r="K392" s="365"/>
      <c r="L392" s="365"/>
      <c r="M392" s="365"/>
      <c r="N392" s="365"/>
    </row>
    <row r="393" spans="2:17" s="2" customFormat="1" hidden="1">
      <c r="B393" s="373" t="s">
        <v>1019</v>
      </c>
      <c r="C393" t="s">
        <v>402</v>
      </c>
      <c r="E393" s="1438"/>
      <c r="F393" s="365"/>
      <c r="G393" s="365"/>
      <c r="H393" s="365"/>
      <c r="I393" s="365"/>
      <c r="J393" s="365"/>
      <c r="K393" s="365"/>
      <c r="L393" s="365"/>
      <c r="M393" s="365"/>
      <c r="N393" s="365"/>
    </row>
    <row r="394" spans="2:17" s="2" customFormat="1" hidden="1">
      <c r="B394" s="354"/>
      <c r="C394" t="s">
        <v>58</v>
      </c>
      <c r="E394" s="1438"/>
      <c r="F394" s="365"/>
      <c r="G394" s="365"/>
      <c r="H394" s="365"/>
      <c r="I394" s="365"/>
      <c r="J394" s="365"/>
      <c r="K394" s="365"/>
      <c r="L394" s="365"/>
      <c r="M394" s="365"/>
      <c r="N394" s="365"/>
      <c r="Q394" s="38"/>
    </row>
    <row r="395" spans="2:17" s="2" customFormat="1" hidden="1">
      <c r="B395" s="354"/>
      <c r="C395"/>
      <c r="E395" s="1438"/>
      <c r="F395" s="365"/>
      <c r="G395" s="365"/>
      <c r="H395" s="365"/>
      <c r="I395" s="365"/>
      <c r="J395" s="365"/>
      <c r="K395" s="365"/>
      <c r="L395" s="365"/>
      <c r="M395" s="365"/>
      <c r="N395" s="365"/>
      <c r="Q395" s="38"/>
    </row>
    <row r="396" spans="2:17" s="2" customFormat="1" hidden="1">
      <c r="B396" s="354" t="s">
        <v>1087</v>
      </c>
      <c r="C396" s="354" t="s">
        <v>1091</v>
      </c>
      <c r="E396" s="1441" t="s">
        <v>2736</v>
      </c>
      <c r="F396" s="1313">
        <v>2013</v>
      </c>
      <c r="G396" s="1313">
        <v>2015</v>
      </c>
      <c r="H396" s="1313">
        <v>2020</v>
      </c>
      <c r="I396" s="1313">
        <v>2025</v>
      </c>
      <c r="J396" s="1313">
        <v>2030</v>
      </c>
      <c r="K396" s="1313">
        <v>2035</v>
      </c>
      <c r="L396" s="1313">
        <v>2040</v>
      </c>
      <c r="M396" s="1313">
        <v>2045</v>
      </c>
      <c r="N396" s="1313">
        <v>2050</v>
      </c>
      <c r="Q396" s="38"/>
    </row>
    <row r="397" spans="2:17" s="2" customFormat="1" hidden="1">
      <c r="B397" s="373" t="s">
        <v>1014</v>
      </c>
      <c r="C397" s="3580" t="s">
        <v>2777</v>
      </c>
      <c r="E397" s="1438"/>
      <c r="F397" s="365"/>
      <c r="G397" s="365"/>
      <c r="H397" s="365"/>
      <c r="I397" s="365"/>
      <c r="J397" s="365"/>
      <c r="K397" s="365"/>
      <c r="L397" s="365"/>
      <c r="M397" s="365"/>
      <c r="N397" s="365"/>
      <c r="Q397" s="39"/>
    </row>
    <row r="398" spans="2:17" s="2" customFormat="1" hidden="1">
      <c r="B398" s="373" t="s">
        <v>1015</v>
      </c>
      <c r="C398" t="s">
        <v>1016</v>
      </c>
      <c r="E398" s="1438"/>
      <c r="F398" s="365"/>
      <c r="G398" s="365"/>
      <c r="H398" s="365"/>
      <c r="I398" s="365"/>
      <c r="J398" s="365"/>
      <c r="K398" s="365"/>
      <c r="L398" s="365"/>
      <c r="M398" s="365"/>
      <c r="N398" s="365"/>
      <c r="Q398" s="38"/>
    </row>
    <row r="399" spans="2:17" s="2" customFormat="1" hidden="1">
      <c r="B399" s="373" t="s">
        <v>1017</v>
      </c>
      <c r="C399" t="s">
        <v>1018</v>
      </c>
      <c r="E399" s="1438"/>
      <c r="F399" s="365"/>
      <c r="G399" s="365"/>
      <c r="H399" s="365"/>
      <c r="I399" s="365"/>
      <c r="J399" s="365"/>
      <c r="K399" s="365"/>
      <c r="L399" s="365"/>
      <c r="M399" s="365"/>
      <c r="N399" s="365"/>
      <c r="Q399" s="38"/>
    </row>
    <row r="400" spans="2:17" s="2" customFormat="1" hidden="1">
      <c r="B400" s="373" t="s">
        <v>1019</v>
      </c>
      <c r="C400" t="s">
        <v>402</v>
      </c>
      <c r="E400" s="1438"/>
      <c r="F400" s="365"/>
      <c r="G400" s="365"/>
      <c r="H400" s="365"/>
      <c r="I400" s="365"/>
      <c r="J400" s="365"/>
      <c r="K400" s="365"/>
      <c r="L400" s="365"/>
      <c r="M400" s="365"/>
      <c r="N400" s="365"/>
      <c r="Q400" s="38"/>
    </row>
    <row r="401" spans="2:21" s="2" customFormat="1" hidden="1">
      <c r="B401" s="354"/>
      <c r="C401" t="s">
        <v>58</v>
      </c>
      <c r="E401" s="1438"/>
      <c r="F401" s="365"/>
      <c r="G401" s="365"/>
      <c r="H401" s="365"/>
      <c r="I401" s="365"/>
      <c r="J401" s="365"/>
      <c r="K401" s="365"/>
      <c r="L401" s="365"/>
      <c r="M401" s="365"/>
      <c r="N401" s="365"/>
      <c r="Q401" s="38"/>
    </row>
    <row r="402" spans="2:21" s="2" customFormat="1" hidden="1">
      <c r="B402" s="354"/>
      <c r="C402"/>
      <c r="E402" s="1438"/>
      <c r="F402" s="365"/>
      <c r="G402" s="365"/>
      <c r="H402" s="365"/>
      <c r="I402" s="365"/>
      <c r="J402" s="365"/>
      <c r="K402" s="365"/>
      <c r="L402" s="365"/>
      <c r="M402" s="365"/>
      <c r="N402" s="365"/>
      <c r="Q402" s="38"/>
    </row>
    <row r="403" spans="2:21" s="2" customFormat="1" hidden="1">
      <c r="B403" s="354" t="s">
        <v>1088</v>
      </c>
      <c r="C403" s="354" t="s">
        <v>1091</v>
      </c>
      <c r="E403" s="1441" t="s">
        <v>2736</v>
      </c>
      <c r="F403" s="1313">
        <v>2013</v>
      </c>
      <c r="G403" s="1313">
        <v>2015</v>
      </c>
      <c r="H403" s="1313">
        <v>2020</v>
      </c>
      <c r="I403" s="1313">
        <v>2025</v>
      </c>
      <c r="J403" s="1313">
        <v>2030</v>
      </c>
      <c r="K403" s="1313">
        <v>2035</v>
      </c>
      <c r="L403" s="1313">
        <v>2040</v>
      </c>
      <c r="M403" s="1313">
        <v>2045</v>
      </c>
      <c r="N403" s="1313">
        <v>2050</v>
      </c>
      <c r="Q403" s="38"/>
    </row>
    <row r="404" spans="2:21" s="2" customFormat="1" hidden="1">
      <c r="B404" s="373" t="s">
        <v>1014</v>
      </c>
      <c r="C404" s="3580" t="s">
        <v>2777</v>
      </c>
      <c r="E404" s="1438"/>
      <c r="F404" s="365"/>
      <c r="G404" s="365"/>
      <c r="H404" s="365"/>
      <c r="I404" s="365"/>
      <c r="J404" s="365"/>
      <c r="K404" s="365"/>
      <c r="L404" s="365"/>
      <c r="M404" s="365"/>
      <c r="N404" s="365"/>
    </row>
    <row r="405" spans="2:21" s="2" customFormat="1" hidden="1">
      <c r="B405" s="373" t="s">
        <v>1015</v>
      </c>
      <c r="C405" t="s">
        <v>1016</v>
      </c>
      <c r="E405" s="1438"/>
      <c r="F405" s="365"/>
      <c r="G405" s="365"/>
      <c r="H405" s="365"/>
      <c r="I405" s="365"/>
      <c r="J405" s="365"/>
      <c r="K405" s="365"/>
      <c r="L405" s="365"/>
      <c r="M405" s="365"/>
      <c r="N405" s="365"/>
    </row>
    <row r="406" spans="2:21" s="2" customFormat="1" hidden="1">
      <c r="B406" s="373" t="s">
        <v>1017</v>
      </c>
      <c r="C406" t="s">
        <v>1018</v>
      </c>
      <c r="E406" s="1438"/>
      <c r="F406" s="365"/>
      <c r="G406" s="365"/>
      <c r="H406" s="365"/>
      <c r="I406" s="365"/>
      <c r="J406" s="365"/>
      <c r="K406" s="365"/>
      <c r="L406" s="365"/>
      <c r="M406" s="365"/>
      <c r="N406" s="365"/>
    </row>
    <row r="407" spans="2:21" s="2" customFormat="1" hidden="1">
      <c r="B407" s="373" t="s">
        <v>1019</v>
      </c>
      <c r="C407" t="s">
        <v>402</v>
      </c>
      <c r="E407" s="1438"/>
      <c r="F407" s="365"/>
      <c r="G407" s="365"/>
      <c r="H407" s="365"/>
      <c r="I407" s="365"/>
      <c r="J407" s="365"/>
      <c r="K407" s="365"/>
      <c r="L407" s="365"/>
      <c r="M407" s="365"/>
      <c r="N407" s="365"/>
    </row>
    <row r="408" spans="2:21" s="2" customFormat="1" hidden="1">
      <c r="B408" s="354"/>
      <c r="C408" t="s">
        <v>58</v>
      </c>
      <c r="E408" s="1438"/>
      <c r="F408" s="365"/>
      <c r="G408" s="365"/>
      <c r="H408" s="365"/>
      <c r="I408" s="365"/>
      <c r="J408" s="365"/>
      <c r="K408" s="365"/>
      <c r="L408" s="365"/>
      <c r="M408" s="365"/>
      <c r="N408" s="365"/>
    </row>
    <row r="409" spans="2:21" s="2" customFormat="1" hidden="1">
      <c r="B409" s="354"/>
      <c r="C409"/>
      <c r="E409" s="1438"/>
      <c r="F409" s="365"/>
      <c r="G409" s="365"/>
      <c r="H409" s="365"/>
      <c r="I409" s="365"/>
      <c r="J409" s="365"/>
      <c r="K409" s="365"/>
      <c r="L409" s="365"/>
      <c r="M409" s="365"/>
      <c r="N409" s="365"/>
    </row>
    <row r="410" spans="2:21" s="2" customFormat="1" hidden="1"/>
    <row r="411" spans="2:21" s="2" customFormat="1" hidden="1">
      <c r="B411" s="354" t="s">
        <v>1085</v>
      </c>
      <c r="C411" s="354" t="s">
        <v>1092</v>
      </c>
      <c r="E411" s="1441" t="s">
        <v>2736</v>
      </c>
      <c r="F411" s="1313">
        <v>2013</v>
      </c>
      <c r="G411" s="1313">
        <v>2015</v>
      </c>
      <c r="H411" s="1313">
        <v>2020</v>
      </c>
      <c r="I411" s="1313">
        <v>2025</v>
      </c>
      <c r="J411" s="1313">
        <v>2030</v>
      </c>
      <c r="K411" s="1313">
        <v>2035</v>
      </c>
      <c r="L411" s="1313">
        <v>2040</v>
      </c>
      <c r="M411" s="1313">
        <v>2045</v>
      </c>
      <c r="N411" s="1313">
        <v>2050</v>
      </c>
    </row>
    <row r="412" spans="2:21" s="2" customFormat="1" hidden="1">
      <c r="B412" s="373" t="s">
        <v>1014</v>
      </c>
      <c r="C412" s="3580" t="s">
        <v>2777</v>
      </c>
      <c r="E412" s="1438"/>
      <c r="F412" s="365"/>
      <c r="G412" s="365"/>
      <c r="H412" s="365"/>
      <c r="I412" s="365"/>
      <c r="J412" s="365"/>
      <c r="K412" s="365"/>
      <c r="L412" s="365"/>
      <c r="M412" s="365"/>
      <c r="N412" s="365"/>
    </row>
    <row r="413" spans="2:21" s="2" customFormat="1" hidden="1">
      <c r="B413" s="373" t="s">
        <v>1015</v>
      </c>
      <c r="C413" t="s">
        <v>1016</v>
      </c>
      <c r="E413" s="1438"/>
      <c r="F413" s="365"/>
      <c r="G413" s="365"/>
      <c r="H413" s="365"/>
      <c r="I413" s="365"/>
      <c r="J413" s="365"/>
      <c r="K413" s="365"/>
      <c r="L413" s="365"/>
      <c r="M413" s="365"/>
      <c r="N413" s="365"/>
    </row>
    <row r="414" spans="2:21" s="2" customFormat="1" hidden="1">
      <c r="B414" s="373" t="s">
        <v>1017</v>
      </c>
      <c r="C414" t="s">
        <v>1018</v>
      </c>
      <c r="E414" s="1438"/>
      <c r="F414" s="365"/>
      <c r="G414" s="365"/>
      <c r="H414" s="365"/>
      <c r="I414" s="365"/>
      <c r="J414" s="365"/>
      <c r="K414" s="365"/>
      <c r="L414" s="365"/>
      <c r="M414" s="365"/>
      <c r="N414" s="365"/>
    </row>
    <row r="415" spans="2:21" s="2" customFormat="1" hidden="1">
      <c r="B415" s="373" t="s">
        <v>1019</v>
      </c>
      <c r="C415" t="s">
        <v>402</v>
      </c>
      <c r="E415" s="1438"/>
      <c r="F415" s="365"/>
      <c r="G415" s="365"/>
      <c r="H415" s="365"/>
      <c r="I415" s="365"/>
      <c r="J415" s="365"/>
      <c r="K415" s="365"/>
      <c r="L415" s="365"/>
      <c r="M415" s="365"/>
      <c r="N415" s="365"/>
    </row>
    <row r="416" spans="2:21" s="2" customFormat="1" hidden="1">
      <c r="B416" s="354"/>
      <c r="C416" t="s">
        <v>58</v>
      </c>
      <c r="E416" s="1438"/>
      <c r="F416" s="365"/>
      <c r="G416" s="365"/>
      <c r="H416" s="365"/>
      <c r="I416" s="365"/>
      <c r="J416" s="365"/>
      <c r="K416" s="365"/>
      <c r="L416" s="365"/>
      <c r="M416" s="365"/>
      <c r="N416" s="365"/>
      <c r="Q416" s="38"/>
      <c r="R416" s="38"/>
      <c r="S416" s="38"/>
      <c r="T416" s="38"/>
      <c r="U416" s="38"/>
    </row>
    <row r="417" spans="1:23" s="2" customFormat="1" hidden="1">
      <c r="B417" s="354"/>
      <c r="C417"/>
      <c r="E417" s="1438"/>
      <c r="F417" s="365"/>
      <c r="G417" s="365"/>
      <c r="H417" s="365"/>
      <c r="I417" s="365"/>
      <c r="J417" s="365"/>
      <c r="K417" s="365"/>
      <c r="L417" s="365"/>
      <c r="M417" s="365"/>
      <c r="N417" s="365"/>
      <c r="Q417" s="38"/>
      <c r="R417" s="38"/>
      <c r="S417" s="38"/>
      <c r="T417" s="38"/>
      <c r="U417" s="38"/>
    </row>
    <row r="418" spans="1:23" s="2" customFormat="1" hidden="1">
      <c r="B418" s="354" t="s">
        <v>1087</v>
      </c>
      <c r="C418" s="354" t="s">
        <v>1092</v>
      </c>
      <c r="E418" s="1441" t="s">
        <v>2736</v>
      </c>
      <c r="F418" s="1313">
        <v>2013</v>
      </c>
      <c r="G418" s="1313">
        <v>2015</v>
      </c>
      <c r="H418" s="1313">
        <v>2020</v>
      </c>
      <c r="I418" s="1313">
        <v>2025</v>
      </c>
      <c r="J418" s="1313">
        <v>2030</v>
      </c>
      <c r="K418" s="1313">
        <v>2035</v>
      </c>
      <c r="L418" s="1313">
        <v>2040</v>
      </c>
      <c r="M418" s="1313">
        <v>2045</v>
      </c>
      <c r="N418" s="1313">
        <v>2050</v>
      </c>
      <c r="Q418" s="39"/>
      <c r="R418" s="38"/>
      <c r="S418" s="38"/>
      <c r="T418" s="38"/>
      <c r="U418" s="38"/>
    </row>
    <row r="419" spans="1:23" s="2" customFormat="1" hidden="1">
      <c r="B419" s="373" t="s">
        <v>1014</v>
      </c>
      <c r="C419" s="3580" t="s">
        <v>2777</v>
      </c>
      <c r="E419" s="1438"/>
      <c r="F419" s="365"/>
      <c r="G419" s="365"/>
      <c r="H419" s="365"/>
      <c r="I419" s="365"/>
      <c r="J419" s="365"/>
      <c r="K419" s="365"/>
      <c r="L419" s="365"/>
      <c r="M419" s="365"/>
      <c r="N419" s="365"/>
      <c r="Q419" s="38"/>
      <c r="R419" s="38"/>
      <c r="S419" s="38"/>
      <c r="T419" s="38"/>
      <c r="U419" s="38"/>
    </row>
    <row r="420" spans="1:23" s="2" customFormat="1" hidden="1">
      <c r="B420" s="373" t="s">
        <v>1015</v>
      </c>
      <c r="C420" t="s">
        <v>1016</v>
      </c>
      <c r="E420" s="1438"/>
      <c r="F420" s="365"/>
      <c r="G420" s="365"/>
      <c r="H420" s="365"/>
      <c r="I420" s="365"/>
      <c r="J420" s="365"/>
      <c r="K420" s="365"/>
      <c r="L420" s="365"/>
      <c r="M420" s="365"/>
      <c r="N420" s="365"/>
      <c r="Q420" s="38"/>
      <c r="R420" s="38"/>
      <c r="S420" s="38"/>
      <c r="T420" s="38"/>
      <c r="U420" s="38"/>
    </row>
    <row r="421" spans="1:23" s="2" customFormat="1" hidden="1">
      <c r="B421" s="373" t="s">
        <v>1017</v>
      </c>
      <c r="C421" t="s">
        <v>1018</v>
      </c>
      <c r="E421" s="1438"/>
      <c r="F421" s="365"/>
      <c r="G421" s="365"/>
      <c r="H421" s="365"/>
      <c r="I421" s="365"/>
      <c r="J421" s="365"/>
      <c r="K421" s="365"/>
      <c r="L421" s="365"/>
      <c r="M421" s="365"/>
      <c r="N421" s="365"/>
      <c r="Q421" s="38"/>
      <c r="R421" s="38"/>
      <c r="S421" s="38"/>
      <c r="T421" s="38"/>
      <c r="U421" s="38"/>
    </row>
    <row r="422" spans="1:23" s="2" customFormat="1" hidden="1">
      <c r="B422" s="373" t="s">
        <v>1019</v>
      </c>
      <c r="C422" t="s">
        <v>402</v>
      </c>
      <c r="E422" s="1438"/>
      <c r="F422" s="365"/>
      <c r="G422" s="365"/>
      <c r="H422" s="365"/>
      <c r="I422" s="365"/>
      <c r="J422" s="365"/>
      <c r="K422" s="365"/>
      <c r="L422" s="365"/>
      <c r="M422" s="365"/>
      <c r="N422" s="365"/>
      <c r="Q422" s="38"/>
      <c r="R422" s="38"/>
      <c r="S422" s="38"/>
      <c r="T422" s="38"/>
      <c r="U422" s="38"/>
    </row>
    <row r="423" spans="1:23" s="2" customFormat="1" hidden="1">
      <c r="B423" s="354"/>
      <c r="C423" t="s">
        <v>58</v>
      </c>
      <c r="E423" s="1438"/>
      <c r="F423" s="365"/>
      <c r="G423" s="365"/>
      <c r="H423" s="365"/>
      <c r="I423" s="365"/>
      <c r="J423" s="365"/>
      <c r="K423" s="365"/>
      <c r="L423" s="365"/>
      <c r="M423" s="365"/>
      <c r="N423" s="365"/>
      <c r="Q423" s="38"/>
      <c r="R423" s="38"/>
      <c r="S423" s="38"/>
      <c r="T423" s="38"/>
      <c r="U423" s="38"/>
    </row>
    <row r="424" spans="1:23" s="2" customFormat="1" hidden="1">
      <c r="Q424" s="38"/>
      <c r="R424" s="38"/>
      <c r="S424" s="38"/>
      <c r="T424" s="38"/>
      <c r="U424" s="38"/>
    </row>
    <row r="425" spans="1:23" s="2" customFormat="1" hidden="1">
      <c r="B425" s="354" t="s">
        <v>1088</v>
      </c>
      <c r="C425" s="354" t="s">
        <v>1092</v>
      </c>
      <c r="E425" s="1441" t="s">
        <v>2736</v>
      </c>
      <c r="F425" s="1313">
        <v>2013</v>
      </c>
      <c r="G425" s="1313">
        <v>2015</v>
      </c>
      <c r="H425" s="1313">
        <v>2020</v>
      </c>
      <c r="I425" s="1313">
        <v>2025</v>
      </c>
      <c r="J425" s="1313">
        <v>2030</v>
      </c>
      <c r="K425" s="1313">
        <v>2035</v>
      </c>
      <c r="L425" s="1313">
        <v>2040</v>
      </c>
      <c r="M425" s="1313">
        <v>2045</v>
      </c>
      <c r="N425" s="1313">
        <v>2050</v>
      </c>
    </row>
    <row r="426" spans="1:23" s="2" customFormat="1" hidden="1">
      <c r="B426" s="373" t="s">
        <v>1014</v>
      </c>
      <c r="C426" s="3580" t="s">
        <v>2777</v>
      </c>
      <c r="E426" s="1438"/>
      <c r="F426" s="365"/>
      <c r="G426" s="365"/>
      <c r="H426" s="365"/>
      <c r="I426" s="365"/>
      <c r="J426" s="365"/>
      <c r="K426" s="365"/>
      <c r="L426" s="365"/>
      <c r="M426" s="365"/>
      <c r="N426" s="365"/>
    </row>
    <row r="427" spans="1:23" s="2" customFormat="1" hidden="1">
      <c r="B427" s="373" t="s">
        <v>1015</v>
      </c>
      <c r="C427" t="s">
        <v>1016</v>
      </c>
      <c r="E427" s="1438"/>
      <c r="F427" s="365"/>
      <c r="G427" s="365"/>
      <c r="H427" s="365"/>
      <c r="I427" s="365"/>
      <c r="J427" s="365"/>
      <c r="K427" s="365"/>
      <c r="L427" s="365"/>
      <c r="M427" s="365"/>
      <c r="N427" s="365"/>
    </row>
    <row r="428" spans="1:23" s="2" customFormat="1" hidden="1">
      <c r="B428" s="373" t="s">
        <v>1017</v>
      </c>
      <c r="C428" t="s">
        <v>1018</v>
      </c>
      <c r="E428" s="1438"/>
      <c r="F428" s="365"/>
      <c r="G428" s="365"/>
      <c r="H428" s="365"/>
      <c r="I428" s="365"/>
      <c r="J428" s="365"/>
      <c r="K428" s="365"/>
      <c r="L428" s="365"/>
      <c r="M428" s="365"/>
      <c r="N428" s="365"/>
    </row>
    <row r="429" spans="1:23" s="2" customFormat="1" hidden="1">
      <c r="B429" s="373" t="s">
        <v>1019</v>
      </c>
      <c r="C429" t="s">
        <v>402</v>
      </c>
      <c r="E429" s="1438"/>
      <c r="F429" s="365"/>
      <c r="G429" s="365"/>
      <c r="H429" s="365"/>
      <c r="I429" s="365"/>
      <c r="J429" s="365"/>
      <c r="K429" s="365"/>
      <c r="L429" s="365"/>
      <c r="M429" s="365"/>
      <c r="N429" s="365"/>
    </row>
    <row r="430" spans="1:23" s="2" customFormat="1" hidden="1">
      <c r="B430" s="354"/>
      <c r="C430" t="s">
        <v>58</v>
      </c>
      <c r="E430" s="1438"/>
      <c r="F430" s="365"/>
      <c r="G430" s="365"/>
      <c r="H430" s="365"/>
      <c r="I430" s="365"/>
      <c r="J430" s="365"/>
      <c r="K430" s="365"/>
      <c r="L430" s="365"/>
      <c r="M430" s="365"/>
      <c r="N430" s="365"/>
    </row>
    <row r="431" spans="1:23" s="6" customFormat="1">
      <c r="F431" s="365"/>
      <c r="R431"/>
      <c r="S431"/>
      <c r="T431"/>
      <c r="U431" s="365"/>
      <c r="V431" s="365"/>
      <c r="W431" s="365"/>
    </row>
    <row r="432" spans="1:23" ht="23.5">
      <c r="A432" s="7"/>
      <c r="B432" s="502" t="s">
        <v>296</v>
      </c>
      <c r="C432" s="503"/>
      <c r="D432" s="503"/>
      <c r="E432" s="503"/>
      <c r="F432" s="503"/>
      <c r="G432" s="503"/>
      <c r="H432" s="503"/>
      <c r="I432" s="503"/>
      <c r="J432" s="503"/>
      <c r="K432" s="503"/>
      <c r="L432" s="503"/>
      <c r="M432" s="503"/>
      <c r="N432" s="503"/>
      <c r="O432" s="857"/>
      <c r="U432" s="365"/>
      <c r="V432" s="365"/>
      <c r="W432" s="365"/>
    </row>
    <row r="433" spans="1:87">
      <c r="B433" s="505"/>
      <c r="C433" s="506"/>
      <c r="D433" s="506"/>
      <c r="E433" s="506"/>
      <c r="F433" s="506"/>
      <c r="G433" s="506"/>
      <c r="H433" s="506"/>
      <c r="I433" s="506"/>
      <c r="J433" s="506"/>
      <c r="K433" s="506"/>
      <c r="L433" s="506"/>
      <c r="M433" s="506"/>
      <c r="N433" s="506"/>
      <c r="O433" s="858"/>
      <c r="U433" s="365"/>
      <c r="V433" s="365"/>
      <c r="W433" s="365"/>
    </row>
    <row r="434" spans="1:87">
      <c r="B434" s="505"/>
      <c r="C434" s="34" t="s">
        <v>746</v>
      </c>
      <c r="D434" s="506"/>
      <c r="E434" s="507"/>
      <c r="F434" s="506"/>
      <c r="G434" s="506"/>
      <c r="H434" s="506"/>
      <c r="I434" s="506"/>
      <c r="J434" s="506"/>
      <c r="K434" s="506"/>
      <c r="L434" s="506"/>
      <c r="M434" s="506"/>
      <c r="N434" s="507" t="str">
        <f>Preferences.EnergyUnits</f>
        <v>TWh</v>
      </c>
      <c r="O434" s="858"/>
    </row>
    <row r="435" spans="1:87" ht="6" customHeight="1">
      <c r="B435" s="505"/>
      <c r="C435" s="506"/>
      <c r="D435" s="506"/>
      <c r="E435" s="506"/>
      <c r="F435" s="506"/>
      <c r="G435" s="506"/>
      <c r="H435" s="506"/>
      <c r="I435" s="506"/>
      <c r="J435" s="506"/>
      <c r="K435" s="506"/>
      <c r="L435" s="506"/>
      <c r="M435" s="506"/>
      <c r="N435" s="506"/>
      <c r="O435" s="858"/>
    </row>
    <row r="436" spans="1:87" ht="15.5">
      <c r="A436" s="434"/>
      <c r="B436" s="15"/>
      <c r="C436" s="1712" t="s">
        <v>28</v>
      </c>
      <c r="D436" s="1712" t="s">
        <v>29</v>
      </c>
      <c r="E436" s="1712" t="s">
        <v>30</v>
      </c>
      <c r="F436" s="1712" t="s">
        <v>588</v>
      </c>
      <c r="G436" s="1712" t="s">
        <v>132</v>
      </c>
      <c r="H436" s="1712" t="s">
        <v>133</v>
      </c>
      <c r="I436" s="1712" t="s">
        <v>134</v>
      </c>
      <c r="J436" s="1712" t="s">
        <v>135</v>
      </c>
      <c r="K436" s="1712" t="s">
        <v>136</v>
      </c>
      <c r="L436" s="1712" t="s">
        <v>137</v>
      </c>
      <c r="M436" s="1712" t="s">
        <v>138</v>
      </c>
      <c r="N436" s="1712" t="s">
        <v>139</v>
      </c>
      <c r="O436" s="858"/>
    </row>
    <row r="437" spans="1:87" ht="15.5">
      <c r="A437" s="434"/>
      <c r="B437" s="15"/>
      <c r="C437" s="716" t="s">
        <v>408</v>
      </c>
      <c r="D437" s="1716" t="str">
        <f>INDEX(Vectors[Description], MATCH(XI.a.Outputs[Vector], Vectors[Code], 0))</f>
        <v>Industry</v>
      </c>
      <c r="E437" s="1712"/>
      <c r="F437" s="1715">
        <f>F237</f>
        <v>25.990000000000002</v>
      </c>
      <c r="G437" s="1715">
        <f t="shared" ref="G437:N437" si="44">G237</f>
        <v>26.749751692722498</v>
      </c>
      <c r="H437" s="1715">
        <f t="shared" si="44"/>
        <v>28.782064724059438</v>
      </c>
      <c r="I437" s="1715">
        <f t="shared" si="44"/>
        <v>31.02000267544113</v>
      </c>
      <c r="J437" s="1715">
        <f t="shared" si="44"/>
        <v>33.48497483073271</v>
      </c>
      <c r="K437" s="1715">
        <f t="shared" si="44"/>
        <v>36.200654875742146</v>
      </c>
      <c r="L437" s="1715">
        <f t="shared" si="44"/>
        <v>39.193222476967343</v>
      </c>
      <c r="M437" s="1715">
        <f t="shared" si="44"/>
        <v>42.49163076252465</v>
      </c>
      <c r="N437" s="1715">
        <f t="shared" si="44"/>
        <v>46.12790249119287</v>
      </c>
      <c r="O437" s="858"/>
    </row>
    <row r="438" spans="1:87" ht="15.5">
      <c r="A438" s="434"/>
      <c r="B438" s="15"/>
      <c r="C438" s="716" t="s">
        <v>95</v>
      </c>
      <c r="D438" s="1716" t="str">
        <f>INDEX(Vectors[Description], MATCH(XI.a.Outputs[Vector], Vectors[Code], 0))</f>
        <v>Electricity (delivered to end user)</v>
      </c>
      <c r="E438" s="716"/>
      <c r="F438" s="717">
        <f>-F240</f>
        <v>-9.2899999999999991</v>
      </c>
      <c r="G438" s="717">
        <f t="shared" ref="G438:N442" si="45">-G240</f>
        <v>-9.5615695738896491</v>
      </c>
      <c r="H438" s="717">
        <f t="shared" si="45"/>
        <v>-10.288010053347909</v>
      </c>
      <c r="I438" s="717">
        <f t="shared" si="45"/>
        <v>-11.087950167558603</v>
      </c>
      <c r="J438" s="717">
        <f t="shared" si="45"/>
        <v>-11.969042561658595</v>
      </c>
      <c r="K438" s="717">
        <f t="shared" si="45"/>
        <v>-12.939749280324914</v>
      </c>
      <c r="L438" s="717">
        <f t="shared" si="45"/>
        <v>-14.009428118931382</v>
      </c>
      <c r="M438" s="717">
        <f t="shared" si="45"/>
        <v>-15.188428233314889</v>
      </c>
      <c r="N438" s="717">
        <f t="shared" si="45"/>
        <v>-16.488196003970057</v>
      </c>
      <c r="O438" s="858"/>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5">
      <c r="A439" s="434"/>
      <c r="B439" s="15"/>
      <c r="C439" s="716" t="s">
        <v>97</v>
      </c>
      <c r="D439" s="1716" t="str">
        <f>INDEX(Vectors[Description], MATCH(XI.a.Outputs[Vector], Vectors[Code], 0))</f>
        <v>Solid hydrocarbons</v>
      </c>
      <c r="E439" s="716"/>
      <c r="F439" s="717">
        <f>-F241</f>
        <v>-3.11</v>
      </c>
      <c r="G439" s="717">
        <f t="shared" si="45"/>
        <v>-3.2009129574592907</v>
      </c>
      <c r="H439" s="717">
        <f t="shared" si="45"/>
        <v>-3.4441023967612487</v>
      </c>
      <c r="I439" s="717">
        <f t="shared" si="45"/>
        <v>-3.7118972035637521</v>
      </c>
      <c r="J439" s="717">
        <f t="shared" si="45"/>
        <v>-4.0068592429233831</v>
      </c>
      <c r="K439" s="717">
        <f t="shared" si="45"/>
        <v>-4.3318213414220113</v>
      </c>
      <c r="L439" s="717">
        <f t="shared" si="45"/>
        <v>-4.6899161948198707</v>
      </c>
      <c r="M439" s="717">
        <f t="shared" si="45"/>
        <v>-5.0846083752001414</v>
      </c>
      <c r="N439" s="717">
        <f t="shared" si="45"/>
        <v>-5.5197297709738296</v>
      </c>
      <c r="O439" s="858"/>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5">
      <c r="A440" s="434"/>
      <c r="B440" s="15"/>
      <c r="C440" s="716" t="s">
        <v>98</v>
      </c>
      <c r="D440" s="1716" t="str">
        <f>INDEX(Vectors[Description], MATCH(XI.a.Outputs[Vector], Vectors[Code], 0))</f>
        <v>Liquid hydrocarbons</v>
      </c>
      <c r="E440" s="716"/>
      <c r="F440" s="717">
        <f>-F242</f>
        <v>-6.35</v>
      </c>
      <c r="G440" s="717">
        <f t="shared" si="45"/>
        <v>-6.5356261350053035</v>
      </c>
      <c r="H440" s="717">
        <f t="shared" si="45"/>
        <v>-7.0321704885639642</v>
      </c>
      <c r="I440" s="717">
        <f t="shared" si="45"/>
        <v>-7.5789540973086256</v>
      </c>
      <c r="J440" s="717">
        <f t="shared" si="45"/>
        <v>-8.1812077789593189</v>
      </c>
      <c r="K440" s="717">
        <f t="shared" si="45"/>
        <v>-8.844715600652659</v>
      </c>
      <c r="L440" s="717">
        <f t="shared" si="45"/>
        <v>-9.5758739026064887</v>
      </c>
      <c r="M440" s="717">
        <f t="shared" si="45"/>
        <v>-10.381756650328262</v>
      </c>
      <c r="N440" s="717">
        <f t="shared" si="45"/>
        <v>-11.270187796039812</v>
      </c>
      <c r="O440" s="858"/>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5">
      <c r="A441" s="434"/>
      <c r="B441" s="15"/>
      <c r="C441" s="716" t="s">
        <v>99</v>
      </c>
      <c r="D441" s="1716" t="str">
        <f>INDEX(Vectors[Description], MATCH(XI.a.Outputs[Vector], Vectors[Code], 0))</f>
        <v>Gaseous hydrocarbons</v>
      </c>
      <c r="E441" s="716"/>
      <c r="F441" s="717">
        <f>-F243</f>
        <v>-7.2399999999999993</v>
      </c>
      <c r="G441" s="717">
        <f t="shared" si="45"/>
        <v>-7.4516430263682514</v>
      </c>
      <c r="H441" s="717">
        <f t="shared" si="45"/>
        <v>-8.0177817853863154</v>
      </c>
      <c r="I441" s="717">
        <f t="shared" si="45"/>
        <v>-8.64120120701015</v>
      </c>
      <c r="J441" s="717">
        <f t="shared" si="45"/>
        <v>-9.3278652471914132</v>
      </c>
      <c r="K441" s="717">
        <f t="shared" si="45"/>
        <v>-10.08436865334256</v>
      </c>
      <c r="L441" s="717">
        <f t="shared" si="45"/>
        <v>-10.918004260609603</v>
      </c>
      <c r="M441" s="717">
        <f t="shared" si="45"/>
        <v>-11.836837503681357</v>
      </c>
      <c r="N441" s="717">
        <f t="shared" si="45"/>
        <v>-12.849788920209173</v>
      </c>
      <c r="O441" s="858"/>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5">
      <c r="A442" s="434"/>
      <c r="B442" s="15"/>
      <c r="C442" s="716" t="s">
        <v>100</v>
      </c>
      <c r="D442" s="1716" t="str">
        <f>INDEX(Vectors[Description], MATCH(XI.a.Outputs[Vector], Vectors[Code], 0))</f>
        <v>Heat transport</v>
      </c>
      <c r="E442" s="716"/>
      <c r="F442" s="717">
        <f>-F244</f>
        <v>0</v>
      </c>
      <c r="G442" s="717">
        <f t="shared" si="45"/>
        <v>0</v>
      </c>
      <c r="H442" s="717">
        <f t="shared" si="45"/>
        <v>0</v>
      </c>
      <c r="I442" s="717">
        <f t="shared" si="45"/>
        <v>0</v>
      </c>
      <c r="J442" s="717">
        <f t="shared" si="45"/>
        <v>0</v>
      </c>
      <c r="K442" s="717">
        <f t="shared" si="45"/>
        <v>0</v>
      </c>
      <c r="L442" s="717">
        <f t="shared" si="45"/>
        <v>0</v>
      </c>
      <c r="M442" s="717">
        <f t="shared" si="45"/>
        <v>0</v>
      </c>
      <c r="N442" s="717">
        <f t="shared" si="45"/>
        <v>0</v>
      </c>
      <c r="O442" s="858"/>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5">
      <c r="A443" s="434"/>
      <c r="B443" s="15"/>
      <c r="C443" s="2433" t="s">
        <v>58</v>
      </c>
      <c r="D443" s="2433"/>
      <c r="E443" s="2433"/>
      <c r="F443" s="2434">
        <f>SUBTOTAL(109,XI.a.Outputs[2013])</f>
        <v>4.4408920985006262E-15</v>
      </c>
      <c r="G443" s="2434">
        <f>SUBTOTAL(109,XI.a.Outputs[2015])</f>
        <v>2.6645352591003757E-15</v>
      </c>
      <c r="H443" s="2434">
        <f>SUBTOTAL(109,XI.a.Outputs[2020])</f>
        <v>0</v>
      </c>
      <c r="I443" s="2434">
        <f>SUBTOTAL(109,XI.a.Outputs[2025])</f>
        <v>1.7763568394002505E-15</v>
      </c>
      <c r="J443" s="2434">
        <f>SUBTOTAL(109,XI.a.Outputs[2030])</f>
        <v>-1.7763568394002505E-15</v>
      </c>
      <c r="K443" s="2434">
        <f>SUBTOTAL(109,XI.a.Outputs[2035])</f>
        <v>1.7763568394002505E-15</v>
      </c>
      <c r="L443" s="2434">
        <f>SUBTOTAL(109,XI.a.Outputs[2040])</f>
        <v>-3.5527136788005009E-15</v>
      </c>
      <c r="M443" s="2434">
        <f>SUBTOTAL(109,XI.a.Outputs[2045])</f>
        <v>3.5527136788005009E-15</v>
      </c>
      <c r="N443" s="2434">
        <f>SUBTOTAL(109,XI.a.Outputs[2050])</f>
        <v>0</v>
      </c>
      <c r="O443" s="858"/>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5">
      <c r="B444" s="15"/>
      <c r="C444" s="443"/>
      <c r="D444" s="443"/>
      <c r="E444" s="443"/>
      <c r="F444" s="443"/>
      <c r="G444" s="443"/>
      <c r="H444" s="443"/>
      <c r="I444" s="443"/>
      <c r="J444" s="443"/>
      <c r="K444" s="443"/>
      <c r="L444" s="443"/>
      <c r="M444" s="443"/>
      <c r="N444" s="443"/>
      <c r="O444" s="35"/>
    </row>
    <row r="445" spans="1:87" ht="23.5">
      <c r="A445" s="7"/>
    </row>
    <row r="446" spans="1:87" ht="15">
      <c r="B446" s="1118" t="s">
        <v>300</v>
      </c>
      <c r="C446" s="1119"/>
      <c r="D446" s="1120"/>
      <c r="E446" s="1120"/>
      <c r="F446" s="1120"/>
      <c r="G446" s="1120"/>
      <c r="H446" s="1120"/>
      <c r="I446" s="1120"/>
      <c r="J446" s="1120"/>
      <c r="K446" s="1120"/>
      <c r="L446" s="1120"/>
      <c r="M446" s="1120"/>
      <c r="N446" s="1120"/>
      <c r="O446" s="1121"/>
    </row>
    <row r="447" spans="1:87">
      <c r="B447" s="1122"/>
      <c r="C447" s="1123"/>
      <c r="D447" s="1123"/>
      <c r="E447" s="1123"/>
      <c r="F447" s="1123"/>
      <c r="G447" s="1123"/>
      <c r="H447" s="1123"/>
      <c r="I447" s="1123"/>
      <c r="J447" s="1123"/>
      <c r="K447" s="1123"/>
      <c r="L447" s="1123"/>
      <c r="M447" s="1123"/>
      <c r="N447" s="1123"/>
      <c r="O447" s="1124"/>
    </row>
    <row r="448" spans="1:87">
      <c r="B448" s="1125"/>
      <c r="C448" s="453" t="s">
        <v>1005</v>
      </c>
      <c r="D448" s="1126"/>
      <c r="E448" s="1127"/>
      <c r="F448" s="1126"/>
      <c r="G448" s="1126"/>
      <c r="H448" s="1126"/>
      <c r="I448" s="1126"/>
      <c r="J448" s="1126"/>
      <c r="K448" s="1126"/>
      <c r="L448" s="1126"/>
      <c r="M448" s="1126"/>
      <c r="N448" s="1128" t="s">
        <v>251</v>
      </c>
      <c r="O448" s="1129"/>
    </row>
    <row r="449" spans="2:15">
      <c r="B449" s="1125"/>
      <c r="C449" s="1126"/>
      <c r="D449" s="1126"/>
      <c r="E449" s="1126"/>
      <c r="F449" s="1126"/>
      <c r="G449" s="1126"/>
      <c r="H449" s="1126"/>
      <c r="I449" s="1126"/>
      <c r="J449" s="1126"/>
      <c r="K449" s="1126"/>
      <c r="L449" s="1126"/>
      <c r="M449" s="1126"/>
      <c r="N449" s="1126"/>
      <c r="O449" s="1129"/>
    </row>
    <row r="450" spans="2:15" ht="15.5">
      <c r="B450" s="458"/>
      <c r="C450" s="1327" t="s">
        <v>302</v>
      </c>
      <c r="D450" s="1327" t="s">
        <v>303</v>
      </c>
      <c r="E450" s="1327" t="s">
        <v>30</v>
      </c>
      <c r="F450" s="1327" t="s">
        <v>588</v>
      </c>
      <c r="G450" s="1327" t="s">
        <v>132</v>
      </c>
      <c r="H450" s="1327" t="s">
        <v>133</v>
      </c>
      <c r="I450" s="1327" t="s">
        <v>134</v>
      </c>
      <c r="J450" s="1327" t="s">
        <v>135</v>
      </c>
      <c r="K450" s="1327" t="s">
        <v>136</v>
      </c>
      <c r="L450" s="1327" t="s">
        <v>137</v>
      </c>
      <c r="M450" s="1327" t="s">
        <v>138</v>
      </c>
      <c r="N450" s="1327" t="s">
        <v>139</v>
      </c>
      <c r="O450" s="1129"/>
    </row>
    <row r="451" spans="2:15" ht="15.5">
      <c r="B451" s="458"/>
      <c r="C451" s="1131" t="s">
        <v>250</v>
      </c>
      <c r="D451" s="1132" t="s">
        <v>304</v>
      </c>
      <c r="E451" s="1132" t="str">
        <f>INDEX(IPCC[Sector_description], MATCH(XI.a.Emissions[IPCC Sector], IPCC[Sector_code], 0))</f>
        <v>Fuel Combustion</v>
      </c>
      <c r="F451" s="461">
        <f>F341</f>
        <v>4.2078251519999998</v>
      </c>
      <c r="G451" s="461">
        <f t="shared" ref="G451:N453" si="46">G341</f>
        <v>4.3308302417234428</v>
      </c>
      <c r="H451" s="461">
        <f t="shared" si="46"/>
        <v>4.659865174004973</v>
      </c>
      <c r="I451" s="461">
        <f t="shared" si="46"/>
        <v>5.0221911301588484</v>
      </c>
      <c r="J451" s="461">
        <f t="shared" si="46"/>
        <v>5.4212743096130831</v>
      </c>
      <c r="K451" s="461">
        <f t="shared" si="46"/>
        <v>5.8609475223170149</v>
      </c>
      <c r="L451" s="461">
        <f t="shared" si="46"/>
        <v>6.3454493007508628</v>
      </c>
      <c r="M451" s="461">
        <f t="shared" si="46"/>
        <v>6.8794672055424453</v>
      </c>
      <c r="N451" s="461">
        <f t="shared" si="46"/>
        <v>7.4681857757385455</v>
      </c>
      <c r="O451" s="1129"/>
    </row>
    <row r="452" spans="2:15" ht="15.5">
      <c r="B452" s="458"/>
      <c r="C452" s="1131" t="s">
        <v>252</v>
      </c>
      <c r="D452" s="1132" t="s">
        <v>304</v>
      </c>
      <c r="E452" s="1132" t="str">
        <f>INDEX(IPCC[Sector_description], MATCH(XI.a.Emissions[IPCC Sector], IPCC[Sector_code], 0))</f>
        <v>Fuel Combustion</v>
      </c>
      <c r="F452" s="461">
        <f>F342</f>
        <v>2.1521051999999997E-3</v>
      </c>
      <c r="G452" s="461">
        <f t="shared" si="46"/>
        <v>2.2150165339213882E-3</v>
      </c>
      <c r="H452" s="461">
        <f t="shared" si="46"/>
        <v>2.3833024686181182E-3</v>
      </c>
      <c r="I452" s="461">
        <f t="shared" si="46"/>
        <v>2.5686152005321575E-3</v>
      </c>
      <c r="J452" s="461">
        <f t="shared" si="46"/>
        <v>2.7727275280911502E-3</v>
      </c>
      <c r="K452" s="461">
        <f t="shared" si="46"/>
        <v>2.9975997538087733E-3</v>
      </c>
      <c r="L452" s="461">
        <f t="shared" si="46"/>
        <v>3.2453996882431057E-3</v>
      </c>
      <c r="M452" s="461">
        <f t="shared" si="46"/>
        <v>3.5185247987883522E-3</v>
      </c>
      <c r="N452" s="461">
        <f t="shared" si="46"/>
        <v>3.8196267339895779E-3</v>
      </c>
      <c r="O452" s="1129"/>
    </row>
    <row r="453" spans="2:15" ht="15.5">
      <c r="B453" s="458"/>
      <c r="C453" s="1131" t="s">
        <v>253</v>
      </c>
      <c r="D453" s="1132" t="s">
        <v>304</v>
      </c>
      <c r="E453" s="1132" t="str">
        <f>INDEX(IPCC[Sector_description], MATCH(XI.a.Emissions[IPCC Sector], IPCC[Sector_code], 0))</f>
        <v>Fuel Combustion</v>
      </c>
      <c r="F453" s="461">
        <f>F343</f>
        <v>2.9418875999999997E-2</v>
      </c>
      <c r="G453" s="461">
        <f t="shared" si="46"/>
        <v>3.0278862180800045E-2</v>
      </c>
      <c r="H453" s="461">
        <f t="shared" si="46"/>
        <v>3.2579299466759477E-2</v>
      </c>
      <c r="I453" s="461">
        <f t="shared" si="46"/>
        <v>3.5112489889514077E-2</v>
      </c>
      <c r="J453" s="461">
        <f t="shared" si="46"/>
        <v>3.7902667272352697E-2</v>
      </c>
      <c r="K453" s="461">
        <f t="shared" si="46"/>
        <v>4.0976628584388358E-2</v>
      </c>
      <c r="L453" s="461">
        <f t="shared" si="46"/>
        <v>4.4364007390931715E-2</v>
      </c>
      <c r="M453" s="461">
        <f t="shared" si="46"/>
        <v>4.8097576623335823E-2</v>
      </c>
      <c r="N453" s="461">
        <f t="shared" si="46"/>
        <v>5.2213583821796625E-2</v>
      </c>
      <c r="O453" s="1129"/>
    </row>
    <row r="454" spans="2:15" ht="15.5">
      <c r="B454" s="458"/>
      <c r="C454" s="1130" t="s">
        <v>250</v>
      </c>
      <c r="D454" s="1451">
        <v>2</v>
      </c>
      <c r="E454" s="1132" t="str">
        <f>INDEX(IPCC[Sector_description], MATCH(XI.a.Emissions[IPCC Sector], IPCC[Sector_code], 0))</f>
        <v>Industrial Processes</v>
      </c>
      <c r="F454" s="1452">
        <f>F286</f>
        <v>1.11175</v>
      </c>
      <c r="G454" s="1452">
        <f t="shared" ref="G454:N454" si="47">G286</f>
        <v>1.1453526437499997</v>
      </c>
      <c r="H454" s="1452">
        <f t="shared" si="47"/>
        <v>1.2338700819185533</v>
      </c>
      <c r="I454" s="1452">
        <f t="shared" si="47"/>
        <v>1.3292285021223598</v>
      </c>
      <c r="J454" s="1452">
        <f t="shared" si="47"/>
        <v>1.4319566028436053</v>
      </c>
      <c r="K454" s="1452">
        <f t="shared" si="47"/>
        <v>1.5426239425000261</v>
      </c>
      <c r="L454" s="1452">
        <f t="shared" si="47"/>
        <v>1.6618440972643267</v>
      </c>
      <c r="M454" s="1452">
        <f t="shared" si="47"/>
        <v>1.7902780629325272</v>
      </c>
      <c r="N454" s="1452">
        <f t="shared" si="47"/>
        <v>1.9286379197023151</v>
      </c>
      <c r="O454" s="1129"/>
    </row>
    <row r="455" spans="2:15" ht="15.5">
      <c r="B455" s="458"/>
      <c r="C455" s="1130" t="s">
        <v>252</v>
      </c>
      <c r="D455" s="1451">
        <v>2</v>
      </c>
      <c r="E455" s="1132" t="str">
        <f>INDEX(IPCC[Sector_description], MATCH(XI.a.Emissions[IPCC Sector], IPCC[Sector_code], 0))</f>
        <v>Industrial Processes</v>
      </c>
      <c r="F455" s="1452">
        <f>F293</f>
        <v>0</v>
      </c>
      <c r="G455" s="1452">
        <f t="shared" ref="G455:N455" si="48">G293</f>
        <v>0</v>
      </c>
      <c r="H455" s="1452">
        <f t="shared" si="48"/>
        <v>0</v>
      </c>
      <c r="I455" s="1452">
        <f t="shared" si="48"/>
        <v>0</v>
      </c>
      <c r="J455" s="1452">
        <f t="shared" si="48"/>
        <v>0</v>
      </c>
      <c r="K455" s="1452">
        <f t="shared" si="48"/>
        <v>0</v>
      </c>
      <c r="L455" s="1452">
        <f t="shared" si="48"/>
        <v>0</v>
      </c>
      <c r="M455" s="1452">
        <f t="shared" si="48"/>
        <v>0</v>
      </c>
      <c r="N455" s="1452">
        <f t="shared" si="48"/>
        <v>0</v>
      </c>
      <c r="O455" s="1129"/>
    </row>
    <row r="456" spans="2:15" ht="15.5">
      <c r="B456" s="458"/>
      <c r="C456" s="1130" t="s">
        <v>253</v>
      </c>
      <c r="D456" s="1451">
        <v>2</v>
      </c>
      <c r="E456" s="1132" t="str">
        <f>INDEX(IPCC[Sector_description], MATCH(XI.a.Emissions[IPCC Sector], IPCC[Sector_code], 0))</f>
        <v>Industrial Processes</v>
      </c>
      <c r="F456" s="1452">
        <f>F300</f>
        <v>0</v>
      </c>
      <c r="G456" s="1452">
        <f t="shared" ref="G456:N456" si="49">G300</f>
        <v>0</v>
      </c>
      <c r="H456" s="1452">
        <f t="shared" si="49"/>
        <v>0</v>
      </c>
      <c r="I456" s="1452">
        <f t="shared" si="49"/>
        <v>0</v>
      </c>
      <c r="J456" s="1452">
        <f t="shared" si="49"/>
        <v>0</v>
      </c>
      <c r="K456" s="1452">
        <f t="shared" si="49"/>
        <v>0</v>
      </c>
      <c r="L456" s="1452">
        <f t="shared" si="49"/>
        <v>0</v>
      </c>
      <c r="M456" s="1452">
        <f t="shared" si="49"/>
        <v>0</v>
      </c>
      <c r="N456" s="1452">
        <f t="shared" si="49"/>
        <v>0</v>
      </c>
      <c r="O456" s="1129"/>
    </row>
    <row r="457" spans="2:15" ht="15.5">
      <c r="B457" s="458"/>
      <c r="C457" s="1130" t="s">
        <v>451</v>
      </c>
      <c r="D457" s="1451">
        <v>2</v>
      </c>
      <c r="E457" s="1132" t="str">
        <f>INDEX(IPCC[Sector_description], MATCH(XI.a.Emissions[IPCC Sector], IPCC[Sector_code], 0))</f>
        <v>Industrial Processes</v>
      </c>
      <c r="F457" s="1452">
        <f>F307</f>
        <v>1.12416</v>
      </c>
      <c r="G457" s="1452">
        <f t="shared" ref="G457:N457" si="50">G307</f>
        <v>1.1218527736220998</v>
      </c>
      <c r="H457" s="1452">
        <f t="shared" si="50"/>
        <v>1.1161054035888369</v>
      </c>
      <c r="I457" s="1452">
        <f t="shared" si="50"/>
        <v>1.1103874779381839</v>
      </c>
      <c r="J457" s="1452">
        <f t="shared" si="50"/>
        <v>1.1046988458234654</v>
      </c>
      <c r="K457" s="1452">
        <f t="shared" si="50"/>
        <v>1.0990393571708086</v>
      </c>
      <c r="L457" s="1452">
        <f t="shared" si="50"/>
        <v>1.0934088626751839</v>
      </c>
      <c r="M457" s="1452">
        <f t="shared" si="50"/>
        <v>1.0878072137964687</v>
      </c>
      <c r="N457" s="1452">
        <f t="shared" si="50"/>
        <v>1.0822342627555264</v>
      </c>
      <c r="O457" s="1129"/>
    </row>
    <row r="458" spans="2:15" ht="15.5">
      <c r="B458" s="458"/>
      <c r="C458" s="1130" t="s">
        <v>250</v>
      </c>
      <c r="D458" s="1451" t="s">
        <v>450</v>
      </c>
      <c r="E458" s="1132" t="str">
        <f>INDEX(IPCC[Sector_description], MATCH(XI.a.Emissions[IPCC Sector], IPCC[Sector_code], 0))</f>
        <v>Carbon capture</v>
      </c>
      <c r="F458" s="1452">
        <f>-(F$365+F$369)</f>
        <v>0</v>
      </c>
      <c r="G458" s="1452">
        <f t="shared" ref="G458:N458" si="51">-(G$365+G$369)</f>
        <v>0</v>
      </c>
      <c r="H458" s="1452">
        <f t="shared" si="51"/>
        <v>0</v>
      </c>
      <c r="I458" s="1452">
        <f t="shared" si="51"/>
        <v>0</v>
      </c>
      <c r="J458" s="1452">
        <f t="shared" si="51"/>
        <v>0</v>
      </c>
      <c r="K458" s="1452">
        <f t="shared" si="51"/>
        <v>0</v>
      </c>
      <c r="L458" s="1452">
        <f t="shared" si="51"/>
        <v>0</v>
      </c>
      <c r="M458" s="1452">
        <f t="shared" si="51"/>
        <v>0</v>
      </c>
      <c r="N458" s="1452">
        <f t="shared" si="51"/>
        <v>0</v>
      </c>
      <c r="O458" s="1129"/>
    </row>
    <row r="459" spans="2:15" ht="15.5">
      <c r="B459" s="458"/>
      <c r="C459" s="3473" t="s">
        <v>58</v>
      </c>
      <c r="D459" s="3589"/>
      <c r="E459" s="2436"/>
      <c r="F459" s="3590">
        <f>SUBTOTAL(109,XI.a.Emissions[2013])</f>
        <v>6.4753061332000001</v>
      </c>
      <c r="G459" s="3590">
        <f>SUBTOTAL(109,XI.a.Emissions[2015])</f>
        <v>6.6305295378102631</v>
      </c>
      <c r="H459" s="3590">
        <f>SUBTOTAL(109,XI.a.Emissions[2020])</f>
        <v>7.0448032614477407</v>
      </c>
      <c r="I459" s="3590">
        <f>SUBTOTAL(109,XI.a.Emissions[2025])</f>
        <v>7.4994882153094391</v>
      </c>
      <c r="J459" s="3590">
        <f>SUBTOTAL(109,XI.a.Emissions[2030])</f>
        <v>7.9986051530805984</v>
      </c>
      <c r="K459" s="3590">
        <f>SUBTOTAL(109,XI.a.Emissions[2035])</f>
        <v>8.5465850503260477</v>
      </c>
      <c r="L459" s="3590">
        <f>SUBTOTAL(109,XI.a.Emissions[2040])</f>
        <v>9.1483116677695477</v>
      </c>
      <c r="M459" s="3590">
        <f>SUBTOTAL(109,XI.a.Emissions[2045])</f>
        <v>9.8091685836935643</v>
      </c>
      <c r="N459" s="3590">
        <f>SUBTOTAL(109,XI.a.Emissions[2050])</f>
        <v>10.535091168752171</v>
      </c>
      <c r="O459" s="1129"/>
    </row>
    <row r="460" spans="2:15" ht="15.5">
      <c r="B460" s="465"/>
      <c r="C460" s="1131"/>
      <c r="D460" s="1131"/>
      <c r="E460" s="1131"/>
      <c r="F460" s="462"/>
      <c r="G460" s="462"/>
      <c r="H460" s="462"/>
      <c r="I460" s="462"/>
      <c r="J460" s="462"/>
      <c r="K460" s="462"/>
      <c r="L460" s="462"/>
      <c r="M460" s="462"/>
      <c r="N460" s="462"/>
      <c r="O460" s="1126"/>
    </row>
    <row r="461" spans="2:15" ht="15.5">
      <c r="B461" s="465"/>
      <c r="C461" s="466" t="s">
        <v>1093</v>
      </c>
      <c r="D461" s="1372"/>
      <c r="E461" s="1131"/>
      <c r="F461" s="462"/>
      <c r="G461" s="462"/>
      <c r="H461" s="462"/>
      <c r="I461" s="462"/>
      <c r="J461" s="462"/>
      <c r="K461" s="462"/>
      <c r="L461" s="462"/>
      <c r="M461" s="462"/>
      <c r="N461" s="1134" t="s">
        <v>831</v>
      </c>
      <c r="O461" s="1126"/>
    </row>
    <row r="462" spans="2:15">
      <c r="B462" s="468"/>
      <c r="C462" s="1131"/>
      <c r="D462" s="1131"/>
      <c r="E462" s="1131"/>
      <c r="F462" s="462"/>
      <c r="G462" s="462"/>
      <c r="H462" s="462"/>
      <c r="I462" s="462"/>
      <c r="J462" s="462"/>
      <c r="K462" s="462"/>
      <c r="L462" s="462"/>
      <c r="M462" s="462"/>
      <c r="N462" s="462"/>
      <c r="O462" s="468"/>
    </row>
    <row r="463" spans="2:15">
      <c r="B463" s="468"/>
      <c r="C463" s="3593" t="s">
        <v>28</v>
      </c>
      <c r="D463" s="3594" t="s">
        <v>29</v>
      </c>
      <c r="E463" s="3594" t="s">
        <v>303</v>
      </c>
      <c r="F463" s="3594" t="s">
        <v>588</v>
      </c>
      <c r="G463" s="3594" t="s">
        <v>132</v>
      </c>
      <c r="H463" s="3594" t="s">
        <v>133</v>
      </c>
      <c r="I463" s="3594" t="s">
        <v>134</v>
      </c>
      <c r="J463" s="3594" t="s">
        <v>135</v>
      </c>
      <c r="K463" s="3594" t="s">
        <v>136</v>
      </c>
      <c r="L463" s="3594" t="s">
        <v>137</v>
      </c>
      <c r="M463" s="3594" t="s">
        <v>138</v>
      </c>
      <c r="N463" s="3595" t="s">
        <v>139</v>
      </c>
      <c r="O463" s="468"/>
    </row>
    <row r="464" spans="2:15">
      <c r="B464" s="468"/>
      <c r="C464" s="3598" t="str">
        <f>INDEX(AirQualityVectors[Code],MATCH(D464,AirQualityVectors[Description],0))</f>
        <v>AQ.01</v>
      </c>
      <c r="D464" s="1375" t="s">
        <v>258</v>
      </c>
      <c r="E464" s="1374" t="s">
        <v>304</v>
      </c>
      <c r="F464" s="1453">
        <f t="shared" ref="F464:N467" ca="1" si="52">F355</f>
        <v>0.36395084742818745</v>
      </c>
      <c r="G464" s="1453">
        <f t="shared" ca="1" si="52"/>
        <v>0.46529987400731332</v>
      </c>
      <c r="H464" s="1453">
        <f t="shared" ca="1" si="52"/>
        <v>0.51041091274517703</v>
      </c>
      <c r="I464" s="1453">
        <f t="shared" ca="1" si="52"/>
        <v>0.56140461652592266</v>
      </c>
      <c r="J464" s="1453">
        <f t="shared" ca="1" si="52"/>
        <v>0.62856985554005729</v>
      </c>
      <c r="K464" s="1453">
        <f t="shared" ca="1" si="52"/>
        <v>0.91225241877535357</v>
      </c>
      <c r="L464" s="1453">
        <f t="shared" ca="1" si="52"/>
        <v>0.92547857143917689</v>
      </c>
      <c r="M464" s="1453">
        <f t="shared" ca="1" si="52"/>
        <v>0.9410057246258936</v>
      </c>
      <c r="N464" s="3591">
        <f t="shared" ca="1" si="52"/>
        <v>1.0095493543466747</v>
      </c>
      <c r="O464" s="468"/>
    </row>
    <row r="465" spans="2:22">
      <c r="B465" s="468"/>
      <c r="C465" s="3599" t="str">
        <f>INDEX(AirQualityVectors[Code],MATCH(D465,AirQualityVectors[Description],0))</f>
        <v>AQ.02</v>
      </c>
      <c r="D465" s="1376" t="s">
        <v>260</v>
      </c>
      <c r="E465" s="1373" t="s">
        <v>304</v>
      </c>
      <c r="F465" s="1454">
        <f t="shared" ca="1" si="52"/>
        <v>8.8057182274036485</v>
      </c>
      <c r="G465" s="1454">
        <f t="shared" ca="1" si="52"/>
        <v>5.3418194386828262</v>
      </c>
      <c r="H465" s="1454">
        <f t="shared" ca="1" si="52"/>
        <v>5.3297488162059645</v>
      </c>
      <c r="I465" s="1454">
        <f t="shared" ca="1" si="52"/>
        <v>5.5165737523197302</v>
      </c>
      <c r="J465" s="1454">
        <f t="shared" ca="1" si="52"/>
        <v>5.7198292858599435</v>
      </c>
      <c r="K465" s="1454">
        <f t="shared" ca="1" si="52"/>
        <v>5.9655755736227736</v>
      </c>
      <c r="L465" s="1454">
        <f t="shared" ca="1" si="52"/>
        <v>6.5140736422841909</v>
      </c>
      <c r="M465" s="1454">
        <f t="shared" ca="1" si="52"/>
        <v>7.1176358771795023</v>
      </c>
      <c r="N465" s="3592">
        <f t="shared" ca="1" si="52"/>
        <v>7.7366717561707938</v>
      </c>
      <c r="O465" s="468"/>
    </row>
    <row r="466" spans="2:22">
      <c r="B466" s="468"/>
      <c r="C466" s="3599" t="str">
        <f>INDEX(AirQualityVectors[Code],MATCH(D466,AirQualityVectors[Description],0))</f>
        <v>AQ.03</v>
      </c>
      <c r="D466" s="1376" t="s">
        <v>262</v>
      </c>
      <c r="E466" s="1373" t="s">
        <v>304</v>
      </c>
      <c r="F466" s="1454">
        <f t="shared" ca="1" si="52"/>
        <v>5.5532438772504733</v>
      </c>
      <c r="G466" s="1454">
        <f t="shared" ca="1" si="52"/>
        <v>5.9831950572866175</v>
      </c>
      <c r="H466" s="1454">
        <f t="shared" ca="1" si="52"/>
        <v>6.1804812611393487</v>
      </c>
      <c r="I466" s="1454">
        <f t="shared" ca="1" si="52"/>
        <v>6.600113815539796</v>
      </c>
      <c r="J466" s="1454">
        <f t="shared" ca="1" si="52"/>
        <v>6.5011875562859043</v>
      </c>
      <c r="K466" s="1454">
        <f t="shared" ca="1" si="52"/>
        <v>4.3100716463805089</v>
      </c>
      <c r="L466" s="1454">
        <f t="shared" ca="1" si="52"/>
        <v>5.3609774224618141</v>
      </c>
      <c r="M466" s="1454">
        <f t="shared" ca="1" si="52"/>
        <v>6.5061264703909059</v>
      </c>
      <c r="N466" s="3592">
        <f t="shared" ca="1" si="52"/>
        <v>7.1658945822619682</v>
      </c>
      <c r="O466" s="468"/>
    </row>
    <row r="467" spans="2:22">
      <c r="B467" s="468"/>
      <c r="C467" s="3600" t="str">
        <f>INDEX(AirQualityVectors[Code],MATCH(D467,AirQualityVectors[Description],0))</f>
        <v>AQ.04</v>
      </c>
      <c r="D467" s="1735" t="s">
        <v>264</v>
      </c>
      <c r="E467" s="1736" t="s">
        <v>304</v>
      </c>
      <c r="F467" s="3596">
        <f t="shared" ca="1" si="52"/>
        <v>0.16344614830449589</v>
      </c>
      <c r="G467" s="3596">
        <f t="shared" ca="1" si="52"/>
        <v>0.15320029224438733</v>
      </c>
      <c r="H467" s="3596">
        <f t="shared" ca="1" si="52"/>
        <v>0.17373170478218752</v>
      </c>
      <c r="I467" s="3596">
        <f t="shared" ca="1" si="52"/>
        <v>0.19435316305662442</v>
      </c>
      <c r="J467" s="3596">
        <f t="shared" ca="1" si="52"/>
        <v>0.24164658917119908</v>
      </c>
      <c r="K467" s="3596">
        <f t="shared" ca="1" si="52"/>
        <v>0.49637867812968411</v>
      </c>
      <c r="L467" s="3596">
        <f t="shared" ca="1" si="52"/>
        <v>0.47684326603250937</v>
      </c>
      <c r="M467" s="3596">
        <f t="shared" ca="1" si="52"/>
        <v>0.45641878158282917</v>
      </c>
      <c r="N467" s="3597">
        <f t="shared" ca="1" si="52"/>
        <v>0.48602252496471254</v>
      </c>
      <c r="O467" s="468"/>
    </row>
    <row r="468" spans="2:22">
      <c r="B468" s="468"/>
      <c r="C468" s="1455"/>
      <c r="D468" s="1456"/>
      <c r="E468" s="1455"/>
      <c r="F468" s="1457"/>
      <c r="G468" s="1457"/>
      <c r="H468" s="1457"/>
      <c r="I468" s="1457"/>
      <c r="J468" s="1457"/>
      <c r="K468" s="1457"/>
      <c r="L468" s="1457"/>
      <c r="M468" s="1457"/>
      <c r="N468" s="1457"/>
      <c r="O468" s="468"/>
    </row>
    <row r="469" spans="2:22">
      <c r="B469" s="468"/>
      <c r="C469" s="466" t="s">
        <v>1094</v>
      </c>
      <c r="D469" s="1372"/>
      <c r="E469" s="1131"/>
      <c r="F469" s="462"/>
      <c r="G469" s="462"/>
      <c r="H469" s="462"/>
      <c r="I469" s="462"/>
      <c r="J469" s="462"/>
      <c r="K469" s="462"/>
      <c r="L469" s="462"/>
      <c r="M469" s="462"/>
      <c r="N469" s="1134" t="s">
        <v>831</v>
      </c>
      <c r="O469" s="468"/>
    </row>
    <row r="470" spans="2:22">
      <c r="B470" s="468"/>
      <c r="C470" s="1458"/>
      <c r="D470" s="1459"/>
      <c r="E470" s="1458"/>
      <c r="F470" s="1460"/>
      <c r="G470" s="1460"/>
      <c r="H470" s="1460"/>
      <c r="I470" s="1460"/>
      <c r="J470" s="1460"/>
      <c r="K470" s="1460"/>
      <c r="L470" s="1460"/>
      <c r="M470" s="1460"/>
      <c r="N470" s="1460"/>
      <c r="O470" s="468"/>
    </row>
    <row r="471" spans="2:22">
      <c r="B471" s="468"/>
      <c r="C471" s="1732" t="s">
        <v>28</v>
      </c>
      <c r="D471" s="1733" t="s">
        <v>29</v>
      </c>
      <c r="E471" s="1733" t="s">
        <v>303</v>
      </c>
      <c r="F471" s="1733" t="s">
        <v>588</v>
      </c>
      <c r="G471" s="1733" t="s">
        <v>132</v>
      </c>
      <c r="H471" s="1733" t="s">
        <v>133</v>
      </c>
      <c r="I471" s="1733" t="s">
        <v>134</v>
      </c>
      <c r="J471" s="1733" t="s">
        <v>135</v>
      </c>
      <c r="K471" s="1733" t="s">
        <v>136</v>
      </c>
      <c r="L471" s="1733" t="s">
        <v>137</v>
      </c>
      <c r="M471" s="1733" t="s">
        <v>138</v>
      </c>
      <c r="N471" s="1734" t="s">
        <v>139</v>
      </c>
      <c r="O471" s="468"/>
    </row>
    <row r="472" spans="2:22">
      <c r="B472" s="468"/>
      <c r="C472" s="3598" t="str">
        <f>INDEX(AirQualityVectors[Code],MATCH(D472,AirQualityVectors[Description],0))</f>
        <v>AQ.01</v>
      </c>
      <c r="D472" s="1375" t="s">
        <v>258</v>
      </c>
      <c r="E472" s="1374">
        <v>2</v>
      </c>
      <c r="F472" s="1453">
        <f t="shared" ref="F472:N472" si="53">F314</f>
        <v>0</v>
      </c>
      <c r="G472" s="1453">
        <f t="shared" si="53"/>
        <v>0</v>
      </c>
      <c r="H472" s="1453">
        <f t="shared" si="53"/>
        <v>0</v>
      </c>
      <c r="I472" s="1453">
        <f t="shared" si="53"/>
        <v>0</v>
      </c>
      <c r="J472" s="1453">
        <f t="shared" si="53"/>
        <v>0</v>
      </c>
      <c r="K472" s="1453">
        <f t="shared" si="53"/>
        <v>0</v>
      </c>
      <c r="L472" s="1453">
        <f t="shared" si="53"/>
        <v>0</v>
      </c>
      <c r="M472" s="1453">
        <f t="shared" si="53"/>
        <v>0</v>
      </c>
      <c r="N472" s="3591">
        <f t="shared" si="53"/>
        <v>0</v>
      </c>
      <c r="O472" s="468"/>
    </row>
    <row r="473" spans="2:22">
      <c r="B473" s="468"/>
      <c r="C473" s="3599" t="str">
        <f>INDEX(AirQualityVectors[Code],MATCH(D473,AirQualityVectors[Description],0))</f>
        <v>AQ.02</v>
      </c>
      <c r="D473" s="1376" t="s">
        <v>260</v>
      </c>
      <c r="E473" s="1373">
        <v>2</v>
      </c>
      <c r="F473" s="1454">
        <f t="shared" ref="F473:N473" si="54">F321</f>
        <v>0</v>
      </c>
      <c r="G473" s="1454">
        <f t="shared" si="54"/>
        <v>0</v>
      </c>
      <c r="H473" s="1454">
        <f t="shared" si="54"/>
        <v>0</v>
      </c>
      <c r="I473" s="1454">
        <f t="shared" si="54"/>
        <v>0</v>
      </c>
      <c r="J473" s="1454">
        <f t="shared" si="54"/>
        <v>0</v>
      </c>
      <c r="K473" s="1454">
        <f t="shared" si="54"/>
        <v>0</v>
      </c>
      <c r="L473" s="1454">
        <f t="shared" si="54"/>
        <v>0</v>
      </c>
      <c r="M473" s="1454">
        <f t="shared" si="54"/>
        <v>0</v>
      </c>
      <c r="N473" s="3592">
        <f t="shared" si="54"/>
        <v>0</v>
      </c>
      <c r="O473" s="468"/>
    </row>
    <row r="474" spans="2:22">
      <c r="B474" s="468"/>
      <c r="C474" s="3599" t="str">
        <f>INDEX(AirQualityVectors[Code],MATCH(D474,AirQualityVectors[Description],0))</f>
        <v>AQ.03</v>
      </c>
      <c r="D474" s="1376" t="s">
        <v>262</v>
      </c>
      <c r="E474" s="1373">
        <v>2</v>
      </c>
      <c r="F474" s="1454">
        <f t="shared" ref="F474:N474" si="55">F328</f>
        <v>0</v>
      </c>
      <c r="G474" s="1454">
        <f t="shared" si="55"/>
        <v>0</v>
      </c>
      <c r="H474" s="1454">
        <f t="shared" si="55"/>
        <v>0</v>
      </c>
      <c r="I474" s="1454">
        <f t="shared" si="55"/>
        <v>0</v>
      </c>
      <c r="J474" s="1454">
        <f t="shared" si="55"/>
        <v>0</v>
      </c>
      <c r="K474" s="1454">
        <f t="shared" si="55"/>
        <v>0</v>
      </c>
      <c r="L474" s="1454">
        <f t="shared" si="55"/>
        <v>0</v>
      </c>
      <c r="M474" s="1454">
        <f t="shared" si="55"/>
        <v>0</v>
      </c>
      <c r="N474" s="3592">
        <f t="shared" si="55"/>
        <v>0</v>
      </c>
      <c r="O474" s="468"/>
    </row>
    <row r="475" spans="2:22" ht="15.5">
      <c r="B475" s="458"/>
      <c r="C475" s="3600" t="str">
        <f>INDEX(AirQualityVectors[Code],MATCH(D475,AirQualityVectors[Description],0))</f>
        <v>AQ.04</v>
      </c>
      <c r="D475" s="1735" t="s">
        <v>264</v>
      </c>
      <c r="E475" s="1736">
        <v>2</v>
      </c>
      <c r="F475" s="3596">
        <f t="shared" ref="F475:N475" si="56">F335</f>
        <v>0</v>
      </c>
      <c r="G475" s="3596">
        <f t="shared" si="56"/>
        <v>0</v>
      </c>
      <c r="H475" s="3596">
        <f t="shared" si="56"/>
        <v>0</v>
      </c>
      <c r="I475" s="3596">
        <f t="shared" si="56"/>
        <v>0</v>
      </c>
      <c r="J475" s="3596">
        <f t="shared" si="56"/>
        <v>0</v>
      </c>
      <c r="K475" s="3596">
        <f t="shared" si="56"/>
        <v>0</v>
      </c>
      <c r="L475" s="3596">
        <f t="shared" si="56"/>
        <v>0</v>
      </c>
      <c r="M475" s="3596">
        <f t="shared" si="56"/>
        <v>0</v>
      </c>
      <c r="N475" s="3597">
        <f t="shared" si="56"/>
        <v>0</v>
      </c>
      <c r="O475" s="1129"/>
    </row>
    <row r="476" spans="2:22" ht="15.5">
      <c r="B476" s="465"/>
      <c r="C476" s="1126"/>
      <c r="D476" s="1126"/>
      <c r="E476" s="1126"/>
      <c r="F476" s="1126"/>
      <c r="G476" s="1126"/>
      <c r="H476" s="1126"/>
      <c r="I476" s="1126"/>
      <c r="J476" s="1126"/>
      <c r="K476" s="1126"/>
      <c r="L476" s="1126"/>
      <c r="M476" s="1126"/>
      <c r="N476" s="1126"/>
      <c r="O476" s="1126"/>
      <c r="S476" s="1143"/>
      <c r="T476" s="1144"/>
      <c r="U476" s="1143"/>
      <c r="V476" s="1143"/>
    </row>
    <row r="477" spans="2:22">
      <c r="T477" s="6"/>
    </row>
    <row r="478" spans="2:22" ht="15">
      <c r="B478" s="986" t="s">
        <v>310</v>
      </c>
      <c r="C478" s="987"/>
      <c r="D478" s="988"/>
      <c r="E478" s="988"/>
      <c r="F478" s="988"/>
      <c r="G478" s="988"/>
      <c r="H478" s="988"/>
      <c r="I478" s="988"/>
      <c r="J478" s="988"/>
      <c r="K478" s="988"/>
      <c r="L478" s="988"/>
      <c r="M478" s="988"/>
      <c r="N478" s="988"/>
      <c r="O478" s="989"/>
      <c r="T478" s="6"/>
    </row>
    <row r="479" spans="2:22">
      <c r="B479" s="990"/>
      <c r="C479" s="991"/>
      <c r="D479" s="991"/>
      <c r="E479" s="991"/>
      <c r="F479" s="991"/>
      <c r="G479" s="991"/>
      <c r="H479" s="991"/>
      <c r="I479" s="991"/>
      <c r="J479" s="991"/>
      <c r="K479" s="991"/>
      <c r="L479" s="991"/>
      <c r="M479" s="991"/>
      <c r="N479" s="991"/>
      <c r="O479" s="992"/>
      <c r="T479" s="6"/>
    </row>
    <row r="480" spans="2:22">
      <c r="B480" s="993"/>
      <c r="C480" s="479" t="s">
        <v>311</v>
      </c>
      <c r="D480" s="994"/>
      <c r="E480" s="995"/>
      <c r="F480" s="994"/>
      <c r="G480" s="994"/>
      <c r="H480" s="994"/>
      <c r="I480" s="994"/>
      <c r="J480" s="994"/>
      <c r="K480" s="994"/>
      <c r="L480" s="994"/>
      <c r="M480" s="994"/>
      <c r="N480" s="995"/>
      <c r="O480" s="996"/>
    </row>
    <row r="481" spans="2:15">
      <c r="B481" s="993"/>
      <c r="C481" s="994"/>
      <c r="D481" s="994"/>
      <c r="E481" s="994"/>
      <c r="F481" s="994"/>
      <c r="G481" s="994"/>
      <c r="H481" s="994"/>
      <c r="I481" s="994"/>
      <c r="J481" s="994"/>
      <c r="K481" s="994"/>
      <c r="L481" s="994"/>
      <c r="M481" s="994"/>
      <c r="N481" s="994"/>
      <c r="O481" s="996"/>
    </row>
    <row r="482" spans="2:15" ht="15.5">
      <c r="B482" s="483"/>
      <c r="C482" s="997" t="s">
        <v>28</v>
      </c>
      <c r="D482" s="997" t="s">
        <v>312</v>
      </c>
      <c r="E482" s="997" t="s">
        <v>30</v>
      </c>
      <c r="F482" s="997">
        <v>2013</v>
      </c>
      <c r="G482" s="997" t="s">
        <v>132</v>
      </c>
      <c r="H482" s="997" t="s">
        <v>133</v>
      </c>
      <c r="I482" s="997" t="s">
        <v>134</v>
      </c>
      <c r="J482" s="997" t="s">
        <v>135</v>
      </c>
      <c r="K482" s="997" t="s">
        <v>136</v>
      </c>
      <c r="L482" s="997" t="s">
        <v>137</v>
      </c>
      <c r="M482" s="997" t="s">
        <v>138</v>
      </c>
      <c r="N482" s="997" t="s">
        <v>139</v>
      </c>
      <c r="O482" s="996"/>
    </row>
    <row r="483" spans="2:15" ht="15.5">
      <c r="B483" s="483"/>
      <c r="C483" s="998"/>
      <c r="D483" s="485"/>
      <c r="E483" s="485"/>
      <c r="F483" s="999"/>
      <c r="G483" s="999"/>
      <c r="H483" s="999"/>
      <c r="I483" s="999"/>
      <c r="J483" s="999"/>
      <c r="K483" s="999"/>
      <c r="L483" s="999"/>
      <c r="M483" s="999"/>
      <c r="N483" s="999"/>
      <c r="O483" s="996"/>
    </row>
    <row r="484" spans="2:15" ht="15.5">
      <c r="B484" s="483"/>
      <c r="C484" s="998"/>
      <c r="D484" s="485"/>
      <c r="E484" s="485"/>
      <c r="F484" s="999"/>
      <c r="G484" s="999"/>
      <c r="H484" s="999"/>
      <c r="I484" s="999"/>
      <c r="J484" s="999"/>
      <c r="K484" s="999"/>
      <c r="L484" s="999"/>
      <c r="M484" s="999"/>
      <c r="N484" s="999"/>
      <c r="O484" s="996"/>
    </row>
    <row r="485" spans="2:15" ht="15.5">
      <c r="B485" s="488"/>
      <c r="C485" s="1001"/>
      <c r="D485" s="1001"/>
      <c r="E485" s="1001"/>
      <c r="F485" s="1001"/>
      <c r="G485" s="1001"/>
      <c r="H485" s="1001"/>
      <c r="I485" s="1001"/>
      <c r="J485" s="1001"/>
      <c r="K485" s="1001"/>
      <c r="L485" s="1001"/>
      <c r="M485" s="1001"/>
      <c r="N485" s="1001"/>
      <c r="O485" s="1002"/>
    </row>
    <row r="487" spans="2:15" ht="15">
      <c r="B487" s="986" t="s">
        <v>2720</v>
      </c>
      <c r="C487" s="988"/>
      <c r="D487" s="988"/>
      <c r="E487" s="988"/>
      <c r="F487" s="988"/>
      <c r="G487" s="988"/>
      <c r="H487" s="988"/>
      <c r="I487" s="988"/>
      <c r="J487" s="988"/>
      <c r="K487" s="988"/>
      <c r="L487" s="988"/>
      <c r="M487" s="988"/>
      <c r="N487" s="988"/>
      <c r="O487" s="989"/>
    </row>
    <row r="488" spans="2:15" hidden="1">
      <c r="B488" s="993"/>
      <c r="C488" s="994"/>
      <c r="D488" s="994"/>
      <c r="E488" s="994"/>
      <c r="F488" s="994"/>
      <c r="G488" s="994"/>
      <c r="H488" s="994"/>
      <c r="I488" s="994"/>
      <c r="J488" s="994"/>
      <c r="K488" s="994"/>
      <c r="L488" s="994"/>
      <c r="M488" s="994"/>
      <c r="N488" s="994"/>
      <c r="O488" s="996"/>
    </row>
    <row r="489" spans="2:15" hidden="1">
      <c r="B489" s="993"/>
      <c r="C489" s="491" t="s">
        <v>751</v>
      </c>
      <c r="D489" s="1003"/>
      <c r="E489" s="1003"/>
      <c r="F489" s="1003"/>
      <c r="G489" s="1003"/>
      <c r="H489" s="1003"/>
      <c r="I489" s="1003"/>
      <c r="J489" s="1003"/>
      <c r="K489" s="1003"/>
      <c r="L489" s="1003"/>
      <c r="M489" s="1003"/>
      <c r="N489" s="1003"/>
      <c r="O489" s="996"/>
    </row>
    <row r="490" spans="2:15" hidden="1">
      <c r="B490" s="993"/>
      <c r="C490" s="994"/>
      <c r="D490" s="994"/>
      <c r="E490" s="994"/>
      <c r="F490" s="994"/>
      <c r="G490" s="994"/>
      <c r="H490" s="994"/>
      <c r="I490" s="994"/>
      <c r="J490" s="994"/>
      <c r="K490" s="994"/>
      <c r="L490" s="994"/>
      <c r="M490" s="994"/>
      <c r="N490" s="994"/>
      <c r="O490" s="996"/>
    </row>
    <row r="491" spans="2:15" ht="15.5" hidden="1">
      <c r="B491" s="483"/>
      <c r="C491" s="997" t="s">
        <v>28</v>
      </c>
      <c r="D491" s="997" t="s">
        <v>29</v>
      </c>
      <c r="E491" s="997" t="s">
        <v>30</v>
      </c>
      <c r="F491" s="997">
        <v>2013</v>
      </c>
      <c r="G491" s="997" t="s">
        <v>132</v>
      </c>
      <c r="H491" s="997" t="s">
        <v>133</v>
      </c>
      <c r="I491" s="997" t="s">
        <v>134</v>
      </c>
      <c r="J491" s="997" t="s">
        <v>135</v>
      </c>
      <c r="K491" s="997" t="s">
        <v>136</v>
      </c>
      <c r="L491" s="997" t="s">
        <v>137</v>
      </c>
      <c r="M491" s="997" t="s">
        <v>138</v>
      </c>
      <c r="N491" s="997" t="s">
        <v>139</v>
      </c>
      <c r="O491" s="1141"/>
    </row>
    <row r="492" spans="2:15" ht="15.5" hidden="1">
      <c r="B492" s="483"/>
      <c r="C492" s="998" t="s">
        <v>321</v>
      </c>
      <c r="D492" s="485" t="s">
        <v>322</v>
      </c>
      <c r="E492" s="485"/>
      <c r="F492" s="999"/>
      <c r="G492" s="999"/>
      <c r="H492" s="999"/>
      <c r="I492" s="999"/>
      <c r="J492" s="999"/>
      <c r="K492" s="999"/>
      <c r="L492" s="999"/>
      <c r="M492" s="999"/>
      <c r="N492" s="999"/>
      <c r="O492" s="1141"/>
    </row>
    <row r="493" spans="2:15" ht="15.5" hidden="1">
      <c r="B493" s="483"/>
      <c r="C493" s="998" t="s">
        <v>328</v>
      </c>
      <c r="D493" s="485" t="s">
        <v>329</v>
      </c>
      <c r="E493" s="485"/>
      <c r="F493" s="999"/>
      <c r="G493" s="999"/>
      <c r="H493" s="999"/>
      <c r="I493" s="999"/>
      <c r="J493" s="999"/>
      <c r="K493" s="999"/>
      <c r="L493" s="999"/>
      <c r="M493" s="999"/>
      <c r="N493" s="999"/>
      <c r="O493" s="1141"/>
    </row>
    <row r="494" spans="2:15" ht="15.5" hidden="1">
      <c r="B494" s="483"/>
      <c r="C494" s="998" t="s">
        <v>323</v>
      </c>
      <c r="D494" s="485" t="s">
        <v>324</v>
      </c>
      <c r="E494" s="485"/>
      <c r="F494" s="999"/>
      <c r="G494" s="999"/>
      <c r="H494" s="999"/>
      <c r="I494" s="999"/>
      <c r="J494" s="999"/>
      <c r="K494" s="999"/>
      <c r="L494" s="999"/>
      <c r="M494" s="999"/>
      <c r="N494" s="999"/>
      <c r="O494" s="1141"/>
    </row>
    <row r="495" spans="2:15" ht="15.5" hidden="1">
      <c r="B495" s="483"/>
      <c r="C495" s="998" t="s">
        <v>330</v>
      </c>
      <c r="D495" s="485" t="s">
        <v>331</v>
      </c>
      <c r="E495" s="485"/>
      <c r="F495" s="999"/>
      <c r="G495" s="999"/>
      <c r="H495" s="999"/>
      <c r="I495" s="999"/>
      <c r="J495" s="999"/>
      <c r="K495" s="999"/>
      <c r="L495" s="999"/>
      <c r="M495" s="999"/>
      <c r="N495" s="999"/>
      <c r="O495" s="1141"/>
    </row>
    <row r="496" spans="2:15" hidden="1">
      <c r="B496" s="494"/>
      <c r="C496" s="998" t="s">
        <v>325</v>
      </c>
      <c r="D496" s="485" t="s">
        <v>326</v>
      </c>
      <c r="E496" s="485"/>
      <c r="F496" s="999"/>
      <c r="G496" s="999"/>
      <c r="H496" s="999"/>
      <c r="I496" s="999"/>
      <c r="J496" s="999"/>
      <c r="K496" s="999"/>
      <c r="L496" s="999"/>
      <c r="M496" s="999"/>
      <c r="N496" s="999"/>
      <c r="O496" s="1142"/>
    </row>
    <row r="497" spans="2:15" hidden="1">
      <c r="B497" s="494"/>
      <c r="C497" s="998" t="s">
        <v>332</v>
      </c>
      <c r="D497" s="485" t="s">
        <v>333</v>
      </c>
      <c r="E497" s="485"/>
      <c r="F497" s="999"/>
      <c r="G497" s="999"/>
      <c r="H497" s="999"/>
      <c r="I497" s="999"/>
      <c r="J497" s="999"/>
      <c r="K497" s="999"/>
      <c r="L497" s="999"/>
      <c r="M497" s="999"/>
      <c r="N497" s="999"/>
      <c r="O497" s="1142"/>
    </row>
    <row r="498" spans="2:15" hidden="1">
      <c r="B498" s="1005"/>
      <c r="C498" s="1001"/>
      <c r="D498" s="1001"/>
      <c r="E498" s="1001"/>
      <c r="F498" s="1001"/>
      <c r="G498" s="1001"/>
      <c r="H498" s="1001"/>
      <c r="I498" s="1001"/>
      <c r="J498" s="1001"/>
      <c r="K498" s="1001"/>
      <c r="L498" s="1001"/>
      <c r="M498" s="1001"/>
      <c r="N498" s="1001"/>
      <c r="O498" s="1006"/>
    </row>
    <row r="500" spans="2:15">
      <c r="C500" t="s">
        <v>300</v>
      </c>
    </row>
    <row r="501" spans="2:15">
      <c r="C501" t="s">
        <v>1095</v>
      </c>
      <c r="F501" s="374"/>
      <c r="G501" s="374"/>
      <c r="H501" s="374"/>
      <c r="I501" s="374"/>
      <c r="J501" s="374"/>
      <c r="K501" s="374"/>
      <c r="L501" s="374"/>
      <c r="M501" s="374"/>
      <c r="N501" s="374"/>
    </row>
    <row r="502" spans="2:15">
      <c r="C502" t="s">
        <v>1096</v>
      </c>
      <c r="F502" s="374"/>
      <c r="G502" s="374"/>
      <c r="H502" s="374"/>
      <c r="I502" s="374"/>
      <c r="J502" s="374"/>
      <c r="K502" s="374"/>
      <c r="L502" s="374"/>
      <c r="M502" s="374"/>
      <c r="N502" s="374"/>
    </row>
    <row r="503" spans="2:15">
      <c r="C503" t="s">
        <v>58</v>
      </c>
      <c r="F503" s="985"/>
      <c r="G503" s="985"/>
      <c r="H503" s="985"/>
      <c r="I503" s="985"/>
      <c r="J503" s="985"/>
      <c r="K503" s="985"/>
      <c r="L503" s="985"/>
      <c r="M503" s="985"/>
      <c r="N503" s="985"/>
    </row>
    <row r="504" spans="2:15">
      <c r="C504" t="s">
        <v>1097</v>
      </c>
      <c r="F504" s="374"/>
      <c r="G504" s="374"/>
      <c r="H504" s="374"/>
      <c r="I504" s="374"/>
      <c r="J504" s="374"/>
      <c r="K504" s="374"/>
      <c r="L504" s="374"/>
      <c r="M504" s="374"/>
      <c r="N504" s="374"/>
    </row>
    <row r="505" spans="2:15">
      <c r="C505" t="s">
        <v>1098</v>
      </c>
      <c r="F505" s="985"/>
      <c r="G505" s="985"/>
      <c r="H505" s="985"/>
      <c r="I505" s="985"/>
      <c r="J505" s="985"/>
      <c r="K505" s="985"/>
      <c r="L505" s="985"/>
      <c r="M505" s="985"/>
      <c r="N505" s="985"/>
    </row>
    <row r="507" spans="2:15">
      <c r="C507" t="s">
        <v>1099</v>
      </c>
    </row>
    <row r="508" spans="2:15">
      <c r="C508" t="s">
        <v>20</v>
      </c>
      <c r="F508" s="985"/>
      <c r="G508" s="985"/>
      <c r="H508" s="985"/>
      <c r="I508" s="985"/>
      <c r="J508" s="985"/>
      <c r="K508" s="985"/>
      <c r="L508" s="985"/>
      <c r="M508" s="985"/>
      <c r="N508" s="985"/>
    </row>
    <row r="509" spans="2:15">
      <c r="C509" t="s">
        <v>22</v>
      </c>
      <c r="F509" s="985"/>
      <c r="G509" s="985"/>
      <c r="H509" s="985"/>
      <c r="I509" s="985"/>
      <c r="J509" s="985"/>
      <c r="K509" s="985"/>
      <c r="L509" s="985"/>
      <c r="M509" s="985"/>
      <c r="N509" s="985"/>
    </row>
    <row r="510" spans="2:15">
      <c r="C510" t="s">
        <v>1100</v>
      </c>
      <c r="F510" s="985"/>
      <c r="G510" s="985"/>
      <c r="H510" s="985"/>
      <c r="I510" s="985"/>
      <c r="J510" s="985"/>
      <c r="K510" s="985"/>
      <c r="L510" s="985"/>
      <c r="M510" s="985"/>
      <c r="N510" s="985"/>
    </row>
    <row r="511" spans="2:15">
      <c r="C511" t="s">
        <v>1101</v>
      </c>
      <c r="F511" s="985"/>
      <c r="G511" s="985"/>
      <c r="H511" s="985"/>
      <c r="I511" s="985"/>
      <c r="J511" s="985"/>
      <c r="K511" s="985"/>
      <c r="L511" s="985"/>
      <c r="M511" s="985"/>
      <c r="N511" s="985"/>
    </row>
    <row r="512" spans="2:15">
      <c r="C512" t="s">
        <v>1102</v>
      </c>
      <c r="F512" s="985"/>
      <c r="G512" s="985"/>
      <c r="H512" s="985"/>
      <c r="I512" s="985"/>
      <c r="J512" s="985"/>
      <c r="K512" s="985"/>
      <c r="L512" s="985"/>
      <c r="M512" s="985"/>
      <c r="N512" s="985"/>
    </row>
    <row r="513" spans="3:14">
      <c r="C513" t="s">
        <v>1103</v>
      </c>
      <c r="F513" s="985"/>
      <c r="G513" s="985"/>
      <c r="H513" s="985"/>
      <c r="I513" s="985"/>
      <c r="J513" s="985"/>
      <c r="K513" s="985"/>
      <c r="L513" s="985"/>
      <c r="M513" s="985"/>
      <c r="N513" s="985"/>
    </row>
    <row r="515" spans="3:14">
      <c r="C515" s="3578" t="s">
        <v>2764</v>
      </c>
    </row>
    <row r="516" spans="3:14">
      <c r="C516" t="s">
        <v>20</v>
      </c>
      <c r="F516" s="374"/>
      <c r="G516" s="374"/>
      <c r="H516" s="374"/>
      <c r="I516" s="374"/>
      <c r="J516" s="374"/>
      <c r="K516" s="374"/>
      <c r="L516" s="374"/>
      <c r="M516" s="374"/>
      <c r="N516" s="374"/>
    </row>
    <row r="517" spans="3:14">
      <c r="C517" t="s">
        <v>22</v>
      </c>
      <c r="F517" s="374"/>
      <c r="G517" s="374"/>
      <c r="H517" s="374"/>
      <c r="I517" s="374"/>
      <c r="J517" s="374"/>
      <c r="K517" s="374"/>
      <c r="L517" s="374"/>
      <c r="M517" s="374"/>
      <c r="N517" s="374"/>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9"/>
  </sheetPr>
  <dimension ref="A1:BX975"/>
  <sheetViews>
    <sheetView showGridLines="0" topLeftCell="A23" zoomScale="80" zoomScaleNormal="80" workbookViewId="0">
      <selection activeCell="L35" sqref="L35"/>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31" max="31" width="8.453125" customWidth="1"/>
    <col min="33" max="33" width="11" bestFit="1" customWidth="1"/>
  </cols>
  <sheetData>
    <row r="1" spans="1:20" ht="20">
      <c r="A1" s="1007" t="s">
        <v>481</v>
      </c>
      <c r="B1" s="1007" t="s">
        <v>482</v>
      </c>
      <c r="C1" s="1007"/>
      <c r="F1" s="4212" t="s">
        <v>3581</v>
      </c>
      <c r="J1" t="s">
        <v>5</v>
      </c>
    </row>
    <row r="2" spans="1:20" s="6" customFormat="1" ht="15">
      <c r="A2" s="855" t="s">
        <v>469</v>
      </c>
      <c r="B2" s="855" t="s">
        <v>470</v>
      </c>
      <c r="C2" s="855"/>
      <c r="E2" s="5"/>
    </row>
    <row r="4" spans="1:20" ht="23.5">
      <c r="A4" s="7"/>
      <c r="B4" s="502" t="s">
        <v>6</v>
      </c>
      <c r="C4" s="503"/>
      <c r="D4" s="503"/>
      <c r="E4" s="503"/>
      <c r="F4" s="503"/>
      <c r="G4" s="503"/>
      <c r="H4" s="503"/>
      <c r="I4" s="503"/>
      <c r="J4" s="503"/>
      <c r="K4" s="503"/>
      <c r="L4" s="503"/>
      <c r="M4" s="503"/>
      <c r="N4" s="503"/>
      <c r="O4" s="857"/>
    </row>
    <row r="5" spans="1:20">
      <c r="B5" s="505"/>
      <c r="C5" s="506"/>
      <c r="D5" s="506"/>
      <c r="E5" s="506"/>
      <c r="F5" s="506"/>
      <c r="G5" s="506"/>
      <c r="H5" s="506"/>
      <c r="I5" s="506"/>
      <c r="J5" s="506"/>
      <c r="K5" s="506"/>
      <c r="L5" s="506"/>
      <c r="M5" s="506"/>
      <c r="N5" s="506"/>
      <c r="O5" s="858"/>
    </row>
    <row r="6" spans="1:20">
      <c r="B6" s="505"/>
      <c r="C6" s="12"/>
      <c r="D6" s="506"/>
      <c r="E6" s="507"/>
      <c r="F6" s="506"/>
      <c r="G6" s="506"/>
      <c r="H6" s="506"/>
      <c r="I6" s="506"/>
      <c r="J6" s="506"/>
      <c r="K6" s="506"/>
      <c r="L6" s="506"/>
      <c r="M6" s="506"/>
      <c r="N6" s="506"/>
      <c r="O6" s="858"/>
    </row>
    <row r="7" spans="1:20" ht="15.5">
      <c r="B7" s="15"/>
      <c r="C7" s="506"/>
      <c r="D7" s="16" t="s">
        <v>7</v>
      </c>
      <c r="E7" s="16" t="s">
        <v>8</v>
      </c>
      <c r="F7" s="506"/>
      <c r="G7" s="506"/>
      <c r="H7" s="506"/>
      <c r="I7" s="506"/>
      <c r="J7" s="506"/>
      <c r="K7" s="506"/>
      <c r="L7" s="506"/>
      <c r="M7" s="506"/>
      <c r="N7" s="506"/>
      <c r="O7" s="858"/>
    </row>
    <row r="8" spans="1:20" ht="15.5">
      <c r="B8" s="15"/>
      <c r="C8" s="506"/>
      <c r="D8" s="1009" t="s">
        <v>1104</v>
      </c>
      <c r="E8" s="1009">
        <f>XII.a.Scenario.Demand</f>
        <v>1</v>
      </c>
      <c r="F8" s="506"/>
      <c r="G8" s="506"/>
      <c r="H8" s="506"/>
      <c r="I8" s="506"/>
      <c r="J8" s="506"/>
      <c r="K8" s="506"/>
      <c r="L8" s="506"/>
      <c r="M8" s="506"/>
      <c r="N8" s="506"/>
      <c r="O8" s="858"/>
    </row>
    <row r="9" spans="1:20" ht="15.5">
      <c r="B9" s="15"/>
      <c r="C9" s="506"/>
      <c r="D9" s="17" t="s">
        <v>1105</v>
      </c>
      <c r="E9" s="17">
        <f>XII.a.Scenario.Technology</f>
        <v>1</v>
      </c>
      <c r="F9" s="506"/>
      <c r="G9" s="506"/>
      <c r="H9" s="506"/>
      <c r="I9" s="506"/>
      <c r="J9" s="506"/>
      <c r="K9" s="506"/>
      <c r="L9" s="506"/>
      <c r="M9" s="506"/>
      <c r="N9" s="506"/>
      <c r="O9" s="858"/>
    </row>
    <row r="10" spans="1:20" ht="15.5">
      <c r="B10" s="15"/>
      <c r="C10" s="506"/>
      <c r="D10" s="508" t="s">
        <v>1106</v>
      </c>
      <c r="E10" s="508">
        <f>XII.a.Scenario.ElecHydrogen</f>
        <v>1</v>
      </c>
      <c r="F10" s="506"/>
      <c r="G10" s="506"/>
      <c r="H10" s="506"/>
      <c r="I10" s="506"/>
      <c r="J10" s="506"/>
      <c r="K10" s="506"/>
      <c r="L10" s="506"/>
      <c r="M10" s="506"/>
      <c r="N10" s="506"/>
      <c r="O10" s="858"/>
    </row>
    <row r="11" spans="1:20" ht="15.5">
      <c r="B11" s="15"/>
      <c r="C11" s="506"/>
      <c r="D11" s="17"/>
      <c r="E11" s="17"/>
      <c r="F11" s="506"/>
      <c r="G11" s="506"/>
      <c r="H11" s="506"/>
      <c r="I11" s="506"/>
      <c r="J11" s="506"/>
      <c r="K11" s="506"/>
      <c r="L11" s="506"/>
      <c r="M11" s="506"/>
      <c r="N11" s="506"/>
      <c r="O11" s="858"/>
    </row>
    <row r="12" spans="1:20">
      <c r="T12" s="3943" t="s">
        <v>5</v>
      </c>
    </row>
    <row r="13" spans="1:20" s="6" customFormat="1" ht="23.5">
      <c r="A13" s="40"/>
      <c r="B13" s="869" t="s">
        <v>33</v>
      </c>
      <c r="C13" s="870"/>
      <c r="D13" s="870"/>
      <c r="E13" s="870"/>
      <c r="F13" s="870"/>
      <c r="G13" s="870"/>
      <c r="H13" s="870"/>
      <c r="I13" s="870"/>
      <c r="J13" s="870"/>
      <c r="K13" s="870"/>
      <c r="L13" s="870"/>
      <c r="M13" s="870"/>
      <c r="N13" s="870"/>
      <c r="O13" s="871"/>
    </row>
    <row r="14" spans="1:20">
      <c r="B14" s="105"/>
      <c r="C14" s="67"/>
      <c r="D14" s="67"/>
      <c r="E14" s="67"/>
      <c r="F14" s="67"/>
      <c r="G14" s="67"/>
      <c r="H14" s="67"/>
      <c r="I14" s="67"/>
      <c r="J14" s="67"/>
      <c r="K14" s="67"/>
      <c r="L14" s="67"/>
      <c r="M14" s="67"/>
      <c r="N14" s="67"/>
      <c r="O14" s="876"/>
    </row>
    <row r="15" spans="1:20">
      <c r="B15" s="105"/>
      <c r="C15" s="49" t="s">
        <v>3055</v>
      </c>
      <c r="D15" s="67"/>
      <c r="E15" s="51"/>
      <c r="F15" s="67"/>
      <c r="G15" s="67"/>
      <c r="H15" s="67"/>
      <c r="I15" s="67"/>
      <c r="J15" s="67"/>
      <c r="K15" s="67"/>
      <c r="L15" s="67"/>
      <c r="M15" s="67"/>
      <c r="N15" s="51" t="s">
        <v>1107</v>
      </c>
      <c r="O15" s="876"/>
    </row>
    <row r="16" spans="1:20">
      <c r="B16" s="105"/>
      <c r="C16" s="67"/>
      <c r="D16" s="67"/>
      <c r="E16" s="67"/>
      <c r="F16" s="67"/>
      <c r="G16" s="67"/>
      <c r="H16" s="67"/>
      <c r="I16" s="67"/>
      <c r="J16" s="67"/>
      <c r="K16" s="67"/>
      <c r="L16" s="67"/>
      <c r="M16" s="67"/>
      <c r="N16" s="67"/>
      <c r="O16" s="876"/>
      <c r="Q16" s="373"/>
      <c r="R16" s="4168"/>
    </row>
    <row r="17" spans="2:20" ht="15.5">
      <c r="B17" s="55"/>
      <c r="C17" s="878" t="s">
        <v>8</v>
      </c>
      <c r="D17" s="878" t="s">
        <v>34</v>
      </c>
      <c r="E17" s="878" t="s">
        <v>30</v>
      </c>
      <c r="F17" s="87">
        <v>2013</v>
      </c>
      <c r="G17" s="87">
        <v>2015</v>
      </c>
      <c r="H17" s="87">
        <v>2020</v>
      </c>
      <c r="I17" s="87">
        <v>2025</v>
      </c>
      <c r="J17" s="87">
        <v>2030</v>
      </c>
      <c r="K17" s="87">
        <v>2035</v>
      </c>
      <c r="L17" s="87">
        <v>2040</v>
      </c>
      <c r="M17" s="87">
        <v>2045</v>
      </c>
      <c r="N17" s="87">
        <v>2050</v>
      </c>
      <c r="O17" s="876"/>
      <c r="Q17" s="87" t="s">
        <v>3437</v>
      </c>
      <c r="R17" s="87" t="s">
        <v>2105</v>
      </c>
      <c r="S17" s="1152" t="s">
        <v>3470</v>
      </c>
      <c r="T17" s="1152" t="s">
        <v>3469</v>
      </c>
    </row>
    <row r="18" spans="2:20" ht="15.5">
      <c r="B18" s="55"/>
      <c r="C18" s="65">
        <v>1</v>
      </c>
      <c r="D18" s="103"/>
      <c r="E18" s="1256"/>
      <c r="F18" s="1461">
        <v>12872</v>
      </c>
      <c r="G18" s="1461">
        <v>12958.35892204618</v>
      </c>
      <c r="H18" s="1461">
        <v>13164.381133520554</v>
      </c>
      <c r="I18" s="1461">
        <v>13355.67293888528</v>
      </c>
      <c r="J18" s="1461">
        <v>13531.496535473625</v>
      </c>
      <c r="K18" s="1461">
        <v>13691.166622707044</v>
      </c>
      <c r="L18" s="1461">
        <v>13834.054842585663</v>
      </c>
      <c r="M18" s="1461">
        <v>13959.593892294706</v>
      </c>
      <c r="N18" s="1461">
        <v>14066.85985551269</v>
      </c>
      <c r="O18" s="876"/>
      <c r="Q18" s="3901">
        <v>0.06</v>
      </c>
      <c r="R18" s="3901">
        <v>0.09</v>
      </c>
      <c r="S18" s="4172">
        <f>N18-F18</f>
        <v>1194.85985551269</v>
      </c>
      <c r="T18" s="4176">
        <f>(N18/F18)^(1/(N$17-F$17))-1</f>
        <v>2.4019952169824776E-3</v>
      </c>
    </row>
    <row r="19" spans="2:20" ht="15.5">
      <c r="B19" s="55"/>
      <c r="C19" s="65">
        <v>2</v>
      </c>
      <c r="D19" s="103"/>
      <c r="E19" s="1256"/>
      <c r="F19" s="1462">
        <v>12872</v>
      </c>
      <c r="G19" s="1462">
        <v>12944.414359654311</v>
      </c>
      <c r="H19" s="1462">
        <v>13114.859208131475</v>
      </c>
      <c r="I19" s="1462">
        <v>13269.648803114887</v>
      </c>
      <c r="J19" s="1462">
        <v>13408.174004282992</v>
      </c>
      <c r="K19" s="1462">
        <v>13529.884840436671</v>
      </c>
      <c r="L19" s="1462">
        <v>13634.294142079472</v>
      </c>
      <c r="M19" s="1462">
        <v>13720.980786299546</v>
      </c>
      <c r="N19" s="1462">
        <v>13788.352563980528</v>
      </c>
      <c r="O19" s="876"/>
      <c r="Q19" s="3902">
        <v>0</v>
      </c>
      <c r="R19" s="3902">
        <v>6.9831367857346213E-2</v>
      </c>
      <c r="S19" s="4173">
        <f>N19-F19</f>
        <v>916.35256398052843</v>
      </c>
      <c r="T19" s="4177">
        <f>(N19/F19)^(1/(N$17-F$17))-1</f>
        <v>1.8603718345744369E-3</v>
      </c>
    </row>
    <row r="20" spans="2:20" ht="15.5">
      <c r="B20" s="55"/>
      <c r="C20" s="65">
        <v>3</v>
      </c>
      <c r="D20" s="103"/>
      <c r="E20" s="1256"/>
      <c r="F20" s="1462">
        <v>12872</v>
      </c>
      <c r="G20" s="1462">
        <v>12944.414359654311</v>
      </c>
      <c r="H20" s="1462">
        <v>13114.859208131475</v>
      </c>
      <c r="I20" s="1462">
        <v>13269.648803114887</v>
      </c>
      <c r="J20" s="1462">
        <v>13408.174004282992</v>
      </c>
      <c r="K20" s="1462">
        <v>13529.884840436671</v>
      </c>
      <c r="L20" s="1462">
        <v>13634.294142079472</v>
      </c>
      <c r="M20" s="1462">
        <v>13720.980786299546</v>
      </c>
      <c r="N20" s="1462">
        <v>13788.352563980528</v>
      </c>
      <c r="O20" s="876"/>
      <c r="Q20" s="3902">
        <v>0</v>
      </c>
      <c r="R20" s="3902">
        <v>6.9831367857346213E-2</v>
      </c>
      <c r="S20" s="4173">
        <f>N20-F20</f>
        <v>916.35256398052843</v>
      </c>
      <c r="T20" s="4177">
        <f>(N20/F20)^(1/(N$17-F$17))-1</f>
        <v>1.8603718345744369E-3</v>
      </c>
    </row>
    <row r="21" spans="2:20" ht="15.5">
      <c r="B21" s="55"/>
      <c r="C21" s="887">
        <v>4</v>
      </c>
      <c r="D21" s="888"/>
      <c r="E21" s="888"/>
      <c r="F21" s="1463">
        <v>12872</v>
      </c>
      <c r="G21" s="1463">
        <v>12877.04492662697</v>
      </c>
      <c r="H21" s="1463">
        <v>12889.056379591999</v>
      </c>
      <c r="I21" s="1463">
        <v>12900.207528152558</v>
      </c>
      <c r="J21" s="1463">
        <v>12910.496108977994</v>
      </c>
      <c r="K21" s="1463">
        <v>12919.920031707878</v>
      </c>
      <c r="L21" s="1463">
        <v>12928.477379659764</v>
      </c>
      <c r="M21" s="1463">
        <v>12936.166410478812</v>
      </c>
      <c r="N21" s="1463">
        <v>12942.985556728967</v>
      </c>
      <c r="O21" s="876"/>
      <c r="Q21" s="3903">
        <v>-0.06</v>
      </c>
      <c r="R21" s="3903">
        <v>5.5434906846495696E-3</v>
      </c>
      <c r="S21" s="4174">
        <f>N21-F21</f>
        <v>70.985556728966912</v>
      </c>
      <c r="T21" s="4178">
        <f>(N21/F21)^(1/(N$17-F$17))-1</f>
        <v>1.4864823234828073E-4</v>
      </c>
    </row>
    <row r="22" spans="2:20" ht="15.5">
      <c r="B22" s="55"/>
      <c r="C22" s="65"/>
      <c r="D22" s="103"/>
      <c r="E22" s="103"/>
      <c r="F22" s="59"/>
      <c r="G22" s="1217"/>
      <c r="H22" s="1217"/>
      <c r="I22" s="1217"/>
      <c r="J22" s="1217"/>
      <c r="K22" s="1217"/>
      <c r="L22" s="1217"/>
      <c r="M22" s="1217"/>
      <c r="N22" s="1217"/>
      <c r="O22" s="876"/>
    </row>
    <row r="23" spans="2:20" ht="15.5">
      <c r="B23" s="55"/>
      <c r="C23" s="49" t="s">
        <v>3062</v>
      </c>
      <c r="D23" s="67"/>
      <c r="E23" s="51"/>
      <c r="F23" s="67"/>
      <c r="G23" s="1464" t="s">
        <v>8</v>
      </c>
      <c r="H23" s="67"/>
      <c r="I23" s="67"/>
      <c r="J23" s="51" t="s">
        <v>1108</v>
      </c>
      <c r="K23" s="67"/>
      <c r="L23" s="67"/>
      <c r="M23" s="67"/>
      <c r="N23" s="67"/>
      <c r="O23" s="876"/>
    </row>
    <row r="24" spans="2:20" ht="15.5">
      <c r="B24" s="55"/>
      <c r="C24" s="67"/>
      <c r="D24" s="67"/>
      <c r="E24" s="67"/>
      <c r="F24" s="67"/>
      <c r="G24" s="67"/>
      <c r="H24" s="67"/>
      <c r="I24" s="67"/>
      <c r="J24" s="67"/>
      <c r="K24" s="67"/>
      <c r="L24" s="67"/>
      <c r="M24" s="67"/>
      <c r="N24" s="67"/>
      <c r="O24" s="876"/>
    </row>
    <row r="25" spans="2:20" ht="15.5">
      <c r="B25" s="55"/>
      <c r="C25" s="900" t="s">
        <v>43</v>
      </c>
      <c r="D25" s="878" t="s">
        <v>987</v>
      </c>
      <c r="E25" s="878" t="s">
        <v>30</v>
      </c>
      <c r="F25" s="87">
        <v>2013</v>
      </c>
      <c r="G25" s="1265">
        <v>1</v>
      </c>
      <c r="H25" s="87">
        <v>2</v>
      </c>
      <c r="I25" s="87">
        <v>3</v>
      </c>
      <c r="J25" s="87">
        <v>4</v>
      </c>
      <c r="K25" s="911"/>
      <c r="L25" s="911"/>
      <c r="M25" s="911"/>
      <c r="N25" s="911"/>
      <c r="O25" s="876"/>
      <c r="R25" s="4141" t="s">
        <v>5</v>
      </c>
    </row>
    <row r="26" spans="2:20" ht="15.5">
      <c r="B26" s="55"/>
      <c r="C26" s="104" t="s">
        <v>1109</v>
      </c>
      <c r="D26" s="103" t="s">
        <v>1110</v>
      </c>
      <c r="E26" s="1256"/>
      <c r="F26" s="1465">
        <v>2.5000000000000001E-2</v>
      </c>
      <c r="G26" s="1466">
        <v>2.5000000000000001E-2</v>
      </c>
      <c r="H26" s="1467">
        <v>0.03</v>
      </c>
      <c r="I26" s="1467">
        <v>0.03</v>
      </c>
      <c r="J26" s="1467">
        <v>0.03</v>
      </c>
      <c r="K26" s="911"/>
      <c r="L26" s="2417" t="s">
        <v>5</v>
      </c>
      <c r="M26" s="2417"/>
      <c r="N26" s="88"/>
      <c r="O26" s="876"/>
    </row>
    <row r="27" spans="2:20" ht="15.5">
      <c r="B27" s="55"/>
      <c r="C27" s="104" t="s">
        <v>1111</v>
      </c>
      <c r="D27" s="103" t="s">
        <v>1112</v>
      </c>
      <c r="E27" s="1256"/>
      <c r="F27" s="1465">
        <v>5.0000000000000001E-3</v>
      </c>
      <c r="G27" s="1468">
        <v>5.0000000000000001E-3</v>
      </c>
      <c r="H27" s="1469">
        <v>0.01</v>
      </c>
      <c r="I27" s="1467">
        <v>0.02</v>
      </c>
      <c r="J27" s="1469">
        <v>0.05</v>
      </c>
      <c r="K27" s="911"/>
      <c r="L27" s="2417"/>
      <c r="M27" s="2417"/>
      <c r="N27" s="88"/>
      <c r="O27" s="876"/>
    </row>
    <row r="28" spans="2:20" ht="15.5">
      <c r="B28" s="55"/>
      <c r="C28" s="104" t="s">
        <v>1113</v>
      </c>
      <c r="D28" s="103" t="s">
        <v>1114</v>
      </c>
      <c r="E28" s="1256"/>
      <c r="F28" s="1465">
        <v>0.83199999999999996</v>
      </c>
      <c r="G28" s="1468">
        <v>0.83199999999999996</v>
      </c>
      <c r="H28" s="1469">
        <v>0.78800000000000003</v>
      </c>
      <c r="I28" s="1469">
        <v>0.74399999999999999</v>
      </c>
      <c r="J28" s="1469">
        <v>0.7</v>
      </c>
      <c r="K28" s="911"/>
      <c r="L28" s="2417"/>
      <c r="M28" s="2417"/>
      <c r="N28" s="185"/>
      <c r="O28" s="876"/>
    </row>
    <row r="29" spans="2:20" ht="15.5">
      <c r="B29" s="55"/>
      <c r="C29" s="104" t="s">
        <v>1115</v>
      </c>
      <c r="D29" s="103" t="s">
        <v>1116</v>
      </c>
      <c r="E29" s="1256"/>
      <c r="F29" s="1465">
        <v>9.9500000000000005E-2</v>
      </c>
      <c r="G29" s="1468">
        <v>9.9500000000000005E-2</v>
      </c>
      <c r="H29" s="1469">
        <v>0.1295</v>
      </c>
      <c r="I29" s="1469">
        <v>0.1595</v>
      </c>
      <c r="J29" s="1469">
        <v>0.16950000000000001</v>
      </c>
      <c r="K29" s="911"/>
      <c r="L29" s="2417"/>
      <c r="M29" s="2417"/>
      <c r="N29" s="185"/>
      <c r="O29" s="876"/>
    </row>
    <row r="30" spans="2:20" ht="15.5">
      <c r="B30" s="55"/>
      <c r="C30" s="104" t="s">
        <v>1117</v>
      </c>
      <c r="D30" s="103" t="s">
        <v>1118</v>
      </c>
      <c r="E30" s="1256"/>
      <c r="F30" s="1465">
        <v>3.7999999999999999E-2</v>
      </c>
      <c r="G30" s="1468">
        <v>3.7999999999999999E-2</v>
      </c>
      <c r="H30" s="1469">
        <v>4.2000000000000003E-2</v>
      </c>
      <c r="I30" s="1469">
        <v>4.5999999999999999E-2</v>
      </c>
      <c r="J30" s="1469">
        <v>0.05</v>
      </c>
      <c r="K30" s="911" t="s">
        <v>5</v>
      </c>
      <c r="L30" s="2417"/>
      <c r="M30" s="2417"/>
      <c r="N30" s="185"/>
      <c r="O30" s="876"/>
    </row>
    <row r="31" spans="2:20" ht="15.5">
      <c r="B31" s="55"/>
      <c r="C31" s="1470" t="s">
        <v>1119</v>
      </c>
      <c r="D31" s="888" t="s">
        <v>1120</v>
      </c>
      <c r="E31" s="888"/>
      <c r="F31" s="1471">
        <v>5.0000000000000001E-4</v>
      </c>
      <c r="G31" s="1472">
        <v>5.0000000000000001E-4</v>
      </c>
      <c r="H31" s="1473">
        <v>5.0000000000000001E-4</v>
      </c>
      <c r="I31" s="1473">
        <v>5.0000000000000001E-4</v>
      </c>
      <c r="J31" s="1473">
        <v>5.0000000000000001E-4</v>
      </c>
      <c r="K31" s="911"/>
      <c r="L31" s="2417"/>
      <c r="M31" s="2417"/>
      <c r="N31" s="185"/>
      <c r="O31" s="876"/>
    </row>
    <row r="32" spans="2:20">
      <c r="B32" s="45"/>
      <c r="C32" s="65"/>
      <c r="D32" s="117" t="s">
        <v>58</v>
      </c>
      <c r="E32" s="103"/>
      <c r="F32" s="1474">
        <f>SUM(F26:F31)</f>
        <v>1</v>
      </c>
      <c r="G32" s="1474">
        <f>SUM(G26:G31)</f>
        <v>1</v>
      </c>
      <c r="H32" s="1474">
        <f>SUM(H26:H31)</f>
        <v>1</v>
      </c>
      <c r="I32" s="1474">
        <f>SUM(I26:I31)</f>
        <v>1</v>
      </c>
      <c r="J32" s="1474">
        <f>SUM(J26:J31)</f>
        <v>0.99999999999999989</v>
      </c>
      <c r="K32" s="77" t="s">
        <v>5</v>
      </c>
      <c r="L32" s="77"/>
      <c r="M32" s="77"/>
      <c r="N32" s="77"/>
      <c r="O32" s="876"/>
    </row>
    <row r="33" spans="2:15">
      <c r="B33" s="45"/>
      <c r="C33" s="65"/>
      <c r="D33" s="103"/>
      <c r="E33" s="103" t="s">
        <v>5</v>
      </c>
      <c r="F33" s="74"/>
      <c r="G33" s="77"/>
      <c r="H33" s="77"/>
      <c r="I33" s="77"/>
      <c r="J33" s="77"/>
      <c r="K33" s="77" t="s">
        <v>5</v>
      </c>
      <c r="L33" s="77"/>
      <c r="M33" s="77"/>
      <c r="N33" s="77"/>
      <c r="O33" s="876"/>
    </row>
    <row r="34" spans="2:15" s="918" customFormat="1" ht="15.5">
      <c r="B34" s="1210"/>
      <c r="C34" s="49" t="s">
        <v>3061</v>
      </c>
      <c r="D34" s="67"/>
      <c r="E34" s="51"/>
      <c r="F34" s="67"/>
      <c r="G34" s="1475" t="s">
        <v>8</v>
      </c>
      <c r="H34" s="1300" t="s">
        <v>5</v>
      </c>
      <c r="I34" s="1300"/>
      <c r="J34" s="185" t="s">
        <v>1121</v>
      </c>
      <c r="K34" s="77"/>
      <c r="L34" s="77"/>
      <c r="M34" s="77"/>
      <c r="N34" s="77"/>
      <c r="O34" s="923"/>
    </row>
    <row r="35" spans="2:15" s="918" customFormat="1" ht="15.5">
      <c r="B35" s="1210"/>
      <c r="C35" s="67"/>
      <c r="D35" s="67"/>
      <c r="E35" s="67"/>
      <c r="F35" s="67"/>
      <c r="G35" s="1300"/>
      <c r="H35" s="1300" t="s">
        <v>5</v>
      </c>
      <c r="I35" s="1300"/>
      <c r="J35" s="1300"/>
      <c r="K35" s="77"/>
      <c r="L35" s="77" t="s">
        <v>5</v>
      </c>
      <c r="M35" s="77"/>
      <c r="N35" s="77"/>
      <c r="O35" s="923"/>
    </row>
    <row r="36" spans="2:15" s="918" customFormat="1" ht="15.5">
      <c r="B36" s="1210"/>
      <c r="C36" s="900" t="s">
        <v>43</v>
      </c>
      <c r="D36" s="878" t="s">
        <v>987</v>
      </c>
      <c r="E36" s="878" t="s">
        <v>30</v>
      </c>
      <c r="F36" s="87">
        <v>2013</v>
      </c>
      <c r="G36" s="1265">
        <v>1</v>
      </c>
      <c r="H36" s="87">
        <v>2</v>
      </c>
      <c r="I36" s="87">
        <v>3</v>
      </c>
      <c r="J36" s="87">
        <v>4</v>
      </c>
      <c r="K36" s="77"/>
      <c r="L36" s="77"/>
      <c r="M36" s="77"/>
      <c r="N36" s="77"/>
      <c r="O36" s="923"/>
    </row>
    <row r="37" spans="2:15" s="918" customFormat="1" ht="15.5">
      <c r="B37" s="1210"/>
      <c r="C37" s="104" t="s">
        <v>1113</v>
      </c>
      <c r="D37" s="103" t="s">
        <v>3431</v>
      </c>
      <c r="E37" s="1256"/>
      <c r="F37" s="1476">
        <v>1.44</v>
      </c>
      <c r="G37" s="1477">
        <v>1.35</v>
      </c>
      <c r="H37" s="1478">
        <f>$F37</f>
        <v>1.44</v>
      </c>
      <c r="I37" s="1478">
        <f>$F37*1.04</f>
        <v>1.4976</v>
      </c>
      <c r="J37" s="1478">
        <f>$F37*1.06</f>
        <v>1.5264</v>
      </c>
      <c r="K37" s="77"/>
      <c r="L37" s="77"/>
      <c r="M37" s="77"/>
      <c r="N37" s="77"/>
      <c r="O37" s="923"/>
    </row>
    <row r="38" spans="2:15" s="918" customFormat="1" ht="15.5">
      <c r="B38" s="1210"/>
      <c r="C38" s="104" t="s">
        <v>1115</v>
      </c>
      <c r="D38" s="103" t="s">
        <v>1116</v>
      </c>
      <c r="E38" s="1256"/>
      <c r="F38" s="1476">
        <v>10.7</v>
      </c>
      <c r="G38" s="1479">
        <v>10.7</v>
      </c>
      <c r="H38" s="1480">
        <v>12</v>
      </c>
      <c r="I38" s="1481">
        <v>18</v>
      </c>
      <c r="J38" s="1480">
        <v>18</v>
      </c>
      <c r="K38" s="77"/>
      <c r="L38" s="77"/>
      <c r="M38" s="77"/>
      <c r="N38" s="77"/>
      <c r="O38" s="923"/>
    </row>
    <row r="39" spans="2:15" s="918" customFormat="1" ht="15.5">
      <c r="B39" s="1210"/>
      <c r="C39" s="104" t="s">
        <v>1117</v>
      </c>
      <c r="D39" s="103" t="s">
        <v>1118</v>
      </c>
      <c r="E39" s="1256" t="s">
        <v>105</v>
      </c>
      <c r="F39" s="190">
        <v>0.32418351096303916</v>
      </c>
      <c r="G39" s="1482">
        <v>0.36811506356713858</v>
      </c>
      <c r="H39" s="1483">
        <v>0.36811506356713858</v>
      </c>
      <c r="I39" s="1483">
        <v>0.40588480110308967</v>
      </c>
      <c r="J39" s="1483">
        <v>0.42190146532760275</v>
      </c>
      <c r="K39" s="77"/>
      <c r="L39" s="77"/>
      <c r="M39" s="77"/>
      <c r="N39" s="77"/>
      <c r="O39" s="923"/>
    </row>
    <row r="40" spans="2:15" s="918" customFormat="1" ht="15.5">
      <c r="B40" s="1210"/>
      <c r="C40" s="1470" t="s">
        <v>1119</v>
      </c>
      <c r="D40" s="888" t="s">
        <v>1120</v>
      </c>
      <c r="E40" s="888" t="s">
        <v>105</v>
      </c>
      <c r="F40" s="1484">
        <v>0.65100000000000002</v>
      </c>
      <c r="G40" s="1485">
        <v>0.65100000000000002</v>
      </c>
      <c r="H40" s="1486">
        <v>0.65100000000000002</v>
      </c>
      <c r="I40" s="1486">
        <v>0.65100000000000002</v>
      </c>
      <c r="J40" s="1486">
        <v>0.65100000000000002</v>
      </c>
      <c r="K40" s="77"/>
      <c r="L40" s="77"/>
      <c r="M40" s="77"/>
      <c r="N40" s="77"/>
      <c r="O40" s="923"/>
    </row>
    <row r="41" spans="2:15" s="918" customFormat="1" ht="16" thickBot="1">
      <c r="B41" s="1210"/>
      <c r="C41" s="65"/>
      <c r="D41" s="117"/>
      <c r="E41" s="103"/>
      <c r="F41" s="1299"/>
      <c r="G41" s="1300"/>
      <c r="H41" s="1300"/>
      <c r="I41" s="1300"/>
      <c r="J41" s="1300"/>
      <c r="K41" s="77"/>
      <c r="L41" s="77"/>
      <c r="M41" s="77"/>
      <c r="N41" s="77"/>
      <c r="O41" s="923"/>
    </row>
    <row r="42" spans="2:15" s="918" customFormat="1" ht="15.5">
      <c r="B42" s="1487"/>
      <c r="C42" s="1488"/>
      <c r="D42" s="1489"/>
      <c r="E42" s="1490"/>
      <c r="F42" s="1491"/>
      <c r="G42" s="1492"/>
      <c r="H42" s="1492"/>
      <c r="I42" s="1492"/>
      <c r="J42" s="1492"/>
      <c r="K42" s="1493"/>
      <c r="L42" s="1493"/>
      <c r="M42" s="1493"/>
      <c r="N42" s="1493"/>
      <c r="O42" s="1494"/>
    </row>
    <row r="43" spans="2:15" s="918" customFormat="1" ht="15.5">
      <c r="B43" s="1210"/>
      <c r="C43" s="84" t="s">
        <v>1122</v>
      </c>
      <c r="D43" s="117"/>
      <c r="E43" s="103" t="s">
        <v>3791</v>
      </c>
      <c r="F43" s="1299"/>
      <c r="G43" s="1300"/>
      <c r="H43" s="1300"/>
      <c r="I43" s="1300"/>
      <c r="J43" s="1300"/>
      <c r="K43" s="77"/>
      <c r="L43" s="77"/>
      <c r="M43" s="77"/>
      <c r="N43" s="77"/>
      <c r="O43" s="923"/>
    </row>
    <row r="44" spans="2:15" s="918" customFormat="1" ht="15.5">
      <c r="B44" s="1210"/>
      <c r="C44" s="65"/>
      <c r="D44" s="117"/>
      <c r="E44" s="103"/>
      <c r="F44" s="1299"/>
      <c r="G44" s="1300"/>
      <c r="H44" s="1300"/>
      <c r="I44" s="1300"/>
      <c r="J44" s="77"/>
      <c r="K44" s="77"/>
      <c r="L44" s="77"/>
      <c r="M44" s="77"/>
      <c r="N44" s="77"/>
      <c r="O44" s="923"/>
    </row>
    <row r="45" spans="2:15" s="918" customFormat="1" ht="15.5">
      <c r="B45" s="1210"/>
      <c r="C45" s="84" t="s">
        <v>1123</v>
      </c>
      <c r="D45" s="117"/>
      <c r="E45" s="103"/>
      <c r="F45" s="1299"/>
      <c r="G45" s="1300"/>
      <c r="H45" s="1300"/>
      <c r="I45" s="1300"/>
      <c r="J45" s="77"/>
      <c r="K45" s="77"/>
      <c r="L45" s="77"/>
      <c r="M45" s="77"/>
      <c r="N45" s="77" t="s">
        <v>1124</v>
      </c>
      <c r="O45" s="923"/>
    </row>
    <row r="46" spans="2:15" s="918" customFormat="1" ht="15.5">
      <c r="B46" s="1210"/>
      <c r="C46" s="943"/>
      <c r="D46" s="103"/>
      <c r="E46" s="1256"/>
      <c r="F46" s="1299"/>
      <c r="G46" s="1300"/>
      <c r="H46" s="1300"/>
      <c r="I46" s="1300"/>
      <c r="J46" s="77"/>
      <c r="K46" s="77"/>
      <c r="L46" s="77"/>
      <c r="M46" s="77"/>
      <c r="N46" s="77"/>
      <c r="O46" s="923"/>
    </row>
    <row r="47" spans="2:15" s="918" customFormat="1" ht="15.5">
      <c r="B47" s="1210"/>
      <c r="C47" s="878" t="s">
        <v>987</v>
      </c>
      <c r="D47" s="878" t="s">
        <v>44</v>
      </c>
      <c r="E47" s="878" t="s">
        <v>30</v>
      </c>
      <c r="F47" s="87">
        <v>2013</v>
      </c>
      <c r="G47" s="87">
        <v>2015</v>
      </c>
      <c r="H47" s="87">
        <v>2020</v>
      </c>
      <c r="I47" s="87">
        <v>2025</v>
      </c>
      <c r="J47" s="87">
        <v>2030</v>
      </c>
      <c r="K47" s="87">
        <v>2035</v>
      </c>
      <c r="L47" s="87">
        <v>2040</v>
      </c>
      <c r="M47" s="87">
        <v>2045</v>
      </c>
      <c r="N47" s="87">
        <v>2050</v>
      </c>
      <c r="O47" s="923"/>
    </row>
    <row r="48" spans="2:15" s="918" customFormat="1" ht="15.5">
      <c r="B48" s="1210"/>
      <c r="C48" s="915" t="s">
        <v>1111</v>
      </c>
      <c r="D48" s="915" t="s">
        <v>1111</v>
      </c>
      <c r="E48" s="914"/>
      <c r="F48" s="1302">
        <v>1</v>
      </c>
      <c r="G48" s="1302">
        <v>1</v>
      </c>
      <c r="H48" s="1302">
        <v>1</v>
      </c>
      <c r="I48" s="1302">
        <v>1</v>
      </c>
      <c r="J48" s="1302">
        <v>1</v>
      </c>
      <c r="K48" s="1302">
        <v>1</v>
      </c>
      <c r="L48" s="1302">
        <v>1</v>
      </c>
      <c r="M48" s="1302">
        <v>1</v>
      </c>
      <c r="N48" s="1302">
        <v>1</v>
      </c>
      <c r="O48" s="923"/>
    </row>
    <row r="49" spans="2:25" s="918" customFormat="1" ht="15.5">
      <c r="B49" s="1210"/>
      <c r="C49" s="881" t="s">
        <v>1113</v>
      </c>
      <c r="D49" s="881" t="s">
        <v>1125</v>
      </c>
      <c r="E49" s="1306"/>
      <c r="F49" s="1306">
        <v>0.999</v>
      </c>
      <c r="G49" s="1306">
        <v>0.996</v>
      </c>
      <c r="H49" s="1306">
        <v>0.99199999999999999</v>
      </c>
      <c r="I49" s="1306">
        <v>0.95599999999999996</v>
      </c>
      <c r="J49" s="1306">
        <v>0.92</v>
      </c>
      <c r="K49" s="1306">
        <v>0.88</v>
      </c>
      <c r="L49" s="1306">
        <v>0.84</v>
      </c>
      <c r="M49" s="1306">
        <v>0.8075</v>
      </c>
      <c r="N49" s="1306">
        <v>0.77500000000000002</v>
      </c>
      <c r="O49" s="923"/>
      <c r="Q49"/>
      <c r="R49"/>
      <c r="S49"/>
      <c r="T49"/>
      <c r="U49"/>
      <c r="V49"/>
      <c r="W49"/>
      <c r="X49"/>
      <c r="Y49"/>
    </row>
    <row r="50" spans="2:25" s="918" customFormat="1" ht="15.5">
      <c r="B50" s="1210"/>
      <c r="C50" s="103" t="s">
        <v>1113</v>
      </c>
      <c r="D50" s="103" t="s">
        <v>1126</v>
      </c>
      <c r="E50" s="1256"/>
      <c r="F50" s="1060">
        <v>0</v>
      </c>
      <c r="G50" s="1060">
        <v>3.5000000000000001E-3</v>
      </c>
      <c r="H50" s="1060">
        <v>7.0000000000000001E-3</v>
      </c>
      <c r="I50" s="1060">
        <v>3.8500000000000006E-2</v>
      </c>
      <c r="J50" s="1060">
        <v>7.0000000000000007E-2</v>
      </c>
      <c r="K50" s="1060">
        <v>0.10500000000000001</v>
      </c>
      <c r="L50" s="1060">
        <v>0.14000000000000001</v>
      </c>
      <c r="M50" s="1060">
        <v>0.17</v>
      </c>
      <c r="N50" s="1060">
        <v>0.2</v>
      </c>
      <c r="O50" s="923"/>
      <c r="Q50"/>
      <c r="R50"/>
      <c r="S50"/>
      <c r="T50"/>
      <c r="U50"/>
      <c r="V50"/>
      <c r="W50"/>
      <c r="X50"/>
      <c r="Y50"/>
    </row>
    <row r="51" spans="2:25" s="918" customFormat="1" ht="15.5">
      <c r="B51" s="1210"/>
      <c r="C51" s="103" t="s">
        <v>1113</v>
      </c>
      <c r="D51" s="103" t="s">
        <v>1127</v>
      </c>
      <c r="E51" s="1256"/>
      <c r="F51" s="1060">
        <v>1E-4</v>
      </c>
      <c r="G51" s="1060">
        <v>5.0000000000000001E-4</v>
      </c>
      <c r="H51" s="1060">
        <v>1E-3</v>
      </c>
      <c r="I51" s="1060">
        <v>5.4999999999999997E-3</v>
      </c>
      <c r="J51" s="1060">
        <v>0.01</v>
      </c>
      <c r="K51" s="1060">
        <v>1.4999999999999999E-2</v>
      </c>
      <c r="L51" s="1060">
        <v>0.02</v>
      </c>
      <c r="M51" s="1060">
        <v>2.2499999999999999E-2</v>
      </c>
      <c r="N51" s="1060">
        <v>2.5000000000000001E-2</v>
      </c>
      <c r="O51" s="923"/>
      <c r="Q51"/>
      <c r="R51"/>
      <c r="S51"/>
      <c r="T51"/>
      <c r="U51"/>
      <c r="V51"/>
      <c r="W51"/>
      <c r="X51"/>
      <c r="Y51"/>
    </row>
    <row r="52" spans="2:25" s="918" customFormat="1" ht="15.5">
      <c r="B52" s="1210"/>
      <c r="C52" s="1495" t="s">
        <v>1113</v>
      </c>
      <c r="D52" s="1495" t="s">
        <v>1128</v>
      </c>
      <c r="E52" s="1496"/>
      <c r="F52" s="1497">
        <v>0</v>
      </c>
      <c r="G52" s="1497">
        <v>0</v>
      </c>
      <c r="H52" s="1497">
        <v>0</v>
      </c>
      <c r="I52" s="1060">
        <v>0</v>
      </c>
      <c r="J52" s="1060">
        <v>0</v>
      </c>
      <c r="K52" s="1060">
        <v>0</v>
      </c>
      <c r="L52" s="1497">
        <v>0</v>
      </c>
      <c r="M52" s="1497">
        <v>0</v>
      </c>
      <c r="N52" s="1497">
        <v>0</v>
      </c>
      <c r="O52" s="923"/>
      <c r="Q52"/>
      <c r="R52"/>
      <c r="S52"/>
      <c r="T52"/>
      <c r="U52"/>
      <c r="V52"/>
      <c r="W52"/>
      <c r="X52"/>
      <c r="Y52"/>
    </row>
    <row r="53" spans="2:25" s="918" customFormat="1" ht="15.5">
      <c r="B53" s="1210"/>
      <c r="C53" s="881" t="s">
        <v>1115</v>
      </c>
      <c r="D53" s="881" t="s">
        <v>1125</v>
      </c>
      <c r="E53" s="1306"/>
      <c r="F53" s="1306">
        <v>1</v>
      </c>
      <c r="G53" s="1306">
        <v>1</v>
      </c>
      <c r="H53" s="1306">
        <v>1</v>
      </c>
      <c r="I53" s="1306">
        <v>1</v>
      </c>
      <c r="J53" s="1306">
        <v>1</v>
      </c>
      <c r="K53" s="1306">
        <v>1</v>
      </c>
      <c r="L53" s="1306">
        <v>1</v>
      </c>
      <c r="M53" s="1306">
        <v>1</v>
      </c>
      <c r="N53" s="1306">
        <v>1</v>
      </c>
      <c r="O53" s="923"/>
    </row>
    <row r="54" spans="2:25" s="918" customFormat="1" ht="15.5">
      <c r="B54" s="4147"/>
      <c r="C54" s="103" t="s">
        <v>1115</v>
      </c>
      <c r="D54" s="103" t="s">
        <v>3434</v>
      </c>
      <c r="E54" s="1256"/>
      <c r="F54" s="1060">
        <v>0</v>
      </c>
      <c r="G54" s="1060">
        <v>0</v>
      </c>
      <c r="H54" s="1060">
        <v>0</v>
      </c>
      <c r="I54" s="1060">
        <v>0</v>
      </c>
      <c r="J54" s="1060">
        <v>0</v>
      </c>
      <c r="K54" s="1060">
        <v>0</v>
      </c>
      <c r="L54" s="1060">
        <v>0</v>
      </c>
      <c r="M54" s="1060">
        <v>0</v>
      </c>
      <c r="N54" s="1060">
        <v>0</v>
      </c>
      <c r="O54" s="922"/>
    </row>
    <row r="55" spans="2:25" s="918" customFormat="1" ht="15.5">
      <c r="B55" s="1210"/>
      <c r="C55" s="103" t="s">
        <v>1115</v>
      </c>
      <c r="D55" s="103" t="s">
        <v>1129</v>
      </c>
      <c r="E55" s="1256"/>
      <c r="F55" s="1060">
        <v>0</v>
      </c>
      <c r="G55" s="1060">
        <v>0</v>
      </c>
      <c r="H55" s="1060">
        <v>0</v>
      </c>
      <c r="I55" s="1060">
        <v>0</v>
      </c>
      <c r="J55" s="1060">
        <v>0</v>
      </c>
      <c r="K55" s="1060">
        <v>0</v>
      </c>
      <c r="L55" s="1060">
        <v>0</v>
      </c>
      <c r="M55" s="1060">
        <v>0</v>
      </c>
      <c r="N55" s="1060">
        <v>0</v>
      </c>
      <c r="O55" s="923"/>
    </row>
    <row r="56" spans="2:25" s="918" customFormat="1" ht="15.5">
      <c r="B56" s="4147"/>
      <c r="C56" s="103" t="s">
        <v>1115</v>
      </c>
      <c r="D56" s="103" t="s">
        <v>1127</v>
      </c>
      <c r="E56" s="1256"/>
      <c r="F56" s="1060">
        <v>0</v>
      </c>
      <c r="G56" s="1060">
        <v>0</v>
      </c>
      <c r="H56" s="1060">
        <v>0</v>
      </c>
      <c r="I56" s="1060">
        <v>0</v>
      </c>
      <c r="J56" s="1060">
        <v>0</v>
      </c>
      <c r="K56" s="1060">
        <v>0</v>
      </c>
      <c r="L56" s="1060">
        <v>0</v>
      </c>
      <c r="M56" s="1060">
        <v>0</v>
      </c>
      <c r="N56" s="1060">
        <v>0</v>
      </c>
      <c r="O56" s="922"/>
    </row>
    <row r="57" spans="2:25" s="918" customFormat="1" ht="15.5">
      <c r="B57" s="1210"/>
      <c r="C57" s="1495" t="s">
        <v>1115</v>
      </c>
      <c r="D57" s="1495" t="s">
        <v>1128</v>
      </c>
      <c r="E57" s="1496"/>
      <c r="F57" s="1497">
        <v>0</v>
      </c>
      <c r="G57" s="1497">
        <v>0</v>
      </c>
      <c r="H57" s="1060">
        <v>0</v>
      </c>
      <c r="I57" s="1060">
        <v>0</v>
      </c>
      <c r="J57" s="1060">
        <v>0</v>
      </c>
      <c r="K57" s="1060">
        <v>0</v>
      </c>
      <c r="L57" s="1060">
        <v>0</v>
      </c>
      <c r="M57" s="1060">
        <v>0</v>
      </c>
      <c r="N57" s="1060">
        <v>0</v>
      </c>
      <c r="O57" s="923"/>
    </row>
    <row r="58" spans="2:25" s="918" customFormat="1" ht="15.5">
      <c r="B58" s="1210"/>
      <c r="C58" s="881" t="s">
        <v>1117</v>
      </c>
      <c r="D58" s="881" t="s">
        <v>1130</v>
      </c>
      <c r="E58" s="1306"/>
      <c r="F58" s="1302">
        <v>0.8</v>
      </c>
      <c r="G58" s="1302">
        <v>0.8</v>
      </c>
      <c r="H58" s="1302">
        <v>0.8</v>
      </c>
      <c r="I58" s="1302">
        <v>0.8</v>
      </c>
      <c r="J58" s="1302">
        <v>0.8</v>
      </c>
      <c r="K58" s="1302">
        <v>0.8</v>
      </c>
      <c r="L58" s="1302">
        <v>0.8</v>
      </c>
      <c r="M58" s="1302">
        <v>0.8</v>
      </c>
      <c r="N58" s="1302">
        <v>0.8</v>
      </c>
      <c r="O58" s="923"/>
    </row>
    <row r="59" spans="2:25" s="918" customFormat="1" ht="15.5">
      <c r="B59" s="1210"/>
      <c r="C59" s="1495" t="s">
        <v>1117</v>
      </c>
      <c r="D59" s="1495" t="s">
        <v>1131</v>
      </c>
      <c r="E59" s="1496"/>
      <c r="F59" s="1497">
        <v>0.2</v>
      </c>
      <c r="G59" s="1497">
        <v>0.2</v>
      </c>
      <c r="H59" s="1497">
        <v>0.2</v>
      </c>
      <c r="I59" s="1497">
        <v>0.2</v>
      </c>
      <c r="J59" s="1497">
        <v>0.2</v>
      </c>
      <c r="K59" s="1497">
        <v>0.2</v>
      </c>
      <c r="L59" s="1497">
        <v>0.2</v>
      </c>
      <c r="M59" s="1497">
        <v>0.2</v>
      </c>
      <c r="N59" s="1497">
        <v>0.2</v>
      </c>
      <c r="O59" s="923"/>
    </row>
    <row r="60" spans="2:25" s="918" customFormat="1" ht="15.5">
      <c r="B60" s="1210"/>
      <c r="C60" s="908" t="s">
        <v>1119</v>
      </c>
      <c r="D60" s="908" t="s">
        <v>1119</v>
      </c>
      <c r="E60" s="1499"/>
      <c r="F60" s="1500">
        <v>1</v>
      </c>
      <c r="G60" s="1500">
        <v>1</v>
      </c>
      <c r="H60" s="1500">
        <v>1</v>
      </c>
      <c r="I60" s="1500">
        <v>1</v>
      </c>
      <c r="J60" s="1500">
        <v>1</v>
      </c>
      <c r="K60" s="1500">
        <v>1</v>
      </c>
      <c r="L60" s="1500">
        <v>1</v>
      </c>
      <c r="M60" s="1500">
        <v>1</v>
      </c>
      <c r="N60" s="1500">
        <v>1</v>
      </c>
      <c r="O60" s="923"/>
    </row>
    <row r="61" spans="2:25" s="918" customFormat="1" ht="15.5">
      <c r="B61" s="1210"/>
      <c r="C61" s="65"/>
      <c r="D61" s="117"/>
      <c r="E61" s="103"/>
      <c r="F61" s="1299"/>
      <c r="G61" s="1300"/>
      <c r="H61" s="1300"/>
      <c r="I61" s="1300"/>
      <c r="J61" s="1300"/>
      <c r="K61" s="77"/>
      <c r="L61" s="77"/>
      <c r="M61" s="77"/>
      <c r="N61" s="77"/>
      <c r="O61" s="923"/>
    </row>
    <row r="62" spans="2:25" s="918" customFormat="1" ht="15.5">
      <c r="B62" s="1210"/>
      <c r="C62" s="84" t="s">
        <v>1132</v>
      </c>
      <c r="D62" s="117"/>
      <c r="E62" s="103"/>
      <c r="F62" s="1299"/>
      <c r="G62" s="1300"/>
      <c r="H62" s="1300"/>
      <c r="I62" s="1300"/>
      <c r="J62" s="77"/>
      <c r="K62" s="77"/>
      <c r="L62" s="77"/>
      <c r="M62" s="77"/>
      <c r="N62" s="77" t="s">
        <v>1124</v>
      </c>
      <c r="O62" s="923"/>
    </row>
    <row r="63" spans="2:25" s="918" customFormat="1" ht="15.5">
      <c r="B63" s="1210"/>
      <c r="C63" s="943"/>
      <c r="D63" s="103"/>
      <c r="E63" s="1256"/>
      <c r="F63" s="1299"/>
      <c r="G63" s="1300"/>
      <c r="H63" s="1300"/>
      <c r="I63" s="1300"/>
      <c r="J63" s="77"/>
      <c r="K63" s="77"/>
      <c r="L63" s="77"/>
      <c r="M63" s="77"/>
      <c r="N63" s="77"/>
      <c r="O63" s="923"/>
    </row>
    <row r="64" spans="2:25" s="918" customFormat="1" ht="15.5">
      <c r="B64" s="1210"/>
      <c r="C64" s="878" t="s">
        <v>987</v>
      </c>
      <c r="D64" s="878" t="s">
        <v>44</v>
      </c>
      <c r="E64" s="878" t="s">
        <v>30</v>
      </c>
      <c r="F64" s="87">
        <v>2013</v>
      </c>
      <c r="G64" s="87">
        <v>2015</v>
      </c>
      <c r="H64" s="87">
        <v>2020</v>
      </c>
      <c r="I64" s="87">
        <v>2025</v>
      </c>
      <c r="J64" s="87">
        <v>2030</v>
      </c>
      <c r="K64" s="87">
        <v>2035</v>
      </c>
      <c r="L64" s="87">
        <v>2040</v>
      </c>
      <c r="M64" s="87">
        <v>2045</v>
      </c>
      <c r="N64" s="87">
        <v>2050</v>
      </c>
      <c r="O64" s="923"/>
    </row>
    <row r="65" spans="1:15" s="918" customFormat="1" ht="15.5">
      <c r="B65" s="1210"/>
      <c r="C65" s="915" t="s">
        <v>1111</v>
      </c>
      <c r="D65" s="915" t="s">
        <v>1111</v>
      </c>
      <c r="E65" s="914"/>
      <c r="F65" s="1302">
        <v>1</v>
      </c>
      <c r="G65" s="1302">
        <v>1</v>
      </c>
      <c r="H65" s="1302">
        <v>1</v>
      </c>
      <c r="I65" s="1302">
        <v>1</v>
      </c>
      <c r="J65" s="1302">
        <v>1</v>
      </c>
      <c r="K65" s="1302">
        <v>1</v>
      </c>
      <c r="L65" s="1302">
        <v>1</v>
      </c>
      <c r="M65" s="1302">
        <v>1</v>
      </c>
      <c r="N65" s="1302">
        <v>1</v>
      </c>
      <c r="O65" s="923"/>
    </row>
    <row r="66" spans="1:15" s="918" customFormat="1" ht="15.5">
      <c r="B66" s="1210"/>
      <c r="C66" s="881" t="s">
        <v>1113</v>
      </c>
      <c r="D66" s="881" t="s">
        <v>1125</v>
      </c>
      <c r="E66" s="1306"/>
      <c r="F66" s="1302">
        <v>1</v>
      </c>
      <c r="G66" s="1302">
        <v>0.98499999999999999</v>
      </c>
      <c r="H66" s="1302">
        <v>0.97</v>
      </c>
      <c r="I66" s="1302">
        <v>0.84</v>
      </c>
      <c r="J66" s="1060">
        <v>0.71</v>
      </c>
      <c r="K66" s="1302">
        <v>0.62</v>
      </c>
      <c r="L66" s="1302">
        <v>0.53</v>
      </c>
      <c r="M66" s="1302">
        <v>0.44</v>
      </c>
      <c r="N66" s="1302">
        <v>0.35</v>
      </c>
      <c r="O66" s="923"/>
    </row>
    <row r="67" spans="1:15" s="918" customFormat="1" ht="15.5">
      <c r="B67" s="1210"/>
      <c r="C67" s="103" t="s">
        <v>1113</v>
      </c>
      <c r="D67" s="103" t="s">
        <v>1126</v>
      </c>
      <c r="E67" s="1256"/>
      <c r="F67" s="1060">
        <v>0</v>
      </c>
      <c r="G67" s="1060">
        <v>5.0000000000000001E-3</v>
      </c>
      <c r="H67" s="1060">
        <v>0.01</v>
      </c>
      <c r="I67" s="1060">
        <v>0.13</v>
      </c>
      <c r="J67" s="1060">
        <v>0.25</v>
      </c>
      <c r="K67" s="1060">
        <v>0.315</v>
      </c>
      <c r="L67" s="1060">
        <v>0.38</v>
      </c>
      <c r="M67" s="1060">
        <v>0.46</v>
      </c>
      <c r="N67" s="1060">
        <v>0.54</v>
      </c>
      <c r="O67" s="923"/>
    </row>
    <row r="68" spans="1:15" s="918" customFormat="1" ht="15.5">
      <c r="B68" s="1210"/>
      <c r="C68" s="103" t="s">
        <v>1113</v>
      </c>
      <c r="D68" s="103" t="s">
        <v>1127</v>
      </c>
      <c r="E68" s="1256"/>
      <c r="F68" s="1060">
        <v>0</v>
      </c>
      <c r="G68" s="1060">
        <v>0.01</v>
      </c>
      <c r="H68" s="1060">
        <v>0.02</v>
      </c>
      <c r="I68" s="1060">
        <v>0.03</v>
      </c>
      <c r="J68" s="1060">
        <v>0.04</v>
      </c>
      <c r="K68" s="1060">
        <v>6.5000000000000002E-2</v>
      </c>
      <c r="L68" s="1060">
        <v>0.09</v>
      </c>
      <c r="M68" s="1060">
        <v>9.5000000000000001E-2</v>
      </c>
      <c r="N68" s="1060">
        <v>0.1</v>
      </c>
      <c r="O68" s="923"/>
    </row>
    <row r="69" spans="1:15" s="918" customFormat="1" ht="15.5">
      <c r="B69" s="1210"/>
      <c r="C69" s="1495" t="s">
        <v>1113</v>
      </c>
      <c r="D69" s="1495" t="s">
        <v>1128</v>
      </c>
      <c r="E69" s="1496"/>
      <c r="F69" s="1497">
        <v>0</v>
      </c>
      <c r="G69" s="1497">
        <v>0</v>
      </c>
      <c r="H69" s="1497">
        <v>0</v>
      </c>
      <c r="I69" s="1497">
        <v>0</v>
      </c>
      <c r="J69" s="1497">
        <v>0</v>
      </c>
      <c r="K69" s="1497">
        <v>0</v>
      </c>
      <c r="L69" s="1497">
        <v>0</v>
      </c>
      <c r="M69" s="1497">
        <v>5.0000000000000001E-3</v>
      </c>
      <c r="N69" s="1497">
        <v>0.01</v>
      </c>
      <c r="O69" s="923"/>
    </row>
    <row r="70" spans="1:15" s="918" customFormat="1" ht="15.5">
      <c r="A70" s="918" t="s">
        <v>5</v>
      </c>
      <c r="B70" s="1210"/>
      <c r="C70" s="881" t="s">
        <v>1115</v>
      </c>
      <c r="D70" s="881" t="s">
        <v>1125</v>
      </c>
      <c r="E70" s="1306"/>
      <c r="F70" s="1302">
        <v>1</v>
      </c>
      <c r="G70" s="1302">
        <v>1</v>
      </c>
      <c r="H70" s="1302">
        <v>0.9</v>
      </c>
      <c r="I70" s="1302">
        <v>0.81</v>
      </c>
      <c r="J70" s="1302">
        <v>0.71</v>
      </c>
      <c r="K70" s="1302">
        <v>0.64</v>
      </c>
      <c r="L70" s="1302">
        <v>0.55000000000000004</v>
      </c>
      <c r="M70" s="1302">
        <v>0.48</v>
      </c>
      <c r="N70" s="1302">
        <v>0.4</v>
      </c>
      <c r="O70" s="923"/>
    </row>
    <row r="71" spans="1:15" s="918" customFormat="1" ht="15.5">
      <c r="B71" s="1210"/>
      <c r="C71" s="103" t="s">
        <v>1115</v>
      </c>
      <c r="D71" s="103" t="s">
        <v>3434</v>
      </c>
      <c r="E71" s="1256"/>
      <c r="F71" s="1060">
        <v>0</v>
      </c>
      <c r="G71" s="1060">
        <v>0</v>
      </c>
      <c r="H71" s="1060">
        <v>0</v>
      </c>
      <c r="I71" s="1060">
        <v>0.05</v>
      </c>
      <c r="J71" s="1060">
        <v>0.1</v>
      </c>
      <c r="K71" s="1060">
        <v>0.15</v>
      </c>
      <c r="L71" s="1060">
        <v>0.15</v>
      </c>
      <c r="M71" s="1060">
        <v>0.15</v>
      </c>
      <c r="N71" s="1060">
        <v>0.15</v>
      </c>
      <c r="O71" s="923"/>
    </row>
    <row r="72" spans="1:15" s="918" customFormat="1" ht="15.5">
      <c r="B72" s="1210"/>
      <c r="C72" s="103" t="s">
        <v>1115</v>
      </c>
      <c r="D72" s="103" t="s">
        <v>1129</v>
      </c>
      <c r="E72" s="1256"/>
      <c r="F72" s="1060">
        <v>0</v>
      </c>
      <c r="G72" s="1060">
        <v>0</v>
      </c>
      <c r="H72" s="1060">
        <v>9.9999999999999992E-2</v>
      </c>
      <c r="I72" s="1060">
        <v>0.14000000000000001</v>
      </c>
      <c r="J72" s="1060">
        <v>0.19</v>
      </c>
      <c r="K72" s="1060">
        <v>0.21</v>
      </c>
      <c r="L72" s="1060">
        <v>0.3</v>
      </c>
      <c r="M72" s="1060">
        <v>0.37</v>
      </c>
      <c r="N72" s="1060">
        <v>0.45</v>
      </c>
      <c r="O72" s="923"/>
    </row>
    <row r="73" spans="1:15" s="918" customFormat="1" ht="15.5">
      <c r="B73" s="1210"/>
      <c r="C73" s="103" t="s">
        <v>1115</v>
      </c>
      <c r="D73" s="103" t="s">
        <v>1127</v>
      </c>
      <c r="E73" s="1256"/>
      <c r="F73" s="1060">
        <v>0</v>
      </c>
      <c r="G73" s="1060">
        <v>0</v>
      </c>
      <c r="H73" s="1060">
        <v>0</v>
      </c>
      <c r="I73" s="1060">
        <v>0</v>
      </c>
      <c r="J73" s="1060">
        <v>0</v>
      </c>
      <c r="K73" s="1060">
        <v>0</v>
      </c>
      <c r="L73" s="1060">
        <v>0</v>
      </c>
      <c r="M73" s="1060">
        <v>0</v>
      </c>
      <c r="N73" s="1060">
        <v>0</v>
      </c>
      <c r="O73" s="923"/>
    </row>
    <row r="74" spans="1:15" s="918" customFormat="1" ht="15.5">
      <c r="B74" s="1498"/>
      <c r="C74" s="1495" t="s">
        <v>1115</v>
      </c>
      <c r="D74" s="1495" t="s">
        <v>1128</v>
      </c>
      <c r="E74" s="1496"/>
      <c r="F74" s="1497">
        <v>0</v>
      </c>
      <c r="G74" s="1497">
        <v>0</v>
      </c>
      <c r="H74" s="1497">
        <v>0</v>
      </c>
      <c r="I74" s="1497">
        <v>0</v>
      </c>
      <c r="J74" s="1497">
        <v>0</v>
      </c>
      <c r="K74" s="1497">
        <v>0</v>
      </c>
      <c r="L74" s="1497">
        <v>0</v>
      </c>
      <c r="M74" s="1497">
        <v>0</v>
      </c>
      <c r="N74" s="1497">
        <v>0</v>
      </c>
      <c r="O74" s="923"/>
    </row>
    <row r="75" spans="1:15" s="918" customFormat="1" ht="15.5">
      <c r="B75" s="1210"/>
      <c r="C75" s="881" t="s">
        <v>1117</v>
      </c>
      <c r="D75" s="881" t="s">
        <v>1130</v>
      </c>
      <c r="E75" s="1306"/>
      <c r="F75" s="1302">
        <v>0.8</v>
      </c>
      <c r="G75" s="1302">
        <v>0.8</v>
      </c>
      <c r="H75" s="1302">
        <v>0.8</v>
      </c>
      <c r="I75" s="1302">
        <f t="shared" ref="I75:N75" si="0">1-I76</f>
        <v>0.77499999999999991</v>
      </c>
      <c r="J75" s="1302">
        <f t="shared" si="0"/>
        <v>0.75</v>
      </c>
      <c r="K75" s="1302">
        <f t="shared" si="0"/>
        <v>0.72499999999999998</v>
      </c>
      <c r="L75" s="1302">
        <f t="shared" si="0"/>
        <v>0.7</v>
      </c>
      <c r="M75" s="1302">
        <f t="shared" si="0"/>
        <v>0.67500000000000004</v>
      </c>
      <c r="N75" s="1302">
        <f t="shared" si="0"/>
        <v>0.65</v>
      </c>
      <c r="O75" s="923"/>
    </row>
    <row r="76" spans="1:15" s="918" customFormat="1" ht="15.5">
      <c r="B76" s="1210"/>
      <c r="C76" s="1495" t="s">
        <v>1117</v>
      </c>
      <c r="D76" s="1495" t="s">
        <v>1131</v>
      </c>
      <c r="E76" s="1496"/>
      <c r="F76" s="1497">
        <v>0.2</v>
      </c>
      <c r="G76" s="1497">
        <v>0.2</v>
      </c>
      <c r="H76" s="1497">
        <v>0.20000000000000004</v>
      </c>
      <c r="I76" s="1497">
        <v>0.22500000000000003</v>
      </c>
      <c r="J76" s="1497">
        <v>0.25</v>
      </c>
      <c r="K76" s="1497">
        <v>0.27500000000000002</v>
      </c>
      <c r="L76" s="1497">
        <v>0.3</v>
      </c>
      <c r="M76" s="1497">
        <v>0.32499999999999996</v>
      </c>
      <c r="N76" s="1497">
        <v>0.35</v>
      </c>
      <c r="O76" s="923"/>
    </row>
    <row r="77" spans="1:15" s="918" customFormat="1" ht="15.5">
      <c r="B77" s="1210"/>
      <c r="C77" s="908" t="s">
        <v>1119</v>
      </c>
      <c r="D77" s="908" t="s">
        <v>1119</v>
      </c>
      <c r="E77" s="1499"/>
      <c r="F77" s="1500">
        <v>1</v>
      </c>
      <c r="G77" s="1500">
        <v>1</v>
      </c>
      <c r="H77" s="1500">
        <v>1</v>
      </c>
      <c r="I77" s="1500">
        <v>1</v>
      </c>
      <c r="J77" s="1500">
        <v>1</v>
      </c>
      <c r="K77" s="1500">
        <v>1</v>
      </c>
      <c r="L77" s="1500">
        <v>1</v>
      </c>
      <c r="M77" s="1500">
        <v>1</v>
      </c>
      <c r="N77" s="1500">
        <v>1</v>
      </c>
      <c r="O77" s="923"/>
    </row>
    <row r="78" spans="1:15" s="918" customFormat="1" ht="15.5">
      <c r="B78" s="1210"/>
      <c r="C78" s="65"/>
      <c r="D78" s="117"/>
      <c r="E78" s="103"/>
      <c r="F78" s="1299"/>
      <c r="G78" s="1300"/>
      <c r="H78" s="1300"/>
      <c r="I78" s="1300"/>
      <c r="J78" s="77"/>
      <c r="K78" s="77"/>
      <c r="L78" s="77"/>
      <c r="M78" s="77"/>
      <c r="N78" s="77"/>
      <c r="O78" s="923"/>
    </row>
    <row r="79" spans="1:15" s="918" customFormat="1" ht="15.5">
      <c r="B79" s="1210"/>
      <c r="C79" s="84" t="s">
        <v>1133</v>
      </c>
      <c r="D79" s="117"/>
      <c r="E79" s="103"/>
      <c r="F79" s="1299"/>
      <c r="G79" s="1300"/>
      <c r="H79" s="1300"/>
      <c r="I79" s="1300"/>
      <c r="J79" s="77"/>
      <c r="K79" s="77"/>
      <c r="L79" s="77"/>
      <c r="M79" s="77"/>
      <c r="N79" s="77" t="s">
        <v>1124</v>
      </c>
      <c r="O79" s="923"/>
    </row>
    <row r="80" spans="1:15" s="918" customFormat="1" ht="15.5">
      <c r="B80" s="1210"/>
      <c r="C80" s="943"/>
      <c r="D80" s="103"/>
      <c r="E80" s="1256"/>
      <c r="F80" s="1299"/>
      <c r="G80" s="1300"/>
      <c r="H80" s="1300"/>
      <c r="I80" s="1300"/>
      <c r="J80" s="77"/>
      <c r="K80" s="77"/>
      <c r="L80" s="77"/>
      <c r="M80" s="77"/>
      <c r="N80" s="77"/>
      <c r="O80" s="923"/>
    </row>
    <row r="81" spans="2:18" s="918" customFormat="1" ht="15.5">
      <c r="B81" s="1210"/>
      <c r="C81" s="878" t="s">
        <v>987</v>
      </c>
      <c r="D81" s="878" t="s">
        <v>44</v>
      </c>
      <c r="E81" s="878" t="s">
        <v>30</v>
      </c>
      <c r="F81" s="87">
        <v>2013</v>
      </c>
      <c r="G81" s="87">
        <v>2015</v>
      </c>
      <c r="H81" s="87">
        <v>2020</v>
      </c>
      <c r="I81" s="87">
        <v>2025</v>
      </c>
      <c r="J81" s="87">
        <v>2030</v>
      </c>
      <c r="K81" s="87">
        <v>2035</v>
      </c>
      <c r="L81" s="87">
        <v>2040</v>
      </c>
      <c r="M81" s="87">
        <v>2045</v>
      </c>
      <c r="N81" s="87">
        <v>2050</v>
      </c>
      <c r="O81" s="923"/>
    </row>
    <row r="82" spans="2:18" s="918" customFormat="1" ht="15.5">
      <c r="B82" s="1210"/>
      <c r="C82" s="915" t="s">
        <v>1111</v>
      </c>
      <c r="D82" s="915" t="s">
        <v>1111</v>
      </c>
      <c r="E82" s="914"/>
      <c r="F82" s="1302">
        <v>1</v>
      </c>
      <c r="G82" s="1302">
        <v>1</v>
      </c>
      <c r="H82" s="1302">
        <v>1</v>
      </c>
      <c r="I82" s="1302">
        <v>1</v>
      </c>
      <c r="J82" s="1302">
        <v>1</v>
      </c>
      <c r="K82" s="1302">
        <v>1</v>
      </c>
      <c r="L82" s="1302">
        <v>1</v>
      </c>
      <c r="M82" s="1302">
        <v>1</v>
      </c>
      <c r="N82" s="1302">
        <v>1</v>
      </c>
      <c r="O82" s="923"/>
    </row>
    <row r="83" spans="2:18" s="918" customFormat="1" ht="15.5">
      <c r="B83" s="1210"/>
      <c r="C83" s="881" t="s">
        <v>1113</v>
      </c>
      <c r="D83" s="881" t="s">
        <v>1125</v>
      </c>
      <c r="E83" s="1306"/>
      <c r="F83" s="1302">
        <v>1</v>
      </c>
      <c r="G83" s="1302">
        <v>0.98499999999999999</v>
      </c>
      <c r="H83" s="1302">
        <v>0.97</v>
      </c>
      <c r="I83" s="1302">
        <v>0.70499999999999996</v>
      </c>
      <c r="J83" s="1060">
        <v>0.44</v>
      </c>
      <c r="K83" s="1302">
        <v>0.41000000000000003</v>
      </c>
      <c r="L83" s="1302">
        <v>0.38</v>
      </c>
      <c r="M83" s="1302">
        <v>0.29000000000000004</v>
      </c>
      <c r="N83" s="1302">
        <v>0.2</v>
      </c>
      <c r="O83" s="923"/>
    </row>
    <row r="84" spans="2:18" s="918" customFormat="1" ht="15.5">
      <c r="B84" s="1210"/>
      <c r="C84" s="103" t="s">
        <v>1113</v>
      </c>
      <c r="D84" s="103" t="s">
        <v>1126</v>
      </c>
      <c r="E84" s="1256"/>
      <c r="F84" s="1060">
        <v>0</v>
      </c>
      <c r="G84" s="1060">
        <v>5.0000000000000001E-3</v>
      </c>
      <c r="H84" s="1060">
        <v>0.01</v>
      </c>
      <c r="I84" s="1060">
        <v>0.22750000000000001</v>
      </c>
      <c r="J84" s="1060">
        <v>0.44500000000000001</v>
      </c>
      <c r="K84" s="1060">
        <v>0.38250000000000001</v>
      </c>
      <c r="L84" s="1060">
        <v>0.32</v>
      </c>
      <c r="M84" s="1060">
        <v>0.32</v>
      </c>
      <c r="N84" s="1060">
        <v>0.32</v>
      </c>
      <c r="O84" s="923"/>
    </row>
    <row r="85" spans="2:18" s="918" customFormat="1" ht="15.5">
      <c r="B85" s="1210"/>
      <c r="C85" s="103" t="s">
        <v>1113</v>
      </c>
      <c r="D85" s="103" t="s">
        <v>1127</v>
      </c>
      <c r="E85" s="1256"/>
      <c r="F85" s="1060">
        <v>0</v>
      </c>
      <c r="G85" s="1060">
        <v>0.01</v>
      </c>
      <c r="H85" s="1060">
        <v>0.02</v>
      </c>
      <c r="I85" s="1060">
        <v>0.05</v>
      </c>
      <c r="J85" s="1060">
        <v>0.08</v>
      </c>
      <c r="K85" s="1060">
        <v>0.14000000000000001</v>
      </c>
      <c r="L85" s="1060">
        <v>0.2</v>
      </c>
      <c r="M85" s="1060">
        <v>0.24000000000000002</v>
      </c>
      <c r="N85" s="1060">
        <v>0.28000000000000003</v>
      </c>
      <c r="O85" s="923"/>
    </row>
    <row r="86" spans="2:18" s="918" customFormat="1" ht="15.5">
      <c r="B86" s="1210"/>
      <c r="C86" s="1495" t="s">
        <v>1113</v>
      </c>
      <c r="D86" s="1495" t="s">
        <v>1128</v>
      </c>
      <c r="E86" s="1496"/>
      <c r="F86" s="1497">
        <v>0</v>
      </c>
      <c r="G86" s="1497">
        <v>0</v>
      </c>
      <c r="H86" s="1497">
        <v>0</v>
      </c>
      <c r="I86" s="1497">
        <v>1.7500000000000002E-2</v>
      </c>
      <c r="J86" s="1497">
        <v>3.5000000000000003E-2</v>
      </c>
      <c r="K86" s="1497">
        <v>6.7500000000000004E-2</v>
      </c>
      <c r="L86" s="1497">
        <v>0.1</v>
      </c>
      <c r="M86" s="1497">
        <v>0.15000000000000002</v>
      </c>
      <c r="N86" s="1497">
        <v>0.2</v>
      </c>
      <c r="O86" s="923"/>
    </row>
    <row r="87" spans="2:18" s="918" customFormat="1" ht="15.5">
      <c r="B87" s="1210"/>
      <c r="C87" s="881" t="s">
        <v>1115</v>
      </c>
      <c r="D87" s="881" t="s">
        <v>1125</v>
      </c>
      <c r="E87" s="1306"/>
      <c r="F87" s="1302">
        <v>1</v>
      </c>
      <c r="G87" s="1302">
        <v>1</v>
      </c>
      <c r="H87" s="1302">
        <v>0.88</v>
      </c>
      <c r="I87" s="1302">
        <v>0.76</v>
      </c>
      <c r="J87" s="1302">
        <v>0.64</v>
      </c>
      <c r="K87" s="1302">
        <v>0.44</v>
      </c>
      <c r="L87" s="1302">
        <v>0.31</v>
      </c>
      <c r="M87" s="1302">
        <v>0.21</v>
      </c>
      <c r="N87" s="1302">
        <v>0.1</v>
      </c>
      <c r="O87" s="923"/>
    </row>
    <row r="88" spans="2:18" s="918" customFormat="1" ht="15.5">
      <c r="B88" s="4147"/>
      <c r="C88" s="103" t="s">
        <v>1115</v>
      </c>
      <c r="D88" s="103" t="s">
        <v>3434</v>
      </c>
      <c r="E88" s="1256"/>
      <c r="F88" s="1060">
        <v>0</v>
      </c>
      <c r="G88" s="1060">
        <v>0</v>
      </c>
      <c r="H88" s="1060">
        <v>0</v>
      </c>
      <c r="I88" s="1060">
        <v>0.05</v>
      </c>
      <c r="J88" s="1060">
        <v>0.1</v>
      </c>
      <c r="K88" s="1060">
        <v>0.15</v>
      </c>
      <c r="L88" s="1060">
        <v>0.15</v>
      </c>
      <c r="M88" s="1060">
        <v>0.15</v>
      </c>
      <c r="N88" s="1060">
        <v>0.15</v>
      </c>
      <c r="O88" s="923"/>
    </row>
    <row r="89" spans="2:18" s="918" customFormat="1" ht="15.5">
      <c r="B89" s="1210"/>
      <c r="C89" s="103" t="s">
        <v>1115</v>
      </c>
      <c r="D89" s="103" t="s">
        <v>1129</v>
      </c>
      <c r="E89" s="1256"/>
      <c r="F89" s="1060">
        <v>0</v>
      </c>
      <c r="G89" s="1060">
        <v>0</v>
      </c>
      <c r="H89" s="1060">
        <v>9.9999999999999992E-2</v>
      </c>
      <c r="I89" s="1060">
        <v>0.16</v>
      </c>
      <c r="J89" s="1060">
        <v>0.2</v>
      </c>
      <c r="K89" s="1060">
        <v>0.3</v>
      </c>
      <c r="L89" s="1060">
        <v>0.4</v>
      </c>
      <c r="M89" s="1060">
        <v>0.47</v>
      </c>
      <c r="N89" s="1060">
        <v>0.55000000000000004</v>
      </c>
      <c r="O89" s="923"/>
    </row>
    <row r="90" spans="2:18" s="918" customFormat="1" ht="15.5">
      <c r="B90" s="1210"/>
      <c r="C90" s="103" t="s">
        <v>1115</v>
      </c>
      <c r="D90" s="103" t="s">
        <v>1127</v>
      </c>
      <c r="E90" s="1256"/>
      <c r="F90" s="1060">
        <v>0</v>
      </c>
      <c r="G90" s="1060">
        <v>0</v>
      </c>
      <c r="H90" s="1060">
        <v>1.6999999999999994E-2</v>
      </c>
      <c r="I90" s="1060">
        <v>3.0833333333333331E-2</v>
      </c>
      <c r="J90" s="1060">
        <v>4.4666666666666667E-2</v>
      </c>
      <c r="K90" s="1060">
        <v>5.8500000000000003E-2</v>
      </c>
      <c r="L90" s="1060">
        <v>7.2333333333333333E-2</v>
      </c>
      <c r="M90" s="1060">
        <v>8.6166666666666669E-2</v>
      </c>
      <c r="N90" s="1060">
        <v>0.1</v>
      </c>
      <c r="O90" s="923"/>
      <c r="R90" s="918" t="s">
        <v>5</v>
      </c>
    </row>
    <row r="91" spans="2:18" s="918" customFormat="1" ht="15.5">
      <c r="B91" s="1210"/>
      <c r="C91" s="1495" t="s">
        <v>1115</v>
      </c>
      <c r="D91" s="1495" t="s">
        <v>1128</v>
      </c>
      <c r="E91" s="1496" t="s">
        <v>5</v>
      </c>
      <c r="F91" s="1497">
        <v>0</v>
      </c>
      <c r="G91" s="1060">
        <v>0</v>
      </c>
      <c r="H91" s="1060">
        <v>0</v>
      </c>
      <c r="I91" s="1060">
        <v>0</v>
      </c>
      <c r="J91" s="1060">
        <v>0.02</v>
      </c>
      <c r="K91" s="1060">
        <v>0.05</v>
      </c>
      <c r="L91" s="1060">
        <v>7.2333333333333333E-2</v>
      </c>
      <c r="M91" s="1060">
        <v>8.6166666666666669E-2</v>
      </c>
      <c r="N91" s="1060">
        <v>0.1</v>
      </c>
      <c r="O91" s="923"/>
    </row>
    <row r="92" spans="2:18" s="918" customFormat="1" ht="15.5">
      <c r="B92" s="1210"/>
      <c r="C92" s="881" t="s">
        <v>1117</v>
      </c>
      <c r="D92" s="881" t="s">
        <v>1130</v>
      </c>
      <c r="E92" s="1306"/>
      <c r="F92" s="1302">
        <v>0.8</v>
      </c>
      <c r="G92" s="1302">
        <v>0.8</v>
      </c>
      <c r="H92" s="1302">
        <v>0.8</v>
      </c>
      <c r="I92" s="1302">
        <f t="shared" ref="I92:N92" si="1">1-I93</f>
        <v>0.72499999999999998</v>
      </c>
      <c r="J92" s="1302">
        <f t="shared" si="1"/>
        <v>0.64999999999999991</v>
      </c>
      <c r="K92" s="1302">
        <f t="shared" si="1"/>
        <v>0.57499999999999996</v>
      </c>
      <c r="L92" s="1302">
        <f t="shared" si="1"/>
        <v>0.5</v>
      </c>
      <c r="M92" s="1302">
        <f t="shared" si="1"/>
        <v>0.42500000000000004</v>
      </c>
      <c r="N92" s="1302">
        <f t="shared" si="1"/>
        <v>0.34999999999999987</v>
      </c>
      <c r="O92" s="923"/>
    </row>
    <row r="93" spans="2:18" s="918" customFormat="1" ht="15.5">
      <c r="B93" s="1210"/>
      <c r="C93" s="1495" t="s">
        <v>1117</v>
      </c>
      <c r="D93" s="1495" t="s">
        <v>1131</v>
      </c>
      <c r="E93" s="1496"/>
      <c r="F93" s="1497">
        <v>0.2</v>
      </c>
      <c r="G93" s="1497">
        <v>0.2</v>
      </c>
      <c r="H93" s="1497">
        <v>0.20000000000000007</v>
      </c>
      <c r="I93" s="1497">
        <v>0.27500000000000002</v>
      </c>
      <c r="J93" s="1497">
        <v>0.35000000000000003</v>
      </c>
      <c r="K93" s="1497">
        <v>0.42500000000000004</v>
      </c>
      <c r="L93" s="1497">
        <v>0.5</v>
      </c>
      <c r="M93" s="1497">
        <v>0.57499999999999996</v>
      </c>
      <c r="N93" s="1497">
        <v>0.65000000000000013</v>
      </c>
      <c r="O93" s="923"/>
    </row>
    <row r="94" spans="2:18" s="918" customFormat="1" ht="15.5">
      <c r="B94" s="1210"/>
      <c r="C94" s="908" t="s">
        <v>1119</v>
      </c>
      <c r="D94" s="908" t="s">
        <v>1119</v>
      </c>
      <c r="E94" s="1499"/>
      <c r="F94" s="1500">
        <v>1</v>
      </c>
      <c r="G94" s="1500">
        <v>1</v>
      </c>
      <c r="H94" s="1500">
        <v>1</v>
      </c>
      <c r="I94" s="1500">
        <v>1</v>
      </c>
      <c r="J94" s="1500">
        <v>1</v>
      </c>
      <c r="K94" s="1500">
        <v>1</v>
      </c>
      <c r="L94" s="1500">
        <v>1</v>
      </c>
      <c r="M94" s="1500">
        <v>1</v>
      </c>
      <c r="N94" s="1500">
        <v>1</v>
      </c>
      <c r="O94" s="923"/>
    </row>
    <row r="95" spans="2:18" s="918" customFormat="1" ht="15.5">
      <c r="B95" s="1210"/>
      <c r="C95" s="65"/>
      <c r="D95" s="117"/>
      <c r="E95" s="103"/>
      <c r="F95" s="1299"/>
      <c r="G95" s="1300"/>
      <c r="H95" s="1300"/>
      <c r="I95" s="1300"/>
      <c r="J95" s="77"/>
      <c r="K95" s="77"/>
      <c r="L95" s="77"/>
      <c r="M95" s="77"/>
      <c r="N95" s="77"/>
      <c r="O95" s="923"/>
    </row>
    <row r="96" spans="2:18" s="918" customFormat="1" ht="15.5">
      <c r="B96" s="1210"/>
      <c r="C96" s="84" t="s">
        <v>1134</v>
      </c>
      <c r="D96" s="117"/>
      <c r="E96" s="103"/>
      <c r="F96" s="1299"/>
      <c r="G96" s="1300"/>
      <c r="H96" s="1300"/>
      <c r="I96" s="1300"/>
      <c r="J96" s="77"/>
      <c r="K96" s="77"/>
      <c r="L96" s="77"/>
      <c r="M96" s="77"/>
      <c r="N96" s="77" t="s">
        <v>1124</v>
      </c>
      <c r="O96" s="923"/>
    </row>
    <row r="97" spans="2:15" s="918" customFormat="1" ht="15.5">
      <c r="B97" s="1210"/>
      <c r="C97" s="943"/>
      <c r="D97" s="103"/>
      <c r="E97" s="1256"/>
      <c r="F97" s="1299"/>
      <c r="G97" s="1300"/>
      <c r="H97" s="1300"/>
      <c r="I97" s="1300"/>
      <c r="J97" s="77"/>
      <c r="K97" s="77"/>
      <c r="L97" s="77"/>
      <c r="M97" s="77"/>
      <c r="N97" s="77"/>
      <c r="O97" s="923"/>
    </row>
    <row r="98" spans="2:15" s="918" customFormat="1" ht="15.5">
      <c r="B98" s="1210"/>
      <c r="C98" s="878" t="s">
        <v>987</v>
      </c>
      <c r="D98" s="878" t="s">
        <v>44</v>
      </c>
      <c r="E98" s="878" t="s">
        <v>30</v>
      </c>
      <c r="F98" s="87">
        <v>2013</v>
      </c>
      <c r="G98" s="87">
        <v>2015</v>
      </c>
      <c r="H98" s="87">
        <v>2020</v>
      </c>
      <c r="I98" s="87">
        <v>2025</v>
      </c>
      <c r="J98" s="87">
        <v>2030</v>
      </c>
      <c r="K98" s="87">
        <v>2035</v>
      </c>
      <c r="L98" s="87">
        <v>2040</v>
      </c>
      <c r="M98" s="87">
        <v>2045</v>
      </c>
      <c r="N98" s="87">
        <v>2050</v>
      </c>
      <c r="O98" s="923"/>
    </row>
    <row r="99" spans="2:15" s="918" customFormat="1" ht="15.5">
      <c r="B99" s="1210"/>
      <c r="C99" s="915" t="s">
        <v>1111</v>
      </c>
      <c r="D99" s="915" t="s">
        <v>1111</v>
      </c>
      <c r="E99" s="914"/>
      <c r="F99" s="1302">
        <v>1</v>
      </c>
      <c r="G99" s="1302">
        <v>1</v>
      </c>
      <c r="H99" s="1302">
        <v>1</v>
      </c>
      <c r="I99" s="1302">
        <v>1</v>
      </c>
      <c r="J99" s="1302">
        <v>1</v>
      </c>
      <c r="K99" s="1302">
        <v>1</v>
      </c>
      <c r="L99" s="1302">
        <v>1</v>
      </c>
      <c r="M99" s="1302">
        <v>1</v>
      </c>
      <c r="N99" s="1302">
        <v>1</v>
      </c>
      <c r="O99" s="923"/>
    </row>
    <row r="100" spans="2:15" s="918" customFormat="1" ht="15.5">
      <c r="B100" s="1210"/>
      <c r="C100" s="881" t="s">
        <v>1113</v>
      </c>
      <c r="D100" s="881" t="s">
        <v>1125</v>
      </c>
      <c r="E100" s="1306"/>
      <c r="F100" s="1302">
        <v>1</v>
      </c>
      <c r="G100" s="1302">
        <v>1</v>
      </c>
      <c r="H100" s="1302">
        <v>0.97</v>
      </c>
      <c r="I100" s="1302">
        <v>0.66</v>
      </c>
      <c r="J100" s="1060">
        <v>0.34</v>
      </c>
      <c r="K100" s="1302">
        <v>0.26</v>
      </c>
      <c r="L100" s="1302">
        <v>0.18</v>
      </c>
      <c r="M100" s="1302">
        <v>0.09</v>
      </c>
      <c r="N100" s="1302">
        <v>0</v>
      </c>
      <c r="O100" s="923"/>
    </row>
    <row r="101" spans="2:15" s="918" customFormat="1" ht="15.5">
      <c r="B101" s="1210"/>
      <c r="C101" s="103" t="s">
        <v>1113</v>
      </c>
      <c r="D101" s="103" t="s">
        <v>1126</v>
      </c>
      <c r="E101" s="1256" t="s">
        <v>5</v>
      </c>
      <c r="F101" s="1060">
        <v>0</v>
      </c>
      <c r="G101" s="1060">
        <v>0</v>
      </c>
      <c r="H101" s="1060">
        <v>0.01</v>
      </c>
      <c r="I101" s="1060">
        <v>0.23</v>
      </c>
      <c r="J101" s="1060">
        <v>0.44500000000000001</v>
      </c>
      <c r="K101" s="1060">
        <v>0.38250000000000001</v>
      </c>
      <c r="L101" s="1060">
        <v>0.32</v>
      </c>
      <c r="M101" s="1060">
        <v>0.16</v>
      </c>
      <c r="N101" s="1060">
        <v>0</v>
      </c>
      <c r="O101" s="923"/>
    </row>
    <row r="102" spans="2:15" s="918" customFormat="1" ht="15.5">
      <c r="B102" s="1210"/>
      <c r="C102" s="103" t="s">
        <v>1113</v>
      </c>
      <c r="D102" s="103" t="s">
        <v>1127</v>
      </c>
      <c r="E102" s="1256"/>
      <c r="F102" s="1060">
        <v>0</v>
      </c>
      <c r="G102" s="1060">
        <v>0</v>
      </c>
      <c r="H102" s="1060">
        <v>0.02</v>
      </c>
      <c r="I102" s="1060">
        <v>9.9999999999999992E-2</v>
      </c>
      <c r="J102" s="1060">
        <v>0.18</v>
      </c>
      <c r="K102" s="1060">
        <v>0.29000000000000004</v>
      </c>
      <c r="L102" s="1060">
        <v>0.4</v>
      </c>
      <c r="M102" s="1060">
        <v>0.60000000000000009</v>
      </c>
      <c r="N102" s="1060">
        <v>0.8</v>
      </c>
      <c r="O102" s="923"/>
    </row>
    <row r="103" spans="2:15" s="918" customFormat="1" ht="15.5">
      <c r="B103" s="1210"/>
      <c r="C103" s="1495" t="s">
        <v>1113</v>
      </c>
      <c r="D103" s="1495" t="s">
        <v>1128</v>
      </c>
      <c r="E103" s="1496"/>
      <c r="F103" s="1497">
        <v>0</v>
      </c>
      <c r="G103" s="1060">
        <v>0</v>
      </c>
      <c r="H103" s="1497">
        <v>0</v>
      </c>
      <c r="I103" s="1497">
        <v>0.02</v>
      </c>
      <c r="J103" s="1497">
        <v>3.5000000000000003E-2</v>
      </c>
      <c r="K103" s="1497">
        <v>6.7500000000000004E-2</v>
      </c>
      <c r="L103" s="1497">
        <v>0.1</v>
      </c>
      <c r="M103" s="1497">
        <v>0.15000000000000002</v>
      </c>
      <c r="N103" s="1497">
        <v>0.2</v>
      </c>
      <c r="O103" s="923"/>
    </row>
    <row r="104" spans="2:15" s="918" customFormat="1" ht="15.5">
      <c r="B104" s="1210"/>
      <c r="C104" s="881" t="s">
        <v>1115</v>
      </c>
      <c r="D104" s="881" t="s">
        <v>1125</v>
      </c>
      <c r="E104" s="1306"/>
      <c r="F104" s="1302">
        <v>1</v>
      </c>
      <c r="G104" s="1302">
        <v>1</v>
      </c>
      <c r="H104" s="1501">
        <v>0.86</v>
      </c>
      <c r="I104" s="1060">
        <v>0.54</v>
      </c>
      <c r="J104" s="1060">
        <v>0.32</v>
      </c>
      <c r="K104" s="1302">
        <v>0</v>
      </c>
      <c r="L104" s="1302">
        <v>0</v>
      </c>
      <c r="M104" s="1302">
        <v>0</v>
      </c>
      <c r="N104" s="1302">
        <v>0</v>
      </c>
      <c r="O104" s="923"/>
    </row>
    <row r="105" spans="2:15" s="4153" customFormat="1" ht="15.5">
      <c r="B105" s="4147"/>
      <c r="C105" s="103" t="s">
        <v>1115</v>
      </c>
      <c r="D105" s="103" t="s">
        <v>3434</v>
      </c>
      <c r="E105" s="1256"/>
      <c r="F105" s="1060">
        <v>0</v>
      </c>
      <c r="G105" s="1060">
        <v>0</v>
      </c>
      <c r="H105" s="1060">
        <v>0</v>
      </c>
      <c r="I105" s="1060">
        <v>0</v>
      </c>
      <c r="J105" s="1060">
        <v>0</v>
      </c>
      <c r="K105" s="1060">
        <v>0</v>
      </c>
      <c r="L105" s="1060">
        <v>0</v>
      </c>
      <c r="M105" s="1060">
        <v>0</v>
      </c>
      <c r="N105" s="1060">
        <v>0</v>
      </c>
      <c r="O105" s="922"/>
    </row>
    <row r="106" spans="2:15" s="918" customFormat="1" ht="15.5">
      <c r="B106" s="1210"/>
      <c r="C106" s="103" t="s">
        <v>1115</v>
      </c>
      <c r="D106" s="103" t="s">
        <v>1129</v>
      </c>
      <c r="E106" s="1256"/>
      <c r="F106" s="1060">
        <v>0</v>
      </c>
      <c r="G106" s="1060">
        <v>0</v>
      </c>
      <c r="H106" s="1060">
        <v>0.1</v>
      </c>
      <c r="I106" s="1060">
        <v>0.4</v>
      </c>
      <c r="J106" s="1060">
        <v>0.6</v>
      </c>
      <c r="K106" s="1060">
        <v>0.74750000000000005</v>
      </c>
      <c r="L106" s="1060">
        <v>0.67</v>
      </c>
      <c r="M106" s="1060">
        <v>0.59000000000000008</v>
      </c>
      <c r="N106" s="1060">
        <v>0.51</v>
      </c>
      <c r="O106" s="923" t="s">
        <v>5</v>
      </c>
    </row>
    <row r="107" spans="2:15" s="918" customFormat="1" ht="15.5">
      <c r="B107" s="1210"/>
      <c r="C107" s="103" t="s">
        <v>1115</v>
      </c>
      <c r="D107" s="103" t="s">
        <v>1127</v>
      </c>
      <c r="E107" s="1256"/>
      <c r="F107" s="1060">
        <v>0</v>
      </c>
      <c r="G107" s="1060">
        <v>0</v>
      </c>
      <c r="H107" s="1060">
        <v>0.02</v>
      </c>
      <c r="I107" s="1060">
        <v>0.03</v>
      </c>
      <c r="J107" s="1060">
        <v>0.04</v>
      </c>
      <c r="K107" s="1060">
        <v>0.12625</v>
      </c>
      <c r="L107" s="1060">
        <v>0.16500000000000001</v>
      </c>
      <c r="M107" s="1060">
        <v>0.20500000000000002</v>
      </c>
      <c r="N107" s="1060">
        <v>0.245</v>
      </c>
      <c r="O107" s="923"/>
    </row>
    <row r="108" spans="2:15" s="918" customFormat="1" ht="15.5">
      <c r="B108" s="1210"/>
      <c r="C108" s="1495" t="s">
        <v>1115</v>
      </c>
      <c r="D108" s="1495" t="s">
        <v>1128</v>
      </c>
      <c r="E108" s="1496"/>
      <c r="F108" s="1497">
        <v>0</v>
      </c>
      <c r="G108" s="1060">
        <v>0</v>
      </c>
      <c r="H108" s="1060">
        <v>0.02</v>
      </c>
      <c r="I108" s="1060">
        <v>0.03</v>
      </c>
      <c r="J108" s="1060">
        <v>0.04</v>
      </c>
      <c r="K108" s="1060">
        <v>0.12625</v>
      </c>
      <c r="L108" s="1060">
        <v>0.16500000000000001</v>
      </c>
      <c r="M108" s="1060">
        <v>0.20500000000000002</v>
      </c>
      <c r="N108" s="1060">
        <v>0.245</v>
      </c>
      <c r="O108" s="923"/>
    </row>
    <row r="109" spans="2:15" s="918" customFormat="1" ht="15.5">
      <c r="B109" s="1210"/>
      <c r="C109" s="881" t="s">
        <v>1117</v>
      </c>
      <c r="D109" s="881" t="s">
        <v>1130</v>
      </c>
      <c r="E109" s="1306"/>
      <c r="F109" s="1302">
        <v>0.8</v>
      </c>
      <c r="G109" s="1302">
        <v>0.8</v>
      </c>
      <c r="H109" s="1302">
        <v>0.8</v>
      </c>
      <c r="I109" s="1302">
        <v>0.69</v>
      </c>
      <c r="J109" s="1302">
        <v>0.57999999999999996</v>
      </c>
      <c r="K109" s="1302">
        <v>0.47499999999999998</v>
      </c>
      <c r="L109" s="1302">
        <v>0.37</v>
      </c>
      <c r="M109" s="1302">
        <v>0.26</v>
      </c>
      <c r="N109" s="1302">
        <v>0.15</v>
      </c>
      <c r="O109" s="923"/>
    </row>
    <row r="110" spans="2:15" s="918" customFormat="1" ht="15.5">
      <c r="B110" s="1210"/>
      <c r="C110" s="1495" t="s">
        <v>1117</v>
      </c>
      <c r="D110" s="1495" t="s">
        <v>1131</v>
      </c>
      <c r="E110" s="1496"/>
      <c r="F110" s="1497">
        <v>0.2</v>
      </c>
      <c r="G110" s="1497">
        <v>0.2</v>
      </c>
      <c r="H110" s="1497">
        <v>0.19999999999999996</v>
      </c>
      <c r="I110" s="1497">
        <v>0.30833333333333335</v>
      </c>
      <c r="J110" s="1497">
        <v>0.41666666666666669</v>
      </c>
      <c r="K110" s="1497">
        <v>0.52500000000000002</v>
      </c>
      <c r="L110" s="1497">
        <v>0.6333333333333333</v>
      </c>
      <c r="M110" s="1497">
        <v>0.7416666666666667</v>
      </c>
      <c r="N110" s="1497">
        <v>0.85000000000000009</v>
      </c>
      <c r="O110" s="923"/>
    </row>
    <row r="111" spans="2:15" s="918" customFormat="1" ht="15.5">
      <c r="B111" s="1210"/>
      <c r="C111" s="908" t="s">
        <v>1119</v>
      </c>
      <c r="D111" s="908" t="s">
        <v>1119</v>
      </c>
      <c r="E111" s="1499"/>
      <c r="F111" s="1500">
        <v>1</v>
      </c>
      <c r="G111" s="1500">
        <v>1</v>
      </c>
      <c r="H111" s="1500">
        <v>1</v>
      </c>
      <c r="I111" s="1500">
        <v>1</v>
      </c>
      <c r="J111" s="1500">
        <v>1</v>
      </c>
      <c r="K111" s="1500">
        <v>1</v>
      </c>
      <c r="L111" s="1500">
        <v>1</v>
      </c>
      <c r="M111" s="1500">
        <v>1</v>
      </c>
      <c r="N111" s="1500">
        <v>1</v>
      </c>
      <c r="O111" s="923"/>
    </row>
    <row r="112" spans="2:15" s="918" customFormat="1" ht="15.5">
      <c r="B112" s="1210"/>
      <c r="C112" s="65"/>
      <c r="D112" s="117"/>
      <c r="E112" s="103"/>
      <c r="F112" s="1299"/>
      <c r="G112" s="1300"/>
      <c r="H112" s="1300"/>
      <c r="I112" s="1300"/>
      <c r="J112" s="77"/>
      <c r="K112" s="77"/>
      <c r="L112" s="77"/>
      <c r="M112" s="77"/>
      <c r="N112" s="77"/>
      <c r="O112" s="923"/>
    </row>
    <row r="113" spans="1:15" s="918" customFormat="1" ht="15.5">
      <c r="B113" s="1210"/>
      <c r="C113" s="84" t="s">
        <v>1135</v>
      </c>
      <c r="D113" s="103"/>
      <c r="E113" s="103"/>
      <c r="F113" s="1299"/>
      <c r="G113" s="1300"/>
      <c r="H113" s="1300"/>
      <c r="I113" s="1300"/>
      <c r="J113" s="77"/>
      <c r="K113" s="77"/>
      <c r="L113" s="77"/>
      <c r="M113" s="77"/>
      <c r="N113" s="77"/>
      <c r="O113" s="923"/>
    </row>
    <row r="114" spans="1:15" s="918" customFormat="1">
      <c r="B114" s="130"/>
      <c r="C114" s="49"/>
      <c r="D114" s="67"/>
      <c r="E114" s="67"/>
      <c r="F114" s="67"/>
      <c r="G114" s="67"/>
      <c r="H114" s="67"/>
      <c r="I114" s="67"/>
      <c r="J114" s="67"/>
      <c r="K114" s="67"/>
      <c r="L114" s="67"/>
      <c r="M114" s="67"/>
      <c r="N114" s="67"/>
      <c r="O114" s="923"/>
    </row>
    <row r="115" spans="1:15" ht="15.5">
      <c r="B115" s="55"/>
      <c r="C115" s="878" t="s">
        <v>8</v>
      </c>
      <c r="D115" s="878" t="s">
        <v>34</v>
      </c>
      <c r="E115" s="878" t="s">
        <v>30</v>
      </c>
      <c r="F115" s="87" t="s">
        <v>1127</v>
      </c>
      <c r="G115" s="1265" t="s">
        <v>1128</v>
      </c>
      <c r="H115" s="911"/>
      <c r="I115" s="911"/>
      <c r="J115" s="911"/>
      <c r="K115" s="911"/>
      <c r="L115" s="911"/>
      <c r="M115" s="911"/>
      <c r="N115" s="911"/>
      <c r="O115" s="923"/>
    </row>
    <row r="116" spans="1:15" ht="15.5">
      <c r="B116" s="55"/>
      <c r="C116" s="65">
        <v>1</v>
      </c>
      <c r="D116" s="103"/>
      <c r="E116" s="1256"/>
      <c r="F116" s="1502">
        <v>1</v>
      </c>
      <c r="G116" s="2344">
        <v>0</v>
      </c>
      <c r="H116" s="1503"/>
      <c r="I116" s="1503"/>
      <c r="J116" s="1503"/>
      <c r="K116" s="1503"/>
      <c r="L116" s="1503"/>
      <c r="M116" s="1503"/>
      <c r="N116" s="1503"/>
      <c r="O116" s="923"/>
    </row>
    <row r="117" spans="1:15" ht="15.5">
      <c r="B117" s="55"/>
      <c r="C117" s="65">
        <v>2</v>
      </c>
      <c r="D117" s="103"/>
      <c r="E117" s="1256"/>
      <c r="F117" s="1502">
        <v>0.8</v>
      </c>
      <c r="G117" s="2345">
        <v>0.2</v>
      </c>
      <c r="H117" s="1503"/>
      <c r="I117" s="1504"/>
      <c r="J117" s="1503"/>
      <c r="K117" s="1504" t="s">
        <v>5</v>
      </c>
      <c r="L117" s="1503"/>
      <c r="M117" s="1503"/>
      <c r="N117" s="1503"/>
      <c r="O117" s="923"/>
    </row>
    <row r="118" spans="1:15" ht="15.5">
      <c r="B118" s="55"/>
      <c r="C118" s="65">
        <v>3</v>
      </c>
      <c r="D118" s="103"/>
      <c r="E118" s="1256"/>
      <c r="F118" s="1502">
        <v>0.2</v>
      </c>
      <c r="G118" s="2345">
        <v>0.8</v>
      </c>
      <c r="H118" s="1504"/>
      <c r="I118" s="1504" t="s">
        <v>5</v>
      </c>
      <c r="J118" s="1504"/>
      <c r="K118" s="1504"/>
      <c r="L118" s="1504"/>
      <c r="M118" s="1504"/>
      <c r="N118" s="1504"/>
      <c r="O118" s="923"/>
    </row>
    <row r="119" spans="1:15" ht="15.5">
      <c r="B119" s="55"/>
      <c r="C119" s="887">
        <v>4</v>
      </c>
      <c r="D119" s="888"/>
      <c r="E119" s="888"/>
      <c r="F119" s="1505">
        <v>0</v>
      </c>
      <c r="G119" s="2346">
        <v>1</v>
      </c>
      <c r="H119" s="1504"/>
      <c r="I119" s="1504"/>
      <c r="J119" s="1504"/>
      <c r="K119" s="1504"/>
      <c r="L119" s="1504"/>
      <c r="M119" s="1504"/>
      <c r="N119" s="1504"/>
      <c r="O119" s="923"/>
    </row>
    <row r="120" spans="1:15" s="918" customFormat="1">
      <c r="B120" s="130"/>
      <c r="C120" s="49"/>
      <c r="D120" s="67"/>
      <c r="E120" s="67"/>
      <c r="F120" s="67"/>
      <c r="G120" s="67"/>
      <c r="H120" s="67"/>
      <c r="I120" s="67"/>
      <c r="J120" s="67"/>
      <c r="K120" s="67"/>
      <c r="L120" s="67"/>
      <c r="M120" s="67"/>
      <c r="N120" s="67"/>
      <c r="O120" s="923"/>
    </row>
    <row r="121" spans="1:15" s="918" customFormat="1" ht="15.5">
      <c r="B121" s="1210"/>
      <c r="C121" s="3850" t="s">
        <v>63</v>
      </c>
      <c r="D121" s="195"/>
      <c r="E121" s="103"/>
      <c r="F121" s="1299"/>
      <c r="G121" s="1300"/>
      <c r="H121" s="1300"/>
      <c r="I121" s="1300"/>
      <c r="J121" s="77"/>
      <c r="K121" s="77"/>
      <c r="L121" s="77"/>
      <c r="M121" s="77"/>
      <c r="N121" s="77"/>
      <c r="O121" s="923"/>
    </row>
    <row r="122" spans="1:15">
      <c r="B122" s="45"/>
      <c r="C122" s="920" t="s">
        <v>64</v>
      </c>
      <c r="D122" s="3848" t="s">
        <v>1833</v>
      </c>
      <c r="E122" s="67"/>
      <c r="F122" s="67"/>
      <c r="G122" s="67"/>
      <c r="H122" s="67"/>
      <c r="I122" s="67"/>
      <c r="J122" s="67"/>
      <c r="K122" s="67"/>
      <c r="L122" s="67"/>
      <c r="M122" s="67"/>
      <c r="N122" s="67"/>
      <c r="O122" s="923"/>
    </row>
    <row r="123" spans="1:15">
      <c r="B123" s="45"/>
      <c r="C123" s="2694"/>
      <c r="D123" s="2167" t="s">
        <v>3056</v>
      </c>
      <c r="E123" s="1072"/>
      <c r="F123" s="67"/>
      <c r="G123" s="67"/>
      <c r="H123" s="67"/>
      <c r="I123" s="67"/>
      <c r="J123" s="67"/>
      <c r="K123" s="67"/>
      <c r="L123" s="67"/>
      <c r="M123" s="67"/>
      <c r="N123" s="67"/>
      <c r="O123" s="923"/>
    </row>
    <row r="124" spans="1:15">
      <c r="A124" t="s">
        <v>5</v>
      </c>
      <c r="B124" s="45"/>
      <c r="C124" s="2694"/>
      <c r="D124" s="3852" t="s">
        <v>3057</v>
      </c>
      <c r="E124" s="1072"/>
      <c r="F124" s="67"/>
      <c r="G124" s="67"/>
      <c r="H124" s="67"/>
      <c r="I124" s="67"/>
      <c r="J124" s="67"/>
      <c r="K124" s="67"/>
      <c r="L124" s="67"/>
      <c r="M124" s="67"/>
      <c r="N124" s="67"/>
      <c r="O124" s="923"/>
    </row>
    <row r="125" spans="1:15">
      <c r="B125" s="45"/>
      <c r="C125" s="45"/>
      <c r="D125" s="4148" t="s">
        <v>3438</v>
      </c>
      <c r="E125" s="1072"/>
      <c r="F125" s="67"/>
      <c r="G125" s="67"/>
      <c r="H125" s="67"/>
      <c r="I125" s="67"/>
      <c r="J125" s="67"/>
      <c r="K125" s="67"/>
      <c r="L125" s="67"/>
      <c r="M125" s="67"/>
      <c r="N125" s="67"/>
      <c r="O125" s="923"/>
    </row>
    <row r="126" spans="1:15">
      <c r="B126" s="45"/>
      <c r="C126" s="2694" t="s">
        <v>66</v>
      </c>
      <c r="D126" s="2167" t="s">
        <v>3174</v>
      </c>
      <c r="E126" s="1072"/>
      <c r="F126" s="67"/>
      <c r="G126" s="67"/>
      <c r="H126" s="67"/>
      <c r="I126" s="67"/>
      <c r="J126" s="67"/>
      <c r="K126" s="67"/>
      <c r="L126" s="67"/>
      <c r="M126" s="67"/>
      <c r="N126" s="67"/>
      <c r="O126" s="923"/>
    </row>
    <row r="127" spans="1:15">
      <c r="B127" s="45"/>
      <c r="C127" s="2694" t="s">
        <v>105</v>
      </c>
      <c r="D127" s="2167" t="s">
        <v>1136</v>
      </c>
      <c r="E127" s="1072"/>
      <c r="F127" s="67"/>
      <c r="G127" s="67"/>
      <c r="H127" s="67"/>
      <c r="I127" s="67"/>
      <c r="J127" s="67"/>
      <c r="K127" s="67"/>
      <c r="L127" s="67"/>
      <c r="M127" s="67"/>
      <c r="N127" s="67"/>
      <c r="O127" s="923"/>
    </row>
    <row r="128" spans="1:15">
      <c r="B128" s="45"/>
      <c r="C128" s="2694"/>
      <c r="D128" s="2167" t="s">
        <v>3054</v>
      </c>
      <c r="E128" s="2167"/>
      <c r="F128" s="59"/>
      <c r="G128" s="67"/>
      <c r="H128" s="67"/>
      <c r="I128" s="67"/>
      <c r="J128" s="67"/>
      <c r="K128" s="67"/>
      <c r="L128" s="67"/>
      <c r="M128" s="67"/>
      <c r="N128" s="67"/>
      <c r="O128" s="923"/>
    </row>
    <row r="129" spans="1:28" ht="15.5">
      <c r="B129" s="1097"/>
      <c r="C129" s="2694"/>
      <c r="D129" s="2167" t="s">
        <v>1137</v>
      </c>
      <c r="E129" s="103"/>
      <c r="F129" s="59"/>
      <c r="G129" s="1259"/>
      <c r="H129" s="1259"/>
      <c r="I129" s="1259"/>
      <c r="J129" s="1259"/>
      <c r="K129" s="1259"/>
      <c r="L129" s="1259"/>
      <c r="M129" s="1259"/>
      <c r="N129" s="1259"/>
      <c r="O129" s="923"/>
    </row>
    <row r="131" spans="1:28" s="6" customFormat="1" ht="23.5">
      <c r="A131" s="40"/>
      <c r="B131" s="869" t="s">
        <v>69</v>
      </c>
      <c r="C131" s="870"/>
      <c r="D131" s="870"/>
      <c r="E131" s="870"/>
      <c r="F131" s="870"/>
      <c r="G131" s="870"/>
      <c r="H131" s="870"/>
      <c r="I131" s="870"/>
      <c r="J131" s="870"/>
      <c r="K131" s="870"/>
      <c r="L131" s="870"/>
      <c r="M131" s="870"/>
      <c r="N131" s="870"/>
      <c r="O131" s="871"/>
      <c r="Q131" s="918"/>
      <c r="R131" s="918" t="s">
        <v>3424</v>
      </c>
      <c r="S131" s="918"/>
      <c r="T131" s="918"/>
      <c r="U131" s="4137"/>
    </row>
    <row r="132" spans="1:28">
      <c r="B132" s="105"/>
      <c r="C132" s="67"/>
      <c r="D132" s="67"/>
      <c r="E132" s="67"/>
      <c r="F132" s="67"/>
      <c r="G132" s="67"/>
      <c r="H132" s="67"/>
      <c r="I132" s="67"/>
      <c r="J132" s="67"/>
      <c r="K132" s="67"/>
      <c r="L132" s="67"/>
      <c r="M132" s="67"/>
      <c r="N132" s="67"/>
      <c r="O132" s="876"/>
      <c r="Q132" s="918" t="s">
        <v>3421</v>
      </c>
      <c r="R132" s="918">
        <v>4.0999999999999996</v>
      </c>
      <c r="S132" s="4139">
        <f>R132/0.01125</f>
        <v>364.4444444444444</v>
      </c>
      <c r="T132" s="4136">
        <f>S132*0.0036</f>
        <v>1.3119999999999998</v>
      </c>
      <c r="U132" s="4137">
        <f>S132/10^3</f>
        <v>0.3644444444444444</v>
      </c>
    </row>
    <row r="133" spans="1:28" s="918" customFormat="1">
      <c r="B133" s="130"/>
      <c r="C133" s="49" t="s">
        <v>1138</v>
      </c>
      <c r="D133" s="67"/>
      <c r="E133" s="51"/>
      <c r="F133" s="67"/>
      <c r="G133" s="1300"/>
      <c r="H133" s="1300"/>
      <c r="I133" s="185"/>
      <c r="J133" s="1060"/>
      <c r="K133" s="1060"/>
      <c r="L133" s="1060"/>
      <c r="M133" s="1060"/>
      <c r="N133" s="185" t="s">
        <v>1139</v>
      </c>
      <c r="Q133" s="918" t="s">
        <v>3422</v>
      </c>
      <c r="R133" s="918">
        <v>3.6</v>
      </c>
      <c r="S133" s="4139">
        <f>R133/0.01</f>
        <v>360</v>
      </c>
      <c r="T133" s="4136">
        <f>S133*0.0036</f>
        <v>1.296</v>
      </c>
      <c r="U133" s="4137">
        <f>S133/10^3</f>
        <v>0.36</v>
      </c>
    </row>
    <row r="134" spans="1:28" s="918" customFormat="1" ht="15.5">
      <c r="B134" s="55"/>
      <c r="C134" s="67"/>
      <c r="D134" s="67"/>
      <c r="E134" s="67"/>
      <c r="F134" s="67"/>
      <c r="G134" s="1300"/>
      <c r="H134" s="1300"/>
      <c r="I134" s="1300"/>
      <c r="J134" s="1060"/>
      <c r="K134" s="1060"/>
      <c r="L134" s="1060"/>
      <c r="M134" s="1060"/>
      <c r="N134" s="1060"/>
    </row>
    <row r="135" spans="1:28" s="918" customFormat="1" ht="15.5">
      <c r="B135" s="55"/>
      <c r="C135" s="900" t="s">
        <v>43</v>
      </c>
      <c r="D135" s="878" t="s">
        <v>987</v>
      </c>
      <c r="E135" s="878" t="s">
        <v>30</v>
      </c>
      <c r="F135" s="87">
        <v>2013</v>
      </c>
      <c r="G135" s="87">
        <v>2015</v>
      </c>
      <c r="H135" s="87">
        <v>2020</v>
      </c>
      <c r="I135" s="87">
        <v>2025</v>
      </c>
      <c r="J135" s="87">
        <v>2030</v>
      </c>
      <c r="K135" s="87">
        <v>2035</v>
      </c>
      <c r="L135" s="87">
        <v>2040</v>
      </c>
      <c r="M135" s="87">
        <v>2045</v>
      </c>
      <c r="N135" s="87">
        <v>2050</v>
      </c>
    </row>
    <row r="136" spans="1:28" s="918" customFormat="1" ht="15.5">
      <c r="B136" s="55"/>
      <c r="C136" s="932" t="s">
        <v>1111</v>
      </c>
      <c r="D136" s="103" t="s">
        <v>1112</v>
      </c>
      <c r="E136" s="914"/>
      <c r="F136" s="1506">
        <v>150</v>
      </c>
      <c r="G136" s="1507">
        <v>141.30412740984818</v>
      </c>
      <c r="H136" s="1507">
        <v>135.86920704100331</v>
      </c>
      <c r="I136" s="1507">
        <v>130.43428667215841</v>
      </c>
      <c r="J136" s="1508">
        <v>124.99936630331354</v>
      </c>
      <c r="K136" s="1508">
        <v>119.56444593446865</v>
      </c>
      <c r="L136" s="1508">
        <v>114.12952556562377</v>
      </c>
      <c r="M136" s="1508">
        <v>108.69460519677888</v>
      </c>
      <c r="N136" s="1506">
        <v>103.259684827934</v>
      </c>
    </row>
    <row r="137" spans="1:28" s="918" customFormat="1" ht="15.5">
      <c r="B137" s="55"/>
      <c r="C137" s="104" t="s">
        <v>1113</v>
      </c>
      <c r="D137" s="103" t="s">
        <v>1114</v>
      </c>
      <c r="E137" s="1256"/>
      <c r="F137" s="1503">
        <v>16763</v>
      </c>
      <c r="G137" s="1507">
        <v>16763</v>
      </c>
      <c r="H137" s="1507">
        <v>16763</v>
      </c>
      <c r="I137" s="1507">
        <v>16763</v>
      </c>
      <c r="J137" s="1508">
        <v>16763</v>
      </c>
      <c r="K137" s="1508">
        <v>16763</v>
      </c>
      <c r="L137" s="1508">
        <v>16763</v>
      </c>
      <c r="M137" s="1508">
        <v>16763</v>
      </c>
      <c r="N137" s="1503">
        <v>16763</v>
      </c>
      <c r="Q137"/>
      <c r="R137"/>
      <c r="S137"/>
      <c r="T137"/>
      <c r="U137"/>
    </row>
    <row r="138" spans="1:28" s="918" customFormat="1" ht="15.5">
      <c r="B138" s="55"/>
      <c r="C138" s="104" t="s">
        <v>1115</v>
      </c>
      <c r="D138" s="103" t="s">
        <v>1116</v>
      </c>
      <c r="E138" s="1256"/>
      <c r="F138" s="1503">
        <v>36014</v>
      </c>
      <c r="G138" s="1509">
        <v>36014</v>
      </c>
      <c r="H138" s="1509">
        <v>36014</v>
      </c>
      <c r="I138" s="1509">
        <v>36014</v>
      </c>
      <c r="J138" s="1508">
        <v>36014</v>
      </c>
      <c r="K138" s="1508">
        <v>36014</v>
      </c>
      <c r="L138" s="1508">
        <v>36014</v>
      </c>
      <c r="M138" s="1508">
        <v>36014</v>
      </c>
      <c r="N138" s="1503">
        <v>36014</v>
      </c>
      <c r="Q138"/>
      <c r="R138"/>
      <c r="S138"/>
      <c r="T138"/>
      <c r="U138"/>
    </row>
    <row r="139" spans="1:28" s="918" customFormat="1" ht="15.5">
      <c r="B139" s="55"/>
      <c r="C139" s="104" t="s">
        <v>1117</v>
      </c>
      <c r="D139" s="103" t="s">
        <v>1118</v>
      </c>
      <c r="E139" s="1256"/>
      <c r="F139" s="1503">
        <v>33445</v>
      </c>
      <c r="G139" s="1509">
        <v>33445</v>
      </c>
      <c r="H139" s="1509">
        <v>33445</v>
      </c>
      <c r="I139" s="1509">
        <v>33445</v>
      </c>
      <c r="J139" s="1508">
        <v>33445</v>
      </c>
      <c r="K139" s="1508">
        <v>33445</v>
      </c>
      <c r="L139" s="1508">
        <v>33445</v>
      </c>
      <c r="M139" s="1508">
        <v>33445</v>
      </c>
      <c r="N139" s="1503">
        <v>33445</v>
      </c>
      <c r="Q139"/>
      <c r="R139"/>
      <c r="S139"/>
      <c r="T139"/>
      <c r="U139"/>
      <c r="V139" s="4145"/>
    </row>
    <row r="140" spans="1:28" s="918" customFormat="1" ht="15.5">
      <c r="B140" s="55"/>
      <c r="C140" s="1470" t="s">
        <v>1119</v>
      </c>
      <c r="D140" s="888" t="s">
        <v>1120</v>
      </c>
      <c r="E140" s="888"/>
      <c r="F140" s="1510">
        <v>153450</v>
      </c>
      <c r="G140" s="1511">
        <v>153450</v>
      </c>
      <c r="H140" s="1511">
        <v>153450</v>
      </c>
      <c r="I140" s="1511">
        <v>153450</v>
      </c>
      <c r="J140" s="1512">
        <v>153450</v>
      </c>
      <c r="K140" s="1512">
        <v>153450</v>
      </c>
      <c r="L140" s="1512">
        <v>153450</v>
      </c>
      <c r="M140" s="1512">
        <v>153450</v>
      </c>
      <c r="N140" s="1510">
        <v>153450</v>
      </c>
      <c r="Q140"/>
      <c r="R140"/>
      <c r="S140"/>
      <c r="T140"/>
      <c r="U140"/>
    </row>
    <row r="141" spans="1:28" s="918" customFormat="1" ht="15.5">
      <c r="B141" s="1210"/>
      <c r="C141" s="943"/>
      <c r="D141" s="103"/>
      <c r="E141" s="1256"/>
      <c r="F141" s="1299"/>
      <c r="G141" s="1300"/>
      <c r="H141" s="1300"/>
      <c r="I141" s="1300"/>
      <c r="J141" s="77"/>
      <c r="K141" s="77"/>
      <c r="L141" s="77"/>
      <c r="M141" s="77"/>
      <c r="N141" s="77"/>
    </row>
    <row r="142" spans="1:28" s="918" customFormat="1" ht="15.5">
      <c r="B142" s="1210"/>
      <c r="C142" s="49" t="s">
        <v>3493</v>
      </c>
      <c r="D142" s="67"/>
      <c r="E142" s="51"/>
      <c r="F142" s="67" t="s">
        <v>3564</v>
      </c>
      <c r="G142" s="67" t="s">
        <v>5</v>
      </c>
      <c r="H142" s="67"/>
      <c r="I142" s="51"/>
      <c r="J142" s="77"/>
      <c r="K142" s="77"/>
      <c r="L142" s="77"/>
      <c r="M142" s="77"/>
      <c r="N142" s="77" t="str">
        <f>Preferences.EnergyUnits &amp; " / bn vehicle-km"</f>
        <v>TWh / bn vehicle-km</v>
      </c>
      <c r="R142" s="4152" t="s">
        <v>3418</v>
      </c>
      <c r="W142" s="4105" t="s">
        <v>3395</v>
      </c>
    </row>
    <row r="143" spans="1:28" s="918" customFormat="1" ht="15.5">
      <c r="B143" s="1210"/>
      <c r="C143" s="67"/>
      <c r="D143" s="67"/>
      <c r="E143" s="67"/>
      <c r="F143" s="67"/>
      <c r="G143" s="67"/>
      <c r="H143" s="67"/>
      <c r="I143" s="67"/>
      <c r="J143" s="77"/>
      <c r="K143" s="77"/>
      <c r="L143" s="77"/>
      <c r="M143" s="77"/>
      <c r="N143" s="77"/>
      <c r="Q143" s="4144"/>
      <c r="R143" s="4152" t="s">
        <v>3419</v>
      </c>
      <c r="S143" s="4152" t="s">
        <v>3420</v>
      </c>
      <c r="T143" s="4152" t="s">
        <v>3426</v>
      </c>
      <c r="U143" s="4152" t="s">
        <v>3423</v>
      </c>
      <c r="V143" s="377"/>
      <c r="W143" s="918" t="s">
        <v>3396</v>
      </c>
    </row>
    <row r="144" spans="1:28" s="918" customFormat="1" ht="15.5">
      <c r="B144" s="1210"/>
      <c r="C144" s="878" t="s">
        <v>987</v>
      </c>
      <c r="D144" s="878" t="s">
        <v>44</v>
      </c>
      <c r="E144" s="878" t="s">
        <v>30</v>
      </c>
      <c r="F144" s="87">
        <v>2013</v>
      </c>
      <c r="G144" s="87">
        <v>2015</v>
      </c>
      <c r="H144" s="87">
        <v>2020</v>
      </c>
      <c r="I144" s="87">
        <v>2025</v>
      </c>
      <c r="J144" s="87">
        <v>2030</v>
      </c>
      <c r="K144" s="87">
        <v>2035</v>
      </c>
      <c r="L144" s="87">
        <v>2040</v>
      </c>
      <c r="M144" s="87">
        <v>2045</v>
      </c>
      <c r="N144" s="87">
        <v>2050</v>
      </c>
      <c r="P144"/>
      <c r="Q144" s="918" t="s">
        <v>5</v>
      </c>
      <c r="R144" s="918" t="s">
        <v>3427</v>
      </c>
      <c r="V144"/>
      <c r="W144"/>
      <c r="X144"/>
      <c r="Y144"/>
      <c r="Z144"/>
      <c r="AA144"/>
      <c r="AB144"/>
    </row>
    <row r="145" spans="2:28" s="918" customFormat="1" ht="15.5">
      <c r="B145" s="1210"/>
      <c r="C145" s="881" t="s">
        <v>1113</v>
      </c>
      <c r="D145" s="881" t="s">
        <v>1125</v>
      </c>
      <c r="E145" s="1306" t="s">
        <v>3500</v>
      </c>
      <c r="F145" s="2418">
        <f>(Unit.TWh)*0.63</f>
        <v>0.63</v>
      </c>
      <c r="G145" s="2418">
        <f>(Unit.TWh)*0.6</f>
        <v>0.6</v>
      </c>
      <c r="H145" s="2418">
        <f>(Unit.TWh)*0.577827151040287</f>
        <v>0.57782715104028703</v>
      </c>
      <c r="I145" s="2418">
        <f>(Unit.TWh)*0.553189292533572</f>
        <v>0.55318929253357196</v>
      </c>
      <c r="J145" s="2418">
        <f>(Unit.TWh)*0.528551434026858</f>
        <v>0.528551434026858</v>
      </c>
      <c r="K145" s="2418">
        <f>(Unit.TWh)*0.503913575520143</f>
        <v>0.50391357552014304</v>
      </c>
      <c r="L145" s="2418">
        <f>(Unit.TWh)*0.479275717013429</f>
        <v>0.47927571701342903</v>
      </c>
      <c r="M145" s="2418">
        <f>(Unit.TWh)*0.454637858506714</f>
        <v>0.45463785850671401</v>
      </c>
      <c r="N145" s="2418">
        <f>(Unit.TWh)*0.43</f>
        <v>0.43</v>
      </c>
      <c r="P145"/>
      <c r="Q145" s="918" t="s">
        <v>3421</v>
      </c>
      <c r="R145" s="918">
        <v>5.6</v>
      </c>
      <c r="S145" s="4139">
        <f>R145/0.01125</f>
        <v>497.77777777777777</v>
      </c>
      <c r="T145" s="4136">
        <f>S145*0.0036</f>
        <v>1.792</v>
      </c>
      <c r="U145" s="4137">
        <f>S145/10^3</f>
        <v>0.49777777777777776</v>
      </c>
      <c r="V145" s="4135" t="s">
        <v>5</v>
      </c>
      <c r="W145"/>
      <c r="X145"/>
      <c r="Y145"/>
      <c r="Z145"/>
      <c r="AA145"/>
      <c r="AB145"/>
    </row>
    <row r="146" spans="2:28" s="918" customFormat="1" ht="15.5">
      <c r="B146" s="1210"/>
      <c r="C146" s="103" t="s">
        <v>1113</v>
      </c>
      <c r="D146" s="103" t="s">
        <v>1126</v>
      </c>
      <c r="E146" s="1256" t="s">
        <v>3500</v>
      </c>
      <c r="F146" s="2419">
        <f>(Unit.TWh)*0.1508</f>
        <v>0.15079999999999999</v>
      </c>
      <c r="G146" s="2419">
        <f>(Unit.TWh)*0.146598737083812</f>
        <v>0.14659873708381199</v>
      </c>
      <c r="H146" s="2419">
        <f>(Unit.TWh)*0.125713333333333</f>
        <v>0.12571333333333301</v>
      </c>
      <c r="I146" s="2419">
        <f>(Unit.TWh)*0.111710626911315</f>
        <v>0.111710626911315</v>
      </c>
      <c r="J146" s="2419">
        <f>(Unit.TWh)*0.104626245847176</f>
        <v>0.104626245847176</v>
      </c>
      <c r="K146" s="2419">
        <f>(Unit.TWh)*0.0954664855072464</f>
        <v>9.5466485507246401E-2</v>
      </c>
      <c r="L146" s="2419">
        <f>(Unit.TWh)*0.0834077380952381</f>
        <v>8.3407738095238104E-2</v>
      </c>
      <c r="M146" s="2419">
        <f>(Unit.TWh)*0.0697049356223176</f>
        <v>6.9704935622317596E-2</v>
      </c>
      <c r="N146" s="2419">
        <f>(Unit.TWh)*0.0668950749464668</f>
        <v>6.6895074946466807E-2</v>
      </c>
      <c r="Q146" s="918" t="s">
        <v>3422</v>
      </c>
      <c r="R146" s="918">
        <v>4.9000000000000004</v>
      </c>
      <c r="S146" s="4139">
        <f>R146/0.01</f>
        <v>490</v>
      </c>
      <c r="T146" s="4136">
        <f>S146*0.0036</f>
        <v>1.764</v>
      </c>
      <c r="U146" s="4137">
        <f>S146/10^3</f>
        <v>0.49</v>
      </c>
      <c r="V146"/>
    </row>
    <row r="147" spans="2:28" s="918" customFormat="1" ht="15.5">
      <c r="B147" s="1210"/>
      <c r="C147" s="881" t="s">
        <v>1115</v>
      </c>
      <c r="D147" s="881" t="s">
        <v>1125</v>
      </c>
      <c r="E147" s="1306"/>
      <c r="F147" s="2418">
        <f>(Unit.TJ)*12097</f>
        <v>3.3602777777777777</v>
      </c>
      <c r="G147" s="2418">
        <f>(Unit.TJ)*12097</f>
        <v>3.3602777777777777</v>
      </c>
      <c r="H147" s="2418">
        <f>(Unit.TJ)*12097</f>
        <v>3.3602777777777777</v>
      </c>
      <c r="I147" s="1515">
        <f>H147+(J147-H147)/(J$144-H$144)*(I$144-H$144)</f>
        <v>3.0791666666666666</v>
      </c>
      <c r="J147" s="1513">
        <f>(Unit.TJ)*10073</f>
        <v>2.7980555555555555</v>
      </c>
      <c r="K147" s="1515">
        <f>J147+(L147-J147)/(L$144-J$144)*(K$144-J$144)</f>
        <v>2.777222222222222</v>
      </c>
      <c r="L147" s="1513">
        <f>(Unit.TJ)*9923</f>
        <v>2.756388888888889</v>
      </c>
      <c r="M147" s="1515">
        <f>L147+(N147-L147)/(N$144-L$144)*(M$144-L$144)</f>
        <v>2.7355555555555555</v>
      </c>
      <c r="N147" s="1513">
        <f>(Unit.TJ)*9773</f>
        <v>2.714722222222222</v>
      </c>
      <c r="Q147" s="918" t="s">
        <v>5</v>
      </c>
      <c r="R147" s="918" t="s">
        <v>5</v>
      </c>
      <c r="U147" s="4137"/>
      <c r="V147"/>
    </row>
    <row r="148" spans="2:28" s="918" customFormat="1" ht="15.5">
      <c r="B148" s="1210"/>
      <c r="C148" s="103" t="s">
        <v>1115</v>
      </c>
      <c r="D148" s="103" t="s">
        <v>3434</v>
      </c>
      <c r="E148" s="4156" t="s">
        <v>3492</v>
      </c>
      <c r="F148" s="2419"/>
      <c r="G148" s="2419">
        <f>(Unit.TJ)*12097</f>
        <v>3.3602777777777777</v>
      </c>
      <c r="H148" s="2419">
        <f>(Unit.TJ)*12097</f>
        <v>3.3602777777777777</v>
      </c>
      <c r="I148" s="1516">
        <f>H148+(J148-H148)/(J$144-H$144)*(I$144-H$144)</f>
        <v>3.0791666666666666</v>
      </c>
      <c r="J148" s="1478">
        <f>(Unit.TJ)*10073</f>
        <v>2.7980555555555555</v>
      </c>
      <c r="K148" s="1516">
        <f>J148+(L148-J148)/(L$144-J$144)*(K$144-J$144)</f>
        <v>2.777222222222222</v>
      </c>
      <c r="L148" s="1478">
        <f>(Unit.TJ)*9923</f>
        <v>2.756388888888889</v>
      </c>
      <c r="M148" s="1516">
        <f>L148+(N148-L148)/(N$144-L$144)*(M$144-L$144)</f>
        <v>2.7355555555555555</v>
      </c>
      <c r="N148" s="1478">
        <f>(Unit.TJ)*9773</f>
        <v>2.714722222222222</v>
      </c>
      <c r="R148" s="918" t="s">
        <v>3425</v>
      </c>
      <c r="T148" s="4142"/>
      <c r="U148" s="4143" t="s">
        <v>3428</v>
      </c>
    </row>
    <row r="149" spans="2:28" s="918" customFormat="1" ht="15.5">
      <c r="B149" s="1210"/>
      <c r="C149" s="103" t="s">
        <v>1115</v>
      </c>
      <c r="D149" s="103" t="s">
        <v>1129</v>
      </c>
      <c r="E149" s="1256"/>
      <c r="F149" s="1514"/>
      <c r="G149" s="1516">
        <v>2.5490277777777779</v>
      </c>
      <c r="H149" s="2419">
        <f>(Unit.TJ)*8468</f>
        <v>2.3522222222222222</v>
      </c>
      <c r="I149" s="2420">
        <f>H149+(J149-H149)/(J$144-H$144)*(I$144-H$144)</f>
        <v>2.1554166666666665</v>
      </c>
      <c r="J149" s="2419">
        <f>(Unit.TJ)*7051</f>
        <v>1.9586111111111111</v>
      </c>
      <c r="K149" s="2420">
        <f>J149+(L149-J149)/(L$144-J$144)*(K$144-J$144)</f>
        <v>1.9440277777777779</v>
      </c>
      <c r="L149" s="2419">
        <f>(Unit.TJ)*6946</f>
        <v>1.9294444444444445</v>
      </c>
      <c r="M149" s="2420">
        <f>L149+(N149-L149)/(N$144-L$144)*(M$144-L$144)</f>
        <v>1.9148611111111111</v>
      </c>
      <c r="N149" s="2419">
        <f>(Unit.TJ)*6841</f>
        <v>1.9002777777777777</v>
      </c>
      <c r="Q149" s="918" t="s">
        <v>3421</v>
      </c>
      <c r="R149" s="4138">
        <f>S149*0.01125</f>
        <v>5.4687543750000005</v>
      </c>
      <c r="S149" s="4139">
        <f>T149*277.778</f>
        <v>486.11150000000004</v>
      </c>
      <c r="T149" s="4142">
        <v>1.75</v>
      </c>
      <c r="U149" s="4143">
        <f>S149/10^3</f>
        <v>0.48611150000000003</v>
      </c>
      <c r="V149" s="39"/>
      <c r="Z149" s="4102"/>
      <c r="AA149"/>
    </row>
    <row r="150" spans="2:28" s="918" customFormat="1" ht="15.5">
      <c r="B150" s="1210"/>
      <c r="C150" s="881" t="s">
        <v>1117</v>
      </c>
      <c r="D150" s="881" t="s">
        <v>1130</v>
      </c>
      <c r="E150" s="1306" t="s">
        <v>1140</v>
      </c>
      <c r="F150" s="2421">
        <f>0.230406475694183*1000000000*Unit.kWh*$F$39</f>
        <v>7.4693980239160393E-2</v>
      </c>
      <c r="G150" s="2418">
        <f>(Constants.Density.Diesel*Constants.GCV.Diesel*1000000000)*0.00952989581217476</f>
        <v>8.8850132899044643E-2</v>
      </c>
      <c r="H150" s="2418">
        <f>(Constants.Density.Diesel*Constants.GCV.Diesel*1000000000)*0.00902832234837609</f>
        <v>8.4173810114884423E-2</v>
      </c>
      <c r="I150" s="2418">
        <f>(Constants.Density.Diesel*Constants.GCV.Diesel*1000000000)*0.00852674888457742</f>
        <v>7.949748733072419E-2</v>
      </c>
      <c r="J150" s="2418">
        <f>(Constants.Density.Diesel*Constants.GCV.Diesel*1000000000)*0.00802517542077875</f>
        <v>7.4821164546563956E-2</v>
      </c>
      <c r="K150" s="2418">
        <f>(Constants.Density.Diesel*Constants.GCV.Diesel*1000000000)*0.00752360195698008</f>
        <v>7.0144841762403723E-2</v>
      </c>
      <c r="L150" s="2418">
        <f>(Constants.Density.Diesel*Constants.GCV.Diesel*1000000000)*0.00702202849318141</f>
        <v>6.5468518978243503E-2</v>
      </c>
      <c r="M150" s="2418">
        <f>(Constants.Density.Diesel*Constants.GCV.Diesel*1000000000)*0.00652045502938273</f>
        <v>6.079219619408318E-2</v>
      </c>
      <c r="N150" s="2418">
        <f>(Constants.Density.Diesel*Constants.GCV.Diesel*1000000000)*0.00601888156558406</f>
        <v>5.6115873409922946E-2</v>
      </c>
      <c r="Q150" s="918" t="s">
        <v>3422</v>
      </c>
      <c r="R150" s="4138">
        <f>S150*0.01</f>
        <v>4.722226</v>
      </c>
      <c r="S150" s="4139">
        <f>T150*277.778</f>
        <v>472.2226</v>
      </c>
      <c r="T150" s="4142">
        <v>1.7</v>
      </c>
      <c r="U150" s="4143">
        <f>S150/10^3</f>
        <v>0.47222259999999999</v>
      </c>
      <c r="V150" s="39"/>
    </row>
    <row r="151" spans="2:28" s="918" customFormat="1" ht="15.5">
      <c r="B151" s="1210"/>
      <c r="C151" s="908" t="s">
        <v>1119</v>
      </c>
      <c r="D151" s="908" t="s">
        <v>1119</v>
      </c>
      <c r="E151" s="1499" t="s">
        <v>1140</v>
      </c>
      <c r="F151" s="2422">
        <f>(2.14/0.245)*Unit.TWh/(9.5/0.651)</f>
        <v>0.59855639097744362</v>
      </c>
      <c r="G151" s="2423">
        <f t="shared" ref="G151:N151" si="2">$F151*(1-0.01)^(G$144-$F$144)</f>
        <v>0.58664511879699244</v>
      </c>
      <c r="H151" s="2423">
        <f t="shared" si="2"/>
        <v>0.55789367079834329</v>
      </c>
      <c r="I151" s="2423">
        <f t="shared" si="2"/>
        <v>0.53055132983141062</v>
      </c>
      <c r="J151" s="2423">
        <f t="shared" si="2"/>
        <v>0.50454903563088449</v>
      </c>
      <c r="K151" s="2423">
        <f t="shared" si="2"/>
        <v>0.47982111257161164</v>
      </c>
      <c r="L151" s="2423">
        <f t="shared" si="2"/>
        <v>0.45630510378755046</v>
      </c>
      <c r="M151" s="2423">
        <f t="shared" si="2"/>
        <v>0.43394161342054727</v>
      </c>
      <c r="N151" s="2423">
        <f t="shared" si="2"/>
        <v>0.41267415660049273</v>
      </c>
      <c r="Q151" s="918" t="s">
        <v>3429</v>
      </c>
      <c r="R151" s="4138">
        <f>S151*0.01125</f>
        <v>4.6250036999999997</v>
      </c>
      <c r="S151" s="4139">
        <f>T151*277.778</f>
        <v>411.11144000000002</v>
      </c>
      <c r="T151" s="4142">
        <v>1.48</v>
      </c>
      <c r="U151" s="4143">
        <f>S151/10^3</f>
        <v>0.41111143999999999</v>
      </c>
      <c r="V151" s="39"/>
    </row>
    <row r="152" spans="2:28" s="918" customFormat="1" ht="16" thickBot="1">
      <c r="B152" s="1210"/>
      <c r="C152" s="103"/>
      <c r="D152" s="103"/>
      <c r="E152" s="1256"/>
      <c r="F152" s="4179"/>
      <c r="G152" s="4179"/>
      <c r="H152" s="4179"/>
      <c r="I152" s="4179"/>
      <c r="J152" s="4179"/>
      <c r="K152" s="4179"/>
      <c r="L152" s="4179"/>
      <c r="M152" s="4179"/>
      <c r="N152" s="4179"/>
      <c r="V152" s="39"/>
    </row>
    <row r="153" spans="2:28" s="918" customFormat="1" ht="15.5">
      <c r="B153" s="1210"/>
      <c r="C153" s="49" t="s">
        <v>1141</v>
      </c>
      <c r="D153" s="67"/>
      <c r="E153" s="51" t="s">
        <v>5</v>
      </c>
      <c r="F153" s="75"/>
      <c r="G153" s="75"/>
      <c r="H153" s="75"/>
      <c r="I153" s="75"/>
      <c r="J153" s="75"/>
      <c r="K153" s="75"/>
      <c r="L153" s="75"/>
      <c r="M153" s="75"/>
      <c r="N153" s="75"/>
      <c r="Q153" s="4180" t="s">
        <v>5</v>
      </c>
      <c r="R153" s="4181" t="s">
        <v>3580</v>
      </c>
      <c r="S153" s="4181"/>
      <c r="T153" s="4181"/>
      <c r="U153" s="4182"/>
      <c r="V153"/>
    </row>
    <row r="154" spans="2:28" s="918" customFormat="1" ht="15.5">
      <c r="B154" s="1210"/>
      <c r="C154" s="67"/>
      <c r="D154" s="67"/>
      <c r="E154" s="67"/>
      <c r="F154" s="1594"/>
      <c r="G154" s="1594"/>
      <c r="H154" s="1594"/>
      <c r="I154" s="1594"/>
      <c r="J154" s="1594"/>
      <c r="K154" s="1594"/>
      <c r="L154" s="1594"/>
      <c r="M154" s="1594"/>
      <c r="N154" s="1594"/>
      <c r="Q154" s="4201"/>
      <c r="R154" s="4153" t="s">
        <v>3419</v>
      </c>
      <c r="S154" s="4153" t="s">
        <v>3420</v>
      </c>
      <c r="T154" s="4153" t="s">
        <v>3426</v>
      </c>
      <c r="U154" s="4205" t="s">
        <v>3423</v>
      </c>
      <c r="V154" s="4135"/>
    </row>
    <row r="155" spans="2:28" s="918" customFormat="1" ht="15.5">
      <c r="B155" s="1210"/>
      <c r="C155" s="878" t="s">
        <v>987</v>
      </c>
      <c r="D155" s="878" t="s">
        <v>44</v>
      </c>
      <c r="E155" s="878" t="s">
        <v>30</v>
      </c>
      <c r="F155" s="87">
        <v>2013</v>
      </c>
      <c r="G155" s="87">
        <v>2015</v>
      </c>
      <c r="H155" s="87">
        <v>2020</v>
      </c>
      <c r="I155" s="87">
        <v>2025</v>
      </c>
      <c r="J155" s="87">
        <v>2030</v>
      </c>
      <c r="K155" s="87">
        <v>2035</v>
      </c>
      <c r="L155" s="87">
        <v>2040</v>
      </c>
      <c r="M155" s="87">
        <v>2045</v>
      </c>
      <c r="N155" s="87">
        <v>2050</v>
      </c>
      <c r="Q155" s="4183" t="s">
        <v>3435</v>
      </c>
      <c r="R155" s="4184">
        <f>S155*0.01125</f>
        <v>7.0625056499999994</v>
      </c>
      <c r="S155" s="4185">
        <f t="shared" ref="S155:S160" si="3">T155*277.778</f>
        <v>627.77828</v>
      </c>
      <c r="T155" s="4186">
        <v>2.2599999999999998</v>
      </c>
      <c r="U155" s="4187">
        <f t="shared" ref="U155:U160" si="4">S155/10^3</f>
        <v>0.62777828000000002</v>
      </c>
      <c r="V155" s="4135"/>
    </row>
    <row r="156" spans="2:28" s="918" customFormat="1" ht="15.5">
      <c r="B156" s="1210"/>
      <c r="C156" s="103" t="s">
        <v>1113</v>
      </c>
      <c r="D156" s="103" t="s">
        <v>1126</v>
      </c>
      <c r="E156" s="1256" t="s">
        <v>3500</v>
      </c>
      <c r="F156" s="2419">
        <f>(Unit.TWh)*0.1392</f>
        <v>0.13919999999999999</v>
      </c>
      <c r="G156" s="2419">
        <f>(Unit.TWh)*0.134651262916188</f>
        <v>0.13465126291618801</v>
      </c>
      <c r="H156" s="2419">
        <f>(Unit.TWh)*0.146786666666667</f>
        <v>0.14678666666666701</v>
      </c>
      <c r="I156" s="2419">
        <f>(Unit.TWh)*0.152039373088685</f>
        <v>0.15203937308868501</v>
      </c>
      <c r="J156" s="2419">
        <f>(Unit.TWh)*0.150373754152824</f>
        <v>0.150373754152824</v>
      </c>
      <c r="K156" s="2419">
        <f>(Unit.TWh)*0.150783514492754</f>
        <v>0.15078351449275401</v>
      </c>
      <c r="L156" s="2419">
        <f>(Unit.TWh)*0.154092261904762</f>
        <v>0.154092261904762</v>
      </c>
      <c r="M156" s="2419">
        <f>(Unit.TWh)*0.159045064377682</f>
        <v>0.15904506437768201</v>
      </c>
      <c r="N156" s="2419">
        <f>(Unit.TWh)*0.153104925053533</f>
        <v>0.15310492505353299</v>
      </c>
      <c r="Q156" s="4183" t="s">
        <v>3436</v>
      </c>
      <c r="R156" s="4184">
        <f>S156*0.01125</f>
        <v>4.5937536750000003</v>
      </c>
      <c r="S156" s="4185">
        <f t="shared" si="3"/>
        <v>408.33366000000001</v>
      </c>
      <c r="T156" s="4186">
        <v>1.47</v>
      </c>
      <c r="U156" s="4187">
        <f t="shared" si="4"/>
        <v>0.40833365999999999</v>
      </c>
      <c r="V156" s="4135"/>
    </row>
    <row r="157" spans="2:28" s="918" customFormat="1" ht="15.5">
      <c r="B157" s="1210"/>
      <c r="C157" s="103" t="s">
        <v>1113</v>
      </c>
      <c r="D157" s="103" t="s">
        <v>1127</v>
      </c>
      <c r="E157" s="1256" t="s">
        <v>3451</v>
      </c>
      <c r="F157" s="2419"/>
      <c r="G157" s="2419">
        <f>(Unit.TWh)*0.14</f>
        <v>0.14000000000000001</v>
      </c>
      <c r="H157" s="2419">
        <f>(Unit.TWh)*0.134285714285714</f>
        <v>0.13428571428571401</v>
      </c>
      <c r="I157" s="2419">
        <f>(Unit.TWh)*0.128571428571429</f>
        <v>0.128571428571429</v>
      </c>
      <c r="J157" s="2419">
        <f>(Unit.TWh)*0.122857142857143</f>
        <v>0.122857142857143</v>
      </c>
      <c r="K157" s="2419">
        <f>(Unit.TWh)*0.117142857142857</f>
        <v>0.11714285714285699</v>
      </c>
      <c r="L157" s="2419">
        <f>(Unit.TWh)*0.111428571428571</f>
        <v>0.111428571428571</v>
      </c>
      <c r="M157" s="2419">
        <f>(Unit.TWh)*0.105714285714286</f>
        <v>0.105714285714286</v>
      </c>
      <c r="N157" s="2419">
        <f>(Unit.TWh)*0.1</f>
        <v>0.1</v>
      </c>
      <c r="O157" s="918" t="s">
        <v>5</v>
      </c>
      <c r="Q157" s="4183" t="s">
        <v>3445</v>
      </c>
      <c r="R157" s="4184">
        <f>S157*0.01125</f>
        <v>7.389941146220675</v>
      </c>
      <c r="S157" s="4185">
        <f t="shared" si="3"/>
        <v>656.88365744183784</v>
      </c>
      <c r="T157" s="4186">
        <v>2.3647792749671961</v>
      </c>
      <c r="U157" s="4187">
        <f t="shared" si="4"/>
        <v>0.65688365744183785</v>
      </c>
      <c r="V157" s="4135"/>
    </row>
    <row r="158" spans="2:28" s="918" customFormat="1" ht="15.5">
      <c r="B158" s="1210"/>
      <c r="C158" s="881" t="s">
        <v>1115</v>
      </c>
      <c r="D158" s="881" t="s">
        <v>1127</v>
      </c>
      <c r="E158" s="1306"/>
      <c r="F158" s="2425">
        <f>(Unit.TJ)*3361</f>
        <v>0.93361111111111106</v>
      </c>
      <c r="G158" s="2424">
        <f>F158+(H158-F158)/(H$155-F$155)*(G$155-F$155)</f>
        <v>0.89535714285714285</v>
      </c>
      <c r="H158" s="2418">
        <f>(Unit.TJ)*2879</f>
        <v>0.79972222222222222</v>
      </c>
      <c r="I158" s="2424">
        <f>H158+(J158-H158)/(J$155-H$155)*(I$155-H$155)</f>
        <v>0.73277777777777775</v>
      </c>
      <c r="J158" s="2418">
        <f>(Unit.TJ)*2397</f>
        <v>0.66583333333333339</v>
      </c>
      <c r="K158" s="2424">
        <f>J158+(L158-J158)/(L$155-J$155)*(K$155-J$155)</f>
        <v>0.66097222222222229</v>
      </c>
      <c r="L158" s="2418">
        <f>(Unit.TJ)*2362</f>
        <v>0.65611111111111109</v>
      </c>
      <c r="M158" s="2424">
        <f>L158+(N158-L158)/(N$155-L$155)*(M$155-L$155)</f>
        <v>0.65111111111111108</v>
      </c>
      <c r="N158" s="2418">
        <f>(Unit.TJ)*2326</f>
        <v>0.64611111111111108</v>
      </c>
      <c r="Q158" s="4183" t="s">
        <v>3447</v>
      </c>
      <c r="R158" s="4184">
        <f>S158*0.01125</f>
        <v>5.0937540749999997</v>
      </c>
      <c r="S158" s="4185">
        <f>T158*277.778</f>
        <v>452.77814000000001</v>
      </c>
      <c r="T158" s="4186">
        <v>1.63</v>
      </c>
      <c r="U158" s="4187">
        <f>S158/10^3</f>
        <v>0.45277814</v>
      </c>
      <c r="V158" s="39"/>
    </row>
    <row r="159" spans="2:28" s="918" customFormat="1" ht="15.5">
      <c r="B159" s="1210"/>
      <c r="C159" s="908" t="s">
        <v>1117</v>
      </c>
      <c r="D159" s="908" t="s">
        <v>1131</v>
      </c>
      <c r="E159" s="1499" t="s">
        <v>1140</v>
      </c>
      <c r="F159" s="2426">
        <f>0.10954818290623*1000000000*Unit.kWh*$F$39</f>
        <v>3.5513714554162835E-2</v>
      </c>
      <c r="G159" s="2427">
        <f>(1000000000*Unit.kWh)*0.030663246397786</f>
        <v>3.0663246397786E-2</v>
      </c>
      <c r="H159" s="2427">
        <f>(1000000000*Unit.kWh)*0.02946857446021</f>
        <v>2.9468574460209999E-2</v>
      </c>
      <c r="I159" s="2427">
        <f>(1000000000*Unit.kWh)*0.0282739025226339</f>
        <v>2.8273902522633901E-2</v>
      </c>
      <c r="J159" s="2427">
        <f>(1000000000*Unit.kWh)*0.0270792305850578</f>
        <v>2.70792305850578E-2</v>
      </c>
      <c r="K159" s="2427">
        <f>(1000000000*Unit.kWh)*0.0258845586474817</f>
        <v>2.5884558647481699E-2</v>
      </c>
      <c r="L159" s="2427">
        <f>(1000000000*Unit.kWh)*0.0246898867099056</f>
        <v>2.4689886709905601E-2</v>
      </c>
      <c r="M159" s="2427">
        <f>(1000000000*Unit.kWh)*0.0234952147723296</f>
        <v>2.34952147723296E-2</v>
      </c>
      <c r="N159" s="2427">
        <f>(1000000000*Unit.kWh)*0.0223005428347535</f>
        <v>2.2300542834753499E-2</v>
      </c>
      <c r="Q159" s="4188" t="s">
        <v>3446</v>
      </c>
      <c r="R159" s="4189">
        <f>S159*0.01</f>
        <v>6.0000048000000001</v>
      </c>
      <c r="S159" s="4190">
        <f>T159*277.778</f>
        <v>600.00048000000004</v>
      </c>
      <c r="T159" s="4191">
        <v>2.16</v>
      </c>
      <c r="U159" s="4192">
        <f>S159/10^3</f>
        <v>0.60000048000000006</v>
      </c>
      <c r="V159" s="39"/>
    </row>
    <row r="160" spans="2:28" s="918" customFormat="1" ht="15.5">
      <c r="B160" s="1210"/>
      <c r="C160" s="103"/>
      <c r="D160" s="103"/>
      <c r="E160" s="1256"/>
      <c r="F160" s="1514" t="s">
        <v>5</v>
      </c>
      <c r="G160" s="1518"/>
      <c r="H160" s="1518"/>
      <c r="I160" s="1518"/>
      <c r="J160" s="77"/>
      <c r="K160" s="77"/>
      <c r="L160" s="77"/>
      <c r="M160" s="77"/>
      <c r="N160" s="77"/>
      <c r="Q160" s="4188" t="s">
        <v>3448</v>
      </c>
      <c r="R160" s="4189">
        <f>S160*0.01</f>
        <v>4.2777812000000006</v>
      </c>
      <c r="S160" s="4190">
        <f t="shared" si="3"/>
        <v>427.77812000000006</v>
      </c>
      <c r="T160" s="4191">
        <v>1.54</v>
      </c>
      <c r="U160" s="4192">
        <f t="shared" si="4"/>
        <v>0.42777812000000004</v>
      </c>
      <c r="V160" s="39"/>
    </row>
    <row r="161" spans="2:34" s="918" customFormat="1" ht="15.5">
      <c r="B161" s="1210"/>
      <c r="C161" s="49" t="s">
        <v>3494</v>
      </c>
      <c r="D161" s="67"/>
      <c r="E161" s="51"/>
      <c r="F161" s="67" t="s">
        <v>5</v>
      </c>
      <c r="G161" s="67" t="s">
        <v>5</v>
      </c>
      <c r="H161" s="67" t="s">
        <v>5</v>
      </c>
      <c r="I161" s="51"/>
      <c r="J161" s="77"/>
      <c r="K161" s="77" t="s">
        <v>5</v>
      </c>
      <c r="L161" s="77"/>
      <c r="M161" s="77"/>
      <c r="N161" s="77" t="str">
        <f>Preferences.EnergyUnits &amp; " / bn vehicle-km"</f>
        <v>TWh / bn vehicle-km</v>
      </c>
      <c r="Q161" s="4188" t="s">
        <v>3449</v>
      </c>
      <c r="R161" s="2213"/>
      <c r="S161" s="4190">
        <f>T161*277.778</f>
        <v>141.66678000000002</v>
      </c>
      <c r="T161" s="4191">
        <v>0.51</v>
      </c>
      <c r="U161" s="4192">
        <f>S161/10^3</f>
        <v>0.14166678000000002</v>
      </c>
      <c r="V161" s="39"/>
    </row>
    <row r="162" spans="2:34" s="918" customFormat="1" ht="15.5">
      <c r="B162" s="1210"/>
      <c r="C162" s="67"/>
      <c r="D162" s="67"/>
      <c r="E162" s="67"/>
      <c r="F162" s="67"/>
      <c r="G162" s="67"/>
      <c r="H162" s="67"/>
      <c r="I162" s="67"/>
      <c r="J162" s="77"/>
      <c r="K162" s="77"/>
      <c r="L162" s="77"/>
      <c r="M162" s="77"/>
      <c r="N162" s="77"/>
      <c r="Q162" s="4183" t="s">
        <v>3450</v>
      </c>
      <c r="R162" s="2284"/>
      <c r="S162" s="4185">
        <f>T162*277.778</f>
        <v>136.11122</v>
      </c>
      <c r="T162" s="4186">
        <v>0.49</v>
      </c>
      <c r="U162" s="4187">
        <f>S162/10^3</f>
        <v>0.13611122</v>
      </c>
    </row>
    <row r="163" spans="2:34" s="918" customFormat="1" ht="15.5">
      <c r="B163" s="1210"/>
      <c r="C163" s="878" t="s">
        <v>987</v>
      </c>
      <c r="D163" s="878" t="s">
        <v>44</v>
      </c>
      <c r="E163" s="878" t="s">
        <v>30</v>
      </c>
      <c r="F163" s="878">
        <v>2013</v>
      </c>
      <c r="G163" s="87">
        <v>2015</v>
      </c>
      <c r="H163" s="87">
        <v>2020</v>
      </c>
      <c r="I163" s="87">
        <v>2025</v>
      </c>
      <c r="J163" s="87">
        <v>2030</v>
      </c>
      <c r="K163" s="87">
        <v>2035</v>
      </c>
      <c r="L163" s="87">
        <v>2040</v>
      </c>
      <c r="M163" s="87">
        <v>2045</v>
      </c>
      <c r="N163" s="87">
        <v>2050</v>
      </c>
      <c r="Q163" s="4188" t="s">
        <v>3498</v>
      </c>
      <c r="R163" s="2213"/>
      <c r="S163" s="4190">
        <f>T163*277.778</f>
        <v>291.66690000000006</v>
      </c>
      <c r="T163" s="4191">
        <v>1.05</v>
      </c>
      <c r="U163" s="4192">
        <f>S163/10^3</f>
        <v>0.29166690000000006</v>
      </c>
    </row>
    <row r="164" spans="2:34" s="918" customFormat="1" ht="16" thickBot="1">
      <c r="B164" s="1210"/>
      <c r="C164" s="103" t="s">
        <v>1113</v>
      </c>
      <c r="D164" s="103" t="s">
        <v>1128</v>
      </c>
      <c r="E164" s="1256"/>
      <c r="F164" s="1256"/>
      <c r="G164" s="2419">
        <f>(Unit.TWh)*0.14</f>
        <v>0.14000000000000001</v>
      </c>
      <c r="H164" s="2419">
        <f>(Unit.TWh)*0.134285714285714</f>
        <v>0.13428571428571401</v>
      </c>
      <c r="I164" s="2419">
        <f>(Unit.TWh)*0.128571428571429</f>
        <v>0.128571428571429</v>
      </c>
      <c r="J164" s="2419">
        <f>(Unit.TWh)*0.122857142857143</f>
        <v>0.122857142857143</v>
      </c>
      <c r="K164" s="2419">
        <f>(Unit.TWh)*0.117142857142857</f>
        <v>0.11714285714285699</v>
      </c>
      <c r="L164" s="2419">
        <f>(Unit.TWh)*0.111428571428571</f>
        <v>0.111428571428571</v>
      </c>
      <c r="M164" s="2419">
        <f>(Unit.TWh)*0.105714285714286</f>
        <v>0.105714285714286</v>
      </c>
      <c r="N164" s="2419">
        <f>(Unit.TWh)*0.1</f>
        <v>0.1</v>
      </c>
      <c r="Q164" s="4193" t="s">
        <v>3499</v>
      </c>
      <c r="R164" s="4194"/>
      <c r="S164" s="4195">
        <f>T164*277.778</f>
        <v>219.44462000000001</v>
      </c>
      <c r="T164" s="4196">
        <v>0.79</v>
      </c>
      <c r="U164" s="4197">
        <f>S164/10^3</f>
        <v>0.21944462000000001</v>
      </c>
    </row>
    <row r="165" spans="2:34" s="918" customFormat="1" ht="16" thickBot="1">
      <c r="B165" s="1210"/>
      <c r="C165" s="194" t="s">
        <v>1115</v>
      </c>
      <c r="D165" s="194" t="s">
        <v>1128</v>
      </c>
      <c r="E165" s="1310"/>
      <c r="F165" s="1310"/>
      <c r="G165" s="2428">
        <f>Unit.TWh*6.4</f>
        <v>6.4</v>
      </c>
      <c r="H165" s="1519">
        <f>Unit.TWh*5.96</f>
        <v>5.96</v>
      </c>
      <c r="I165" s="1519">
        <f>Unit.TWh*5.55</f>
        <v>5.55</v>
      </c>
      <c r="J165" s="1519">
        <f>Unit.TWh*5.17</f>
        <v>5.17</v>
      </c>
      <c r="K165" s="1519">
        <f>Unit.TWh*4.82</f>
        <v>4.82</v>
      </c>
      <c r="L165" s="1519">
        <f>Unit.TWh*4.49</f>
        <v>4.49</v>
      </c>
      <c r="M165" s="1519">
        <f>Unit.TWh*4.18</f>
        <v>4.18</v>
      </c>
      <c r="N165" s="1519">
        <f>Unit.TWh*3.89</f>
        <v>3.89</v>
      </c>
      <c r="R165" s="918" t="s">
        <v>5</v>
      </c>
    </row>
    <row r="166" spans="2:34" s="918" customFormat="1" ht="15.5">
      <c r="B166" s="1210"/>
      <c r="C166" s="103"/>
      <c r="D166" s="103"/>
      <c r="E166" s="1256"/>
      <c r="F166" s="1514"/>
      <c r="G166" s="1481"/>
      <c r="H166" s="1481" t="s">
        <v>5</v>
      </c>
      <c r="I166" s="1481"/>
      <c r="J166" s="1481"/>
      <c r="K166" s="1481"/>
      <c r="L166" s="1481"/>
      <c r="M166" s="1481"/>
      <c r="N166" s="1481"/>
      <c r="Q166" s="4198" t="s">
        <v>5</v>
      </c>
      <c r="R166" s="4199" t="s">
        <v>3579</v>
      </c>
      <c r="S166" s="4199"/>
      <c r="T166" s="4199"/>
      <c r="U166" s="4200"/>
    </row>
    <row r="167" spans="2:34" s="918" customFormat="1" ht="15.5">
      <c r="B167" s="1210"/>
      <c r="C167" s="146" t="s">
        <v>1142</v>
      </c>
      <c r="D167" s="103"/>
      <c r="E167" s="1256"/>
      <c r="F167" s="1299" t="s">
        <v>5</v>
      </c>
      <c r="G167" s="1300"/>
      <c r="H167" s="1300"/>
      <c r="I167" s="1300"/>
      <c r="J167" s="77"/>
      <c r="K167" s="77"/>
      <c r="L167" s="77"/>
      <c r="M167" s="77"/>
      <c r="N167" s="3818" t="str">
        <f>Preferences.EnergyUnits</f>
        <v>TWh</v>
      </c>
      <c r="Q167" s="4201"/>
      <c r="R167" s="4153" t="s">
        <v>3419</v>
      </c>
      <c r="S167" s="4153" t="s">
        <v>3420</v>
      </c>
      <c r="T167" s="4153" t="s">
        <v>3426</v>
      </c>
      <c r="U167" s="4205" t="s">
        <v>3423</v>
      </c>
      <c r="V167"/>
      <c r="W167" s="918" t="s">
        <v>5</v>
      </c>
    </row>
    <row r="168" spans="2:34" s="918" customFormat="1" ht="15.5">
      <c r="B168" s="1210"/>
      <c r="C168" s="943"/>
      <c r="D168" s="103"/>
      <c r="E168" s="1256"/>
      <c r="F168" s="1299"/>
      <c r="G168" s="1300"/>
      <c r="H168" s="1300"/>
      <c r="I168" s="1300"/>
      <c r="J168" s="77"/>
      <c r="K168" s="77"/>
      <c r="L168" s="77"/>
      <c r="M168" s="77"/>
      <c r="N168" s="77"/>
      <c r="Q168" s="4201" t="s">
        <v>3498</v>
      </c>
      <c r="R168" s="4153">
        <v>3.2</v>
      </c>
      <c r="S168" s="4202">
        <f>R168/0.01125</f>
        <v>284.44444444444446</v>
      </c>
      <c r="T168" s="4203">
        <f>S168*0.0036</f>
        <v>1.024</v>
      </c>
      <c r="U168" s="4204">
        <f>S168/10^3</f>
        <v>0.28444444444444444</v>
      </c>
      <c r="V168"/>
    </row>
    <row r="169" spans="2:34" s="918" customFormat="1" ht="15.5">
      <c r="B169" s="1210"/>
      <c r="C169" s="878" t="s">
        <v>987</v>
      </c>
      <c r="D169" s="878" t="s">
        <v>71</v>
      </c>
      <c r="E169" s="878" t="s">
        <v>30</v>
      </c>
      <c r="F169" s="87">
        <v>2013</v>
      </c>
      <c r="G169" s="87">
        <v>2015</v>
      </c>
      <c r="H169" s="87">
        <v>2020</v>
      </c>
      <c r="I169" s="87">
        <v>2025</v>
      </c>
      <c r="J169" s="87">
        <v>2030</v>
      </c>
      <c r="K169" s="87">
        <v>2035</v>
      </c>
      <c r="L169" s="87">
        <v>2040</v>
      </c>
      <c r="M169" s="87">
        <v>2045</v>
      </c>
      <c r="N169" s="87">
        <v>2050</v>
      </c>
      <c r="Q169" s="4201" t="s">
        <v>3499</v>
      </c>
      <c r="R169" s="4153">
        <v>2.8</v>
      </c>
      <c r="S169" s="4202">
        <f>R169/0.01</f>
        <v>280</v>
      </c>
      <c r="T169" s="4203">
        <f>S169*0.0036</f>
        <v>1.008</v>
      </c>
      <c r="U169" s="4204">
        <f>S169/10^3</f>
        <v>0.28000000000000003</v>
      </c>
      <c r="V169"/>
    </row>
    <row r="170" spans="2:34" s="918" customFormat="1" ht="15.5">
      <c r="B170" s="1210"/>
      <c r="C170" s="908" t="s">
        <v>1117</v>
      </c>
      <c r="D170" s="908" t="s">
        <v>1143</v>
      </c>
      <c r="E170" s="1499"/>
      <c r="F170" s="1361">
        <f t="shared" ref="F170:N170" si="5">(Unit.TWh)*0.02326</f>
        <v>2.3259999999999999E-2</v>
      </c>
      <c r="G170" s="1361">
        <f t="shared" si="5"/>
        <v>2.3259999999999999E-2</v>
      </c>
      <c r="H170" s="1361">
        <f t="shared" si="5"/>
        <v>2.3259999999999999E-2</v>
      </c>
      <c r="I170" s="1361">
        <f t="shared" si="5"/>
        <v>2.3259999999999999E-2</v>
      </c>
      <c r="J170" s="1361">
        <f t="shared" si="5"/>
        <v>2.3259999999999999E-2</v>
      </c>
      <c r="K170" s="1361">
        <f t="shared" si="5"/>
        <v>2.3259999999999999E-2</v>
      </c>
      <c r="L170" s="1361">
        <f t="shared" si="5"/>
        <v>2.3259999999999999E-2</v>
      </c>
      <c r="M170" s="1361">
        <f t="shared" si="5"/>
        <v>2.3259999999999999E-2</v>
      </c>
      <c r="N170" s="1361">
        <f t="shared" si="5"/>
        <v>2.3259999999999999E-2</v>
      </c>
      <c r="Q170" s="4183" t="s">
        <v>3449</v>
      </c>
      <c r="R170" s="1162"/>
      <c r="S170" s="4185">
        <f>17/150*1000</f>
        <v>113.33333333333333</v>
      </c>
      <c r="T170" s="4206">
        <f>S170*0.0036</f>
        <v>0.40799999999999997</v>
      </c>
      <c r="U170" s="4187">
        <f>S170/10^3</f>
        <v>0.11333333333333333</v>
      </c>
      <c r="V170"/>
    </row>
    <row r="171" spans="2:34" s="918" customFormat="1" ht="15.5">
      <c r="B171" s="1210"/>
      <c r="C171" s="943"/>
      <c r="D171" s="103"/>
      <c r="E171" s="1256"/>
      <c r="F171" s="1299" t="s">
        <v>5</v>
      </c>
      <c r="G171" s="1300"/>
      <c r="H171" s="1300"/>
      <c r="I171" s="1300"/>
      <c r="J171" s="77"/>
      <c r="K171" s="77"/>
      <c r="L171" s="77"/>
      <c r="M171" s="77"/>
      <c r="N171" s="77"/>
      <c r="Q171" s="4188" t="s">
        <v>3450</v>
      </c>
      <c r="R171" s="922" t="s">
        <v>5</v>
      </c>
      <c r="S171" s="4190">
        <f>15/150*1000</f>
        <v>100</v>
      </c>
      <c r="T171" s="2718">
        <f>S171*0.0036</f>
        <v>0.36</v>
      </c>
      <c r="U171" s="4192">
        <f>S171/10^3</f>
        <v>0.1</v>
      </c>
      <c r="V171"/>
    </row>
    <row r="172" spans="2:34">
      <c r="B172" s="105"/>
      <c r="C172" s="49" t="s">
        <v>3495</v>
      </c>
      <c r="D172" s="4157"/>
      <c r="E172" s="67"/>
      <c r="F172" s="67"/>
      <c r="G172" s="67"/>
      <c r="H172" s="67"/>
      <c r="I172" s="67"/>
      <c r="J172" s="67"/>
      <c r="K172" s="67"/>
      <c r="L172" s="67"/>
      <c r="M172" s="67"/>
      <c r="N172" s="67" t="str">
        <f>"kt per "&amp;Preferences.EnergyUnits</f>
        <v>kt per TWh</v>
      </c>
      <c r="Q172" s="4183" t="s">
        <v>3501</v>
      </c>
      <c r="R172" s="1162"/>
      <c r="S172" s="4185">
        <f>17/150*1000</f>
        <v>113.33333333333333</v>
      </c>
      <c r="T172" s="4206">
        <f>1.1*120.8/100</f>
        <v>1.3288</v>
      </c>
      <c r="U172" s="4187">
        <f>S172/10^3</f>
        <v>0.11333333333333333</v>
      </c>
    </row>
    <row r="173" spans="2:34" hidden="1">
      <c r="B173" s="105"/>
      <c r="C173" s="67"/>
      <c r="D173" s="67"/>
      <c r="E173" s="1352"/>
      <c r="F173" s="67"/>
      <c r="G173" s="67"/>
      <c r="H173" s="67"/>
      <c r="I173" s="67"/>
      <c r="J173" s="67"/>
      <c r="K173" s="67"/>
      <c r="L173" s="67"/>
      <c r="M173" s="67"/>
      <c r="N173" s="67"/>
      <c r="Q173" s="4188" t="s">
        <v>3503</v>
      </c>
      <c r="R173" s="922"/>
      <c r="S173" s="4190">
        <f t="shared" ref="S173:S235" si="6">17/150*1000</f>
        <v>113.33333333333333</v>
      </c>
      <c r="T173" s="2718">
        <f t="shared" ref="T173:T234" si="7">1.1*120.8/100</f>
        <v>1.3288</v>
      </c>
      <c r="U173" s="4192">
        <f t="shared" ref="U173:U235" si="8">S173/10^3</f>
        <v>0.11333333333333333</v>
      </c>
    </row>
    <row r="174" spans="2:34" hidden="1">
      <c r="B174" s="105"/>
      <c r="C174" s="1520" t="s">
        <v>43</v>
      </c>
      <c r="D174" s="1520" t="s">
        <v>987</v>
      </c>
      <c r="E174" s="1521" t="s">
        <v>44</v>
      </c>
      <c r="F174" s="1522" t="s">
        <v>588</v>
      </c>
      <c r="G174" s="1522" t="s">
        <v>132</v>
      </c>
      <c r="H174" s="1522" t="s">
        <v>133</v>
      </c>
      <c r="I174" s="1522" t="s">
        <v>134</v>
      </c>
      <c r="J174" s="1522" t="s">
        <v>135</v>
      </c>
      <c r="K174" s="1522" t="s">
        <v>136</v>
      </c>
      <c r="L174" s="1522" t="s">
        <v>137</v>
      </c>
      <c r="M174" s="1522" t="s">
        <v>138</v>
      </c>
      <c r="N174" s="1522" t="s">
        <v>139</v>
      </c>
      <c r="Q174" s="4188" t="s">
        <v>3504</v>
      </c>
      <c r="R174" s="922"/>
      <c r="S174" s="4190">
        <f t="shared" si="6"/>
        <v>113.33333333333333</v>
      </c>
      <c r="T174" s="2718">
        <f t="shared" si="7"/>
        <v>1.3288</v>
      </c>
      <c r="U174" s="4192">
        <f t="shared" si="8"/>
        <v>0.11333333333333333</v>
      </c>
      <c r="AH174" t="s">
        <v>3430</v>
      </c>
    </row>
    <row r="175" spans="2:34" hidden="1">
      <c r="B175" s="105"/>
      <c r="C175" s="1362" t="s">
        <v>469</v>
      </c>
      <c r="D175" s="189" t="s">
        <v>1113</v>
      </c>
      <c r="E175" s="1523" t="s">
        <v>1125</v>
      </c>
      <c r="F175" s="2430">
        <f>0.0594226845459515*(1/Unit.TWh)</f>
        <v>5.9422684545951503E-2</v>
      </c>
      <c r="G175" s="2430">
        <f>0.0496639509577809*(1/Unit.TWh)</f>
        <v>4.9663950957780902E-2</v>
      </c>
      <c r="H175" s="2430">
        <f>0.0450905905549193*(1/Unit.TWh)</f>
        <v>4.5090590554919298E-2</v>
      </c>
      <c r="I175" s="2430">
        <f>0.0444077640642367*(1/Unit.TWh)</f>
        <v>4.4407764064236702E-2</v>
      </c>
      <c r="J175" s="2430">
        <f>0.0452883081948361*(1/Unit.TWh)</f>
        <v>4.5288308194836098E-2</v>
      </c>
      <c r="K175" s="2430">
        <f>0.046245722834379*(1/Unit.TWh)</f>
        <v>4.6245722834378999E-2</v>
      </c>
      <c r="L175" s="2430">
        <f>0.046245722834379*(1/Unit.TWh)</f>
        <v>4.6245722834378999E-2</v>
      </c>
      <c r="M175" s="2430">
        <f>0.046245722834379*(1/Unit.TWh)</f>
        <v>4.6245722834378999E-2</v>
      </c>
      <c r="N175" s="2430">
        <f>0.046245722834379*(1/Unit.TWh)</f>
        <v>4.6245722834378999E-2</v>
      </c>
      <c r="Q175" s="4188" t="s">
        <v>3505</v>
      </c>
      <c r="R175" s="922"/>
      <c r="S175" s="4190">
        <f t="shared" si="6"/>
        <v>113.33333333333333</v>
      </c>
      <c r="T175" s="2718">
        <f t="shared" si="7"/>
        <v>1.3288</v>
      </c>
      <c r="U175" s="4192">
        <f t="shared" si="8"/>
        <v>0.11333333333333333</v>
      </c>
    </row>
    <row r="176" spans="2:34" hidden="1">
      <c r="B176" s="105"/>
      <c r="C176" s="1362" t="s">
        <v>469</v>
      </c>
      <c r="D176" s="80" t="s">
        <v>1113</v>
      </c>
      <c r="E176" s="80" t="s">
        <v>1126</v>
      </c>
      <c r="F176" s="2412">
        <f>0.0426483970333216*(1/Unit.TWh)</f>
        <v>4.26483970333216E-2</v>
      </c>
      <c r="G176" s="2412">
        <f>0.0394479791863108*(1/Unit.TWh)</f>
        <v>3.9447979186310801E-2</v>
      </c>
      <c r="H176" s="2412">
        <f>0.0425573946349243*(1/Unit.TWh)</f>
        <v>4.2557394634924299E-2</v>
      </c>
      <c r="I176" s="2412">
        <f>0.0448744802549032*(1/Unit.TWh)</f>
        <v>4.4874480254903197E-2</v>
      </c>
      <c r="J176" s="2412">
        <f>0.046174109413232*(1/Unit.TWh)</f>
        <v>4.6174109413232002E-2</v>
      </c>
      <c r="K176" s="2412">
        <f>0.0471490234292686*(1/Unit.TWh)</f>
        <v>4.7149023429268598E-2</v>
      </c>
      <c r="L176" s="2412">
        <f>0.0471490234292686*(1/Unit.TWh)</f>
        <v>4.7149023429268598E-2</v>
      </c>
      <c r="M176" s="2412">
        <f>0.0471490234292686*(1/Unit.TWh)</f>
        <v>4.7149023429268598E-2</v>
      </c>
      <c r="N176" s="2412">
        <f>0.0471490234292686*(1/Unit.TWh)</f>
        <v>4.7149023429268598E-2</v>
      </c>
      <c r="Q176" s="4188" t="s">
        <v>3506</v>
      </c>
      <c r="R176" s="922"/>
      <c r="S176" s="4190">
        <f t="shared" si="6"/>
        <v>113.33333333333333</v>
      </c>
      <c r="T176" s="2718">
        <f t="shared" si="7"/>
        <v>1.3288</v>
      </c>
      <c r="U176" s="4192">
        <f t="shared" si="8"/>
        <v>0.11333333333333333</v>
      </c>
    </row>
    <row r="177" spans="2:23" hidden="1">
      <c r="B177" s="105"/>
      <c r="C177" s="1362" t="s">
        <v>469</v>
      </c>
      <c r="D177" s="80" t="s">
        <v>1113</v>
      </c>
      <c r="E177" s="80" t="s">
        <v>1127</v>
      </c>
      <c r="F177" s="2412">
        <f>0.0326383260826338*(1/Unit.TWh)</f>
        <v>3.2638326082633798E-2</v>
      </c>
      <c r="G177" s="2412">
        <f>0.0361729097931799*(1/Unit.TWh)</f>
        <v>3.61729097931799E-2</v>
      </c>
      <c r="H177" s="2412">
        <f>0.0399151574378942*(1/Unit.TWh)</f>
        <v>3.99151574378942E-2</v>
      </c>
      <c r="I177" s="2412">
        <f>0.0421654392577175*(1/Unit.TWh)</f>
        <v>4.2165439257717499E-2</v>
      </c>
      <c r="J177" s="2412">
        <f>0.0434404677996377*(1/Unit.TWh)</f>
        <v>4.34404677996377E-2</v>
      </c>
      <c r="K177" s="2412">
        <f t="shared" ref="K177:N178" si="9">0.0444303753425222*(1/Unit.TWh)</f>
        <v>4.4430375342522199E-2</v>
      </c>
      <c r="L177" s="2412">
        <f t="shared" si="9"/>
        <v>4.4430375342522199E-2</v>
      </c>
      <c r="M177" s="2412">
        <f t="shared" si="9"/>
        <v>4.4430375342522199E-2</v>
      </c>
      <c r="N177" s="2412">
        <f t="shared" si="9"/>
        <v>4.4430375342522199E-2</v>
      </c>
      <c r="P177" s="4140"/>
      <c r="Q177" s="4188" t="s">
        <v>3507</v>
      </c>
      <c r="R177" s="922"/>
      <c r="S177" s="4190">
        <f t="shared" si="6"/>
        <v>113.33333333333333</v>
      </c>
      <c r="T177" s="2718">
        <f t="shared" si="7"/>
        <v>1.3288</v>
      </c>
      <c r="U177" s="4192">
        <f t="shared" si="8"/>
        <v>0.11333333333333333</v>
      </c>
      <c r="W177" s="4150" t="s">
        <v>5</v>
      </c>
    </row>
    <row r="178" spans="2:23" hidden="1">
      <c r="B178" s="105"/>
      <c r="C178" s="1362" t="s">
        <v>469</v>
      </c>
      <c r="D178" s="80" t="s">
        <v>1113</v>
      </c>
      <c r="E178" s="80" t="s">
        <v>1128</v>
      </c>
      <c r="F178" s="2412">
        <f>0.0326383260826338*(1/Unit.TWh)</f>
        <v>3.2638326082633798E-2</v>
      </c>
      <c r="G178" s="2412">
        <f>0.0361729097931799*(1/Unit.TWh)</f>
        <v>3.61729097931799E-2</v>
      </c>
      <c r="H178" s="2412">
        <f>0.0399151574378942*(1/Unit.TWh)</f>
        <v>3.99151574378942E-2</v>
      </c>
      <c r="I178" s="2412">
        <f>0.0421654392577175*(1/Unit.TWh)</f>
        <v>4.2165439257717499E-2</v>
      </c>
      <c r="J178" s="2412">
        <f>0.0434404677996377*(1/Unit.TWh)</f>
        <v>4.34404677996377E-2</v>
      </c>
      <c r="K178" s="2412">
        <f t="shared" si="9"/>
        <v>4.4430375342522199E-2</v>
      </c>
      <c r="L178" s="2412">
        <f t="shared" si="9"/>
        <v>4.4430375342522199E-2</v>
      </c>
      <c r="M178" s="2412">
        <f t="shared" si="9"/>
        <v>4.4430375342522199E-2</v>
      </c>
      <c r="N178" s="2412">
        <f t="shared" si="9"/>
        <v>4.4430375342522199E-2</v>
      </c>
      <c r="P178" s="4140"/>
      <c r="Q178" s="4188" t="s">
        <v>3508</v>
      </c>
      <c r="R178" s="922"/>
      <c r="S178" s="4190">
        <f t="shared" si="6"/>
        <v>113.33333333333333</v>
      </c>
      <c r="T178" s="2718">
        <f t="shared" si="7"/>
        <v>1.3288</v>
      </c>
      <c r="U178" s="4192">
        <f t="shared" si="8"/>
        <v>0.11333333333333333</v>
      </c>
      <c r="W178" s="4135"/>
    </row>
    <row r="179" spans="2:23" hidden="1">
      <c r="B179" s="105"/>
      <c r="C179" s="1362" t="s">
        <v>469</v>
      </c>
      <c r="D179" s="80" t="s">
        <v>1115</v>
      </c>
      <c r="E179" s="80" t="s">
        <v>1125</v>
      </c>
      <c r="F179" s="2412">
        <f>0.058729000603314*(1/Unit.TWh)</f>
        <v>5.8729000603313999E-2</v>
      </c>
      <c r="G179" s="2412">
        <f>0.0451259630104065*(1/Unit.TWh)</f>
        <v>4.51259630104065E-2</v>
      </c>
      <c r="H179" s="2412">
        <f>0.0358272572392975*(1/Unit.TWh)</f>
        <v>3.58272572392975E-2</v>
      </c>
      <c r="I179" s="2412">
        <f>0.0318174500132027*(1/Unit.TWh)</f>
        <v>3.18174500132027E-2</v>
      </c>
      <c r="J179" s="2412">
        <f>0.0308406506395764*(1/Unit.TWh)</f>
        <v>3.0840650639576399E-2</v>
      </c>
      <c r="K179" s="2412">
        <f>0.0306723503673605*(1/Unit.TWh)</f>
        <v>3.0672350367360501E-2</v>
      </c>
      <c r="L179" s="2412">
        <f>0.0306723503673605*(1/Unit.TWh)</f>
        <v>3.0672350367360501E-2</v>
      </c>
      <c r="M179" s="2412">
        <f>0.0306723503673605*(1/Unit.TWh)</f>
        <v>3.0672350367360501E-2</v>
      </c>
      <c r="N179" s="2412">
        <f>0.0306723503673605*(1/Unit.TWh)</f>
        <v>3.0672350367360501E-2</v>
      </c>
      <c r="P179" s="4140"/>
      <c r="Q179" s="4188" t="s">
        <v>3509</v>
      </c>
      <c r="R179" s="922"/>
      <c r="S179" s="4190">
        <f t="shared" si="6"/>
        <v>113.33333333333333</v>
      </c>
      <c r="T179" s="2718">
        <f t="shared" si="7"/>
        <v>1.3288</v>
      </c>
      <c r="U179" s="4192">
        <f t="shared" si="8"/>
        <v>0.11333333333333333</v>
      </c>
    </row>
    <row r="180" spans="2:23" hidden="1">
      <c r="B180" s="105"/>
      <c r="C180" s="1362" t="s">
        <v>469</v>
      </c>
      <c r="D180" s="80" t="s">
        <v>1115</v>
      </c>
      <c r="E180" s="80" t="s">
        <v>1129</v>
      </c>
      <c r="F180" s="2430">
        <f>0.0450903892090839*(1/Unit.TWh)</f>
        <v>4.5090389209083898E-2</v>
      </c>
      <c r="G180" s="2430">
        <f>0.0401050493097796*(1/Unit.TWh)</f>
        <v>4.0105049309779602E-2</v>
      </c>
      <c r="H180" s="2430">
        <f>0.0346064317465931*(1/Unit.TWh)</f>
        <v>3.46064317465931E-2</v>
      </c>
      <c r="I180" s="2430">
        <f>0.0320298287012547*(1/Unit.TWh)</f>
        <v>3.2029828701254703E-2</v>
      </c>
      <c r="J180" s="2430">
        <f>0.0313541033899796*(1/Unit.TWh)</f>
        <v>3.1354103389979598E-2</v>
      </c>
      <c r="K180" s="2430">
        <f>0.0311140141881936*(1/Unit.TWh)</f>
        <v>3.1114014188193598E-2</v>
      </c>
      <c r="L180" s="2430">
        <f>0.0311140141881936*(1/Unit.TWh)</f>
        <v>3.1114014188193598E-2</v>
      </c>
      <c r="M180" s="2430">
        <f>0.0311140141881936*(1/Unit.TWh)</f>
        <v>3.1114014188193598E-2</v>
      </c>
      <c r="N180" s="2430">
        <f>0.0311140141881936*(1/Unit.TWh)</f>
        <v>3.1114014188193598E-2</v>
      </c>
      <c r="P180" s="4140"/>
      <c r="Q180" s="4188" t="s">
        <v>3510</v>
      </c>
      <c r="R180" s="922"/>
      <c r="S180" s="4190">
        <f t="shared" si="6"/>
        <v>113.33333333333333</v>
      </c>
      <c r="T180" s="2718">
        <f t="shared" si="7"/>
        <v>1.3288</v>
      </c>
      <c r="U180" s="4192">
        <f t="shared" si="8"/>
        <v>0.11333333333333333</v>
      </c>
    </row>
    <row r="181" spans="2:23" hidden="1">
      <c r="B181" s="105"/>
      <c r="C181" s="1362" t="s">
        <v>469</v>
      </c>
      <c r="D181" s="80" t="s">
        <v>1115</v>
      </c>
      <c r="E181" s="80" t="s">
        <v>1127</v>
      </c>
      <c r="F181" s="2430">
        <f>0.0292739651674529*(1/Unit.TWh)</f>
        <v>2.9273965167452901E-2</v>
      </c>
      <c r="G181" s="2430">
        <f>0.0295128908657225*(1/Unit.TWh)</f>
        <v>2.9512890865722501E-2</v>
      </c>
      <c r="H181" s="2430">
        <f>0.0295533602478891*(1/Unit.TWh)</f>
        <v>2.9553360247889099E-2</v>
      </c>
      <c r="I181" s="2430">
        <f>0.0295755455523542*(1/Unit.TWh)</f>
        <v>2.9575545552354199E-2</v>
      </c>
      <c r="J181" s="2430">
        <f>0.0295687376985729*(1/Unit.TWh)</f>
        <v>2.9568737698572899E-2</v>
      </c>
      <c r="K181" s="2430">
        <f t="shared" ref="K181:N183" si="10">0.0295651339439959*(1/Unit.TWh)</f>
        <v>2.9565133943995899E-2</v>
      </c>
      <c r="L181" s="2430">
        <f t="shared" si="10"/>
        <v>2.9565133943995899E-2</v>
      </c>
      <c r="M181" s="2430">
        <f t="shared" si="10"/>
        <v>2.9565133943995899E-2</v>
      </c>
      <c r="N181" s="2430">
        <f t="shared" si="10"/>
        <v>2.9565133943995899E-2</v>
      </c>
      <c r="P181" s="4140"/>
      <c r="Q181" s="4188" t="s">
        <v>3511</v>
      </c>
      <c r="R181" s="922"/>
      <c r="S181" s="4190">
        <f t="shared" si="6"/>
        <v>113.33333333333333</v>
      </c>
      <c r="T181" s="2718">
        <f t="shared" si="7"/>
        <v>1.3288</v>
      </c>
      <c r="U181" s="4192">
        <f t="shared" si="8"/>
        <v>0.11333333333333333</v>
      </c>
    </row>
    <row r="182" spans="2:23" s="4150" customFormat="1" hidden="1">
      <c r="B182" s="105"/>
      <c r="C182" s="1362" t="s">
        <v>469</v>
      </c>
      <c r="D182" s="80" t="s">
        <v>1115</v>
      </c>
      <c r="E182" s="3833" t="s">
        <v>3434</v>
      </c>
      <c r="F182" s="4154"/>
      <c r="G182" s="4154" t="s">
        <v>5</v>
      </c>
      <c r="H182" s="4154"/>
      <c r="I182" s="4154"/>
      <c r="J182" s="4154"/>
      <c r="K182" s="4154"/>
      <c r="L182" s="4154"/>
      <c r="M182" s="4154"/>
      <c r="N182" s="4154"/>
      <c r="P182" s="4140"/>
      <c r="Q182" s="4188" t="s">
        <v>3512</v>
      </c>
      <c r="R182" s="922"/>
      <c r="S182" s="4190">
        <f t="shared" si="6"/>
        <v>113.33333333333333</v>
      </c>
      <c r="T182" s="2718">
        <f t="shared" si="7"/>
        <v>1.3288</v>
      </c>
      <c r="U182" s="4192">
        <f t="shared" si="8"/>
        <v>0.11333333333333333</v>
      </c>
    </row>
    <row r="183" spans="2:23" hidden="1">
      <c r="B183" s="105"/>
      <c r="C183" s="1362" t="s">
        <v>469</v>
      </c>
      <c r="D183" s="80" t="s">
        <v>1115</v>
      </c>
      <c r="E183" s="80" t="s">
        <v>1128</v>
      </c>
      <c r="F183" s="2430">
        <f>0.0292739651674529*(1/Unit.TWh)</f>
        <v>2.9273965167452901E-2</v>
      </c>
      <c r="G183" s="2430">
        <f>0.0295128908657225*(1/Unit.TWh)</f>
        <v>2.9512890865722501E-2</v>
      </c>
      <c r="H183" s="2430">
        <f>0.0295533602478891*(1/Unit.TWh)</f>
        <v>2.9553360247889099E-2</v>
      </c>
      <c r="I183" s="2430">
        <f>0.0295755455523542*(1/Unit.TWh)</f>
        <v>2.9575545552354199E-2</v>
      </c>
      <c r="J183" s="2430">
        <f>0.0295687376985729*(1/Unit.TWh)</f>
        <v>2.9568737698572899E-2</v>
      </c>
      <c r="K183" s="2430">
        <f t="shared" si="10"/>
        <v>2.9565133943995899E-2</v>
      </c>
      <c r="L183" s="2430">
        <f t="shared" si="10"/>
        <v>2.9565133943995899E-2</v>
      </c>
      <c r="M183" s="2430">
        <f t="shared" si="10"/>
        <v>2.9565133943995899E-2</v>
      </c>
      <c r="N183" s="2430">
        <f t="shared" si="10"/>
        <v>2.9565133943995899E-2</v>
      </c>
      <c r="P183" s="4140"/>
      <c r="Q183" s="4188" t="s">
        <v>3513</v>
      </c>
      <c r="R183" s="922"/>
      <c r="S183" s="4190">
        <f t="shared" si="6"/>
        <v>113.33333333333333</v>
      </c>
      <c r="T183" s="2718">
        <f t="shared" si="7"/>
        <v>1.3288</v>
      </c>
      <c r="U183" s="4192">
        <f t="shared" si="8"/>
        <v>0.11333333333333333</v>
      </c>
    </row>
    <row r="184" spans="2:23" hidden="1">
      <c r="B184" s="105"/>
      <c r="C184" s="1362" t="s">
        <v>469</v>
      </c>
      <c r="D184" s="80" t="s">
        <v>1117</v>
      </c>
      <c r="E184" s="80" t="s">
        <v>1130</v>
      </c>
      <c r="F184" s="2430">
        <f>0.201345243167017*(1/Unit.TWh)</f>
        <v>0.20134524316701699</v>
      </c>
      <c r="G184" s="2430">
        <f>0.175072255211859*(1/Unit.TWh)</f>
        <v>0.17507225521185901</v>
      </c>
      <c r="H184" s="2430">
        <f>0.144420425903167*(1/Unit.TWh)</f>
        <v>0.144420425903167</v>
      </c>
      <c r="I184" s="2430">
        <f>0.113768596594475*(1/Unit.TWh)</f>
        <v>0.113768596594475</v>
      </c>
      <c r="J184" s="2430">
        <f>0.0831167672857836*(1/Unit.TWh)</f>
        <v>8.3116767285783599E-2</v>
      </c>
      <c r="K184" s="2430">
        <f>0.0524649379770917*(1/Unit.TWh)</f>
        <v>5.2464937977091702E-2</v>
      </c>
      <c r="L184" s="2430">
        <f>0.0293788413535335*(1/Unit.TWh)</f>
        <v>2.93788413535335E-2</v>
      </c>
      <c r="M184" s="2430">
        <f>0.025*(1/Unit.TWh)</f>
        <v>2.5000000000000001E-2</v>
      </c>
      <c r="N184" s="2430">
        <f>0.025*(1/Unit.TWh)</f>
        <v>2.5000000000000001E-2</v>
      </c>
      <c r="P184" s="4140"/>
      <c r="Q184" s="4188" t="s">
        <v>3514</v>
      </c>
      <c r="R184" s="922"/>
      <c r="S184" s="4190">
        <f t="shared" si="6"/>
        <v>113.33333333333333</v>
      </c>
      <c r="T184" s="2718">
        <f t="shared" si="7"/>
        <v>1.3288</v>
      </c>
      <c r="U184" s="4192">
        <f t="shared" si="8"/>
        <v>0.11333333333333333</v>
      </c>
      <c r="V184" s="918"/>
    </row>
    <row r="185" spans="2:23" hidden="1">
      <c r="B185" s="105"/>
      <c r="C185" s="1362" t="s">
        <v>469</v>
      </c>
      <c r="D185" s="80" t="s">
        <v>1117</v>
      </c>
      <c r="E185" s="80" t="s">
        <v>1131</v>
      </c>
      <c r="F185" s="2430">
        <f t="shared" ref="F185:N185" si="11">0*(1/Unit.TWh)</f>
        <v>0</v>
      </c>
      <c r="G185" s="2430">
        <f t="shared" si="11"/>
        <v>0</v>
      </c>
      <c r="H185" s="2430">
        <f t="shared" si="11"/>
        <v>0</v>
      </c>
      <c r="I185" s="2430">
        <f t="shared" si="11"/>
        <v>0</v>
      </c>
      <c r="J185" s="2430">
        <f t="shared" si="11"/>
        <v>0</v>
      </c>
      <c r="K185" s="2430">
        <f t="shared" si="11"/>
        <v>0</v>
      </c>
      <c r="L185" s="2430">
        <f t="shared" si="11"/>
        <v>0</v>
      </c>
      <c r="M185" s="2430">
        <f t="shared" si="11"/>
        <v>0</v>
      </c>
      <c r="N185" s="2430">
        <f t="shared" si="11"/>
        <v>0</v>
      </c>
      <c r="Q185" s="4188" t="s">
        <v>3515</v>
      </c>
      <c r="R185" s="922"/>
      <c r="S185" s="4190">
        <f t="shared" si="6"/>
        <v>113.33333333333333</v>
      </c>
      <c r="T185" s="2718">
        <f t="shared" si="7"/>
        <v>1.3288</v>
      </c>
      <c r="U185" s="4192">
        <f t="shared" si="8"/>
        <v>0.11333333333333333</v>
      </c>
    </row>
    <row r="186" spans="2:23" hidden="1">
      <c r="B186" s="105"/>
      <c r="C186" s="1362" t="s">
        <v>469</v>
      </c>
      <c r="D186" s="80" t="s">
        <v>1119</v>
      </c>
      <c r="E186" s="80" t="s">
        <v>1119</v>
      </c>
      <c r="F186" s="2430">
        <f t="shared" ref="F186:N186" si="12">0.00902990680754686*(1/Unit.TWh)</f>
        <v>9.02990680754686E-3</v>
      </c>
      <c r="G186" s="2430">
        <f t="shared" si="12"/>
        <v>9.02990680754686E-3</v>
      </c>
      <c r="H186" s="2430">
        <f t="shared" si="12"/>
        <v>9.02990680754686E-3</v>
      </c>
      <c r="I186" s="2430">
        <f t="shared" si="12"/>
        <v>9.02990680754686E-3</v>
      </c>
      <c r="J186" s="2430">
        <f t="shared" si="12"/>
        <v>9.02990680754686E-3</v>
      </c>
      <c r="K186" s="2430">
        <f t="shared" si="12"/>
        <v>9.02990680754686E-3</v>
      </c>
      <c r="L186" s="2430">
        <f t="shared" si="12"/>
        <v>9.02990680754686E-3</v>
      </c>
      <c r="M186" s="2430">
        <f t="shared" si="12"/>
        <v>9.02990680754686E-3</v>
      </c>
      <c r="N186" s="2430">
        <f t="shared" si="12"/>
        <v>9.02990680754686E-3</v>
      </c>
      <c r="Q186" s="4188" t="s">
        <v>3516</v>
      </c>
      <c r="R186" s="922"/>
      <c r="S186" s="4190">
        <f t="shared" si="6"/>
        <v>113.33333333333333</v>
      </c>
      <c r="T186" s="2718">
        <f t="shared" si="7"/>
        <v>1.3288</v>
      </c>
      <c r="U186" s="4192">
        <f t="shared" si="8"/>
        <v>0.11333333333333333</v>
      </c>
    </row>
    <row r="187" spans="2:23" s="918" customFormat="1" ht="15.5" hidden="1">
      <c r="B187" s="1210"/>
      <c r="C187" s="943"/>
      <c r="D187" s="103"/>
      <c r="E187" s="1256"/>
      <c r="F187" s="3819"/>
      <c r="G187" s="3819"/>
      <c r="H187" s="3819"/>
      <c r="I187" s="3819"/>
      <c r="J187" s="3818"/>
      <c r="K187" s="3818"/>
      <c r="L187" s="3818"/>
      <c r="M187" s="3818"/>
      <c r="N187" s="3818"/>
      <c r="Q187" s="4188" t="s">
        <v>3517</v>
      </c>
      <c r="R187" s="922"/>
      <c r="S187" s="4190">
        <f t="shared" si="6"/>
        <v>113.33333333333333</v>
      </c>
      <c r="T187" s="2718">
        <f t="shared" si="7"/>
        <v>1.3288</v>
      </c>
      <c r="U187" s="4192">
        <f t="shared" si="8"/>
        <v>0.11333333333333333</v>
      </c>
      <c r="V187"/>
    </row>
    <row r="188" spans="2:23" hidden="1">
      <c r="B188" s="105"/>
      <c r="C188" s="49" t="s">
        <v>781</v>
      </c>
      <c r="D188" s="67"/>
      <c r="E188" s="67"/>
      <c r="F188" s="67"/>
      <c r="G188" s="67"/>
      <c r="H188" s="67"/>
      <c r="I188" s="67"/>
      <c r="J188" s="67"/>
      <c r="K188" s="67"/>
      <c r="L188" s="67"/>
      <c r="M188" s="67"/>
      <c r="N188" s="67" t="str">
        <f>"kt per "&amp;Preferences.EnergyUnits</f>
        <v>kt per TWh</v>
      </c>
      <c r="Q188" s="4188" t="s">
        <v>3518</v>
      </c>
      <c r="R188" s="922"/>
      <c r="S188" s="4190">
        <f t="shared" si="6"/>
        <v>113.33333333333333</v>
      </c>
      <c r="T188" s="2718">
        <f t="shared" si="7"/>
        <v>1.3288</v>
      </c>
      <c r="U188" s="4192">
        <f t="shared" si="8"/>
        <v>0.11333333333333333</v>
      </c>
    </row>
    <row r="189" spans="2:23" hidden="1">
      <c r="B189" s="105"/>
      <c r="C189" s="67"/>
      <c r="D189" s="67"/>
      <c r="E189" s="1352"/>
      <c r="F189" s="67"/>
      <c r="G189" s="67"/>
      <c r="H189" s="67"/>
      <c r="I189" s="67"/>
      <c r="J189" s="67"/>
      <c r="K189" s="67"/>
      <c r="L189" s="67"/>
      <c r="M189" s="67"/>
      <c r="N189" s="67"/>
      <c r="P189" s="4140"/>
      <c r="Q189" s="4188" t="s">
        <v>3519</v>
      </c>
      <c r="R189" s="922"/>
      <c r="S189" s="4190">
        <f t="shared" si="6"/>
        <v>113.33333333333333</v>
      </c>
      <c r="T189" s="2718">
        <f t="shared" si="7"/>
        <v>1.3288</v>
      </c>
      <c r="U189" s="4192">
        <f t="shared" si="8"/>
        <v>0.11333333333333333</v>
      </c>
    </row>
    <row r="190" spans="2:23" hidden="1">
      <c r="B190" s="105"/>
      <c r="C190" s="1520" t="s">
        <v>43</v>
      </c>
      <c r="D190" s="1520" t="s">
        <v>987</v>
      </c>
      <c r="E190" s="1521" t="s">
        <v>44</v>
      </c>
      <c r="F190" s="1522" t="s">
        <v>588</v>
      </c>
      <c r="G190" s="1522" t="s">
        <v>132</v>
      </c>
      <c r="H190" s="1522" t="s">
        <v>133</v>
      </c>
      <c r="I190" s="1522" t="s">
        <v>134</v>
      </c>
      <c r="J190" s="1522" t="s">
        <v>135</v>
      </c>
      <c r="K190" s="1522" t="s">
        <v>136</v>
      </c>
      <c r="L190" s="1522" t="s">
        <v>137</v>
      </c>
      <c r="M190" s="1522" t="s">
        <v>138</v>
      </c>
      <c r="N190" s="1522" t="s">
        <v>139</v>
      </c>
      <c r="P190" s="4140"/>
      <c r="Q190" s="4188" t="s">
        <v>3520</v>
      </c>
      <c r="R190" s="922"/>
      <c r="S190" s="4190">
        <f t="shared" si="6"/>
        <v>113.33333333333333</v>
      </c>
      <c r="T190" s="2718">
        <f t="shared" si="7"/>
        <v>1.3288</v>
      </c>
      <c r="U190" s="4192">
        <f t="shared" si="8"/>
        <v>0.11333333333333333</v>
      </c>
    </row>
    <row r="191" spans="2:23" hidden="1">
      <c r="B191" s="105"/>
      <c r="C191" s="1362" t="s">
        <v>469</v>
      </c>
      <c r="D191" s="189" t="s">
        <v>1113</v>
      </c>
      <c r="E191" s="1523" t="s">
        <v>1125</v>
      </c>
      <c r="F191" s="2430">
        <f>0.679430247622142*(1/Unit.TWh)</f>
        <v>0.67943024762214199</v>
      </c>
      <c r="G191" s="2430">
        <f>0.581403202262897*(1/Unit.TWh)</f>
        <v>0.58140320226289699</v>
      </c>
      <c r="H191" s="2430">
        <f>0.471184921382374*(1/Unit.TWh)</f>
        <v>0.471184921382374</v>
      </c>
      <c r="I191" s="2430">
        <f>0.406040992892532*(1/Unit.TWh)</f>
        <v>0.40604099289253198</v>
      </c>
      <c r="J191" s="2430">
        <f>0.379890156091861*(1/Unit.TWh)</f>
        <v>0.379890156091861</v>
      </c>
      <c r="K191" s="2430">
        <f>0.373909117293539*(1/Unit.TWh)</f>
        <v>0.37390911729353898</v>
      </c>
      <c r="L191" s="2430">
        <f>0.373909117293539*(1/Unit.TWh)</f>
        <v>0.37390911729353898</v>
      </c>
      <c r="M191" s="2430">
        <f>0.373909117293539*(1/Unit.TWh)</f>
        <v>0.37390911729353898</v>
      </c>
      <c r="N191" s="2430">
        <f>0.373909117293539*(1/Unit.TWh)</f>
        <v>0.37390911729353898</v>
      </c>
      <c r="P191" s="4140"/>
      <c r="Q191" s="4188" t="s">
        <v>3521</v>
      </c>
      <c r="R191" s="922"/>
      <c r="S191" s="4190">
        <f t="shared" si="6"/>
        <v>113.33333333333333</v>
      </c>
      <c r="T191" s="2718">
        <f t="shared" si="7"/>
        <v>1.3288</v>
      </c>
      <c r="U191" s="4192">
        <f t="shared" si="8"/>
        <v>0.11333333333333333</v>
      </c>
    </row>
    <row r="192" spans="2:23" hidden="1">
      <c r="B192" s="105"/>
      <c r="C192" s="1362" t="s">
        <v>469</v>
      </c>
      <c r="D192" s="80" t="s">
        <v>1113</v>
      </c>
      <c r="E192" s="80" t="s">
        <v>1126</v>
      </c>
      <c r="F192" s="2412">
        <f>0.631249283292206*(1/Unit.TWh)</f>
        <v>0.63124928329220598</v>
      </c>
      <c r="G192" s="2412">
        <f>0.762191485532249*(1/Unit.TWh)</f>
        <v>0.76219148553224902</v>
      </c>
      <c r="H192" s="2412">
        <f>0.630334737611711*(1/Unit.TWh)</f>
        <v>0.63033473761171099</v>
      </c>
      <c r="I192" s="2412">
        <f>0.567077355155007*(1/Unit.TWh)</f>
        <v>0.56707735515500701</v>
      </c>
      <c r="J192" s="2412">
        <f>0.533406777464307*(1/Unit.TWh)</f>
        <v>0.53340677746430698</v>
      </c>
      <c r="K192" s="2412">
        <f>0.524968567115822*(1/Unit.TWh)</f>
        <v>0.52496856711582196</v>
      </c>
      <c r="L192" s="2412">
        <f>0.524968567115822*(1/Unit.TWh)</f>
        <v>0.52496856711582196</v>
      </c>
      <c r="M192" s="2412">
        <f>0.524968567115822*(1/Unit.TWh)</f>
        <v>0.52496856711582196</v>
      </c>
      <c r="N192" s="2412">
        <f>0.524968567115822*(1/Unit.TWh)</f>
        <v>0.52496856711582196</v>
      </c>
      <c r="P192" s="4140"/>
      <c r="Q192" s="4188" t="s">
        <v>3522</v>
      </c>
      <c r="R192" s="922"/>
      <c r="S192" s="4190">
        <f t="shared" si="6"/>
        <v>113.33333333333333</v>
      </c>
      <c r="T192" s="2718">
        <f t="shared" si="7"/>
        <v>1.3288</v>
      </c>
      <c r="U192" s="4192">
        <f t="shared" si="8"/>
        <v>0.11333333333333333</v>
      </c>
    </row>
    <row r="193" spans="2:21" hidden="1">
      <c r="B193" s="105"/>
      <c r="C193" s="1362" t="s">
        <v>469</v>
      </c>
      <c r="D193" s="80" t="s">
        <v>1113</v>
      </c>
      <c r="E193" s="80" t="s">
        <v>1127</v>
      </c>
      <c r="F193" s="2412">
        <f t="shared" ref="F193:N194" si="13">0*(1/Unit.TWh)</f>
        <v>0</v>
      </c>
      <c r="G193" s="2412">
        <f t="shared" si="13"/>
        <v>0</v>
      </c>
      <c r="H193" s="2412">
        <f t="shared" si="13"/>
        <v>0</v>
      </c>
      <c r="I193" s="2412">
        <f t="shared" si="13"/>
        <v>0</v>
      </c>
      <c r="J193" s="2412">
        <f t="shared" si="13"/>
        <v>0</v>
      </c>
      <c r="K193" s="2412">
        <f t="shared" si="13"/>
        <v>0</v>
      </c>
      <c r="L193" s="2412">
        <f t="shared" si="13"/>
        <v>0</v>
      </c>
      <c r="M193" s="2412">
        <f t="shared" si="13"/>
        <v>0</v>
      </c>
      <c r="N193" s="2412">
        <f t="shared" si="13"/>
        <v>0</v>
      </c>
      <c r="P193" s="4140"/>
      <c r="Q193" s="4188" t="s">
        <v>3523</v>
      </c>
      <c r="R193" s="922"/>
      <c r="S193" s="4190">
        <f t="shared" si="6"/>
        <v>113.33333333333333</v>
      </c>
      <c r="T193" s="2718">
        <f t="shared" si="7"/>
        <v>1.3288</v>
      </c>
      <c r="U193" s="4192">
        <f t="shared" si="8"/>
        <v>0.11333333333333333</v>
      </c>
    </row>
    <row r="194" spans="2:21" hidden="1">
      <c r="B194" s="105"/>
      <c r="C194" s="1362" t="s">
        <v>469</v>
      </c>
      <c r="D194" s="80" t="s">
        <v>1113</v>
      </c>
      <c r="E194" s="80" t="s">
        <v>1128</v>
      </c>
      <c r="F194" s="2412">
        <f t="shared" si="13"/>
        <v>0</v>
      </c>
      <c r="G194" s="2412">
        <f t="shared" si="13"/>
        <v>0</v>
      </c>
      <c r="H194" s="2412">
        <f t="shared" si="13"/>
        <v>0</v>
      </c>
      <c r="I194" s="2412">
        <f t="shared" si="13"/>
        <v>0</v>
      </c>
      <c r="J194" s="2412">
        <f t="shared" si="13"/>
        <v>0</v>
      </c>
      <c r="K194" s="2412">
        <f t="shared" si="13"/>
        <v>0</v>
      </c>
      <c r="L194" s="2412">
        <f t="shared" si="13"/>
        <v>0</v>
      </c>
      <c r="M194" s="2412">
        <f t="shared" si="13"/>
        <v>0</v>
      </c>
      <c r="N194" s="2412">
        <f t="shared" si="13"/>
        <v>0</v>
      </c>
      <c r="Q194" s="4188" t="s">
        <v>3524</v>
      </c>
      <c r="R194" s="922"/>
      <c r="S194" s="4190">
        <f t="shared" si="6"/>
        <v>113.33333333333333</v>
      </c>
      <c r="T194" s="2718">
        <f t="shared" si="7"/>
        <v>1.3288</v>
      </c>
      <c r="U194" s="4192">
        <f t="shared" si="8"/>
        <v>0.11333333333333333</v>
      </c>
    </row>
    <row r="195" spans="2:21" hidden="1">
      <c r="B195" s="105"/>
      <c r="C195" s="1362" t="s">
        <v>469</v>
      </c>
      <c r="D195" s="80" t="s">
        <v>1115</v>
      </c>
      <c r="E195" s="80" t="s">
        <v>1125</v>
      </c>
      <c r="F195" s="2412">
        <f>2.06945509688998*(1/Unit.TWh)</f>
        <v>2.0694550968899801</v>
      </c>
      <c r="G195" s="2412">
        <f>1.46924536451353*(1/Unit.TWh)</f>
        <v>1.4692453645135299</v>
      </c>
      <c r="H195" s="2412">
        <f>0.706747923588064*(1/Unit.TWh)</f>
        <v>0.70674792358806404</v>
      </c>
      <c r="I195" s="2412">
        <f>0.303301044701916*(1/Unit.TWh)</f>
        <v>0.30330104470191599</v>
      </c>
      <c r="J195" s="2412">
        <f>0.19375703518048*(1/Unit.TWh)</f>
        <v>0.19375703518047999</v>
      </c>
      <c r="K195" s="2412">
        <f>0.170738987641718*(1/Unit.TWh)</f>
        <v>0.17073898764171799</v>
      </c>
      <c r="L195" s="2412">
        <f>0.170738987641718*(1/Unit.TWh)</f>
        <v>0.17073898764171799</v>
      </c>
      <c r="M195" s="2412">
        <f>0.170738987641718*(1/Unit.TWh)</f>
        <v>0.17073898764171799</v>
      </c>
      <c r="N195" s="2412">
        <f>0.170738987641718*(1/Unit.TWh)</f>
        <v>0.17073898764171799</v>
      </c>
      <c r="Q195" s="4188" t="s">
        <v>3525</v>
      </c>
      <c r="R195" s="922"/>
      <c r="S195" s="4190">
        <f t="shared" si="6"/>
        <v>113.33333333333333</v>
      </c>
      <c r="T195" s="2718">
        <f t="shared" si="7"/>
        <v>1.3288</v>
      </c>
      <c r="U195" s="4192">
        <f t="shared" si="8"/>
        <v>0.11333333333333333</v>
      </c>
    </row>
    <row r="196" spans="2:21" hidden="1">
      <c r="B196" s="105"/>
      <c r="C196" s="1362" t="s">
        <v>469</v>
      </c>
      <c r="D196" s="80" t="s">
        <v>1115</v>
      </c>
      <c r="E196" s="80" t="s">
        <v>1129</v>
      </c>
      <c r="F196" s="2430">
        <f>1.70599682563443*(1/Unit.TWh)</f>
        <v>1.70599682563443</v>
      </c>
      <c r="G196" s="2430">
        <f>1.15583334209536*(1/Unit.TWh)</f>
        <v>1.1558333420953599</v>
      </c>
      <c r="H196" s="2430">
        <f>0.574506962617491*(1/Unit.TWh)</f>
        <v>0.57450696261749101</v>
      </c>
      <c r="I196" s="2430">
        <f>0.288281897149846*(1/Unit.TWh)</f>
        <v>0.28828189714984598</v>
      </c>
      <c r="J196" s="2430">
        <f>0.214355024239144*(1/Unit.TWh)</f>
        <v>0.21435502423914399</v>
      </c>
      <c r="K196" s="2430">
        <f>0.188233721746317*(1/Unit.TWh)</f>
        <v>0.188233721746317</v>
      </c>
      <c r="L196" s="2430">
        <f>0.188233721746317*(1/Unit.TWh)</f>
        <v>0.188233721746317</v>
      </c>
      <c r="M196" s="2430">
        <f>0.188233721746317*(1/Unit.TWh)</f>
        <v>0.188233721746317</v>
      </c>
      <c r="N196" s="2430">
        <f>0.188233721746317*(1/Unit.TWh)</f>
        <v>0.188233721746317</v>
      </c>
      <c r="P196" s="4140" t="s">
        <v>1125</v>
      </c>
      <c r="Q196" s="4188" t="s">
        <v>3526</v>
      </c>
      <c r="R196" s="922"/>
      <c r="S196" s="4190">
        <f t="shared" si="6"/>
        <v>113.33333333333333</v>
      </c>
      <c r="T196" s="2718">
        <f t="shared" si="7"/>
        <v>1.3288</v>
      </c>
      <c r="U196" s="4192">
        <f t="shared" si="8"/>
        <v>0.11333333333333333</v>
      </c>
    </row>
    <row r="197" spans="2:21" hidden="1">
      <c r="B197" s="105"/>
      <c r="C197" s="1362" t="s">
        <v>469</v>
      </c>
      <c r="D197" s="80" t="s">
        <v>1115</v>
      </c>
      <c r="E197" s="80" t="s">
        <v>1127</v>
      </c>
      <c r="F197" s="2430">
        <f t="shared" ref="F197:N199" si="14">0*(1/Unit.TWh)</f>
        <v>0</v>
      </c>
      <c r="G197" s="2430">
        <f t="shared" si="14"/>
        <v>0</v>
      </c>
      <c r="H197" s="2430">
        <f t="shared" si="14"/>
        <v>0</v>
      </c>
      <c r="I197" s="2430">
        <f t="shared" si="14"/>
        <v>0</v>
      </c>
      <c r="J197" s="2430">
        <f t="shared" si="14"/>
        <v>0</v>
      </c>
      <c r="K197" s="2430">
        <f t="shared" si="14"/>
        <v>0</v>
      </c>
      <c r="L197" s="2430">
        <f t="shared" si="14"/>
        <v>0</v>
      </c>
      <c r="M197" s="2430">
        <f t="shared" si="14"/>
        <v>0</v>
      </c>
      <c r="N197" s="2430">
        <f t="shared" si="14"/>
        <v>0</v>
      </c>
      <c r="P197" s="4140" t="s">
        <v>1129</v>
      </c>
      <c r="Q197" s="4188" t="s">
        <v>3527</v>
      </c>
      <c r="R197" s="922"/>
      <c r="S197" s="4190">
        <f t="shared" si="6"/>
        <v>113.33333333333333</v>
      </c>
      <c r="T197" s="2718">
        <f t="shared" si="7"/>
        <v>1.3288</v>
      </c>
      <c r="U197" s="4192">
        <f t="shared" si="8"/>
        <v>0.11333333333333333</v>
      </c>
    </row>
    <row r="198" spans="2:21" s="4150" customFormat="1" hidden="1">
      <c r="B198" s="105"/>
      <c r="C198" s="2224" t="s">
        <v>469</v>
      </c>
      <c r="D198" s="3833" t="s">
        <v>1115</v>
      </c>
      <c r="E198" s="3833" t="s">
        <v>3434</v>
      </c>
      <c r="F198" s="4154"/>
      <c r="G198" s="4154"/>
      <c r="H198" s="4154"/>
      <c r="I198" s="4154"/>
      <c r="J198" s="4154"/>
      <c r="K198" s="4154"/>
      <c r="L198" s="4154"/>
      <c r="M198" s="4154"/>
      <c r="N198" s="4154"/>
      <c r="P198" s="4140"/>
      <c r="Q198" s="4188" t="s">
        <v>3528</v>
      </c>
      <c r="R198" s="922"/>
      <c r="S198" s="4190">
        <f t="shared" si="6"/>
        <v>113.33333333333333</v>
      </c>
      <c r="T198" s="2718">
        <f t="shared" si="7"/>
        <v>1.3288</v>
      </c>
      <c r="U198" s="4192">
        <f t="shared" si="8"/>
        <v>0.11333333333333333</v>
      </c>
    </row>
    <row r="199" spans="2:21" hidden="1">
      <c r="B199" s="105"/>
      <c r="C199" s="1362" t="s">
        <v>469</v>
      </c>
      <c r="D199" s="80" t="s">
        <v>1115</v>
      </c>
      <c r="E199" s="80" t="s">
        <v>1128</v>
      </c>
      <c r="F199" s="2430">
        <f t="shared" si="14"/>
        <v>0</v>
      </c>
      <c r="G199" s="2430">
        <f t="shared" si="14"/>
        <v>0</v>
      </c>
      <c r="H199" s="2430">
        <f t="shared" si="14"/>
        <v>0</v>
      </c>
      <c r="I199" s="2430">
        <f t="shared" si="14"/>
        <v>0</v>
      </c>
      <c r="J199" s="2430">
        <f t="shared" si="14"/>
        <v>0</v>
      </c>
      <c r="K199" s="2430">
        <f t="shared" si="14"/>
        <v>0</v>
      </c>
      <c r="L199" s="2430">
        <f t="shared" si="14"/>
        <v>0</v>
      </c>
      <c r="M199" s="2430">
        <f t="shared" si="14"/>
        <v>0</v>
      </c>
      <c r="N199" s="2430">
        <f t="shared" si="14"/>
        <v>0</v>
      </c>
      <c r="P199" s="4140" t="s">
        <v>1127</v>
      </c>
      <c r="Q199" s="4188" t="s">
        <v>3529</v>
      </c>
      <c r="R199" s="922"/>
      <c r="S199" s="4190">
        <f t="shared" si="6"/>
        <v>113.33333333333333</v>
      </c>
      <c r="T199" s="2718">
        <f t="shared" si="7"/>
        <v>1.3288</v>
      </c>
      <c r="U199" s="4192">
        <f t="shared" si="8"/>
        <v>0.11333333333333333</v>
      </c>
    </row>
    <row r="200" spans="2:21" hidden="1">
      <c r="B200" s="105"/>
      <c r="C200" s="1362" t="s">
        <v>469</v>
      </c>
      <c r="D200" s="80" t="s">
        <v>1117</v>
      </c>
      <c r="E200" s="80" t="s">
        <v>1130</v>
      </c>
      <c r="F200" s="2430">
        <f>7.61663010572919*(1/Unit.TWh)</f>
        <v>7.6166301057291896</v>
      </c>
      <c r="G200" s="2430">
        <f>6.66748910438281*(1/Unit.TWh)</f>
        <v>6.6674891043828097</v>
      </c>
      <c r="H200" s="2430">
        <f>5.66148324420416*(1/Unit.TWh)</f>
        <v>5.6614832442041596</v>
      </c>
      <c r="I200" s="2430">
        <f>4.65547738402551*(1/Unit.TWh)</f>
        <v>4.6554773840255104</v>
      </c>
      <c r="J200" s="2430">
        <f>3.64947152384686*(1/Unit.TWh)</f>
        <v>3.6494715238468598</v>
      </c>
      <c r="K200" s="2430">
        <f>2.64346566366821*(1/Unit.TWh)</f>
        <v>2.6434656636682101</v>
      </c>
      <c r="L200" s="2430">
        <f>2.26875638876845*(1/Unit.TWh)</f>
        <v>2.2687563887684501</v>
      </c>
      <c r="M200" s="2430">
        <f>2.21189152993618*(1/Unit.TWh)</f>
        <v>2.2118915299361799</v>
      </c>
      <c r="N200" s="2430">
        <f>2.21189152993618*(1/Unit.TWh)</f>
        <v>2.2118915299361799</v>
      </c>
      <c r="P200" s="4140" t="s">
        <v>3433</v>
      </c>
      <c r="Q200" s="4188" t="s">
        <v>3530</v>
      </c>
      <c r="R200" s="922"/>
      <c r="S200" s="4190">
        <f t="shared" si="6"/>
        <v>113.33333333333333</v>
      </c>
      <c r="T200" s="2718">
        <f t="shared" si="7"/>
        <v>1.3288</v>
      </c>
      <c r="U200" s="4192">
        <f t="shared" si="8"/>
        <v>0.11333333333333333</v>
      </c>
    </row>
    <row r="201" spans="2:21" hidden="1">
      <c r="B201" s="105"/>
      <c r="C201" s="1362" t="s">
        <v>469</v>
      </c>
      <c r="D201" s="80" t="s">
        <v>1117</v>
      </c>
      <c r="E201" s="80" t="s">
        <v>1131</v>
      </c>
      <c r="F201" s="2430">
        <f t="shared" ref="F201:N201" si="15">0*(1/Unit.TWh)</f>
        <v>0</v>
      </c>
      <c r="G201" s="2430">
        <f t="shared" si="15"/>
        <v>0</v>
      </c>
      <c r="H201" s="2430">
        <f t="shared" si="15"/>
        <v>0</v>
      </c>
      <c r="I201" s="2430">
        <f t="shared" si="15"/>
        <v>0</v>
      </c>
      <c r="J201" s="2430">
        <f t="shared" si="15"/>
        <v>0</v>
      </c>
      <c r="K201" s="2430">
        <f t="shared" si="15"/>
        <v>0</v>
      </c>
      <c r="L201" s="2430">
        <f t="shared" si="15"/>
        <v>0</v>
      </c>
      <c r="M201" s="2430">
        <f t="shared" si="15"/>
        <v>0</v>
      </c>
      <c r="N201" s="2430">
        <f t="shared" si="15"/>
        <v>0</v>
      </c>
      <c r="P201" s="4140" t="s">
        <v>3434</v>
      </c>
      <c r="Q201" s="4188" t="s">
        <v>3531</v>
      </c>
      <c r="R201" s="922"/>
      <c r="S201" s="4190">
        <f t="shared" si="6"/>
        <v>113.33333333333333</v>
      </c>
      <c r="T201" s="2718">
        <f t="shared" si="7"/>
        <v>1.3288</v>
      </c>
      <c r="U201" s="4192">
        <f t="shared" si="8"/>
        <v>0.11333333333333333</v>
      </c>
    </row>
    <row r="202" spans="2:21" hidden="1">
      <c r="B202" s="105"/>
      <c r="C202" s="1362" t="s">
        <v>469</v>
      </c>
      <c r="D202" s="80" t="s">
        <v>1119</v>
      </c>
      <c r="E202" s="80" t="s">
        <v>1119</v>
      </c>
      <c r="F202" s="2430">
        <f t="shared" ref="F202:N202" si="16">0.845811895914052*(1/Unit.TWh)</f>
        <v>0.84581189591405204</v>
      </c>
      <c r="G202" s="2430">
        <f t="shared" si="16"/>
        <v>0.84581189591405204</v>
      </c>
      <c r="H202" s="2430">
        <f t="shared" si="16"/>
        <v>0.84581189591405204</v>
      </c>
      <c r="I202" s="2430">
        <f t="shared" si="16"/>
        <v>0.84581189591405204</v>
      </c>
      <c r="J202" s="2430">
        <f t="shared" si="16"/>
        <v>0.84581189591405204</v>
      </c>
      <c r="K202" s="2430">
        <f t="shared" si="16"/>
        <v>0.84581189591405204</v>
      </c>
      <c r="L202" s="2430">
        <f t="shared" si="16"/>
        <v>0.84581189591405204</v>
      </c>
      <c r="M202" s="2430">
        <f t="shared" si="16"/>
        <v>0.84581189591405204</v>
      </c>
      <c r="N202" s="2430">
        <f t="shared" si="16"/>
        <v>0.84581189591405204</v>
      </c>
      <c r="Q202" s="4188" t="s">
        <v>3532</v>
      </c>
      <c r="R202" s="922"/>
      <c r="S202" s="4190">
        <f t="shared" si="6"/>
        <v>113.33333333333333</v>
      </c>
      <c r="T202" s="2718">
        <f t="shared" si="7"/>
        <v>1.3288</v>
      </c>
      <c r="U202" s="4192">
        <f t="shared" si="8"/>
        <v>0.11333333333333333</v>
      </c>
    </row>
    <row r="203" spans="2:21" hidden="1">
      <c r="B203" s="105"/>
      <c r="C203" s="1362"/>
      <c r="D203" s="80"/>
      <c r="E203" s="80"/>
      <c r="F203" s="2430"/>
      <c r="G203" s="2430"/>
      <c r="H203" s="2430"/>
      <c r="I203" s="2430"/>
      <c r="J203" s="2430"/>
      <c r="K203" s="2430"/>
      <c r="L203" s="2430"/>
      <c r="M203" s="2430"/>
      <c r="N203" s="2430"/>
      <c r="Q203" s="4188" t="s">
        <v>3533</v>
      </c>
      <c r="R203" s="922"/>
      <c r="S203" s="4190">
        <f t="shared" si="6"/>
        <v>113.33333333333333</v>
      </c>
      <c r="T203" s="2718">
        <f t="shared" si="7"/>
        <v>1.3288</v>
      </c>
      <c r="U203" s="4192">
        <f t="shared" si="8"/>
        <v>0.11333333333333333</v>
      </c>
    </row>
    <row r="204" spans="2:21" hidden="1">
      <c r="B204" s="105"/>
      <c r="C204" s="49" t="s">
        <v>782</v>
      </c>
      <c r="D204" s="67"/>
      <c r="E204" s="67"/>
      <c r="F204" s="67"/>
      <c r="G204" s="67"/>
      <c r="H204" s="67"/>
      <c r="I204" s="67"/>
      <c r="J204" s="67"/>
      <c r="K204" s="67"/>
      <c r="L204" s="67"/>
      <c r="M204" s="67"/>
      <c r="N204" s="67" t="str">
        <f>"kt per "&amp;Preferences.EnergyUnits</f>
        <v>kt per TWh</v>
      </c>
      <c r="Q204" s="4188" t="s">
        <v>3534</v>
      </c>
      <c r="R204" s="922"/>
      <c r="S204" s="4190">
        <f t="shared" si="6"/>
        <v>113.33333333333333</v>
      </c>
      <c r="T204" s="2718">
        <f t="shared" si="7"/>
        <v>1.3288</v>
      </c>
      <c r="U204" s="4192">
        <f t="shared" si="8"/>
        <v>0.11333333333333333</v>
      </c>
    </row>
    <row r="205" spans="2:21" hidden="1">
      <c r="B205" s="105"/>
      <c r="C205" s="67"/>
      <c r="D205" s="67"/>
      <c r="E205" s="1352"/>
      <c r="F205" s="67"/>
      <c r="G205" s="67"/>
      <c r="H205" s="67"/>
      <c r="I205" s="67"/>
      <c r="J205" s="67"/>
      <c r="K205" s="67"/>
      <c r="L205" s="67"/>
      <c r="M205" s="67"/>
      <c r="N205" s="67"/>
      <c r="Q205" s="4188" t="s">
        <v>3535</v>
      </c>
      <c r="R205" s="922"/>
      <c r="S205" s="4190">
        <f t="shared" si="6"/>
        <v>113.33333333333333</v>
      </c>
      <c r="T205" s="2718">
        <f t="shared" si="7"/>
        <v>1.3288</v>
      </c>
      <c r="U205" s="4192">
        <f t="shared" si="8"/>
        <v>0.11333333333333333</v>
      </c>
    </row>
    <row r="206" spans="2:21" hidden="1">
      <c r="B206" s="105"/>
      <c r="C206" s="1520" t="s">
        <v>43</v>
      </c>
      <c r="D206" s="1520" t="s">
        <v>987</v>
      </c>
      <c r="E206" s="1521" t="s">
        <v>44</v>
      </c>
      <c r="F206" s="1522" t="s">
        <v>588</v>
      </c>
      <c r="G206" s="1522" t="s">
        <v>132</v>
      </c>
      <c r="H206" s="1522" t="s">
        <v>133</v>
      </c>
      <c r="I206" s="1522" t="s">
        <v>134</v>
      </c>
      <c r="J206" s="1522" t="s">
        <v>135</v>
      </c>
      <c r="K206" s="1522" t="s">
        <v>136</v>
      </c>
      <c r="L206" s="1522" t="s">
        <v>137</v>
      </c>
      <c r="M206" s="1522" t="s">
        <v>138</v>
      </c>
      <c r="N206" s="1522" t="s">
        <v>139</v>
      </c>
      <c r="Q206" s="4188" t="s">
        <v>3536</v>
      </c>
      <c r="R206" s="922"/>
      <c r="S206" s="4190">
        <f t="shared" si="6"/>
        <v>113.33333333333333</v>
      </c>
      <c r="T206" s="2718">
        <f t="shared" si="7"/>
        <v>1.3288</v>
      </c>
      <c r="U206" s="4192">
        <f t="shared" si="8"/>
        <v>0.11333333333333333</v>
      </c>
    </row>
    <row r="207" spans="2:21" hidden="1">
      <c r="B207" s="105"/>
      <c r="C207" s="1362" t="s">
        <v>469</v>
      </c>
      <c r="D207" s="189" t="s">
        <v>1113</v>
      </c>
      <c r="E207" s="1523" t="s">
        <v>1125</v>
      </c>
      <c r="F207" s="2430">
        <f>0.00103575535045395*(1/Unit.TWh)</f>
        <v>1.0357553504539499E-3</v>
      </c>
      <c r="G207" s="2430">
        <f>0.00108387045813274*(1/Unit.TWh)</f>
        <v>1.0838704581327401E-3</v>
      </c>
      <c r="H207" s="2430">
        <f>0.00108807120923228*(1/Unit.TWh)</f>
        <v>1.0880712092322801E-3</v>
      </c>
      <c r="I207" s="2430">
        <f>0.00105465050362138*(1/Unit.TWh)</f>
        <v>1.0546505036213799E-3</v>
      </c>
      <c r="J207" s="2430">
        <f>0.00102013469233904*(1/Unit.TWh)</f>
        <v>1.0201346923390401E-3</v>
      </c>
      <c r="K207" s="2430">
        <f t="shared" ref="K207:N208" si="17">0.000985496257463946*(1/Unit.TWh)</f>
        <v>9.8549625746394598E-4</v>
      </c>
      <c r="L207" s="2430">
        <f t="shared" si="17"/>
        <v>9.8549625746394598E-4</v>
      </c>
      <c r="M207" s="2430">
        <f t="shared" si="17"/>
        <v>9.8549625746394598E-4</v>
      </c>
      <c r="N207" s="2430">
        <f t="shared" si="17"/>
        <v>9.8549625746394598E-4</v>
      </c>
      <c r="Q207" s="4188" t="s">
        <v>3537</v>
      </c>
      <c r="R207" s="922"/>
      <c r="S207" s="4190">
        <f t="shared" si="6"/>
        <v>113.33333333333333</v>
      </c>
      <c r="T207" s="2718">
        <f t="shared" si="7"/>
        <v>1.3288</v>
      </c>
      <c r="U207" s="4192">
        <f t="shared" si="8"/>
        <v>0.11333333333333333</v>
      </c>
    </row>
    <row r="208" spans="2:21" hidden="1">
      <c r="B208" s="105"/>
      <c r="C208" s="1362" t="s">
        <v>469</v>
      </c>
      <c r="D208" s="80" t="s">
        <v>1113</v>
      </c>
      <c r="E208" s="80" t="s">
        <v>1126</v>
      </c>
      <c r="F208" s="2412">
        <f>0.00103575535045395*(1/Unit.TWh)</f>
        <v>1.0357553504539499E-3</v>
      </c>
      <c r="G208" s="2412">
        <f>0.00108387045813274*(1/Unit.TWh)</f>
        <v>1.0838704581327401E-3</v>
      </c>
      <c r="H208" s="2412">
        <f>0.00108807120923228*(1/Unit.TWh)</f>
        <v>1.0880712092322801E-3</v>
      </c>
      <c r="I208" s="2412">
        <f>0.00105465050362138*(1/Unit.TWh)</f>
        <v>1.0546505036213799E-3</v>
      </c>
      <c r="J208" s="2412">
        <f>0.00102013469233904*(1/Unit.TWh)</f>
        <v>1.0201346923390401E-3</v>
      </c>
      <c r="K208" s="2412">
        <f t="shared" si="17"/>
        <v>9.8549625746394598E-4</v>
      </c>
      <c r="L208" s="2412">
        <f t="shared" si="17"/>
        <v>9.8549625746394598E-4</v>
      </c>
      <c r="M208" s="2412">
        <f t="shared" si="17"/>
        <v>9.8549625746394598E-4</v>
      </c>
      <c r="N208" s="2412">
        <f t="shared" si="17"/>
        <v>9.8549625746394598E-4</v>
      </c>
      <c r="Q208" s="4188" t="s">
        <v>3538</v>
      </c>
      <c r="R208" s="922"/>
      <c r="S208" s="4190">
        <f t="shared" si="6"/>
        <v>113.33333333333333</v>
      </c>
      <c r="T208" s="2718">
        <f t="shared" si="7"/>
        <v>1.3288</v>
      </c>
      <c r="U208" s="4192">
        <f t="shared" si="8"/>
        <v>0.11333333333333333</v>
      </c>
    </row>
    <row r="209" spans="2:21" hidden="1">
      <c r="B209" s="105"/>
      <c r="C209" s="1362" t="s">
        <v>469</v>
      </c>
      <c r="D209" s="80" t="s">
        <v>1113</v>
      </c>
      <c r="E209" s="80" t="s">
        <v>1127</v>
      </c>
      <c r="F209" s="2412">
        <f t="shared" ref="F209:N210" si="18">0*(1/Unit.TWh)</f>
        <v>0</v>
      </c>
      <c r="G209" s="2412">
        <f t="shared" si="18"/>
        <v>0</v>
      </c>
      <c r="H209" s="2412">
        <f t="shared" si="18"/>
        <v>0</v>
      </c>
      <c r="I209" s="2412">
        <f t="shared" si="18"/>
        <v>0</v>
      </c>
      <c r="J209" s="2412">
        <f t="shared" si="18"/>
        <v>0</v>
      </c>
      <c r="K209" s="2412">
        <f t="shared" si="18"/>
        <v>0</v>
      </c>
      <c r="L209" s="2412">
        <f t="shared" si="18"/>
        <v>0</v>
      </c>
      <c r="M209" s="2412">
        <f t="shared" si="18"/>
        <v>0</v>
      </c>
      <c r="N209" s="2412">
        <f t="shared" si="18"/>
        <v>0</v>
      </c>
      <c r="Q209" s="4188" t="s">
        <v>3502</v>
      </c>
      <c r="R209" s="922"/>
      <c r="S209" s="4190">
        <f t="shared" si="6"/>
        <v>113.33333333333333</v>
      </c>
      <c r="T209" s="2718">
        <f t="shared" si="7"/>
        <v>1.3288</v>
      </c>
      <c r="U209" s="4192">
        <f t="shared" si="8"/>
        <v>0.11333333333333333</v>
      </c>
    </row>
    <row r="210" spans="2:21" hidden="1">
      <c r="B210" s="105"/>
      <c r="C210" s="1362" t="s">
        <v>469</v>
      </c>
      <c r="D210" s="80" t="s">
        <v>1113</v>
      </c>
      <c r="E210" s="80" t="s">
        <v>1128</v>
      </c>
      <c r="F210" s="2412">
        <f t="shared" si="18"/>
        <v>0</v>
      </c>
      <c r="G210" s="2412">
        <f t="shared" si="18"/>
        <v>0</v>
      </c>
      <c r="H210" s="2412">
        <f t="shared" si="18"/>
        <v>0</v>
      </c>
      <c r="I210" s="2412">
        <f t="shared" si="18"/>
        <v>0</v>
      </c>
      <c r="J210" s="2412">
        <f t="shared" si="18"/>
        <v>0</v>
      </c>
      <c r="K210" s="2412">
        <f t="shared" si="18"/>
        <v>0</v>
      </c>
      <c r="L210" s="2412">
        <f t="shared" si="18"/>
        <v>0</v>
      </c>
      <c r="M210" s="2412">
        <f t="shared" si="18"/>
        <v>0</v>
      </c>
      <c r="N210" s="2412">
        <f t="shared" si="18"/>
        <v>0</v>
      </c>
      <c r="Q210" s="4188" t="s">
        <v>3539</v>
      </c>
      <c r="R210" s="922"/>
      <c r="S210" s="4190">
        <f t="shared" si="6"/>
        <v>113.33333333333333</v>
      </c>
      <c r="T210" s="2718">
        <f t="shared" si="7"/>
        <v>1.3288</v>
      </c>
      <c r="U210" s="4192">
        <f t="shared" si="8"/>
        <v>0.11333333333333333</v>
      </c>
    </row>
    <row r="211" spans="2:21" hidden="1">
      <c r="B211" s="105"/>
      <c r="C211" s="1362" t="s">
        <v>469</v>
      </c>
      <c r="D211" s="80" t="s">
        <v>1115</v>
      </c>
      <c r="E211" s="80" t="s">
        <v>1125</v>
      </c>
      <c r="F211" s="2412">
        <f>0.00116842105263158*(1/Unit.TWh)</f>
        <v>1.1684210526315801E-3</v>
      </c>
      <c r="G211" s="2412">
        <f>0.0012237150060623*(1/Unit.TWh)</f>
        <v>1.2237150060623E-3</v>
      </c>
      <c r="H211" s="2412">
        <f>0.00123656600366703*(1/Unit.TWh)</f>
        <v>1.2365660036670299E-3</v>
      </c>
      <c r="I211" s="2412">
        <f>0.00125850555931653*(1/Unit.TWh)</f>
        <v>1.25850555931653E-3</v>
      </c>
      <c r="J211" s="2412">
        <f>0.00127874031997871*(1/Unit.TWh)</f>
        <v>1.27874031997871E-3</v>
      </c>
      <c r="K211" s="2412">
        <f t="shared" ref="K211:N212" si="19">0.00130002180217232*(1/Unit.TWh)</f>
        <v>1.3000218021723201E-3</v>
      </c>
      <c r="L211" s="2412">
        <f t="shared" si="19"/>
        <v>1.3000218021723201E-3</v>
      </c>
      <c r="M211" s="2412">
        <f t="shared" si="19"/>
        <v>1.3000218021723201E-3</v>
      </c>
      <c r="N211" s="2412">
        <f t="shared" si="19"/>
        <v>1.3000218021723201E-3</v>
      </c>
      <c r="Q211" s="4188" t="s">
        <v>3540</v>
      </c>
      <c r="R211" s="922"/>
      <c r="S211" s="4190">
        <f t="shared" si="6"/>
        <v>113.33333333333333</v>
      </c>
      <c r="T211" s="2718">
        <f t="shared" si="7"/>
        <v>1.3288</v>
      </c>
      <c r="U211" s="4192">
        <f t="shared" si="8"/>
        <v>0.11333333333333333</v>
      </c>
    </row>
    <row r="212" spans="2:21" hidden="1">
      <c r="B212" s="105"/>
      <c r="C212" s="1362" t="s">
        <v>469</v>
      </c>
      <c r="D212" s="80" t="s">
        <v>1115</v>
      </c>
      <c r="E212" s="80" t="s">
        <v>1129</v>
      </c>
      <c r="F212" s="2430">
        <f>0.00116842105263158*(1/Unit.TWh)</f>
        <v>1.1684210526315801E-3</v>
      </c>
      <c r="G212" s="2430">
        <f>0.0012237150060623*(1/Unit.TWh)</f>
        <v>1.2237150060623E-3</v>
      </c>
      <c r="H212" s="2430">
        <f>0.00123656600366703*(1/Unit.TWh)</f>
        <v>1.2365660036670299E-3</v>
      </c>
      <c r="I212" s="2430">
        <f>0.00125850555931653*(1/Unit.TWh)</f>
        <v>1.25850555931653E-3</v>
      </c>
      <c r="J212" s="2430">
        <f>0.00127874031997871*(1/Unit.TWh)</f>
        <v>1.27874031997871E-3</v>
      </c>
      <c r="K212" s="2430">
        <f t="shared" si="19"/>
        <v>1.3000218021723201E-3</v>
      </c>
      <c r="L212" s="2430">
        <f t="shared" si="19"/>
        <v>1.3000218021723201E-3</v>
      </c>
      <c r="M212" s="2430">
        <f t="shared" si="19"/>
        <v>1.3000218021723201E-3</v>
      </c>
      <c r="N212" s="2430">
        <f t="shared" si="19"/>
        <v>1.3000218021723201E-3</v>
      </c>
      <c r="Q212" s="4188" t="s">
        <v>3541</v>
      </c>
      <c r="R212" s="922"/>
      <c r="S212" s="4190">
        <f t="shared" si="6"/>
        <v>113.33333333333333</v>
      </c>
      <c r="T212" s="2718">
        <f t="shared" si="7"/>
        <v>1.3288</v>
      </c>
      <c r="U212" s="4192">
        <f t="shared" si="8"/>
        <v>0.11333333333333333</v>
      </c>
    </row>
    <row r="213" spans="2:21" hidden="1">
      <c r="B213" s="105"/>
      <c r="C213" s="1362" t="s">
        <v>469</v>
      </c>
      <c r="D213" s="80" t="s">
        <v>1115</v>
      </c>
      <c r="E213" s="80" t="s">
        <v>1127</v>
      </c>
      <c r="F213" s="2430">
        <f t="shared" ref="F213:N215" si="20">0*(1/Unit.TWh)</f>
        <v>0</v>
      </c>
      <c r="G213" s="2430">
        <f t="shared" si="20"/>
        <v>0</v>
      </c>
      <c r="H213" s="2430">
        <f t="shared" si="20"/>
        <v>0</v>
      </c>
      <c r="I213" s="2430">
        <f t="shared" si="20"/>
        <v>0</v>
      </c>
      <c r="J213" s="2430">
        <f t="shared" si="20"/>
        <v>0</v>
      </c>
      <c r="K213" s="2430">
        <f t="shared" si="20"/>
        <v>0</v>
      </c>
      <c r="L213" s="2430">
        <f t="shared" si="20"/>
        <v>0</v>
      </c>
      <c r="M213" s="2430">
        <f t="shared" si="20"/>
        <v>0</v>
      </c>
      <c r="N213" s="2430">
        <f t="shared" si="20"/>
        <v>0</v>
      </c>
      <c r="Q213" s="4188" t="s">
        <v>3542</v>
      </c>
      <c r="R213" s="922"/>
      <c r="S213" s="4190">
        <f t="shared" si="6"/>
        <v>113.33333333333333</v>
      </c>
      <c r="T213" s="2718">
        <f t="shared" si="7"/>
        <v>1.3288</v>
      </c>
      <c r="U213" s="4192">
        <f t="shared" si="8"/>
        <v>0.11333333333333333</v>
      </c>
    </row>
    <row r="214" spans="2:21" s="4150" customFormat="1" hidden="1">
      <c r="B214" s="105"/>
      <c r="C214" s="1362" t="s">
        <v>469</v>
      </c>
      <c r="D214" s="80" t="s">
        <v>1115</v>
      </c>
      <c r="E214" s="3833" t="s">
        <v>3434</v>
      </c>
      <c r="F214" s="4154"/>
      <c r="G214" s="4154"/>
      <c r="H214" s="4154"/>
      <c r="I214" s="4154"/>
      <c r="J214" s="4154"/>
      <c r="K214" s="4154"/>
      <c r="L214" s="4154"/>
      <c r="M214" s="4154"/>
      <c r="N214" s="4154"/>
      <c r="Q214" s="4188" t="s">
        <v>3543</v>
      </c>
      <c r="R214" s="922"/>
      <c r="S214" s="4190">
        <f t="shared" si="6"/>
        <v>113.33333333333333</v>
      </c>
      <c r="T214" s="2718">
        <f t="shared" si="7"/>
        <v>1.3288</v>
      </c>
      <c r="U214" s="4192">
        <f t="shared" si="8"/>
        <v>0.11333333333333333</v>
      </c>
    </row>
    <row r="215" spans="2:21" hidden="1">
      <c r="B215" s="105"/>
      <c r="C215" s="1362" t="s">
        <v>469</v>
      </c>
      <c r="D215" s="80" t="s">
        <v>1115</v>
      </c>
      <c r="E215" s="80" t="s">
        <v>1128</v>
      </c>
      <c r="F215" s="2430">
        <f t="shared" si="20"/>
        <v>0</v>
      </c>
      <c r="G215" s="2430">
        <f t="shared" si="20"/>
        <v>0</v>
      </c>
      <c r="H215" s="2430">
        <f t="shared" si="20"/>
        <v>0</v>
      </c>
      <c r="I215" s="2430">
        <f t="shared" si="20"/>
        <v>0</v>
      </c>
      <c r="J215" s="2430">
        <f t="shared" si="20"/>
        <v>0</v>
      </c>
      <c r="K215" s="2430">
        <f t="shared" si="20"/>
        <v>0</v>
      </c>
      <c r="L215" s="2430">
        <f t="shared" si="20"/>
        <v>0</v>
      </c>
      <c r="M215" s="2430">
        <f t="shared" si="20"/>
        <v>0</v>
      </c>
      <c r="N215" s="2430">
        <f t="shared" si="20"/>
        <v>0</v>
      </c>
      <c r="Q215" s="4188" t="s">
        <v>3544</v>
      </c>
      <c r="R215" s="922"/>
      <c r="S215" s="4190">
        <f t="shared" si="6"/>
        <v>113.33333333333333</v>
      </c>
      <c r="T215" s="2718">
        <f t="shared" si="7"/>
        <v>1.3288</v>
      </c>
      <c r="U215" s="4192">
        <f t="shared" si="8"/>
        <v>0.11333333333333333</v>
      </c>
    </row>
    <row r="216" spans="2:21" hidden="1">
      <c r="B216" s="105"/>
      <c r="C216" s="1362" t="s">
        <v>469</v>
      </c>
      <c r="D216" s="80" t="s">
        <v>1117</v>
      </c>
      <c r="E216" s="80" t="s">
        <v>1130</v>
      </c>
      <c r="F216" s="2430">
        <f>0.0889473684210526*(1/Unit.TWh)</f>
        <v>8.8947368421052594E-2</v>
      </c>
      <c r="G216" s="2430">
        <f t="shared" ref="G216:N216" si="21">0.00157894736842105*(1/Unit.TWh)</f>
        <v>1.57894736842105E-3</v>
      </c>
      <c r="H216" s="2430">
        <f t="shared" si="21"/>
        <v>1.57894736842105E-3</v>
      </c>
      <c r="I216" s="2430">
        <f t="shared" si="21"/>
        <v>1.57894736842105E-3</v>
      </c>
      <c r="J216" s="2430">
        <f t="shared" si="21"/>
        <v>1.57894736842105E-3</v>
      </c>
      <c r="K216" s="2430">
        <f t="shared" si="21"/>
        <v>1.57894736842105E-3</v>
      </c>
      <c r="L216" s="2430">
        <f t="shared" si="21"/>
        <v>1.57894736842105E-3</v>
      </c>
      <c r="M216" s="2430">
        <f t="shared" si="21"/>
        <v>1.57894736842105E-3</v>
      </c>
      <c r="N216" s="2430">
        <f t="shared" si="21"/>
        <v>1.57894736842105E-3</v>
      </c>
      <c r="Q216" s="4188" t="s">
        <v>3545</v>
      </c>
      <c r="R216" s="922"/>
      <c r="S216" s="4190">
        <f t="shared" si="6"/>
        <v>113.33333333333333</v>
      </c>
      <c r="T216" s="2718">
        <f t="shared" si="7"/>
        <v>1.3288</v>
      </c>
      <c r="U216" s="4192">
        <f t="shared" si="8"/>
        <v>0.11333333333333333</v>
      </c>
    </row>
    <row r="217" spans="2:21" hidden="1">
      <c r="B217" s="105"/>
      <c r="C217" s="1362" t="s">
        <v>469</v>
      </c>
      <c r="D217" s="80" t="s">
        <v>1117</v>
      </c>
      <c r="E217" s="80" t="s">
        <v>1131</v>
      </c>
      <c r="F217" s="2430">
        <f t="shared" ref="F217:N217" si="22">0*(1/Unit.TWh)</f>
        <v>0</v>
      </c>
      <c r="G217" s="2430">
        <f t="shared" si="22"/>
        <v>0</v>
      </c>
      <c r="H217" s="2430">
        <f t="shared" si="22"/>
        <v>0</v>
      </c>
      <c r="I217" s="2430">
        <f t="shared" si="22"/>
        <v>0</v>
      </c>
      <c r="J217" s="2430">
        <f t="shared" si="22"/>
        <v>0</v>
      </c>
      <c r="K217" s="2430">
        <f t="shared" si="22"/>
        <v>0</v>
      </c>
      <c r="L217" s="2430">
        <f t="shared" si="22"/>
        <v>0</v>
      </c>
      <c r="M217" s="2430">
        <f t="shared" si="22"/>
        <v>0</v>
      </c>
      <c r="N217" s="2430">
        <f t="shared" si="22"/>
        <v>0</v>
      </c>
      <c r="Q217" s="4188" t="s">
        <v>3546</v>
      </c>
      <c r="R217" s="922"/>
      <c r="S217" s="4190">
        <f t="shared" si="6"/>
        <v>113.33333333333333</v>
      </c>
      <c r="T217" s="2718">
        <f t="shared" si="7"/>
        <v>1.3288</v>
      </c>
      <c r="U217" s="4192">
        <f t="shared" si="8"/>
        <v>0.11333333333333333</v>
      </c>
    </row>
    <row r="218" spans="2:21" hidden="1">
      <c r="B218" s="105"/>
      <c r="C218" s="1362" t="s">
        <v>469</v>
      </c>
      <c r="D218" s="80" t="s">
        <v>1119</v>
      </c>
      <c r="E218" s="80" t="s">
        <v>1119</v>
      </c>
      <c r="F218" s="2430">
        <f t="shared" ref="F218:N218" si="23">0.0636888078778714*(1/Unit.TWh)</f>
        <v>6.3688807877871401E-2</v>
      </c>
      <c r="G218" s="2430">
        <f t="shared" si="23"/>
        <v>6.3688807877871401E-2</v>
      </c>
      <c r="H218" s="2430">
        <f t="shared" si="23"/>
        <v>6.3688807877871401E-2</v>
      </c>
      <c r="I218" s="2430">
        <f t="shared" si="23"/>
        <v>6.3688807877871401E-2</v>
      </c>
      <c r="J218" s="2430">
        <f t="shared" si="23"/>
        <v>6.3688807877871401E-2</v>
      </c>
      <c r="K218" s="2430">
        <f t="shared" si="23"/>
        <v>6.3688807877871401E-2</v>
      </c>
      <c r="L218" s="2430">
        <f t="shared" si="23"/>
        <v>6.3688807877871401E-2</v>
      </c>
      <c r="M218" s="2430">
        <f t="shared" si="23"/>
        <v>6.3688807877871401E-2</v>
      </c>
      <c r="N218" s="2430">
        <f t="shared" si="23"/>
        <v>6.3688807877871401E-2</v>
      </c>
      <c r="Q218" s="4188" t="s">
        <v>3547</v>
      </c>
      <c r="R218" s="922"/>
      <c r="S218" s="4190">
        <f t="shared" si="6"/>
        <v>113.33333333333333</v>
      </c>
      <c r="T218" s="2718">
        <f t="shared" si="7"/>
        <v>1.3288</v>
      </c>
      <c r="U218" s="4192">
        <f t="shared" si="8"/>
        <v>0.11333333333333333</v>
      </c>
    </row>
    <row r="219" spans="2:21" s="918" customFormat="1" ht="15.5" hidden="1">
      <c r="B219" s="1210"/>
      <c r="C219" s="943"/>
      <c r="D219" s="103"/>
      <c r="E219" s="1256"/>
      <c r="F219" s="3819"/>
      <c r="G219" s="3819"/>
      <c r="H219" s="3819"/>
      <c r="I219" s="3819"/>
      <c r="J219" s="3818"/>
      <c r="K219" s="3818"/>
      <c r="L219" s="3818"/>
      <c r="M219" s="3818"/>
      <c r="N219" s="3818"/>
      <c r="Q219" s="4188" t="s">
        <v>3548</v>
      </c>
      <c r="R219" s="922"/>
      <c r="S219" s="4190">
        <f t="shared" si="6"/>
        <v>113.33333333333333</v>
      </c>
      <c r="T219" s="2718">
        <f t="shared" si="7"/>
        <v>1.3288</v>
      </c>
      <c r="U219" s="4192">
        <f t="shared" si="8"/>
        <v>0.11333333333333333</v>
      </c>
    </row>
    <row r="220" spans="2:21" hidden="1">
      <c r="B220" s="105"/>
      <c r="C220" s="49" t="s">
        <v>783</v>
      </c>
      <c r="D220" s="67"/>
      <c r="E220" s="67"/>
      <c r="F220" s="67"/>
      <c r="G220" s="67"/>
      <c r="H220" s="67"/>
      <c r="I220" s="67"/>
      <c r="J220" s="67"/>
      <c r="K220" s="67"/>
      <c r="L220" s="67"/>
      <c r="M220" s="67"/>
      <c r="N220" s="67" t="str">
        <f>"kt per "&amp;Preferences.EnergyUnits</f>
        <v>kt per TWh</v>
      </c>
      <c r="Q220" s="4188" t="s">
        <v>3549</v>
      </c>
      <c r="R220" s="922"/>
      <c r="S220" s="4190">
        <f t="shared" si="6"/>
        <v>113.33333333333333</v>
      </c>
      <c r="T220" s="2718">
        <f t="shared" si="7"/>
        <v>1.3288</v>
      </c>
      <c r="U220" s="4192">
        <f t="shared" si="8"/>
        <v>0.11333333333333333</v>
      </c>
    </row>
    <row r="221" spans="2:21" hidden="1">
      <c r="B221" s="105"/>
      <c r="C221" s="67"/>
      <c r="D221" s="67"/>
      <c r="E221" s="1352"/>
      <c r="F221" s="67"/>
      <c r="G221" s="67"/>
      <c r="H221" s="67"/>
      <c r="I221" s="67"/>
      <c r="J221" s="67"/>
      <c r="K221" s="67"/>
      <c r="L221" s="67"/>
      <c r="M221" s="67"/>
      <c r="N221" s="67"/>
      <c r="Q221" s="4188" t="s">
        <v>3550</v>
      </c>
      <c r="R221" s="922"/>
      <c r="S221" s="4190">
        <f t="shared" si="6"/>
        <v>113.33333333333333</v>
      </c>
      <c r="T221" s="2718">
        <f t="shared" si="7"/>
        <v>1.3288</v>
      </c>
      <c r="U221" s="4192">
        <f t="shared" si="8"/>
        <v>0.11333333333333333</v>
      </c>
    </row>
    <row r="222" spans="2:21" hidden="1">
      <c r="B222" s="105"/>
      <c r="C222" s="1520" t="s">
        <v>43</v>
      </c>
      <c r="D222" s="1520" t="s">
        <v>987</v>
      </c>
      <c r="E222" s="1521" t="s">
        <v>44</v>
      </c>
      <c r="F222" s="1522" t="s">
        <v>588</v>
      </c>
      <c r="G222" s="1522" t="s">
        <v>132</v>
      </c>
      <c r="H222" s="1522" t="s">
        <v>133</v>
      </c>
      <c r="I222" s="1522" t="s">
        <v>134</v>
      </c>
      <c r="J222" s="1522" t="s">
        <v>135</v>
      </c>
      <c r="K222" s="1522" t="s">
        <v>136</v>
      </c>
      <c r="L222" s="1522" t="s">
        <v>137</v>
      </c>
      <c r="M222" s="1522" t="s">
        <v>138</v>
      </c>
      <c r="N222" s="1522" t="s">
        <v>139</v>
      </c>
      <c r="Q222" s="4188" t="s">
        <v>3551</v>
      </c>
      <c r="R222" s="922"/>
      <c r="S222" s="4190">
        <f t="shared" si="6"/>
        <v>113.33333333333333</v>
      </c>
      <c r="T222" s="2718">
        <f t="shared" si="7"/>
        <v>1.3288</v>
      </c>
      <c r="U222" s="4192">
        <f t="shared" si="8"/>
        <v>0.11333333333333333</v>
      </c>
    </row>
    <row r="223" spans="2:21" hidden="1">
      <c r="B223" s="105"/>
      <c r="C223" s="1362" t="s">
        <v>469</v>
      </c>
      <c r="D223" s="189" t="s">
        <v>1113</v>
      </c>
      <c r="E223" s="1523" t="s">
        <v>1125</v>
      </c>
      <c r="F223" s="2430">
        <f>0.181296600733908*(1/Unit.TWh)</f>
        <v>0.18129660073390799</v>
      </c>
      <c r="G223" s="2430">
        <f>0.0945292521903705*(1/Unit.TWh)</f>
        <v>9.4529252190370505E-2</v>
      </c>
      <c r="H223" s="2430">
        <f>0.0850375686331767*(1/Unit.TWh)</f>
        <v>8.5037568633176699E-2</v>
      </c>
      <c r="I223" s="2430">
        <f>0.094191138945187*(1/Unit.TWh)</f>
        <v>9.4191138945187006E-2</v>
      </c>
      <c r="J223" s="2430">
        <f>0.10328721110497*(1/Unit.TWh)</f>
        <v>0.10328721110496999</v>
      </c>
      <c r="K223" s="2430">
        <f>0.104417552656862*(1/Unit.TWh)</f>
        <v>0.10441755265686201</v>
      </c>
      <c r="L223" s="2430">
        <f>0.104417552656862*(1/Unit.TWh)</f>
        <v>0.10441755265686201</v>
      </c>
      <c r="M223" s="2430">
        <f>0.104417552656862*(1/Unit.TWh)</f>
        <v>0.10441755265686201</v>
      </c>
      <c r="N223" s="2430">
        <f>0.104417552656862*(1/Unit.TWh)</f>
        <v>0.10441755265686201</v>
      </c>
      <c r="Q223" s="4188" t="s">
        <v>3552</v>
      </c>
      <c r="R223" s="922"/>
      <c r="S223" s="4190">
        <f t="shared" si="6"/>
        <v>113.33333333333333</v>
      </c>
      <c r="T223" s="2718">
        <f t="shared" si="7"/>
        <v>1.3288</v>
      </c>
      <c r="U223" s="4192">
        <f t="shared" si="8"/>
        <v>0.11333333333333333</v>
      </c>
    </row>
    <row r="224" spans="2:21" hidden="1">
      <c r="B224" s="105"/>
      <c r="C224" s="1362" t="s">
        <v>469</v>
      </c>
      <c r="D224" s="80" t="s">
        <v>1113</v>
      </c>
      <c r="E224" s="80" t="s">
        <v>1126</v>
      </c>
      <c r="F224" s="2412">
        <f>0.512086079872255*(1/Unit.TWh)</f>
        <v>0.51208607987225496</v>
      </c>
      <c r="G224" s="2412">
        <f>0.0739200626000864*(1/Unit.TWh)</f>
        <v>7.3920062600086406E-2</v>
      </c>
      <c r="H224" s="2412">
        <f>0.0795676596126434*(1/Unit.TWh)</f>
        <v>7.9567659612643393E-2</v>
      </c>
      <c r="I224" s="2412">
        <f>0.0948271493238094*(1/Unit.TWh)</f>
        <v>9.4827149323809395E-2</v>
      </c>
      <c r="J224" s="2412">
        <f>0.105685788104865*(1/Unit.TWh)</f>
        <v>0.10568578810486499</v>
      </c>
      <c r="K224" s="2412">
        <f>0.1076037190493*(1/Unit.TWh)</f>
        <v>0.1076037190493</v>
      </c>
      <c r="L224" s="2412">
        <f>0.1076037190493*(1/Unit.TWh)</f>
        <v>0.1076037190493</v>
      </c>
      <c r="M224" s="2412">
        <f>0.1076037190493*(1/Unit.TWh)</f>
        <v>0.1076037190493</v>
      </c>
      <c r="N224" s="2412">
        <f>0.1076037190493*(1/Unit.TWh)</f>
        <v>0.1076037190493</v>
      </c>
      <c r="Q224" s="4188" t="s">
        <v>3553</v>
      </c>
      <c r="R224" s="922"/>
      <c r="S224" s="4190">
        <f t="shared" si="6"/>
        <v>113.33333333333333</v>
      </c>
      <c r="T224" s="2718">
        <f t="shared" si="7"/>
        <v>1.3288</v>
      </c>
      <c r="U224" s="4192">
        <f t="shared" si="8"/>
        <v>0.11333333333333333</v>
      </c>
    </row>
    <row r="225" spans="2:21" hidden="1">
      <c r="B225" s="105"/>
      <c r="C225" s="1362" t="s">
        <v>469</v>
      </c>
      <c r="D225" s="80" t="s">
        <v>1113</v>
      </c>
      <c r="E225" s="80" t="s">
        <v>1127</v>
      </c>
      <c r="F225" s="2412">
        <f t="shared" ref="F225:N226" si="24">0*(1/Unit.TWh)</f>
        <v>0</v>
      </c>
      <c r="G225" s="2412">
        <f t="shared" si="24"/>
        <v>0</v>
      </c>
      <c r="H225" s="2412">
        <f t="shared" si="24"/>
        <v>0</v>
      </c>
      <c r="I225" s="2412">
        <f t="shared" si="24"/>
        <v>0</v>
      </c>
      <c r="J225" s="2412">
        <f t="shared" si="24"/>
        <v>0</v>
      </c>
      <c r="K225" s="2412">
        <f t="shared" si="24"/>
        <v>0</v>
      </c>
      <c r="L225" s="2412">
        <f t="shared" si="24"/>
        <v>0</v>
      </c>
      <c r="M225" s="2412">
        <f t="shared" si="24"/>
        <v>0</v>
      </c>
      <c r="N225" s="2412">
        <f t="shared" si="24"/>
        <v>0</v>
      </c>
      <c r="Q225" s="4188" t="s">
        <v>3554</v>
      </c>
      <c r="R225" s="922"/>
      <c r="S225" s="4190">
        <f t="shared" si="6"/>
        <v>113.33333333333333</v>
      </c>
      <c r="T225" s="2718">
        <f t="shared" si="7"/>
        <v>1.3288</v>
      </c>
      <c r="U225" s="4192">
        <f t="shared" si="8"/>
        <v>0.11333333333333333</v>
      </c>
    </row>
    <row r="226" spans="2:21" hidden="1">
      <c r="B226" s="105"/>
      <c r="C226" s="1362" t="s">
        <v>469</v>
      </c>
      <c r="D226" s="80" t="s">
        <v>1113</v>
      </c>
      <c r="E226" s="80" t="s">
        <v>1128</v>
      </c>
      <c r="F226" s="2412">
        <f t="shared" si="24"/>
        <v>0</v>
      </c>
      <c r="G226" s="2412">
        <f t="shared" si="24"/>
        <v>0</v>
      </c>
      <c r="H226" s="2412">
        <f t="shared" si="24"/>
        <v>0</v>
      </c>
      <c r="I226" s="2412">
        <f t="shared" si="24"/>
        <v>0</v>
      </c>
      <c r="J226" s="2412">
        <f t="shared" si="24"/>
        <v>0</v>
      </c>
      <c r="K226" s="2412">
        <f t="shared" si="24"/>
        <v>0</v>
      </c>
      <c r="L226" s="2412">
        <f t="shared" si="24"/>
        <v>0</v>
      </c>
      <c r="M226" s="2412">
        <f t="shared" si="24"/>
        <v>0</v>
      </c>
      <c r="N226" s="2412">
        <f t="shared" si="24"/>
        <v>0</v>
      </c>
      <c r="Q226" s="4188" t="s">
        <v>3555</v>
      </c>
      <c r="R226" s="922"/>
      <c r="S226" s="4190">
        <f t="shared" si="6"/>
        <v>113.33333333333333</v>
      </c>
      <c r="T226" s="2718">
        <f t="shared" si="7"/>
        <v>1.3288</v>
      </c>
      <c r="U226" s="4192">
        <f t="shared" si="8"/>
        <v>0.11333333333333333</v>
      </c>
    </row>
    <row r="227" spans="2:21" hidden="1">
      <c r="B227" s="105"/>
      <c r="C227" s="1362" t="s">
        <v>469</v>
      </c>
      <c r="D227" s="80" t="s">
        <v>1115</v>
      </c>
      <c r="E227" s="80" t="s">
        <v>1125</v>
      </c>
      <c r="F227" s="2412">
        <f>0.0626530846063083*(1/Unit.TWh)</f>
        <v>6.2653084606308307E-2</v>
      </c>
      <c r="G227" s="2412">
        <f>0.02664553291965*(1/Unit.TWh)</f>
        <v>2.6645532919650002E-2</v>
      </c>
      <c r="H227" s="2412">
        <f>0.00855895278162065*(1/Unit.TWh)</f>
        <v>8.55895278162065E-3</v>
      </c>
      <c r="I227" s="2412">
        <f>0.00253299067775509*(1/Unit.TWh)</f>
        <v>2.5329906777550901E-3</v>
      </c>
      <c r="J227" s="2412">
        <f>0.00144201810245964*(1/Unit.TWh)</f>
        <v>1.4420181024596399E-3</v>
      </c>
      <c r="K227" s="2412">
        <f>0.00138284728854744*(1/Unit.TWh)</f>
        <v>1.38284728854744E-3</v>
      </c>
      <c r="L227" s="2412">
        <f>0.00138284728854744*(1/Unit.TWh)</f>
        <v>1.38284728854744E-3</v>
      </c>
      <c r="M227" s="2412">
        <f>0.00138284728854744*(1/Unit.TWh)</f>
        <v>1.38284728854744E-3</v>
      </c>
      <c r="N227" s="2412">
        <f>0.00138284728854744*(1/Unit.TWh)</f>
        <v>1.38284728854744E-3</v>
      </c>
      <c r="Q227" s="4188" t="s">
        <v>3556</v>
      </c>
      <c r="R227" s="922"/>
      <c r="S227" s="4190">
        <f t="shared" si="6"/>
        <v>113.33333333333333</v>
      </c>
      <c r="T227" s="2718">
        <f t="shared" si="7"/>
        <v>1.3288</v>
      </c>
      <c r="U227" s="4192">
        <f t="shared" si="8"/>
        <v>0.11333333333333333</v>
      </c>
    </row>
    <row r="228" spans="2:21" hidden="1">
      <c r="B228" s="105"/>
      <c r="C228" s="1362" t="s">
        <v>469</v>
      </c>
      <c r="D228" s="80" t="s">
        <v>1115</v>
      </c>
      <c r="E228" s="80" t="s">
        <v>1129</v>
      </c>
      <c r="F228" s="2430">
        <f>0.0075994981919464*(1/Unit.TWh)</f>
        <v>7.5994981919464003E-3</v>
      </c>
      <c r="G228" s="2430">
        <f>0.0053889828787517*(1/Unit.TWh)</f>
        <v>5.3889828787517004E-3</v>
      </c>
      <c r="H228" s="2430">
        <f>0.00325356899833647*(1/Unit.TWh)</f>
        <v>3.25356899833647E-3</v>
      </c>
      <c r="I228" s="2430">
        <f>0.00230602269131357*(1/Unit.TWh)</f>
        <v>2.3060226913135702E-3</v>
      </c>
      <c r="J228" s="2430">
        <f>0.00206324453467557*(1/Unit.TWh)</f>
        <v>2.06324453467557E-3</v>
      </c>
      <c r="K228" s="2430">
        <f>0.00197860821101618*(1/Unit.TWh)</f>
        <v>1.97860821101618E-3</v>
      </c>
      <c r="L228" s="2430">
        <f>0.00197860821101618*(1/Unit.TWh)</f>
        <v>1.97860821101618E-3</v>
      </c>
      <c r="M228" s="2430">
        <f>0.00197860821101618*(1/Unit.TWh)</f>
        <v>1.97860821101618E-3</v>
      </c>
      <c r="N228" s="2430">
        <f>0.00197860821101618*(1/Unit.TWh)</f>
        <v>1.97860821101618E-3</v>
      </c>
      <c r="Q228" s="4188" t="s">
        <v>3557</v>
      </c>
      <c r="R228" s="922"/>
      <c r="S228" s="4190">
        <f t="shared" si="6"/>
        <v>113.33333333333333</v>
      </c>
      <c r="T228" s="2718">
        <f t="shared" si="7"/>
        <v>1.3288</v>
      </c>
      <c r="U228" s="4192">
        <f t="shared" si="8"/>
        <v>0.11333333333333333</v>
      </c>
    </row>
    <row r="229" spans="2:21" hidden="1">
      <c r="B229" s="105"/>
      <c r="C229" s="1362" t="s">
        <v>469</v>
      </c>
      <c r="D229" s="80" t="s">
        <v>1115</v>
      </c>
      <c r="E229" s="80" t="s">
        <v>1127</v>
      </c>
      <c r="F229" s="2430">
        <f t="shared" ref="F229:N231" si="25">0*(1/Unit.TWh)</f>
        <v>0</v>
      </c>
      <c r="G229" s="2430">
        <f t="shared" si="25"/>
        <v>0</v>
      </c>
      <c r="H229" s="2430">
        <f t="shared" si="25"/>
        <v>0</v>
      </c>
      <c r="I229" s="2430">
        <f t="shared" si="25"/>
        <v>0</v>
      </c>
      <c r="J229" s="2430">
        <f t="shared" si="25"/>
        <v>0</v>
      </c>
      <c r="K229" s="2430">
        <f t="shared" si="25"/>
        <v>0</v>
      </c>
      <c r="L229" s="2430">
        <f t="shared" si="25"/>
        <v>0</v>
      </c>
      <c r="M229" s="2430">
        <f t="shared" si="25"/>
        <v>0</v>
      </c>
      <c r="N229" s="2430">
        <f t="shared" si="25"/>
        <v>0</v>
      </c>
      <c r="Q229" s="4188" t="s">
        <v>3558</v>
      </c>
      <c r="R229" s="922"/>
      <c r="S229" s="4190">
        <f t="shared" si="6"/>
        <v>113.33333333333333</v>
      </c>
      <c r="T229" s="2718">
        <f t="shared" si="7"/>
        <v>1.3288</v>
      </c>
      <c r="U229" s="4192">
        <f t="shared" si="8"/>
        <v>0.11333333333333333</v>
      </c>
    </row>
    <row r="230" spans="2:21" s="4150" customFormat="1" hidden="1">
      <c r="B230" s="105"/>
      <c r="C230" s="2224" t="s">
        <v>469</v>
      </c>
      <c r="D230" s="3833" t="s">
        <v>1115</v>
      </c>
      <c r="E230" s="3833" t="s">
        <v>3434</v>
      </c>
      <c r="F230" s="4154"/>
      <c r="G230" s="4154"/>
      <c r="H230" s="4154"/>
      <c r="I230" s="4154"/>
      <c r="J230" s="4154"/>
      <c r="K230" s="4154"/>
      <c r="L230" s="4154"/>
      <c r="M230" s="4154"/>
      <c r="N230" s="4154"/>
      <c r="Q230" s="4188" t="s">
        <v>3559</v>
      </c>
      <c r="R230" s="922"/>
      <c r="S230" s="4190">
        <f t="shared" si="6"/>
        <v>113.33333333333333</v>
      </c>
      <c r="T230" s="2718">
        <f t="shared" si="7"/>
        <v>1.3288</v>
      </c>
      <c r="U230" s="4192">
        <f t="shared" si="8"/>
        <v>0.11333333333333333</v>
      </c>
    </row>
    <row r="231" spans="2:21" hidden="1">
      <c r="B231" s="105"/>
      <c r="C231" s="1362" t="s">
        <v>469</v>
      </c>
      <c r="D231" s="80" t="s">
        <v>1115</v>
      </c>
      <c r="E231" s="80" t="s">
        <v>1128</v>
      </c>
      <c r="F231" s="2430">
        <f t="shared" si="25"/>
        <v>0</v>
      </c>
      <c r="G231" s="2430">
        <f t="shared" si="25"/>
        <v>0</v>
      </c>
      <c r="H231" s="2430">
        <f t="shared" si="25"/>
        <v>0</v>
      </c>
      <c r="I231" s="2430">
        <f t="shared" si="25"/>
        <v>0</v>
      </c>
      <c r="J231" s="2430">
        <f t="shared" si="25"/>
        <v>0</v>
      </c>
      <c r="K231" s="2430">
        <f t="shared" si="25"/>
        <v>0</v>
      </c>
      <c r="L231" s="2430">
        <f t="shared" si="25"/>
        <v>0</v>
      </c>
      <c r="M231" s="2430">
        <f t="shared" si="25"/>
        <v>0</v>
      </c>
      <c r="N231" s="2430">
        <f t="shared" si="25"/>
        <v>0</v>
      </c>
      <c r="Q231" s="4188" t="s">
        <v>3560</v>
      </c>
      <c r="R231" s="922"/>
      <c r="S231" s="4190">
        <f t="shared" si="6"/>
        <v>113.33333333333333</v>
      </c>
      <c r="T231" s="2718">
        <f t="shared" si="7"/>
        <v>1.3288</v>
      </c>
      <c r="U231" s="4192">
        <f t="shared" si="8"/>
        <v>0.11333333333333333</v>
      </c>
    </row>
    <row r="232" spans="2:21" hidden="1">
      <c r="B232" s="105"/>
      <c r="C232" s="1362" t="s">
        <v>469</v>
      </c>
      <c r="D232" s="80" t="s">
        <v>1117</v>
      </c>
      <c r="E232" s="80" t="s">
        <v>1130</v>
      </c>
      <c r="F232" s="2430">
        <f>0.766563914490118*(1/Unit.TWh)</f>
        <v>0.76656391449011796</v>
      </c>
      <c r="G232" s="2430">
        <f>0.6719146787679*(1/Unit.TWh)</f>
        <v>0.67191467876790001</v>
      </c>
      <c r="H232" s="2430">
        <f>0.570751027801786*(1/Unit.TWh)</f>
        <v>0.57075102780178599</v>
      </c>
      <c r="I232" s="2430">
        <f>0.469587376835671*(1/Unit.TWh)</f>
        <v>0.46958737683567098</v>
      </c>
      <c r="J232" s="2430">
        <f>0.368423725869557*(1/Unit.TWh)</f>
        <v>0.36842372586955702</v>
      </c>
      <c r="K232" s="2430">
        <f>0.267260074903443*(1/Unit.TWh)</f>
        <v>0.267260074903443</v>
      </c>
      <c r="L232" s="2430">
        <f>0.22432517854802*(1/Unit.TWh)</f>
        <v>0.22432517854802</v>
      </c>
      <c r="M232" s="2430">
        <f>0.217810763304124*(1/Unit.TWh)</f>
        <v>0.21781076330412399</v>
      </c>
      <c r="N232" s="2430">
        <f>0.217810763304124*(1/Unit.TWh)</f>
        <v>0.21781076330412399</v>
      </c>
      <c r="Q232" s="4188" t="s">
        <v>3561</v>
      </c>
      <c r="R232" s="922"/>
      <c r="S232" s="4190">
        <f t="shared" si="6"/>
        <v>113.33333333333333</v>
      </c>
      <c r="T232" s="2718">
        <f t="shared" si="7"/>
        <v>1.3288</v>
      </c>
      <c r="U232" s="4192">
        <f t="shared" si="8"/>
        <v>0.11333333333333333</v>
      </c>
    </row>
    <row r="233" spans="2:21" hidden="1">
      <c r="B233" s="105"/>
      <c r="C233" s="1362" t="s">
        <v>469</v>
      </c>
      <c r="D233" s="80" t="s">
        <v>1117</v>
      </c>
      <c r="E233" s="80" t="s">
        <v>1131</v>
      </c>
      <c r="F233" s="2430">
        <f t="shared" ref="F233:N233" si="26">0*(1/Unit.TWh)</f>
        <v>0</v>
      </c>
      <c r="G233" s="2430">
        <f t="shared" si="26"/>
        <v>0</v>
      </c>
      <c r="H233" s="2430">
        <f t="shared" si="26"/>
        <v>0</v>
      </c>
      <c r="I233" s="2430">
        <f t="shared" si="26"/>
        <v>0</v>
      </c>
      <c r="J233" s="2430">
        <f t="shared" si="26"/>
        <v>0</v>
      </c>
      <c r="K233" s="2430">
        <f t="shared" si="26"/>
        <v>0</v>
      </c>
      <c r="L233" s="2430">
        <f t="shared" si="26"/>
        <v>0</v>
      </c>
      <c r="M233" s="2430">
        <f t="shared" si="26"/>
        <v>0</v>
      </c>
      <c r="N233" s="2430">
        <f t="shared" si="26"/>
        <v>0</v>
      </c>
      <c r="Q233" s="4188" t="s">
        <v>3562</v>
      </c>
      <c r="R233" s="922"/>
      <c r="S233" s="4190">
        <f t="shared" si="6"/>
        <v>113.33333333333333</v>
      </c>
      <c r="T233" s="2718">
        <f t="shared" si="7"/>
        <v>1.3288</v>
      </c>
      <c r="U233" s="4192">
        <f t="shared" si="8"/>
        <v>0.11333333333333333</v>
      </c>
    </row>
    <row r="234" spans="2:21" hidden="1">
      <c r="B234" s="105"/>
      <c r="C234" s="1362" t="s">
        <v>469</v>
      </c>
      <c r="D234" s="80" t="s">
        <v>1119</v>
      </c>
      <c r="E234" s="80" t="s">
        <v>1119</v>
      </c>
      <c r="F234" s="2430">
        <f t="shared" ref="F234:N234" si="27">0.241314479349626*(1/Unit.TWh)</f>
        <v>0.24131447934962599</v>
      </c>
      <c r="G234" s="2430">
        <f t="shared" si="27"/>
        <v>0.24131447934962599</v>
      </c>
      <c r="H234" s="2430">
        <f t="shared" si="27"/>
        <v>0.24131447934962599</v>
      </c>
      <c r="I234" s="2430">
        <f t="shared" si="27"/>
        <v>0.24131447934962599</v>
      </c>
      <c r="J234" s="2430">
        <f t="shared" si="27"/>
        <v>0.24131447934962599</v>
      </c>
      <c r="K234" s="2430">
        <f t="shared" si="27"/>
        <v>0.24131447934962599</v>
      </c>
      <c r="L234" s="2430">
        <f t="shared" si="27"/>
        <v>0.24131447934962599</v>
      </c>
      <c r="M234" s="2430">
        <f t="shared" si="27"/>
        <v>0.24131447934962599</v>
      </c>
      <c r="N234" s="2430">
        <f t="shared" si="27"/>
        <v>0.24131447934962599</v>
      </c>
      <c r="Q234" s="4188" t="s">
        <v>3563</v>
      </c>
      <c r="R234" s="922"/>
      <c r="S234" s="4190">
        <f t="shared" si="6"/>
        <v>113.33333333333333</v>
      </c>
      <c r="T234" s="2718">
        <f t="shared" si="7"/>
        <v>1.3288</v>
      </c>
      <c r="U234" s="4192">
        <f t="shared" si="8"/>
        <v>0.11333333333333333</v>
      </c>
    </row>
    <row r="235" spans="2:21" ht="15" thickBot="1">
      <c r="B235" s="105"/>
      <c r="C235" s="1362"/>
      <c r="D235" s="80"/>
      <c r="E235" s="80"/>
      <c r="F235" s="1062"/>
      <c r="G235" s="190"/>
      <c r="H235" s="190"/>
      <c r="I235" s="190"/>
      <c r="J235" s="190"/>
      <c r="K235" s="190"/>
      <c r="L235" s="190"/>
      <c r="M235" s="190"/>
      <c r="N235" s="190"/>
      <c r="Q235" s="4193" t="s">
        <v>3502</v>
      </c>
      <c r="R235" s="4222"/>
      <c r="S235" s="4195">
        <f t="shared" si="6"/>
        <v>113.33333333333333</v>
      </c>
      <c r="T235" s="4223">
        <f>0.8*120.8/100</f>
        <v>0.96640000000000004</v>
      </c>
      <c r="U235" s="4197">
        <f t="shared" si="8"/>
        <v>0.11333333333333333</v>
      </c>
    </row>
    <row r="236" spans="2:21">
      <c r="B236" s="105"/>
      <c r="C236" s="49" t="s">
        <v>1144</v>
      </c>
      <c r="D236" s="67"/>
      <c r="E236" s="67"/>
      <c r="F236" s="67"/>
      <c r="G236" s="67"/>
      <c r="H236" s="67"/>
      <c r="I236" s="67"/>
      <c r="J236" s="67"/>
      <c r="K236" s="67"/>
      <c r="L236" s="67"/>
      <c r="M236" s="67"/>
      <c r="N236" s="67" t="s">
        <v>1145</v>
      </c>
      <c r="Q236" s="4224" t="s">
        <v>3578</v>
      </c>
    </row>
    <row r="237" spans="2:21">
      <c r="B237" s="105"/>
      <c r="C237" s="67"/>
      <c r="D237" s="67"/>
      <c r="E237" s="1352"/>
      <c r="F237" s="1353"/>
      <c r="G237" s="67"/>
      <c r="H237" s="67"/>
      <c r="I237" s="67"/>
      <c r="J237" s="67"/>
      <c r="K237" s="67"/>
      <c r="L237" s="67"/>
      <c r="M237" s="67"/>
      <c r="N237" s="67"/>
    </row>
    <row r="238" spans="2:21">
      <c r="B238" s="105"/>
      <c r="C238" s="1354" t="s">
        <v>43</v>
      </c>
      <c r="D238" s="1354" t="s">
        <v>987</v>
      </c>
      <c r="E238" s="1355" t="s">
        <v>44</v>
      </c>
      <c r="F238" s="1356">
        <v>2013</v>
      </c>
      <c r="G238" s="1356" t="s">
        <v>132</v>
      </c>
      <c r="H238" s="1356" t="s">
        <v>133</v>
      </c>
      <c r="I238" s="1356" t="s">
        <v>134</v>
      </c>
      <c r="J238" s="1356" t="s">
        <v>135</v>
      </c>
      <c r="K238" s="1356" t="s">
        <v>136</v>
      </c>
      <c r="L238" s="1356" t="s">
        <v>137</v>
      </c>
      <c r="M238" s="1356" t="s">
        <v>138</v>
      </c>
      <c r="N238" s="1357" t="s">
        <v>139</v>
      </c>
    </row>
    <row r="239" spans="2:21">
      <c r="B239" s="105"/>
      <c r="C239" s="1358" t="s">
        <v>469</v>
      </c>
      <c r="D239" s="1524" t="s">
        <v>1119</v>
      </c>
      <c r="E239" s="1524" t="s">
        <v>1119</v>
      </c>
      <c r="F239" s="1525">
        <v>0.27388000000000001</v>
      </c>
      <c r="G239" s="1525">
        <v>0.27388000000000001</v>
      </c>
      <c r="H239" s="1525">
        <v>0.27388000000000001</v>
      </c>
      <c r="I239" s="1525">
        <v>0.27388000000000001</v>
      </c>
      <c r="J239" s="1525">
        <v>0.27388000000000001</v>
      </c>
      <c r="K239" s="1525">
        <v>0.27388000000000001</v>
      </c>
      <c r="L239" s="1525">
        <v>0.27388000000000001</v>
      </c>
      <c r="M239" s="1525">
        <v>0.27388000000000001</v>
      </c>
      <c r="N239" s="1525">
        <v>0.27388000000000001</v>
      </c>
    </row>
    <row r="240" spans="2:21">
      <c r="B240" s="105"/>
      <c r="C240" s="1362"/>
      <c r="D240" s="80"/>
      <c r="E240" s="80"/>
      <c r="F240" s="1062"/>
      <c r="G240" s="190"/>
      <c r="H240" s="190"/>
      <c r="I240" s="190"/>
      <c r="J240" s="190"/>
      <c r="K240" s="190"/>
      <c r="L240" s="190"/>
      <c r="M240" s="190"/>
      <c r="N240" s="190"/>
    </row>
    <row r="241" spans="2:14">
      <c r="B241" s="105"/>
      <c r="C241" s="1362"/>
      <c r="D241" s="80"/>
      <c r="E241" s="80"/>
      <c r="F241" s="1062"/>
      <c r="G241" s="190"/>
      <c r="H241" s="190"/>
      <c r="I241" s="190"/>
      <c r="J241" s="190"/>
      <c r="K241" s="190"/>
      <c r="L241" s="190"/>
      <c r="M241" s="190"/>
      <c r="N241" s="190"/>
    </row>
    <row r="242" spans="2:14" s="918" customFormat="1" ht="15.5">
      <c r="B242" s="1210"/>
      <c r="C242" s="3567" t="s">
        <v>63</v>
      </c>
      <c r="D242" s="117"/>
      <c r="E242" s="103"/>
      <c r="F242" s="1299"/>
      <c r="G242" s="1300"/>
      <c r="H242" s="1300"/>
      <c r="I242" s="1300"/>
      <c r="J242" s="77"/>
      <c r="K242" s="77"/>
      <c r="L242" s="77"/>
      <c r="M242" s="77"/>
      <c r="N242" s="77"/>
    </row>
    <row r="243" spans="2:14" s="918" customFormat="1" ht="15.5">
      <c r="B243" s="1210"/>
      <c r="C243" s="3834" t="s">
        <v>64</v>
      </c>
      <c r="D243" s="2248" t="s">
        <v>1834</v>
      </c>
      <c r="E243" s="103"/>
      <c r="F243" s="1299"/>
      <c r="G243" s="1300"/>
      <c r="H243" s="1300"/>
      <c r="I243" s="1300"/>
      <c r="J243" s="77"/>
      <c r="K243" s="77"/>
      <c r="L243" s="77"/>
      <c r="M243" s="77"/>
      <c r="N243" s="77"/>
    </row>
    <row r="244" spans="2:14" s="918" customFormat="1" ht="15.5">
      <c r="B244" s="1210"/>
      <c r="C244" s="104" t="s">
        <v>5</v>
      </c>
      <c r="D244" s="2248" t="s">
        <v>3439</v>
      </c>
      <c r="E244" s="103"/>
      <c r="F244" s="1299"/>
      <c r="G244" s="1300"/>
      <c r="H244" s="1300"/>
      <c r="I244" s="1300"/>
      <c r="J244" s="77"/>
      <c r="K244" s="77"/>
      <c r="L244" s="77"/>
      <c r="M244" s="77"/>
      <c r="N244" s="77"/>
    </row>
    <row r="245" spans="2:14" s="918" customFormat="1" ht="15.5">
      <c r="B245" s="1210"/>
      <c r="C245" s="3834" t="s">
        <v>1140</v>
      </c>
      <c r="D245" s="2248" t="s">
        <v>1146</v>
      </c>
      <c r="E245" s="103"/>
      <c r="F245" s="1299"/>
      <c r="G245" s="1300"/>
      <c r="H245" s="1300"/>
      <c r="I245" s="1300"/>
      <c r="J245" s="77"/>
      <c r="K245" s="77"/>
      <c r="L245" s="77"/>
      <c r="M245" s="77"/>
      <c r="N245" s="77"/>
    </row>
    <row r="246" spans="2:14" s="918" customFormat="1" ht="15.5">
      <c r="B246" s="1210"/>
      <c r="C246" s="3834" t="s">
        <v>66</v>
      </c>
      <c r="D246" s="2248" t="s">
        <v>3058</v>
      </c>
      <c r="E246" s="103"/>
      <c r="F246" s="1299"/>
      <c r="G246" s="1300"/>
      <c r="H246" s="1300"/>
      <c r="I246" s="1300"/>
      <c r="J246" s="77"/>
      <c r="K246" s="77"/>
      <c r="L246" s="77"/>
      <c r="M246" s="77"/>
      <c r="N246" s="77"/>
    </row>
    <row r="247" spans="2:14" s="918" customFormat="1" ht="15.5">
      <c r="B247" s="1210"/>
      <c r="C247" s="104"/>
      <c r="D247" s="104"/>
      <c r="E247" s="104"/>
      <c r="F247" s="104"/>
      <c r="G247" s="104"/>
      <c r="H247" s="104"/>
      <c r="I247" s="104"/>
      <c r="J247" s="104"/>
      <c r="K247" s="77"/>
      <c r="L247" s="77"/>
      <c r="M247" s="77"/>
      <c r="N247" s="77"/>
    </row>
    <row r="248" spans="2:14" s="918" customFormat="1" ht="15.5">
      <c r="B248" s="1210"/>
      <c r="C248" s="104"/>
      <c r="D248" s="103"/>
      <c r="E248" s="103"/>
      <c r="F248" s="1299"/>
      <c r="G248" s="1300"/>
      <c r="H248" s="1300" t="s">
        <v>5</v>
      </c>
      <c r="I248" s="1300"/>
      <c r="J248" s="77"/>
      <c r="K248" s="77"/>
      <c r="L248" s="77"/>
      <c r="M248" s="77"/>
      <c r="N248" s="77"/>
    </row>
    <row r="249" spans="2:14" s="918" customFormat="1" ht="15.5">
      <c r="B249" s="1210"/>
      <c r="C249" s="935" t="s">
        <v>1147</v>
      </c>
      <c r="D249" s="1526"/>
      <c r="E249" s="1526"/>
      <c r="F249" s="1299"/>
      <c r="G249" s="1300"/>
      <c r="H249" s="1300"/>
      <c r="I249" s="1300"/>
      <c r="J249" s="77"/>
      <c r="K249" s="77"/>
      <c r="L249" s="77"/>
      <c r="M249" s="77"/>
      <c r="N249" s="77"/>
    </row>
    <row r="250" spans="2:14" s="918" customFormat="1">
      <c r="B250" s="922"/>
      <c r="C250" s="51"/>
      <c r="D250" s="67"/>
      <c r="E250" s="922"/>
      <c r="F250" s="1299"/>
      <c r="G250" s="1300"/>
      <c r="H250" s="1300"/>
      <c r="I250" s="1300"/>
      <c r="J250" s="77"/>
      <c r="K250" s="77"/>
      <c r="L250" s="77"/>
      <c r="M250" s="77"/>
      <c r="N250" s="77"/>
    </row>
    <row r="251" spans="2:14" s="918" customFormat="1" ht="15.5">
      <c r="B251" s="1210"/>
      <c r="C251" s="1527" t="s">
        <v>987</v>
      </c>
      <c r="D251" s="1527" t="s">
        <v>44</v>
      </c>
      <c r="E251" s="1528" t="s">
        <v>950</v>
      </c>
      <c r="F251" s="1299"/>
      <c r="G251" s="1300"/>
      <c r="H251" s="1300"/>
      <c r="I251" s="1300"/>
      <c r="J251" s="77"/>
      <c r="K251" s="77"/>
      <c r="L251" s="77"/>
      <c r="M251" s="77"/>
      <c r="N251" s="77"/>
    </row>
    <row r="252" spans="2:14" s="918" customFormat="1" ht="15.5">
      <c r="B252" s="1210"/>
      <c r="C252" s="1191" t="s">
        <v>1111</v>
      </c>
      <c r="D252" s="1529" t="s">
        <v>1111</v>
      </c>
      <c r="E252" s="1530">
        <v>5</v>
      </c>
      <c r="F252" s="1299"/>
      <c r="G252" s="1300"/>
      <c r="H252" s="1300"/>
      <c r="I252" s="1300"/>
      <c r="J252" s="77"/>
      <c r="K252" s="77"/>
      <c r="L252" s="77"/>
      <c r="M252" s="77"/>
      <c r="N252" s="77"/>
    </row>
    <row r="253" spans="2:14" s="918" customFormat="1" ht="15.5">
      <c r="B253" s="1210"/>
      <c r="C253" s="103" t="s">
        <v>1113</v>
      </c>
      <c r="D253" s="1158" t="s">
        <v>1125</v>
      </c>
      <c r="E253" s="1531">
        <v>12</v>
      </c>
      <c r="F253" s="1299"/>
      <c r="G253" s="1300"/>
      <c r="H253" s="1300"/>
      <c r="I253" s="1300"/>
      <c r="J253" s="77"/>
      <c r="K253" s="77"/>
      <c r="L253" s="77"/>
      <c r="M253" s="77"/>
      <c r="N253" s="77"/>
    </row>
    <row r="254" spans="2:14" s="918" customFormat="1" ht="15.5">
      <c r="B254" s="1210"/>
      <c r="C254" s="103" t="s">
        <v>1113</v>
      </c>
      <c r="D254" s="1158" t="s">
        <v>1126</v>
      </c>
      <c r="E254" s="167">
        <v>12</v>
      </c>
      <c r="F254" s="1299"/>
      <c r="G254" s="1300"/>
      <c r="H254" s="1300"/>
      <c r="I254" s="1300"/>
      <c r="J254" s="77"/>
      <c r="K254" s="77"/>
      <c r="L254" s="77"/>
      <c r="M254" s="77"/>
      <c r="N254" s="77"/>
    </row>
    <row r="255" spans="2:14" s="918" customFormat="1" ht="15.5">
      <c r="B255" s="1210"/>
      <c r="C255" s="103" t="s">
        <v>1113</v>
      </c>
      <c r="D255" s="1158" t="s">
        <v>1127</v>
      </c>
      <c r="E255" s="167">
        <v>12</v>
      </c>
      <c r="F255" s="1299"/>
      <c r="G255" s="1300"/>
      <c r="H255" s="1300"/>
      <c r="I255" s="1300"/>
      <c r="J255" s="77"/>
      <c r="K255" s="77"/>
      <c r="L255" s="77"/>
      <c r="M255" s="77"/>
      <c r="N255" s="77"/>
    </row>
    <row r="256" spans="2:14" s="918" customFormat="1" ht="15.5">
      <c r="B256" s="1210"/>
      <c r="C256" s="194" t="s">
        <v>1113</v>
      </c>
      <c r="D256" s="1159" t="s">
        <v>1128</v>
      </c>
      <c r="E256" s="343">
        <v>12</v>
      </c>
      <c r="F256" s="1299"/>
      <c r="G256" s="1300"/>
      <c r="H256" s="1300"/>
      <c r="I256" s="1300"/>
      <c r="J256" s="77"/>
      <c r="K256" s="77"/>
      <c r="L256" s="77"/>
      <c r="M256" s="77"/>
      <c r="N256" s="77"/>
    </row>
    <row r="257" spans="1:26" s="918" customFormat="1" ht="15.5">
      <c r="B257" s="1210"/>
      <c r="C257" s="968" t="s">
        <v>1115</v>
      </c>
      <c r="D257" s="1157" t="s">
        <v>1125</v>
      </c>
      <c r="E257" s="1531">
        <v>15</v>
      </c>
      <c r="F257" s="1299"/>
      <c r="G257" s="1300"/>
      <c r="H257" s="1300"/>
      <c r="I257" s="1300"/>
      <c r="J257" s="77"/>
      <c r="K257" s="77"/>
      <c r="L257" s="77"/>
      <c r="M257" s="77"/>
      <c r="N257" s="77"/>
    </row>
    <row r="258" spans="1:26" s="918" customFormat="1" ht="15.5">
      <c r="B258" s="1210"/>
      <c r="C258" s="103" t="s">
        <v>1115</v>
      </c>
      <c r="D258" s="1158" t="s">
        <v>1129</v>
      </c>
      <c r="E258" s="167">
        <v>15</v>
      </c>
      <c r="F258" s="1299"/>
      <c r="G258" s="1300"/>
      <c r="H258" s="1300"/>
      <c r="I258" s="1300"/>
      <c r="J258" s="77"/>
      <c r="K258" s="77"/>
      <c r="L258" s="77"/>
      <c r="M258" s="77"/>
      <c r="N258" s="77"/>
    </row>
    <row r="259" spans="1:26" s="918" customFormat="1" ht="15.5">
      <c r="B259" s="1210"/>
      <c r="C259" s="103" t="s">
        <v>1115</v>
      </c>
      <c r="D259" s="1158" t="s">
        <v>1127</v>
      </c>
      <c r="E259" s="167">
        <v>15</v>
      </c>
      <c r="F259" s="1299"/>
      <c r="G259" s="1300"/>
      <c r="H259" s="1300"/>
      <c r="I259" s="1300"/>
      <c r="J259" s="77"/>
      <c r="K259" s="77"/>
      <c r="L259" s="77"/>
      <c r="M259" s="77"/>
      <c r="N259" s="77"/>
    </row>
    <row r="260" spans="1:26" s="918" customFormat="1" ht="15.5">
      <c r="B260" s="1210"/>
      <c r="C260" s="103" t="s">
        <v>1115</v>
      </c>
      <c r="D260" s="1158" t="s">
        <v>3434</v>
      </c>
      <c r="E260" s="167">
        <v>15</v>
      </c>
      <c r="F260" s="1299"/>
      <c r="G260" s="1300"/>
      <c r="H260" s="1300"/>
      <c r="I260" s="1300"/>
      <c r="J260" s="77"/>
      <c r="K260" s="77"/>
      <c r="L260" s="77"/>
      <c r="M260" s="77"/>
      <c r="N260" s="77"/>
    </row>
    <row r="261" spans="1:26" s="918" customFormat="1" ht="15.5">
      <c r="B261" s="1210"/>
      <c r="C261" s="194" t="s">
        <v>1115</v>
      </c>
      <c r="D261" s="1159" t="s">
        <v>1128</v>
      </c>
      <c r="E261" s="343">
        <v>15</v>
      </c>
      <c r="F261" s="1299"/>
      <c r="G261" s="1300"/>
      <c r="H261" s="1300"/>
      <c r="I261" s="1300"/>
      <c r="J261" s="77"/>
      <c r="K261" s="77"/>
      <c r="L261" s="77"/>
      <c r="M261" s="77"/>
      <c r="N261" s="77"/>
    </row>
    <row r="262" spans="1:26" s="918" customFormat="1" ht="15.5">
      <c r="B262" s="1210"/>
      <c r="C262" s="968" t="s">
        <v>1117</v>
      </c>
      <c r="D262" s="1157" t="s">
        <v>1130</v>
      </c>
      <c r="E262" s="1531">
        <v>40</v>
      </c>
      <c r="F262" s="1299"/>
      <c r="G262" s="1300"/>
      <c r="H262" s="1300"/>
      <c r="I262" s="1300"/>
      <c r="J262" s="77"/>
      <c r="K262" s="77"/>
      <c r="L262" s="77"/>
      <c r="M262" s="77"/>
      <c r="N262" s="77"/>
    </row>
    <row r="263" spans="1:26" s="918" customFormat="1" ht="15.5">
      <c r="B263" s="1210"/>
      <c r="C263" s="194" t="s">
        <v>1117</v>
      </c>
      <c r="D263" s="1159" t="s">
        <v>1131</v>
      </c>
      <c r="E263" s="343">
        <v>40</v>
      </c>
      <c r="F263" s="1299"/>
      <c r="G263" s="1300"/>
      <c r="H263" s="1300"/>
      <c r="I263" s="1300"/>
      <c r="J263" s="77"/>
      <c r="K263" s="77"/>
      <c r="L263" s="77"/>
      <c r="M263" s="77"/>
      <c r="N263" s="77"/>
    </row>
    <row r="264" spans="1:26" s="918" customFormat="1" ht="15.5">
      <c r="B264" s="1210"/>
      <c r="C264" s="1191" t="s">
        <v>1119</v>
      </c>
      <c r="D264" s="1529" t="s">
        <v>1119</v>
      </c>
      <c r="E264" s="1530">
        <v>30</v>
      </c>
      <c r="F264" s="1299"/>
      <c r="G264" s="1300"/>
      <c r="H264" s="1300"/>
      <c r="I264" s="1300"/>
      <c r="J264" s="77"/>
      <c r="K264" s="77"/>
      <c r="L264" s="77"/>
      <c r="M264" s="77"/>
      <c r="N264" s="77"/>
    </row>
    <row r="265" spans="1:26" s="918" customFormat="1" ht="15.5">
      <c r="B265" s="1210"/>
      <c r="C265" s="104"/>
      <c r="D265" s="103"/>
      <c r="E265" s="103"/>
      <c r="F265" s="1299"/>
      <c r="G265" s="1300"/>
      <c r="H265" s="1300"/>
      <c r="I265" s="1300"/>
      <c r="J265" s="77"/>
      <c r="K265" s="77"/>
      <c r="L265" s="77"/>
      <c r="M265" s="77"/>
      <c r="N265" s="77"/>
    </row>
    <row r="266" spans="1:26" s="918" customFormat="1">
      <c r="B266"/>
      <c r="C266"/>
      <c r="D266"/>
      <c r="E266"/>
      <c r="F266"/>
      <c r="G266"/>
      <c r="H266"/>
      <c r="I266"/>
      <c r="J266"/>
      <c r="K266"/>
      <c r="L266"/>
      <c r="M266"/>
      <c r="N266"/>
      <c r="O266"/>
    </row>
    <row r="267" spans="1:26" s="918" customFormat="1" ht="23.5">
      <c r="A267" s="1532"/>
      <c r="B267" s="869" t="s">
        <v>177</v>
      </c>
      <c r="C267" s="1272"/>
      <c r="D267" s="1272"/>
      <c r="E267" s="1272"/>
      <c r="F267" s="1272"/>
      <c r="G267" s="1272"/>
      <c r="H267" s="1272"/>
      <c r="I267" s="1272"/>
      <c r="J267" s="1272"/>
      <c r="K267" s="1272"/>
      <c r="L267" s="1272"/>
      <c r="M267" s="1272"/>
      <c r="N267" s="1272"/>
    </row>
    <row r="268" spans="1:26" s="918" customFormat="1">
      <c r="B268" s="105"/>
      <c r="C268" s="67"/>
      <c r="D268" s="67"/>
      <c r="E268" s="67"/>
      <c r="F268" s="67"/>
      <c r="G268" s="67"/>
      <c r="H268" s="67"/>
      <c r="I268" s="67"/>
      <c r="J268" s="67"/>
      <c r="K268" s="67"/>
      <c r="L268" s="67"/>
      <c r="M268" s="67"/>
      <c r="N268" s="67"/>
    </row>
    <row r="269" spans="1:26" s="918" customFormat="1">
      <c r="B269" s="130">
        <v>1</v>
      </c>
      <c r="C269" s="49" t="s">
        <v>1148</v>
      </c>
      <c r="D269" s="67"/>
      <c r="E269" s="51"/>
      <c r="F269" s="67"/>
      <c r="G269" s="67"/>
      <c r="H269" s="67"/>
      <c r="I269" s="51"/>
      <c r="J269" s="67"/>
      <c r="K269" s="67"/>
      <c r="L269" s="67"/>
      <c r="M269" s="67"/>
      <c r="N269" s="51" t="s">
        <v>1108</v>
      </c>
    </row>
    <row r="270" spans="1:26" s="918" customFormat="1">
      <c r="B270" s="130"/>
      <c r="C270" s="67"/>
      <c r="D270" s="67"/>
      <c r="E270" s="67"/>
      <c r="F270" s="67"/>
      <c r="G270" s="67"/>
      <c r="H270" s="67"/>
      <c r="I270" s="67"/>
      <c r="J270" s="67"/>
      <c r="K270" s="67"/>
      <c r="L270" s="67"/>
      <c r="M270" s="67"/>
      <c r="N270" s="67"/>
    </row>
    <row r="271" spans="1:26" s="918" customFormat="1" ht="15.5">
      <c r="B271" s="1533"/>
      <c r="C271" s="900" t="s">
        <v>43</v>
      </c>
      <c r="D271" s="878" t="s">
        <v>987</v>
      </c>
      <c r="E271" s="878" t="s">
        <v>30</v>
      </c>
      <c r="F271" s="87">
        <v>2013</v>
      </c>
      <c r="G271" s="87">
        <v>2015</v>
      </c>
      <c r="H271" s="87">
        <v>2020</v>
      </c>
      <c r="I271" s="87">
        <v>2025</v>
      </c>
      <c r="J271" s="87">
        <v>2030</v>
      </c>
      <c r="K271" s="87">
        <v>2035</v>
      </c>
      <c r="L271" s="87">
        <v>2040</v>
      </c>
      <c r="M271" s="87">
        <v>2045</v>
      </c>
      <c r="N271" s="87">
        <v>2050</v>
      </c>
    </row>
    <row r="272" spans="1:26" s="918" customFormat="1" ht="15.5">
      <c r="B272" s="1533"/>
      <c r="C272" s="104" t="s">
        <v>1109</v>
      </c>
      <c r="D272" s="103" t="s">
        <v>1110</v>
      </c>
      <c r="E272" s="1256"/>
      <c r="F272" s="1534">
        <f t="shared" ref="F272:F277" si="28">F26</f>
        <v>2.5000000000000001E-2</v>
      </c>
      <c r="G272" s="1535">
        <f t="shared" ref="G272:M277" si="29">$F272+($N272-$F272)/($N$271-$F$271)*(G$271-$F$271)</f>
        <v>2.5000000000000001E-2</v>
      </c>
      <c r="H272" s="1535">
        <f t="shared" si="29"/>
        <v>2.5000000000000001E-2</v>
      </c>
      <c r="I272" s="1535">
        <f t="shared" si="29"/>
        <v>2.5000000000000001E-2</v>
      </c>
      <c r="J272" s="1536">
        <f t="shared" si="29"/>
        <v>2.5000000000000001E-2</v>
      </c>
      <c r="K272" s="1536">
        <f t="shared" si="29"/>
        <v>2.5000000000000001E-2</v>
      </c>
      <c r="L272" s="1536">
        <f t="shared" si="29"/>
        <v>2.5000000000000001E-2</v>
      </c>
      <c r="M272" s="1536">
        <f t="shared" si="29"/>
        <v>2.5000000000000001E-2</v>
      </c>
      <c r="N272" s="1537">
        <f t="shared" ref="N272:N277" si="30">INDEX($G26:$J26, MATCH($E$8, $G$25:$J$25, 0))</f>
        <v>2.5000000000000001E-2</v>
      </c>
      <c r="R272"/>
      <c r="S272"/>
      <c r="T272"/>
      <c r="U272"/>
      <c r="V272"/>
      <c r="W272"/>
      <c r="X272"/>
      <c r="Y272"/>
      <c r="Z272"/>
    </row>
    <row r="273" spans="1:26" s="918" customFormat="1" ht="15.5">
      <c r="B273" s="1533"/>
      <c r="C273" s="104" t="s">
        <v>1111</v>
      </c>
      <c r="D273" s="103" t="s">
        <v>1112</v>
      </c>
      <c r="E273" s="1256"/>
      <c r="F273" s="1534">
        <f t="shared" si="28"/>
        <v>5.0000000000000001E-3</v>
      </c>
      <c r="G273" s="1538">
        <f t="shared" si="29"/>
        <v>5.0000000000000001E-3</v>
      </c>
      <c r="H273" s="1535">
        <f t="shared" si="29"/>
        <v>5.0000000000000001E-3</v>
      </c>
      <c r="I273" s="1538">
        <f t="shared" si="29"/>
        <v>5.0000000000000001E-3</v>
      </c>
      <c r="J273" s="1536">
        <f t="shared" si="29"/>
        <v>5.0000000000000001E-3</v>
      </c>
      <c r="K273" s="1536">
        <f t="shared" si="29"/>
        <v>5.0000000000000001E-3</v>
      </c>
      <c r="L273" s="1536">
        <f t="shared" si="29"/>
        <v>5.0000000000000001E-3</v>
      </c>
      <c r="M273" s="1536">
        <f t="shared" si="29"/>
        <v>5.0000000000000001E-3</v>
      </c>
      <c r="N273" s="1537">
        <f t="shared" si="30"/>
        <v>5.0000000000000001E-3</v>
      </c>
      <c r="R273"/>
      <c r="S273"/>
      <c r="T273"/>
      <c r="U273"/>
      <c r="V273"/>
      <c r="W273"/>
      <c r="X273"/>
      <c r="Y273"/>
      <c r="Z273"/>
    </row>
    <row r="274" spans="1:26" s="918" customFormat="1" ht="15.5">
      <c r="B274" s="1533"/>
      <c r="C274" s="104" t="s">
        <v>1113</v>
      </c>
      <c r="D274" s="103" t="s">
        <v>1114</v>
      </c>
      <c r="E274" s="1256"/>
      <c r="F274" s="1534">
        <f t="shared" si="28"/>
        <v>0.83199999999999996</v>
      </c>
      <c r="G274" s="1538">
        <f t="shared" si="29"/>
        <v>0.83199999999999996</v>
      </c>
      <c r="H274" s="1538">
        <f t="shared" si="29"/>
        <v>0.83199999999999996</v>
      </c>
      <c r="I274" s="1538">
        <f t="shared" si="29"/>
        <v>0.83199999999999996</v>
      </c>
      <c r="J274" s="1536">
        <f t="shared" si="29"/>
        <v>0.83199999999999996</v>
      </c>
      <c r="K274" s="1536">
        <f t="shared" si="29"/>
        <v>0.83199999999999996</v>
      </c>
      <c r="L274" s="1536">
        <f t="shared" si="29"/>
        <v>0.83199999999999996</v>
      </c>
      <c r="M274" s="1536">
        <f t="shared" si="29"/>
        <v>0.83199999999999996</v>
      </c>
      <c r="N274" s="1537">
        <f t="shared" si="30"/>
        <v>0.83199999999999996</v>
      </c>
      <c r="R274"/>
      <c r="S274"/>
      <c r="T274"/>
      <c r="U274"/>
      <c r="V274"/>
      <c r="W274"/>
      <c r="X274"/>
      <c r="Y274"/>
      <c r="Z274"/>
    </row>
    <row r="275" spans="1:26" s="918" customFormat="1" ht="15.5">
      <c r="B275" s="1533"/>
      <c r="C275" s="104" t="s">
        <v>1115</v>
      </c>
      <c r="D275" s="103" t="s">
        <v>1116</v>
      </c>
      <c r="E275" s="1256"/>
      <c r="F275" s="1534">
        <f t="shared" si="28"/>
        <v>9.9500000000000005E-2</v>
      </c>
      <c r="G275" s="1538">
        <f t="shared" si="29"/>
        <v>9.9500000000000005E-2</v>
      </c>
      <c r="H275" s="1538">
        <f t="shared" si="29"/>
        <v>9.9500000000000005E-2</v>
      </c>
      <c r="I275" s="1538">
        <f t="shared" si="29"/>
        <v>9.9500000000000005E-2</v>
      </c>
      <c r="J275" s="1536">
        <f t="shared" si="29"/>
        <v>9.9500000000000005E-2</v>
      </c>
      <c r="K275" s="1536">
        <f t="shared" si="29"/>
        <v>9.9500000000000005E-2</v>
      </c>
      <c r="L275" s="1536">
        <f t="shared" si="29"/>
        <v>9.9500000000000005E-2</v>
      </c>
      <c r="M275" s="1536">
        <f t="shared" si="29"/>
        <v>9.9500000000000005E-2</v>
      </c>
      <c r="N275" s="1537">
        <f t="shared" si="30"/>
        <v>9.9500000000000005E-2</v>
      </c>
      <c r="R275"/>
      <c r="S275"/>
      <c r="T275"/>
      <c r="U275"/>
      <c r="V275"/>
      <c r="W275"/>
      <c r="X275"/>
      <c r="Y275"/>
      <c r="Z275"/>
    </row>
    <row r="276" spans="1:26" s="918" customFormat="1" ht="15.5">
      <c r="B276" s="1533"/>
      <c r="C276" s="104" t="s">
        <v>1117</v>
      </c>
      <c r="D276" s="103" t="s">
        <v>1118</v>
      </c>
      <c r="E276" s="1256"/>
      <c r="F276" s="1534">
        <f t="shared" si="28"/>
        <v>3.7999999999999999E-2</v>
      </c>
      <c r="G276" s="1538">
        <f t="shared" si="29"/>
        <v>3.7999999999999999E-2</v>
      </c>
      <c r="H276" s="1538">
        <f t="shared" si="29"/>
        <v>3.7999999999999999E-2</v>
      </c>
      <c r="I276" s="1538">
        <f t="shared" si="29"/>
        <v>3.7999999999999999E-2</v>
      </c>
      <c r="J276" s="1536">
        <f t="shared" si="29"/>
        <v>3.7999999999999999E-2</v>
      </c>
      <c r="K276" s="1536">
        <f t="shared" si="29"/>
        <v>3.7999999999999999E-2</v>
      </c>
      <c r="L276" s="1536">
        <f t="shared" si="29"/>
        <v>3.7999999999999999E-2</v>
      </c>
      <c r="M276" s="1536">
        <f t="shared" si="29"/>
        <v>3.7999999999999999E-2</v>
      </c>
      <c r="N276" s="1537">
        <f t="shared" si="30"/>
        <v>3.7999999999999999E-2</v>
      </c>
      <c r="R276"/>
      <c r="S276"/>
      <c r="T276"/>
      <c r="U276"/>
      <c r="V276"/>
      <c r="W276"/>
      <c r="X276"/>
      <c r="Y276"/>
      <c r="Z276"/>
    </row>
    <row r="277" spans="1:26" s="918" customFormat="1" ht="15.5">
      <c r="B277" s="1533"/>
      <c r="C277" s="1470" t="s">
        <v>1119</v>
      </c>
      <c r="D277" s="888" t="s">
        <v>1120</v>
      </c>
      <c r="E277" s="888"/>
      <c r="F277" s="1539">
        <f t="shared" si="28"/>
        <v>5.0000000000000001E-4</v>
      </c>
      <c r="G277" s="1540">
        <f t="shared" si="29"/>
        <v>5.0000000000000001E-4</v>
      </c>
      <c r="H277" s="1540">
        <f t="shared" si="29"/>
        <v>5.0000000000000001E-4</v>
      </c>
      <c r="I277" s="1540">
        <f t="shared" si="29"/>
        <v>5.0000000000000001E-4</v>
      </c>
      <c r="J277" s="1540">
        <f t="shared" si="29"/>
        <v>5.0000000000000001E-4</v>
      </c>
      <c r="K277" s="1540">
        <f t="shared" si="29"/>
        <v>5.0000000000000001E-4</v>
      </c>
      <c r="L277" s="1540">
        <f t="shared" si="29"/>
        <v>5.0000000000000001E-4</v>
      </c>
      <c r="M277" s="1540">
        <f t="shared" si="29"/>
        <v>5.0000000000000001E-4</v>
      </c>
      <c r="N277" s="1541">
        <f t="shared" si="30"/>
        <v>5.0000000000000001E-4</v>
      </c>
      <c r="R277"/>
      <c r="S277"/>
      <c r="T277"/>
      <c r="U277"/>
      <c r="V277"/>
      <c r="W277"/>
      <c r="X277"/>
      <c r="Y277"/>
      <c r="Z277"/>
    </row>
    <row r="278" spans="1:26" s="918" customFormat="1">
      <c r="B278" s="130"/>
      <c r="C278" s="65"/>
      <c r="D278" s="117" t="s">
        <v>58</v>
      </c>
      <c r="E278" s="103"/>
      <c r="F278" s="1299">
        <f t="shared" ref="F278:N278" si="31">SUM(F272:F277)</f>
        <v>1</v>
      </c>
      <c r="G278" s="1300">
        <f t="shared" si="31"/>
        <v>1</v>
      </c>
      <c r="H278" s="1300">
        <f t="shared" si="31"/>
        <v>1</v>
      </c>
      <c r="I278" s="1300">
        <f t="shared" si="31"/>
        <v>1</v>
      </c>
      <c r="J278" s="1300">
        <f t="shared" si="31"/>
        <v>1</v>
      </c>
      <c r="K278" s="1300">
        <f t="shared" si="31"/>
        <v>1</v>
      </c>
      <c r="L278" s="1300">
        <f t="shared" si="31"/>
        <v>1</v>
      </c>
      <c r="M278" s="1300">
        <f t="shared" si="31"/>
        <v>1</v>
      </c>
      <c r="N278" s="1300">
        <f t="shared" si="31"/>
        <v>1</v>
      </c>
      <c r="R278"/>
      <c r="S278"/>
      <c r="T278"/>
      <c r="U278"/>
      <c r="V278"/>
      <c r="W278"/>
      <c r="X278"/>
      <c r="Y278"/>
      <c r="Z278"/>
    </row>
    <row r="279" spans="1:26" s="918" customFormat="1">
      <c r="B279" s="130"/>
      <c r="C279" s="65"/>
      <c r="D279" s="117"/>
      <c r="E279" s="103"/>
      <c r="F279" s="1299"/>
      <c r="G279" s="1300"/>
      <c r="H279" s="1300"/>
      <c r="I279" s="1300"/>
      <c r="J279" s="1300"/>
      <c r="K279" s="1300"/>
      <c r="L279" s="1300"/>
      <c r="M279" s="1300"/>
      <c r="N279" s="1300"/>
      <c r="R279"/>
      <c r="S279"/>
      <c r="T279"/>
      <c r="U279"/>
      <c r="V279"/>
      <c r="W279"/>
      <c r="X279"/>
      <c r="Y279"/>
      <c r="Z279"/>
    </row>
    <row r="280" spans="1:26" s="918" customFormat="1">
      <c r="B280" s="130">
        <v>2</v>
      </c>
      <c r="C280" s="49" t="s">
        <v>1149</v>
      </c>
      <c r="D280" s="67"/>
      <c r="E280" s="67"/>
      <c r="F280" s="67"/>
      <c r="G280" s="67"/>
      <c r="H280" s="67"/>
      <c r="I280" s="67"/>
      <c r="J280" s="67"/>
      <c r="K280" s="67"/>
      <c r="L280" s="67"/>
      <c r="M280" s="67"/>
      <c r="N280" s="67"/>
      <c r="O280" s="876"/>
      <c r="R280"/>
      <c r="S280"/>
      <c r="T280"/>
      <c r="U280"/>
      <c r="V280"/>
      <c r="W280"/>
      <c r="X280"/>
      <c r="Y280"/>
      <c r="Z280"/>
    </row>
    <row r="281" spans="1:26" s="918" customFormat="1">
      <c r="B281" s="105"/>
      <c r="C281" s="943"/>
      <c r="D281" s="103"/>
      <c r="E281" s="1256"/>
      <c r="F281" s="1299"/>
      <c r="G281" s="1300"/>
      <c r="H281" s="1300"/>
      <c r="I281" s="1300"/>
      <c r="J281" s="1300"/>
      <c r="K281" s="77"/>
      <c r="L281" s="77"/>
      <c r="M281" s="77"/>
      <c r="N281" s="77"/>
      <c r="O281" s="876"/>
      <c r="R281"/>
      <c r="S281"/>
      <c r="T281"/>
      <c r="U281"/>
      <c r="V281"/>
      <c r="W281"/>
      <c r="X281"/>
      <c r="Y281"/>
      <c r="Z281"/>
    </row>
    <row r="282" spans="1:26" s="918" customFormat="1">
      <c r="B282" s="105"/>
      <c r="C282" s="146" t="s">
        <v>1150</v>
      </c>
      <c r="D282" s="103"/>
      <c r="E282" s="1256"/>
      <c r="F282" s="1299"/>
      <c r="G282" s="1300"/>
      <c r="H282" s="1300"/>
      <c r="I282" s="1300"/>
      <c r="J282" s="77"/>
      <c r="K282" s="77"/>
      <c r="L282" s="77"/>
      <c r="M282" s="77"/>
      <c r="N282" s="77" t="s">
        <v>1124</v>
      </c>
      <c r="O282" s="876"/>
      <c r="R282"/>
      <c r="S282"/>
      <c r="T282"/>
      <c r="U282"/>
      <c r="V282"/>
      <c r="W282"/>
      <c r="X282"/>
      <c r="Y282"/>
      <c r="Z282"/>
    </row>
    <row r="283" spans="1:26" s="918" customFormat="1" ht="23.5">
      <c r="A283" s="1532"/>
      <c r="B283" s="105"/>
      <c r="C283" s="943"/>
      <c r="D283" s="103"/>
      <c r="E283" s="1256"/>
      <c r="F283" s="1299"/>
      <c r="G283" s="1300"/>
      <c r="H283" s="1300"/>
      <c r="I283" s="1300"/>
      <c r="J283" s="77"/>
      <c r="K283" s="77"/>
      <c r="L283" s="77"/>
      <c r="M283" s="77"/>
      <c r="N283" s="77"/>
      <c r="O283" s="876"/>
      <c r="R283"/>
      <c r="S283"/>
      <c r="T283"/>
      <c r="U283"/>
      <c r="V283"/>
      <c r="W283"/>
      <c r="X283"/>
      <c r="Y283"/>
      <c r="Z283"/>
    </row>
    <row r="284" spans="1:26" s="918" customFormat="1" ht="15.5">
      <c r="B284" s="55"/>
      <c r="C284" s="878" t="s">
        <v>987</v>
      </c>
      <c r="D284" s="878" t="s">
        <v>44</v>
      </c>
      <c r="E284" s="878" t="s">
        <v>30</v>
      </c>
      <c r="F284" s="87">
        <v>2013</v>
      </c>
      <c r="G284" s="87">
        <v>2015</v>
      </c>
      <c r="H284" s="87">
        <v>2020</v>
      </c>
      <c r="I284" s="87">
        <v>2025</v>
      </c>
      <c r="J284" s="87">
        <v>2030</v>
      </c>
      <c r="K284" s="87">
        <v>2035</v>
      </c>
      <c r="L284" s="87">
        <v>2040</v>
      </c>
      <c r="M284" s="87">
        <v>2045</v>
      </c>
      <c r="N284" s="87">
        <v>2050</v>
      </c>
      <c r="O284" s="876"/>
      <c r="R284"/>
      <c r="S284"/>
      <c r="T284"/>
      <c r="U284"/>
      <c r="V284"/>
      <c r="W284"/>
      <c r="X284"/>
      <c r="Y284"/>
      <c r="Z284"/>
    </row>
    <row r="285" spans="1:26" s="918" customFormat="1" ht="15.5">
      <c r="B285" s="55"/>
      <c r="C285" s="103" t="s">
        <v>1111</v>
      </c>
      <c r="D285" s="103" t="s">
        <v>1111</v>
      </c>
      <c r="E285" s="1256"/>
      <c r="F285" s="1060">
        <f t="shared" ref="F285:N285" si="32">CHOOSE($E$9, F48, F65, F82, F99)</f>
        <v>1</v>
      </c>
      <c r="G285" s="1060">
        <f t="shared" si="32"/>
        <v>1</v>
      </c>
      <c r="H285" s="1060">
        <f t="shared" si="32"/>
        <v>1</v>
      </c>
      <c r="I285" s="1060">
        <f t="shared" si="32"/>
        <v>1</v>
      </c>
      <c r="J285" s="1060">
        <f t="shared" si="32"/>
        <v>1</v>
      </c>
      <c r="K285" s="1060">
        <f t="shared" si="32"/>
        <v>1</v>
      </c>
      <c r="L285" s="1060">
        <f t="shared" si="32"/>
        <v>1</v>
      </c>
      <c r="M285" s="1060">
        <f t="shared" si="32"/>
        <v>1</v>
      </c>
      <c r="N285" s="1060">
        <f t="shared" si="32"/>
        <v>1</v>
      </c>
      <c r="O285" s="1060"/>
      <c r="U285" s="918" t="s">
        <v>5</v>
      </c>
    </row>
    <row r="286" spans="1:26" s="918" customFormat="1" ht="15.5">
      <c r="B286" s="55"/>
      <c r="C286" s="881" t="s">
        <v>1113</v>
      </c>
      <c r="D286" s="881" t="s">
        <v>1125</v>
      </c>
      <c r="E286" s="1306"/>
      <c r="F286" s="4308">
        <f t="shared" ref="F286:N286" si="33">CHOOSE($E$9, F49, F66, F83, F100)</f>
        <v>0.999</v>
      </c>
      <c r="G286" s="1302">
        <f t="shared" si="33"/>
        <v>0.996</v>
      </c>
      <c r="H286" s="1302">
        <f t="shared" si="33"/>
        <v>0.99199999999999999</v>
      </c>
      <c r="I286" s="1302">
        <f t="shared" si="33"/>
        <v>0.95599999999999996</v>
      </c>
      <c r="J286" s="1302">
        <f t="shared" si="33"/>
        <v>0.92</v>
      </c>
      <c r="K286" s="1302">
        <f t="shared" si="33"/>
        <v>0.88</v>
      </c>
      <c r="L286" s="1302">
        <f t="shared" si="33"/>
        <v>0.84</v>
      </c>
      <c r="M286" s="1302">
        <f t="shared" si="33"/>
        <v>0.8075</v>
      </c>
      <c r="N286" s="1302">
        <f t="shared" si="33"/>
        <v>0.77500000000000002</v>
      </c>
      <c r="O286" s="876"/>
    </row>
    <row r="287" spans="1:26" s="918" customFormat="1" ht="15.5">
      <c r="B287" s="55"/>
      <c r="C287" s="103" t="s">
        <v>1113</v>
      </c>
      <c r="D287" s="103" t="s">
        <v>1126</v>
      </c>
      <c r="E287" s="1256"/>
      <c r="F287" s="1060">
        <f t="shared" ref="F287:N287" si="34">CHOOSE($E$9, F50, F67, F84, F101)</f>
        <v>0</v>
      </c>
      <c r="G287" s="1060">
        <f t="shared" si="34"/>
        <v>3.5000000000000001E-3</v>
      </c>
      <c r="H287" s="1060">
        <f t="shared" si="34"/>
        <v>7.0000000000000001E-3</v>
      </c>
      <c r="I287" s="1060">
        <f t="shared" si="34"/>
        <v>3.8500000000000006E-2</v>
      </c>
      <c r="J287" s="1060">
        <f t="shared" si="34"/>
        <v>7.0000000000000007E-2</v>
      </c>
      <c r="K287" s="1060">
        <f t="shared" si="34"/>
        <v>0.10500000000000001</v>
      </c>
      <c r="L287" s="1060">
        <f t="shared" si="34"/>
        <v>0.14000000000000001</v>
      </c>
      <c r="M287" s="1060">
        <f t="shared" si="34"/>
        <v>0.17</v>
      </c>
      <c r="N287" s="1060">
        <f t="shared" si="34"/>
        <v>0.2</v>
      </c>
      <c r="O287" s="876"/>
    </row>
    <row r="288" spans="1:26" s="918" customFormat="1" ht="15.5">
      <c r="B288" s="55"/>
      <c r="C288" s="103" t="s">
        <v>1113</v>
      </c>
      <c r="D288" s="103" t="s">
        <v>1127</v>
      </c>
      <c r="E288" s="1256" t="s">
        <v>5</v>
      </c>
      <c r="F288" s="1060">
        <f t="shared" ref="F288:N288" si="35">CHOOSE($E$9, F51, F68, F85, F102)</f>
        <v>1E-4</v>
      </c>
      <c r="G288" s="1060">
        <f t="shared" si="35"/>
        <v>5.0000000000000001E-4</v>
      </c>
      <c r="H288" s="1060">
        <f t="shared" si="35"/>
        <v>1E-3</v>
      </c>
      <c r="I288" s="1060">
        <f t="shared" si="35"/>
        <v>5.4999999999999997E-3</v>
      </c>
      <c r="J288" s="1060">
        <f t="shared" si="35"/>
        <v>0.01</v>
      </c>
      <c r="K288" s="1060">
        <f t="shared" si="35"/>
        <v>1.4999999999999999E-2</v>
      </c>
      <c r="L288" s="1060">
        <f t="shared" si="35"/>
        <v>0.02</v>
      </c>
      <c r="M288" s="1060">
        <f t="shared" si="35"/>
        <v>2.2499999999999999E-2</v>
      </c>
      <c r="N288" s="1060">
        <f t="shared" si="35"/>
        <v>2.5000000000000001E-2</v>
      </c>
      <c r="O288" s="876"/>
    </row>
    <row r="289" spans="1:16" s="918" customFormat="1" ht="15.5">
      <c r="B289" s="55"/>
      <c r="C289" s="1495" t="s">
        <v>1113</v>
      </c>
      <c r="D289" s="1495" t="s">
        <v>1128</v>
      </c>
      <c r="E289" s="1496"/>
      <c r="F289" s="1497">
        <f t="shared" ref="F289:N289" si="36">CHOOSE($E$9, F52, F69, F86, F103)</f>
        <v>0</v>
      </c>
      <c r="G289" s="1497">
        <f t="shared" si="36"/>
        <v>0</v>
      </c>
      <c r="H289" s="1497">
        <f t="shared" si="36"/>
        <v>0</v>
      </c>
      <c r="I289" s="1497">
        <f t="shared" si="36"/>
        <v>0</v>
      </c>
      <c r="J289" s="1497">
        <f t="shared" si="36"/>
        <v>0</v>
      </c>
      <c r="K289" s="1497">
        <f t="shared" si="36"/>
        <v>0</v>
      </c>
      <c r="L289" s="1497">
        <f t="shared" si="36"/>
        <v>0</v>
      </c>
      <c r="M289" s="1497">
        <f t="shared" si="36"/>
        <v>0</v>
      </c>
      <c r="N289" s="1497">
        <f t="shared" si="36"/>
        <v>0</v>
      </c>
      <c r="O289" s="876"/>
    </row>
    <row r="290" spans="1:16" s="918" customFormat="1" ht="15.5">
      <c r="B290" s="55"/>
      <c r="C290" s="881" t="s">
        <v>1115</v>
      </c>
      <c r="D290" s="881" t="s">
        <v>1125</v>
      </c>
      <c r="E290" s="1306"/>
      <c r="F290" s="1302">
        <f t="shared" ref="F290:N290" si="37">CHOOSE($E$9, F53, F70, F87, F104)</f>
        <v>1</v>
      </c>
      <c r="G290" s="1302">
        <f t="shared" si="37"/>
        <v>1</v>
      </c>
      <c r="H290" s="1302">
        <f t="shared" si="37"/>
        <v>1</v>
      </c>
      <c r="I290" s="1302">
        <f t="shared" si="37"/>
        <v>1</v>
      </c>
      <c r="J290" s="1302">
        <f t="shared" si="37"/>
        <v>1</v>
      </c>
      <c r="K290" s="1302">
        <f t="shared" si="37"/>
        <v>1</v>
      </c>
      <c r="L290" s="1302">
        <f t="shared" si="37"/>
        <v>1</v>
      </c>
      <c r="M290" s="1302">
        <f t="shared" si="37"/>
        <v>1</v>
      </c>
      <c r="N290" s="1302">
        <f t="shared" si="37"/>
        <v>1</v>
      </c>
      <c r="O290" s="876"/>
      <c r="P290" s="918" t="s">
        <v>5</v>
      </c>
    </row>
    <row r="291" spans="1:16" s="918" customFormat="1" ht="15.5">
      <c r="B291" s="55"/>
      <c r="C291" s="103" t="s">
        <v>1115</v>
      </c>
      <c r="D291" s="103" t="s">
        <v>3434</v>
      </c>
      <c r="E291" s="1256"/>
      <c r="F291" s="1060">
        <f t="shared" ref="F291:N291" si="38">CHOOSE($E$9, F54, F71, F88, F105)</f>
        <v>0</v>
      </c>
      <c r="G291" s="1060">
        <f t="shared" si="38"/>
        <v>0</v>
      </c>
      <c r="H291" s="1060">
        <f t="shared" si="38"/>
        <v>0</v>
      </c>
      <c r="I291" s="1060">
        <f t="shared" si="38"/>
        <v>0</v>
      </c>
      <c r="J291" s="1060">
        <f t="shared" si="38"/>
        <v>0</v>
      </c>
      <c r="K291" s="1060">
        <f t="shared" si="38"/>
        <v>0</v>
      </c>
      <c r="L291" s="1060">
        <f t="shared" si="38"/>
        <v>0</v>
      </c>
      <c r="M291" s="1060">
        <f t="shared" si="38"/>
        <v>0</v>
      </c>
      <c r="N291" s="1060">
        <f t="shared" si="38"/>
        <v>0</v>
      </c>
      <c r="O291" s="876"/>
      <c r="P291" s="918" t="s">
        <v>5</v>
      </c>
    </row>
    <row r="292" spans="1:16" s="918" customFormat="1" ht="15.5">
      <c r="B292" s="55"/>
      <c r="C292" s="103" t="s">
        <v>1115</v>
      </c>
      <c r="D292" s="103" t="s">
        <v>1129</v>
      </c>
      <c r="E292" s="1256" t="s">
        <v>5</v>
      </c>
      <c r="F292" s="1060">
        <f t="shared" ref="F292:N292" si="39">CHOOSE($E$9, F55, F72, F89, F106)</f>
        <v>0</v>
      </c>
      <c r="G292" s="1060">
        <f t="shared" si="39"/>
        <v>0</v>
      </c>
      <c r="H292" s="1060">
        <f t="shared" si="39"/>
        <v>0</v>
      </c>
      <c r="I292" s="1060">
        <f t="shared" si="39"/>
        <v>0</v>
      </c>
      <c r="J292" s="1060">
        <f t="shared" si="39"/>
        <v>0</v>
      </c>
      <c r="K292" s="1060">
        <f t="shared" si="39"/>
        <v>0</v>
      </c>
      <c r="L292" s="1060">
        <f t="shared" si="39"/>
        <v>0</v>
      </c>
      <c r="M292" s="1060">
        <f t="shared" si="39"/>
        <v>0</v>
      </c>
      <c r="N292" s="1060">
        <f t="shared" si="39"/>
        <v>0</v>
      </c>
      <c r="O292" s="876"/>
    </row>
    <row r="293" spans="1:16" s="918" customFormat="1" ht="15.5">
      <c r="B293" s="55"/>
      <c r="C293" s="103" t="s">
        <v>1115</v>
      </c>
      <c r="D293" s="103" t="s">
        <v>1127</v>
      </c>
      <c r="E293" s="1256"/>
      <c r="F293" s="1060">
        <f t="shared" ref="F293:N293" si="40">CHOOSE($E$9, F56, F73, F90, F107)</f>
        <v>0</v>
      </c>
      <c r="G293" s="1060">
        <f t="shared" si="40"/>
        <v>0</v>
      </c>
      <c r="H293" s="1060">
        <f t="shared" si="40"/>
        <v>0</v>
      </c>
      <c r="I293" s="1060">
        <f t="shared" si="40"/>
        <v>0</v>
      </c>
      <c r="J293" s="1060">
        <f t="shared" si="40"/>
        <v>0</v>
      </c>
      <c r="K293" s="1060">
        <f t="shared" si="40"/>
        <v>0</v>
      </c>
      <c r="L293" s="1060">
        <f t="shared" si="40"/>
        <v>0</v>
      </c>
      <c r="M293" s="1060">
        <f t="shared" si="40"/>
        <v>0</v>
      </c>
      <c r="N293" s="1060">
        <f t="shared" si="40"/>
        <v>0</v>
      </c>
      <c r="O293" s="876"/>
    </row>
    <row r="294" spans="1:16" s="918" customFormat="1" ht="15.5">
      <c r="B294" s="55"/>
      <c r="C294" s="1495" t="s">
        <v>1115</v>
      </c>
      <c r="D294" s="1495" t="s">
        <v>1128</v>
      </c>
      <c r="E294" s="1496"/>
      <c r="F294" s="1497">
        <f t="shared" ref="F294:N294" si="41">CHOOSE($E$9, F57, F74, F91, F108)</f>
        <v>0</v>
      </c>
      <c r="G294" s="1497">
        <f t="shared" si="41"/>
        <v>0</v>
      </c>
      <c r="H294" s="1497">
        <f t="shared" si="41"/>
        <v>0</v>
      </c>
      <c r="I294" s="1497">
        <f t="shared" si="41"/>
        <v>0</v>
      </c>
      <c r="J294" s="1497">
        <f t="shared" si="41"/>
        <v>0</v>
      </c>
      <c r="K294" s="1497">
        <f t="shared" si="41"/>
        <v>0</v>
      </c>
      <c r="L294" s="1497">
        <f t="shared" si="41"/>
        <v>0</v>
      </c>
      <c r="M294" s="1497">
        <f t="shared" si="41"/>
        <v>0</v>
      </c>
      <c r="N294" s="1497">
        <f t="shared" si="41"/>
        <v>0</v>
      </c>
      <c r="O294" s="876"/>
    </row>
    <row r="295" spans="1:16" s="918" customFormat="1" ht="15.5">
      <c r="B295" s="55"/>
      <c r="C295" s="881" t="s">
        <v>1117</v>
      </c>
      <c r="D295" s="881" t="s">
        <v>1130</v>
      </c>
      <c r="E295" s="1306"/>
      <c r="F295" s="1302">
        <f t="shared" ref="F295:N295" si="42">CHOOSE($E$9, F58, F75, F92, F109)</f>
        <v>0.8</v>
      </c>
      <c r="G295" s="1302">
        <f t="shared" si="42"/>
        <v>0.8</v>
      </c>
      <c r="H295" s="1302">
        <f t="shared" si="42"/>
        <v>0.8</v>
      </c>
      <c r="I295" s="1302">
        <f t="shared" si="42"/>
        <v>0.8</v>
      </c>
      <c r="J295" s="1302">
        <f t="shared" si="42"/>
        <v>0.8</v>
      </c>
      <c r="K295" s="1302">
        <f t="shared" si="42"/>
        <v>0.8</v>
      </c>
      <c r="L295" s="1302">
        <f t="shared" si="42"/>
        <v>0.8</v>
      </c>
      <c r="M295" s="1302">
        <f t="shared" si="42"/>
        <v>0.8</v>
      </c>
      <c r="N295" s="1302">
        <f t="shared" si="42"/>
        <v>0.8</v>
      </c>
      <c r="O295" s="876"/>
    </row>
    <row r="296" spans="1:16" s="918" customFormat="1" ht="15.5">
      <c r="B296" s="55"/>
      <c r="C296" s="103" t="s">
        <v>1117</v>
      </c>
      <c r="D296" s="103" t="s">
        <v>1131</v>
      </c>
      <c r="E296" s="1256"/>
      <c r="F296" s="1060">
        <f t="shared" ref="F296:N296" si="43">CHOOSE($E$9, F59, F76, F93, F110)</f>
        <v>0.2</v>
      </c>
      <c r="G296" s="1060">
        <f t="shared" si="43"/>
        <v>0.2</v>
      </c>
      <c r="H296" s="1060">
        <f t="shared" si="43"/>
        <v>0.2</v>
      </c>
      <c r="I296" s="1060">
        <f t="shared" si="43"/>
        <v>0.2</v>
      </c>
      <c r="J296" s="1060">
        <f t="shared" si="43"/>
        <v>0.2</v>
      </c>
      <c r="K296" s="1060">
        <f t="shared" si="43"/>
        <v>0.2</v>
      </c>
      <c r="L296" s="1060">
        <f t="shared" si="43"/>
        <v>0.2</v>
      </c>
      <c r="M296" s="1060">
        <f t="shared" si="43"/>
        <v>0.2</v>
      </c>
      <c r="N296" s="1060">
        <f t="shared" si="43"/>
        <v>0.2</v>
      </c>
      <c r="O296" s="876"/>
    </row>
    <row r="297" spans="1:16" s="918" customFormat="1" ht="15.5">
      <c r="B297" s="55"/>
      <c r="C297" s="194" t="s">
        <v>1119</v>
      </c>
      <c r="D297" s="194" t="s">
        <v>1119</v>
      </c>
      <c r="E297" s="1310"/>
      <c r="F297" s="1303">
        <f t="shared" ref="F297:N297" si="44">CHOOSE($E$9, F60, F77, F94, F111)</f>
        <v>1</v>
      </c>
      <c r="G297" s="1303">
        <f t="shared" si="44"/>
        <v>1</v>
      </c>
      <c r="H297" s="1303">
        <f t="shared" si="44"/>
        <v>1</v>
      </c>
      <c r="I297" s="1303">
        <f t="shared" si="44"/>
        <v>1</v>
      </c>
      <c r="J297" s="1303">
        <f t="shared" si="44"/>
        <v>1</v>
      </c>
      <c r="K297" s="1303">
        <f t="shared" si="44"/>
        <v>1</v>
      </c>
      <c r="L297" s="1303">
        <f t="shared" si="44"/>
        <v>1</v>
      </c>
      <c r="M297" s="1303">
        <f t="shared" si="44"/>
        <v>1</v>
      </c>
      <c r="N297" s="1303">
        <f t="shared" si="44"/>
        <v>1</v>
      </c>
      <c r="O297" s="876"/>
    </row>
    <row r="298" spans="1:16" s="918" customFormat="1" ht="15.5">
      <c r="B298" s="55"/>
      <c r="C298" s="103"/>
      <c r="D298" s="103"/>
      <c r="E298" s="1256"/>
      <c r="F298" s="1060" t="s">
        <v>5</v>
      </c>
      <c r="G298" s="1060"/>
      <c r="H298" s="1060"/>
      <c r="I298" s="1060"/>
      <c r="J298" s="1060"/>
      <c r="K298" s="1060"/>
      <c r="L298" s="1060"/>
      <c r="M298" s="1060"/>
      <c r="N298" s="1060"/>
      <c r="O298" s="876"/>
    </row>
    <row r="299" spans="1:16" s="918" customFormat="1">
      <c r="B299" s="105"/>
      <c r="C299" s="146" t="s">
        <v>1151</v>
      </c>
      <c r="D299" s="103"/>
      <c r="E299" s="1256"/>
      <c r="F299" s="1299"/>
      <c r="G299" s="1300"/>
      <c r="H299" s="1300"/>
      <c r="I299" s="1300"/>
      <c r="J299" s="77"/>
      <c r="K299" s="77"/>
      <c r="L299" s="77"/>
      <c r="M299" s="77"/>
      <c r="N299" s="77" t="s">
        <v>1124</v>
      </c>
      <c r="O299" s="876"/>
    </row>
    <row r="300" spans="1:16" s="918" customFormat="1" ht="23.5">
      <c r="A300" s="1532"/>
      <c r="B300" s="105"/>
      <c r="C300" s="943"/>
      <c r="D300" s="103"/>
      <c r="E300" s="1256"/>
      <c r="F300" s="1299"/>
      <c r="G300" s="1300"/>
      <c r="H300" s="1300"/>
      <c r="I300" s="1300"/>
      <c r="J300" s="77"/>
      <c r="K300" s="77"/>
      <c r="L300" s="77"/>
      <c r="M300" s="77"/>
      <c r="N300" s="77"/>
      <c r="O300" s="876"/>
    </row>
    <row r="301" spans="1:16" s="918" customFormat="1" ht="15.5">
      <c r="B301" s="55"/>
      <c r="C301" s="878" t="s">
        <v>987</v>
      </c>
      <c r="D301" s="878" t="s">
        <v>44</v>
      </c>
      <c r="E301" s="878" t="s">
        <v>30</v>
      </c>
      <c r="F301" s="87">
        <v>2013</v>
      </c>
      <c r="G301" s="87">
        <v>2015</v>
      </c>
      <c r="H301" s="87">
        <v>2020</v>
      </c>
      <c r="I301" s="87">
        <v>2025</v>
      </c>
      <c r="J301" s="87">
        <v>2030</v>
      </c>
      <c r="K301" s="87">
        <v>2035</v>
      </c>
      <c r="L301" s="87">
        <v>2040</v>
      </c>
      <c r="M301" s="87">
        <v>2045</v>
      </c>
      <c r="N301" s="87">
        <v>2050</v>
      </c>
      <c r="O301" s="876"/>
    </row>
    <row r="302" spans="1:16" s="918" customFormat="1" ht="15.5">
      <c r="B302" s="55"/>
      <c r="C302" s="103" t="s">
        <v>1111</v>
      </c>
      <c r="D302" s="103" t="s">
        <v>1111</v>
      </c>
      <c r="E302" s="1256"/>
      <c r="F302" s="1060">
        <f>F285</f>
        <v>1</v>
      </c>
      <c r="G302" s="1060">
        <f t="shared" ref="G302:N304" si="45">G285</f>
        <v>1</v>
      </c>
      <c r="H302" s="1060">
        <f t="shared" si="45"/>
        <v>1</v>
      </c>
      <c r="I302" s="1060">
        <f t="shared" si="45"/>
        <v>1</v>
      </c>
      <c r="J302" s="1060">
        <f t="shared" si="45"/>
        <v>1</v>
      </c>
      <c r="K302" s="1060">
        <f t="shared" si="45"/>
        <v>1</v>
      </c>
      <c r="L302" s="1060">
        <f t="shared" si="45"/>
        <v>1</v>
      </c>
      <c r="M302" s="1060">
        <f t="shared" si="45"/>
        <v>1</v>
      </c>
      <c r="N302" s="1060">
        <f t="shared" si="45"/>
        <v>1</v>
      </c>
      <c r="O302" s="876"/>
    </row>
    <row r="303" spans="1:16" s="918" customFormat="1" ht="15.5">
      <c r="B303" s="55"/>
      <c r="C303" s="881" t="s">
        <v>1113</v>
      </c>
      <c r="D303" s="881" t="s">
        <v>1125</v>
      </c>
      <c r="E303" s="1306"/>
      <c r="F303" s="1302">
        <f>F286</f>
        <v>0.999</v>
      </c>
      <c r="G303" s="1302">
        <f t="shared" si="45"/>
        <v>0.996</v>
      </c>
      <c r="H303" s="1302">
        <f t="shared" si="45"/>
        <v>0.99199999999999999</v>
      </c>
      <c r="I303" s="1302">
        <f t="shared" si="45"/>
        <v>0.95599999999999996</v>
      </c>
      <c r="J303" s="1302">
        <f t="shared" si="45"/>
        <v>0.92</v>
      </c>
      <c r="K303" s="1302">
        <f t="shared" si="45"/>
        <v>0.88</v>
      </c>
      <c r="L303" s="1302">
        <f t="shared" si="45"/>
        <v>0.84</v>
      </c>
      <c r="M303" s="1302">
        <f t="shared" si="45"/>
        <v>0.8075</v>
      </c>
      <c r="N303" s="1302">
        <f t="shared" si="45"/>
        <v>0.77500000000000002</v>
      </c>
      <c r="O303" s="876"/>
    </row>
    <row r="304" spans="1:16" s="918" customFormat="1" ht="15.5">
      <c r="B304" s="55"/>
      <c r="C304" s="103" t="s">
        <v>1113</v>
      </c>
      <c r="D304" s="103" t="s">
        <v>1126</v>
      </c>
      <c r="E304" s="1256"/>
      <c r="F304" s="1060">
        <f>F287</f>
        <v>0</v>
      </c>
      <c r="G304" s="1060">
        <f t="shared" si="45"/>
        <v>3.5000000000000001E-3</v>
      </c>
      <c r="H304" s="1060">
        <f t="shared" si="45"/>
        <v>7.0000000000000001E-3</v>
      </c>
      <c r="I304" s="1060">
        <f t="shared" si="45"/>
        <v>3.8500000000000006E-2</v>
      </c>
      <c r="J304" s="1060">
        <f t="shared" si="45"/>
        <v>7.0000000000000007E-2</v>
      </c>
      <c r="K304" s="1060">
        <f t="shared" si="45"/>
        <v>0.10500000000000001</v>
      </c>
      <c r="L304" s="1060">
        <f t="shared" si="45"/>
        <v>0.14000000000000001</v>
      </c>
      <c r="M304" s="1060">
        <f t="shared" si="45"/>
        <v>0.17</v>
      </c>
      <c r="N304" s="1060">
        <f t="shared" si="45"/>
        <v>0.2</v>
      </c>
      <c r="O304" s="876"/>
    </row>
    <row r="305" spans="2:16" s="918" customFormat="1" ht="15.5">
      <c r="B305" s="55"/>
      <c r="C305" s="103" t="s">
        <v>1113</v>
      </c>
      <c r="D305" s="103" t="s">
        <v>1127</v>
      </c>
      <c r="E305" s="1256"/>
      <c r="F305" s="1060">
        <f t="shared" ref="F305:N305" si="46">(SUM(F288:F289))*(INDEX($F$116:$F$119,MATCH($E$10,$C$116:$C$119)))</f>
        <v>1E-4</v>
      </c>
      <c r="G305" s="1060">
        <f t="shared" si="46"/>
        <v>5.0000000000000001E-4</v>
      </c>
      <c r="H305" s="1060">
        <f t="shared" si="46"/>
        <v>1E-3</v>
      </c>
      <c r="I305" s="1060">
        <f t="shared" si="46"/>
        <v>5.4999999999999997E-3</v>
      </c>
      <c r="J305" s="1060">
        <f t="shared" si="46"/>
        <v>0.01</v>
      </c>
      <c r="K305" s="1060">
        <f t="shared" si="46"/>
        <v>1.4999999999999999E-2</v>
      </c>
      <c r="L305" s="1060">
        <f t="shared" si="46"/>
        <v>0.02</v>
      </c>
      <c r="M305" s="1060">
        <f t="shared" si="46"/>
        <v>2.2499999999999999E-2</v>
      </c>
      <c r="N305" s="1060">
        <f t="shared" si="46"/>
        <v>2.5000000000000001E-2</v>
      </c>
      <c r="O305" s="876"/>
    </row>
    <row r="306" spans="2:16" s="918" customFormat="1" ht="15.5">
      <c r="B306" s="55"/>
      <c r="C306" s="1495" t="s">
        <v>1113</v>
      </c>
      <c r="D306" s="1495" t="s">
        <v>1128</v>
      </c>
      <c r="E306" s="1496"/>
      <c r="F306" s="1497">
        <f t="shared" ref="F306:N306" si="47">(SUM(F288:F289))*(INDEX($G$116:$G$119,MATCH($E$10,$C$116:$C$119)))</f>
        <v>0</v>
      </c>
      <c r="G306" s="1497">
        <f t="shared" si="47"/>
        <v>0</v>
      </c>
      <c r="H306" s="1497">
        <f t="shared" si="47"/>
        <v>0</v>
      </c>
      <c r="I306" s="1497">
        <f t="shared" si="47"/>
        <v>0</v>
      </c>
      <c r="J306" s="1497">
        <f t="shared" si="47"/>
        <v>0</v>
      </c>
      <c r="K306" s="1497">
        <f t="shared" si="47"/>
        <v>0</v>
      </c>
      <c r="L306" s="1497">
        <f t="shared" si="47"/>
        <v>0</v>
      </c>
      <c r="M306" s="1497">
        <f t="shared" si="47"/>
        <v>0</v>
      </c>
      <c r="N306" s="1497">
        <f t="shared" si="47"/>
        <v>0</v>
      </c>
      <c r="O306" s="876"/>
    </row>
    <row r="307" spans="2:16" s="918" customFormat="1" ht="15.5">
      <c r="B307" s="55"/>
      <c r="C307" s="881" t="s">
        <v>1115</v>
      </c>
      <c r="D307" s="881" t="s">
        <v>1125</v>
      </c>
      <c r="E307" s="1306"/>
      <c r="F307" s="1060">
        <f t="shared" ref="F307:N307" si="48">F290</f>
        <v>1</v>
      </c>
      <c r="G307" s="1060">
        <f t="shared" si="48"/>
        <v>1</v>
      </c>
      <c r="H307" s="1060">
        <f t="shared" si="48"/>
        <v>1</v>
      </c>
      <c r="I307" s="1060">
        <f t="shared" si="48"/>
        <v>1</v>
      </c>
      <c r="J307" s="1060">
        <f t="shared" si="48"/>
        <v>1</v>
      </c>
      <c r="K307" s="1060">
        <f t="shared" si="48"/>
        <v>1</v>
      </c>
      <c r="L307" s="1060">
        <f t="shared" si="48"/>
        <v>1</v>
      </c>
      <c r="M307" s="1060">
        <f t="shared" si="48"/>
        <v>1</v>
      </c>
      <c r="N307" s="1060">
        <f t="shared" si="48"/>
        <v>1</v>
      </c>
      <c r="O307" s="876"/>
    </row>
    <row r="308" spans="2:16" s="918" customFormat="1" ht="15.5">
      <c r="B308" s="55"/>
      <c r="C308" s="103" t="s">
        <v>1115</v>
      </c>
      <c r="D308" s="103" t="s">
        <v>3434</v>
      </c>
      <c r="E308" s="1256"/>
      <c r="F308" s="1060">
        <f t="shared" ref="F308:N308" si="49">F291</f>
        <v>0</v>
      </c>
      <c r="G308" s="1060">
        <f t="shared" si="49"/>
        <v>0</v>
      </c>
      <c r="H308" s="1060">
        <f t="shared" si="49"/>
        <v>0</v>
      </c>
      <c r="I308" s="1060">
        <f t="shared" si="49"/>
        <v>0</v>
      </c>
      <c r="J308" s="1060">
        <f t="shared" si="49"/>
        <v>0</v>
      </c>
      <c r="K308" s="1060">
        <f t="shared" si="49"/>
        <v>0</v>
      </c>
      <c r="L308" s="1060">
        <f t="shared" si="49"/>
        <v>0</v>
      </c>
      <c r="M308" s="1060">
        <f t="shared" si="49"/>
        <v>0</v>
      </c>
      <c r="N308" s="1060">
        <f t="shared" si="49"/>
        <v>0</v>
      </c>
      <c r="O308" s="876"/>
    </row>
    <row r="309" spans="2:16" s="918" customFormat="1" ht="15.5">
      <c r="B309" s="55"/>
      <c r="C309" s="103" t="s">
        <v>1115</v>
      </c>
      <c r="D309" s="103" t="s">
        <v>1129</v>
      </c>
      <c r="E309" s="1256"/>
      <c r="F309" s="1060">
        <f>F292</f>
        <v>0</v>
      </c>
      <c r="G309" s="1060">
        <f t="shared" ref="G309:N309" si="50">G292</f>
        <v>0</v>
      </c>
      <c r="H309" s="1060">
        <f t="shared" si="50"/>
        <v>0</v>
      </c>
      <c r="I309" s="1060">
        <f t="shared" si="50"/>
        <v>0</v>
      </c>
      <c r="J309" s="1060">
        <f t="shared" si="50"/>
        <v>0</v>
      </c>
      <c r="K309" s="1060">
        <f t="shared" si="50"/>
        <v>0</v>
      </c>
      <c r="L309" s="1060">
        <f t="shared" si="50"/>
        <v>0</v>
      </c>
      <c r="M309" s="1060">
        <f t="shared" si="50"/>
        <v>0</v>
      </c>
      <c r="N309" s="1060">
        <f t="shared" si="50"/>
        <v>0</v>
      </c>
      <c r="O309" s="876"/>
    </row>
    <row r="310" spans="2:16" s="918" customFormat="1" ht="15.5">
      <c r="B310" s="55"/>
      <c r="C310" s="103" t="s">
        <v>1115</v>
      </c>
      <c r="D310" s="103" t="s">
        <v>1127</v>
      </c>
      <c r="E310" s="1256"/>
      <c r="F310" s="1256">
        <f t="shared" ref="F310:N310" si="51">(SUM(F293,F294))*(INDEX($F$116:$F$119,MATCH($E$10,$C$116:$C$119)))</f>
        <v>0</v>
      </c>
      <c r="G310" s="1256">
        <f t="shared" si="51"/>
        <v>0</v>
      </c>
      <c r="H310" s="1256">
        <f t="shared" si="51"/>
        <v>0</v>
      </c>
      <c r="I310" s="1256">
        <f t="shared" si="51"/>
        <v>0</v>
      </c>
      <c r="J310" s="1256">
        <f t="shared" si="51"/>
        <v>0</v>
      </c>
      <c r="K310" s="1256">
        <f t="shared" si="51"/>
        <v>0</v>
      </c>
      <c r="L310" s="1256">
        <f t="shared" si="51"/>
        <v>0</v>
      </c>
      <c r="M310" s="1256">
        <f t="shared" si="51"/>
        <v>0</v>
      </c>
      <c r="N310" s="1256">
        <f t="shared" si="51"/>
        <v>0</v>
      </c>
      <c r="O310" s="876"/>
    </row>
    <row r="311" spans="2:16" s="918" customFormat="1" ht="15.5">
      <c r="B311" s="55"/>
      <c r="C311" s="1495" t="s">
        <v>1115</v>
      </c>
      <c r="D311" s="1495" t="s">
        <v>1128</v>
      </c>
      <c r="E311" s="1496"/>
      <c r="F311" s="1497">
        <f t="shared" ref="F311:N311" si="52">(SUM(F293,F294))*(INDEX($G$116:$G$119,MATCH($E$10,$C$116:$C$119)))</f>
        <v>0</v>
      </c>
      <c r="G311" s="1497">
        <f t="shared" si="52"/>
        <v>0</v>
      </c>
      <c r="H311" s="1497">
        <f t="shared" si="52"/>
        <v>0</v>
      </c>
      <c r="I311" s="1497">
        <f t="shared" si="52"/>
        <v>0</v>
      </c>
      <c r="J311" s="1497">
        <f t="shared" si="52"/>
        <v>0</v>
      </c>
      <c r="K311" s="1497">
        <f t="shared" si="52"/>
        <v>0</v>
      </c>
      <c r="L311" s="1497">
        <f t="shared" si="52"/>
        <v>0</v>
      </c>
      <c r="M311" s="1497">
        <f t="shared" si="52"/>
        <v>0</v>
      </c>
      <c r="N311" s="1497">
        <f t="shared" si="52"/>
        <v>0</v>
      </c>
      <c r="O311" s="876"/>
    </row>
    <row r="312" spans="2:16" s="918" customFormat="1" ht="15.5">
      <c r="B312" s="55"/>
      <c r="C312" s="881" t="s">
        <v>1117</v>
      </c>
      <c r="D312" s="881" t="s">
        <v>1130</v>
      </c>
      <c r="E312" s="1306"/>
      <c r="F312" s="1302">
        <f>F295</f>
        <v>0.8</v>
      </c>
      <c r="G312" s="1302">
        <f t="shared" ref="G312:N314" si="53">G295</f>
        <v>0.8</v>
      </c>
      <c r="H312" s="1302">
        <f t="shared" si="53"/>
        <v>0.8</v>
      </c>
      <c r="I312" s="1302">
        <f t="shared" si="53"/>
        <v>0.8</v>
      </c>
      <c r="J312" s="1302">
        <f t="shared" si="53"/>
        <v>0.8</v>
      </c>
      <c r="K312" s="1302">
        <f t="shared" si="53"/>
        <v>0.8</v>
      </c>
      <c r="L312" s="1302">
        <f t="shared" si="53"/>
        <v>0.8</v>
      </c>
      <c r="M312" s="1302">
        <f t="shared" si="53"/>
        <v>0.8</v>
      </c>
      <c r="N312" s="1302">
        <f t="shared" si="53"/>
        <v>0.8</v>
      </c>
      <c r="O312" s="876"/>
      <c r="P312" s="918" t="s">
        <v>5</v>
      </c>
    </row>
    <row r="313" spans="2:16" s="918" customFormat="1" ht="15.5">
      <c r="B313" s="55"/>
      <c r="C313" s="103" t="s">
        <v>1117</v>
      </c>
      <c r="D313" s="103" t="s">
        <v>1131</v>
      </c>
      <c r="E313" s="1256"/>
      <c r="F313" s="1060">
        <f>F296</f>
        <v>0.2</v>
      </c>
      <c r="G313" s="1060">
        <f t="shared" si="53"/>
        <v>0.2</v>
      </c>
      <c r="H313" s="1060">
        <f t="shared" si="53"/>
        <v>0.2</v>
      </c>
      <c r="I313" s="1060">
        <f t="shared" si="53"/>
        <v>0.2</v>
      </c>
      <c r="J313" s="1060">
        <f t="shared" si="53"/>
        <v>0.2</v>
      </c>
      <c r="K313" s="1060">
        <f t="shared" si="53"/>
        <v>0.2</v>
      </c>
      <c r="L313" s="1060">
        <f t="shared" si="53"/>
        <v>0.2</v>
      </c>
      <c r="M313" s="1060">
        <f t="shared" si="53"/>
        <v>0.2</v>
      </c>
      <c r="N313" s="1060">
        <f t="shared" si="53"/>
        <v>0.2</v>
      </c>
      <c r="O313" s="876"/>
    </row>
    <row r="314" spans="2:16" s="918" customFormat="1" ht="15.5">
      <c r="B314" s="55"/>
      <c r="C314" s="194" t="s">
        <v>1119</v>
      </c>
      <c r="D314" s="194" t="s">
        <v>1119</v>
      </c>
      <c r="E314" s="1310"/>
      <c r="F314" s="1303">
        <f>F297</f>
        <v>1</v>
      </c>
      <c r="G314" s="1303">
        <f t="shared" si="53"/>
        <v>1</v>
      </c>
      <c r="H314" s="1303">
        <f t="shared" si="53"/>
        <v>1</v>
      </c>
      <c r="I314" s="1303">
        <f t="shared" si="53"/>
        <v>1</v>
      </c>
      <c r="J314" s="1303">
        <f t="shared" si="53"/>
        <v>1</v>
      </c>
      <c r="K314" s="1303">
        <f t="shared" si="53"/>
        <v>1</v>
      </c>
      <c r="L314" s="1303">
        <f t="shared" si="53"/>
        <v>1</v>
      </c>
      <c r="M314" s="1303">
        <f t="shared" si="53"/>
        <v>1</v>
      </c>
      <c r="N314" s="1303">
        <f t="shared" si="53"/>
        <v>1</v>
      </c>
      <c r="O314" s="876"/>
    </row>
    <row r="315" spans="2:16" s="918" customFormat="1" ht="15.5">
      <c r="B315" s="55"/>
      <c r="C315" s="103"/>
      <c r="D315" s="103"/>
      <c r="E315" s="1256"/>
      <c r="F315" s="1060"/>
      <c r="G315" s="1060"/>
      <c r="H315" s="1060"/>
      <c r="I315" s="1060"/>
      <c r="J315" s="1060"/>
      <c r="K315" s="1060"/>
      <c r="L315" s="1060"/>
      <c r="M315" s="1060"/>
      <c r="N315" s="1060"/>
      <c r="O315" s="876"/>
    </row>
    <row r="316" spans="2:16" s="918" customFormat="1">
      <c r="B316" s="130" t="s">
        <v>1152</v>
      </c>
      <c r="C316" s="49" t="s">
        <v>1153</v>
      </c>
      <c r="D316" s="67"/>
      <c r="E316" s="51"/>
      <c r="F316" s="67" t="s">
        <v>5</v>
      </c>
      <c r="G316" s="1300"/>
      <c r="H316" s="1300"/>
      <c r="I316" s="185"/>
      <c r="J316" s="1060"/>
      <c r="K316" s="1060" t="s">
        <v>5</v>
      </c>
      <c r="L316" s="1060"/>
      <c r="M316" s="1060"/>
      <c r="N316" s="185" t="s">
        <v>1121</v>
      </c>
      <c r="O316" s="876"/>
    </row>
    <row r="317" spans="2:16" s="918" customFormat="1" ht="15.5">
      <c r="B317" s="55"/>
      <c r="C317" s="67"/>
      <c r="D317" s="67"/>
      <c r="E317" s="67"/>
      <c r="F317" s="67"/>
      <c r="G317" s="1300"/>
      <c r="H317" s="1300"/>
      <c r="I317" s="1300"/>
      <c r="J317" s="1060"/>
      <c r="K317" s="1060"/>
      <c r="L317" s="1060"/>
      <c r="M317" s="1060"/>
      <c r="N317" s="1060"/>
      <c r="O317" s="876"/>
    </row>
    <row r="318" spans="2:16" s="918" customFormat="1" ht="15.5">
      <c r="B318" s="55"/>
      <c r="C318" s="900" t="s">
        <v>43</v>
      </c>
      <c r="D318" s="878" t="s">
        <v>987</v>
      </c>
      <c r="E318" s="878" t="s">
        <v>30</v>
      </c>
      <c r="F318" s="87">
        <v>2013</v>
      </c>
      <c r="G318" s="87">
        <v>2015</v>
      </c>
      <c r="H318" s="87">
        <v>2020</v>
      </c>
      <c r="I318" s="87">
        <v>2025</v>
      </c>
      <c r="J318" s="87">
        <v>2030</v>
      </c>
      <c r="K318" s="87">
        <v>2035</v>
      </c>
      <c r="L318" s="87">
        <v>2040</v>
      </c>
      <c r="M318" s="87">
        <v>2045</v>
      </c>
      <c r="N318" s="87">
        <v>2050</v>
      </c>
      <c r="O318" s="876"/>
    </row>
    <row r="319" spans="2:16" s="918" customFormat="1" ht="15.5">
      <c r="B319" s="55"/>
      <c r="C319" s="104" t="s">
        <v>1111</v>
      </c>
      <c r="D319" s="103" t="s">
        <v>1112</v>
      </c>
      <c r="E319" s="914"/>
      <c r="F319" s="1153">
        <v>1</v>
      </c>
      <c r="G319" s="1516">
        <f t="shared" ref="G319:M323" si="54">$F319+($N319-$F319)/($N$271-$F$271)*(G$271-$F$271)</f>
        <v>1</v>
      </c>
      <c r="H319" s="1516">
        <f t="shared" si="54"/>
        <v>1</v>
      </c>
      <c r="I319" s="1516">
        <f t="shared" si="54"/>
        <v>1</v>
      </c>
      <c r="J319" s="1542">
        <f t="shared" si="54"/>
        <v>1</v>
      </c>
      <c r="K319" s="1542">
        <f t="shared" si="54"/>
        <v>1</v>
      </c>
      <c r="L319" s="1542">
        <f t="shared" si="54"/>
        <v>1</v>
      </c>
      <c r="M319" s="1542">
        <f t="shared" si="54"/>
        <v>1</v>
      </c>
      <c r="N319" s="1478">
        <v>1</v>
      </c>
      <c r="O319" s="876"/>
    </row>
    <row r="320" spans="2:16" s="918" customFormat="1" ht="15.5">
      <c r="B320" s="55"/>
      <c r="C320" s="104" t="s">
        <v>1113</v>
      </c>
      <c r="D320" s="103" t="s">
        <v>1114</v>
      </c>
      <c r="E320" s="1256"/>
      <c r="F320" s="1478">
        <f t="array" ref="F320:F323">$F$37:$F$40</f>
        <v>1.44</v>
      </c>
      <c r="G320" s="1516">
        <f t="shared" si="54"/>
        <v>1.4351351351351351</v>
      </c>
      <c r="H320" s="1516">
        <f t="shared" si="54"/>
        <v>1.422972972972973</v>
      </c>
      <c r="I320" s="1516">
        <f t="shared" si="54"/>
        <v>1.4108108108108108</v>
      </c>
      <c r="J320" s="1542">
        <f t="shared" si="54"/>
        <v>1.3986486486486487</v>
      </c>
      <c r="K320" s="1542">
        <f t="shared" si="54"/>
        <v>1.3864864864864865</v>
      </c>
      <c r="L320" s="1542">
        <f t="shared" si="54"/>
        <v>1.3743243243243244</v>
      </c>
      <c r="M320" s="1542">
        <f t="shared" si="54"/>
        <v>1.3621621621621622</v>
      </c>
      <c r="N320" s="1478">
        <f t="array" ref="N320:N323">INDEX($G$37:$J$40, ,MATCH($E$8, $G$36:$J$36, 0))</f>
        <v>1.35</v>
      </c>
      <c r="O320" s="876"/>
    </row>
    <row r="321" spans="2:38" s="918" customFormat="1" ht="15.5">
      <c r="B321" s="55"/>
      <c r="C321" s="104" t="s">
        <v>1115</v>
      </c>
      <c r="D321" s="103" t="s">
        <v>1116</v>
      </c>
      <c r="E321" s="1256"/>
      <c r="F321" s="1478">
        <v>10.7</v>
      </c>
      <c r="G321" s="1545">
        <f t="shared" si="54"/>
        <v>10.7</v>
      </c>
      <c r="H321" s="1545">
        <f t="shared" si="54"/>
        <v>10.7</v>
      </c>
      <c r="I321" s="1545">
        <f t="shared" si="54"/>
        <v>10.7</v>
      </c>
      <c r="J321" s="1542">
        <f t="shared" si="54"/>
        <v>10.7</v>
      </c>
      <c r="K321" s="1542">
        <f t="shared" si="54"/>
        <v>10.7</v>
      </c>
      <c r="L321" s="1542">
        <f t="shared" si="54"/>
        <v>10.7</v>
      </c>
      <c r="M321" s="1542">
        <f t="shared" si="54"/>
        <v>10.7</v>
      </c>
      <c r="N321" s="1478">
        <v>10.7</v>
      </c>
      <c r="O321" s="876"/>
    </row>
    <row r="322" spans="2:38" s="918" customFormat="1" ht="15.5">
      <c r="B322" s="55"/>
      <c r="C322" s="104" t="s">
        <v>1117</v>
      </c>
      <c r="D322" s="103" t="s">
        <v>1118</v>
      </c>
      <c r="E322" s="1256"/>
      <c r="F322" s="190">
        <v>0.32418351096303916</v>
      </c>
      <c r="G322" s="1546">
        <f t="shared" si="54"/>
        <v>0.32655818948217968</v>
      </c>
      <c r="H322" s="1546">
        <f t="shared" si="54"/>
        <v>0.33249488578003095</v>
      </c>
      <c r="I322" s="1546">
        <f t="shared" si="54"/>
        <v>0.33843158207788221</v>
      </c>
      <c r="J322" s="1547">
        <f t="shared" si="54"/>
        <v>0.34436827837573347</v>
      </c>
      <c r="K322" s="1547">
        <f t="shared" si="54"/>
        <v>0.35030497467358473</v>
      </c>
      <c r="L322" s="1547">
        <f t="shared" si="54"/>
        <v>0.35624167097143605</v>
      </c>
      <c r="M322" s="1547">
        <f t="shared" si="54"/>
        <v>0.36217836726928732</v>
      </c>
      <c r="N322" s="190">
        <v>0.36811506356713858</v>
      </c>
      <c r="O322" s="876"/>
    </row>
    <row r="323" spans="2:38" s="918" customFormat="1" ht="15.5">
      <c r="B323" s="55"/>
      <c r="C323" s="1470" t="s">
        <v>1119</v>
      </c>
      <c r="D323" s="888" t="s">
        <v>1120</v>
      </c>
      <c r="E323" s="888"/>
      <c r="F323" s="1543">
        <v>0.65100000000000002</v>
      </c>
      <c r="G323" s="1548">
        <f t="shared" si="54"/>
        <v>0.65100000000000002</v>
      </c>
      <c r="H323" s="1548">
        <f t="shared" si="54"/>
        <v>0.65100000000000002</v>
      </c>
      <c r="I323" s="1548">
        <f t="shared" si="54"/>
        <v>0.65100000000000002</v>
      </c>
      <c r="J323" s="1548">
        <f t="shared" si="54"/>
        <v>0.65100000000000002</v>
      </c>
      <c r="K323" s="1548">
        <f t="shared" si="54"/>
        <v>0.65100000000000002</v>
      </c>
      <c r="L323" s="1548">
        <f t="shared" si="54"/>
        <v>0.65100000000000002</v>
      </c>
      <c r="M323" s="1548">
        <f t="shared" si="54"/>
        <v>0.65100000000000002</v>
      </c>
      <c r="N323" s="1544">
        <v>0.65100000000000002</v>
      </c>
      <c r="O323" s="876"/>
    </row>
    <row r="324" spans="2:38" s="918" customFormat="1" ht="15.5">
      <c r="B324" s="55"/>
      <c r="C324" s="103"/>
      <c r="D324" s="103"/>
      <c r="E324" s="1256"/>
      <c r="F324" s="1060"/>
      <c r="G324" s="1060"/>
      <c r="H324" s="1060"/>
      <c r="I324" s="1060"/>
      <c r="J324" s="1060"/>
      <c r="K324" s="1060"/>
      <c r="L324" s="1060"/>
      <c r="M324" s="1060"/>
      <c r="N324" s="1060"/>
      <c r="O324" s="876"/>
    </row>
    <row r="325" spans="2:38" s="918" customFormat="1">
      <c r="B325" s="130">
        <v>4</v>
      </c>
      <c r="C325" s="49" t="s">
        <v>3060</v>
      </c>
      <c r="D325" s="67"/>
      <c r="E325" s="51"/>
      <c r="F325" s="1464"/>
      <c r="G325" s="67"/>
      <c r="H325" s="67"/>
      <c r="I325" s="51"/>
      <c r="J325" s="77"/>
      <c r="K325" s="77"/>
      <c r="L325" s="77"/>
      <c r="M325" s="77"/>
      <c r="N325" s="3818" t="str">
        <f>Preferences.EnergyUnits &amp; " / bn passenger-km"</f>
        <v>TWh / bn passenger-km</v>
      </c>
      <c r="O325" s="876"/>
    </row>
    <row r="326" spans="2:38" s="918" customFormat="1" ht="15.5">
      <c r="B326" s="55"/>
      <c r="C326" s="67"/>
      <c r="D326" s="67"/>
      <c r="E326" s="67"/>
      <c r="F326" s="67"/>
      <c r="G326" s="67"/>
      <c r="H326" s="67"/>
      <c r="I326" s="67"/>
      <c r="J326" s="77"/>
      <c r="K326" s="77"/>
      <c r="L326" s="77"/>
      <c r="M326" s="77"/>
      <c r="N326" s="77"/>
      <c r="O326" s="876"/>
    </row>
    <row r="327" spans="2:38" s="918" customFormat="1" ht="15.5">
      <c r="B327" s="55"/>
      <c r="C327" s="878" t="s">
        <v>987</v>
      </c>
      <c r="D327" s="878" t="s">
        <v>44</v>
      </c>
      <c r="E327" s="878" t="s">
        <v>30</v>
      </c>
      <c r="F327" s="87">
        <v>2013</v>
      </c>
      <c r="G327" s="87">
        <v>2015</v>
      </c>
      <c r="H327" s="87">
        <v>2020</v>
      </c>
      <c r="I327" s="87">
        <v>2025</v>
      </c>
      <c r="J327" s="87">
        <v>2030</v>
      </c>
      <c r="K327" s="87">
        <v>2035</v>
      </c>
      <c r="L327" s="87">
        <v>2040</v>
      </c>
      <c r="M327" s="87">
        <v>2045</v>
      </c>
      <c r="N327" s="87">
        <v>2050</v>
      </c>
      <c r="O327" s="876"/>
    </row>
    <row r="328" spans="2:38" s="918" customFormat="1" ht="15.5">
      <c r="B328" s="55"/>
      <c r="C328" s="881" t="s">
        <v>1113</v>
      </c>
      <c r="D328" s="881" t="s">
        <v>1125</v>
      </c>
      <c r="E328" s="1306"/>
      <c r="F328" s="1549">
        <f>F145/INDEX(F$320:F$323, MATCH($C328, $C$320:$C$323, 0))</f>
        <v>0.4375</v>
      </c>
      <c r="G328" s="1513">
        <f>G145/INDEX(F$320:F$323, MATCH($C328, $C$320:$C$323, 0))</f>
        <v>0.41666666666666669</v>
      </c>
      <c r="H328" s="1513">
        <f t="shared" ref="H328:N328" si="55">G145/INDEX(G$320:G$323, MATCH($C328, $C$320:$C$323, 0))</f>
        <v>0.41807909604519772</v>
      </c>
      <c r="I328" s="1513">
        <f t="shared" si="55"/>
        <v>0.40607036255442774</v>
      </c>
      <c r="J328" s="1513">
        <f t="shared" si="55"/>
        <v>0.39210735294525217</v>
      </c>
      <c r="K328" s="1513">
        <f t="shared" si="55"/>
        <v>0.37790150838635256</v>
      </c>
      <c r="L328" s="1513">
        <f t="shared" si="55"/>
        <v>0.36344643848431368</v>
      </c>
      <c r="M328" s="1513">
        <f t="shared" si="55"/>
        <v>0.34873552663710666</v>
      </c>
      <c r="N328" s="1513">
        <f t="shared" si="55"/>
        <v>0.33376191993548449</v>
      </c>
      <c r="O328" s="876"/>
    </row>
    <row r="329" spans="2:38" s="918" customFormat="1" ht="15.5">
      <c r="B329" s="55"/>
      <c r="C329" s="103" t="s">
        <v>1113</v>
      </c>
      <c r="D329" s="103" t="s">
        <v>1126</v>
      </c>
      <c r="E329" s="1256"/>
      <c r="F329" s="1550"/>
      <c r="G329" s="1478">
        <f>G146/INDEX(F$320:F$323, MATCH($C329, $C$320:$C$323, 0))</f>
        <v>0.10180467853042499</v>
      </c>
      <c r="H329" s="1478">
        <f t="shared" ref="H329:N330" si="56">H146/INDEX(G$320:G$323, MATCH($C329, $C$320:$C$323, 0))</f>
        <v>8.7596861268047485E-2</v>
      </c>
      <c r="I329" s="1478">
        <f t="shared" si="56"/>
        <v>7.8505093935776926E-2</v>
      </c>
      <c r="J329" s="1478">
        <f t="shared" si="56"/>
        <v>7.4160365830373789E-2</v>
      </c>
      <c r="K329" s="1478">
        <f t="shared" si="56"/>
        <v>6.8256231183924959E-2</v>
      </c>
      <c r="L329" s="1478">
        <f t="shared" si="56"/>
        <v>6.0157627865961204E-2</v>
      </c>
      <c r="M329" s="1478">
        <f t="shared" si="56"/>
        <v>5.0719422183397263E-2</v>
      </c>
      <c r="N329" s="1478">
        <f t="shared" si="56"/>
        <v>4.9109479623398247E-2</v>
      </c>
      <c r="O329" s="876"/>
    </row>
    <row r="330" spans="2:38" s="918" customFormat="1" ht="15.5">
      <c r="B330" s="55"/>
      <c r="C330" s="881" t="s">
        <v>1115</v>
      </c>
      <c r="D330" s="881" t="s">
        <v>1125</v>
      </c>
      <c r="E330" s="1306"/>
      <c r="F330" s="1549">
        <f>F147/INDEX(F$320:F$323, MATCH($C330, $C$320:$C$323, 0))</f>
        <v>0.31404465212876431</v>
      </c>
      <c r="G330" s="1513">
        <f>G147/INDEX(F$320:F$323, MATCH($C330, $C$320:$C$323, 0))</f>
        <v>0.31404465212876431</v>
      </c>
      <c r="H330" s="1513">
        <f t="shared" si="56"/>
        <v>0.31404465212876431</v>
      </c>
      <c r="I330" s="1513">
        <f t="shared" si="56"/>
        <v>0.28777258566978192</v>
      </c>
      <c r="J330" s="1513">
        <f t="shared" si="56"/>
        <v>0.26150051921079959</v>
      </c>
      <c r="K330" s="1513">
        <f t="shared" si="56"/>
        <v>0.25955347871235723</v>
      </c>
      <c r="L330" s="1513">
        <f t="shared" si="56"/>
        <v>0.25760643821391488</v>
      </c>
      <c r="M330" s="1513">
        <f t="shared" si="56"/>
        <v>0.25565939771547247</v>
      </c>
      <c r="N330" s="1513">
        <f t="shared" si="56"/>
        <v>0.25371235721703012</v>
      </c>
      <c r="O330" s="876"/>
    </row>
    <row r="331" spans="2:38" s="918" customFormat="1" ht="15.5">
      <c r="B331" s="55"/>
      <c r="C331" s="103" t="s">
        <v>1115</v>
      </c>
      <c r="D331" s="103" t="s">
        <v>1129</v>
      </c>
      <c r="E331" s="1256"/>
      <c r="F331" s="1550"/>
      <c r="G331" s="1478">
        <f t="shared" ref="G331:N333" si="57">G149/INDEX(F$320:F$323, MATCH($C331, $C$320:$C$323, 0))</f>
        <v>0.2382268951194185</v>
      </c>
      <c r="H331" s="1478">
        <f t="shared" si="57"/>
        <v>0.21983385254413293</v>
      </c>
      <c r="I331" s="1478">
        <f t="shared" si="57"/>
        <v>0.20144080996884736</v>
      </c>
      <c r="J331" s="1478">
        <f t="shared" si="57"/>
        <v>0.18304776739356179</v>
      </c>
      <c r="K331" s="1478">
        <f t="shared" si="57"/>
        <v>0.18168483904465216</v>
      </c>
      <c r="L331" s="1478">
        <f t="shared" si="57"/>
        <v>0.18032191069574249</v>
      </c>
      <c r="M331" s="1478">
        <f t="shared" si="57"/>
        <v>0.17895898234683283</v>
      </c>
      <c r="N331" s="1478">
        <f t="shared" si="57"/>
        <v>0.17759605399792316</v>
      </c>
      <c r="O331" s="876"/>
    </row>
    <row r="332" spans="2:38" s="918" customFormat="1" ht="15.5">
      <c r="B332" s="55"/>
      <c r="C332" s="881" t="s">
        <v>1117</v>
      </c>
      <c r="D332" s="881" t="s">
        <v>1130</v>
      </c>
      <c r="E332" s="1306" t="s">
        <v>1140</v>
      </c>
      <c r="F332" s="1549">
        <f>F150/INDEX(F$320:F$323, MATCH($C332, $C$320:$C$323, 0))</f>
        <v>0.23040647569418302</v>
      </c>
      <c r="G332" s="1513">
        <f t="shared" si="57"/>
        <v>0.27407357220329021</v>
      </c>
      <c r="H332" s="1513">
        <f t="shared" si="57"/>
        <v>0.25776052423722112</v>
      </c>
      <c r="I332" s="1513">
        <f t="shared" si="57"/>
        <v>0.23909386499050528</v>
      </c>
      <c r="J332" s="1513">
        <f t="shared" si="57"/>
        <v>0.22108209903810216</v>
      </c>
      <c r="K332" s="1513">
        <f t="shared" si="57"/>
        <v>0.2036913565130121</v>
      </c>
      <c r="L332" s="1513">
        <f t="shared" si="57"/>
        <v>0.18689006354890414</v>
      </c>
      <c r="M332" s="1513">
        <f t="shared" si="57"/>
        <v>0.17064875096815268</v>
      </c>
      <c r="N332" s="1513">
        <f t="shared" si="57"/>
        <v>0.15493988178537346</v>
      </c>
      <c r="O332" s="876"/>
    </row>
    <row r="333" spans="2:38" s="918" customFormat="1" ht="15.5">
      <c r="B333" s="55"/>
      <c r="C333" s="908" t="s">
        <v>1119</v>
      </c>
      <c r="D333" s="908" t="s">
        <v>1119</v>
      </c>
      <c r="E333" s="1499" t="s">
        <v>1140</v>
      </c>
      <c r="F333" s="1551">
        <f>F151/INDEX(F$320:F$323, MATCH($C333, $C$320:$C$323, 0))</f>
        <v>0.91944146079484423</v>
      </c>
      <c r="G333" s="1517">
        <f t="shared" si="57"/>
        <v>0.90114457572502671</v>
      </c>
      <c r="H333" s="1517">
        <f t="shared" si="57"/>
        <v>0.8569795250358575</v>
      </c>
      <c r="I333" s="1517">
        <f t="shared" si="57"/>
        <v>0.81497900127712841</v>
      </c>
      <c r="J333" s="1517">
        <f t="shared" si="57"/>
        <v>0.77503692109198841</v>
      </c>
      <c r="K333" s="1517">
        <f t="shared" si="57"/>
        <v>0.7370524002636123</v>
      </c>
      <c r="L333" s="1517">
        <f t="shared" si="57"/>
        <v>0.70092949890560741</v>
      </c>
      <c r="M333" s="1517">
        <f t="shared" si="57"/>
        <v>0.66657697914062553</v>
      </c>
      <c r="N333" s="1517">
        <f t="shared" si="57"/>
        <v>0.63390807465513477</v>
      </c>
      <c r="O333" s="876"/>
    </row>
    <row r="334" spans="2:38" s="918" customFormat="1" ht="15.5">
      <c r="B334" s="55"/>
      <c r="C334" s="103"/>
      <c r="D334" s="103"/>
      <c r="E334" s="1256"/>
      <c r="F334" s="1514"/>
      <c r="G334" s="1518"/>
      <c r="H334" s="1518"/>
      <c r="I334" s="1518"/>
      <c r="J334" s="77"/>
      <c r="K334" s="77"/>
      <c r="L334" s="77"/>
      <c r="M334" s="77"/>
      <c r="N334" s="77"/>
      <c r="O334" s="876"/>
    </row>
    <row r="335" spans="2:38" s="918" customFormat="1" ht="15.5">
      <c r="B335" s="55"/>
      <c r="C335" s="49" t="s">
        <v>3496</v>
      </c>
      <c r="D335" s="67"/>
      <c r="E335" s="51"/>
      <c r="F335" s="67"/>
      <c r="G335" s="67"/>
      <c r="H335" s="67"/>
      <c r="I335" s="51"/>
      <c r="J335" s="77"/>
      <c r="K335" s="77"/>
      <c r="L335" s="77"/>
      <c r="M335" s="77"/>
      <c r="N335" s="3818" t="str">
        <f>Preferences.EnergyUnits &amp; " / bn passenger-km"</f>
        <v>TWh / bn passenger-km</v>
      </c>
      <c r="O335" s="876"/>
      <c r="Q335" s="1162"/>
      <c r="R335" s="1162"/>
      <c r="S335" s="1162"/>
      <c r="T335" s="1162"/>
      <c r="U335" s="1162"/>
      <c r="V335" s="1162"/>
      <c r="W335" s="1162"/>
      <c r="X335" s="1162"/>
      <c r="Y335" s="1162"/>
      <c r="Z335" s="1162"/>
      <c r="AA335" s="1162"/>
      <c r="AB335" s="1162"/>
      <c r="AC335" s="1162"/>
      <c r="AD335" s="1162"/>
      <c r="AE335" s="1162"/>
      <c r="AF335" s="1162"/>
      <c r="AG335" s="1162"/>
      <c r="AH335" s="1162"/>
      <c r="AI335" s="1162"/>
      <c r="AJ335" s="1162"/>
      <c r="AK335" s="1162"/>
      <c r="AL335" s="1162"/>
    </row>
    <row r="336" spans="2:38" s="918" customFormat="1" ht="15.5">
      <c r="B336" s="55"/>
      <c r="C336" s="67"/>
      <c r="D336" s="67"/>
      <c r="E336" s="67"/>
      <c r="F336" s="67"/>
      <c r="G336" s="67"/>
      <c r="H336" s="67"/>
      <c r="I336" s="67"/>
      <c r="J336" s="77"/>
      <c r="K336" s="77"/>
      <c r="L336" s="77"/>
      <c r="M336" s="77"/>
      <c r="N336" s="77"/>
      <c r="O336" s="876"/>
      <c r="Q336" s="1162"/>
      <c r="R336" s="1162"/>
      <c r="S336" s="1162"/>
      <c r="T336" s="1162"/>
      <c r="U336" s="1162"/>
      <c r="V336" s="1162"/>
      <c r="W336" s="1162"/>
      <c r="X336" s="1162"/>
      <c r="Y336" s="1162"/>
      <c r="Z336" s="1162"/>
      <c r="AA336" s="1162"/>
      <c r="AB336" s="1162"/>
      <c r="AC336" s="1162"/>
      <c r="AD336" s="1162"/>
      <c r="AE336" s="1162"/>
      <c r="AF336" s="1162"/>
      <c r="AG336" s="1162"/>
      <c r="AH336" s="1162"/>
      <c r="AI336" s="1162"/>
      <c r="AJ336" s="1162"/>
      <c r="AK336" s="1162"/>
      <c r="AL336" s="1162"/>
    </row>
    <row r="337" spans="2:38" s="918" customFormat="1" ht="15.5">
      <c r="B337" s="55"/>
      <c r="C337" s="878" t="s">
        <v>987</v>
      </c>
      <c r="D337" s="878" t="s">
        <v>44</v>
      </c>
      <c r="E337" s="878" t="s">
        <v>30</v>
      </c>
      <c r="F337" s="87">
        <v>2013</v>
      </c>
      <c r="G337" s="87">
        <v>2015</v>
      </c>
      <c r="H337" s="87">
        <v>2020</v>
      </c>
      <c r="I337" s="87">
        <v>2025</v>
      </c>
      <c r="J337" s="87">
        <v>2030</v>
      </c>
      <c r="K337" s="87">
        <v>2035</v>
      </c>
      <c r="L337" s="87">
        <v>2040</v>
      </c>
      <c r="M337" s="87">
        <v>2045</v>
      </c>
      <c r="N337" s="87">
        <v>2050</v>
      </c>
      <c r="O337" s="876"/>
      <c r="Q337" s="1162"/>
      <c r="R337" s="1162"/>
      <c r="S337" s="1162"/>
      <c r="T337" s="1162"/>
      <c r="U337" s="1162"/>
      <c r="V337" s="1162"/>
      <c r="W337" s="1162"/>
      <c r="X337" s="1162"/>
      <c r="Y337" s="1162"/>
      <c r="Z337" s="1162"/>
      <c r="AA337" s="1162"/>
      <c r="AB337" s="1162"/>
      <c r="AC337" s="1162"/>
      <c r="AD337" s="1162"/>
      <c r="AE337" s="1162"/>
      <c r="AF337" s="1162"/>
      <c r="AG337" s="1162"/>
      <c r="AH337" s="1162"/>
      <c r="AI337" s="1162"/>
      <c r="AJ337" s="1162"/>
      <c r="AK337" s="1162"/>
      <c r="AL337" s="1162"/>
    </row>
    <row r="338" spans="2:38" s="918" customFormat="1" ht="15.5">
      <c r="B338" s="55"/>
      <c r="C338" s="908" t="s">
        <v>1115</v>
      </c>
      <c r="D338" s="908" t="s">
        <v>3434</v>
      </c>
      <c r="E338" s="1499"/>
      <c r="F338" s="1551"/>
      <c r="G338" s="1517">
        <f t="shared" ref="G338:N338" si="58">G148/INDEX(F$320:F$323, MATCH($C338, $C$320:$C$323, 0))</f>
        <v>0.31404465212876431</v>
      </c>
      <c r="H338" s="1517">
        <f t="shared" si="58"/>
        <v>0.31404465212876431</v>
      </c>
      <c r="I338" s="1517">
        <f t="shared" si="58"/>
        <v>0.28777258566978192</v>
      </c>
      <c r="J338" s="1517">
        <f t="shared" si="58"/>
        <v>0.26150051921079959</v>
      </c>
      <c r="K338" s="1517">
        <f t="shared" si="58"/>
        <v>0.25955347871235723</v>
      </c>
      <c r="L338" s="1517">
        <f t="shared" si="58"/>
        <v>0.25760643821391488</v>
      </c>
      <c r="M338" s="1517">
        <f t="shared" si="58"/>
        <v>0.25565939771547247</v>
      </c>
      <c r="N338" s="1517">
        <f t="shared" si="58"/>
        <v>0.25371235721703012</v>
      </c>
      <c r="O338" s="876"/>
      <c r="Q338" s="1162"/>
      <c r="R338" s="1162"/>
      <c r="S338" s="1162"/>
      <c r="T338" s="1162"/>
      <c r="U338" s="1162"/>
      <c r="V338" s="1162"/>
      <c r="W338" s="1162"/>
      <c r="X338" s="1162"/>
      <c r="Y338" s="1162"/>
      <c r="Z338" s="1162"/>
      <c r="AA338" s="1162"/>
      <c r="AB338" s="1162"/>
      <c r="AC338" s="1162"/>
      <c r="AD338" s="1162"/>
      <c r="AE338" s="1162"/>
      <c r="AF338" s="1162"/>
      <c r="AG338" s="1162"/>
      <c r="AH338" s="1162"/>
      <c r="AI338" s="1162"/>
      <c r="AJ338" s="1162"/>
      <c r="AK338" s="1162"/>
      <c r="AL338" s="1162"/>
    </row>
    <row r="339" spans="2:38" s="918" customFormat="1" ht="15.5">
      <c r="B339" s="55"/>
      <c r="C339" s="103"/>
      <c r="D339" s="103"/>
      <c r="E339" s="1256"/>
      <c r="F339" s="1550"/>
      <c r="G339" s="1478"/>
      <c r="H339" s="1478"/>
      <c r="I339" s="1478"/>
      <c r="J339" s="1478"/>
      <c r="K339" s="1478"/>
      <c r="L339" s="1478"/>
      <c r="M339" s="1478"/>
      <c r="N339" s="1478"/>
      <c r="O339" s="876"/>
      <c r="Q339" s="1162"/>
      <c r="R339" s="1162"/>
      <c r="S339" s="1162"/>
      <c r="T339" s="1162"/>
      <c r="U339" s="1162"/>
      <c r="V339" s="1162"/>
      <c r="W339" s="1162"/>
      <c r="X339" s="1162"/>
      <c r="Y339" s="1162"/>
      <c r="Z339" s="1162"/>
      <c r="AA339" s="1162"/>
      <c r="AB339" s="1162"/>
      <c r="AC339" s="1162"/>
      <c r="AD339" s="1162"/>
      <c r="AE339" s="1162"/>
      <c r="AF339" s="1162"/>
      <c r="AG339" s="1162"/>
      <c r="AH339" s="1162"/>
      <c r="AI339" s="1162"/>
      <c r="AJ339" s="1162"/>
      <c r="AK339" s="1162"/>
      <c r="AL339" s="1162"/>
    </row>
    <row r="340" spans="2:38" s="918" customFormat="1" ht="15.5">
      <c r="B340" s="55"/>
      <c r="C340" s="49" t="s">
        <v>3059</v>
      </c>
      <c r="D340" s="67"/>
      <c r="E340" s="51"/>
      <c r="F340" s="67"/>
      <c r="G340" s="67"/>
      <c r="H340" s="67"/>
      <c r="I340" s="51"/>
      <c r="J340" s="77"/>
      <c r="K340" s="77"/>
      <c r="L340" s="77"/>
      <c r="M340" s="77"/>
      <c r="N340" s="3818" t="str">
        <f>Preferences.EnergyUnits &amp; " / bn passenger-km"</f>
        <v>TWh / bn passenger-km</v>
      </c>
      <c r="O340" s="876"/>
    </row>
    <row r="341" spans="2:38" s="918" customFormat="1" ht="15.5">
      <c r="B341" s="55"/>
      <c r="C341" s="67"/>
      <c r="D341" s="67"/>
      <c r="E341" s="67"/>
      <c r="F341" s="67"/>
      <c r="G341" s="67"/>
      <c r="H341" s="67"/>
      <c r="I341" s="67"/>
      <c r="J341" s="77"/>
      <c r="K341" s="77"/>
      <c r="L341" s="77"/>
      <c r="M341" s="77"/>
      <c r="N341" s="77"/>
      <c r="O341" s="876"/>
    </row>
    <row r="342" spans="2:38" s="918" customFormat="1" ht="15.5">
      <c r="B342" s="55"/>
      <c r="C342" s="878" t="s">
        <v>987</v>
      </c>
      <c r="D342" s="878" t="s">
        <v>44</v>
      </c>
      <c r="E342" s="878" t="s">
        <v>30</v>
      </c>
      <c r="F342" s="87">
        <v>2013</v>
      </c>
      <c r="G342" s="87">
        <v>2015</v>
      </c>
      <c r="H342" s="87">
        <v>2020</v>
      </c>
      <c r="I342" s="87">
        <v>2025</v>
      </c>
      <c r="J342" s="87">
        <v>2030</v>
      </c>
      <c r="K342" s="87">
        <v>2035</v>
      </c>
      <c r="L342" s="87">
        <v>2040</v>
      </c>
      <c r="M342" s="87">
        <v>2045</v>
      </c>
      <c r="N342" s="87">
        <v>2050</v>
      </c>
      <c r="O342" s="876"/>
      <c r="Q342" s="1162"/>
      <c r="R342" s="1162"/>
      <c r="S342" s="1162"/>
      <c r="T342" s="1162"/>
      <c r="U342" s="1162"/>
      <c r="V342" s="1162"/>
      <c r="W342" s="1162"/>
      <c r="X342" s="1162"/>
      <c r="Y342" s="1162"/>
      <c r="Z342" s="1162"/>
      <c r="AA342" s="1162"/>
      <c r="AB342" s="1162"/>
      <c r="AC342" s="1162"/>
      <c r="AD342" s="1162"/>
      <c r="AE342" s="1162"/>
      <c r="AF342" s="1162"/>
      <c r="AG342" s="1162"/>
      <c r="AH342" s="1162"/>
      <c r="AI342" s="1162"/>
      <c r="AJ342" s="1162"/>
      <c r="AK342" s="1162"/>
      <c r="AL342" s="1162"/>
    </row>
    <row r="343" spans="2:38" s="918" customFormat="1" ht="15.5">
      <c r="B343" s="55"/>
      <c r="C343" s="103" t="s">
        <v>1113</v>
      </c>
      <c r="D343" s="103" t="s">
        <v>1126</v>
      </c>
      <c r="E343" s="1256"/>
      <c r="F343" s="1550"/>
      <c r="G343" s="1478">
        <f t="shared" ref="G343:N346" si="59">G156/INDEX(F$320:F$323, MATCH($C343, $C$320:$C$323, 0))</f>
        <v>9.3507821469575009E-2</v>
      </c>
      <c r="H343" s="1478">
        <f t="shared" si="59"/>
        <v>0.10228072818581317</v>
      </c>
      <c r="I343" s="1478">
        <f t="shared" si="59"/>
        <v>0.10684628308226676</v>
      </c>
      <c r="J343" s="1478">
        <f t="shared" si="59"/>
        <v>0.10658676060640782</v>
      </c>
      <c r="K343" s="1478">
        <f t="shared" si="59"/>
        <v>0.10780657074844248</v>
      </c>
      <c r="L343" s="1478">
        <f t="shared" si="59"/>
        <v>0.11113866843033515</v>
      </c>
      <c r="M343" s="1478">
        <f t="shared" si="59"/>
        <v>0.115726005545216</v>
      </c>
      <c r="N343" s="1478">
        <f t="shared" si="59"/>
        <v>0.1123984568845381</v>
      </c>
      <c r="O343" s="876"/>
      <c r="Q343" s="1162"/>
      <c r="R343" s="1162"/>
      <c r="S343" s="1162"/>
      <c r="T343" s="1162"/>
      <c r="U343" s="1162"/>
      <c r="V343" s="1162"/>
      <c r="W343" s="1162"/>
      <c r="X343" s="1162"/>
      <c r="Y343" s="1162"/>
      <c r="Z343" s="1162"/>
      <c r="AA343" s="1162"/>
      <c r="AB343" s="1162"/>
      <c r="AC343" s="1162"/>
      <c r="AD343" s="1162"/>
      <c r="AE343" s="1162"/>
      <c r="AF343" s="1162"/>
      <c r="AG343" s="1162"/>
      <c r="AH343" s="1162"/>
      <c r="AI343" s="1162"/>
      <c r="AJ343" s="1162"/>
      <c r="AK343" s="1162"/>
      <c r="AL343" s="1162"/>
    </row>
    <row r="344" spans="2:38" s="918" customFormat="1" ht="15.5">
      <c r="B344" s="55"/>
      <c r="C344" s="103" t="s">
        <v>1113</v>
      </c>
      <c r="D344" s="103" t="s">
        <v>1127</v>
      </c>
      <c r="E344" s="1256"/>
      <c r="F344" s="1550"/>
      <c r="G344" s="1478">
        <f t="shared" si="59"/>
        <v>9.7222222222222238E-2</v>
      </c>
      <c r="H344" s="1478">
        <f t="shared" si="59"/>
        <v>9.3570083400591683E-2</v>
      </c>
      <c r="I344" s="1478">
        <f t="shared" si="59"/>
        <v>9.0354090354090658E-2</v>
      </c>
      <c r="J344" s="1478">
        <f t="shared" si="59"/>
        <v>8.708264915161476E-2</v>
      </c>
      <c r="K344" s="1478">
        <f t="shared" si="59"/>
        <v>8.3754313319530607E-2</v>
      </c>
      <c r="L344" s="1478">
        <f t="shared" si="59"/>
        <v>8.0367585630743213E-2</v>
      </c>
      <c r="M344" s="1478">
        <f t="shared" si="59"/>
        <v>7.6920915858969152E-2</v>
      </c>
      <c r="N344" s="1478">
        <f t="shared" si="59"/>
        <v>7.3412698412698416E-2</v>
      </c>
      <c r="O344" s="876"/>
      <c r="Q344" s="1162"/>
      <c r="R344" s="1162"/>
      <c r="S344" s="1162"/>
      <c r="T344" s="1162"/>
      <c r="U344" s="1162"/>
      <c r="V344" s="1162"/>
      <c r="W344" s="1162"/>
      <c r="X344" s="1162"/>
      <c r="Y344" s="1162"/>
      <c r="Z344" s="1162"/>
      <c r="AA344" s="1162"/>
      <c r="AB344" s="1162"/>
      <c r="AC344" s="1162"/>
      <c r="AD344" s="1162"/>
      <c r="AE344" s="1162"/>
      <c r="AF344" s="1162"/>
      <c r="AG344" s="1162"/>
      <c r="AH344" s="1162"/>
      <c r="AI344" s="1162"/>
      <c r="AJ344" s="1162"/>
      <c r="AK344" s="1162"/>
      <c r="AL344" s="1162"/>
    </row>
    <row r="345" spans="2:38" s="918" customFormat="1" ht="15.5">
      <c r="B345" s="55"/>
      <c r="C345" s="881" t="s">
        <v>1115</v>
      </c>
      <c r="D345" s="881" t="s">
        <v>1127</v>
      </c>
      <c r="E345" s="1306"/>
      <c r="F345" s="1549"/>
      <c r="G345" s="1513">
        <f t="shared" si="59"/>
        <v>8.3678237650200271E-2</v>
      </c>
      <c r="H345" s="1513">
        <f t="shared" si="59"/>
        <v>7.4740394600207691E-2</v>
      </c>
      <c r="I345" s="1513">
        <f t="shared" si="59"/>
        <v>6.848390446521288E-2</v>
      </c>
      <c r="J345" s="1513">
        <f t="shared" si="59"/>
        <v>6.2227414330218077E-2</v>
      </c>
      <c r="K345" s="1513">
        <f t="shared" si="59"/>
        <v>6.1773104880581527E-2</v>
      </c>
      <c r="L345" s="1513">
        <f t="shared" si="59"/>
        <v>6.1318795430944963E-2</v>
      </c>
      <c r="M345" s="1513">
        <f t="shared" si="59"/>
        <v>6.0851505711318796E-2</v>
      </c>
      <c r="N345" s="1513">
        <f t="shared" si="59"/>
        <v>6.0384215991692629E-2</v>
      </c>
      <c r="O345" s="876"/>
      <c r="Q345" s="1162"/>
      <c r="R345" s="1162"/>
      <c r="S345" s="1162"/>
      <c r="T345" s="1162"/>
      <c r="U345" s="1162"/>
      <c r="V345" s="1162"/>
      <c r="W345" s="1162"/>
      <c r="X345" s="1162"/>
      <c r="Y345" s="1162"/>
      <c r="Z345" s="1162"/>
      <c r="AA345" s="1162"/>
      <c r="AB345" s="1162"/>
      <c r="AC345" s="1162"/>
      <c r="AD345" s="1162"/>
      <c r="AE345" s="1162"/>
      <c r="AF345" s="1162"/>
      <c r="AG345" s="1162"/>
      <c r="AH345" s="1162"/>
      <c r="AI345" s="1162"/>
      <c r="AJ345" s="1162"/>
      <c r="AK345" s="1162"/>
      <c r="AL345" s="1162"/>
    </row>
    <row r="346" spans="2:38" s="918" customFormat="1" ht="15.5">
      <c r="B346" s="55"/>
      <c r="C346" s="908" t="s">
        <v>1117</v>
      </c>
      <c r="D346" s="908" t="s">
        <v>1131</v>
      </c>
      <c r="E346" s="1499" t="s">
        <v>1140</v>
      </c>
      <c r="F346" s="1551">
        <f>F159/INDEX(F$320:F$323, MATCH($C346, $C$320:$C$323, 0))</f>
        <v>0.10954818290623002</v>
      </c>
      <c r="G346" s="1517">
        <f t="shared" si="59"/>
        <v>9.4586076591915189E-2</v>
      </c>
      <c r="H346" s="1517">
        <f t="shared" si="59"/>
        <v>9.0239888048552833E-2</v>
      </c>
      <c r="I346" s="1517">
        <f t="shared" si="59"/>
        <v>8.503560124331988E-2</v>
      </c>
      <c r="J346" s="1517">
        <f t="shared" si="59"/>
        <v>8.0013899467651167E-2</v>
      </c>
      <c r="K346" s="1517">
        <f t="shared" si="59"/>
        <v>7.5165339762333055E-2</v>
      </c>
      <c r="L346" s="1517">
        <f t="shared" si="59"/>
        <v>7.0481119295869879E-2</v>
      </c>
      <c r="M346" s="1517">
        <f t="shared" si="59"/>
        <v>6.5953022026481234E-2</v>
      </c>
      <c r="N346" s="1517">
        <f t="shared" si="59"/>
        <v>6.157337060988121E-2</v>
      </c>
      <c r="O346" s="876"/>
      <c r="Q346" s="1162"/>
      <c r="R346" s="1162"/>
      <c r="S346" s="1162"/>
      <c r="T346" s="1162"/>
      <c r="U346" s="1162"/>
      <c r="V346" s="1162"/>
      <c r="W346" s="1162"/>
      <c r="X346" s="1162"/>
      <c r="Y346" s="1162"/>
      <c r="Z346" s="1162"/>
      <c r="AA346" s="1162"/>
      <c r="AB346" s="1162"/>
      <c r="AC346" s="1162"/>
      <c r="AD346" s="1162"/>
      <c r="AE346" s="1162"/>
      <c r="AF346" s="1162"/>
      <c r="AG346" s="1162"/>
      <c r="AH346" s="1162"/>
      <c r="AI346" s="1162"/>
      <c r="AJ346" s="1162"/>
      <c r="AK346" s="1162"/>
      <c r="AL346" s="1162"/>
    </row>
    <row r="347" spans="2:38" s="918" customFormat="1" ht="15.5">
      <c r="B347" s="55"/>
      <c r="C347" s="103"/>
      <c r="D347" s="103"/>
      <c r="E347" s="1256"/>
      <c r="F347" s="1514"/>
      <c r="G347" s="1518"/>
      <c r="H347" s="1518"/>
      <c r="I347" s="1518"/>
      <c r="J347" s="77"/>
      <c r="K347" s="77"/>
      <c r="L347" s="77"/>
      <c r="M347" s="77"/>
      <c r="N347" s="77"/>
      <c r="O347" s="876"/>
      <c r="Q347" s="1162"/>
      <c r="R347" s="1162"/>
      <c r="S347" s="1162"/>
      <c r="T347" s="1162"/>
      <c r="U347" s="1162"/>
      <c r="V347" s="1162"/>
      <c r="W347" s="1162"/>
      <c r="X347" s="1162"/>
      <c r="Y347" s="1162"/>
      <c r="Z347" s="1162"/>
      <c r="AA347" s="1162"/>
      <c r="AB347" s="1162"/>
      <c r="AC347" s="1162"/>
      <c r="AD347" s="1162"/>
      <c r="AE347" s="1162"/>
      <c r="AF347" s="1162"/>
      <c r="AG347" s="1162"/>
      <c r="AH347" s="1162"/>
      <c r="AI347" s="1162"/>
      <c r="AJ347" s="1162"/>
      <c r="AK347" s="1162"/>
      <c r="AL347" s="1162"/>
    </row>
    <row r="348" spans="2:38" s="918" customFormat="1" ht="15.5">
      <c r="B348" s="55"/>
      <c r="C348" s="49" t="s">
        <v>3497</v>
      </c>
      <c r="D348" s="67"/>
      <c r="E348" s="51"/>
      <c r="F348" s="67"/>
      <c r="G348" s="67"/>
      <c r="H348" s="67"/>
      <c r="I348" s="51"/>
      <c r="J348" s="77"/>
      <c r="K348" s="77"/>
      <c r="L348" s="77"/>
      <c r="M348" s="77"/>
      <c r="N348" s="3818" t="str">
        <f>Preferences.EnergyUnits &amp; " / bn passenger-km"</f>
        <v>TWh / bn passenger-km</v>
      </c>
      <c r="O348" s="876"/>
      <c r="Q348" s="1162"/>
      <c r="R348" s="1162"/>
      <c r="S348" s="1162"/>
      <c r="T348" s="1162"/>
      <c r="U348" s="1162"/>
      <c r="V348" s="1162"/>
      <c r="W348" s="1162"/>
      <c r="X348" s="1162"/>
      <c r="Y348" s="1162"/>
      <c r="Z348" s="1162"/>
      <c r="AA348" s="1162"/>
      <c r="AB348" s="1162"/>
      <c r="AC348" s="1162"/>
      <c r="AD348" s="1162"/>
      <c r="AE348" s="1162"/>
      <c r="AF348" s="1162"/>
      <c r="AG348" s="1162"/>
      <c r="AH348" s="1162"/>
      <c r="AI348" s="1162"/>
      <c r="AJ348" s="1162"/>
      <c r="AK348" s="1162"/>
      <c r="AL348" s="1162"/>
    </row>
    <row r="349" spans="2:38" s="918" customFormat="1" ht="15.5">
      <c r="B349" s="55"/>
      <c r="C349" s="67"/>
      <c r="D349" s="67"/>
      <c r="E349" s="67"/>
      <c r="F349" s="67"/>
      <c r="G349" s="67"/>
      <c r="H349" s="67"/>
      <c r="I349" s="67"/>
      <c r="J349" s="77"/>
      <c r="K349" s="77"/>
      <c r="L349" s="77"/>
      <c r="M349" s="77"/>
      <c r="N349" s="77"/>
      <c r="O349" s="876"/>
      <c r="Q349" s="1162"/>
      <c r="R349" s="1162"/>
      <c r="S349" s="1162"/>
      <c r="T349" s="1162"/>
      <c r="U349" s="1162"/>
      <c r="V349" s="1162"/>
      <c r="W349" s="1162"/>
      <c r="X349" s="1162"/>
      <c r="Y349" s="1162"/>
      <c r="Z349" s="1162"/>
      <c r="AA349" s="1162"/>
      <c r="AB349" s="1162"/>
      <c r="AC349" s="1162"/>
      <c r="AD349" s="1162"/>
      <c r="AE349" s="1162"/>
      <c r="AF349" s="1162"/>
      <c r="AG349" s="1162"/>
      <c r="AH349" s="1162"/>
      <c r="AI349" s="1162"/>
      <c r="AJ349" s="1162"/>
      <c r="AK349" s="1162"/>
      <c r="AL349" s="1162"/>
    </row>
    <row r="350" spans="2:38" s="918" customFormat="1" ht="15.5">
      <c r="B350" s="55"/>
      <c r="C350" s="878" t="s">
        <v>987</v>
      </c>
      <c r="D350" s="878" t="s">
        <v>44</v>
      </c>
      <c r="E350" s="878" t="s">
        <v>30</v>
      </c>
      <c r="F350" s="87">
        <v>2013</v>
      </c>
      <c r="G350" s="87">
        <v>2015</v>
      </c>
      <c r="H350" s="87">
        <v>2020</v>
      </c>
      <c r="I350" s="87">
        <v>2025</v>
      </c>
      <c r="J350" s="87">
        <v>2030</v>
      </c>
      <c r="K350" s="87">
        <v>2035</v>
      </c>
      <c r="L350" s="87">
        <v>2040</v>
      </c>
      <c r="M350" s="87">
        <v>2045</v>
      </c>
      <c r="N350" s="87">
        <v>2050</v>
      </c>
      <c r="O350" s="876"/>
      <c r="Q350" s="1162"/>
      <c r="R350" s="1162"/>
      <c r="S350" s="1162"/>
      <c r="T350" s="1162"/>
      <c r="U350" s="1162"/>
      <c r="V350" s="1162"/>
      <c r="W350" s="1162"/>
      <c r="X350" s="1162"/>
      <c r="Y350" s="1162"/>
      <c r="Z350" s="1162"/>
      <c r="AA350" s="1162"/>
      <c r="AB350" s="1162"/>
      <c r="AC350" s="1162"/>
      <c r="AD350" s="1162"/>
      <c r="AE350" s="1162"/>
      <c r="AF350" s="1162"/>
      <c r="AG350" s="1162"/>
      <c r="AH350" s="1162"/>
      <c r="AI350" s="1162"/>
      <c r="AJ350" s="1162"/>
      <c r="AK350" s="1162"/>
      <c r="AL350" s="1162"/>
    </row>
    <row r="351" spans="2:38" s="918" customFormat="1" ht="15.5">
      <c r="B351" s="55"/>
      <c r="C351" s="881" t="s">
        <v>1113</v>
      </c>
      <c r="D351" s="881" t="s">
        <v>1128</v>
      </c>
      <c r="E351" s="1306"/>
      <c r="F351" s="1549"/>
      <c r="G351" s="1513">
        <f t="shared" ref="G351:N352" si="60">G164/INDEX(F$320:F$323, MATCH($C351, $C$320:$C$323, 0))</f>
        <v>9.7222222222222238E-2</v>
      </c>
      <c r="H351" s="1513">
        <f t="shared" si="60"/>
        <v>9.3570083400591683E-2</v>
      </c>
      <c r="I351" s="1513">
        <f t="shared" si="60"/>
        <v>9.0354090354090658E-2</v>
      </c>
      <c r="J351" s="1513">
        <f t="shared" si="60"/>
        <v>8.708264915161476E-2</v>
      </c>
      <c r="K351" s="1513">
        <f t="shared" si="60"/>
        <v>8.3754313319530607E-2</v>
      </c>
      <c r="L351" s="1513">
        <f t="shared" si="60"/>
        <v>8.0367585630743213E-2</v>
      </c>
      <c r="M351" s="1513">
        <f t="shared" si="60"/>
        <v>7.6920915858969152E-2</v>
      </c>
      <c r="N351" s="1513">
        <f t="shared" si="60"/>
        <v>7.3412698412698416E-2</v>
      </c>
      <c r="O351" s="876"/>
      <c r="Q351" s="1162"/>
      <c r="R351" s="1162"/>
      <c r="S351" s="1162"/>
      <c r="T351" s="1162"/>
      <c r="U351" s="1162"/>
      <c r="V351" s="1162"/>
      <c r="W351" s="1162"/>
      <c r="X351" s="1162"/>
      <c r="Y351" s="1162"/>
      <c r="Z351" s="1162"/>
      <c r="AA351" s="1162"/>
      <c r="AB351" s="1162"/>
      <c r="AC351" s="1162"/>
      <c r="AD351" s="1162"/>
      <c r="AE351" s="1162"/>
      <c r="AF351" s="1162"/>
      <c r="AG351" s="1162"/>
      <c r="AH351" s="1162"/>
      <c r="AI351" s="1162"/>
      <c r="AJ351" s="1162"/>
      <c r="AK351" s="1162"/>
      <c r="AL351" s="1162"/>
    </row>
    <row r="352" spans="2:38" s="918" customFormat="1" ht="15.5">
      <c r="B352" s="55"/>
      <c r="C352" s="194" t="s">
        <v>1115</v>
      </c>
      <c r="D352" s="194" t="s">
        <v>1128</v>
      </c>
      <c r="E352" s="1310"/>
      <c r="F352" s="1552"/>
      <c r="G352" s="1519">
        <f t="shared" si="60"/>
        <v>0.59813084112149539</v>
      </c>
      <c r="H352" s="1519">
        <f t="shared" si="60"/>
        <v>0.55700934579439254</v>
      </c>
      <c r="I352" s="1519">
        <f t="shared" si="60"/>
        <v>0.51869158878504673</v>
      </c>
      <c r="J352" s="1519">
        <f t="shared" si="60"/>
        <v>0.48317757009345796</v>
      </c>
      <c r="K352" s="1519">
        <f t="shared" si="60"/>
        <v>0.45046728971962624</v>
      </c>
      <c r="L352" s="1519">
        <f t="shared" si="60"/>
        <v>0.4196261682242991</v>
      </c>
      <c r="M352" s="1519">
        <f t="shared" si="60"/>
        <v>0.39065420560747666</v>
      </c>
      <c r="N352" s="1519">
        <f t="shared" si="60"/>
        <v>0.36355140186915891</v>
      </c>
      <c r="O352" s="876"/>
      <c r="Q352" s="1068"/>
      <c r="R352" s="1068"/>
      <c r="S352" s="1068"/>
      <c r="T352" s="1068"/>
      <c r="U352" s="1068"/>
      <c r="V352" s="1068"/>
      <c r="W352" s="1068"/>
      <c r="X352" s="1363"/>
      <c r="Y352" s="1162"/>
      <c r="Z352" s="1162"/>
      <c r="AA352" s="1162"/>
      <c r="AB352" s="1162"/>
      <c r="AC352" s="1162"/>
      <c r="AD352" s="1162"/>
      <c r="AE352" s="1162"/>
      <c r="AF352" s="1162"/>
      <c r="AG352" s="1162"/>
      <c r="AH352" s="1162"/>
      <c r="AI352" s="1162"/>
      <c r="AJ352" s="1162"/>
      <c r="AK352" s="1162"/>
      <c r="AL352" s="1162"/>
    </row>
    <row r="353" spans="1:38" s="918" customFormat="1" ht="15.5">
      <c r="B353" s="55"/>
      <c r="C353" s="103"/>
      <c r="D353" s="103"/>
      <c r="E353" s="1256"/>
      <c r="F353" s="1514"/>
      <c r="G353" s="1481"/>
      <c r="H353" s="1481"/>
      <c r="I353" s="1481"/>
      <c r="J353" s="1481"/>
      <c r="K353" s="1481"/>
      <c r="L353" s="1481"/>
      <c r="M353" s="1481"/>
      <c r="N353" s="1481"/>
      <c r="O353" s="876"/>
      <c r="Q353" s="1068"/>
      <c r="R353" s="1068"/>
      <c r="S353" s="1068"/>
      <c r="T353" s="1068"/>
      <c r="U353" s="1068"/>
      <c r="V353" s="1068"/>
      <c r="W353" s="1068"/>
      <c r="X353" s="1363"/>
      <c r="Y353" s="1162"/>
      <c r="Z353" s="1162"/>
      <c r="AA353" s="1162"/>
      <c r="AB353" s="1162"/>
      <c r="AC353" s="1162"/>
      <c r="AD353" s="1162"/>
      <c r="AE353" s="1162"/>
      <c r="AF353" s="1162"/>
      <c r="AG353" s="1162"/>
      <c r="AH353" s="1162"/>
      <c r="AI353" s="1162"/>
      <c r="AJ353" s="1162"/>
      <c r="AK353" s="1162"/>
      <c r="AL353" s="1162"/>
    </row>
    <row r="354" spans="1:38" s="918" customFormat="1" ht="15.5">
      <c r="B354" s="55"/>
      <c r="C354" s="65"/>
      <c r="D354" s="117"/>
      <c r="E354" s="103"/>
      <c r="F354" s="1299"/>
      <c r="G354" s="1300"/>
      <c r="H354" s="1300"/>
      <c r="I354" s="1300"/>
      <c r="J354" s="1300"/>
      <c r="K354" s="77"/>
      <c r="L354" s="77"/>
      <c r="M354" s="77"/>
      <c r="N354" s="77"/>
      <c r="O354" s="876"/>
      <c r="Q354" s="1068"/>
      <c r="R354" s="1068"/>
      <c r="S354" s="1068"/>
      <c r="T354" s="1068"/>
      <c r="U354" s="1068"/>
      <c r="V354" s="1068"/>
      <c r="W354" s="1068"/>
      <c r="X354" s="1363"/>
      <c r="Y354" s="1162"/>
      <c r="Z354" s="1162"/>
      <c r="AA354" s="1162"/>
      <c r="AB354" s="1162"/>
      <c r="AC354" s="1162"/>
      <c r="AD354" s="1162"/>
      <c r="AE354" s="1162"/>
      <c r="AF354" s="1162"/>
      <c r="AG354" s="1162"/>
      <c r="AH354" s="1162"/>
      <c r="AI354" s="1162"/>
      <c r="AJ354" s="1162"/>
      <c r="AK354" s="1162"/>
      <c r="AL354" s="1162"/>
    </row>
    <row r="355" spans="1:38">
      <c r="B355" s="868"/>
      <c r="Q355" s="1068"/>
      <c r="R355" s="1068"/>
      <c r="S355" s="1068"/>
      <c r="T355" s="1068"/>
      <c r="U355" s="1068"/>
      <c r="V355" s="1068"/>
      <c r="W355" s="1068"/>
      <c r="X355" s="1363"/>
      <c r="Y355" s="1068"/>
      <c r="Z355" s="1068"/>
      <c r="AA355" s="1068"/>
      <c r="AB355" s="1068"/>
      <c r="AC355" s="1068"/>
      <c r="AD355" s="1068"/>
      <c r="AE355" s="1068"/>
      <c r="AF355" s="1068"/>
      <c r="AG355" s="1068"/>
      <c r="AH355" s="1068"/>
      <c r="AI355" s="1068"/>
      <c r="AJ355" s="1068"/>
      <c r="AK355" s="1068"/>
      <c r="AL355" s="1068"/>
    </row>
    <row r="356" spans="1:38" s="6" customFormat="1" ht="23.5">
      <c r="A356" s="40"/>
      <c r="B356" s="869" t="s">
        <v>2719</v>
      </c>
      <c r="C356" s="870"/>
      <c r="D356" s="870"/>
      <c r="E356" s="870"/>
      <c r="F356" s="870"/>
      <c r="G356" s="870"/>
      <c r="H356" s="870"/>
      <c r="I356" s="870"/>
      <c r="J356" s="870"/>
      <c r="K356" s="870"/>
      <c r="L356" s="870"/>
      <c r="M356" s="870"/>
      <c r="N356" s="870"/>
      <c r="O356" s="871"/>
      <c r="Q356" s="1068"/>
      <c r="R356" s="1068"/>
      <c r="S356" s="1068"/>
      <c r="T356" s="1068"/>
      <c r="U356" s="1068"/>
      <c r="V356" s="1068"/>
      <c r="W356" s="1068"/>
      <c r="X356" s="1363"/>
      <c r="Y356" s="647"/>
      <c r="Z356" s="647"/>
      <c r="AA356" s="647"/>
      <c r="AB356" s="647"/>
      <c r="AC356" s="647"/>
      <c r="AD356" s="647"/>
      <c r="AE356" s="647"/>
      <c r="AF356" s="647"/>
      <c r="AG356" s="647"/>
      <c r="AH356" s="647"/>
      <c r="AI356" s="647"/>
      <c r="AJ356" s="647"/>
      <c r="AK356" s="647"/>
      <c r="AL356" s="647"/>
    </row>
    <row r="357" spans="1:38" hidden="1">
      <c r="B357" s="105"/>
      <c r="C357" s="67"/>
      <c r="D357" s="67"/>
      <c r="E357" s="67"/>
      <c r="F357" s="67"/>
      <c r="G357" s="67"/>
      <c r="H357" s="67"/>
      <c r="I357" s="67"/>
      <c r="J357" s="67"/>
      <c r="K357" s="67"/>
      <c r="L357" s="67"/>
      <c r="M357" s="67"/>
      <c r="N357" s="67"/>
      <c r="O357" s="876"/>
      <c r="Q357" s="1068"/>
      <c r="R357" s="1068"/>
      <c r="S357" s="1068"/>
      <c r="T357" s="1068"/>
      <c r="U357" s="1068"/>
      <c r="V357" s="1068"/>
      <c r="W357" s="1068"/>
      <c r="X357" s="1363"/>
      <c r="Y357" s="1068"/>
      <c r="Z357" s="1068"/>
      <c r="AA357" s="1068"/>
      <c r="AB357" s="1068"/>
      <c r="AC357" s="1068"/>
      <c r="AD357" s="1068"/>
      <c r="AE357" s="1068"/>
      <c r="AF357" s="1068"/>
      <c r="AG357" s="1068"/>
      <c r="AH357" s="1068"/>
      <c r="AI357" s="1068"/>
      <c r="AJ357" s="1068"/>
      <c r="AK357" s="1068"/>
      <c r="AL357" s="1068"/>
    </row>
    <row r="358" spans="1:38" hidden="1">
      <c r="B358" s="67"/>
      <c r="C358" s="49" t="s">
        <v>168</v>
      </c>
      <c r="D358" s="67"/>
      <c r="E358" s="67"/>
      <c r="F358" s="67"/>
      <c r="G358" s="67"/>
      <c r="H358" s="67"/>
      <c r="I358" s="67"/>
      <c r="J358" s="67"/>
      <c r="K358" s="67"/>
      <c r="L358" s="67"/>
      <c r="M358" s="67"/>
      <c r="N358" s="1553" t="s">
        <v>2765</v>
      </c>
      <c r="O358" s="876"/>
      <c r="Q358" s="1068"/>
      <c r="R358" s="1068"/>
      <c r="S358" s="1068"/>
      <c r="T358" s="1068"/>
      <c r="U358" s="1068"/>
      <c r="V358" s="1068"/>
      <c r="W358" s="1068"/>
      <c r="X358" s="1363"/>
      <c r="Y358" s="1068"/>
      <c r="Z358" s="1068"/>
      <c r="AA358" s="1068"/>
      <c r="AB358" s="1068"/>
      <c r="AC358" s="1068"/>
      <c r="AD358" s="1068"/>
      <c r="AE358" s="1068"/>
      <c r="AF358" s="1068"/>
      <c r="AG358" s="1068"/>
      <c r="AH358" s="1068"/>
      <c r="AI358" s="1068"/>
      <c r="AJ358" s="1068"/>
      <c r="AK358" s="1068"/>
      <c r="AL358" s="1068"/>
    </row>
    <row r="359" spans="1:38" hidden="1">
      <c r="B359" s="47"/>
      <c r="C359" s="1554" t="s">
        <v>1154</v>
      </c>
      <c r="D359" s="1555"/>
      <c r="E359" s="1556" t="s">
        <v>159</v>
      </c>
      <c r="F359" s="1557">
        <v>2013</v>
      </c>
      <c r="G359" s="1557">
        <v>2015</v>
      </c>
      <c r="H359" s="1557">
        <v>2020</v>
      </c>
      <c r="I359" s="1557">
        <v>2025</v>
      </c>
      <c r="J359" s="1557">
        <v>2030</v>
      </c>
      <c r="K359" s="1557">
        <v>2035</v>
      </c>
      <c r="L359" s="1557">
        <v>2040</v>
      </c>
      <c r="M359" s="1557">
        <v>2045</v>
      </c>
      <c r="N359" s="1557">
        <v>2050</v>
      </c>
      <c r="O359" s="876"/>
      <c r="Q359" s="1068"/>
      <c r="R359" s="1068"/>
      <c r="S359" s="1068"/>
      <c r="T359" s="1068"/>
      <c r="U359" s="1068"/>
      <c r="V359" s="1068"/>
      <c r="W359" s="1068"/>
      <c r="X359" s="1363"/>
      <c r="Y359" s="1068"/>
      <c r="Z359" s="1068"/>
      <c r="AA359" s="1068"/>
      <c r="AB359" s="1068"/>
      <c r="AC359" s="1068"/>
      <c r="AD359" s="1068"/>
      <c r="AE359" s="1068"/>
      <c r="AF359" s="1068"/>
      <c r="AG359" s="1068"/>
      <c r="AH359" s="1068"/>
      <c r="AI359" s="1068"/>
      <c r="AJ359" s="1068"/>
      <c r="AK359" s="1068"/>
      <c r="AL359" s="1068"/>
    </row>
    <row r="360" spans="1:38" hidden="1">
      <c r="B360" s="47"/>
      <c r="C360" s="1191" t="s">
        <v>1111</v>
      </c>
      <c r="D360" s="1191" t="s">
        <v>1111</v>
      </c>
      <c r="E360" s="1094">
        <v>0</v>
      </c>
      <c r="F360" s="1558">
        <v>0.5</v>
      </c>
      <c r="G360" s="1558">
        <v>0.5</v>
      </c>
      <c r="H360" s="1558">
        <v>0.5</v>
      </c>
      <c r="I360" s="1558">
        <v>0.5</v>
      </c>
      <c r="J360" s="1558">
        <v>0.5</v>
      </c>
      <c r="K360" s="1558">
        <v>0.5</v>
      </c>
      <c r="L360" s="1558">
        <v>0.5</v>
      </c>
      <c r="M360" s="1558">
        <v>0.5</v>
      </c>
      <c r="N360" s="1559">
        <v>0.5</v>
      </c>
      <c r="O360" s="876"/>
      <c r="Q360" s="1068"/>
      <c r="R360" s="1068"/>
      <c r="S360" s="1068"/>
      <c r="T360" s="1068"/>
      <c r="U360" s="1068"/>
      <c r="V360" s="1068"/>
      <c r="W360" s="1068"/>
      <c r="X360" s="1363"/>
      <c r="Y360" s="1068"/>
      <c r="Z360" s="1068"/>
      <c r="AA360" s="1068"/>
      <c r="AB360" s="1068"/>
      <c r="AC360" s="1068"/>
      <c r="AD360" s="1068"/>
      <c r="AE360" s="1068"/>
      <c r="AF360" s="1068"/>
      <c r="AG360" s="1068"/>
      <c r="AH360" s="1068"/>
      <c r="AI360" s="1068"/>
      <c r="AJ360" s="1068"/>
      <c r="AK360" s="1068"/>
      <c r="AL360" s="1068"/>
    </row>
    <row r="361" spans="1:38" hidden="1">
      <c r="B361" s="47"/>
      <c r="C361" s="968" t="s">
        <v>1113</v>
      </c>
      <c r="D361" s="968" t="s">
        <v>1125</v>
      </c>
      <c r="E361" s="964">
        <v>0</v>
      </c>
      <c r="F361" s="1560">
        <v>20</v>
      </c>
      <c r="G361" s="1561">
        <v>20</v>
      </c>
      <c r="H361" s="1561">
        <v>20</v>
      </c>
      <c r="I361" s="1561">
        <v>20</v>
      </c>
      <c r="J361" s="1561">
        <v>20</v>
      </c>
      <c r="K361" s="1561">
        <v>20</v>
      </c>
      <c r="L361" s="1561">
        <v>20</v>
      </c>
      <c r="M361" s="1561">
        <v>20</v>
      </c>
      <c r="N361" s="1562">
        <v>20</v>
      </c>
      <c r="O361" s="876"/>
      <c r="Q361" s="1068"/>
      <c r="R361" s="1068"/>
      <c r="S361" s="1068"/>
      <c r="T361" s="1068"/>
      <c r="U361" s="1068"/>
      <c r="V361" s="1068"/>
      <c r="W361" s="1068"/>
      <c r="X361" s="1363"/>
      <c r="Y361" s="1068"/>
      <c r="Z361" s="1068"/>
      <c r="AA361" s="1068"/>
      <c r="AB361" s="1068"/>
      <c r="AC361" s="1068"/>
      <c r="AD361" s="1068"/>
      <c r="AE361" s="1068"/>
      <c r="AF361" s="1068"/>
      <c r="AG361" s="1068"/>
      <c r="AH361" s="1068"/>
      <c r="AI361" s="1068"/>
      <c r="AJ361" s="1068"/>
      <c r="AK361" s="1068"/>
      <c r="AL361" s="1068"/>
    </row>
    <row r="362" spans="1:38" hidden="1">
      <c r="B362" s="47"/>
      <c r="C362" s="103" t="s">
        <v>1113</v>
      </c>
      <c r="D362" s="103" t="s">
        <v>1126</v>
      </c>
      <c r="E362" s="67">
        <v>0</v>
      </c>
      <c r="F362" s="1503">
        <v>41.999999999999993</v>
      </c>
      <c r="G362" s="1563">
        <v>41.999999999999993</v>
      </c>
      <c r="H362" s="1563">
        <v>41.999999999999993</v>
      </c>
      <c r="I362" s="1563">
        <v>41.999999999999993</v>
      </c>
      <c r="J362" s="1563">
        <v>41.999999999999993</v>
      </c>
      <c r="K362" s="1563">
        <v>41.999999999999993</v>
      </c>
      <c r="L362" s="1563">
        <v>41.999999999999993</v>
      </c>
      <c r="M362" s="1563">
        <v>41.999999999999993</v>
      </c>
      <c r="N362" s="1564">
        <v>41.999999999999993</v>
      </c>
      <c r="O362" s="876"/>
      <c r="Q362" s="1068"/>
      <c r="R362" s="1068"/>
      <c r="S362" s="1068"/>
      <c r="T362" s="1068"/>
      <c r="U362" s="1068"/>
      <c r="V362" s="1068"/>
      <c r="W362" s="1068"/>
      <c r="X362" s="1363"/>
      <c r="Y362" s="1068"/>
      <c r="Z362" s="1068"/>
      <c r="AA362" s="1068"/>
      <c r="AB362" s="1068"/>
      <c r="AC362" s="1068"/>
      <c r="AD362" s="1068"/>
      <c r="AE362" s="1068"/>
      <c r="AF362" s="1068"/>
      <c r="AG362" s="1068"/>
      <c r="AH362" s="1068"/>
      <c r="AI362" s="1068"/>
      <c r="AJ362" s="1068"/>
      <c r="AK362" s="1068"/>
      <c r="AL362" s="1068"/>
    </row>
    <row r="363" spans="1:38" hidden="1">
      <c r="B363" s="47"/>
      <c r="C363" s="103" t="s">
        <v>1113</v>
      </c>
      <c r="D363" s="103" t="s">
        <v>1127</v>
      </c>
      <c r="E363" s="67">
        <v>0</v>
      </c>
      <c r="F363" s="1503">
        <v>59.44</v>
      </c>
      <c r="G363" s="1563">
        <v>59.44</v>
      </c>
      <c r="H363" s="1563">
        <v>59.44</v>
      </c>
      <c r="I363" s="1563">
        <v>59.44</v>
      </c>
      <c r="J363" s="1563">
        <v>59.44</v>
      </c>
      <c r="K363" s="1563">
        <v>59.44</v>
      </c>
      <c r="L363" s="1563">
        <v>59.44</v>
      </c>
      <c r="M363" s="1563">
        <v>59.44</v>
      </c>
      <c r="N363" s="1564">
        <v>59.44</v>
      </c>
      <c r="O363" s="876"/>
      <c r="Q363" s="1068"/>
      <c r="R363" s="1068"/>
      <c r="S363" s="1068"/>
      <c r="T363" s="1068"/>
      <c r="U363" s="1068"/>
      <c r="V363" s="1068"/>
      <c r="W363" s="1068"/>
      <c r="X363" s="1363"/>
      <c r="Y363" s="1068"/>
      <c r="Z363" s="1068"/>
      <c r="AA363" s="1068"/>
      <c r="AB363" s="1068"/>
      <c r="AC363" s="1068"/>
      <c r="AD363" s="1068"/>
      <c r="AE363" s="1068"/>
      <c r="AF363" s="1068"/>
      <c r="AG363" s="1068"/>
      <c r="AH363" s="1068"/>
      <c r="AI363" s="1068"/>
      <c r="AJ363" s="1068"/>
      <c r="AK363" s="1068"/>
      <c r="AL363" s="1068"/>
    </row>
    <row r="364" spans="1:38" hidden="1">
      <c r="B364" s="47"/>
      <c r="C364" s="194" t="s">
        <v>1113</v>
      </c>
      <c r="D364" s="194" t="s">
        <v>1128</v>
      </c>
      <c r="E364" s="969">
        <v>0</v>
      </c>
      <c r="F364" s="1510">
        <v>150</v>
      </c>
      <c r="G364" s="1565">
        <v>150</v>
      </c>
      <c r="H364" s="1565">
        <v>150</v>
      </c>
      <c r="I364" s="1565">
        <v>150</v>
      </c>
      <c r="J364" s="1565">
        <v>150</v>
      </c>
      <c r="K364" s="1565">
        <v>150</v>
      </c>
      <c r="L364" s="1565">
        <v>150</v>
      </c>
      <c r="M364" s="1565">
        <v>150</v>
      </c>
      <c r="N364" s="1566">
        <v>150</v>
      </c>
      <c r="O364" s="876"/>
      <c r="Q364" s="1068"/>
      <c r="R364" s="1068"/>
      <c r="S364" s="1068"/>
      <c r="T364" s="1068"/>
      <c r="U364" s="1068"/>
      <c r="V364" s="1068"/>
      <c r="W364" s="1068"/>
      <c r="X364" s="1363"/>
      <c r="Y364" s="1068"/>
      <c r="Z364" s="1068"/>
      <c r="AA364" s="1068"/>
      <c r="AB364" s="1068"/>
      <c r="AC364" s="1068"/>
      <c r="AD364" s="1068"/>
      <c r="AE364" s="1068"/>
      <c r="AF364" s="1068"/>
      <c r="AG364" s="1068"/>
      <c r="AH364" s="1068"/>
      <c r="AI364" s="1068"/>
      <c r="AJ364" s="1068"/>
      <c r="AK364" s="1068"/>
      <c r="AL364" s="1068"/>
    </row>
    <row r="365" spans="1:38" hidden="1">
      <c r="B365" s="47"/>
      <c r="C365" s="968" t="s">
        <v>1115</v>
      </c>
      <c r="D365" s="968" t="s">
        <v>1125</v>
      </c>
      <c r="E365" s="964">
        <v>0</v>
      </c>
      <c r="F365" s="1560">
        <v>235.68964894155999</v>
      </c>
      <c r="G365" s="1561">
        <v>235.68964894155999</v>
      </c>
      <c r="H365" s="1561">
        <v>235.68964894155999</v>
      </c>
      <c r="I365" s="1561">
        <v>235.68964894155999</v>
      </c>
      <c r="J365" s="1561">
        <v>235.68964894155999</v>
      </c>
      <c r="K365" s="1561">
        <v>235.68964894155999</v>
      </c>
      <c r="L365" s="1561">
        <v>235.68964894155999</v>
      </c>
      <c r="M365" s="1561">
        <v>235.68964894155999</v>
      </c>
      <c r="N365" s="1562">
        <v>235.68964894155999</v>
      </c>
      <c r="O365" s="876"/>
      <c r="Q365" s="1068"/>
      <c r="R365" s="1068"/>
      <c r="S365" s="1068"/>
      <c r="T365" s="1068"/>
      <c r="U365" s="1068"/>
      <c r="V365" s="1068"/>
      <c r="W365" s="1068"/>
      <c r="X365" s="1363"/>
      <c r="Y365" s="1068"/>
      <c r="Z365" s="1068"/>
      <c r="AA365" s="1068"/>
      <c r="AB365" s="1068"/>
      <c r="AC365" s="1068"/>
      <c r="AD365" s="1068"/>
      <c r="AE365" s="1068"/>
      <c r="AF365" s="1068"/>
      <c r="AG365" s="1068"/>
      <c r="AH365" s="1068"/>
      <c r="AI365" s="1068"/>
      <c r="AJ365" s="1068"/>
      <c r="AK365" s="1068"/>
      <c r="AL365" s="1068"/>
    </row>
    <row r="366" spans="1:38" hidden="1">
      <c r="B366" s="47"/>
      <c r="C366" s="103" t="s">
        <v>1115</v>
      </c>
      <c r="D366" s="103" t="s">
        <v>1129</v>
      </c>
      <c r="E366" s="67">
        <v>0</v>
      </c>
      <c r="F366" s="1503">
        <v>271.99346358408502</v>
      </c>
      <c r="G366" s="1563">
        <v>271.99346358408502</v>
      </c>
      <c r="H366" s="1563">
        <v>271.99346358408502</v>
      </c>
      <c r="I366" s="1563">
        <v>271.99346358408502</v>
      </c>
      <c r="J366" s="1563">
        <v>271.99346358408502</v>
      </c>
      <c r="K366" s="1563">
        <v>271.99346358408502</v>
      </c>
      <c r="L366" s="1563">
        <v>271.99346358408502</v>
      </c>
      <c r="M366" s="1563">
        <v>271.99346358408502</v>
      </c>
      <c r="N366" s="1564">
        <v>271.99346358408502</v>
      </c>
      <c r="O366" s="876"/>
      <c r="Q366" s="1068"/>
      <c r="R366" s="1068"/>
      <c r="S366" s="1068"/>
      <c r="T366" s="1068"/>
      <c r="U366" s="1068"/>
      <c r="V366" s="1068"/>
      <c r="W366" s="1068"/>
      <c r="X366" s="1363"/>
      <c r="Y366" s="1068"/>
      <c r="Z366" s="1068"/>
      <c r="AA366" s="1068"/>
      <c r="AB366" s="1068"/>
      <c r="AC366" s="1068"/>
      <c r="AD366" s="1068"/>
      <c r="AE366" s="1068"/>
      <c r="AF366" s="1068"/>
      <c r="AG366" s="1068"/>
      <c r="AH366" s="1068"/>
      <c r="AI366" s="1068"/>
      <c r="AJ366" s="1068"/>
      <c r="AK366" s="1068"/>
      <c r="AL366" s="1068"/>
    </row>
    <row r="367" spans="1:38" hidden="1">
      <c r="B367" s="47"/>
      <c r="C367" s="103" t="s">
        <v>1115</v>
      </c>
      <c r="D367" s="103" t="s">
        <v>1127</v>
      </c>
      <c r="E367" s="67">
        <v>0</v>
      </c>
      <c r="F367" s="1503">
        <v>441.64725221829298</v>
      </c>
      <c r="G367" s="1563">
        <v>441.64725221829298</v>
      </c>
      <c r="H367" s="1563">
        <v>441.64725221829298</v>
      </c>
      <c r="I367" s="1563">
        <v>441.64725221829298</v>
      </c>
      <c r="J367" s="1563">
        <v>441.64725221829298</v>
      </c>
      <c r="K367" s="1563">
        <v>441.64725221829298</v>
      </c>
      <c r="L367" s="1563">
        <v>441.64725221829298</v>
      </c>
      <c r="M367" s="1563">
        <v>441.64725221829298</v>
      </c>
      <c r="N367" s="1564">
        <v>441.64725221829298</v>
      </c>
      <c r="O367" s="876"/>
      <c r="Q367" s="1068"/>
      <c r="R367" s="1068"/>
      <c r="S367" s="1068"/>
      <c r="T367" s="1068"/>
      <c r="U367" s="1068"/>
      <c r="V367" s="1068"/>
      <c r="W367" s="1068"/>
      <c r="X367" s="1363"/>
      <c r="Y367" s="1068"/>
      <c r="Z367" s="1068"/>
      <c r="AA367" s="1068"/>
      <c r="AB367" s="1068"/>
      <c r="AC367" s="1068"/>
      <c r="AD367" s="1068"/>
      <c r="AE367" s="1068"/>
      <c r="AF367" s="1068"/>
      <c r="AG367" s="1068"/>
      <c r="AH367" s="1068"/>
      <c r="AI367" s="1068"/>
      <c r="AJ367" s="1068"/>
      <c r="AK367" s="1068"/>
      <c r="AL367" s="1068"/>
    </row>
    <row r="368" spans="1:38" hidden="1">
      <c r="B368" s="47"/>
      <c r="C368" s="194" t="s">
        <v>1115</v>
      </c>
      <c r="D368" s="194" t="s">
        <v>1128</v>
      </c>
      <c r="E368" s="969">
        <v>0</v>
      </c>
      <c r="F368" s="1510">
        <v>1052.8654813374299</v>
      </c>
      <c r="G368" s="1565">
        <v>1052.8654813374299</v>
      </c>
      <c r="H368" s="1565">
        <v>1052.8654813374299</v>
      </c>
      <c r="I368" s="1565">
        <v>1052.8654813374299</v>
      </c>
      <c r="J368" s="1565">
        <v>1052.8654813374299</v>
      </c>
      <c r="K368" s="1565">
        <v>1052.8654813374299</v>
      </c>
      <c r="L368" s="1565">
        <v>1052.8654813374299</v>
      </c>
      <c r="M368" s="1565">
        <v>1052.8654813374299</v>
      </c>
      <c r="N368" s="1566">
        <v>1052.8654813374299</v>
      </c>
      <c r="O368" s="876"/>
      <c r="Q368" s="1068"/>
      <c r="R368" s="1068"/>
      <c r="S368" s="1068"/>
      <c r="T368" s="1068"/>
      <c r="U368" s="1068"/>
      <c r="V368" s="1068"/>
      <c r="W368" s="1068"/>
      <c r="X368" s="1363"/>
      <c r="Y368" s="1068"/>
      <c r="Z368" s="1068"/>
      <c r="AA368" s="1068"/>
      <c r="AB368" s="1068"/>
      <c r="AC368" s="1068"/>
      <c r="AD368" s="1068"/>
      <c r="AE368" s="1068"/>
      <c r="AF368" s="1068"/>
      <c r="AG368" s="1068"/>
      <c r="AH368" s="1068"/>
      <c r="AI368" s="1068"/>
      <c r="AJ368" s="1068"/>
      <c r="AK368" s="1068"/>
      <c r="AL368" s="1068"/>
    </row>
    <row r="369" spans="2:38" hidden="1">
      <c r="B369" s="47"/>
      <c r="C369" s="968" t="s">
        <v>1117</v>
      </c>
      <c r="D369" s="968" t="s">
        <v>1130</v>
      </c>
      <c r="E369" s="964">
        <v>0</v>
      </c>
      <c r="F369" s="1560">
        <v>124.09699999999999</v>
      </c>
      <c r="G369" s="1561">
        <v>124.09699999999999</v>
      </c>
      <c r="H369" s="1561">
        <v>124.09699999999999</v>
      </c>
      <c r="I369" s="1561">
        <v>124.09699999999999</v>
      </c>
      <c r="J369" s="1561">
        <v>124.09699999999999</v>
      </c>
      <c r="K369" s="1561">
        <v>124.09699999999999</v>
      </c>
      <c r="L369" s="1561">
        <v>124.09699999999999</v>
      </c>
      <c r="M369" s="1561">
        <v>124.09699999999999</v>
      </c>
      <c r="N369" s="1562">
        <v>124.09699999999999</v>
      </c>
      <c r="O369" s="876"/>
      <c r="Q369" s="1068"/>
      <c r="R369" s="1068"/>
      <c r="S369" s="1068"/>
      <c r="T369" s="1068"/>
      <c r="U369" s="1068"/>
      <c r="V369" s="1068"/>
      <c r="W369" s="1068"/>
      <c r="X369" s="1363"/>
      <c r="Y369" s="1068"/>
      <c r="Z369" s="1068"/>
      <c r="AA369" s="1068"/>
      <c r="AB369" s="1068"/>
      <c r="AC369" s="1068"/>
      <c r="AD369" s="1068"/>
      <c r="AE369" s="1068"/>
      <c r="AF369" s="1068"/>
      <c r="AG369" s="1068"/>
      <c r="AH369" s="1068"/>
      <c r="AI369" s="1068"/>
      <c r="AJ369" s="1068"/>
      <c r="AK369" s="1068"/>
      <c r="AL369" s="1068"/>
    </row>
    <row r="370" spans="2:38" hidden="1">
      <c r="B370" s="47"/>
      <c r="C370" s="194" t="s">
        <v>1117</v>
      </c>
      <c r="D370" s="194" t="s">
        <v>1131</v>
      </c>
      <c r="E370" s="969">
        <v>0</v>
      </c>
      <c r="F370" s="1510">
        <v>333.39599999999996</v>
      </c>
      <c r="G370" s="1565">
        <v>333.39599999999996</v>
      </c>
      <c r="H370" s="1565">
        <v>333.39599999999996</v>
      </c>
      <c r="I370" s="1565">
        <v>333.39599999999996</v>
      </c>
      <c r="J370" s="1565">
        <v>333.39599999999996</v>
      </c>
      <c r="K370" s="1565">
        <v>333.39599999999996</v>
      </c>
      <c r="L370" s="1565">
        <v>333.39599999999996</v>
      </c>
      <c r="M370" s="1565">
        <v>333.39599999999996</v>
      </c>
      <c r="N370" s="1566">
        <v>333.39599999999996</v>
      </c>
      <c r="O370" s="876"/>
      <c r="Q370" s="1068"/>
      <c r="R370" s="1068"/>
      <c r="S370" s="1068"/>
      <c r="T370" s="1068"/>
      <c r="U370" s="1068"/>
      <c r="V370" s="1068"/>
      <c r="W370" s="1068"/>
      <c r="X370" s="1068"/>
      <c r="Y370" s="1068"/>
      <c r="Z370" s="1068"/>
      <c r="AA370" s="1068"/>
      <c r="AB370" s="1068"/>
      <c r="AC370" s="1068"/>
      <c r="AD370" s="1068"/>
      <c r="AE370" s="1068"/>
      <c r="AF370" s="1068"/>
      <c r="AG370" s="1068"/>
      <c r="AH370" s="1068"/>
      <c r="AI370" s="1068"/>
      <c r="AJ370" s="1068"/>
      <c r="AK370" s="1068"/>
      <c r="AL370" s="1068"/>
    </row>
    <row r="371" spans="2:38" hidden="1">
      <c r="B371" s="47"/>
      <c r="C371" s="1191" t="s">
        <v>1119</v>
      </c>
      <c r="D371" s="1191" t="s">
        <v>1119</v>
      </c>
      <c r="E371" s="1094">
        <v>0</v>
      </c>
      <c r="F371" s="1567">
        <v>57337.603745725799</v>
      </c>
      <c r="G371" s="1558">
        <v>57337.603745725799</v>
      </c>
      <c r="H371" s="1558">
        <v>57337.603745725799</v>
      </c>
      <c r="I371" s="1558">
        <v>57337.603745725799</v>
      </c>
      <c r="J371" s="1558">
        <v>57337.603745725799</v>
      </c>
      <c r="K371" s="1558">
        <v>57337.603745725799</v>
      </c>
      <c r="L371" s="1558">
        <v>57337.603745725799</v>
      </c>
      <c r="M371" s="1558">
        <v>57337.603745725799</v>
      </c>
      <c r="N371" s="1568">
        <v>57337.603745725799</v>
      </c>
      <c r="O371" s="876"/>
      <c r="Q371" s="1068"/>
      <c r="R371" s="1068"/>
      <c r="S371" s="1068"/>
      <c r="T371" s="1068"/>
      <c r="U371" s="1068"/>
      <c r="V371" s="1068"/>
      <c r="W371" s="1068"/>
      <c r="X371" s="1068"/>
      <c r="Y371" s="1068"/>
      <c r="Z371" s="1068"/>
      <c r="AA371" s="1068"/>
      <c r="AB371" s="1068"/>
      <c r="AC371" s="1068"/>
      <c r="AD371" s="1068"/>
      <c r="AE371" s="1068"/>
      <c r="AF371" s="1068"/>
      <c r="AG371" s="1068"/>
      <c r="AH371" s="1068"/>
      <c r="AI371" s="1068"/>
      <c r="AJ371" s="1068"/>
      <c r="AK371" s="1068"/>
      <c r="AL371" s="1068"/>
    </row>
    <row r="372" spans="2:38" hidden="1">
      <c r="B372" s="350"/>
      <c r="C372" s="47"/>
      <c r="D372" s="47"/>
      <c r="E372" s="47"/>
      <c r="F372" s="47"/>
      <c r="G372" s="47"/>
      <c r="H372" s="47"/>
      <c r="I372" s="47"/>
      <c r="J372" s="47"/>
      <c r="K372" s="47"/>
      <c r="L372" s="47"/>
      <c r="M372" s="47"/>
      <c r="N372" s="959"/>
      <c r="O372" s="876"/>
      <c r="Q372" s="1068"/>
      <c r="R372" s="1068"/>
      <c r="S372" s="1068"/>
      <c r="T372" s="1068"/>
      <c r="U372" s="1068"/>
      <c r="V372" s="1068"/>
      <c r="W372" s="1068"/>
      <c r="X372" s="1068"/>
      <c r="Y372" s="1068"/>
      <c r="Z372" s="1068"/>
      <c r="AA372" s="1068"/>
      <c r="AB372" s="1068"/>
      <c r="AC372" s="1068"/>
      <c r="AD372" s="1068"/>
      <c r="AE372" s="1068"/>
      <c r="AF372" s="1068"/>
      <c r="AG372" s="1068"/>
      <c r="AH372" s="1068"/>
      <c r="AI372" s="1068"/>
      <c r="AJ372" s="1068"/>
      <c r="AK372" s="1068"/>
      <c r="AL372" s="1068"/>
    </row>
    <row r="373" spans="2:38" hidden="1">
      <c r="B373" s="350"/>
      <c r="C373" s="67"/>
      <c r="D373" s="67"/>
      <c r="E373" s="67"/>
      <c r="F373" s="67"/>
      <c r="G373" s="67"/>
      <c r="H373" s="67"/>
      <c r="I373" s="67"/>
      <c r="J373" s="67"/>
      <c r="K373" s="67"/>
      <c r="L373" s="67"/>
      <c r="M373" s="67"/>
      <c r="N373" s="1569" t="s">
        <v>2765</v>
      </c>
      <c r="O373" s="876"/>
      <c r="Q373" s="1068"/>
      <c r="R373" s="1068"/>
      <c r="S373" s="1068"/>
      <c r="T373" s="1068"/>
      <c r="U373" s="1068"/>
      <c r="V373" s="1068"/>
      <c r="W373" s="1068"/>
      <c r="X373" s="1068"/>
      <c r="Y373" s="1068"/>
      <c r="Z373" s="1068"/>
      <c r="AA373" s="1068"/>
      <c r="AB373" s="1068"/>
      <c r="AC373" s="1068"/>
      <c r="AD373" s="1068"/>
      <c r="AE373" s="1068"/>
      <c r="AF373" s="1068"/>
      <c r="AG373" s="1068"/>
      <c r="AH373" s="1068"/>
      <c r="AI373" s="1068"/>
      <c r="AJ373" s="1068"/>
      <c r="AK373" s="1068"/>
      <c r="AL373" s="1068"/>
    </row>
    <row r="374" spans="2:38" hidden="1">
      <c r="B374" s="350"/>
      <c r="C374" s="1570" t="s">
        <v>1155</v>
      </c>
      <c r="D374" s="973"/>
      <c r="E374" s="1571" t="s">
        <v>159</v>
      </c>
      <c r="F374" s="1572">
        <v>2013</v>
      </c>
      <c r="G374" s="1572">
        <v>2015</v>
      </c>
      <c r="H374" s="1572">
        <v>2020</v>
      </c>
      <c r="I374" s="1572">
        <v>2025</v>
      </c>
      <c r="J374" s="1572">
        <v>2030</v>
      </c>
      <c r="K374" s="1572">
        <v>2035</v>
      </c>
      <c r="L374" s="1572">
        <v>2040</v>
      </c>
      <c r="M374" s="1572">
        <v>2045</v>
      </c>
      <c r="N374" s="1573">
        <v>2050</v>
      </c>
      <c r="O374" s="876"/>
      <c r="Q374" s="1068"/>
      <c r="R374" s="1068"/>
      <c r="S374" s="1068"/>
      <c r="T374" s="1068"/>
      <c r="U374" s="1068"/>
      <c r="V374" s="1068"/>
      <c r="W374" s="1068"/>
      <c r="X374" s="1068"/>
      <c r="Y374" s="1068"/>
      <c r="Z374" s="1068"/>
      <c r="AA374" s="1068"/>
      <c r="AB374" s="1068"/>
      <c r="AC374" s="1068"/>
      <c r="AD374" s="1068"/>
      <c r="AE374" s="1068"/>
      <c r="AF374" s="1068"/>
      <c r="AG374" s="1068"/>
      <c r="AH374" s="1068"/>
      <c r="AI374" s="1068"/>
      <c r="AJ374" s="1068"/>
      <c r="AK374" s="1068"/>
      <c r="AL374" s="1068"/>
    </row>
    <row r="375" spans="2:38" hidden="1">
      <c r="B375" s="350"/>
      <c r="C375" s="968" t="s">
        <v>1111</v>
      </c>
      <c r="D375" s="968" t="s">
        <v>1111</v>
      </c>
      <c r="E375" s="1574">
        <v>-6.5000000000000006E-3</v>
      </c>
      <c r="F375" s="1575">
        <v>0.5</v>
      </c>
      <c r="G375" s="1561">
        <v>0.46750000000000003</v>
      </c>
      <c r="H375" s="1561">
        <v>0.43500000000000005</v>
      </c>
      <c r="I375" s="1561">
        <v>0.40250000000000008</v>
      </c>
      <c r="J375" s="1561">
        <v>0.37000000000000011</v>
      </c>
      <c r="K375" s="1561">
        <v>0.33750000000000013</v>
      </c>
      <c r="L375" s="1561">
        <v>0.30500000000000016</v>
      </c>
      <c r="M375" s="1561">
        <v>0.27250000000000019</v>
      </c>
      <c r="N375" s="1575">
        <v>0.24</v>
      </c>
      <c r="O375" s="876"/>
      <c r="Q375" s="1068"/>
      <c r="R375" s="1068"/>
      <c r="S375" s="1068"/>
      <c r="T375" s="1068"/>
      <c r="U375" s="1068"/>
      <c r="V375" s="1068"/>
      <c r="W375" s="1068"/>
      <c r="X375" s="1068"/>
      <c r="Y375" s="1068"/>
      <c r="Z375" s="1068"/>
      <c r="AA375" s="1068"/>
      <c r="AB375" s="1068"/>
      <c r="AC375" s="1068"/>
      <c r="AD375" s="1068"/>
      <c r="AE375" s="1068"/>
      <c r="AF375" s="1068"/>
      <c r="AG375" s="1068"/>
      <c r="AH375" s="1068"/>
      <c r="AI375" s="1068"/>
      <c r="AJ375" s="1068"/>
      <c r="AK375" s="1068"/>
      <c r="AL375" s="1068"/>
    </row>
    <row r="376" spans="2:38" hidden="1">
      <c r="B376" s="350"/>
      <c r="C376" s="968" t="s">
        <v>1113</v>
      </c>
      <c r="D376" s="968" t="s">
        <v>1125</v>
      </c>
      <c r="E376" s="1574">
        <v>-5.1584820201275063E-2</v>
      </c>
      <c r="F376" s="1560">
        <v>16.310619808051001</v>
      </c>
      <c r="G376" s="1561">
        <v>16.052695707044627</v>
      </c>
      <c r="H376" s="1561">
        <v>15.794771606038251</v>
      </c>
      <c r="I376" s="1561">
        <v>15.536847505031876</v>
      </c>
      <c r="J376" s="1561">
        <v>15.2789234040255</v>
      </c>
      <c r="K376" s="1561">
        <v>15.020999303019124</v>
      </c>
      <c r="L376" s="1561">
        <v>14.763075202012748</v>
      </c>
      <c r="M376" s="1561">
        <v>14.505151101006373</v>
      </c>
      <c r="N376" s="1562">
        <v>14.247226999999999</v>
      </c>
      <c r="O376" s="876"/>
      <c r="Q376" s="1068"/>
      <c r="R376" s="1068"/>
      <c r="S376" s="1068"/>
      <c r="T376" s="1068"/>
      <c r="U376" s="1068"/>
      <c r="V376" s="1068"/>
      <c r="W376" s="1068"/>
      <c r="X376" s="1068"/>
      <c r="Y376" s="1068"/>
      <c r="Z376" s="1068"/>
      <c r="AA376" s="1068"/>
      <c r="AB376" s="1068"/>
      <c r="AC376" s="1068"/>
      <c r="AD376" s="1068"/>
      <c r="AE376" s="1068"/>
      <c r="AF376" s="1068"/>
      <c r="AG376" s="1068"/>
      <c r="AH376" s="1068"/>
      <c r="AI376" s="1068"/>
      <c r="AJ376" s="1068"/>
      <c r="AK376" s="1068"/>
      <c r="AL376" s="1068"/>
    </row>
    <row r="377" spans="2:38" hidden="1">
      <c r="B377" s="350"/>
      <c r="C377" s="103" t="s">
        <v>1113</v>
      </c>
      <c r="D377" s="103" t="s">
        <v>1126</v>
      </c>
      <c r="E377" s="1576">
        <v>-0.35912300565355998</v>
      </c>
      <c r="F377" s="1503">
        <v>31.050405226142399</v>
      </c>
      <c r="G377" s="1563">
        <v>29.254790197874598</v>
      </c>
      <c r="H377" s="1563">
        <v>27.459175169606798</v>
      </c>
      <c r="I377" s="1563">
        <v>25.663560141338998</v>
      </c>
      <c r="J377" s="1563">
        <v>23.867945113071197</v>
      </c>
      <c r="K377" s="1563">
        <v>22.072330084803397</v>
      </c>
      <c r="L377" s="1563">
        <v>20.276715056535597</v>
      </c>
      <c r="M377" s="1563">
        <v>18.481100028267797</v>
      </c>
      <c r="N377" s="1564">
        <v>16.685485</v>
      </c>
      <c r="O377" s="876"/>
      <c r="Q377" s="1068"/>
      <c r="R377" s="1068"/>
      <c r="S377" s="1068"/>
      <c r="T377" s="1068"/>
      <c r="U377" s="1068"/>
      <c r="V377" s="1068"/>
      <c r="W377" s="1068"/>
      <c r="X377" s="1068"/>
      <c r="Y377" s="1068"/>
      <c r="Z377" s="1068"/>
      <c r="AA377" s="1068"/>
      <c r="AB377" s="1068"/>
      <c r="AC377" s="1068"/>
      <c r="AD377" s="1068"/>
      <c r="AE377" s="1068"/>
      <c r="AF377" s="1068"/>
      <c r="AG377" s="1068"/>
      <c r="AH377" s="1068"/>
      <c r="AI377" s="1068"/>
      <c r="AJ377" s="1068"/>
      <c r="AK377" s="1068"/>
      <c r="AL377" s="1068"/>
    </row>
    <row r="378" spans="2:38" hidden="1">
      <c r="B378" s="350"/>
      <c r="C378" s="103" t="s">
        <v>1113</v>
      </c>
      <c r="D378" s="103" t="s">
        <v>1127</v>
      </c>
      <c r="E378" s="1576">
        <v>-0.35689880000000002</v>
      </c>
      <c r="F378" s="1503">
        <v>37.22</v>
      </c>
      <c r="G378" s="1563">
        <v>35.435505999999997</v>
      </c>
      <c r="H378" s="1563">
        <v>33.651011999999994</v>
      </c>
      <c r="I378" s="1563">
        <v>31.866517999999996</v>
      </c>
      <c r="J378" s="1563">
        <v>30.082023999999997</v>
      </c>
      <c r="K378" s="1563">
        <v>28.297529999999998</v>
      </c>
      <c r="L378" s="1563">
        <v>26.513036</v>
      </c>
      <c r="M378" s="1563">
        <v>24.728542000000001</v>
      </c>
      <c r="N378" s="1564">
        <v>22.944047999999999</v>
      </c>
      <c r="O378" s="876"/>
      <c r="Q378" s="1068"/>
      <c r="R378" s="1068"/>
      <c r="S378" s="1068"/>
      <c r="T378" s="1068"/>
      <c r="U378" s="1068"/>
      <c r="V378" s="1068"/>
      <c r="W378" s="1068"/>
      <c r="X378" s="1068"/>
      <c r="Y378" s="1068"/>
      <c r="Z378" s="1068"/>
      <c r="AA378" s="1068"/>
      <c r="AB378" s="1068"/>
      <c r="AC378" s="1068"/>
      <c r="AD378" s="1068"/>
      <c r="AE378" s="1068"/>
      <c r="AF378" s="1068"/>
      <c r="AG378" s="1068"/>
      <c r="AH378" s="1068"/>
      <c r="AI378" s="1068"/>
      <c r="AJ378" s="1068"/>
      <c r="AK378" s="1068"/>
      <c r="AL378" s="1068"/>
    </row>
    <row r="379" spans="2:38" hidden="1">
      <c r="B379" s="350"/>
      <c r="C379" s="194" t="s">
        <v>1113</v>
      </c>
      <c r="D379" s="194" t="s">
        <v>1128</v>
      </c>
      <c r="E379" s="1577">
        <v>-2.312362775</v>
      </c>
      <c r="F379" s="1510">
        <v>110</v>
      </c>
      <c r="G379" s="1565">
        <v>98.438186125000001</v>
      </c>
      <c r="H379" s="1565">
        <v>86.876372250000003</v>
      </c>
      <c r="I379" s="1565">
        <v>75.314558375000004</v>
      </c>
      <c r="J379" s="1565">
        <v>63.752744500000006</v>
      </c>
      <c r="K379" s="1565">
        <v>52.190930625000007</v>
      </c>
      <c r="L379" s="1565">
        <v>40.629116750000009</v>
      </c>
      <c r="M379" s="1565">
        <v>29.06730287500001</v>
      </c>
      <c r="N379" s="1564">
        <v>17.505489000000001</v>
      </c>
      <c r="O379" s="876"/>
      <c r="Q379" s="1068"/>
      <c r="R379" s="1068"/>
      <c r="S379" s="1068"/>
      <c r="T379" s="1068"/>
      <c r="U379" s="1068"/>
      <c r="V379" s="1068"/>
      <c r="W379" s="1068"/>
      <c r="X379" s="1068"/>
      <c r="Y379" s="1068"/>
      <c r="Z379" s="1068"/>
      <c r="AA379" s="1068"/>
      <c r="AB379" s="1068"/>
      <c r="AC379" s="1068"/>
      <c r="AD379" s="1068"/>
      <c r="AE379" s="1068"/>
      <c r="AF379" s="1068"/>
      <c r="AG379" s="1068"/>
      <c r="AH379" s="1068"/>
      <c r="AI379" s="1068"/>
      <c r="AJ379" s="1068"/>
      <c r="AK379" s="1068"/>
      <c r="AL379" s="1068"/>
    </row>
    <row r="380" spans="2:38" hidden="1">
      <c r="B380" s="350"/>
      <c r="C380" s="968" t="s">
        <v>1115</v>
      </c>
      <c r="D380" s="968" t="s">
        <v>1125</v>
      </c>
      <c r="E380" s="1574">
        <v>-1.6828191235390002</v>
      </c>
      <c r="F380" s="1560">
        <v>235.68964894155999</v>
      </c>
      <c r="G380" s="1561">
        <v>227.27555332386498</v>
      </c>
      <c r="H380" s="1561">
        <v>218.86145770616997</v>
      </c>
      <c r="I380" s="1561">
        <v>210.44736208847496</v>
      </c>
      <c r="J380" s="1561">
        <v>202.03326647077995</v>
      </c>
      <c r="K380" s="1561">
        <v>193.61917085308494</v>
      </c>
      <c r="L380" s="1561">
        <v>185.20507523538993</v>
      </c>
      <c r="M380" s="1561">
        <v>176.79097961769492</v>
      </c>
      <c r="N380" s="1562">
        <v>168.37688399999999</v>
      </c>
      <c r="O380" s="876"/>
      <c r="Q380" s="1068"/>
      <c r="R380" s="1068"/>
      <c r="S380" s="1068"/>
      <c r="T380" s="1068"/>
      <c r="U380" s="1068"/>
      <c r="V380" s="1068"/>
      <c r="W380" s="1068"/>
      <c r="X380" s="1068"/>
      <c r="Y380" s="1068"/>
      <c r="Z380" s="1068"/>
      <c r="AA380" s="1068"/>
      <c r="AB380" s="1068"/>
      <c r="AC380" s="1068"/>
      <c r="AD380" s="1068"/>
      <c r="AE380" s="1068"/>
      <c r="AF380" s="1068"/>
      <c r="AG380" s="1068"/>
      <c r="AH380" s="1068"/>
      <c r="AI380" s="1068"/>
      <c r="AJ380" s="1068"/>
      <c r="AK380" s="1068"/>
      <c r="AL380" s="1068"/>
    </row>
    <row r="381" spans="2:38" hidden="1">
      <c r="B381" s="350"/>
      <c r="C381" s="103" t="s">
        <v>1115</v>
      </c>
      <c r="D381" s="103" t="s">
        <v>1129</v>
      </c>
      <c r="E381" s="1576">
        <v>-2.3037655646021262</v>
      </c>
      <c r="F381" s="1503">
        <v>271.99346358408502</v>
      </c>
      <c r="G381" s="1563">
        <v>260.47463576107441</v>
      </c>
      <c r="H381" s="1563">
        <v>248.95580793806377</v>
      </c>
      <c r="I381" s="1563">
        <v>237.43698011505313</v>
      </c>
      <c r="J381" s="1563">
        <v>225.91815229204249</v>
      </c>
      <c r="K381" s="1563">
        <v>214.39932446903185</v>
      </c>
      <c r="L381" s="1563">
        <v>202.88049664602121</v>
      </c>
      <c r="M381" s="1563">
        <v>191.36166882301058</v>
      </c>
      <c r="N381" s="1564">
        <v>179.84284099999996</v>
      </c>
      <c r="O381" s="876"/>
      <c r="Q381" s="1068"/>
      <c r="R381" s="1068"/>
      <c r="S381" s="1068"/>
      <c r="T381" s="1068"/>
      <c r="U381" s="1068"/>
      <c r="V381" s="1068"/>
      <c r="W381" s="1068"/>
      <c r="X381" s="1068"/>
      <c r="Y381" s="1068"/>
      <c r="Z381" s="1068"/>
      <c r="AA381" s="1068"/>
      <c r="AB381" s="1068"/>
      <c r="AC381" s="1068"/>
      <c r="AD381" s="1068"/>
      <c r="AE381" s="1068"/>
      <c r="AF381" s="1068"/>
      <c r="AG381" s="1068"/>
      <c r="AH381" s="1068"/>
      <c r="AI381" s="1068"/>
      <c r="AJ381" s="1068"/>
      <c r="AK381" s="1068"/>
      <c r="AL381" s="1068"/>
    </row>
    <row r="382" spans="2:38" hidden="1">
      <c r="B382" s="350"/>
      <c r="C382" s="103" t="s">
        <v>1115</v>
      </c>
      <c r="D382" s="103" t="s">
        <v>1127</v>
      </c>
      <c r="E382" s="1576">
        <v>-5.9095421554573253</v>
      </c>
      <c r="F382" s="1503">
        <v>441.64725221829298</v>
      </c>
      <c r="G382" s="1563">
        <v>412.09954144100635</v>
      </c>
      <c r="H382" s="1563">
        <v>382.55183066371973</v>
      </c>
      <c r="I382" s="1563">
        <v>353.0041198864331</v>
      </c>
      <c r="J382" s="1563">
        <v>323.45640910914648</v>
      </c>
      <c r="K382" s="1563">
        <v>293.90869833185985</v>
      </c>
      <c r="L382" s="1563">
        <v>264.36098755457323</v>
      </c>
      <c r="M382" s="1563">
        <v>234.8132767772866</v>
      </c>
      <c r="N382" s="1564">
        <v>205.26556599999998</v>
      </c>
      <c r="O382" s="876"/>
      <c r="Q382" s="1068"/>
      <c r="R382" s="1068"/>
      <c r="S382" s="1068"/>
      <c r="T382" s="1068"/>
      <c r="U382" s="1068"/>
      <c r="V382" s="1068"/>
      <c r="W382" s="1068"/>
      <c r="X382" s="1068"/>
      <c r="Y382" s="1068"/>
      <c r="Z382" s="1068"/>
      <c r="AA382" s="1068"/>
      <c r="AB382" s="1068"/>
      <c r="AC382" s="1068"/>
      <c r="AD382" s="1068"/>
      <c r="AE382" s="1068"/>
      <c r="AF382" s="1068"/>
      <c r="AG382" s="1068"/>
      <c r="AH382" s="1068"/>
      <c r="AI382" s="1068"/>
      <c r="AJ382" s="1068"/>
      <c r="AK382" s="1068"/>
      <c r="AL382" s="1068"/>
    </row>
    <row r="383" spans="2:38" hidden="1">
      <c r="B383" s="350"/>
      <c r="C383" s="103" t="s">
        <v>1115</v>
      </c>
      <c r="D383" s="103" t="s">
        <v>1128</v>
      </c>
      <c r="E383" s="1576">
        <v>-12.884064071733235</v>
      </c>
      <c r="F383" s="1503">
        <v>1052.8654813374299</v>
      </c>
      <c r="G383" s="1563">
        <v>988.44516097876362</v>
      </c>
      <c r="H383" s="1563">
        <v>924.02484062009739</v>
      </c>
      <c r="I383" s="1563">
        <v>859.60452026143116</v>
      </c>
      <c r="J383" s="1563">
        <v>795.18419990276493</v>
      </c>
      <c r="K383" s="1563">
        <v>730.7638795440987</v>
      </c>
      <c r="L383" s="1563">
        <v>666.34355918543247</v>
      </c>
      <c r="M383" s="1563">
        <v>601.92323882676624</v>
      </c>
      <c r="N383" s="1566">
        <v>537.50291846810046</v>
      </c>
      <c r="O383" s="876"/>
      <c r="Q383" s="1068"/>
      <c r="R383" s="1068"/>
      <c r="S383" s="1068"/>
      <c r="T383" s="1068"/>
      <c r="U383" s="1068"/>
      <c r="V383" s="1068"/>
      <c r="W383" s="1068"/>
      <c r="X383" s="1068"/>
      <c r="Y383" s="1068"/>
      <c r="Z383" s="1068"/>
      <c r="AA383" s="1068"/>
      <c r="AB383" s="1068"/>
      <c r="AC383" s="1068"/>
      <c r="AD383" s="1068"/>
      <c r="AE383" s="1068"/>
      <c r="AF383" s="1068"/>
      <c r="AG383" s="1068"/>
      <c r="AH383" s="1068"/>
      <c r="AI383" s="1068"/>
      <c r="AJ383" s="1068"/>
      <c r="AK383" s="1068"/>
      <c r="AL383" s="1068"/>
    </row>
    <row r="384" spans="2:38" hidden="1">
      <c r="B384" s="350"/>
      <c r="C384" s="968" t="s">
        <v>1117</v>
      </c>
      <c r="D384" s="968" t="s">
        <v>1130</v>
      </c>
      <c r="E384" s="1574">
        <v>-0.90744999999999965</v>
      </c>
      <c r="F384" s="1560">
        <v>124.09699999999999</v>
      </c>
      <c r="G384" s="1578">
        <v>119.55974999999999</v>
      </c>
      <c r="H384" s="1578">
        <v>115.02249999999999</v>
      </c>
      <c r="I384" s="1578">
        <v>110.48524999999999</v>
      </c>
      <c r="J384" s="1578">
        <v>105.94799999999999</v>
      </c>
      <c r="K384" s="1578">
        <v>101.41074999999999</v>
      </c>
      <c r="L384" s="1578">
        <v>96.873499999999993</v>
      </c>
      <c r="M384" s="1578">
        <v>92.336249999999993</v>
      </c>
      <c r="N384" s="1564">
        <v>87.799000000000007</v>
      </c>
      <c r="O384" s="876"/>
      <c r="Q384" s="1068"/>
      <c r="R384" s="1068"/>
      <c r="S384" s="1068"/>
      <c r="T384" s="1068"/>
      <c r="U384" s="1068"/>
      <c r="V384" s="1068"/>
      <c r="W384" s="1068"/>
      <c r="X384" s="1068"/>
      <c r="Y384" s="1068"/>
      <c r="Z384" s="1068"/>
      <c r="AA384" s="1068"/>
      <c r="AB384" s="1068"/>
      <c r="AC384" s="1068"/>
      <c r="AD384" s="1068"/>
      <c r="AE384" s="1068"/>
      <c r="AF384" s="1068"/>
      <c r="AG384" s="1068"/>
      <c r="AH384" s="1068"/>
      <c r="AI384" s="1068"/>
      <c r="AJ384" s="1068"/>
      <c r="AK384" s="1068"/>
      <c r="AL384" s="1068"/>
    </row>
    <row r="385" spans="2:38" hidden="1">
      <c r="B385" s="350"/>
      <c r="C385" s="103" t="s">
        <v>1117</v>
      </c>
      <c r="D385" s="103" t="s">
        <v>1131</v>
      </c>
      <c r="E385" s="1576">
        <v>-2.4379499999999994</v>
      </c>
      <c r="F385" s="1503">
        <v>333.39599999999996</v>
      </c>
      <c r="G385" s="1579">
        <v>321.20624999999995</v>
      </c>
      <c r="H385" s="1579">
        <v>309.01649999999995</v>
      </c>
      <c r="I385" s="1579">
        <v>296.82674999999995</v>
      </c>
      <c r="J385" s="1579">
        <v>284.63699999999994</v>
      </c>
      <c r="K385" s="1579">
        <v>272.44724999999994</v>
      </c>
      <c r="L385" s="1579">
        <v>260.25749999999994</v>
      </c>
      <c r="M385" s="1579">
        <v>248.06774999999993</v>
      </c>
      <c r="N385" s="1566">
        <v>235.87799999999999</v>
      </c>
      <c r="O385" s="67"/>
      <c r="Q385" s="1068"/>
      <c r="R385" s="1068"/>
      <c r="S385" s="1068"/>
      <c r="T385" s="1068"/>
      <c r="U385" s="1068"/>
      <c r="V385" s="1068"/>
      <c r="W385" s="1068"/>
      <c r="X385" s="1068"/>
      <c r="Y385" s="1068"/>
      <c r="Z385" s="1068"/>
      <c r="AA385" s="1068"/>
      <c r="AB385" s="1068"/>
      <c r="AC385" s="1068"/>
      <c r="AD385" s="1068"/>
      <c r="AE385" s="1068"/>
      <c r="AF385" s="1068"/>
      <c r="AG385" s="1068"/>
      <c r="AH385" s="1068"/>
      <c r="AI385" s="1068"/>
      <c r="AJ385" s="1068"/>
      <c r="AK385" s="1068"/>
      <c r="AL385" s="1068"/>
    </row>
    <row r="386" spans="2:38" hidden="1">
      <c r="B386" s="350"/>
      <c r="C386" s="1191" t="s">
        <v>1119</v>
      </c>
      <c r="D386" s="1191" t="s">
        <v>1119</v>
      </c>
      <c r="E386" s="1580">
        <v>-538.48606086804432</v>
      </c>
      <c r="F386" s="1567">
        <v>57337.603745725799</v>
      </c>
      <c r="G386" s="1581">
        <v>54645.173441385574</v>
      </c>
      <c r="H386" s="1581">
        <v>51952.743137045356</v>
      </c>
      <c r="I386" s="1581">
        <v>49260.312832705138</v>
      </c>
      <c r="J386" s="1581">
        <v>46567.88252836492</v>
      </c>
      <c r="K386" s="1581">
        <v>43875.452224024702</v>
      </c>
      <c r="L386" s="1581">
        <v>41183.021919684485</v>
      </c>
      <c r="M386" s="1581">
        <v>38490.591615344267</v>
      </c>
      <c r="N386" s="1568">
        <v>35798.161311004027</v>
      </c>
      <c r="O386" s="67"/>
      <c r="Q386" s="1068"/>
      <c r="R386" s="1068"/>
      <c r="S386" s="1068"/>
      <c r="T386" s="1068"/>
      <c r="U386" s="1068"/>
      <c r="V386" s="1068"/>
      <c r="W386" s="1068"/>
      <c r="X386" s="1068"/>
      <c r="Y386" s="1068"/>
      <c r="Z386" s="1068"/>
      <c r="AA386" s="1068"/>
      <c r="AB386" s="1068"/>
      <c r="AC386" s="1068"/>
      <c r="AD386" s="1068"/>
      <c r="AE386" s="1068"/>
      <c r="AF386" s="1068"/>
      <c r="AG386" s="1068"/>
      <c r="AH386" s="1068"/>
      <c r="AI386" s="1068"/>
      <c r="AJ386" s="1068"/>
      <c r="AK386" s="1068"/>
      <c r="AL386" s="1068"/>
    </row>
    <row r="387" spans="2:38" hidden="1">
      <c r="B387" s="350"/>
      <c r="C387" s="350"/>
      <c r="D387" s="350"/>
      <c r="E387" s="350"/>
      <c r="F387" s="1582"/>
      <c r="G387" s="1582"/>
      <c r="H387" s="1582"/>
      <c r="I387" s="350"/>
      <c r="J387" s="1583"/>
      <c r="K387" s="350"/>
      <c r="L387" s="1583"/>
      <c r="M387" s="350"/>
      <c r="N387" s="1569"/>
      <c r="O387" s="67"/>
      <c r="Q387" s="1068"/>
      <c r="R387" s="1068"/>
      <c r="S387" s="1068"/>
      <c r="T387" s="1068"/>
      <c r="U387" s="1068"/>
      <c r="V387" s="1068"/>
      <c r="W387" s="1068"/>
      <c r="X387" s="1068"/>
      <c r="Y387" s="1068"/>
      <c r="Z387" s="1068"/>
      <c r="AA387" s="1068"/>
      <c r="AB387" s="1068"/>
      <c r="AC387" s="1068"/>
      <c r="AD387" s="1068"/>
      <c r="AE387" s="1068"/>
      <c r="AF387" s="1068"/>
      <c r="AG387" s="1068"/>
      <c r="AH387" s="1068"/>
      <c r="AI387" s="1068"/>
      <c r="AJ387" s="1068"/>
      <c r="AK387" s="1068"/>
      <c r="AL387" s="1068"/>
    </row>
    <row r="388" spans="2:38" hidden="1">
      <c r="B388" s="350"/>
      <c r="C388" s="350"/>
      <c r="D388" s="350"/>
      <c r="E388" s="350"/>
      <c r="F388" s="1582"/>
      <c r="G388" s="1582"/>
      <c r="H388" s="1582"/>
      <c r="I388" s="350"/>
      <c r="J388" s="1583"/>
      <c r="K388" s="350"/>
      <c r="L388" s="1583"/>
      <c r="M388" s="350"/>
      <c r="N388" s="1569" t="s">
        <v>2765</v>
      </c>
      <c r="O388" s="876"/>
      <c r="Q388" s="1068"/>
      <c r="R388" s="1068"/>
      <c r="S388" s="1068"/>
      <c r="T388" s="1068"/>
      <c r="U388" s="1068"/>
      <c r="V388" s="1068"/>
      <c r="W388" s="1068"/>
      <c r="X388" s="1068"/>
      <c r="Y388" s="1068"/>
      <c r="Z388" s="1068"/>
      <c r="AA388" s="1068"/>
      <c r="AB388" s="1068"/>
      <c r="AC388" s="1068"/>
      <c r="AD388" s="1068"/>
      <c r="AE388" s="1068"/>
      <c r="AF388" s="1068"/>
      <c r="AG388" s="1068"/>
      <c r="AH388" s="1068"/>
      <c r="AI388" s="1068"/>
      <c r="AJ388" s="1068"/>
      <c r="AK388" s="1068"/>
      <c r="AL388" s="1068"/>
    </row>
    <row r="389" spans="2:38" hidden="1">
      <c r="B389" s="350"/>
      <c r="C389" s="1554" t="s">
        <v>1156</v>
      </c>
      <c r="D389" s="1555"/>
      <c r="E389" s="1556" t="s">
        <v>159</v>
      </c>
      <c r="F389" s="1557">
        <v>2013</v>
      </c>
      <c r="G389" s="1557">
        <v>2015</v>
      </c>
      <c r="H389" s="1557">
        <v>2020</v>
      </c>
      <c r="I389" s="1557">
        <v>2025</v>
      </c>
      <c r="J389" s="1557">
        <v>2030</v>
      </c>
      <c r="K389" s="1557">
        <v>2035</v>
      </c>
      <c r="L389" s="1557">
        <v>2040</v>
      </c>
      <c r="M389" s="1557">
        <v>2045</v>
      </c>
      <c r="N389" s="1584">
        <v>2050</v>
      </c>
      <c r="O389" s="876"/>
      <c r="Q389" s="1068"/>
      <c r="R389" s="1068"/>
      <c r="S389" s="1068"/>
      <c r="T389" s="1068"/>
      <c r="U389" s="1068"/>
      <c r="V389" s="1068"/>
      <c r="W389" s="1068"/>
      <c r="X389" s="1068"/>
      <c r="Y389" s="1068"/>
      <c r="Z389" s="1068"/>
      <c r="AA389" s="1068"/>
      <c r="AB389" s="1068"/>
      <c r="AC389" s="1068"/>
      <c r="AD389" s="1068"/>
      <c r="AE389" s="1068"/>
      <c r="AF389" s="1068"/>
      <c r="AG389" s="1068"/>
      <c r="AH389" s="1068"/>
      <c r="AI389" s="1068"/>
      <c r="AJ389" s="1068"/>
      <c r="AK389" s="1068"/>
      <c r="AL389" s="1068"/>
    </row>
    <row r="390" spans="2:38" hidden="1">
      <c r="B390" s="350"/>
      <c r="C390" s="968" t="s">
        <v>1111</v>
      </c>
      <c r="D390" s="968" t="s">
        <v>1111</v>
      </c>
      <c r="E390" s="67">
        <v>-0.01</v>
      </c>
      <c r="F390" s="1561">
        <v>0.5</v>
      </c>
      <c r="G390" s="1561">
        <v>0.45</v>
      </c>
      <c r="H390" s="1561">
        <v>0.4</v>
      </c>
      <c r="I390" s="1561">
        <v>0.35000000000000003</v>
      </c>
      <c r="J390" s="1561">
        <v>0.30000000000000004</v>
      </c>
      <c r="K390" s="1561">
        <v>0.25000000000000006</v>
      </c>
      <c r="L390" s="1561">
        <v>0.20000000000000007</v>
      </c>
      <c r="M390" s="1561">
        <v>0.15000000000000008</v>
      </c>
      <c r="N390" s="1575">
        <v>9.9999999999999992E-2</v>
      </c>
      <c r="O390" s="876"/>
      <c r="Q390" s="1068"/>
      <c r="R390" s="1068"/>
      <c r="S390" s="1068"/>
      <c r="T390" s="1068"/>
      <c r="U390" s="1068"/>
      <c r="V390" s="1068"/>
      <c r="W390" s="1068"/>
      <c r="X390" s="1068"/>
      <c r="Y390" s="1068"/>
      <c r="Z390" s="1068"/>
      <c r="AA390" s="1068"/>
      <c r="AB390" s="1068"/>
      <c r="AC390" s="1068"/>
      <c r="AD390" s="1068"/>
      <c r="AE390" s="1068"/>
      <c r="AF390" s="1068"/>
      <c r="AG390" s="1068"/>
      <c r="AH390" s="1068"/>
      <c r="AI390" s="1068"/>
      <c r="AJ390" s="1068"/>
      <c r="AK390" s="1068"/>
      <c r="AL390" s="1068"/>
    </row>
    <row r="391" spans="2:38" hidden="1">
      <c r="B391" s="350"/>
      <c r="C391" s="968" t="s">
        <v>1113</v>
      </c>
      <c r="D391" s="968" t="s">
        <v>1125</v>
      </c>
      <c r="E391" s="1585">
        <v>-4.289999999999998E-2</v>
      </c>
      <c r="F391" s="1560">
        <v>15.215999999999999</v>
      </c>
      <c r="G391" s="1561">
        <v>15.0015</v>
      </c>
      <c r="H391" s="1561">
        <v>14.787000000000001</v>
      </c>
      <c r="I391" s="1561">
        <v>14.572500000000002</v>
      </c>
      <c r="J391" s="1561">
        <v>14.358000000000002</v>
      </c>
      <c r="K391" s="1561">
        <v>14.143500000000003</v>
      </c>
      <c r="L391" s="1561">
        <v>13.929000000000004</v>
      </c>
      <c r="M391" s="1561">
        <v>13.714500000000005</v>
      </c>
      <c r="N391" s="1562">
        <v>13.5</v>
      </c>
      <c r="O391" s="876"/>
      <c r="Q391" s="1068"/>
      <c r="R391" s="1068"/>
      <c r="S391" s="1068"/>
      <c r="T391" s="1068"/>
      <c r="U391" s="1068"/>
      <c r="V391" s="1068"/>
      <c r="W391" s="1068"/>
      <c r="X391" s="1068"/>
      <c r="Y391" s="1068"/>
      <c r="Z391" s="1068"/>
      <c r="AA391" s="1068"/>
      <c r="AB391" s="1068"/>
      <c r="AC391" s="1068"/>
      <c r="AD391" s="1068"/>
      <c r="AE391" s="1068"/>
      <c r="AF391" s="1068"/>
      <c r="AG391" s="1068"/>
      <c r="AH391" s="1068"/>
      <c r="AI391" s="1068"/>
      <c r="AJ391" s="1068"/>
      <c r="AK391" s="1068"/>
      <c r="AL391" s="1068"/>
    </row>
    <row r="392" spans="2:38" hidden="1">
      <c r="B392" s="350"/>
      <c r="C392" s="103" t="s">
        <v>1113</v>
      </c>
      <c r="D392" s="103" t="s">
        <v>1126</v>
      </c>
      <c r="E392" s="1586">
        <v>-0.226775</v>
      </c>
      <c r="F392" s="1503">
        <v>23.195999999999998</v>
      </c>
      <c r="G392" s="1563">
        <v>22.062124999999998</v>
      </c>
      <c r="H392" s="1563">
        <v>20.928249999999998</v>
      </c>
      <c r="I392" s="1563">
        <v>19.794374999999999</v>
      </c>
      <c r="J392" s="1563">
        <v>18.660499999999999</v>
      </c>
      <c r="K392" s="1563">
        <v>17.526624999999999</v>
      </c>
      <c r="L392" s="1563">
        <v>16.392749999999999</v>
      </c>
      <c r="M392" s="1563">
        <v>15.258875</v>
      </c>
      <c r="N392" s="1564">
        <v>14.124999999999998</v>
      </c>
      <c r="O392" s="876"/>
      <c r="Q392" s="1068"/>
      <c r="R392" s="1068"/>
      <c r="S392" s="1068"/>
      <c r="T392" s="1068"/>
      <c r="U392" s="1068"/>
      <c r="V392" s="1068"/>
      <c r="W392" s="1068"/>
      <c r="X392" s="1068"/>
      <c r="Y392" s="1068"/>
      <c r="Z392" s="1068"/>
      <c r="AA392" s="1068"/>
      <c r="AB392" s="1068"/>
      <c r="AC392" s="1068"/>
      <c r="AD392" s="1068"/>
      <c r="AE392" s="1068"/>
      <c r="AF392" s="1068"/>
      <c r="AG392" s="1068"/>
      <c r="AH392" s="1068"/>
      <c r="AI392" s="1068"/>
      <c r="AJ392" s="1068"/>
      <c r="AK392" s="1068"/>
      <c r="AL392" s="1068"/>
    </row>
    <row r="393" spans="2:38" hidden="1">
      <c r="B393" s="350"/>
      <c r="C393" s="103" t="s">
        <v>1113</v>
      </c>
      <c r="D393" s="103" t="s">
        <v>1127</v>
      </c>
      <c r="E393" s="1586">
        <v>-0.37162499999999998</v>
      </c>
      <c r="F393" s="1503">
        <v>28.99</v>
      </c>
      <c r="G393" s="1563">
        <v>27.131874999999997</v>
      </c>
      <c r="H393" s="1563">
        <v>25.273749999999996</v>
      </c>
      <c r="I393" s="1563">
        <v>23.415624999999995</v>
      </c>
      <c r="J393" s="1563">
        <v>21.557499999999994</v>
      </c>
      <c r="K393" s="1563">
        <v>19.699374999999993</v>
      </c>
      <c r="L393" s="1563">
        <v>17.841249999999992</v>
      </c>
      <c r="M393" s="1563">
        <v>15.983124999999992</v>
      </c>
      <c r="N393" s="1564">
        <v>14.124999999999998</v>
      </c>
      <c r="O393" s="876"/>
      <c r="Q393" s="1068"/>
      <c r="R393" s="1068"/>
      <c r="S393" s="1068"/>
      <c r="T393" s="1068"/>
      <c r="U393" s="1068"/>
      <c r="V393" s="1068"/>
      <c r="W393" s="1068"/>
      <c r="X393" s="1068"/>
      <c r="Y393" s="1068"/>
      <c r="Z393" s="1068"/>
      <c r="AA393" s="1068"/>
      <c r="AB393" s="1068"/>
      <c r="AC393" s="1068"/>
      <c r="AD393" s="1068"/>
      <c r="AE393" s="1068"/>
      <c r="AF393" s="1068"/>
      <c r="AG393" s="1068"/>
      <c r="AH393" s="1068"/>
      <c r="AI393" s="1068"/>
      <c r="AJ393" s="1068"/>
      <c r="AK393" s="1068"/>
      <c r="AL393" s="1068"/>
    </row>
    <row r="394" spans="2:38" hidden="1">
      <c r="B394" s="350"/>
      <c r="C394" s="194" t="s">
        <v>1113</v>
      </c>
      <c r="D394" s="194" t="s">
        <v>1128</v>
      </c>
      <c r="E394" s="970">
        <v>-1.4729377749999997</v>
      </c>
      <c r="F394" s="1510">
        <v>76.422999999999988</v>
      </c>
      <c r="G394" s="1565">
        <v>69.058311124999989</v>
      </c>
      <c r="H394" s="1565">
        <v>61.69362224999999</v>
      </c>
      <c r="I394" s="1565">
        <v>54.328933374999991</v>
      </c>
      <c r="J394" s="1565">
        <v>46.964244499999992</v>
      </c>
      <c r="K394" s="1565">
        <v>39.599555624999994</v>
      </c>
      <c r="L394" s="1565">
        <v>32.234866749999995</v>
      </c>
      <c r="M394" s="1565">
        <v>24.870177874999996</v>
      </c>
      <c r="N394" s="1566">
        <v>17.505489000000001</v>
      </c>
      <c r="O394" s="876"/>
      <c r="Q394" s="1068"/>
      <c r="R394" s="1068"/>
      <c r="S394" s="1068"/>
      <c r="T394" s="1068"/>
      <c r="U394" s="1068"/>
      <c r="V394" s="1068"/>
      <c r="W394" s="1068"/>
      <c r="X394" s="1068"/>
      <c r="Y394" s="1068"/>
      <c r="Z394" s="1068"/>
      <c r="AA394" s="1068"/>
      <c r="AB394" s="1068"/>
      <c r="AC394" s="1068"/>
      <c r="AD394" s="1068"/>
      <c r="AE394" s="1068"/>
      <c r="AF394" s="1068"/>
      <c r="AG394" s="1068"/>
      <c r="AH394" s="1068"/>
      <c r="AI394" s="1068"/>
      <c r="AJ394" s="1068"/>
      <c r="AK394" s="1068"/>
      <c r="AL394" s="1068"/>
    </row>
    <row r="395" spans="2:38" hidden="1">
      <c r="B395" s="350"/>
      <c r="C395" s="968" t="s">
        <v>1115</v>
      </c>
      <c r="D395" s="968" t="s">
        <v>1125</v>
      </c>
      <c r="E395" s="1585">
        <v>-2.892241223539</v>
      </c>
      <c r="F395" s="1560">
        <v>235.68964894155999</v>
      </c>
      <c r="G395" s="1561">
        <v>221.22844282386501</v>
      </c>
      <c r="H395" s="1561">
        <v>206.76723670617002</v>
      </c>
      <c r="I395" s="1561">
        <v>192.30603058847504</v>
      </c>
      <c r="J395" s="1561">
        <v>177.84482447078005</v>
      </c>
      <c r="K395" s="1561">
        <v>163.38361835308507</v>
      </c>
      <c r="L395" s="1561">
        <v>148.92241223539008</v>
      </c>
      <c r="M395" s="1561">
        <v>134.4612061176951</v>
      </c>
      <c r="N395" s="1562">
        <v>120</v>
      </c>
      <c r="O395" s="876"/>
      <c r="Q395" s="1068"/>
      <c r="R395" s="1068"/>
      <c r="S395" s="1068"/>
      <c r="T395" s="1068"/>
      <c r="U395" s="1068"/>
      <c r="V395" s="1068"/>
      <c r="W395" s="1068"/>
      <c r="X395" s="1068"/>
      <c r="Y395" s="1068"/>
      <c r="Z395" s="1068"/>
      <c r="AA395" s="1068"/>
      <c r="AB395" s="1068"/>
      <c r="AC395" s="1068"/>
      <c r="AD395" s="1068"/>
      <c r="AE395" s="1068"/>
      <c r="AF395" s="1068"/>
      <c r="AG395" s="1068"/>
      <c r="AH395" s="1068"/>
      <c r="AI395" s="1068"/>
      <c r="AJ395" s="1068"/>
      <c r="AK395" s="1068"/>
      <c r="AL395" s="1068"/>
    </row>
    <row r="396" spans="2:38" hidden="1">
      <c r="B396" s="350"/>
      <c r="C396" s="103" t="s">
        <v>1115</v>
      </c>
      <c r="D396" s="103" t="s">
        <v>1129</v>
      </c>
      <c r="E396" s="1586">
        <v>-3.5498365896021253</v>
      </c>
      <c r="F396" s="1503">
        <v>271.99346358408502</v>
      </c>
      <c r="G396" s="1563">
        <v>254.24428063607439</v>
      </c>
      <c r="H396" s="1563">
        <v>236.49509768806377</v>
      </c>
      <c r="I396" s="1563">
        <v>218.74591474005314</v>
      </c>
      <c r="J396" s="1563">
        <v>200.99673179204251</v>
      </c>
      <c r="K396" s="1563">
        <v>183.24754884403188</v>
      </c>
      <c r="L396" s="1563">
        <v>165.49836589602126</v>
      </c>
      <c r="M396" s="1563">
        <v>147.74918294801063</v>
      </c>
      <c r="N396" s="1564">
        <v>130</v>
      </c>
      <c r="O396" s="876"/>
      <c r="Q396" s="1068"/>
      <c r="R396" s="1068"/>
      <c r="S396" s="1068"/>
      <c r="T396" s="1068"/>
      <c r="U396" s="1068"/>
      <c r="V396" s="1068"/>
      <c r="W396" s="1068"/>
      <c r="X396" s="1068"/>
      <c r="Y396" s="1068"/>
      <c r="Z396" s="1068"/>
      <c r="AA396" s="1068"/>
      <c r="AB396" s="1068"/>
      <c r="AC396" s="1068"/>
      <c r="AD396" s="1068"/>
      <c r="AE396" s="1068"/>
      <c r="AF396" s="1068"/>
      <c r="AG396" s="1068"/>
      <c r="AH396" s="1068"/>
      <c r="AI396" s="1068"/>
      <c r="AJ396" s="1068"/>
      <c r="AK396" s="1068"/>
      <c r="AL396" s="1068"/>
    </row>
    <row r="397" spans="2:38" hidden="1">
      <c r="B397" s="350"/>
      <c r="C397" s="103" t="s">
        <v>1115</v>
      </c>
      <c r="D397" s="103" t="s">
        <v>1127</v>
      </c>
      <c r="E397" s="1586">
        <v>-5.9095421524517997</v>
      </c>
      <c r="F397" s="1503">
        <v>441.64725221829298</v>
      </c>
      <c r="G397" s="1563">
        <v>412.09954145603399</v>
      </c>
      <c r="H397" s="1563">
        <v>382.551830693775</v>
      </c>
      <c r="I397" s="1563">
        <v>353.00411993151602</v>
      </c>
      <c r="J397" s="1563">
        <v>323.45640916925703</v>
      </c>
      <c r="K397" s="1563">
        <v>293.90869840699804</v>
      </c>
      <c r="L397" s="1563">
        <v>264.36098764473905</v>
      </c>
      <c r="M397" s="1563">
        <v>234.81327688248007</v>
      </c>
      <c r="N397" s="1564">
        <v>205.265566120221</v>
      </c>
      <c r="O397" s="876"/>
      <c r="Q397" s="1068"/>
      <c r="R397" s="1068"/>
      <c r="S397" s="1068"/>
      <c r="T397" s="1068"/>
      <c r="U397" s="1068"/>
      <c r="V397" s="1068"/>
      <c r="W397" s="1068"/>
      <c r="X397" s="1068"/>
      <c r="Y397" s="1068"/>
      <c r="Z397" s="1068"/>
      <c r="AA397" s="1068"/>
      <c r="AB397" s="1068"/>
      <c r="AC397" s="1068"/>
      <c r="AD397" s="1068"/>
      <c r="AE397" s="1068"/>
      <c r="AF397" s="1068"/>
      <c r="AG397" s="1068"/>
      <c r="AH397" s="1068"/>
      <c r="AI397" s="1068"/>
      <c r="AJ397" s="1068"/>
      <c r="AK397" s="1068"/>
      <c r="AL397" s="1068"/>
    </row>
    <row r="398" spans="2:38" hidden="1">
      <c r="B398" s="350"/>
      <c r="C398" s="194" t="s">
        <v>1115</v>
      </c>
      <c r="D398" s="194" t="s">
        <v>1128</v>
      </c>
      <c r="E398" s="970">
        <v>-19.821637033435746</v>
      </c>
      <c r="F398" s="1510">
        <v>1052.8654813374299</v>
      </c>
      <c r="G398" s="1565">
        <v>953.75729617025115</v>
      </c>
      <c r="H398" s="1565">
        <v>854.64911100307245</v>
      </c>
      <c r="I398" s="1565">
        <v>755.54092583589374</v>
      </c>
      <c r="J398" s="1565">
        <v>656.43274066871504</v>
      </c>
      <c r="K398" s="1565">
        <v>557.32455550153634</v>
      </c>
      <c r="L398" s="1565">
        <v>458.21637033435763</v>
      </c>
      <c r="M398" s="1565">
        <v>359.10818516717893</v>
      </c>
      <c r="N398" s="1566">
        <v>260</v>
      </c>
      <c r="O398" s="876"/>
      <c r="Q398" s="1068"/>
      <c r="R398" s="1068"/>
      <c r="S398" s="1068"/>
      <c r="T398" s="1068"/>
      <c r="U398" s="1068"/>
      <c r="V398" s="1068"/>
      <c r="W398" s="1068"/>
      <c r="X398" s="1068"/>
      <c r="Y398" s="1068"/>
      <c r="Z398" s="1068"/>
      <c r="AA398" s="1068"/>
      <c r="AB398" s="1068"/>
      <c r="AC398" s="1068"/>
      <c r="AD398" s="1068"/>
      <c r="AE398" s="1068"/>
      <c r="AF398" s="1068"/>
      <c r="AG398" s="1068"/>
      <c r="AH398" s="1068"/>
      <c r="AI398" s="1068"/>
      <c r="AJ398" s="1068"/>
      <c r="AK398" s="1068"/>
      <c r="AL398" s="1068"/>
    </row>
    <row r="399" spans="2:38" hidden="1">
      <c r="B399" s="350"/>
      <c r="C399" s="968" t="s">
        <v>1117</v>
      </c>
      <c r="D399" s="968" t="s">
        <v>1130</v>
      </c>
      <c r="E399" s="1585">
        <v>-1.39609125</v>
      </c>
      <c r="F399" s="1560">
        <v>124.09699999999999</v>
      </c>
      <c r="G399" s="1561">
        <v>117.11654374999999</v>
      </c>
      <c r="H399" s="1561">
        <v>110.13608749999999</v>
      </c>
      <c r="I399" s="1561">
        <v>103.15563124999998</v>
      </c>
      <c r="J399" s="1561">
        <v>96.175174999999982</v>
      </c>
      <c r="K399" s="1561">
        <v>89.194718749999979</v>
      </c>
      <c r="L399" s="1561">
        <v>82.214262499999975</v>
      </c>
      <c r="M399" s="1561">
        <v>75.233806249999972</v>
      </c>
      <c r="N399" s="1562">
        <v>68.253349999999998</v>
      </c>
      <c r="O399" s="876"/>
      <c r="Q399" s="1068"/>
      <c r="R399" s="1068"/>
      <c r="S399" s="1068"/>
      <c r="T399" s="1068"/>
      <c r="U399" s="1068"/>
      <c r="V399" s="1068"/>
      <c r="W399" s="1068"/>
      <c r="X399" s="1068"/>
      <c r="Y399" s="1068"/>
      <c r="Z399" s="1068"/>
      <c r="AA399" s="1068"/>
      <c r="AB399" s="1068"/>
      <c r="AC399" s="1068"/>
      <c r="AD399" s="1068"/>
      <c r="AE399" s="1068"/>
      <c r="AF399" s="1068"/>
      <c r="AG399" s="1068"/>
      <c r="AH399" s="1068"/>
      <c r="AI399" s="1068"/>
      <c r="AJ399" s="1068"/>
      <c r="AK399" s="1068"/>
      <c r="AL399" s="1068"/>
    </row>
    <row r="400" spans="2:38" hidden="1">
      <c r="B400" s="350"/>
      <c r="C400" s="194" t="s">
        <v>1117</v>
      </c>
      <c r="D400" s="194" t="s">
        <v>1131</v>
      </c>
      <c r="E400" s="970">
        <v>-3.750705</v>
      </c>
      <c r="F400" s="1510">
        <v>333.39599999999996</v>
      </c>
      <c r="G400" s="1565">
        <v>314.64247499999993</v>
      </c>
      <c r="H400" s="1565">
        <v>295.88894999999991</v>
      </c>
      <c r="I400" s="1565">
        <v>277.13542499999988</v>
      </c>
      <c r="J400" s="1565">
        <v>258.38189999999986</v>
      </c>
      <c r="K400" s="1565">
        <v>239.62837499999986</v>
      </c>
      <c r="L400" s="1565">
        <v>220.87484999999987</v>
      </c>
      <c r="M400" s="1565">
        <v>202.12132499999987</v>
      </c>
      <c r="N400" s="1566">
        <v>183.36779999999996</v>
      </c>
      <c r="O400" s="876"/>
      <c r="Q400" s="1068"/>
      <c r="R400" s="1068"/>
      <c r="S400" s="1068"/>
      <c r="T400" s="1068"/>
      <c r="U400" s="1068"/>
      <c r="V400" s="1068"/>
      <c r="W400" s="1068"/>
      <c r="X400" s="1068"/>
      <c r="Y400" s="1068"/>
      <c r="Z400" s="1068"/>
      <c r="AA400" s="1068"/>
      <c r="AB400" s="1068"/>
      <c r="AC400" s="1068"/>
      <c r="AD400" s="1068"/>
      <c r="AE400" s="1068"/>
      <c r="AF400" s="1068"/>
      <c r="AG400" s="1068"/>
      <c r="AH400" s="1068"/>
      <c r="AI400" s="1068"/>
      <c r="AJ400" s="1068"/>
      <c r="AK400" s="1068"/>
      <c r="AL400" s="1068"/>
    </row>
    <row r="401" spans="2:38" hidden="1">
      <c r="B401" s="350"/>
      <c r="C401" s="194" t="s">
        <v>1119</v>
      </c>
      <c r="D401" s="1191" t="s">
        <v>1119</v>
      </c>
      <c r="E401" s="1587">
        <v>-828.44009364314502</v>
      </c>
      <c r="F401" s="1567">
        <v>57337.603745725799</v>
      </c>
      <c r="G401" s="1565">
        <v>53195.403277510071</v>
      </c>
      <c r="H401" s="1565">
        <v>49053.202809294344</v>
      </c>
      <c r="I401" s="1565">
        <v>44911.002341078616</v>
      </c>
      <c r="J401" s="1565">
        <v>40768.801872862889</v>
      </c>
      <c r="K401" s="1565">
        <v>36626.601404647161</v>
      </c>
      <c r="L401" s="1565">
        <v>32484.400936431437</v>
      </c>
      <c r="M401" s="1565">
        <v>28342.200468215713</v>
      </c>
      <c r="N401" s="1566">
        <v>24200</v>
      </c>
      <c r="O401" s="876"/>
      <c r="Q401" s="1068"/>
      <c r="R401" s="1068"/>
      <c r="S401" s="1068"/>
      <c r="T401" s="1068"/>
      <c r="U401" s="1068"/>
      <c r="V401" s="1068"/>
      <c r="W401" s="1068"/>
      <c r="X401" s="1068"/>
      <c r="Y401" s="1068"/>
      <c r="Z401" s="1068"/>
      <c r="AA401" s="1068"/>
      <c r="AB401" s="1068"/>
      <c r="AC401" s="1068"/>
      <c r="AD401" s="1068"/>
      <c r="AE401" s="1068"/>
      <c r="AF401" s="1068"/>
      <c r="AG401" s="1068"/>
      <c r="AH401" s="1068"/>
      <c r="AI401" s="1068"/>
      <c r="AJ401" s="1068"/>
      <c r="AK401" s="1068"/>
      <c r="AL401" s="1068"/>
    </row>
    <row r="402" spans="2:38" hidden="1">
      <c r="B402" s="350"/>
      <c r="C402" s="1553"/>
      <c r="D402" s="350"/>
      <c r="E402" s="350"/>
      <c r="F402" s="350"/>
      <c r="G402" s="350"/>
      <c r="H402" s="350"/>
      <c r="I402" s="350"/>
      <c r="J402" s="350"/>
      <c r="K402" s="350"/>
      <c r="L402" s="350"/>
      <c r="M402" s="350"/>
      <c r="N402" s="350"/>
      <c r="O402" s="876"/>
      <c r="Q402" s="1068"/>
      <c r="R402" s="1068"/>
      <c r="S402" s="1068"/>
      <c r="T402" s="1068"/>
      <c r="U402" s="1068"/>
      <c r="V402" s="1068"/>
      <c r="W402" s="1068"/>
      <c r="X402" s="1068"/>
      <c r="Y402" s="1068"/>
      <c r="Z402" s="1068"/>
      <c r="AA402" s="1068"/>
      <c r="AB402" s="1068"/>
      <c r="AC402" s="1068"/>
      <c r="AD402" s="1068"/>
      <c r="AE402" s="1068"/>
      <c r="AF402" s="1068"/>
      <c r="AG402" s="1068"/>
      <c r="AH402" s="1068"/>
      <c r="AI402" s="1068"/>
      <c r="AJ402" s="1068"/>
      <c r="AK402" s="1068"/>
      <c r="AL402" s="1068"/>
    </row>
    <row r="403" spans="2:38" hidden="1">
      <c r="B403" s="47"/>
      <c r="C403" s="1588" t="s">
        <v>172</v>
      </c>
      <c r="D403" s="350"/>
      <c r="E403" s="350"/>
      <c r="F403" s="1582"/>
      <c r="G403" s="1582"/>
      <c r="H403" s="1582"/>
      <c r="I403" s="350"/>
      <c r="J403" s="1583"/>
      <c r="K403" s="350"/>
      <c r="L403" s="1583"/>
      <c r="M403" s="350"/>
      <c r="N403" s="1553" t="s">
        <v>2765</v>
      </c>
      <c r="O403" s="876"/>
      <c r="Q403" s="1068"/>
      <c r="R403" s="1068"/>
      <c r="S403" s="1068"/>
      <c r="T403" s="1068"/>
      <c r="U403" s="1068"/>
      <c r="V403" s="1068"/>
      <c r="W403" s="1068"/>
      <c r="X403" s="1068"/>
      <c r="Y403" s="1068"/>
      <c r="Z403" s="1068"/>
      <c r="AA403" s="1068"/>
      <c r="AB403" s="1068"/>
      <c r="AC403" s="1068"/>
      <c r="AD403" s="1068"/>
      <c r="AE403" s="1068"/>
      <c r="AF403" s="1068"/>
      <c r="AG403" s="1068"/>
      <c r="AH403" s="1068"/>
      <c r="AI403" s="1068"/>
      <c r="AJ403" s="1068"/>
      <c r="AK403" s="1068"/>
      <c r="AL403" s="1068"/>
    </row>
    <row r="404" spans="2:38" hidden="1">
      <c r="B404" s="47"/>
      <c r="C404" s="1570" t="s">
        <v>1157</v>
      </c>
      <c r="D404" s="973"/>
      <c r="E404" s="1571" t="s">
        <v>159</v>
      </c>
      <c r="F404" s="1572">
        <v>2013</v>
      </c>
      <c r="G404" s="1572">
        <v>2015</v>
      </c>
      <c r="H404" s="1572">
        <v>2020</v>
      </c>
      <c r="I404" s="1572">
        <v>2025</v>
      </c>
      <c r="J404" s="1572">
        <v>2030</v>
      </c>
      <c r="K404" s="1572">
        <v>2035</v>
      </c>
      <c r="L404" s="1572">
        <v>2040</v>
      </c>
      <c r="M404" s="1572">
        <v>2045</v>
      </c>
      <c r="N404" s="1572">
        <v>2050</v>
      </c>
      <c r="O404" s="876"/>
      <c r="Q404" s="1068"/>
      <c r="R404" s="1068"/>
      <c r="S404" s="1068"/>
      <c r="T404" s="1068"/>
      <c r="U404" s="1068"/>
      <c r="V404" s="1068"/>
      <c r="W404" s="1068"/>
      <c r="X404" s="1068"/>
      <c r="Y404" s="1068"/>
      <c r="Z404" s="1068"/>
      <c r="AA404" s="1068"/>
      <c r="AB404" s="1068"/>
      <c r="AC404" s="1068"/>
      <c r="AD404" s="1068"/>
      <c r="AE404" s="1068"/>
      <c r="AF404" s="1068"/>
      <c r="AG404" s="1068"/>
      <c r="AH404" s="1068"/>
      <c r="AI404" s="1068"/>
      <c r="AJ404" s="1068"/>
      <c r="AK404" s="1068"/>
      <c r="AL404" s="1068"/>
    </row>
    <row r="405" spans="2:38" hidden="1">
      <c r="B405" s="47"/>
      <c r="C405" s="1191" t="s">
        <v>1111</v>
      </c>
      <c r="D405" s="1191" t="s">
        <v>1111</v>
      </c>
      <c r="E405" s="1094">
        <v>0</v>
      </c>
      <c r="F405" s="1558">
        <v>4.9999999999999996E-2</v>
      </c>
      <c r="G405" s="1558">
        <v>4.9999999999999996E-2</v>
      </c>
      <c r="H405" s="1558">
        <v>4.9999999999999996E-2</v>
      </c>
      <c r="I405" s="1558">
        <v>4.9999999999999996E-2</v>
      </c>
      <c r="J405" s="1558">
        <v>4.9999999999999996E-2</v>
      </c>
      <c r="K405" s="1558">
        <v>4.9999999999999996E-2</v>
      </c>
      <c r="L405" s="1558">
        <v>4.9999999999999996E-2</v>
      </c>
      <c r="M405" s="1558">
        <v>4.9999999999999996E-2</v>
      </c>
      <c r="N405" s="1559">
        <v>4.9999999999999996E-2</v>
      </c>
      <c r="O405" s="876"/>
      <c r="Q405" s="1068"/>
      <c r="R405" s="1068"/>
      <c r="S405" s="1068"/>
      <c r="T405" s="1068"/>
      <c r="U405" s="1068"/>
      <c r="V405" s="1068"/>
      <c r="W405" s="1068"/>
      <c r="X405" s="1068"/>
      <c r="Y405" s="1068"/>
      <c r="Z405" s="1068"/>
      <c r="AA405" s="1068"/>
      <c r="AB405" s="1068"/>
      <c r="AC405" s="1068"/>
      <c r="AD405" s="1068"/>
      <c r="AE405" s="1068"/>
      <c r="AF405" s="1068"/>
      <c r="AG405" s="1068"/>
      <c r="AH405" s="1068"/>
      <c r="AI405" s="1068"/>
      <c r="AJ405" s="1068"/>
      <c r="AK405" s="1068"/>
      <c r="AL405" s="1068"/>
    </row>
    <row r="406" spans="2:38" hidden="1">
      <c r="B406" s="47"/>
      <c r="C406" s="968" t="s">
        <v>1113</v>
      </c>
      <c r="D406" s="968" t="s">
        <v>1125</v>
      </c>
      <c r="E406" s="1574">
        <v>-3.6277179824961701E-6</v>
      </c>
      <c r="F406" s="1560">
        <v>1.5453921087192999</v>
      </c>
      <c r="G406" s="1561">
        <v>1.5453739701293874</v>
      </c>
      <c r="H406" s="1561">
        <v>1.5453558315394749</v>
      </c>
      <c r="I406" s="1561">
        <v>1.5453376929495624</v>
      </c>
      <c r="J406" s="1561">
        <v>1.5453195543596498</v>
      </c>
      <c r="K406" s="1561">
        <v>1.5453014157697373</v>
      </c>
      <c r="L406" s="1561">
        <v>1.5452832771798248</v>
      </c>
      <c r="M406" s="1561">
        <v>1.5452651385899123</v>
      </c>
      <c r="N406" s="1562">
        <v>1.545247</v>
      </c>
      <c r="O406" s="876"/>
      <c r="Q406" s="1068"/>
      <c r="R406" s="1068"/>
      <c r="S406" s="1068"/>
      <c r="T406" s="1068"/>
      <c r="U406" s="1068"/>
      <c r="V406" s="1068"/>
      <c r="W406" s="1068"/>
      <c r="X406" s="1068"/>
      <c r="Y406" s="1068"/>
      <c r="Z406" s="1068"/>
      <c r="AA406" s="1068"/>
      <c r="AB406" s="1068"/>
      <c r="AC406" s="1068"/>
      <c r="AD406" s="1068"/>
      <c r="AE406" s="1068"/>
      <c r="AF406" s="1068"/>
      <c r="AG406" s="1068"/>
      <c r="AH406" s="1068"/>
      <c r="AI406" s="1068"/>
      <c r="AJ406" s="1068"/>
      <c r="AK406" s="1068"/>
      <c r="AL406" s="1068"/>
    </row>
    <row r="407" spans="2:38" hidden="1">
      <c r="B407" s="47"/>
      <c r="C407" s="103" t="s">
        <v>1113</v>
      </c>
      <c r="D407" s="103" t="s">
        <v>1126</v>
      </c>
      <c r="E407" s="67">
        <v>0</v>
      </c>
      <c r="F407" s="1503">
        <v>2.8306108680447601</v>
      </c>
      <c r="G407" s="1563">
        <v>2.8306108680447601</v>
      </c>
      <c r="H407" s="1563">
        <v>2.8306108680447601</v>
      </c>
      <c r="I407" s="1563">
        <v>2.8306108680447601</v>
      </c>
      <c r="J407" s="1563">
        <v>2.8306108680447601</v>
      </c>
      <c r="K407" s="1563">
        <v>2.8306108680447601</v>
      </c>
      <c r="L407" s="1563">
        <v>2.8306108680447601</v>
      </c>
      <c r="M407" s="1563">
        <v>2.8306108680447601</v>
      </c>
      <c r="N407" s="1564">
        <v>2.8306108680447601</v>
      </c>
      <c r="O407" s="876"/>
    </row>
    <row r="408" spans="2:38" hidden="1">
      <c r="B408" s="47"/>
      <c r="C408" s="103" t="s">
        <v>1113</v>
      </c>
      <c r="D408" s="103" t="s">
        <v>1127</v>
      </c>
      <c r="E408" s="67">
        <v>0</v>
      </c>
      <c r="F408" s="1503">
        <v>2.0915374494870997</v>
      </c>
      <c r="G408" s="1563">
        <v>2.0915374494870997</v>
      </c>
      <c r="H408" s="1563">
        <v>2.0915374494870997</v>
      </c>
      <c r="I408" s="1563">
        <v>2.0915374494870997</v>
      </c>
      <c r="J408" s="1563">
        <v>2.0915374494870997</v>
      </c>
      <c r="K408" s="1563">
        <v>2.0915374494870997</v>
      </c>
      <c r="L408" s="1563">
        <v>2.0915374494870997</v>
      </c>
      <c r="M408" s="1563">
        <v>2.0915374494870997</v>
      </c>
      <c r="N408" s="1564">
        <v>2.0915374494870997</v>
      </c>
      <c r="O408" s="876"/>
    </row>
    <row r="409" spans="2:38" hidden="1">
      <c r="B409" s="47"/>
      <c r="C409" s="194" t="s">
        <v>1113</v>
      </c>
      <c r="D409" s="194" t="s">
        <v>1128</v>
      </c>
      <c r="E409" s="969">
        <v>0</v>
      </c>
      <c r="F409" s="1510">
        <v>20.546428594187098</v>
      </c>
      <c r="G409" s="1565">
        <v>20.546428594187098</v>
      </c>
      <c r="H409" s="1565">
        <v>20.546428594187098</v>
      </c>
      <c r="I409" s="1565">
        <v>20.546428594187098</v>
      </c>
      <c r="J409" s="1565">
        <v>20.546428594187098</v>
      </c>
      <c r="K409" s="1565">
        <v>20.546428594187098</v>
      </c>
      <c r="L409" s="1565">
        <v>20.546428594187098</v>
      </c>
      <c r="M409" s="1565">
        <v>20.546428594187098</v>
      </c>
      <c r="N409" s="1566">
        <v>20.546428594187098</v>
      </c>
      <c r="O409" s="876"/>
    </row>
    <row r="410" spans="2:38" hidden="1">
      <c r="B410" s="47"/>
      <c r="C410" s="968" t="s">
        <v>1115</v>
      </c>
      <c r="D410" s="968" t="s">
        <v>1125</v>
      </c>
      <c r="E410" s="964">
        <v>0</v>
      </c>
      <c r="F410" s="1560">
        <v>24.970654907911097</v>
      </c>
      <c r="G410" s="1561">
        <v>24.970654907911097</v>
      </c>
      <c r="H410" s="1561">
        <v>24.970654907911097</v>
      </c>
      <c r="I410" s="1561">
        <v>24.970654907911097</v>
      </c>
      <c r="J410" s="1561">
        <v>24.970654907911097</v>
      </c>
      <c r="K410" s="1561">
        <v>24.970654907911097</v>
      </c>
      <c r="L410" s="1561">
        <v>24.970654907911097</v>
      </c>
      <c r="M410" s="1561">
        <v>24.970654907911097</v>
      </c>
      <c r="N410" s="1562">
        <v>24.970654907911097</v>
      </c>
      <c r="O410" s="876"/>
    </row>
    <row r="411" spans="2:38" hidden="1">
      <c r="B411" s="47"/>
      <c r="C411" s="103" t="s">
        <v>1115</v>
      </c>
      <c r="D411" s="103" t="s">
        <v>1129</v>
      </c>
      <c r="E411" s="67">
        <v>0</v>
      </c>
      <c r="F411" s="1503">
        <v>25.064279979017698</v>
      </c>
      <c r="G411" s="1563">
        <v>25.064279979017698</v>
      </c>
      <c r="H411" s="1563">
        <v>25.064279979017698</v>
      </c>
      <c r="I411" s="1563">
        <v>25.064279979017698</v>
      </c>
      <c r="J411" s="1563">
        <v>25.064279979017698</v>
      </c>
      <c r="K411" s="1563">
        <v>25.064279979017698</v>
      </c>
      <c r="L411" s="1563">
        <v>25.064279979017698</v>
      </c>
      <c r="M411" s="1563">
        <v>25.064279979017698</v>
      </c>
      <c r="N411" s="1564">
        <v>25.064279979017698</v>
      </c>
      <c r="O411" s="876"/>
    </row>
    <row r="412" spans="2:38" hidden="1">
      <c r="B412" s="47"/>
      <c r="C412" s="103" t="s">
        <v>1115</v>
      </c>
      <c r="D412" s="103" t="s">
        <v>1127</v>
      </c>
      <c r="E412" s="67">
        <v>0</v>
      </c>
      <c r="F412" s="1503">
        <v>37.932736168402201</v>
      </c>
      <c r="G412" s="1563">
        <v>37.932736168402201</v>
      </c>
      <c r="H412" s="1563">
        <v>37.932736168402201</v>
      </c>
      <c r="I412" s="1563">
        <v>37.932736168402201</v>
      </c>
      <c r="J412" s="1563">
        <v>37.932736168402201</v>
      </c>
      <c r="K412" s="1563">
        <v>37.932736168402201</v>
      </c>
      <c r="L412" s="1563">
        <v>37.932736168402201</v>
      </c>
      <c r="M412" s="1563">
        <v>37.932736168402201</v>
      </c>
      <c r="N412" s="1564">
        <v>37.932736168402201</v>
      </c>
      <c r="O412" s="876"/>
    </row>
    <row r="413" spans="2:38" hidden="1">
      <c r="B413" s="47"/>
      <c r="C413" s="194" t="s">
        <v>1115</v>
      </c>
      <c r="D413" s="194" t="s">
        <v>1128</v>
      </c>
      <c r="E413" s="969">
        <v>0</v>
      </c>
      <c r="F413" s="1510">
        <v>93.722259476997209</v>
      </c>
      <c r="G413" s="1565">
        <v>93.722259476997209</v>
      </c>
      <c r="H413" s="1565">
        <v>93.722259476997209</v>
      </c>
      <c r="I413" s="1565">
        <v>93.722259476997209</v>
      </c>
      <c r="J413" s="1565">
        <v>93.722259476997209</v>
      </c>
      <c r="K413" s="1565">
        <v>93.722259476997209</v>
      </c>
      <c r="L413" s="1565">
        <v>93.722259476997209</v>
      </c>
      <c r="M413" s="1565">
        <v>93.722259476997209</v>
      </c>
      <c r="N413" s="1566">
        <v>93.722259476997209</v>
      </c>
      <c r="O413" s="876"/>
    </row>
    <row r="414" spans="2:38" hidden="1">
      <c r="B414" s="47"/>
      <c r="C414" s="968" t="s">
        <v>1117</v>
      </c>
      <c r="D414" s="968" t="s">
        <v>1130</v>
      </c>
      <c r="E414" s="964">
        <v>0</v>
      </c>
      <c r="F414" s="1560">
        <v>730.58999999999992</v>
      </c>
      <c r="G414" s="1561">
        <v>730.58999999999992</v>
      </c>
      <c r="H414" s="1561">
        <v>730.58999999999992</v>
      </c>
      <c r="I414" s="1561">
        <v>730.58999999999992</v>
      </c>
      <c r="J414" s="1561">
        <v>730.58999999999992</v>
      </c>
      <c r="K414" s="1561">
        <v>730.58999999999992</v>
      </c>
      <c r="L414" s="1561">
        <v>730.58999999999992</v>
      </c>
      <c r="M414" s="1561">
        <v>730.58999999999992</v>
      </c>
      <c r="N414" s="1562">
        <v>730.58999999999992</v>
      </c>
      <c r="O414" s="876"/>
    </row>
    <row r="415" spans="2:38" hidden="1">
      <c r="B415" s="47"/>
      <c r="C415" s="103" t="s">
        <v>1117</v>
      </c>
      <c r="D415" s="103" t="s">
        <v>1131</v>
      </c>
      <c r="E415" s="67">
        <v>0</v>
      </c>
      <c r="F415" s="1503">
        <v>730.58999999999992</v>
      </c>
      <c r="G415" s="1563">
        <v>730.58999999999992</v>
      </c>
      <c r="H415" s="1563">
        <v>730.58999999999992</v>
      </c>
      <c r="I415" s="1563">
        <v>730.58999999999992</v>
      </c>
      <c r="J415" s="1563">
        <v>730.58999999999992</v>
      </c>
      <c r="K415" s="1563">
        <v>730.58999999999992</v>
      </c>
      <c r="L415" s="1563">
        <v>730.58999999999992</v>
      </c>
      <c r="M415" s="1563">
        <v>730.58999999999992</v>
      </c>
      <c r="N415" s="1564">
        <v>730.58999999999992</v>
      </c>
      <c r="O415" s="876"/>
    </row>
    <row r="416" spans="2:38" hidden="1">
      <c r="B416" s="47"/>
      <c r="C416" s="1191" t="s">
        <v>1119</v>
      </c>
      <c r="D416" s="1191" t="s">
        <v>1119</v>
      </c>
      <c r="E416" s="1094">
        <v>0</v>
      </c>
      <c r="F416" s="1567">
        <v>1504.9580354367397</v>
      </c>
      <c r="G416" s="1558">
        <v>1504.9580354367397</v>
      </c>
      <c r="H416" s="1558">
        <v>1504.9580354367397</v>
      </c>
      <c r="I416" s="1558">
        <v>1504.9580354367397</v>
      </c>
      <c r="J416" s="1558">
        <v>1504.9580354367397</v>
      </c>
      <c r="K416" s="1558">
        <v>1504.9580354367397</v>
      </c>
      <c r="L416" s="1558">
        <v>1504.9580354367397</v>
      </c>
      <c r="M416" s="1558">
        <v>1504.9580354367397</v>
      </c>
      <c r="N416" s="1558">
        <v>1504.9580354367397</v>
      </c>
      <c r="O416" s="876"/>
    </row>
    <row r="417" spans="2:76" hidden="1">
      <c r="B417" s="47"/>
      <c r="C417" s="350"/>
      <c r="D417" s="350"/>
      <c r="E417" s="350"/>
      <c r="F417" s="1553"/>
      <c r="G417" s="350"/>
      <c r="H417" s="1553"/>
      <c r="I417" s="350"/>
      <c r="J417" s="350"/>
      <c r="K417" s="350"/>
      <c r="L417" s="350"/>
      <c r="M417" s="350"/>
      <c r="N417" s="1589"/>
      <c r="O417" s="876"/>
    </row>
    <row r="418" spans="2:76" hidden="1">
      <c r="B418" s="350"/>
      <c r="C418" s="350"/>
      <c r="D418" s="350"/>
      <c r="E418" s="350"/>
      <c r="F418" s="1582"/>
      <c r="G418" s="1582"/>
      <c r="H418" s="1582"/>
      <c r="I418" s="350"/>
      <c r="J418" s="1583"/>
      <c r="K418" s="350"/>
      <c r="L418" s="1583"/>
      <c r="M418" s="350"/>
      <c r="N418" s="1590" t="s">
        <v>2765</v>
      </c>
      <c r="O418" s="876"/>
    </row>
    <row r="419" spans="2:76" hidden="1">
      <c r="B419" s="350"/>
      <c r="C419" s="1570" t="s">
        <v>1158</v>
      </c>
      <c r="D419" s="973"/>
      <c r="E419" s="1571" t="s">
        <v>159</v>
      </c>
      <c r="F419" s="1572">
        <v>2013</v>
      </c>
      <c r="G419" s="1572">
        <v>2015</v>
      </c>
      <c r="H419" s="1572">
        <v>2020</v>
      </c>
      <c r="I419" s="1572">
        <v>2025</v>
      </c>
      <c r="J419" s="1572">
        <v>2030</v>
      </c>
      <c r="K419" s="1572">
        <v>2035</v>
      </c>
      <c r="L419" s="1572">
        <v>2040</v>
      </c>
      <c r="M419" s="1572">
        <v>2045</v>
      </c>
      <c r="N419" s="1591">
        <v>2050</v>
      </c>
      <c r="O419" s="876"/>
    </row>
    <row r="420" spans="2:76" hidden="1">
      <c r="B420" s="350"/>
      <c r="C420" s="1191" t="s">
        <v>1111</v>
      </c>
      <c r="D420" s="1191" t="s">
        <v>1111</v>
      </c>
      <c r="E420" s="1592">
        <v>0</v>
      </c>
      <c r="F420" s="1558">
        <v>4.9999999999999996E-2</v>
      </c>
      <c r="G420" s="1558">
        <v>4.9999999999999996E-2</v>
      </c>
      <c r="H420" s="1558">
        <v>4.9999999999999996E-2</v>
      </c>
      <c r="I420" s="1558">
        <v>4.9999999999999996E-2</v>
      </c>
      <c r="J420" s="1558">
        <v>4.9999999999999996E-2</v>
      </c>
      <c r="K420" s="1558">
        <v>4.9999999999999996E-2</v>
      </c>
      <c r="L420" s="1558">
        <v>4.9999999999999996E-2</v>
      </c>
      <c r="M420" s="1558">
        <v>4.9999999999999996E-2</v>
      </c>
      <c r="N420" s="1559">
        <v>4.9999999999999996E-2</v>
      </c>
      <c r="O420" s="876"/>
    </row>
    <row r="421" spans="2:76" hidden="1">
      <c r="B421" s="350"/>
      <c r="C421" s="968" t="s">
        <v>1113</v>
      </c>
      <c r="D421" s="968" t="s">
        <v>1125</v>
      </c>
      <c r="E421" s="1593">
        <v>-2.4999999999999469E-4</v>
      </c>
      <c r="F421" s="1560">
        <v>1.5453921087192999</v>
      </c>
      <c r="G421" s="1561">
        <v>1.5441421087192999</v>
      </c>
      <c r="H421" s="1561">
        <v>1.5428921087192999</v>
      </c>
      <c r="I421" s="1561">
        <v>1.5416421087193</v>
      </c>
      <c r="J421" s="1561">
        <v>1.5403921087193</v>
      </c>
      <c r="K421" s="1561">
        <v>1.5391421087193</v>
      </c>
      <c r="L421" s="1561">
        <v>1.5378921087193</v>
      </c>
      <c r="M421" s="1561">
        <v>1.5366421087193001</v>
      </c>
      <c r="N421" s="1562">
        <v>1.5353921087193001</v>
      </c>
      <c r="O421" s="876"/>
    </row>
    <row r="422" spans="2:76" hidden="1">
      <c r="B422" s="350"/>
      <c r="C422" s="103" t="s">
        <v>1113</v>
      </c>
      <c r="D422" s="103" t="s">
        <v>1126</v>
      </c>
      <c r="E422" s="1594">
        <v>-3.4497521701119006E-2</v>
      </c>
      <c r="F422" s="1503">
        <v>2.8306</v>
      </c>
      <c r="G422" s="1563">
        <v>2.6581232595391651</v>
      </c>
      <c r="H422" s="1563">
        <v>2.48563565103357</v>
      </c>
      <c r="I422" s="1563">
        <v>2.3131480425279749</v>
      </c>
      <c r="J422" s="1563">
        <v>2.1406604340223798</v>
      </c>
      <c r="K422" s="1563">
        <v>1.9681728255167847</v>
      </c>
      <c r="L422" s="1563">
        <v>1.7956852170111897</v>
      </c>
      <c r="M422" s="1563">
        <v>1.6231976085055946</v>
      </c>
      <c r="N422" s="1564">
        <v>1.4507099999999999</v>
      </c>
      <c r="O422" s="876"/>
    </row>
    <row r="423" spans="2:76" hidden="1">
      <c r="B423" s="350"/>
      <c r="C423" s="103" t="s">
        <v>1113</v>
      </c>
      <c r="D423" s="103" t="s">
        <v>1127</v>
      </c>
      <c r="E423" s="1594">
        <v>-2.3675486237177495E-2</v>
      </c>
      <c r="F423" s="1503">
        <v>2.0915374494870997</v>
      </c>
      <c r="G423" s="1563">
        <v>1.9731600183012123</v>
      </c>
      <c r="H423" s="1563">
        <v>1.854782587115325</v>
      </c>
      <c r="I423" s="1563">
        <v>1.7364051559294376</v>
      </c>
      <c r="J423" s="1563">
        <v>1.6180277247435502</v>
      </c>
      <c r="K423" s="1563">
        <v>1.4996502935576628</v>
      </c>
      <c r="L423" s="1563">
        <v>1.3812728623717754</v>
      </c>
      <c r="M423" s="1563">
        <v>1.262895431185888</v>
      </c>
      <c r="N423" s="1564">
        <v>1.1445179999999999</v>
      </c>
      <c r="O423" s="876"/>
    </row>
    <row r="424" spans="2:76" hidden="1">
      <c r="B424" s="350"/>
      <c r="C424" s="194" t="s">
        <v>1113</v>
      </c>
      <c r="D424" s="194" t="s">
        <v>1128</v>
      </c>
      <c r="E424" s="1595">
        <v>-0.47672721485467751</v>
      </c>
      <c r="F424" s="1510">
        <v>20.546428594187098</v>
      </c>
      <c r="G424" s="1565">
        <v>18.162792519913712</v>
      </c>
      <c r="H424" s="1565">
        <v>15.779156445640325</v>
      </c>
      <c r="I424" s="1565">
        <v>13.395520371366938</v>
      </c>
      <c r="J424" s="1565">
        <v>11.011884297093552</v>
      </c>
      <c r="K424" s="1565">
        <v>8.6282482228201651</v>
      </c>
      <c r="L424" s="1565">
        <v>6.2446121485467776</v>
      </c>
      <c r="M424" s="1565">
        <v>3.8609760742733901</v>
      </c>
      <c r="N424" s="1566">
        <v>1.4773399999999999</v>
      </c>
      <c r="O424" s="876"/>
    </row>
    <row r="425" spans="2:76" hidden="1">
      <c r="B425" s="350"/>
      <c r="C425" s="968" t="s">
        <v>1115</v>
      </c>
      <c r="D425" s="968" t="s">
        <v>1125</v>
      </c>
      <c r="E425" s="1593">
        <v>-5.1211226977774691E-3</v>
      </c>
      <c r="F425" s="1560">
        <v>24.970654907911097</v>
      </c>
      <c r="G425" s="1561">
        <v>24.945049294422208</v>
      </c>
      <c r="H425" s="1561">
        <v>24.91944368093332</v>
      </c>
      <c r="I425" s="1561">
        <v>24.893838067444431</v>
      </c>
      <c r="J425" s="1561">
        <v>24.868232453955542</v>
      </c>
      <c r="K425" s="1561">
        <v>24.842626840466654</v>
      </c>
      <c r="L425" s="1561">
        <v>24.817021226977765</v>
      </c>
      <c r="M425" s="1561">
        <v>24.791415613488876</v>
      </c>
      <c r="N425" s="1562">
        <v>24.765809999999998</v>
      </c>
      <c r="O425" s="876"/>
    </row>
    <row r="426" spans="2:76" hidden="1">
      <c r="B426" s="350"/>
      <c r="C426" s="103" t="s">
        <v>1115</v>
      </c>
      <c r="D426" s="103" t="s">
        <v>1129</v>
      </c>
      <c r="E426" s="1594">
        <v>-7.461749475442492E-3</v>
      </c>
      <c r="F426" s="1503">
        <v>25.064279979017698</v>
      </c>
      <c r="G426" s="1563">
        <v>25.026971231640484</v>
      </c>
      <c r="H426" s="1563">
        <v>24.98966248426327</v>
      </c>
      <c r="I426" s="1563">
        <v>24.952353736886057</v>
      </c>
      <c r="J426" s="1563">
        <v>24.915044989508843</v>
      </c>
      <c r="K426" s="1563">
        <v>24.877736242131629</v>
      </c>
      <c r="L426" s="1563">
        <v>24.840427494754415</v>
      </c>
      <c r="M426" s="1563">
        <v>24.803118747377201</v>
      </c>
      <c r="N426" s="1564">
        <v>24.765809999999998</v>
      </c>
      <c r="O426" s="876"/>
    </row>
    <row r="427" spans="2:76" hidden="1">
      <c r="B427" s="350"/>
      <c r="C427" s="103" t="s">
        <v>1115</v>
      </c>
      <c r="D427" s="103" t="s">
        <v>1127</v>
      </c>
      <c r="E427" s="1594">
        <v>-0.45088882921005508</v>
      </c>
      <c r="F427" s="1503">
        <v>37.932736168402201</v>
      </c>
      <c r="G427" s="1563">
        <v>35.678292022351926</v>
      </c>
      <c r="H427" s="1563">
        <v>33.42384787630165</v>
      </c>
      <c r="I427" s="1563">
        <v>31.169403730251375</v>
      </c>
      <c r="J427" s="1563">
        <v>28.9149595842011</v>
      </c>
      <c r="K427" s="1563">
        <v>26.660515438150824</v>
      </c>
      <c r="L427" s="1563">
        <v>24.406071292100549</v>
      </c>
      <c r="M427" s="1563">
        <v>22.151627146050274</v>
      </c>
      <c r="N427" s="1564">
        <v>19.897182999999998</v>
      </c>
      <c r="O427" s="876"/>
    </row>
    <row r="428" spans="2:76" hidden="1">
      <c r="B428" s="350"/>
      <c r="C428" s="194" t="s">
        <v>1115</v>
      </c>
      <c r="D428" s="194" t="s">
        <v>1128</v>
      </c>
      <c r="E428" s="1595">
        <v>-1.8391993869249306</v>
      </c>
      <c r="F428" s="1503">
        <v>93.722259476997209</v>
      </c>
      <c r="G428" s="1563">
        <v>84.526262542372564</v>
      </c>
      <c r="H428" s="1563">
        <v>75.330265607747918</v>
      </c>
      <c r="I428" s="1563">
        <v>66.134268673123273</v>
      </c>
      <c r="J428" s="1563">
        <v>56.938271738498621</v>
      </c>
      <c r="K428" s="1563">
        <v>47.742274803873968</v>
      </c>
      <c r="L428" s="1563">
        <v>38.546277869249316</v>
      </c>
      <c r="M428" s="1563">
        <v>29.350280934624664</v>
      </c>
      <c r="N428" s="1564">
        <v>20.154283999999997</v>
      </c>
      <c r="O428" s="876"/>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row>
    <row r="429" spans="2:76" hidden="1">
      <c r="B429" s="350"/>
      <c r="C429" s="968" t="s">
        <v>1117</v>
      </c>
      <c r="D429" s="968" t="s">
        <v>1130</v>
      </c>
      <c r="E429" s="1593">
        <v>-5.3424393749999979</v>
      </c>
      <c r="F429" s="1560">
        <v>730.58999999999992</v>
      </c>
      <c r="G429" s="1561">
        <v>703.8778031249999</v>
      </c>
      <c r="H429" s="1561">
        <v>677.16560624999988</v>
      </c>
      <c r="I429" s="1561">
        <v>650.45340937499986</v>
      </c>
      <c r="J429" s="1561">
        <v>623.74121249999985</v>
      </c>
      <c r="K429" s="1561">
        <v>597.02901562499983</v>
      </c>
      <c r="L429" s="1561">
        <v>570.31681874999981</v>
      </c>
      <c r="M429" s="1561">
        <v>543.60462187499979</v>
      </c>
      <c r="N429" s="1562">
        <v>516.892425</v>
      </c>
      <c r="O429" s="876"/>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row>
    <row r="430" spans="2:76" hidden="1">
      <c r="B430" s="350"/>
      <c r="C430" s="103" t="s">
        <v>1117</v>
      </c>
      <c r="D430" s="103" t="s">
        <v>1131</v>
      </c>
      <c r="E430" s="1594">
        <v>-5.3424393749999979</v>
      </c>
      <c r="F430" s="1510">
        <v>730.58999999999992</v>
      </c>
      <c r="G430" s="1565">
        <v>703.8778031249999</v>
      </c>
      <c r="H430" s="1565">
        <v>677.16560624999988</v>
      </c>
      <c r="I430" s="1565">
        <v>650.45340937499986</v>
      </c>
      <c r="J430" s="1565">
        <v>623.74121249999985</v>
      </c>
      <c r="K430" s="1565">
        <v>597.02901562499983</v>
      </c>
      <c r="L430" s="1565">
        <v>570.31681874999981</v>
      </c>
      <c r="M430" s="1565">
        <v>543.60462187499979</v>
      </c>
      <c r="N430" s="1566">
        <v>516.892425</v>
      </c>
      <c r="O430" s="876"/>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row>
    <row r="431" spans="2:76" hidden="1">
      <c r="B431" s="350"/>
      <c r="C431" s="1191" t="s">
        <v>1119</v>
      </c>
      <c r="D431" s="1191" t="s">
        <v>1119</v>
      </c>
      <c r="E431" s="1592">
        <v>0</v>
      </c>
      <c r="F431" s="1567">
        <v>1504.9580354367397</v>
      </c>
      <c r="G431" s="1558">
        <v>1504.9580354367397</v>
      </c>
      <c r="H431" s="1558">
        <v>1504.9580354367397</v>
      </c>
      <c r="I431" s="1558">
        <v>1504.9580354367397</v>
      </c>
      <c r="J431" s="1558">
        <v>1504.9580354367397</v>
      </c>
      <c r="K431" s="1558">
        <v>1504.9580354367397</v>
      </c>
      <c r="L431" s="1558">
        <v>1504.9580354367397</v>
      </c>
      <c r="M431" s="1558">
        <v>1504.9580354367397</v>
      </c>
      <c r="N431" s="1568">
        <v>1504.9580354367397</v>
      </c>
      <c r="O431" s="876"/>
      <c r="Q431" s="1410"/>
      <c r="R431" s="1410"/>
      <c r="S431" s="1410"/>
      <c r="T431" s="1410"/>
      <c r="U431" s="1410"/>
      <c r="V431" s="1410"/>
      <c r="W431" s="1410"/>
      <c r="X431" s="1410"/>
      <c r="Y431" s="1410"/>
      <c r="Z431" s="1410"/>
      <c r="AA431" s="1410"/>
      <c r="AB431" s="1410"/>
      <c r="AC431" s="1410"/>
      <c r="AD431" s="1410"/>
      <c r="AE431" s="1410"/>
      <c r="AF431" s="1410"/>
      <c r="AG431" s="1410"/>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row>
    <row r="432" spans="2:76" hidden="1">
      <c r="B432" s="350"/>
      <c r="C432" s="47"/>
      <c r="D432" s="47"/>
      <c r="E432" s="47"/>
      <c r="F432" s="47"/>
      <c r="G432" s="47"/>
      <c r="H432" s="47"/>
      <c r="I432" s="47"/>
      <c r="J432" s="47"/>
      <c r="K432" s="47"/>
      <c r="L432" s="47"/>
      <c r="M432" s="47"/>
      <c r="N432" s="1596"/>
      <c r="O432" s="876"/>
      <c r="Q432" s="1410"/>
      <c r="R432" s="1410"/>
      <c r="S432" s="1410"/>
      <c r="T432" s="1410"/>
      <c r="U432" s="1410"/>
      <c r="V432" s="1410"/>
      <c r="W432" s="1410"/>
      <c r="X432" s="1410"/>
      <c r="Y432" s="1410"/>
      <c r="Z432" s="1410"/>
      <c r="AA432" s="1410"/>
      <c r="AB432" s="1410"/>
      <c r="AC432" s="1410"/>
      <c r="AD432" s="1410"/>
      <c r="AE432" s="1410"/>
      <c r="AF432" s="1410"/>
      <c r="AG432" s="1410"/>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row>
    <row r="433" spans="2:76" hidden="1">
      <c r="B433" s="350"/>
      <c r="C433" s="350"/>
      <c r="D433" s="350"/>
      <c r="E433" s="350"/>
      <c r="F433" s="1553"/>
      <c r="G433" s="350"/>
      <c r="H433" s="1553"/>
      <c r="I433" s="350"/>
      <c r="J433" s="350"/>
      <c r="K433" s="350"/>
      <c r="L433" s="350"/>
      <c r="M433" s="350"/>
      <c r="N433" s="1590" t="s">
        <v>2765</v>
      </c>
      <c r="O433" s="876"/>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row>
    <row r="434" spans="2:76" hidden="1">
      <c r="B434" s="350"/>
      <c r="C434" s="1570" t="s">
        <v>1159</v>
      </c>
      <c r="D434" s="973"/>
      <c r="E434" s="1571" t="s">
        <v>159</v>
      </c>
      <c r="F434" s="1572">
        <v>2013</v>
      </c>
      <c r="G434" s="1572">
        <v>2015</v>
      </c>
      <c r="H434" s="1572">
        <v>2020</v>
      </c>
      <c r="I434" s="1572">
        <v>2025</v>
      </c>
      <c r="J434" s="1572">
        <v>2030</v>
      </c>
      <c r="K434" s="1572">
        <v>2035</v>
      </c>
      <c r="L434" s="1572">
        <v>2040</v>
      </c>
      <c r="M434" s="1572">
        <v>2045</v>
      </c>
      <c r="N434" s="1591">
        <v>2050</v>
      </c>
      <c r="O434" s="47"/>
      <c r="Q434" s="1410"/>
      <c r="R434" s="1410"/>
      <c r="S434" s="1410"/>
      <c r="T434" s="1410"/>
      <c r="U434" s="1410"/>
      <c r="V434" s="1410"/>
      <c r="W434" s="1410"/>
      <c r="X434" s="1410"/>
      <c r="Y434" s="1410"/>
      <c r="Z434" s="1410"/>
      <c r="AA434" s="1410"/>
      <c r="AB434" s="1410"/>
      <c r="AC434" s="1410"/>
      <c r="AD434" s="1410"/>
      <c r="AE434" s="1410"/>
      <c r="AF434" s="1410"/>
      <c r="AG434" s="1410"/>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row>
    <row r="435" spans="2:76" hidden="1">
      <c r="B435" s="350"/>
      <c r="C435" s="1191" t="s">
        <v>1111</v>
      </c>
      <c r="D435" s="1191" t="s">
        <v>1111</v>
      </c>
      <c r="E435" s="1580">
        <v>0</v>
      </c>
      <c r="F435" s="1558">
        <v>4.9999999999999996E-2</v>
      </c>
      <c r="G435" s="1558">
        <v>4.9999999999999996E-2</v>
      </c>
      <c r="H435" s="1558">
        <v>4.9999999999999996E-2</v>
      </c>
      <c r="I435" s="1558">
        <v>4.9999999999999996E-2</v>
      </c>
      <c r="J435" s="1558">
        <v>4.9999999999999996E-2</v>
      </c>
      <c r="K435" s="1558">
        <v>4.9999999999999996E-2</v>
      </c>
      <c r="L435" s="1558">
        <v>4.9999999999999996E-2</v>
      </c>
      <c r="M435" s="1558">
        <v>4.9999999999999996E-2</v>
      </c>
      <c r="N435" s="1559">
        <v>4.9999999999999996E-2</v>
      </c>
      <c r="O435" s="47"/>
      <c r="Q435" s="1410"/>
      <c r="R435" s="1410"/>
      <c r="S435" s="1410"/>
      <c r="T435" s="1410"/>
      <c r="U435" s="1410"/>
      <c r="V435" s="1410"/>
      <c r="W435" s="1410"/>
      <c r="X435" s="1410"/>
      <c r="Y435" s="1410"/>
      <c r="Z435" s="1410"/>
      <c r="AA435" s="1410"/>
      <c r="AB435" s="1410"/>
      <c r="AC435" s="1410"/>
      <c r="AD435" s="1410"/>
      <c r="AE435" s="1410"/>
      <c r="AF435" s="1410"/>
      <c r="AG435" s="1410"/>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row>
    <row r="436" spans="2:76" hidden="1">
      <c r="B436" s="350"/>
      <c r="C436" s="968" t="s">
        <v>1113</v>
      </c>
      <c r="D436" s="968" t="s">
        <v>1125</v>
      </c>
      <c r="E436" s="1574">
        <v>-3.3634802717982498E-2</v>
      </c>
      <c r="F436" s="1560">
        <v>1.5453921087192999</v>
      </c>
      <c r="G436" s="1561">
        <v>1.3772180951293873</v>
      </c>
      <c r="H436" s="1561">
        <v>1.2090440815394747</v>
      </c>
      <c r="I436" s="1561">
        <v>1.0408700679495622</v>
      </c>
      <c r="J436" s="1561">
        <v>0.8726960543596497</v>
      </c>
      <c r="K436" s="1561">
        <v>0.70452204076973723</v>
      </c>
      <c r="L436" s="1561">
        <v>0.53634802717982477</v>
      </c>
      <c r="M436" s="1561">
        <v>0.36817401358991231</v>
      </c>
      <c r="N436" s="1562">
        <v>0.19999999999999998</v>
      </c>
      <c r="O436" s="47"/>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row>
    <row r="437" spans="2:76" hidden="1">
      <c r="B437" s="350"/>
      <c r="C437" s="103" t="s">
        <v>1113</v>
      </c>
      <c r="D437" s="103" t="s">
        <v>1126</v>
      </c>
      <c r="E437" s="1576">
        <v>-6.5765271701118996E-2</v>
      </c>
      <c r="F437" s="1503">
        <v>2.8306108680447601</v>
      </c>
      <c r="G437" s="1563">
        <v>2.5017845095391653</v>
      </c>
      <c r="H437" s="1563">
        <v>2.1729581510335705</v>
      </c>
      <c r="I437" s="1563">
        <v>1.8441317925279754</v>
      </c>
      <c r="J437" s="1563">
        <v>1.5153054340223804</v>
      </c>
      <c r="K437" s="1563">
        <v>1.1864790755167853</v>
      </c>
      <c r="L437" s="1563">
        <v>0.85765271701119028</v>
      </c>
      <c r="M437" s="1563">
        <v>0.52882635850559523</v>
      </c>
      <c r="N437" s="1564">
        <v>0.19999999999999998</v>
      </c>
      <c r="O437" s="47"/>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row>
    <row r="438" spans="2:76" hidden="1">
      <c r="B438" s="350"/>
      <c r="C438" s="103" t="s">
        <v>1113</v>
      </c>
      <c r="D438" s="103" t="s">
        <v>1127</v>
      </c>
      <c r="E438" s="1576">
        <v>-4.7288436237177496E-2</v>
      </c>
      <c r="F438" s="1503">
        <v>2.0915374494870997</v>
      </c>
      <c r="G438" s="1563">
        <v>1.8550952683012123</v>
      </c>
      <c r="H438" s="1563">
        <v>1.6186530871153249</v>
      </c>
      <c r="I438" s="1563">
        <v>1.3822109059294374</v>
      </c>
      <c r="J438" s="1563">
        <v>1.14576872474355</v>
      </c>
      <c r="K438" s="1563">
        <v>0.90932654355766251</v>
      </c>
      <c r="L438" s="1563">
        <v>0.67288436237177507</v>
      </c>
      <c r="M438" s="1563">
        <v>0.43644218118588762</v>
      </c>
      <c r="N438" s="1564">
        <v>0.19999999999999998</v>
      </c>
      <c r="O438" s="47"/>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row>
    <row r="439" spans="2:76" hidden="1">
      <c r="B439" s="350"/>
      <c r="C439" s="194" t="s">
        <v>1113</v>
      </c>
      <c r="D439" s="194" t="s">
        <v>1128</v>
      </c>
      <c r="E439" s="1577">
        <v>-0.50866071485467745</v>
      </c>
      <c r="F439" s="1510">
        <v>20.546428594187098</v>
      </c>
      <c r="G439" s="1565">
        <v>18.003125019913711</v>
      </c>
      <c r="H439" s="1565">
        <v>15.459821445640323</v>
      </c>
      <c r="I439" s="1565">
        <v>12.916517871366935</v>
      </c>
      <c r="J439" s="1565">
        <v>10.373214297093547</v>
      </c>
      <c r="K439" s="1565">
        <v>7.8299107228201592</v>
      </c>
      <c r="L439" s="1565">
        <v>5.2866071485467714</v>
      </c>
      <c r="M439" s="1565">
        <v>2.743303574273384</v>
      </c>
      <c r="N439" s="1566">
        <v>0.19999999999999998</v>
      </c>
      <c r="O439" s="47"/>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row>
    <row r="440" spans="2:76" hidden="1">
      <c r="B440" s="350"/>
      <c r="C440" s="968" t="s">
        <v>1115</v>
      </c>
      <c r="D440" s="968" t="s">
        <v>1125</v>
      </c>
      <c r="E440" s="1574">
        <v>-0.59926637269777738</v>
      </c>
      <c r="F440" s="1560">
        <v>24.970654907911097</v>
      </c>
      <c r="G440" s="1561">
        <v>21.97432304442221</v>
      </c>
      <c r="H440" s="1561">
        <v>18.977991180933323</v>
      </c>
      <c r="I440" s="1561">
        <v>15.981659317444436</v>
      </c>
      <c r="J440" s="1561">
        <v>12.985327453955549</v>
      </c>
      <c r="K440" s="1561">
        <v>9.9889955904666614</v>
      </c>
      <c r="L440" s="1561">
        <v>6.9926637269777743</v>
      </c>
      <c r="M440" s="1561">
        <v>3.9963318634888871</v>
      </c>
      <c r="N440" s="1562">
        <v>1</v>
      </c>
      <c r="O440" s="47"/>
    </row>
    <row r="441" spans="2:76" hidden="1">
      <c r="B441" s="350"/>
      <c r="C441" s="103" t="s">
        <v>1115</v>
      </c>
      <c r="D441" s="103" t="s">
        <v>1129</v>
      </c>
      <c r="E441" s="1576">
        <v>-0.51660699947544253</v>
      </c>
      <c r="F441" s="1503">
        <v>25.064279979017698</v>
      </c>
      <c r="G441" s="1563">
        <v>22.481244981640486</v>
      </c>
      <c r="H441" s="1563">
        <v>19.898209984263275</v>
      </c>
      <c r="I441" s="1563">
        <v>17.315174986886063</v>
      </c>
      <c r="J441" s="1563">
        <v>14.732139989508852</v>
      </c>
      <c r="K441" s="1563">
        <v>12.14910499213164</v>
      </c>
      <c r="L441" s="1563">
        <v>9.5660699947544288</v>
      </c>
      <c r="M441" s="1563">
        <v>6.9830349973772163</v>
      </c>
      <c r="N441" s="1564">
        <v>4.3999999999999995</v>
      </c>
      <c r="O441" s="47"/>
    </row>
    <row r="442" spans="2:76" hidden="1">
      <c r="B442" s="350"/>
      <c r="C442" s="103" t="s">
        <v>1115</v>
      </c>
      <c r="D442" s="103" t="s">
        <v>1127</v>
      </c>
      <c r="E442" s="1576">
        <v>-0.45088882921005508</v>
      </c>
      <c r="F442" s="1503">
        <v>37.932736168402201</v>
      </c>
      <c r="G442" s="1563">
        <v>35.678292022351926</v>
      </c>
      <c r="H442" s="1563">
        <v>33.42384787630165</v>
      </c>
      <c r="I442" s="1563">
        <v>31.169403730251375</v>
      </c>
      <c r="J442" s="1563">
        <v>28.9149595842011</v>
      </c>
      <c r="K442" s="1563">
        <v>26.660515438150824</v>
      </c>
      <c r="L442" s="1563">
        <v>24.406071292100549</v>
      </c>
      <c r="M442" s="1563">
        <v>22.151627146050274</v>
      </c>
      <c r="N442" s="1564">
        <v>19.897182999999998</v>
      </c>
      <c r="O442" s="47"/>
    </row>
    <row r="443" spans="2:76" hidden="1">
      <c r="B443" s="350"/>
      <c r="C443" s="194" t="s">
        <v>1115</v>
      </c>
      <c r="D443" s="194" t="s">
        <v>1128</v>
      </c>
      <c r="E443" s="1577">
        <v>-2.2828064869249305</v>
      </c>
      <c r="F443" s="1510">
        <v>93.722259476997209</v>
      </c>
      <c r="G443" s="1565">
        <v>82.30822704237255</v>
      </c>
      <c r="H443" s="1565">
        <v>70.894194607747892</v>
      </c>
      <c r="I443" s="1565">
        <v>59.48016217312324</v>
      </c>
      <c r="J443" s="1565">
        <v>48.066129738498589</v>
      </c>
      <c r="K443" s="1565">
        <v>36.652097303873937</v>
      </c>
      <c r="L443" s="1565">
        <v>25.238064869249285</v>
      </c>
      <c r="M443" s="1565">
        <v>13.824032434624634</v>
      </c>
      <c r="N443" s="1566">
        <v>2.4099999999999997</v>
      </c>
      <c r="O443" s="47"/>
    </row>
    <row r="444" spans="2:76" hidden="1">
      <c r="B444" s="350"/>
      <c r="C444" s="968" t="s">
        <v>1117</v>
      </c>
      <c r="D444" s="968" t="s">
        <v>1130</v>
      </c>
      <c r="E444" s="1574">
        <v>-8.2191374999999987</v>
      </c>
      <c r="F444" s="1560">
        <v>730.58999999999992</v>
      </c>
      <c r="G444" s="1561">
        <v>689.49431249999998</v>
      </c>
      <c r="H444" s="1561">
        <v>648.39862500000004</v>
      </c>
      <c r="I444" s="1561">
        <v>607.3029375000001</v>
      </c>
      <c r="J444" s="1561">
        <v>566.20725000000016</v>
      </c>
      <c r="K444" s="1561">
        <v>525.11156250000022</v>
      </c>
      <c r="L444" s="1561">
        <v>484.01587500000022</v>
      </c>
      <c r="M444" s="1561">
        <v>442.92018750000022</v>
      </c>
      <c r="N444" s="1562">
        <v>401.8245</v>
      </c>
      <c r="O444" s="47"/>
    </row>
    <row r="445" spans="2:76" hidden="1">
      <c r="B445" s="350"/>
      <c r="C445" s="194" t="s">
        <v>1117</v>
      </c>
      <c r="D445" s="194" t="s">
        <v>1131</v>
      </c>
      <c r="E445" s="1577">
        <v>-8.2191374999999987</v>
      </c>
      <c r="F445" s="1510">
        <v>730.58999999999992</v>
      </c>
      <c r="G445" s="1565">
        <v>689.49431249999998</v>
      </c>
      <c r="H445" s="1565">
        <v>648.39862500000004</v>
      </c>
      <c r="I445" s="1565">
        <v>607.3029375000001</v>
      </c>
      <c r="J445" s="1565">
        <v>566.20725000000016</v>
      </c>
      <c r="K445" s="1565">
        <v>525.11156250000022</v>
      </c>
      <c r="L445" s="1565">
        <v>484.01587500000022</v>
      </c>
      <c r="M445" s="1565">
        <v>442.92018750000022</v>
      </c>
      <c r="N445" s="1566">
        <v>401.8245</v>
      </c>
      <c r="O445" s="47"/>
    </row>
    <row r="446" spans="2:76" hidden="1">
      <c r="B446" s="350"/>
      <c r="C446" s="1191" t="s">
        <v>1119</v>
      </c>
      <c r="D446" s="1191" t="s">
        <v>1119</v>
      </c>
      <c r="E446" s="1094">
        <v>0</v>
      </c>
      <c r="F446" s="1567">
        <v>1504.9580354367397</v>
      </c>
      <c r="G446" s="1558">
        <v>1504.9580354367397</v>
      </c>
      <c r="H446" s="1558">
        <v>1504.9580354367397</v>
      </c>
      <c r="I446" s="1558">
        <v>1504.9580354367397</v>
      </c>
      <c r="J446" s="1558">
        <v>1504.9580354367397</v>
      </c>
      <c r="K446" s="1558">
        <v>1504.9580354367397</v>
      </c>
      <c r="L446" s="1558">
        <v>1504.9580354367397</v>
      </c>
      <c r="M446" s="1558">
        <v>1504.9580354367397</v>
      </c>
      <c r="N446" s="1568">
        <v>1504.9580354367397</v>
      </c>
      <c r="O446" s="47"/>
    </row>
    <row r="447" spans="2:76" hidden="1">
      <c r="B447" s="350"/>
      <c r="C447" s="1553"/>
      <c r="D447" s="350"/>
      <c r="E447" s="350"/>
      <c r="F447" s="350"/>
      <c r="G447" s="350"/>
      <c r="H447" s="350"/>
      <c r="I447" s="350"/>
      <c r="J447" s="350"/>
      <c r="K447" s="350"/>
      <c r="L447" s="350"/>
      <c r="M447" s="350"/>
      <c r="N447" s="350"/>
      <c r="O447" s="47"/>
    </row>
    <row r="448" spans="2:76" hidden="1">
      <c r="B448" s="350"/>
      <c r="C448" s="67" t="s">
        <v>30</v>
      </c>
      <c r="D448" s="67"/>
      <c r="E448" s="67"/>
      <c r="F448" s="67"/>
      <c r="G448" s="67"/>
      <c r="H448" s="67"/>
      <c r="I448" s="67"/>
      <c r="J448" s="67"/>
      <c r="K448" s="67"/>
      <c r="L448" s="67"/>
      <c r="M448" s="67"/>
      <c r="N448" s="67"/>
      <c r="O448" s="47"/>
    </row>
    <row r="449" spans="2:15" hidden="1">
      <c r="B449" s="67"/>
      <c r="C449" s="99" t="s">
        <v>64</v>
      </c>
      <c r="D449" s="1597" t="s">
        <v>1160</v>
      </c>
      <c r="E449" s="67"/>
      <c r="F449" s="67"/>
      <c r="G449" s="67"/>
      <c r="H449" s="67"/>
      <c r="I449" s="67"/>
      <c r="J449" s="67"/>
      <c r="K449" s="67"/>
      <c r="L449" s="67"/>
      <c r="M449" s="67"/>
      <c r="N449" s="67"/>
      <c r="O449" s="67"/>
    </row>
    <row r="450" spans="2:15" hidden="1">
      <c r="B450" s="67"/>
      <c r="C450" s="51" t="s">
        <v>66</v>
      </c>
      <c r="D450" s="67" t="s">
        <v>1161</v>
      </c>
      <c r="E450" s="67"/>
      <c r="F450" s="67"/>
      <c r="G450" s="67"/>
      <c r="H450" s="67"/>
      <c r="I450" s="67"/>
      <c r="J450" s="67"/>
      <c r="K450" s="67"/>
      <c r="L450" s="67"/>
      <c r="M450" s="67"/>
      <c r="N450" s="67"/>
      <c r="O450" s="67"/>
    </row>
    <row r="451" spans="2:15" hidden="1">
      <c r="B451" s="67"/>
      <c r="C451" s="51" t="s">
        <v>105</v>
      </c>
      <c r="D451" s="67" t="s">
        <v>1162</v>
      </c>
      <c r="E451" s="67"/>
      <c r="F451" s="67"/>
      <c r="G451" s="67"/>
      <c r="H451" s="67"/>
      <c r="I451" s="67"/>
      <c r="J451" s="67"/>
      <c r="K451" s="67"/>
      <c r="L451" s="67"/>
      <c r="M451" s="67"/>
      <c r="N451" s="67"/>
      <c r="O451" s="67"/>
    </row>
    <row r="452" spans="2:15" hidden="1">
      <c r="B452" s="67"/>
      <c r="C452" s="51" t="s">
        <v>79</v>
      </c>
      <c r="D452" s="67" t="s">
        <v>1163</v>
      </c>
      <c r="E452" s="67"/>
      <c r="F452" s="67"/>
      <c r="G452" s="67"/>
      <c r="H452" s="67"/>
      <c r="I452" s="67"/>
      <c r="J452" s="67"/>
      <c r="K452" s="67"/>
      <c r="L452" s="67"/>
      <c r="M452" s="67"/>
      <c r="N452" s="67"/>
      <c r="O452" s="67"/>
    </row>
    <row r="453" spans="2:15" hidden="1">
      <c r="B453" s="67"/>
      <c r="C453" s="51" t="s">
        <v>155</v>
      </c>
      <c r="D453" s="67" t="s">
        <v>2766</v>
      </c>
      <c r="E453" s="67"/>
      <c r="F453" s="67"/>
      <c r="G453" s="67"/>
      <c r="H453" s="67"/>
      <c r="I453" s="67"/>
      <c r="J453" s="67"/>
      <c r="K453" s="67"/>
      <c r="L453" s="67"/>
      <c r="M453" s="67"/>
      <c r="N453" s="67"/>
      <c r="O453" s="67"/>
    </row>
    <row r="454" spans="2:15" hidden="1">
      <c r="B454" s="67"/>
      <c r="C454" s="51" t="s">
        <v>104</v>
      </c>
      <c r="D454" s="67" t="s">
        <v>1164</v>
      </c>
      <c r="E454" s="67"/>
      <c r="F454" s="67"/>
      <c r="G454" s="67"/>
      <c r="H454" s="67"/>
      <c r="I454" s="67"/>
      <c r="J454" s="67"/>
      <c r="K454" s="67"/>
      <c r="L454" s="67"/>
      <c r="M454" s="67"/>
      <c r="N454" s="67"/>
      <c r="O454" s="876"/>
    </row>
    <row r="455" spans="2:15" hidden="1">
      <c r="B455" s="67"/>
      <c r="C455" s="51" t="s">
        <v>157</v>
      </c>
      <c r="D455" s="67" t="s">
        <v>1165</v>
      </c>
      <c r="E455" s="67"/>
      <c r="F455" s="67"/>
      <c r="G455" s="67"/>
      <c r="H455" s="67"/>
      <c r="I455" s="67"/>
      <c r="J455" s="67"/>
      <c r="K455" s="67"/>
      <c r="L455" s="67"/>
      <c r="M455" s="67"/>
      <c r="N455" s="67"/>
      <c r="O455" s="876"/>
    </row>
    <row r="456" spans="2:15" hidden="1">
      <c r="B456" s="67"/>
      <c r="C456" s="51" t="s">
        <v>1166</v>
      </c>
      <c r="D456" s="67" t="s">
        <v>1167</v>
      </c>
      <c r="E456" s="67"/>
      <c r="F456" s="67"/>
      <c r="G456" s="67"/>
      <c r="H456" s="67"/>
      <c r="I456" s="67"/>
      <c r="J456" s="67"/>
      <c r="K456" s="67"/>
      <c r="L456" s="67"/>
      <c r="M456" s="67"/>
      <c r="N456" s="67"/>
      <c r="O456" s="876"/>
    </row>
    <row r="457" spans="2:15" hidden="1">
      <c r="B457" s="67"/>
      <c r="C457" s="103"/>
      <c r="D457" s="103"/>
      <c r="E457" s="167"/>
      <c r="F457" s="167"/>
      <c r="G457" s="167"/>
      <c r="H457" s="167"/>
      <c r="I457" s="167"/>
      <c r="J457" s="167"/>
      <c r="K457" s="167"/>
      <c r="L457" s="167"/>
      <c r="M457" s="67"/>
      <c r="N457" s="167"/>
      <c r="O457" s="876"/>
    </row>
    <row r="458" spans="2:15" hidden="1">
      <c r="B458" s="67"/>
      <c r="C458" s="103"/>
      <c r="D458" s="103"/>
      <c r="E458" s="167"/>
      <c r="F458" s="167"/>
      <c r="G458" s="167"/>
      <c r="H458" s="167"/>
      <c r="I458" s="167"/>
      <c r="J458" s="167"/>
      <c r="K458" s="167"/>
      <c r="L458" s="167"/>
      <c r="M458" s="67"/>
      <c r="N458" s="167"/>
      <c r="O458" s="876"/>
    </row>
    <row r="460" spans="2:15" ht="15.5">
      <c r="B460" s="1101" t="s">
        <v>206</v>
      </c>
    </row>
    <row r="461" spans="2:15">
      <c r="B461" s="354">
        <v>1</v>
      </c>
      <c r="C461" t="s">
        <v>1168</v>
      </c>
      <c r="D461" s="2"/>
      <c r="E461" s="2"/>
      <c r="F461" s="2"/>
      <c r="G461" s="2"/>
      <c r="H461" s="2"/>
      <c r="I461" s="2"/>
      <c r="J461" s="2"/>
      <c r="K461" s="2"/>
      <c r="L461" s="2"/>
      <c r="M461" s="2"/>
      <c r="N461" s="2"/>
      <c r="O461" s="2"/>
    </row>
    <row r="462" spans="2:15">
      <c r="B462" s="354">
        <v>2</v>
      </c>
      <c r="C462" t="s">
        <v>1169</v>
      </c>
    </row>
    <row r="463" spans="2:15">
      <c r="B463" s="354">
        <v>3</v>
      </c>
      <c r="C463" t="s">
        <v>1170</v>
      </c>
    </row>
    <row r="464" spans="2:15">
      <c r="B464" s="354">
        <v>4</v>
      </c>
      <c r="C464" t="s">
        <v>1171</v>
      </c>
    </row>
    <row r="465" spans="1:17">
      <c r="B465" s="354">
        <v>5</v>
      </c>
      <c r="C465" t="s">
        <v>1172</v>
      </c>
    </row>
    <row r="467" spans="1:17">
      <c r="F467" s="1313">
        <v>2013</v>
      </c>
      <c r="G467" s="1313">
        <v>2015</v>
      </c>
      <c r="H467" s="1313">
        <v>2020</v>
      </c>
      <c r="I467" s="1313">
        <v>2025</v>
      </c>
      <c r="J467" s="1313">
        <v>2030</v>
      </c>
      <c r="K467" s="1313">
        <v>2035</v>
      </c>
      <c r="L467" s="1313">
        <v>2040</v>
      </c>
      <c r="M467" s="1313">
        <v>2045</v>
      </c>
      <c r="N467" s="1313">
        <v>2050</v>
      </c>
    </row>
    <row r="468" spans="1:17">
      <c r="B468" s="354">
        <v>1</v>
      </c>
      <c r="C468" s="354" t="s">
        <v>1173</v>
      </c>
      <c r="F468" s="1313"/>
      <c r="G468" s="1313"/>
      <c r="H468" s="1313"/>
      <c r="I468" s="1313"/>
      <c r="J468" s="1313"/>
      <c r="K468" s="1313"/>
      <c r="L468" s="1313"/>
      <c r="M468" s="1313"/>
      <c r="N468" s="1313"/>
    </row>
    <row r="469" spans="1:17">
      <c r="B469" s="354"/>
      <c r="F469" s="1313"/>
      <c r="G469" s="1313"/>
      <c r="H469" s="1313"/>
      <c r="I469" s="1313"/>
      <c r="J469" s="1313"/>
      <c r="K469" s="1313"/>
      <c r="L469" s="1313"/>
      <c r="M469" s="1313"/>
      <c r="N469" s="355"/>
    </row>
    <row r="470" spans="1:17">
      <c r="B470" s="354"/>
      <c r="C470" t="s">
        <v>1174</v>
      </c>
      <c r="E470" s="373" t="s">
        <v>902</v>
      </c>
      <c r="F470" s="1598">
        <f t="shared" ref="F470:N470" si="61">INDEX(F$18:F$21, MATCH($E$8, $C$18:$C$21, 0))</f>
        <v>12872</v>
      </c>
      <c r="G470" s="1598">
        <f t="shared" si="61"/>
        <v>12958.35892204618</v>
      </c>
      <c r="H470" s="1598">
        <f t="shared" si="61"/>
        <v>13164.381133520554</v>
      </c>
      <c r="I470" s="1598">
        <f t="shared" si="61"/>
        <v>13355.67293888528</v>
      </c>
      <c r="J470" s="1598">
        <f t="shared" si="61"/>
        <v>13531.496535473625</v>
      </c>
      <c r="K470" s="1598">
        <f t="shared" si="61"/>
        <v>13691.166622707044</v>
      </c>
      <c r="L470" s="1598">
        <f t="shared" si="61"/>
        <v>13834.054842585663</v>
      </c>
      <c r="M470" s="1598">
        <f t="shared" si="61"/>
        <v>13959.593892294706</v>
      </c>
      <c r="N470" s="1598">
        <f t="shared" si="61"/>
        <v>14066.85985551269</v>
      </c>
    </row>
    <row r="471" spans="1:17" s="39" customFormat="1">
      <c r="B471" s="38" t="s">
        <v>218</v>
      </c>
      <c r="C471" s="39" t="s">
        <v>1175</v>
      </c>
      <c r="E471" s="1599" t="s">
        <v>1176</v>
      </c>
      <c r="F471" s="2349">
        <f>INDEX(Global.Assumptions[Population], MATCH(F$467,Global.Assumptions[Year], 0))/1000000</f>
        <v>4.5930999999999997</v>
      </c>
      <c r="G471" s="2349">
        <f>INDEX(Global.Assumptions[Population], MATCH(G$467,Global.Assumptions[Year], 0))/1000000</f>
        <v>4.6613926513631654</v>
      </c>
      <c r="H471" s="2349">
        <f>INDEX(Global.Assumptions[Population], MATCH(H$467,Global.Assumptions[Year], 0))/1000000</f>
        <v>4.8365997922269068</v>
      </c>
      <c r="I471" s="2349">
        <f>INDEX(Global.Assumptions[Population], MATCH(I$467,Global.Assumptions[Year], 0))/1000000</f>
        <v>5.0022843389555049</v>
      </c>
      <c r="J471" s="2349">
        <f>INDEX(Global.Assumptions[Population], MATCH(J$467,Global.Assumptions[Year], 0))/1000000</f>
        <v>5.146142178929435</v>
      </c>
      <c r="K471" s="2349">
        <f>INDEX(Global.Assumptions[Population], MATCH(K$467,Global.Assumptions[Year], 0))/1000000</f>
        <v>5.2949606340748794</v>
      </c>
      <c r="L471" s="2349">
        <f>INDEX(Global.Assumptions[Population], MATCH(L$467,Global.Assumptions[Year], 0))/1000000</f>
        <v>5.4477475813575325</v>
      </c>
      <c r="M471" s="2349">
        <f>INDEX(Global.Assumptions[Population], MATCH(M$467,Global.Assumptions[Year], 0))/1000000</f>
        <v>5.5906132982971579</v>
      </c>
      <c r="N471" s="2349">
        <f>INDEX(Global.Assumptions[Population], MATCH(N$467,Global.Assumptions[Year], 0))/1000000</f>
        <v>5.7372256302867379</v>
      </c>
    </row>
    <row r="472" spans="1:17">
      <c r="B472" s="982" t="s">
        <v>220</v>
      </c>
      <c r="C472" s="354" t="s">
        <v>1177</v>
      </c>
      <c r="D472" s="354"/>
      <c r="E472" s="355" t="s">
        <v>1178</v>
      </c>
      <c r="F472" s="1600">
        <f t="shared" ref="F472:N472" si="62">F470*F471/1000</f>
        <v>59.122383199999994</v>
      </c>
      <c r="G472" s="1600">
        <f t="shared" si="62"/>
        <v>60.403999052952372</v>
      </c>
      <c r="H472" s="1600">
        <f t="shared" si="62"/>
        <v>63.670843055181322</v>
      </c>
      <c r="I472" s="1600">
        <f t="shared" si="62"/>
        <v>66.80887357839768</v>
      </c>
      <c r="J472" s="1600">
        <f t="shared" si="62"/>
        <v>69.635005065238332</v>
      </c>
      <c r="K472" s="1600">
        <f t="shared" si="62"/>
        <v>72.494188301793713</v>
      </c>
      <c r="L472" s="1600">
        <f t="shared" si="62"/>
        <v>75.3644388090635</v>
      </c>
      <c r="M472" s="1600">
        <f t="shared" si="62"/>
        <v>78.042691253090567</v>
      </c>
      <c r="N472" s="1600">
        <f t="shared" si="62"/>
        <v>80.704748900699002</v>
      </c>
      <c r="Q472" s="391"/>
    </row>
    <row r="473" spans="1:17">
      <c r="C473" s="354"/>
      <c r="D473" s="354"/>
      <c r="E473" s="355"/>
      <c r="F473" s="1600"/>
      <c r="G473" s="1600"/>
      <c r="H473" s="1600"/>
      <c r="I473" s="1600"/>
      <c r="J473" s="1600"/>
      <c r="K473" s="1600"/>
      <c r="L473" s="1600"/>
      <c r="M473" s="1600"/>
      <c r="N473" s="1600"/>
    </row>
    <row r="474" spans="1:17">
      <c r="B474" s="2" t="s">
        <v>218</v>
      </c>
      <c r="C474" t="s">
        <v>1179</v>
      </c>
      <c r="E474" s="373"/>
      <c r="F474" s="1368"/>
      <c r="G474" s="1314"/>
      <c r="H474" s="1314"/>
      <c r="I474" s="1314"/>
      <c r="J474" s="1314"/>
      <c r="K474" s="1314"/>
      <c r="L474" s="1314"/>
      <c r="M474" s="1314"/>
      <c r="N474" s="1314"/>
    </row>
    <row r="475" spans="1:17">
      <c r="B475" s="2"/>
      <c r="C475" s="373" t="s">
        <v>1109</v>
      </c>
      <c r="D475" t="s">
        <v>1110</v>
      </c>
      <c r="E475" s="373"/>
      <c r="F475" s="980">
        <f t="shared" ref="F475:N480" si="63">INDEX(F$272:F$277, MATCH($C475, $C$272:$C$277, 0))</f>
        <v>2.5000000000000001E-2</v>
      </c>
      <c r="G475" s="980">
        <f t="shared" si="63"/>
        <v>2.5000000000000001E-2</v>
      </c>
      <c r="H475" s="980">
        <f t="shared" si="63"/>
        <v>2.5000000000000001E-2</v>
      </c>
      <c r="I475" s="980">
        <f t="shared" si="63"/>
        <v>2.5000000000000001E-2</v>
      </c>
      <c r="J475" s="980">
        <f t="shared" si="63"/>
        <v>2.5000000000000001E-2</v>
      </c>
      <c r="K475" s="980">
        <f t="shared" si="63"/>
        <v>2.5000000000000001E-2</v>
      </c>
      <c r="L475" s="980">
        <f t="shared" si="63"/>
        <v>2.5000000000000001E-2</v>
      </c>
      <c r="M475" s="980">
        <f t="shared" si="63"/>
        <v>2.5000000000000001E-2</v>
      </c>
      <c r="N475" s="980">
        <f t="shared" si="63"/>
        <v>2.5000000000000001E-2</v>
      </c>
    </row>
    <row r="476" spans="1:17">
      <c r="B476" s="979"/>
      <c r="C476" s="373" t="s">
        <v>1111</v>
      </c>
      <c r="D476" t="s">
        <v>1112</v>
      </c>
      <c r="E476" s="355"/>
      <c r="F476" s="980">
        <f t="shared" si="63"/>
        <v>5.0000000000000001E-3</v>
      </c>
      <c r="G476" s="980">
        <f t="shared" si="63"/>
        <v>5.0000000000000001E-3</v>
      </c>
      <c r="H476" s="980">
        <f t="shared" si="63"/>
        <v>5.0000000000000001E-3</v>
      </c>
      <c r="I476" s="980">
        <f t="shared" si="63"/>
        <v>5.0000000000000001E-3</v>
      </c>
      <c r="J476" s="980">
        <f t="shared" si="63"/>
        <v>5.0000000000000001E-3</v>
      </c>
      <c r="K476" s="980">
        <f t="shared" si="63"/>
        <v>5.0000000000000001E-3</v>
      </c>
      <c r="L476" s="980">
        <f t="shared" si="63"/>
        <v>5.0000000000000001E-3</v>
      </c>
      <c r="M476" s="980">
        <f t="shared" si="63"/>
        <v>5.0000000000000001E-3</v>
      </c>
      <c r="N476" s="980">
        <f t="shared" si="63"/>
        <v>5.0000000000000001E-3</v>
      </c>
      <c r="O476" s="354"/>
    </row>
    <row r="477" spans="1:17">
      <c r="A477" s="354"/>
      <c r="B477" s="979"/>
      <c r="C477" s="373" t="s">
        <v>1113</v>
      </c>
      <c r="D477" t="s">
        <v>1114</v>
      </c>
      <c r="E477" s="355"/>
      <c r="F477" s="980">
        <f t="shared" si="63"/>
        <v>0.83199999999999996</v>
      </c>
      <c r="G477" s="980">
        <f t="shared" si="63"/>
        <v>0.83199999999999996</v>
      </c>
      <c r="H477" s="980">
        <f t="shared" si="63"/>
        <v>0.83199999999999996</v>
      </c>
      <c r="I477" s="980">
        <f t="shared" si="63"/>
        <v>0.83199999999999996</v>
      </c>
      <c r="J477" s="980">
        <f t="shared" si="63"/>
        <v>0.83199999999999996</v>
      </c>
      <c r="K477" s="980">
        <f t="shared" si="63"/>
        <v>0.83199999999999996</v>
      </c>
      <c r="L477" s="980">
        <f t="shared" si="63"/>
        <v>0.83199999999999996</v>
      </c>
      <c r="M477" s="980">
        <f t="shared" si="63"/>
        <v>0.83199999999999996</v>
      </c>
      <c r="N477" s="980">
        <f t="shared" si="63"/>
        <v>0.83199999999999996</v>
      </c>
      <c r="O477" s="354"/>
    </row>
    <row r="478" spans="1:17">
      <c r="A478" s="354"/>
      <c r="B478" s="979"/>
      <c r="C478" s="373" t="s">
        <v>1115</v>
      </c>
      <c r="D478" t="s">
        <v>1116</v>
      </c>
      <c r="E478" s="355"/>
      <c r="F478" s="980">
        <f t="shared" si="63"/>
        <v>9.9500000000000005E-2</v>
      </c>
      <c r="G478" s="980">
        <f t="shared" si="63"/>
        <v>9.9500000000000005E-2</v>
      </c>
      <c r="H478" s="980">
        <f t="shared" si="63"/>
        <v>9.9500000000000005E-2</v>
      </c>
      <c r="I478" s="980">
        <f t="shared" si="63"/>
        <v>9.9500000000000005E-2</v>
      </c>
      <c r="J478" s="980">
        <f t="shared" si="63"/>
        <v>9.9500000000000005E-2</v>
      </c>
      <c r="K478" s="980">
        <f t="shared" si="63"/>
        <v>9.9500000000000005E-2</v>
      </c>
      <c r="L478" s="980">
        <f t="shared" si="63"/>
        <v>9.9500000000000005E-2</v>
      </c>
      <c r="M478" s="980">
        <f t="shared" si="63"/>
        <v>9.9500000000000005E-2</v>
      </c>
      <c r="N478" s="980">
        <f t="shared" si="63"/>
        <v>9.9500000000000005E-2</v>
      </c>
      <c r="O478" s="354"/>
    </row>
    <row r="479" spans="1:17">
      <c r="A479" s="354"/>
      <c r="B479" s="979"/>
      <c r="C479" s="373" t="s">
        <v>1117</v>
      </c>
      <c r="D479" t="s">
        <v>1118</v>
      </c>
      <c r="E479" s="355"/>
      <c r="F479" s="980">
        <f t="shared" si="63"/>
        <v>3.7999999999999999E-2</v>
      </c>
      <c r="G479" s="980">
        <f t="shared" si="63"/>
        <v>3.7999999999999999E-2</v>
      </c>
      <c r="H479" s="980">
        <f t="shared" si="63"/>
        <v>3.7999999999999999E-2</v>
      </c>
      <c r="I479" s="980">
        <f t="shared" si="63"/>
        <v>3.7999999999999999E-2</v>
      </c>
      <c r="J479" s="980">
        <f t="shared" si="63"/>
        <v>3.7999999999999999E-2</v>
      </c>
      <c r="K479" s="980">
        <f t="shared" si="63"/>
        <v>3.7999999999999999E-2</v>
      </c>
      <c r="L479" s="980">
        <f t="shared" si="63"/>
        <v>3.7999999999999999E-2</v>
      </c>
      <c r="M479" s="980">
        <f t="shared" si="63"/>
        <v>3.7999999999999999E-2</v>
      </c>
      <c r="N479" s="980">
        <f t="shared" si="63"/>
        <v>3.7999999999999999E-2</v>
      </c>
      <c r="O479" s="354"/>
    </row>
    <row r="480" spans="1:17">
      <c r="A480" s="354"/>
      <c r="B480" s="979"/>
      <c r="C480" s="373" t="s">
        <v>1119</v>
      </c>
      <c r="D480" t="s">
        <v>1120</v>
      </c>
      <c r="E480" s="355"/>
      <c r="F480" s="980">
        <f t="shared" si="63"/>
        <v>5.0000000000000001E-4</v>
      </c>
      <c r="G480" s="980">
        <f t="shared" si="63"/>
        <v>5.0000000000000001E-4</v>
      </c>
      <c r="H480" s="980">
        <f t="shared" si="63"/>
        <v>5.0000000000000001E-4</v>
      </c>
      <c r="I480" s="980">
        <f t="shared" si="63"/>
        <v>5.0000000000000001E-4</v>
      </c>
      <c r="J480" s="980">
        <f t="shared" si="63"/>
        <v>5.0000000000000001E-4</v>
      </c>
      <c r="K480" s="980">
        <f t="shared" si="63"/>
        <v>5.0000000000000001E-4</v>
      </c>
      <c r="L480" s="980">
        <f t="shared" si="63"/>
        <v>5.0000000000000001E-4</v>
      </c>
      <c r="M480" s="980">
        <f t="shared" si="63"/>
        <v>5.0000000000000001E-4</v>
      </c>
      <c r="N480" s="980">
        <f t="shared" si="63"/>
        <v>5.0000000000000001E-4</v>
      </c>
      <c r="O480" s="354"/>
    </row>
    <row r="481" spans="1:24">
      <c r="A481" s="354"/>
      <c r="B481" s="979"/>
      <c r="C481" s="1601"/>
      <c r="D481" s="2"/>
      <c r="E481" s="355"/>
      <c r="F481" s="980"/>
      <c r="G481" s="1602"/>
      <c r="H481" s="1602"/>
      <c r="I481" s="1602"/>
      <c r="J481" s="1602"/>
      <c r="K481" s="1602"/>
      <c r="L481" s="1602"/>
      <c r="M481" s="1602"/>
      <c r="N481" s="980"/>
      <c r="O481" s="354"/>
    </row>
    <row r="482" spans="1:24">
      <c r="A482" s="354"/>
      <c r="B482" s="1603" t="s">
        <v>220</v>
      </c>
      <c r="C482" t="s">
        <v>1180</v>
      </c>
      <c r="D482" s="354"/>
      <c r="E482" s="354"/>
      <c r="F482" s="1315"/>
      <c r="G482" s="1315"/>
      <c r="H482" s="1315"/>
      <c r="I482" s="1315"/>
      <c r="J482" s="1315"/>
      <c r="K482" s="1315"/>
      <c r="L482" s="1315"/>
      <c r="M482" s="1315"/>
      <c r="N482" s="373" t="s">
        <v>1181</v>
      </c>
      <c r="O482" s="354"/>
      <c r="Q482" t="s">
        <v>980</v>
      </c>
      <c r="R482" t="s">
        <v>1182</v>
      </c>
      <c r="S482" t="s">
        <v>1183</v>
      </c>
      <c r="T482" t="s">
        <v>1184</v>
      </c>
      <c r="U482" t="s">
        <v>1185</v>
      </c>
      <c r="V482" t="s">
        <v>1186</v>
      </c>
      <c r="W482" t="s">
        <v>1187</v>
      </c>
      <c r="X482" t="s">
        <v>1188</v>
      </c>
    </row>
    <row r="483" spans="1:24">
      <c r="A483" s="354"/>
      <c r="B483" s="1603"/>
      <c r="C483" s="373" t="s">
        <v>1109</v>
      </c>
      <c r="D483" t="s">
        <v>1110</v>
      </c>
      <c r="E483" s="354"/>
      <c r="F483" s="1314">
        <f t="shared" ref="F483:F488" si="64">F475*F$472</f>
        <v>1.47805958</v>
      </c>
      <c r="G483" s="1598">
        <f t="shared" ref="G483:M488" si="65">G475*H$472</f>
        <v>1.5917710763795332</v>
      </c>
      <c r="H483" s="1598">
        <f t="shared" si="65"/>
        <v>1.6702218394599422</v>
      </c>
      <c r="I483" s="1598">
        <f t="shared" si="65"/>
        <v>1.7408751266309583</v>
      </c>
      <c r="J483" s="1598">
        <f t="shared" si="65"/>
        <v>1.812354707544843</v>
      </c>
      <c r="K483" s="1598">
        <f t="shared" si="65"/>
        <v>1.8841109702265877</v>
      </c>
      <c r="L483" s="1598">
        <f t="shared" si="65"/>
        <v>1.9510672813272643</v>
      </c>
      <c r="M483" s="1598">
        <f t="shared" si="65"/>
        <v>2.0176187225174753</v>
      </c>
      <c r="N483" s="1604">
        <f t="shared" ref="N483:N488" si="66">N475*N$472</f>
        <v>2.0176187225174753</v>
      </c>
      <c r="O483" s="354"/>
      <c r="Q483" s="391">
        <f>(N483-F483)/F483</f>
        <v>0.36504559749714233</v>
      </c>
      <c r="R483" s="1605">
        <v>0.36</v>
      </c>
      <c r="S483" s="391">
        <v>0.59207416017587611</v>
      </c>
      <c r="T483" s="391">
        <v>0.59207416017587611</v>
      </c>
      <c r="U483" s="391">
        <v>0.49891592962140696</v>
      </c>
      <c r="V483" s="391">
        <f>(S483-R483)/R483</f>
        <v>0.64465044493298929</v>
      </c>
      <c r="W483" s="391">
        <f>(T483-S483)/S483</f>
        <v>0</v>
      </c>
      <c r="X483" s="391">
        <f>(U483-T483)/T483</f>
        <v>-0.15734216559424991</v>
      </c>
    </row>
    <row r="484" spans="1:24">
      <c r="A484" s="354"/>
      <c r="B484" s="979"/>
      <c r="C484" s="373" t="s">
        <v>1111</v>
      </c>
      <c r="D484" t="s">
        <v>1112</v>
      </c>
      <c r="E484" s="355"/>
      <c r="F484" s="1314">
        <f t="shared" si="64"/>
        <v>0.29561191599999997</v>
      </c>
      <c r="G484" s="1604">
        <f t="shared" si="65"/>
        <v>0.31835421527590663</v>
      </c>
      <c r="H484" s="1604">
        <f t="shared" si="65"/>
        <v>0.33404436789198838</v>
      </c>
      <c r="I484" s="1604">
        <f t="shared" si="65"/>
        <v>0.34817502532619166</v>
      </c>
      <c r="J484" s="1604">
        <f t="shared" si="65"/>
        <v>0.36247094150896858</v>
      </c>
      <c r="K484" s="1604">
        <f t="shared" si="65"/>
        <v>0.37682219404531753</v>
      </c>
      <c r="L484" s="1604">
        <f t="shared" si="65"/>
        <v>0.39021345626545284</v>
      </c>
      <c r="M484" s="1604">
        <f t="shared" si="65"/>
        <v>0.40352374450349504</v>
      </c>
      <c r="N484" s="1604">
        <f t="shared" si="66"/>
        <v>0.40352374450349504</v>
      </c>
      <c r="O484" s="354"/>
      <c r="Q484" s="391">
        <f>(N484-F484)/F484</f>
        <v>0.36504559749714244</v>
      </c>
      <c r="R484" s="1605">
        <v>0.36</v>
      </c>
      <c r="S484" s="391">
        <v>0.32672846681323026</v>
      </c>
      <c r="T484" s="391">
        <v>4.3069138672529208</v>
      </c>
      <c r="U484" s="391">
        <v>6.4945796481070355</v>
      </c>
      <c r="V484" s="391">
        <f t="shared" ref="V484:X487" si="67">(S484-R484)/R484</f>
        <v>-9.2420925518804806E-2</v>
      </c>
      <c r="W484" s="391">
        <f t="shared" si="67"/>
        <v>12.181936392811794</v>
      </c>
      <c r="X484" s="391">
        <f t="shared" si="67"/>
        <v>0.50794277486897454</v>
      </c>
    </row>
    <row r="485" spans="1:24">
      <c r="A485" s="354"/>
      <c r="B485" s="979"/>
      <c r="C485" s="373" t="s">
        <v>1113</v>
      </c>
      <c r="D485" t="s">
        <v>1114</v>
      </c>
      <c r="E485" s="355"/>
      <c r="F485" s="1604">
        <f t="shared" si="64"/>
        <v>49.189822822399996</v>
      </c>
      <c r="G485" s="1598">
        <f t="shared" si="65"/>
        <v>52.974141421910858</v>
      </c>
      <c r="H485" s="1598">
        <f t="shared" si="65"/>
        <v>55.584982817226866</v>
      </c>
      <c r="I485" s="1598">
        <f t="shared" si="65"/>
        <v>57.936324214278287</v>
      </c>
      <c r="J485" s="1598">
        <f t="shared" si="65"/>
        <v>60.315164667092368</v>
      </c>
      <c r="K485" s="1598">
        <f t="shared" si="65"/>
        <v>62.703213089140831</v>
      </c>
      <c r="L485" s="1598">
        <f t="shared" si="65"/>
        <v>64.931519122571345</v>
      </c>
      <c r="M485" s="1598">
        <f t="shared" si="65"/>
        <v>67.146351085381568</v>
      </c>
      <c r="N485" s="1604">
        <f t="shared" si="66"/>
        <v>67.146351085381568</v>
      </c>
      <c r="O485" s="354"/>
      <c r="Q485" s="391">
        <f>(N485-F485)/F485</f>
        <v>0.36504559749714227</v>
      </c>
      <c r="R485" s="1605">
        <v>0.36</v>
      </c>
      <c r="S485" s="391">
        <v>0.26355092077450509</v>
      </c>
      <c r="T485" s="391">
        <v>0.18457898822609836</v>
      </c>
      <c r="U485" s="391">
        <v>4.0913840014865963E-2</v>
      </c>
      <c r="V485" s="391">
        <f t="shared" si="67"/>
        <v>-0.26791410895970807</v>
      </c>
      <c r="W485" s="391">
        <f t="shared" si="67"/>
        <v>-0.29964582296403863</v>
      </c>
      <c r="X485" s="391">
        <f t="shared" si="67"/>
        <v>-0.77833966689237166</v>
      </c>
    </row>
    <row r="486" spans="1:24">
      <c r="A486" s="354"/>
      <c r="B486" s="979"/>
      <c r="C486" s="373" t="s">
        <v>1115</v>
      </c>
      <c r="D486" t="s">
        <v>1116</v>
      </c>
      <c r="E486" s="355"/>
      <c r="F486" s="1314">
        <f t="shared" si="64"/>
        <v>5.8826771284000001</v>
      </c>
      <c r="G486" s="1598">
        <f t="shared" si="65"/>
        <v>6.3352488839905421</v>
      </c>
      <c r="H486" s="1598">
        <f t="shared" si="65"/>
        <v>6.6474829210505693</v>
      </c>
      <c r="I486" s="1598">
        <f t="shared" si="65"/>
        <v>6.928683003991214</v>
      </c>
      <c r="J486" s="1598">
        <f t="shared" si="65"/>
        <v>7.2131717360284746</v>
      </c>
      <c r="K486" s="1598">
        <f t="shared" si="65"/>
        <v>7.4987616615018187</v>
      </c>
      <c r="L486" s="1598">
        <f t="shared" si="65"/>
        <v>7.7652477796825119</v>
      </c>
      <c r="M486" s="1598">
        <f t="shared" si="65"/>
        <v>8.030122515619551</v>
      </c>
      <c r="N486" s="1604">
        <f t="shared" si="66"/>
        <v>8.030122515619551</v>
      </c>
      <c r="O486" s="354"/>
      <c r="Q486" s="391">
        <f>(N486-F486)/F486</f>
        <v>0.36504559749714222</v>
      </c>
      <c r="R486" s="1605">
        <v>0.36</v>
      </c>
      <c r="S486" s="391">
        <v>0.79341687222491919</v>
      </c>
      <c r="T486" s="391">
        <v>1.1267657332332683</v>
      </c>
      <c r="U486" s="391">
        <v>1.3789327358731713</v>
      </c>
      <c r="V486" s="391">
        <f t="shared" si="67"/>
        <v>1.2039357561803312</v>
      </c>
      <c r="W486" s="391">
        <f t="shared" si="67"/>
        <v>0.42014339835446662</v>
      </c>
      <c r="X486" s="391">
        <f t="shared" si="67"/>
        <v>0.22379718800669118</v>
      </c>
    </row>
    <row r="487" spans="1:24">
      <c r="A487" s="354"/>
      <c r="B487" s="979"/>
      <c r="C487" s="373" t="s">
        <v>1117</v>
      </c>
      <c r="D487" t="s">
        <v>1118</v>
      </c>
      <c r="E487" s="355"/>
      <c r="F487" s="1314">
        <f t="shared" si="64"/>
        <v>2.2466505615999997</v>
      </c>
      <c r="G487" s="1598">
        <f t="shared" si="65"/>
        <v>2.4194920360968903</v>
      </c>
      <c r="H487" s="1598">
        <f t="shared" si="65"/>
        <v>2.5387371959791118</v>
      </c>
      <c r="I487" s="1598">
        <f t="shared" si="65"/>
        <v>2.6461301924790566</v>
      </c>
      <c r="J487" s="1598">
        <f t="shared" si="65"/>
        <v>2.7547791554681611</v>
      </c>
      <c r="K487" s="1598">
        <f t="shared" si="65"/>
        <v>2.8638486747444127</v>
      </c>
      <c r="L487" s="1598">
        <f t="shared" si="65"/>
        <v>2.9656222676174413</v>
      </c>
      <c r="M487" s="1598">
        <f t="shared" si="65"/>
        <v>3.0667804582265621</v>
      </c>
      <c r="N487" s="1604">
        <f t="shared" si="66"/>
        <v>3.0667804582265621</v>
      </c>
      <c r="O487" s="354"/>
      <c r="Q487" s="391">
        <f>(N487-F487)/F487</f>
        <v>0.36504559749714244</v>
      </c>
      <c r="R487" s="1605">
        <v>0.36</v>
      </c>
      <c r="S487" s="391">
        <v>0.32672846681323031</v>
      </c>
      <c r="T487" s="391">
        <v>0.76897128908430712</v>
      </c>
      <c r="U487" s="391">
        <v>1.0818276800297324</v>
      </c>
      <c r="V487" s="391">
        <f t="shared" si="67"/>
        <v>-9.2420925518804653E-2</v>
      </c>
      <c r="W487" s="391">
        <f t="shared" si="67"/>
        <v>1.3535484880901996</v>
      </c>
      <c r="X487" s="391">
        <f t="shared" si="67"/>
        <v>0.40685054876102777</v>
      </c>
    </row>
    <row r="488" spans="1:24">
      <c r="A488" s="354"/>
      <c r="B488" s="979"/>
      <c r="C488" s="373" t="s">
        <v>1119</v>
      </c>
      <c r="D488" t="s">
        <v>1120</v>
      </c>
      <c r="E488" s="355"/>
      <c r="F488" s="1314">
        <f t="shared" si="64"/>
        <v>2.9561191599999998E-2</v>
      </c>
      <c r="G488" s="1598">
        <f t="shared" si="65"/>
        <v>3.1835421527590661E-2</v>
      </c>
      <c r="H488" s="1598">
        <f t="shared" si="65"/>
        <v>3.3404436789198841E-2</v>
      </c>
      <c r="I488" s="1598">
        <f t="shared" si="65"/>
        <v>3.4817502532619164E-2</v>
      </c>
      <c r="J488" s="1598">
        <f t="shared" si="65"/>
        <v>3.6247094150896858E-2</v>
      </c>
      <c r="K488" s="1598">
        <f t="shared" si="65"/>
        <v>3.7682219404531751E-2</v>
      </c>
      <c r="L488" s="1598">
        <f t="shared" si="65"/>
        <v>3.9021345626545287E-2</v>
      </c>
      <c r="M488" s="1598">
        <f t="shared" si="65"/>
        <v>4.0352374450349504E-2</v>
      </c>
      <c r="N488" s="1604">
        <f t="shared" si="66"/>
        <v>4.0352374450349504E-2</v>
      </c>
      <c r="O488" s="354"/>
    </row>
    <row r="489" spans="1:24">
      <c r="A489" s="354"/>
      <c r="B489" s="979"/>
      <c r="C489" s="373"/>
      <c r="E489" s="355"/>
      <c r="F489" s="1606">
        <f t="shared" ref="F489:N489" si="68">SUM(F483:F488)</f>
        <v>59.122383199999994</v>
      </c>
      <c r="G489" s="1606">
        <f t="shared" si="68"/>
        <v>63.670843055181322</v>
      </c>
      <c r="H489" s="1606">
        <f t="shared" si="68"/>
        <v>66.80887357839768</v>
      </c>
      <c r="I489" s="1606">
        <f t="shared" si="68"/>
        <v>69.635005065238332</v>
      </c>
      <c r="J489" s="1606">
        <f t="shared" si="68"/>
        <v>72.494188301793699</v>
      </c>
      <c r="K489" s="1606">
        <f t="shared" si="68"/>
        <v>75.3644388090635</v>
      </c>
      <c r="L489" s="1606">
        <f t="shared" si="68"/>
        <v>78.042691253090567</v>
      </c>
      <c r="M489" s="1606">
        <f t="shared" si="68"/>
        <v>80.704748900699002</v>
      </c>
      <c r="N489" s="1606">
        <f t="shared" si="68"/>
        <v>80.704748900699002</v>
      </c>
      <c r="O489" s="354"/>
    </row>
    <row r="490" spans="1:24">
      <c r="A490" s="354"/>
      <c r="B490" s="979"/>
      <c r="C490" s="354"/>
      <c r="D490" s="354"/>
      <c r="E490" s="354"/>
      <c r="F490" s="1315"/>
      <c r="G490" s="1315"/>
      <c r="H490" s="1315"/>
      <c r="I490" s="1315"/>
      <c r="J490" s="1315"/>
      <c r="K490" s="1315"/>
      <c r="L490" s="1315"/>
      <c r="M490" s="1315"/>
      <c r="N490" s="1315"/>
      <c r="O490" s="354"/>
    </row>
    <row r="491" spans="1:24">
      <c r="A491" s="354"/>
      <c r="B491" s="354" t="s">
        <v>1189</v>
      </c>
      <c r="C491" s="354" t="s">
        <v>1190</v>
      </c>
      <c r="D491" s="354"/>
      <c r="E491" s="354"/>
      <c r="F491" s="1315"/>
      <c r="G491" s="1315"/>
      <c r="H491" s="1315"/>
      <c r="I491" s="1315"/>
      <c r="J491" s="1315"/>
      <c r="K491" s="1315"/>
      <c r="L491" s="1315"/>
      <c r="M491" s="1315"/>
      <c r="N491" s="1315"/>
      <c r="O491" s="354"/>
    </row>
    <row r="492" spans="1:24">
      <c r="A492" s="354"/>
      <c r="B492" s="979"/>
      <c r="C492" s="354"/>
      <c r="D492" s="354"/>
      <c r="E492" s="354"/>
      <c r="F492" s="1315"/>
      <c r="G492" s="1315"/>
      <c r="H492" s="1315"/>
      <c r="I492" s="1315"/>
      <c r="J492" s="1315"/>
      <c r="K492" s="1315"/>
      <c r="L492" s="1315"/>
      <c r="M492" s="1315"/>
      <c r="N492" s="1315"/>
      <c r="O492" s="354"/>
    </row>
    <row r="493" spans="1:24">
      <c r="A493" s="354"/>
      <c r="B493" s="358"/>
      <c r="C493" s="1322" t="s">
        <v>1191</v>
      </c>
      <c r="D493" s="2"/>
      <c r="E493" s="354"/>
      <c r="F493" s="1315"/>
      <c r="G493" s="1315"/>
      <c r="H493" s="1315"/>
      <c r="I493" s="1315"/>
      <c r="J493" s="1315"/>
      <c r="K493" s="1315"/>
      <c r="L493" s="1315"/>
      <c r="M493" s="1315"/>
      <c r="N493" s="373" t="s">
        <v>1181</v>
      </c>
      <c r="O493" s="354"/>
    </row>
    <row r="494" spans="1:24">
      <c r="A494" s="354"/>
      <c r="B494" s="979"/>
      <c r="C494" s="358" t="s">
        <v>987</v>
      </c>
      <c r="D494" t="s">
        <v>44</v>
      </c>
      <c r="E494" s="354"/>
      <c r="F494" s="1315"/>
      <c r="G494" s="1315"/>
      <c r="H494" s="1315"/>
      <c r="I494" s="1315"/>
      <c r="J494" s="1315"/>
      <c r="K494" s="1315"/>
      <c r="L494" s="1315"/>
      <c r="M494" s="1315"/>
      <c r="N494" s="1315"/>
      <c r="O494" s="354"/>
    </row>
    <row r="495" spans="1:24">
      <c r="A495" s="354"/>
      <c r="B495" s="979"/>
      <c r="C495" s="373" t="s">
        <v>1111</v>
      </c>
      <c r="D495" s="1322" t="s">
        <v>1111</v>
      </c>
      <c r="E495" s="354"/>
      <c r="F495" s="1604">
        <f t="shared" ref="F495:N507" si="69">SUMIFS(F$483:F$488, $C$483:$C$488, $C495)*SUMIFS(F$302:F$314, $C$302:$C$314, $C495, $D$302:$D$314, $D495)</f>
        <v>0.29561191599999997</v>
      </c>
      <c r="G495" s="1598">
        <f t="shared" si="69"/>
        <v>0.31835421527590663</v>
      </c>
      <c r="H495" s="1598">
        <f t="shared" si="69"/>
        <v>0.33404436789198838</v>
      </c>
      <c r="I495" s="1598">
        <f t="shared" si="69"/>
        <v>0.34817502532619166</v>
      </c>
      <c r="J495" s="1598">
        <f t="shared" si="69"/>
        <v>0.36247094150896858</v>
      </c>
      <c r="K495" s="1598">
        <f t="shared" si="69"/>
        <v>0.37682219404531753</v>
      </c>
      <c r="L495" s="1598">
        <f t="shared" si="69"/>
        <v>0.39021345626545284</v>
      </c>
      <c r="M495" s="1598">
        <f t="shared" si="69"/>
        <v>0.40352374450349504</v>
      </c>
      <c r="N495" s="1598">
        <f t="shared" si="69"/>
        <v>0.40352374450349504</v>
      </c>
      <c r="O495" s="354"/>
    </row>
    <row r="496" spans="1:24">
      <c r="A496" s="354"/>
      <c r="B496" s="979"/>
      <c r="C496" s="358" t="s">
        <v>1113</v>
      </c>
      <c r="D496" s="411" t="s">
        <v>1125</v>
      </c>
      <c r="E496" s="354"/>
      <c r="F496" s="2656">
        <f>SUMIFS(F$483:F$488, $C$483:$C$488, $C496)*SUMIFS(F$302:F$314, $C$302:$C$314, $C496, $D$302:$D$314, $D496)</f>
        <v>49.140632999577598</v>
      </c>
      <c r="G496" s="1598">
        <f t="shared" si="69"/>
        <v>52.762244856223212</v>
      </c>
      <c r="H496" s="1598">
        <f t="shared" si="69"/>
        <v>55.140302954689048</v>
      </c>
      <c r="I496" s="1598">
        <f t="shared" si="69"/>
        <v>55.387125948850041</v>
      </c>
      <c r="J496" s="1598">
        <f t="shared" si="69"/>
        <v>55.48995149372498</v>
      </c>
      <c r="K496" s="1598">
        <f t="shared" si="69"/>
        <v>55.178827518443931</v>
      </c>
      <c r="L496" s="1598">
        <f t="shared" si="69"/>
        <v>54.542476062959928</v>
      </c>
      <c r="M496" s="1598">
        <f t="shared" si="69"/>
        <v>54.220678501445619</v>
      </c>
      <c r="N496" s="1598">
        <f t="shared" si="69"/>
        <v>52.038422091170716</v>
      </c>
      <c r="O496" s="354"/>
    </row>
    <row r="497" spans="1:17">
      <c r="A497" s="354"/>
      <c r="B497" s="979"/>
      <c r="C497" s="358" t="s">
        <v>1113</v>
      </c>
      <c r="D497" s="1322" t="s">
        <v>1126</v>
      </c>
      <c r="E497" s="354"/>
      <c r="F497" s="1604">
        <f t="shared" si="69"/>
        <v>0</v>
      </c>
      <c r="G497" s="1598">
        <f t="shared" si="69"/>
        <v>0.18540949497668802</v>
      </c>
      <c r="H497" s="1598">
        <f t="shared" si="69"/>
        <v>0.38909487972058809</v>
      </c>
      <c r="I497" s="1598">
        <f t="shared" si="69"/>
        <v>2.2305484822497146</v>
      </c>
      <c r="J497" s="1598">
        <f t="shared" si="69"/>
        <v>4.2220615266964661</v>
      </c>
      <c r="K497" s="1598">
        <f t="shared" si="69"/>
        <v>6.5838373743597876</v>
      </c>
      <c r="L497" s="1598">
        <f t="shared" si="69"/>
        <v>9.0904126771599891</v>
      </c>
      <c r="M497" s="1598">
        <f t="shared" si="69"/>
        <v>11.414879684514867</v>
      </c>
      <c r="N497" s="1598">
        <f t="shared" si="69"/>
        <v>13.429270217076315</v>
      </c>
      <c r="O497" s="354"/>
    </row>
    <row r="498" spans="1:17">
      <c r="A498" s="354"/>
      <c r="B498" s="979"/>
      <c r="C498" s="358" t="s">
        <v>1113</v>
      </c>
      <c r="D498" s="411" t="s">
        <v>1127</v>
      </c>
      <c r="E498" s="354"/>
      <c r="F498" s="1604">
        <f t="shared" si="69"/>
        <v>4.9189822822400002E-3</v>
      </c>
      <c r="G498" s="1598">
        <f t="shared" si="69"/>
        <v>2.6487070710955428E-2</v>
      </c>
      <c r="H498" s="1598">
        <f t="shared" si="69"/>
        <v>5.5584982817226868E-2</v>
      </c>
      <c r="I498" s="1598">
        <f t="shared" si="69"/>
        <v>0.31864978317853054</v>
      </c>
      <c r="J498" s="1598">
        <f t="shared" si="69"/>
        <v>0.60315164667092369</v>
      </c>
      <c r="K498" s="1598">
        <f t="shared" si="69"/>
        <v>0.9405481963371124</v>
      </c>
      <c r="L498" s="1598">
        <f t="shared" si="69"/>
        <v>1.2986303824514269</v>
      </c>
      <c r="M498" s="1598">
        <f t="shared" si="69"/>
        <v>1.5107928994210853</v>
      </c>
      <c r="N498" s="1598">
        <f t="shared" si="69"/>
        <v>1.6786587771345394</v>
      </c>
      <c r="O498" s="354"/>
    </row>
    <row r="499" spans="1:17">
      <c r="A499" s="354"/>
      <c r="B499" s="979"/>
      <c r="C499" s="358" t="s">
        <v>1113</v>
      </c>
      <c r="D499" s="411" t="s">
        <v>1128</v>
      </c>
      <c r="E499" s="354"/>
      <c r="F499" s="1604">
        <f t="shared" si="69"/>
        <v>0</v>
      </c>
      <c r="G499" s="1598">
        <f t="shared" si="69"/>
        <v>0</v>
      </c>
      <c r="H499" s="1598">
        <f t="shared" si="69"/>
        <v>0</v>
      </c>
      <c r="I499" s="1598">
        <f t="shared" si="69"/>
        <v>0</v>
      </c>
      <c r="J499" s="1598">
        <f t="shared" si="69"/>
        <v>0</v>
      </c>
      <c r="K499" s="1598">
        <f t="shared" si="69"/>
        <v>0</v>
      </c>
      <c r="L499" s="1598">
        <f t="shared" si="69"/>
        <v>0</v>
      </c>
      <c r="M499" s="1598">
        <f t="shared" si="69"/>
        <v>0</v>
      </c>
      <c r="N499" s="1598">
        <f t="shared" si="69"/>
        <v>0</v>
      </c>
      <c r="O499" s="354"/>
    </row>
    <row r="500" spans="1:17">
      <c r="A500" s="354"/>
      <c r="B500" s="979"/>
      <c r="C500" s="358" t="s">
        <v>1115</v>
      </c>
      <c r="D500" s="411" t="s">
        <v>1125</v>
      </c>
      <c r="E500" s="354"/>
      <c r="F500" s="1604">
        <f t="shared" si="69"/>
        <v>5.8826771284000001</v>
      </c>
      <c r="G500" s="1598">
        <f t="shared" si="69"/>
        <v>6.3352488839905421</v>
      </c>
      <c r="H500" s="1598">
        <f t="shared" si="69"/>
        <v>6.6474829210505693</v>
      </c>
      <c r="I500" s="1598">
        <f t="shared" si="69"/>
        <v>6.928683003991214</v>
      </c>
      <c r="J500" s="1598">
        <f t="shared" si="69"/>
        <v>7.2131717360284746</v>
      </c>
      <c r="K500" s="1598">
        <f t="shared" si="69"/>
        <v>7.4987616615018187</v>
      </c>
      <c r="L500" s="1598">
        <f t="shared" si="69"/>
        <v>7.7652477796825119</v>
      </c>
      <c r="M500" s="1598">
        <f t="shared" si="69"/>
        <v>8.030122515619551</v>
      </c>
      <c r="N500" s="1598">
        <f t="shared" si="69"/>
        <v>8.030122515619551</v>
      </c>
      <c r="O500" s="354"/>
    </row>
    <row r="501" spans="1:17">
      <c r="A501" s="354"/>
      <c r="B501" s="979"/>
      <c r="C501" s="358" t="s">
        <v>1115</v>
      </c>
      <c r="D501" s="1322" t="s">
        <v>1129</v>
      </c>
      <c r="E501" s="354"/>
      <c r="F501" s="1604">
        <f t="shared" si="69"/>
        <v>0</v>
      </c>
      <c r="G501" s="1598">
        <f t="shared" si="69"/>
        <v>0</v>
      </c>
      <c r="H501" s="1598">
        <f t="shared" si="69"/>
        <v>0</v>
      </c>
      <c r="I501" s="1598">
        <f t="shared" si="69"/>
        <v>0</v>
      </c>
      <c r="J501" s="1598">
        <f t="shared" si="69"/>
        <v>0</v>
      </c>
      <c r="K501" s="1598">
        <f t="shared" si="69"/>
        <v>0</v>
      </c>
      <c r="L501" s="1598">
        <f t="shared" si="69"/>
        <v>0</v>
      </c>
      <c r="M501" s="1598">
        <f t="shared" si="69"/>
        <v>0</v>
      </c>
      <c r="N501" s="1598">
        <f t="shared" si="69"/>
        <v>0</v>
      </c>
      <c r="O501" s="354"/>
    </row>
    <row r="502" spans="1:17">
      <c r="A502" s="354"/>
      <c r="B502" s="979"/>
      <c r="C502" s="358" t="s">
        <v>1115</v>
      </c>
      <c r="D502" s="411" t="s">
        <v>1127</v>
      </c>
      <c r="E502" s="354"/>
      <c r="F502" s="1604">
        <f t="shared" si="69"/>
        <v>0</v>
      </c>
      <c r="G502" s="1598">
        <f t="shared" si="69"/>
        <v>0</v>
      </c>
      <c r="H502" s="1598">
        <f t="shared" si="69"/>
        <v>0</v>
      </c>
      <c r="I502" s="1598">
        <f t="shared" si="69"/>
        <v>0</v>
      </c>
      <c r="J502" s="1598">
        <f t="shared" si="69"/>
        <v>0</v>
      </c>
      <c r="K502" s="1598">
        <f t="shared" si="69"/>
        <v>0</v>
      </c>
      <c r="L502" s="1598">
        <f t="shared" si="69"/>
        <v>0</v>
      </c>
      <c r="M502" s="1598">
        <f t="shared" si="69"/>
        <v>0</v>
      </c>
      <c r="N502" s="1598">
        <f t="shared" si="69"/>
        <v>0</v>
      </c>
      <c r="O502" s="354"/>
    </row>
    <row r="503" spans="1:17" s="4150" customFormat="1">
      <c r="A503" s="354"/>
      <c r="B503" s="979"/>
      <c r="C503" s="373" t="s">
        <v>1115</v>
      </c>
      <c r="D503" s="1322" t="s">
        <v>3434</v>
      </c>
      <c r="E503" s="354"/>
      <c r="F503" s="1604">
        <f t="shared" si="69"/>
        <v>0</v>
      </c>
      <c r="G503" s="1598">
        <f t="shared" si="69"/>
        <v>0</v>
      </c>
      <c r="H503" s="1598">
        <f t="shared" si="69"/>
        <v>0</v>
      </c>
      <c r="I503" s="1598">
        <f t="shared" si="69"/>
        <v>0</v>
      </c>
      <c r="J503" s="1598">
        <f t="shared" si="69"/>
        <v>0</v>
      </c>
      <c r="K503" s="1598">
        <f t="shared" si="69"/>
        <v>0</v>
      </c>
      <c r="L503" s="1598">
        <f t="shared" si="69"/>
        <v>0</v>
      </c>
      <c r="M503" s="1598">
        <f t="shared" si="69"/>
        <v>0</v>
      </c>
      <c r="N503" s="1598">
        <f t="shared" si="69"/>
        <v>0</v>
      </c>
      <c r="O503" s="354"/>
    </row>
    <row r="504" spans="1:17">
      <c r="A504" s="354"/>
      <c r="B504" s="979"/>
      <c r="C504" s="358" t="s">
        <v>1115</v>
      </c>
      <c r="D504" s="1322" t="s">
        <v>1128</v>
      </c>
      <c r="E504" s="354"/>
      <c r="F504" s="1604">
        <f t="shared" si="69"/>
        <v>0</v>
      </c>
      <c r="G504" s="1598">
        <f t="shared" si="69"/>
        <v>0</v>
      </c>
      <c r="H504" s="1598">
        <f t="shared" si="69"/>
        <v>0</v>
      </c>
      <c r="I504" s="1598">
        <f t="shared" si="69"/>
        <v>0</v>
      </c>
      <c r="J504" s="1598">
        <f t="shared" si="69"/>
        <v>0</v>
      </c>
      <c r="K504" s="1598">
        <f t="shared" si="69"/>
        <v>0</v>
      </c>
      <c r="L504" s="1598">
        <f t="shared" si="69"/>
        <v>0</v>
      </c>
      <c r="M504" s="1598">
        <f t="shared" si="69"/>
        <v>0</v>
      </c>
      <c r="N504" s="1598">
        <f t="shared" si="69"/>
        <v>0</v>
      </c>
      <c r="O504" s="354"/>
    </row>
    <row r="505" spans="1:17">
      <c r="A505" s="354"/>
      <c r="B505" s="979"/>
      <c r="C505" s="358" t="s">
        <v>1117</v>
      </c>
      <c r="D505" s="411" t="s">
        <v>1130</v>
      </c>
      <c r="E505" s="354"/>
      <c r="F505" s="1604">
        <f t="shared" si="69"/>
        <v>1.7973204492799999</v>
      </c>
      <c r="G505" s="1598">
        <f t="shared" si="69"/>
        <v>1.9355936288775124</v>
      </c>
      <c r="H505" s="1598">
        <f t="shared" si="69"/>
        <v>2.0309897567832897</v>
      </c>
      <c r="I505" s="1598">
        <f t="shared" si="69"/>
        <v>2.1169041539832452</v>
      </c>
      <c r="J505" s="1598">
        <f t="shared" si="69"/>
        <v>2.2038233243745289</v>
      </c>
      <c r="K505" s="1598">
        <f t="shared" si="69"/>
        <v>2.2910789397955305</v>
      </c>
      <c r="L505" s="1598">
        <f t="shared" si="69"/>
        <v>2.3724978140939532</v>
      </c>
      <c r="M505" s="1598">
        <f t="shared" si="69"/>
        <v>2.4534243665812498</v>
      </c>
      <c r="N505" s="1598">
        <f t="shared" si="69"/>
        <v>2.4534243665812498</v>
      </c>
      <c r="O505" s="354"/>
      <c r="Q505" s="391"/>
    </row>
    <row r="506" spans="1:17">
      <c r="A506" s="354"/>
      <c r="B506" s="979"/>
      <c r="C506" s="373" t="s">
        <v>1117</v>
      </c>
      <c r="D506" s="411" t="s">
        <v>1131</v>
      </c>
      <c r="E506" s="354"/>
      <c r="F506" s="1604">
        <f t="shared" si="69"/>
        <v>0.44933011231999997</v>
      </c>
      <c r="G506" s="1598">
        <f t="shared" si="69"/>
        <v>0.4838984072193781</v>
      </c>
      <c r="H506" s="1598">
        <f t="shared" si="69"/>
        <v>0.50774743919582244</v>
      </c>
      <c r="I506" s="1598">
        <f t="shared" si="69"/>
        <v>0.52922603849581129</v>
      </c>
      <c r="J506" s="1598">
        <f t="shared" si="69"/>
        <v>0.55095583109363222</v>
      </c>
      <c r="K506" s="1598">
        <f t="shared" si="69"/>
        <v>0.57276973494888261</v>
      </c>
      <c r="L506" s="1598">
        <f t="shared" si="69"/>
        <v>0.5931244535234883</v>
      </c>
      <c r="M506" s="1598">
        <f t="shared" si="69"/>
        <v>0.61335609164531246</v>
      </c>
      <c r="N506" s="1598">
        <f t="shared" si="69"/>
        <v>0.61335609164531246</v>
      </c>
      <c r="O506" s="354"/>
    </row>
    <row r="507" spans="1:17">
      <c r="A507" s="354"/>
      <c r="B507" s="979"/>
      <c r="C507" s="373" t="s">
        <v>1119</v>
      </c>
      <c r="D507" s="411" t="s">
        <v>1119</v>
      </c>
      <c r="E507" s="354"/>
      <c r="F507" s="1604">
        <f t="shared" si="69"/>
        <v>2.9561191599999998E-2</v>
      </c>
      <c r="G507" s="1598">
        <f t="shared" si="69"/>
        <v>3.1835421527590661E-2</v>
      </c>
      <c r="H507" s="1598">
        <f t="shared" si="69"/>
        <v>3.3404436789198841E-2</v>
      </c>
      <c r="I507" s="1598">
        <f t="shared" si="69"/>
        <v>3.4817502532619164E-2</v>
      </c>
      <c r="J507" s="1598">
        <f t="shared" si="69"/>
        <v>3.6247094150896858E-2</v>
      </c>
      <c r="K507" s="1598">
        <f t="shared" si="69"/>
        <v>3.7682219404531751E-2</v>
      </c>
      <c r="L507" s="1598">
        <f t="shared" si="69"/>
        <v>3.9021345626545287E-2</v>
      </c>
      <c r="M507" s="1598">
        <f t="shared" si="69"/>
        <v>4.0352374450349504E-2</v>
      </c>
      <c r="N507" s="1598">
        <f t="shared" si="69"/>
        <v>4.0352374450349504E-2</v>
      </c>
      <c r="O507" s="354"/>
    </row>
    <row r="508" spans="1:17">
      <c r="A508" s="354"/>
      <c r="B508" s="979"/>
      <c r="C508" s="373"/>
      <c r="D508" s="411"/>
      <c r="E508" s="354"/>
      <c r="F508" s="1598"/>
      <c r="G508" s="1598"/>
      <c r="H508" s="1598"/>
      <c r="I508" s="1598"/>
      <c r="J508" s="1598"/>
      <c r="K508" s="1598"/>
      <c r="L508" s="1598"/>
      <c r="M508" s="1598"/>
      <c r="N508" s="1598"/>
      <c r="O508" s="354"/>
    </row>
    <row r="509" spans="1:17">
      <c r="A509" s="354"/>
      <c r="B509" s="354" t="s">
        <v>1192</v>
      </c>
      <c r="C509" s="354" t="s">
        <v>1193</v>
      </c>
      <c r="D509" s="354"/>
      <c r="E509" s="354"/>
      <c r="F509" s="2429"/>
      <c r="G509" s="1315"/>
      <c r="H509" s="1315"/>
      <c r="I509" s="1315"/>
      <c r="J509" s="1315"/>
      <c r="K509" s="1315"/>
      <c r="L509" s="1315"/>
      <c r="M509" s="1315"/>
      <c r="N509" s="1315"/>
      <c r="O509" s="354"/>
    </row>
    <row r="510" spans="1:17">
      <c r="A510" s="354"/>
      <c r="B510" s="979"/>
      <c r="C510" s="354"/>
      <c r="D510" s="354"/>
      <c r="E510" s="354"/>
      <c r="F510" s="1315"/>
      <c r="G510" s="1315"/>
      <c r="H510" s="1315"/>
      <c r="I510" s="1315"/>
      <c r="J510" s="1315"/>
      <c r="K510" s="1315"/>
      <c r="L510" s="1315"/>
      <c r="M510" s="1315"/>
      <c r="N510" s="1315"/>
      <c r="O510" s="354"/>
    </row>
    <row r="511" spans="1:17">
      <c r="A511" s="354"/>
      <c r="B511" s="358"/>
      <c r="C511" s="1322" t="s">
        <v>1191</v>
      </c>
      <c r="D511" s="2"/>
      <c r="E511" s="354"/>
      <c r="F511" s="1315"/>
      <c r="G511" s="1315"/>
      <c r="H511" s="1315"/>
      <c r="I511" s="1315"/>
      <c r="J511" s="1315"/>
      <c r="K511" s="1315"/>
      <c r="L511" s="1315"/>
      <c r="M511" s="1315"/>
      <c r="N511" s="373" t="s">
        <v>1194</v>
      </c>
      <c r="O511" s="354"/>
    </row>
    <row r="512" spans="1:17">
      <c r="A512" s="354"/>
      <c r="B512" s="979"/>
      <c r="C512" s="358" t="s">
        <v>987</v>
      </c>
      <c r="D512" t="s">
        <v>44</v>
      </c>
      <c r="E512" s="354"/>
      <c r="F512" s="1315"/>
      <c r="G512" s="1315"/>
      <c r="H512" s="1315"/>
      <c r="I512" s="1315"/>
      <c r="J512" s="1315"/>
      <c r="K512" s="1315"/>
      <c r="L512" s="1315"/>
      <c r="M512" s="1315"/>
      <c r="N512" s="1315"/>
      <c r="O512" s="354"/>
    </row>
    <row r="513" spans="1:15">
      <c r="A513" s="354"/>
      <c r="B513" s="979"/>
      <c r="C513" s="373" t="s">
        <v>1111</v>
      </c>
      <c r="D513" s="1322" t="s">
        <v>1111</v>
      </c>
      <c r="E513" s="354"/>
      <c r="F513" s="1604">
        <f>F495/F$319</f>
        <v>0.29561191599999997</v>
      </c>
      <c r="G513" s="1598">
        <f t="shared" ref="G513:N513" si="70">G495/G$319</f>
        <v>0.31835421527590663</v>
      </c>
      <c r="H513" s="1598">
        <f t="shared" si="70"/>
        <v>0.33404436789198838</v>
      </c>
      <c r="I513" s="1598">
        <f t="shared" si="70"/>
        <v>0.34817502532619166</v>
      </c>
      <c r="J513" s="1598">
        <f t="shared" si="70"/>
        <v>0.36247094150896858</v>
      </c>
      <c r="K513" s="1598">
        <f t="shared" si="70"/>
        <v>0.37682219404531753</v>
      </c>
      <c r="L513" s="1598">
        <f t="shared" si="70"/>
        <v>0.39021345626545284</v>
      </c>
      <c r="M513" s="1598">
        <f t="shared" si="70"/>
        <v>0.40352374450349504</v>
      </c>
      <c r="N513" s="1598">
        <f t="shared" si="70"/>
        <v>0.40352374450349504</v>
      </c>
      <c r="O513" s="354"/>
    </row>
    <row r="514" spans="1:15">
      <c r="A514" s="354"/>
      <c r="B514" s="979"/>
      <c r="C514" s="358" t="s">
        <v>1113</v>
      </c>
      <c r="D514" s="411" t="s">
        <v>1125</v>
      </c>
      <c r="E514" s="354"/>
      <c r="F514" s="1615">
        <f>F496/F$320</f>
        <v>34.125439583039999</v>
      </c>
      <c r="G514" s="1614">
        <f t="shared" ref="F514:N517" si="71">G496/G$320</f>
        <v>36.764652724675308</v>
      </c>
      <c r="H514" s="1614">
        <f t="shared" si="71"/>
        <v>38.750070452488032</v>
      </c>
      <c r="I514" s="1614">
        <f t="shared" si="71"/>
        <v>39.25907394841861</v>
      </c>
      <c r="J514" s="1614">
        <f t="shared" si="71"/>
        <v>39.673974981020756</v>
      </c>
      <c r="K514" s="1614">
        <f t="shared" si="71"/>
        <v>39.797594896343575</v>
      </c>
      <c r="L514" s="1614">
        <f t="shared" si="71"/>
        <v>39.686757410609978</v>
      </c>
      <c r="M514" s="1614">
        <f t="shared" si="71"/>
        <v>39.804863185585077</v>
      </c>
      <c r="N514" s="1614">
        <f t="shared" si="71"/>
        <v>38.546979326793121</v>
      </c>
      <c r="O514" s="354"/>
    </row>
    <row r="515" spans="1:15">
      <c r="A515" s="354"/>
      <c r="B515" s="979"/>
      <c r="C515" s="358" t="s">
        <v>1113</v>
      </c>
      <c r="D515" s="1322" t="s">
        <v>1126</v>
      </c>
      <c r="E515" s="354"/>
      <c r="F515" s="1615">
        <f t="shared" si="71"/>
        <v>0</v>
      </c>
      <c r="G515" s="1614">
        <f t="shared" si="71"/>
        <v>0.12919305676341727</v>
      </c>
      <c r="H515" s="1614">
        <f t="shared" si="71"/>
        <v>0.27343799714457284</v>
      </c>
      <c r="I515" s="1614">
        <f t="shared" si="71"/>
        <v>1.5810401119394528</v>
      </c>
      <c r="J515" s="1614">
        <f t="shared" si="71"/>
        <v>3.0186720094254924</v>
      </c>
      <c r="K515" s="1614">
        <f t="shared" si="71"/>
        <v>4.7485766637682678</v>
      </c>
      <c r="L515" s="1614">
        <f t="shared" si="71"/>
        <v>6.6144595684349969</v>
      </c>
      <c r="M515" s="1614">
        <f t="shared" si="71"/>
        <v>8.379971196965279</v>
      </c>
      <c r="N515" s="1614">
        <f t="shared" si="71"/>
        <v>9.9476075682046776</v>
      </c>
      <c r="O515" s="354"/>
    </row>
    <row r="516" spans="1:15">
      <c r="A516" s="354"/>
      <c r="B516" s="979"/>
      <c r="C516" s="358" t="s">
        <v>1113</v>
      </c>
      <c r="D516" s="411" t="s">
        <v>1127</v>
      </c>
      <c r="E516" s="354"/>
      <c r="F516" s="1615">
        <f t="shared" si="71"/>
        <v>3.4159599182222223E-3</v>
      </c>
      <c r="G516" s="1614">
        <f t="shared" si="71"/>
        <v>1.8456150966202463E-2</v>
      </c>
      <c r="H516" s="1614">
        <f t="shared" si="71"/>
        <v>3.9062571020653261E-2</v>
      </c>
      <c r="I516" s="1614">
        <f t="shared" si="71"/>
        <v>0.22586287313420747</v>
      </c>
      <c r="J516" s="1614">
        <f t="shared" si="71"/>
        <v>0.43123885848935606</v>
      </c>
      <c r="K516" s="1614">
        <f t="shared" si="71"/>
        <v>0.67836809482403815</v>
      </c>
      <c r="L516" s="1614">
        <f t="shared" si="71"/>
        <v>0.94492279549071378</v>
      </c>
      <c r="M516" s="1614">
        <f t="shared" si="71"/>
        <v>1.1091138348924634</v>
      </c>
      <c r="N516" s="1614">
        <f t="shared" si="71"/>
        <v>1.2434509460255847</v>
      </c>
      <c r="O516" s="354"/>
    </row>
    <row r="517" spans="1:15">
      <c r="A517" s="354"/>
      <c r="B517" s="979"/>
      <c r="C517" s="358" t="s">
        <v>1113</v>
      </c>
      <c r="D517" s="411" t="s">
        <v>1128</v>
      </c>
      <c r="E517" s="354"/>
      <c r="F517" s="1615">
        <f t="shared" si="71"/>
        <v>0</v>
      </c>
      <c r="G517" s="1614">
        <f t="shared" si="71"/>
        <v>0</v>
      </c>
      <c r="H517" s="1614">
        <f t="shared" si="71"/>
        <v>0</v>
      </c>
      <c r="I517" s="1614">
        <f t="shared" si="71"/>
        <v>0</v>
      </c>
      <c r="J517" s="1614">
        <f t="shared" si="71"/>
        <v>0</v>
      </c>
      <c r="K517" s="1614">
        <f t="shared" si="71"/>
        <v>0</v>
      </c>
      <c r="L517" s="1614">
        <f t="shared" si="71"/>
        <v>0</v>
      </c>
      <c r="M517" s="1614">
        <f t="shared" si="71"/>
        <v>0</v>
      </c>
      <c r="N517" s="1614">
        <f t="shared" si="71"/>
        <v>0</v>
      </c>
      <c r="O517" s="354"/>
    </row>
    <row r="518" spans="1:15">
      <c r="A518" s="354"/>
      <c r="B518" s="979"/>
      <c r="C518" s="358" t="s">
        <v>1115</v>
      </c>
      <c r="D518" s="411" t="s">
        <v>1125</v>
      </c>
      <c r="E518" s="354"/>
      <c r="F518" s="1314">
        <f t="shared" ref="F518:N518" si="72">F500/F$321</f>
        <v>0.54978290919626172</v>
      </c>
      <c r="G518" s="1598">
        <f t="shared" si="72"/>
        <v>0.59207933495238718</v>
      </c>
      <c r="H518" s="1598">
        <f t="shared" si="72"/>
        <v>0.62126008607949246</v>
      </c>
      <c r="I518" s="1604">
        <f t="shared" si="72"/>
        <v>0.64754046766273032</v>
      </c>
      <c r="J518" s="1604">
        <f t="shared" si="72"/>
        <v>0.67412819962882942</v>
      </c>
      <c r="K518" s="1604">
        <f t="shared" si="72"/>
        <v>0.70081884686932894</v>
      </c>
      <c r="L518" s="1604">
        <f t="shared" si="72"/>
        <v>0.72572409155911333</v>
      </c>
      <c r="M518" s="1604">
        <f t="shared" si="72"/>
        <v>0.75047873977752821</v>
      </c>
      <c r="N518" s="1604">
        <f t="shared" si="72"/>
        <v>0.75047873977752821</v>
      </c>
      <c r="O518" s="354"/>
    </row>
    <row r="519" spans="1:15">
      <c r="A519" s="354"/>
      <c r="B519" s="979"/>
      <c r="C519" s="358" t="s">
        <v>1115</v>
      </c>
      <c r="D519" s="1322" t="s">
        <v>1129</v>
      </c>
      <c r="E519" s="354"/>
      <c r="F519" s="1604">
        <f t="shared" ref="F519:N519" si="73">F501/F$321</f>
        <v>0</v>
      </c>
      <c r="G519" s="1598">
        <f t="shared" si="73"/>
        <v>0</v>
      </c>
      <c r="H519" s="1598">
        <f t="shared" si="73"/>
        <v>0</v>
      </c>
      <c r="I519" s="1604">
        <f t="shared" si="73"/>
        <v>0</v>
      </c>
      <c r="J519" s="1604">
        <f t="shared" si="73"/>
        <v>0</v>
      </c>
      <c r="K519" s="1604">
        <f t="shared" si="73"/>
        <v>0</v>
      </c>
      <c r="L519" s="1604">
        <f t="shared" si="73"/>
        <v>0</v>
      </c>
      <c r="M519" s="1604">
        <f t="shared" si="73"/>
        <v>0</v>
      </c>
      <c r="N519" s="1604">
        <f t="shared" si="73"/>
        <v>0</v>
      </c>
      <c r="O519" s="354"/>
    </row>
    <row r="520" spans="1:15">
      <c r="A520" s="354"/>
      <c r="B520" s="979"/>
      <c r="C520" s="358" t="s">
        <v>1115</v>
      </c>
      <c r="D520" s="411" t="s">
        <v>1127</v>
      </c>
      <c r="E520" s="354"/>
      <c r="F520" s="1604">
        <f t="shared" ref="F520:N520" si="74">F502/F$321</f>
        <v>0</v>
      </c>
      <c r="G520" s="1598">
        <f t="shared" si="74"/>
        <v>0</v>
      </c>
      <c r="H520" s="1598">
        <f t="shared" si="74"/>
        <v>0</v>
      </c>
      <c r="I520" s="1604">
        <f t="shared" si="74"/>
        <v>0</v>
      </c>
      <c r="J520" s="1604">
        <f t="shared" si="74"/>
        <v>0</v>
      </c>
      <c r="K520" s="1604">
        <f t="shared" si="74"/>
        <v>0</v>
      </c>
      <c r="L520" s="1604">
        <f t="shared" si="74"/>
        <v>0</v>
      </c>
      <c r="M520" s="1604">
        <f t="shared" si="74"/>
        <v>0</v>
      </c>
      <c r="N520" s="1604">
        <f t="shared" si="74"/>
        <v>0</v>
      </c>
      <c r="O520" s="354"/>
    </row>
    <row r="521" spans="1:15" s="4150" customFormat="1">
      <c r="A521" s="354"/>
      <c r="B521" s="979"/>
      <c r="C521" s="373" t="s">
        <v>1115</v>
      </c>
      <c r="D521" s="1322" t="s">
        <v>3434</v>
      </c>
      <c r="E521" s="354"/>
      <c r="F521" s="1604">
        <f>F503/F$321</f>
        <v>0</v>
      </c>
      <c r="G521" s="1604">
        <f t="shared" ref="G521:N521" si="75">G503/G$321</f>
        <v>0</v>
      </c>
      <c r="H521" s="1604">
        <f t="shared" si="75"/>
        <v>0</v>
      </c>
      <c r="I521" s="1604">
        <f t="shared" si="75"/>
        <v>0</v>
      </c>
      <c r="J521" s="1604">
        <f t="shared" si="75"/>
        <v>0</v>
      </c>
      <c r="K521" s="1604">
        <f t="shared" si="75"/>
        <v>0</v>
      </c>
      <c r="L521" s="1604">
        <f t="shared" si="75"/>
        <v>0</v>
      </c>
      <c r="M521" s="1604">
        <f t="shared" si="75"/>
        <v>0</v>
      </c>
      <c r="N521" s="1604">
        <f t="shared" si="75"/>
        <v>0</v>
      </c>
      <c r="O521" s="354"/>
    </row>
    <row r="522" spans="1:15">
      <c r="A522" s="354"/>
      <c r="B522" s="979"/>
      <c r="C522" s="358" t="s">
        <v>1115</v>
      </c>
      <c r="D522" s="1322" t="s">
        <v>1128</v>
      </c>
      <c r="E522" s="354"/>
      <c r="F522" s="1604">
        <f t="shared" ref="F522:M522" si="76">F504/F$321</f>
        <v>0</v>
      </c>
      <c r="G522" s="1598">
        <f t="shared" si="76"/>
        <v>0</v>
      </c>
      <c r="H522" s="1598">
        <f t="shared" si="76"/>
        <v>0</v>
      </c>
      <c r="I522" s="1598">
        <f t="shared" si="76"/>
        <v>0</v>
      </c>
      <c r="J522" s="1598">
        <f t="shared" si="76"/>
        <v>0</v>
      </c>
      <c r="K522" s="1598">
        <f t="shared" si="76"/>
        <v>0</v>
      </c>
      <c r="L522" s="1598">
        <f t="shared" si="76"/>
        <v>0</v>
      </c>
      <c r="M522" s="1598">
        <f t="shared" si="76"/>
        <v>0</v>
      </c>
      <c r="N522" s="1598">
        <f>N504/N$321</f>
        <v>0</v>
      </c>
      <c r="O522" s="354"/>
    </row>
    <row r="523" spans="1:15">
      <c r="A523" s="354"/>
      <c r="B523" s="979"/>
      <c r="C523" s="358" t="s">
        <v>1117</v>
      </c>
      <c r="D523" s="411" t="s">
        <v>1130</v>
      </c>
      <c r="E523" s="354"/>
      <c r="F523" s="1604">
        <f t="shared" ref="F523:N524" si="77">F505/20</f>
        <v>8.9866022463999995E-2</v>
      </c>
      <c r="G523" s="1598">
        <f t="shared" si="77"/>
        <v>9.6779681443875623E-2</v>
      </c>
      <c r="H523" s="1598">
        <f t="shared" si="77"/>
        <v>0.10154948783916448</v>
      </c>
      <c r="I523" s="1598">
        <f t="shared" si="77"/>
        <v>0.10584520769916225</v>
      </c>
      <c r="J523" s="1598">
        <f t="shared" si="77"/>
        <v>0.11019116621872645</v>
      </c>
      <c r="K523" s="1598">
        <f t="shared" si="77"/>
        <v>0.11455394698977653</v>
      </c>
      <c r="L523" s="1598">
        <f t="shared" si="77"/>
        <v>0.11862489070469766</v>
      </c>
      <c r="M523" s="1598">
        <f t="shared" si="77"/>
        <v>0.1226712183290625</v>
      </c>
      <c r="N523" s="1598">
        <f t="shared" si="77"/>
        <v>0.1226712183290625</v>
      </c>
      <c r="O523" s="1598"/>
    </row>
    <row r="524" spans="1:15">
      <c r="A524" s="354"/>
      <c r="B524" s="979"/>
      <c r="C524" s="373" t="s">
        <v>1117</v>
      </c>
      <c r="D524" s="411" t="s">
        <v>1131</v>
      </c>
      <c r="E524" s="354"/>
      <c r="F524" s="1604">
        <f t="shared" si="77"/>
        <v>2.2466505615999999E-2</v>
      </c>
      <c r="G524" s="1598">
        <f t="shared" si="77"/>
        <v>2.4194920360968906E-2</v>
      </c>
      <c r="H524" s="1598">
        <f t="shared" si="77"/>
        <v>2.538737195979112E-2</v>
      </c>
      <c r="I524" s="1598">
        <f t="shared" si="77"/>
        <v>2.6461301924790563E-2</v>
      </c>
      <c r="J524" s="1598">
        <f t="shared" si="77"/>
        <v>2.7547791554681612E-2</v>
      </c>
      <c r="K524" s="1598">
        <f t="shared" si="77"/>
        <v>2.8638486747444132E-2</v>
      </c>
      <c r="L524" s="1598">
        <f t="shared" si="77"/>
        <v>2.9656222676174415E-2</v>
      </c>
      <c r="M524" s="1598">
        <f t="shared" si="77"/>
        <v>3.0667804582265625E-2</v>
      </c>
      <c r="N524" s="1598">
        <f t="shared" si="77"/>
        <v>3.0667804582265625E-2</v>
      </c>
      <c r="O524" s="1598"/>
    </row>
    <row r="525" spans="1:15">
      <c r="A525" s="354"/>
      <c r="B525" s="979"/>
      <c r="C525" s="373" t="s">
        <v>1119</v>
      </c>
      <c r="D525" s="411" t="s">
        <v>1119</v>
      </c>
      <c r="E525" s="354"/>
      <c r="F525" s="1604">
        <f t="shared" ref="F525:N525" si="78">F507/64.8</f>
        <v>4.561912283950617E-4</v>
      </c>
      <c r="G525" s="1598">
        <f t="shared" si="78"/>
        <v>4.9128736925294232E-4</v>
      </c>
      <c r="H525" s="1598">
        <f t="shared" si="78"/>
        <v>5.1550056773455003E-4</v>
      </c>
      <c r="I525" s="1598">
        <f t="shared" si="78"/>
        <v>5.3730713784906116E-4</v>
      </c>
      <c r="J525" s="1598">
        <f t="shared" si="78"/>
        <v>5.5936873689655644E-4</v>
      </c>
      <c r="K525" s="1598">
        <f t="shared" si="78"/>
        <v>5.8151573155141591E-4</v>
      </c>
      <c r="L525" s="1598">
        <f t="shared" si="78"/>
        <v>6.021812596689088E-4</v>
      </c>
      <c r="M525" s="1598">
        <f t="shared" si="78"/>
        <v>6.2272182793749234E-4</v>
      </c>
      <c r="N525" s="1598">
        <f t="shared" si="78"/>
        <v>6.2272182793749234E-4</v>
      </c>
      <c r="O525" s="354"/>
    </row>
    <row r="526" spans="1:15">
      <c r="A526" s="354"/>
      <c r="B526" s="979"/>
      <c r="C526" s="373"/>
      <c r="D526" s="411"/>
      <c r="E526" s="354"/>
      <c r="F526" s="1598"/>
      <c r="G526" s="1598"/>
      <c r="H526" s="1598"/>
      <c r="I526" s="1598"/>
      <c r="J526" s="1598"/>
      <c r="K526" s="1598"/>
      <c r="L526" s="1598"/>
      <c r="M526" s="1598"/>
      <c r="N526" s="1598"/>
      <c r="O526" s="354"/>
    </row>
    <row r="527" spans="1:15">
      <c r="A527" s="354"/>
      <c r="B527" s="354" t="s">
        <v>1195</v>
      </c>
      <c r="C527" s="354" t="s">
        <v>1196</v>
      </c>
      <c r="D527" s="354"/>
      <c r="E527" s="354"/>
      <c r="F527" s="1315"/>
      <c r="G527" s="1315"/>
      <c r="H527" s="1315"/>
      <c r="I527" s="1315"/>
      <c r="J527" s="1315"/>
      <c r="K527" s="1315"/>
      <c r="L527" s="1315"/>
      <c r="M527" s="1315"/>
      <c r="N527" s="1315"/>
      <c r="O527" s="354"/>
    </row>
    <row r="528" spans="1:15">
      <c r="A528" s="354"/>
      <c r="B528" s="979"/>
      <c r="C528" s="354"/>
      <c r="D528" s="354"/>
      <c r="E528" s="354"/>
      <c r="F528" s="1315"/>
      <c r="G528" s="1315"/>
      <c r="H528" s="1315"/>
      <c r="I528" s="1315"/>
      <c r="J528" s="1315"/>
      <c r="K528" s="1315"/>
      <c r="L528" s="1315"/>
      <c r="M528" s="1315"/>
      <c r="N528" s="1315"/>
      <c r="O528" s="354"/>
    </row>
    <row r="529" spans="1:15">
      <c r="A529" s="354"/>
      <c r="B529" s="358"/>
      <c r="C529" s="1322" t="s">
        <v>1191</v>
      </c>
      <c r="D529" s="2"/>
      <c r="E529" s="354"/>
      <c r="F529" s="1315"/>
      <c r="G529" s="1315"/>
      <c r="H529" s="1315"/>
      <c r="I529" s="1315"/>
      <c r="J529" s="1315"/>
      <c r="K529" s="1315"/>
      <c r="L529" s="1315"/>
      <c r="M529" s="1315"/>
      <c r="N529" s="373" t="s">
        <v>1197</v>
      </c>
      <c r="O529" s="354"/>
    </row>
    <row r="530" spans="1:15">
      <c r="A530" s="354"/>
      <c r="B530" s="979"/>
      <c r="C530" s="358" t="s">
        <v>987</v>
      </c>
      <c r="D530" t="s">
        <v>44</v>
      </c>
      <c r="E530" s="354"/>
      <c r="F530" s="1607">
        <v>2013</v>
      </c>
      <c r="G530" s="1607">
        <v>2015</v>
      </c>
      <c r="H530" s="1607">
        <v>2020</v>
      </c>
      <c r="I530" s="1607">
        <v>2025</v>
      </c>
      <c r="J530" s="1607">
        <v>2030</v>
      </c>
      <c r="K530" s="1607">
        <v>2035</v>
      </c>
      <c r="L530" s="1607">
        <v>2040</v>
      </c>
      <c r="M530" s="1607">
        <v>2045</v>
      </c>
      <c r="N530" s="1607">
        <v>2050</v>
      </c>
      <c r="O530" s="354"/>
    </row>
    <row r="531" spans="1:15">
      <c r="A531" s="354"/>
      <c r="B531" s="979"/>
      <c r="C531" s="373" t="s">
        <v>1111</v>
      </c>
      <c r="D531" s="1322" t="s">
        <v>1111</v>
      </c>
      <c r="E531" s="354"/>
      <c r="F531" s="1598">
        <f t="shared" ref="F531:N531" si="79">F513*1000000/INDEX(F$136:F$140,MATCH($C531,$C$136:$C$140,0))</f>
        <v>1970.7461066666665</v>
      </c>
      <c r="G531" s="1598">
        <f t="shared" si="79"/>
        <v>2252.9718070621548</v>
      </c>
      <c r="H531" s="1598">
        <f t="shared" si="79"/>
        <v>2458.5730289216949</v>
      </c>
      <c r="I531" s="1598">
        <f t="shared" si="79"/>
        <v>2669.3520101912795</v>
      </c>
      <c r="J531" s="1598">
        <f t="shared" si="79"/>
        <v>2899.7822327308877</v>
      </c>
      <c r="K531" s="1598">
        <f t="shared" si="79"/>
        <v>3151.6241396029027</v>
      </c>
      <c r="L531" s="1598">
        <f t="shared" si="79"/>
        <v>3419.0403783031811</v>
      </c>
      <c r="M531" s="1598">
        <f t="shared" si="79"/>
        <v>3712.4542084950995</v>
      </c>
      <c r="N531" s="1598">
        <f t="shared" si="79"/>
        <v>3907.8537299034356</v>
      </c>
      <c r="O531" s="354"/>
    </row>
    <row r="532" spans="1:15">
      <c r="A532" s="354"/>
      <c r="B532" s="979"/>
      <c r="C532" s="358" t="s">
        <v>1113</v>
      </c>
      <c r="D532" s="411" t="s">
        <v>1125</v>
      </c>
      <c r="E532" s="354"/>
      <c r="F532" s="1598">
        <f t="shared" ref="F532:N532" si="80">F514*1000000/INDEX(F$136:F$140,MATCH($C532,$C$136:$C$140,0))</f>
        <v>2035.7596840088288</v>
      </c>
      <c r="G532" s="1598">
        <f t="shared" si="80"/>
        <v>2193.2024533004419</v>
      </c>
      <c r="H532" s="1598">
        <f t="shared" si="80"/>
        <v>2311.6429310080557</v>
      </c>
      <c r="I532" s="1598">
        <f t="shared" si="80"/>
        <v>2342.0076327876041</v>
      </c>
      <c r="J532" s="1598">
        <f t="shared" si="80"/>
        <v>2366.7586339569739</v>
      </c>
      <c r="K532" s="1598">
        <f t="shared" si="80"/>
        <v>2374.1332038622904</v>
      </c>
      <c r="L532" s="1598">
        <f t="shared" si="80"/>
        <v>2367.5211722609301</v>
      </c>
      <c r="M532" s="1598">
        <f t="shared" si="80"/>
        <v>2374.5667950596594</v>
      </c>
      <c r="N532" s="1598">
        <f t="shared" si="80"/>
        <v>2299.5274907112762</v>
      </c>
      <c r="O532" s="354"/>
    </row>
    <row r="533" spans="1:15">
      <c r="A533" s="354"/>
      <c r="B533" s="979"/>
      <c r="C533" s="358" t="s">
        <v>1113</v>
      </c>
      <c r="D533" s="1322" t="s">
        <v>1126</v>
      </c>
      <c r="E533" s="354"/>
      <c r="F533" s="1598">
        <f t="shared" ref="F533:N533" si="81">F515*1000000/INDEX(F$136:F$140,MATCH($C533,$C$136:$C$140,0))</f>
        <v>0</v>
      </c>
      <c r="G533" s="1598">
        <f t="shared" si="81"/>
        <v>7.7070367334854906</v>
      </c>
      <c r="H533" s="1598">
        <f t="shared" si="81"/>
        <v>16.311996488968134</v>
      </c>
      <c r="I533" s="1598">
        <f t="shared" si="81"/>
        <v>94.317252994061491</v>
      </c>
      <c r="J533" s="1598">
        <f t="shared" si="81"/>
        <v>180.07946127933499</v>
      </c>
      <c r="K533" s="1598">
        <f t="shared" si="81"/>
        <v>283.27725727902333</v>
      </c>
      <c r="L533" s="1598">
        <f t="shared" si="81"/>
        <v>394.58686204348845</v>
      </c>
      <c r="M533" s="1598">
        <f t="shared" si="81"/>
        <v>499.90879895992833</v>
      </c>
      <c r="N533" s="1598">
        <f t="shared" si="81"/>
        <v>593.42644921581325</v>
      </c>
      <c r="O533" s="354"/>
    </row>
    <row r="534" spans="1:15">
      <c r="A534" s="354"/>
      <c r="B534" s="979"/>
      <c r="C534" s="358" t="s">
        <v>1113</v>
      </c>
      <c r="D534" s="411" t="s">
        <v>1127</v>
      </c>
      <c r="E534" s="354"/>
      <c r="F534" s="1598">
        <f t="shared" ref="F534:N534" si="82">F516*1000000/INDEX(F$136:F$140,MATCH($C534,$C$136:$C$140,0))</f>
        <v>0.20377974814903194</v>
      </c>
      <c r="G534" s="1598">
        <f t="shared" si="82"/>
        <v>1.1010052476407839</v>
      </c>
      <c r="H534" s="1598">
        <f t="shared" si="82"/>
        <v>2.3302852127097333</v>
      </c>
      <c r="I534" s="1598">
        <f t="shared" si="82"/>
        <v>13.473893284865923</v>
      </c>
      <c r="J534" s="1598">
        <f t="shared" si="82"/>
        <v>25.725637325619285</v>
      </c>
      <c r="K534" s="1598">
        <f t="shared" si="82"/>
        <v>40.468179611289038</v>
      </c>
      <c r="L534" s="1598">
        <f t="shared" si="82"/>
        <v>56.36955172049835</v>
      </c>
      <c r="M534" s="1598">
        <f t="shared" si="82"/>
        <v>66.164399862343458</v>
      </c>
      <c r="N534" s="1598">
        <f t="shared" si="82"/>
        <v>74.178306151976656</v>
      </c>
      <c r="O534" s="354"/>
    </row>
    <row r="535" spans="1:15">
      <c r="A535" s="354"/>
      <c r="B535" s="979"/>
      <c r="C535" s="358" t="s">
        <v>1113</v>
      </c>
      <c r="D535" s="411" t="s">
        <v>1128</v>
      </c>
      <c r="E535" s="354"/>
      <c r="F535" s="1598">
        <f t="shared" ref="F535:N535" si="83">F517*1000000/INDEX(F$136:F$140,MATCH($C535,$C$136:$C$140,0))</f>
        <v>0</v>
      </c>
      <c r="G535" s="1598">
        <f t="shared" si="83"/>
        <v>0</v>
      </c>
      <c r="H535" s="1598">
        <f t="shared" si="83"/>
        <v>0</v>
      </c>
      <c r="I535" s="1598">
        <f t="shared" si="83"/>
        <v>0</v>
      </c>
      <c r="J535" s="1598">
        <f t="shared" si="83"/>
        <v>0</v>
      </c>
      <c r="K535" s="1598">
        <f t="shared" si="83"/>
        <v>0</v>
      </c>
      <c r="L535" s="1598">
        <f t="shared" si="83"/>
        <v>0</v>
      </c>
      <c r="M535" s="1598">
        <f t="shared" si="83"/>
        <v>0</v>
      </c>
      <c r="N535" s="1598">
        <f t="shared" si="83"/>
        <v>0</v>
      </c>
      <c r="O535" s="354"/>
    </row>
    <row r="536" spans="1:15">
      <c r="A536" s="354"/>
      <c r="B536" s="979"/>
      <c r="C536" s="358" t="s">
        <v>1115</v>
      </c>
      <c r="D536" s="411" t="s">
        <v>1125</v>
      </c>
      <c r="E536" s="354"/>
      <c r="F536" s="1598">
        <f t="shared" ref="F536:N536" si="84">F518*1000000/INDEX(F$136:F$140,MATCH($C536,$C$136:$C$140,0))</f>
        <v>15.265810773484247</v>
      </c>
      <c r="G536" s="1598">
        <f t="shared" si="84"/>
        <v>16.440254760714922</v>
      </c>
      <c r="H536" s="1598">
        <f t="shared" si="84"/>
        <v>17.250516079288399</v>
      </c>
      <c r="I536" s="1598">
        <f t="shared" si="84"/>
        <v>17.980242896171777</v>
      </c>
      <c r="J536" s="1598">
        <f t="shared" si="84"/>
        <v>18.718503904837824</v>
      </c>
      <c r="K536" s="1598">
        <f t="shared" si="84"/>
        <v>19.459622559819209</v>
      </c>
      <c r="L536" s="1598">
        <f t="shared" si="84"/>
        <v>20.151165978761409</v>
      </c>
      <c r="M536" s="1598">
        <f t="shared" si="84"/>
        <v>20.838527788569117</v>
      </c>
      <c r="N536" s="1598">
        <f t="shared" si="84"/>
        <v>20.838527788569117</v>
      </c>
      <c r="O536" s="354"/>
    </row>
    <row r="537" spans="1:15">
      <c r="A537" s="354"/>
      <c r="B537" s="979"/>
      <c r="C537" s="358" t="s">
        <v>1115</v>
      </c>
      <c r="D537" s="1322" t="s">
        <v>1129</v>
      </c>
      <c r="E537" s="354"/>
      <c r="F537" s="1598">
        <f t="shared" ref="F537:N537" si="85">F519*1000000/INDEX(F$136:F$140,MATCH($C537,$C$136:$C$140,0))</f>
        <v>0</v>
      </c>
      <c r="G537" s="1598">
        <f t="shared" si="85"/>
        <v>0</v>
      </c>
      <c r="H537" s="1598">
        <f t="shared" si="85"/>
        <v>0</v>
      </c>
      <c r="I537" s="1598">
        <f t="shared" si="85"/>
        <v>0</v>
      </c>
      <c r="J537" s="1598">
        <f t="shared" si="85"/>
        <v>0</v>
      </c>
      <c r="K537" s="1598">
        <f t="shared" si="85"/>
        <v>0</v>
      </c>
      <c r="L537" s="1598">
        <f t="shared" si="85"/>
        <v>0</v>
      </c>
      <c r="M537" s="1598">
        <f t="shared" si="85"/>
        <v>0</v>
      </c>
      <c r="N537" s="1598">
        <f t="shared" si="85"/>
        <v>0</v>
      </c>
      <c r="O537" s="354"/>
    </row>
    <row r="538" spans="1:15">
      <c r="A538" s="354"/>
      <c r="B538" s="979"/>
      <c r="C538" s="358" t="s">
        <v>1115</v>
      </c>
      <c r="D538" s="411" t="s">
        <v>1127</v>
      </c>
      <c r="E538" s="354"/>
      <c r="F538" s="1598">
        <f t="shared" ref="F538:N538" si="86">F520*1000000/INDEX(F$136:F$140,MATCH($C538,$C$136:$C$140,0))</f>
        <v>0</v>
      </c>
      <c r="G538" s="1598">
        <f t="shared" si="86"/>
        <v>0</v>
      </c>
      <c r="H538" s="1598">
        <f t="shared" si="86"/>
        <v>0</v>
      </c>
      <c r="I538" s="1598">
        <f t="shared" si="86"/>
        <v>0</v>
      </c>
      <c r="J538" s="1598">
        <f t="shared" si="86"/>
        <v>0</v>
      </c>
      <c r="K538" s="1598">
        <f t="shared" si="86"/>
        <v>0</v>
      </c>
      <c r="L538" s="1598">
        <f t="shared" si="86"/>
        <v>0</v>
      </c>
      <c r="M538" s="1598">
        <f t="shared" si="86"/>
        <v>0</v>
      </c>
      <c r="N538" s="1598">
        <f t="shared" si="86"/>
        <v>0</v>
      </c>
      <c r="O538" s="354"/>
    </row>
    <row r="539" spans="1:15" s="4150" customFormat="1">
      <c r="A539" s="354"/>
      <c r="B539" s="979"/>
      <c r="C539" s="373" t="s">
        <v>1115</v>
      </c>
      <c r="D539" s="1322" t="s">
        <v>3434</v>
      </c>
      <c r="E539" s="354"/>
      <c r="F539" s="1598">
        <f>F521*1000000/INDEX(F$136:F$140,MATCH($C539,$C$136:$C$140,0))</f>
        <v>0</v>
      </c>
      <c r="G539" s="1598">
        <f t="shared" ref="G539:M539" si="87">G521*1000000/INDEX(G$136:G$140,MATCH($C539,$C$136:$C$140,0))</f>
        <v>0</v>
      </c>
      <c r="H539" s="1598">
        <f t="shared" si="87"/>
        <v>0</v>
      </c>
      <c r="I539" s="1598">
        <f t="shared" si="87"/>
        <v>0</v>
      </c>
      <c r="J539" s="1598">
        <f t="shared" si="87"/>
        <v>0</v>
      </c>
      <c r="K539" s="1598">
        <f t="shared" si="87"/>
        <v>0</v>
      </c>
      <c r="L539" s="1598">
        <f t="shared" si="87"/>
        <v>0</v>
      </c>
      <c r="M539" s="1598">
        <f t="shared" si="87"/>
        <v>0</v>
      </c>
      <c r="N539" s="1598">
        <f>N521*1000000/INDEX(N$136:N$140,MATCH($C539,$C$136:$C$140,0))</f>
        <v>0</v>
      </c>
      <c r="O539" s="354"/>
    </row>
    <row r="540" spans="1:15">
      <c r="A540" s="354"/>
      <c r="B540" s="979"/>
      <c r="C540" s="358" t="s">
        <v>1115</v>
      </c>
      <c r="D540" s="1322" t="s">
        <v>1128</v>
      </c>
      <c r="E540" s="354"/>
      <c r="F540" s="1598">
        <f t="shared" ref="F540:N540" si="88">F522*1000000/INDEX(F$136:F$140,MATCH($C540,$C$136:$C$140,0))</f>
        <v>0</v>
      </c>
      <c r="G540" s="1598">
        <f t="shared" si="88"/>
        <v>0</v>
      </c>
      <c r="H540" s="1598">
        <f t="shared" si="88"/>
        <v>0</v>
      </c>
      <c r="I540" s="1598">
        <f t="shared" si="88"/>
        <v>0</v>
      </c>
      <c r="J540" s="1598">
        <f t="shared" si="88"/>
        <v>0</v>
      </c>
      <c r="K540" s="1598">
        <f t="shared" si="88"/>
        <v>0</v>
      </c>
      <c r="L540" s="1598">
        <f t="shared" si="88"/>
        <v>0</v>
      </c>
      <c r="M540" s="1598">
        <f t="shared" si="88"/>
        <v>0</v>
      </c>
      <c r="N540" s="1598">
        <f t="shared" si="88"/>
        <v>0</v>
      </c>
      <c r="O540" s="354"/>
    </row>
    <row r="541" spans="1:15">
      <c r="A541" s="354"/>
      <c r="B541" s="979"/>
      <c r="C541" s="358" t="s">
        <v>1117</v>
      </c>
      <c r="D541" s="411" t="s">
        <v>1130</v>
      </c>
      <c r="E541" s="354"/>
      <c r="F541" s="1598">
        <f t="shared" ref="F541:N541" si="89">F523*1000000/INDEX(F$136:F$140,MATCH($C541,$C$136:$C$140,0))*0.8</f>
        <v>2.1495834346299896</v>
      </c>
      <c r="G541" s="1598">
        <f t="shared" si="89"/>
        <v>2.3149572478726417</v>
      </c>
      <c r="H541" s="1598">
        <f t="shared" si="89"/>
        <v>2.4290503893356732</v>
      </c>
      <c r="I541" s="1598">
        <f t="shared" si="89"/>
        <v>2.5318034432450234</v>
      </c>
      <c r="J541" s="1598">
        <f t="shared" si="89"/>
        <v>2.6357581992818409</v>
      </c>
      <c r="K541" s="1598">
        <f t="shared" si="89"/>
        <v>2.740115341361077</v>
      </c>
      <c r="L541" s="1598">
        <f t="shared" si="89"/>
        <v>2.837491779451581</v>
      </c>
      <c r="M541" s="1598">
        <f t="shared" si="89"/>
        <v>2.934279403894454</v>
      </c>
      <c r="N541" s="1598">
        <f t="shared" si="89"/>
        <v>2.934279403894454</v>
      </c>
      <c r="O541" s="354"/>
    </row>
    <row r="542" spans="1:15">
      <c r="A542" s="354"/>
      <c r="B542" s="979"/>
      <c r="C542" s="373" t="s">
        <v>1117</v>
      </c>
      <c r="D542" s="411" t="s">
        <v>1131</v>
      </c>
      <c r="E542" s="354"/>
      <c r="F542" s="1598">
        <f t="shared" ref="F542:N542" si="90">F524*1000000/INDEX(F$136:F$140,MATCH($C542,$C$136:$C$140,0))*0.8</f>
        <v>0.53739585865749739</v>
      </c>
      <c r="G542" s="1598">
        <f t="shared" si="90"/>
        <v>0.57873931196816042</v>
      </c>
      <c r="H542" s="1598">
        <f t="shared" si="90"/>
        <v>0.6072625973339183</v>
      </c>
      <c r="I542" s="1598">
        <f t="shared" si="90"/>
        <v>0.63295086081125584</v>
      </c>
      <c r="J542" s="1598">
        <f t="shared" si="90"/>
        <v>0.65893954982046021</v>
      </c>
      <c r="K542" s="1598">
        <f t="shared" si="90"/>
        <v>0.68502883534026926</v>
      </c>
      <c r="L542" s="1598">
        <f t="shared" si="90"/>
        <v>0.70937294486289526</v>
      </c>
      <c r="M542" s="1598">
        <f t="shared" si="90"/>
        <v>0.73356985097361349</v>
      </c>
      <c r="N542" s="1598">
        <f t="shared" si="90"/>
        <v>0.73356985097361349</v>
      </c>
      <c r="O542" s="354"/>
    </row>
    <row r="543" spans="1:15">
      <c r="A543" s="354"/>
      <c r="B543" s="979"/>
      <c r="C543" s="373" t="s">
        <v>1119</v>
      </c>
      <c r="D543" s="411" t="s">
        <v>1119</v>
      </c>
      <c r="E543" s="354"/>
      <c r="F543" s="1598">
        <f t="shared" ref="F543:N543" si="91">F525*1000000/INDEX(F$136:F$140,MATCH($C543,$C$136:$C$140,0))</f>
        <v>2.972898197426274E-3</v>
      </c>
      <c r="G543" s="1598">
        <f t="shared" si="91"/>
        <v>3.2016120511759029E-3</v>
      </c>
      <c r="H543" s="1598">
        <f t="shared" si="91"/>
        <v>3.359404155976214E-3</v>
      </c>
      <c r="I543" s="1598">
        <f t="shared" si="91"/>
        <v>3.5015127914568992E-3</v>
      </c>
      <c r="J543" s="1598">
        <f t="shared" si="91"/>
        <v>3.6452833945686313E-3</v>
      </c>
      <c r="K543" s="1598">
        <f t="shared" si="91"/>
        <v>3.7896105021271811E-3</v>
      </c>
      <c r="L543" s="1598">
        <f t="shared" si="91"/>
        <v>3.9242832171320222E-3</v>
      </c>
      <c r="M543" s="1598">
        <f t="shared" si="91"/>
        <v>4.0581415962039251E-3</v>
      </c>
      <c r="N543" s="1598">
        <f t="shared" si="91"/>
        <v>4.0581415962039251E-3</v>
      </c>
      <c r="O543" s="354"/>
    </row>
    <row r="544" spans="1:15">
      <c r="A544" s="354"/>
      <c r="B544" s="979"/>
      <c r="C544" s="373"/>
      <c r="D544" s="411"/>
      <c r="E544" s="354"/>
      <c r="F544" s="1598"/>
      <c r="G544" s="1598"/>
      <c r="H544" s="1598"/>
      <c r="I544" s="1598"/>
      <c r="J544" s="1598"/>
      <c r="K544" s="1598"/>
      <c r="L544" s="1598"/>
      <c r="M544" s="1598"/>
      <c r="N544" s="1598"/>
      <c r="O544" s="354"/>
    </row>
    <row r="545" spans="1:15">
      <c r="A545" s="399"/>
      <c r="B545" s="399" t="s">
        <v>1198</v>
      </c>
      <c r="C545" s="399" t="s">
        <v>2728</v>
      </c>
      <c r="D545" s="399"/>
      <c r="E545" s="399"/>
      <c r="F545" s="399"/>
      <c r="G545" s="399"/>
      <c r="H545" s="399"/>
      <c r="I545" s="399"/>
      <c r="J545" s="399"/>
      <c r="K545" s="399"/>
      <c r="L545" s="399"/>
      <c r="M545" s="399"/>
      <c r="N545" s="399"/>
      <c r="O545" s="399"/>
    </row>
    <row r="546" spans="1:15" hidden="1">
      <c r="A546" s="399"/>
      <c r="B546" s="1608"/>
      <c r="C546" s="399"/>
      <c r="D546" s="399"/>
      <c r="E546" s="399"/>
      <c r="F546" s="399"/>
      <c r="G546" s="399"/>
      <c r="H546" s="399"/>
      <c r="I546" s="399"/>
      <c r="J546" s="399"/>
      <c r="K546" s="399"/>
      <c r="L546" s="399"/>
      <c r="M546" s="399"/>
      <c r="N546" s="399"/>
      <c r="O546" s="399"/>
    </row>
    <row r="547" spans="1:15" hidden="1">
      <c r="A547" s="399"/>
      <c r="B547" s="1609"/>
      <c r="C547" s="1610" t="s">
        <v>1191</v>
      </c>
      <c r="D547" s="38"/>
      <c r="E547" s="399"/>
      <c r="F547" s="1611"/>
      <c r="G547" s="1611"/>
      <c r="H547" s="1611"/>
      <c r="I547" s="1611"/>
      <c r="J547" s="1611"/>
      <c r="K547" s="1611"/>
      <c r="L547" s="1611"/>
      <c r="M547" s="1611"/>
      <c r="N547" s="1599" t="s">
        <v>1199</v>
      </c>
      <c r="O547" s="399"/>
    </row>
    <row r="548" spans="1:15" hidden="1">
      <c r="A548" s="399"/>
      <c r="B548" s="1608"/>
      <c r="C548" s="1609" t="s">
        <v>987</v>
      </c>
      <c r="D548" s="39" t="s">
        <v>44</v>
      </c>
      <c r="E548" s="399"/>
      <c r="F548" s="1612"/>
      <c r="G548" s="1607">
        <v>2015</v>
      </c>
      <c r="H548" s="1607">
        <v>2020</v>
      </c>
      <c r="I548" s="1607">
        <v>2025</v>
      </c>
      <c r="J548" s="1607">
        <v>2030</v>
      </c>
      <c r="K548" s="1607">
        <v>2035</v>
      </c>
      <c r="L548" s="1607">
        <v>2040</v>
      </c>
      <c r="M548" s="1607">
        <v>2045</v>
      </c>
      <c r="N548" s="1607">
        <v>2050</v>
      </c>
      <c r="O548" s="399"/>
    </row>
    <row r="549" spans="1:15" hidden="1">
      <c r="A549" s="354"/>
      <c r="B549" s="979"/>
      <c r="C549" s="373" t="s">
        <v>1111</v>
      </c>
      <c r="D549" s="1322" t="s">
        <v>1111</v>
      </c>
      <c r="E549" s="354"/>
      <c r="F549" s="1598"/>
      <c r="G549" s="1598">
        <f t="shared" ref="G549:N556" si="92">F531/$E252</f>
        <v>394.14922133333329</v>
      </c>
      <c r="H549" s="1598">
        <f t="shared" si="92"/>
        <v>450.59436141243094</v>
      </c>
      <c r="I549" s="1598">
        <f t="shared" si="92"/>
        <v>491.71460578433897</v>
      </c>
      <c r="J549" s="1598">
        <f t="shared" si="92"/>
        <v>533.87040203825586</v>
      </c>
      <c r="K549" s="1598">
        <f t="shared" si="92"/>
        <v>579.95644654617752</v>
      </c>
      <c r="L549" s="1598">
        <f t="shared" si="92"/>
        <v>630.32482792058056</v>
      </c>
      <c r="M549" s="1598">
        <f t="shared" si="92"/>
        <v>683.80807566063618</v>
      </c>
      <c r="N549" s="1598">
        <f t="shared" si="92"/>
        <v>742.49084169901994</v>
      </c>
      <c r="O549" s="354"/>
    </row>
    <row r="550" spans="1:15" hidden="1">
      <c r="A550" s="399"/>
      <c r="B550" s="1608"/>
      <c r="C550" s="1609" t="s">
        <v>1113</v>
      </c>
      <c r="D550" s="1613" t="s">
        <v>1125</v>
      </c>
      <c r="E550" s="399"/>
      <c r="F550" s="1598"/>
      <c r="G550" s="1598">
        <f t="shared" si="92"/>
        <v>169.64664033406908</v>
      </c>
      <c r="H550" s="1598">
        <f t="shared" si="92"/>
        <v>182.76687110837017</v>
      </c>
      <c r="I550" s="1598">
        <f t="shared" si="92"/>
        <v>192.63691091733799</v>
      </c>
      <c r="J550" s="1598">
        <f t="shared" si="92"/>
        <v>195.16730273230033</v>
      </c>
      <c r="K550" s="1598">
        <f t="shared" si="92"/>
        <v>197.22988616308115</v>
      </c>
      <c r="L550" s="1598">
        <f t="shared" si="92"/>
        <v>197.84443365519087</v>
      </c>
      <c r="M550" s="1598">
        <f t="shared" si="92"/>
        <v>197.29343102174417</v>
      </c>
      <c r="N550" s="1598">
        <f t="shared" si="92"/>
        <v>197.88056625497163</v>
      </c>
      <c r="O550" s="399"/>
    </row>
    <row r="551" spans="1:15" hidden="1">
      <c r="A551" s="399"/>
      <c r="B551" s="1608"/>
      <c r="C551" s="1609" t="s">
        <v>1113</v>
      </c>
      <c r="D551" s="1610" t="s">
        <v>1126</v>
      </c>
      <c r="E551" s="399"/>
      <c r="F551" s="1598"/>
      <c r="G551" s="1598">
        <f t="shared" si="92"/>
        <v>0</v>
      </c>
      <c r="H551" s="1598">
        <f t="shared" si="92"/>
        <v>0.64225306112379088</v>
      </c>
      <c r="I551" s="1598">
        <f t="shared" si="92"/>
        <v>1.3593330407473445</v>
      </c>
      <c r="J551" s="1598">
        <f t="shared" si="92"/>
        <v>7.8597710828384573</v>
      </c>
      <c r="K551" s="1598">
        <f t="shared" si="92"/>
        <v>15.006621773277915</v>
      </c>
      <c r="L551" s="1598">
        <f t="shared" si="92"/>
        <v>23.606438106585276</v>
      </c>
      <c r="M551" s="1598">
        <f t="shared" si="92"/>
        <v>32.882238503624038</v>
      </c>
      <c r="N551" s="1598">
        <f t="shared" si="92"/>
        <v>41.659066579994025</v>
      </c>
      <c r="O551" s="399"/>
    </row>
    <row r="552" spans="1:15" hidden="1">
      <c r="A552" s="399"/>
      <c r="B552" s="1608"/>
      <c r="C552" s="1609" t="s">
        <v>1113</v>
      </c>
      <c r="D552" s="1613" t="s">
        <v>1127</v>
      </c>
      <c r="E552" s="399"/>
      <c r="F552" s="1598"/>
      <c r="G552" s="1598">
        <f t="shared" si="92"/>
        <v>1.6981645679085996E-2</v>
      </c>
      <c r="H552" s="1598">
        <f t="shared" si="92"/>
        <v>9.1750437303398658E-2</v>
      </c>
      <c r="I552" s="1598">
        <f t="shared" si="92"/>
        <v>0.19419043439247777</v>
      </c>
      <c r="J552" s="1598">
        <f t="shared" si="92"/>
        <v>1.1228244404054937</v>
      </c>
      <c r="K552" s="1598">
        <f t="shared" si="92"/>
        <v>2.1438031104682738</v>
      </c>
      <c r="L552" s="1598">
        <f t="shared" si="92"/>
        <v>3.3723483009407533</v>
      </c>
      <c r="M552" s="1598">
        <f t="shared" si="92"/>
        <v>4.6974626433748625</v>
      </c>
      <c r="N552" s="1598">
        <f t="shared" si="92"/>
        <v>5.5136999885286215</v>
      </c>
      <c r="O552" s="399"/>
    </row>
    <row r="553" spans="1:15" hidden="1">
      <c r="A553" s="399"/>
      <c r="B553" s="1608"/>
      <c r="C553" s="1609" t="s">
        <v>1113</v>
      </c>
      <c r="D553" s="1613" t="s">
        <v>1128</v>
      </c>
      <c r="E553" s="399"/>
      <c r="F553" s="1598"/>
      <c r="G553" s="1598">
        <f t="shared" si="92"/>
        <v>0</v>
      </c>
      <c r="H553" s="1598">
        <f t="shared" si="92"/>
        <v>0</v>
      </c>
      <c r="I553" s="1598">
        <f t="shared" si="92"/>
        <v>0</v>
      </c>
      <c r="J553" s="1598">
        <f t="shared" si="92"/>
        <v>0</v>
      </c>
      <c r="K553" s="1598">
        <f t="shared" si="92"/>
        <v>0</v>
      </c>
      <c r="L553" s="1598">
        <f t="shared" si="92"/>
        <v>0</v>
      </c>
      <c r="M553" s="1598">
        <f t="shared" si="92"/>
        <v>0</v>
      </c>
      <c r="N553" s="1598">
        <f t="shared" si="92"/>
        <v>0</v>
      </c>
      <c r="O553" s="399"/>
    </row>
    <row r="554" spans="1:15" hidden="1">
      <c r="A554" s="399"/>
      <c r="B554" s="1608"/>
      <c r="C554" s="1609" t="s">
        <v>1115</v>
      </c>
      <c r="D554" s="1613" t="s">
        <v>1125</v>
      </c>
      <c r="E554" s="399"/>
      <c r="F554" s="1598"/>
      <c r="G554" s="1598">
        <f t="shared" si="92"/>
        <v>1.0177207182322832</v>
      </c>
      <c r="H554" s="1598">
        <f t="shared" si="92"/>
        <v>1.0960169840476615</v>
      </c>
      <c r="I554" s="1598">
        <f t="shared" si="92"/>
        <v>1.1500344052858933</v>
      </c>
      <c r="J554" s="1598">
        <f t="shared" si="92"/>
        <v>1.1986828597447852</v>
      </c>
      <c r="K554" s="1598">
        <f t="shared" si="92"/>
        <v>1.2479002603225215</v>
      </c>
      <c r="L554" s="1598">
        <f t="shared" si="92"/>
        <v>1.2973081706546139</v>
      </c>
      <c r="M554" s="1598">
        <f t="shared" si="92"/>
        <v>1.3434110652507605</v>
      </c>
      <c r="N554" s="1598">
        <f t="shared" si="92"/>
        <v>1.3892351859046077</v>
      </c>
      <c r="O554" s="399"/>
    </row>
    <row r="555" spans="1:15" hidden="1">
      <c r="A555" s="399"/>
      <c r="B555" s="1608"/>
      <c r="C555" s="1609" t="s">
        <v>1115</v>
      </c>
      <c r="D555" s="1610" t="s">
        <v>1129</v>
      </c>
      <c r="E555" s="399"/>
      <c r="F555" s="1598"/>
      <c r="G555" s="1598">
        <f t="shared" si="92"/>
        <v>0</v>
      </c>
      <c r="H555" s="1598">
        <f t="shared" si="92"/>
        <v>0</v>
      </c>
      <c r="I555" s="1598">
        <f t="shared" si="92"/>
        <v>0</v>
      </c>
      <c r="J555" s="1598">
        <f t="shared" si="92"/>
        <v>0</v>
      </c>
      <c r="K555" s="1598">
        <f t="shared" si="92"/>
        <v>0</v>
      </c>
      <c r="L555" s="1598">
        <f t="shared" si="92"/>
        <v>0</v>
      </c>
      <c r="M555" s="1598">
        <f t="shared" si="92"/>
        <v>0</v>
      </c>
      <c r="N555" s="1598">
        <f t="shared" si="92"/>
        <v>0</v>
      </c>
      <c r="O555" s="399"/>
    </row>
    <row r="556" spans="1:15" hidden="1">
      <c r="A556" s="399"/>
      <c r="B556" s="1608"/>
      <c r="C556" s="1609" t="s">
        <v>1115</v>
      </c>
      <c r="D556" s="1613" t="s">
        <v>1127</v>
      </c>
      <c r="E556" s="399"/>
      <c r="F556" s="1598"/>
      <c r="G556" s="1598">
        <f t="shared" si="92"/>
        <v>0</v>
      </c>
      <c r="H556" s="1598">
        <f t="shared" si="92"/>
        <v>0</v>
      </c>
      <c r="I556" s="1598">
        <f t="shared" si="92"/>
        <v>0</v>
      </c>
      <c r="J556" s="1598">
        <f t="shared" si="92"/>
        <v>0</v>
      </c>
      <c r="K556" s="1598">
        <f t="shared" si="92"/>
        <v>0</v>
      </c>
      <c r="L556" s="1598">
        <f t="shared" si="92"/>
        <v>0</v>
      </c>
      <c r="M556" s="1598">
        <f t="shared" si="92"/>
        <v>0</v>
      </c>
      <c r="N556" s="1598">
        <f t="shared" si="92"/>
        <v>0</v>
      </c>
      <c r="O556" s="399"/>
    </row>
    <row r="557" spans="1:15" hidden="1">
      <c r="A557" s="399"/>
      <c r="B557" s="1608"/>
      <c r="C557" s="1609" t="s">
        <v>1115</v>
      </c>
      <c r="D557" s="1610" t="s">
        <v>1128</v>
      </c>
      <c r="E557" s="399"/>
      <c r="F557" s="1598"/>
      <c r="G557" s="1598">
        <f t="shared" ref="G557:N560" si="93">F540/$E261</f>
        <v>0</v>
      </c>
      <c r="H557" s="1598">
        <f t="shared" si="93"/>
        <v>0</v>
      </c>
      <c r="I557" s="1598">
        <f t="shared" si="93"/>
        <v>0</v>
      </c>
      <c r="J557" s="1598">
        <f t="shared" si="93"/>
        <v>0</v>
      </c>
      <c r="K557" s="1598">
        <f t="shared" si="93"/>
        <v>0</v>
      </c>
      <c r="L557" s="1598">
        <f t="shared" si="93"/>
        <v>0</v>
      </c>
      <c r="M557" s="1598">
        <f t="shared" si="93"/>
        <v>0</v>
      </c>
      <c r="N557" s="1598">
        <f t="shared" si="93"/>
        <v>0</v>
      </c>
      <c r="O557" s="399"/>
    </row>
    <row r="558" spans="1:15" hidden="1">
      <c r="A558" s="399"/>
      <c r="B558" s="1608"/>
      <c r="C558" s="1609" t="s">
        <v>1117</v>
      </c>
      <c r="D558" s="1613" t="s">
        <v>1130</v>
      </c>
      <c r="E558" s="399"/>
      <c r="F558" s="1598"/>
      <c r="G558" s="1598">
        <f t="shared" si="93"/>
        <v>5.3739585865749742E-2</v>
      </c>
      <c r="H558" s="1598">
        <f t="shared" si="93"/>
        <v>5.7873931196816039E-2</v>
      </c>
      <c r="I558" s="1598">
        <f t="shared" si="93"/>
        <v>6.0726259733391831E-2</v>
      </c>
      <c r="J558" s="1598">
        <f t="shared" si="93"/>
        <v>6.3295086081125579E-2</v>
      </c>
      <c r="K558" s="1598">
        <f t="shared" si="93"/>
        <v>6.5893954982046019E-2</v>
      </c>
      <c r="L558" s="1598">
        <f t="shared" si="93"/>
        <v>6.850288353402692E-2</v>
      </c>
      <c r="M558" s="1598">
        <f t="shared" si="93"/>
        <v>7.0937294486289521E-2</v>
      </c>
      <c r="N558" s="1598">
        <f t="shared" si="93"/>
        <v>7.3356985097361355E-2</v>
      </c>
      <c r="O558" s="399"/>
    </row>
    <row r="559" spans="1:15" hidden="1">
      <c r="A559" s="399"/>
      <c r="B559" s="1608"/>
      <c r="C559" s="1599" t="s">
        <v>1117</v>
      </c>
      <c r="D559" s="1613" t="s">
        <v>1131</v>
      </c>
      <c r="E559" s="399"/>
      <c r="F559" s="1598"/>
      <c r="G559" s="1598">
        <f t="shared" si="93"/>
        <v>1.3434896466437436E-2</v>
      </c>
      <c r="H559" s="1598">
        <f t="shared" si="93"/>
        <v>1.446848279920401E-2</v>
      </c>
      <c r="I559" s="1598">
        <f t="shared" si="93"/>
        <v>1.5181564933347958E-2</v>
      </c>
      <c r="J559" s="1598">
        <f t="shared" si="93"/>
        <v>1.5823771520281395E-2</v>
      </c>
      <c r="K559" s="1598">
        <f t="shared" si="93"/>
        <v>1.6473488745511505E-2</v>
      </c>
      <c r="L559" s="1598">
        <f t="shared" si="93"/>
        <v>1.712572088350673E-2</v>
      </c>
      <c r="M559" s="1598">
        <f t="shared" si="93"/>
        <v>1.773432362157238E-2</v>
      </c>
      <c r="N559" s="1598">
        <f t="shared" si="93"/>
        <v>1.8339246274340339E-2</v>
      </c>
      <c r="O559" s="399"/>
    </row>
    <row r="560" spans="1:15" hidden="1">
      <c r="A560" s="399"/>
      <c r="B560" s="1608"/>
      <c r="C560" s="1599" t="s">
        <v>1119</v>
      </c>
      <c r="D560" s="1613" t="s">
        <v>1119</v>
      </c>
      <c r="E560" s="399"/>
      <c r="F560" s="1598"/>
      <c r="G560" s="1598">
        <f t="shared" si="93"/>
        <v>9.9096606580875794E-5</v>
      </c>
      <c r="H560" s="1598">
        <f t="shared" si="93"/>
        <v>1.0672040170586343E-4</v>
      </c>
      <c r="I560" s="1598">
        <f t="shared" si="93"/>
        <v>1.1198013853254047E-4</v>
      </c>
      <c r="J560" s="1598">
        <f t="shared" si="93"/>
        <v>1.1671709304856331E-4</v>
      </c>
      <c r="K560" s="1598">
        <f t="shared" si="93"/>
        <v>1.2150944648562104E-4</v>
      </c>
      <c r="L560" s="1598">
        <f t="shared" si="93"/>
        <v>1.2632035007090604E-4</v>
      </c>
      <c r="M560" s="1598">
        <f t="shared" si="93"/>
        <v>1.3080944057106741E-4</v>
      </c>
      <c r="N560" s="1598">
        <f t="shared" si="93"/>
        <v>1.3527138654013084E-4</v>
      </c>
      <c r="O560" s="399"/>
    </row>
    <row r="561" spans="1:15" hidden="1">
      <c r="A561" s="399"/>
      <c r="B561" s="1608"/>
      <c r="C561" s="1599"/>
      <c r="D561" s="1613"/>
      <c r="E561" s="399"/>
      <c r="F561" s="1614"/>
      <c r="G561" s="1614"/>
      <c r="H561" s="1614"/>
      <c r="I561" s="1614"/>
      <c r="J561" s="1614"/>
      <c r="K561" s="1614"/>
      <c r="L561" s="1614"/>
      <c r="M561" s="1614"/>
      <c r="N561" s="1614"/>
      <c r="O561" s="399"/>
    </row>
    <row r="562" spans="1:15" hidden="1">
      <c r="A562" s="399"/>
      <c r="B562" s="399" t="s">
        <v>1200</v>
      </c>
      <c r="C562" s="399" t="s">
        <v>1201</v>
      </c>
      <c r="D562" s="399"/>
      <c r="E562" s="399"/>
      <c r="F562" s="1611"/>
      <c r="G562" s="1611"/>
      <c r="H562" s="1611"/>
      <c r="I562" s="1611"/>
      <c r="J562" s="1611"/>
      <c r="K562" s="1611"/>
      <c r="L562" s="1611"/>
      <c r="M562" s="1611"/>
      <c r="N562" s="1611"/>
      <c r="O562" s="399"/>
    </row>
    <row r="563" spans="1:15" hidden="1">
      <c r="A563" s="399"/>
      <c r="B563" s="1608"/>
      <c r="C563" s="399"/>
      <c r="D563" s="399"/>
      <c r="E563" s="399"/>
      <c r="F563" s="399"/>
      <c r="G563" s="399"/>
      <c r="H563" s="399"/>
      <c r="I563" s="399"/>
      <c r="J563" s="399"/>
      <c r="K563" s="399"/>
      <c r="L563" s="399"/>
      <c r="M563" s="399"/>
      <c r="N563" s="399"/>
      <c r="O563" s="399"/>
    </row>
    <row r="564" spans="1:15" hidden="1">
      <c r="A564" s="399"/>
      <c r="B564" s="1609"/>
      <c r="C564" s="1610" t="s">
        <v>1191</v>
      </c>
      <c r="D564" s="38"/>
      <c r="E564" s="399"/>
      <c r="F564" s="1611"/>
      <c r="G564" s="1611"/>
      <c r="H564" s="1611"/>
      <c r="I564" s="1611"/>
      <c r="J564" s="1611"/>
      <c r="K564" s="1611"/>
      <c r="L564" s="1611"/>
      <c r="M564" s="1611"/>
      <c r="N564" s="1599" t="s">
        <v>1202</v>
      </c>
      <c r="O564" s="399"/>
    </row>
    <row r="565" spans="1:15" hidden="1">
      <c r="A565" s="399"/>
      <c r="B565" s="1608"/>
      <c r="C565" s="1609" t="s">
        <v>987</v>
      </c>
      <c r="D565" s="39" t="s">
        <v>44</v>
      </c>
      <c r="E565" s="399"/>
      <c r="F565" s="1607">
        <v>2013</v>
      </c>
      <c r="G565" s="1607">
        <v>2015</v>
      </c>
      <c r="H565" s="1607">
        <v>2020</v>
      </c>
      <c r="I565" s="1607">
        <v>2025</v>
      </c>
      <c r="J565" s="1607">
        <v>2030</v>
      </c>
      <c r="K565" s="1607">
        <v>2035</v>
      </c>
      <c r="L565" s="1607">
        <v>2040</v>
      </c>
      <c r="M565" s="1607">
        <v>2045</v>
      </c>
      <c r="N565" s="1607">
        <v>2050</v>
      </c>
      <c r="O565" s="399"/>
    </row>
    <row r="566" spans="1:15" hidden="1">
      <c r="A566" s="354"/>
      <c r="B566" s="979"/>
      <c r="C566" s="373" t="s">
        <v>1111</v>
      </c>
      <c r="D566" s="1322" t="s">
        <v>1111</v>
      </c>
      <c r="E566" s="354"/>
      <c r="F566" s="1598"/>
      <c r="G566" s="1598">
        <f t="shared" ref="G566:N573" si="94">MAX(((G531-F531)/(G$530-F$530))+G549,0)</f>
        <v>535.26207153107748</v>
      </c>
      <c r="H566" s="1598">
        <f t="shared" si="94"/>
        <v>491.71460578433897</v>
      </c>
      <c r="I566" s="1598">
        <f t="shared" si="94"/>
        <v>533.87040203825586</v>
      </c>
      <c r="J566" s="1598">
        <f t="shared" si="94"/>
        <v>579.95644654617752</v>
      </c>
      <c r="K566" s="1598">
        <f t="shared" si="94"/>
        <v>630.32482792058056</v>
      </c>
      <c r="L566" s="1598">
        <f t="shared" si="94"/>
        <v>683.80807566063629</v>
      </c>
      <c r="M566" s="1598">
        <f t="shared" si="94"/>
        <v>742.49084169901982</v>
      </c>
      <c r="N566" s="1598">
        <f t="shared" si="94"/>
        <v>781.57074598068721</v>
      </c>
      <c r="O566" s="354"/>
    </row>
    <row r="567" spans="1:15" hidden="1">
      <c r="A567" s="399"/>
      <c r="B567" s="1608"/>
      <c r="C567" s="1609" t="s">
        <v>1113</v>
      </c>
      <c r="D567" s="1613" t="s">
        <v>1125</v>
      </c>
      <c r="E567" s="399"/>
      <c r="F567" s="1615"/>
      <c r="G567" s="1598">
        <f t="shared" si="94"/>
        <v>248.36802497987563</v>
      </c>
      <c r="H567" s="1598">
        <f t="shared" si="94"/>
        <v>206.45496664989292</v>
      </c>
      <c r="I567" s="1598">
        <f t="shared" si="94"/>
        <v>198.70985127324766</v>
      </c>
      <c r="J567" s="1598">
        <f t="shared" si="94"/>
        <v>200.1175029661743</v>
      </c>
      <c r="K567" s="1598">
        <f t="shared" si="94"/>
        <v>198.70480014414446</v>
      </c>
      <c r="L567" s="1598">
        <f t="shared" si="94"/>
        <v>196.52202733491882</v>
      </c>
      <c r="M567" s="1598">
        <f t="shared" si="94"/>
        <v>198.70255558149003</v>
      </c>
      <c r="N567" s="1598">
        <f t="shared" si="94"/>
        <v>182.87270538529498</v>
      </c>
      <c r="O567" s="399"/>
    </row>
    <row r="568" spans="1:15" hidden="1">
      <c r="A568" s="399"/>
      <c r="B568" s="1608"/>
      <c r="C568" s="1609" t="s">
        <v>1113</v>
      </c>
      <c r="D568" s="1610" t="s">
        <v>1126</v>
      </c>
      <c r="E568" s="399"/>
      <c r="F568" s="1615"/>
      <c r="G568" s="1598">
        <f t="shared" si="94"/>
        <v>3.8535183667427453</v>
      </c>
      <c r="H568" s="1598">
        <f t="shared" si="94"/>
        <v>2.3632450122203195</v>
      </c>
      <c r="I568" s="1598">
        <f t="shared" si="94"/>
        <v>16.960384341766016</v>
      </c>
      <c r="J568" s="1598">
        <f t="shared" si="94"/>
        <v>25.012212739893158</v>
      </c>
      <c r="K568" s="1598">
        <f t="shared" si="94"/>
        <v>35.646180973215586</v>
      </c>
      <c r="L568" s="1598">
        <f t="shared" si="94"/>
        <v>45.868359059478301</v>
      </c>
      <c r="M568" s="1598">
        <f t="shared" si="94"/>
        <v>53.946625886912017</v>
      </c>
      <c r="N568" s="1598">
        <f t="shared" si="94"/>
        <v>60.362596631171009</v>
      </c>
      <c r="O568" s="399"/>
    </row>
    <row r="569" spans="1:15" hidden="1">
      <c r="A569" s="399"/>
      <c r="B569" s="1608"/>
      <c r="C569" s="1609" t="s">
        <v>1113</v>
      </c>
      <c r="D569" s="1613" t="s">
        <v>1127</v>
      </c>
      <c r="E569" s="399"/>
      <c r="F569" s="1615"/>
      <c r="G569" s="1598">
        <f t="shared" si="94"/>
        <v>0.46559439542496195</v>
      </c>
      <c r="H569" s="1598">
        <f t="shared" si="94"/>
        <v>0.33760643031718851</v>
      </c>
      <c r="I569" s="1598">
        <f t="shared" si="94"/>
        <v>2.4229120488237159</v>
      </c>
      <c r="J569" s="1598">
        <f t="shared" si="94"/>
        <v>3.5731732485561665</v>
      </c>
      <c r="K569" s="1598">
        <f t="shared" si="94"/>
        <v>5.0923115676022244</v>
      </c>
      <c r="L569" s="1598">
        <f t="shared" si="94"/>
        <v>6.5526227227826155</v>
      </c>
      <c r="M569" s="1598">
        <f t="shared" si="94"/>
        <v>6.656432271743884</v>
      </c>
      <c r="N569" s="1598">
        <f t="shared" si="94"/>
        <v>7.1164812464552609</v>
      </c>
      <c r="O569" s="399"/>
    </row>
    <row r="570" spans="1:15" hidden="1">
      <c r="A570" s="399"/>
      <c r="B570" s="1608"/>
      <c r="C570" s="1609" t="s">
        <v>1113</v>
      </c>
      <c r="D570" s="1613" t="s">
        <v>1128</v>
      </c>
      <c r="E570" s="399"/>
      <c r="F570" s="1615"/>
      <c r="G570" s="1598">
        <f t="shared" si="94"/>
        <v>0</v>
      </c>
      <c r="H570" s="1598">
        <f t="shared" si="94"/>
        <v>0</v>
      </c>
      <c r="I570" s="1598">
        <f t="shared" si="94"/>
        <v>0</v>
      </c>
      <c r="J570" s="1598">
        <f t="shared" si="94"/>
        <v>0</v>
      </c>
      <c r="K570" s="1598">
        <f t="shared" si="94"/>
        <v>0</v>
      </c>
      <c r="L570" s="1598">
        <f t="shared" si="94"/>
        <v>0</v>
      </c>
      <c r="M570" s="1598">
        <f t="shared" si="94"/>
        <v>0</v>
      </c>
      <c r="N570" s="1598">
        <f t="shared" si="94"/>
        <v>0</v>
      </c>
      <c r="O570" s="399"/>
    </row>
    <row r="571" spans="1:15" hidden="1">
      <c r="A571" s="399"/>
      <c r="B571" s="1608"/>
      <c r="C571" s="1609" t="s">
        <v>1115</v>
      </c>
      <c r="D571" s="1613" t="s">
        <v>1125</v>
      </c>
      <c r="E571" s="399"/>
      <c r="F571" s="1615"/>
      <c r="G571" s="1598">
        <f t="shared" si="94"/>
        <v>1.6049427118476203</v>
      </c>
      <c r="H571" s="1598">
        <f t="shared" si="94"/>
        <v>1.258069247762357</v>
      </c>
      <c r="I571" s="1598">
        <f t="shared" si="94"/>
        <v>1.2959797686625689</v>
      </c>
      <c r="J571" s="1598">
        <f t="shared" si="94"/>
        <v>1.3463350614779945</v>
      </c>
      <c r="K571" s="1598">
        <f t="shared" si="94"/>
        <v>1.3961239913187986</v>
      </c>
      <c r="L571" s="1598">
        <f t="shared" si="94"/>
        <v>1.4356168544430539</v>
      </c>
      <c r="M571" s="1598">
        <f t="shared" si="94"/>
        <v>1.4808834272123022</v>
      </c>
      <c r="N571" s="1598">
        <f t="shared" si="94"/>
        <v>1.3892351859046077</v>
      </c>
      <c r="O571" s="399"/>
    </row>
    <row r="572" spans="1:15" hidden="1">
      <c r="A572" s="399"/>
      <c r="B572" s="1608"/>
      <c r="C572" s="1609" t="s">
        <v>1115</v>
      </c>
      <c r="D572" s="1610" t="s">
        <v>1129</v>
      </c>
      <c r="E572" s="399"/>
      <c r="F572" s="1615"/>
      <c r="G572" s="1598">
        <f t="shared" si="94"/>
        <v>0</v>
      </c>
      <c r="H572" s="1598">
        <f t="shared" si="94"/>
        <v>0</v>
      </c>
      <c r="I572" s="1598">
        <f t="shared" si="94"/>
        <v>0</v>
      </c>
      <c r="J572" s="1598">
        <f t="shared" si="94"/>
        <v>0</v>
      </c>
      <c r="K572" s="1598">
        <f t="shared" si="94"/>
        <v>0</v>
      </c>
      <c r="L572" s="1598">
        <f t="shared" si="94"/>
        <v>0</v>
      </c>
      <c r="M572" s="1598">
        <f t="shared" si="94"/>
        <v>0</v>
      </c>
      <c r="N572" s="1598">
        <f t="shared" si="94"/>
        <v>0</v>
      </c>
      <c r="O572" s="399"/>
    </row>
    <row r="573" spans="1:15" hidden="1">
      <c r="A573" s="399"/>
      <c r="B573" s="1608"/>
      <c r="C573" s="1609" t="s">
        <v>1115</v>
      </c>
      <c r="D573" s="1613" t="s">
        <v>1127</v>
      </c>
      <c r="E573" s="399"/>
      <c r="F573" s="1615"/>
      <c r="G573" s="1598">
        <f t="shared" si="94"/>
        <v>0</v>
      </c>
      <c r="H573" s="1598">
        <f t="shared" si="94"/>
        <v>0</v>
      </c>
      <c r="I573" s="1598">
        <f t="shared" si="94"/>
        <v>0</v>
      </c>
      <c r="J573" s="1598">
        <f t="shared" si="94"/>
        <v>0</v>
      </c>
      <c r="K573" s="1598">
        <f t="shared" si="94"/>
        <v>0</v>
      </c>
      <c r="L573" s="1598">
        <f t="shared" si="94"/>
        <v>0</v>
      </c>
      <c r="M573" s="1598">
        <f t="shared" si="94"/>
        <v>0</v>
      </c>
      <c r="N573" s="1598">
        <f t="shared" si="94"/>
        <v>0</v>
      </c>
      <c r="O573" s="399"/>
    </row>
    <row r="574" spans="1:15" hidden="1">
      <c r="A574" s="399"/>
      <c r="B574" s="1608"/>
      <c r="C574" s="1609" t="s">
        <v>1115</v>
      </c>
      <c r="D574" s="1610" t="s">
        <v>1128</v>
      </c>
      <c r="E574" s="399"/>
      <c r="F574" s="1615"/>
      <c r="G574" s="1598">
        <f>MAX(((G540-F540)/(G$530-F$530))+G557,0)</f>
        <v>0</v>
      </c>
      <c r="H574" s="1598">
        <f t="shared" ref="H574:N577" si="95">MAX(((H540-G540)/(H$530-G$530))+H557,0)</f>
        <v>0</v>
      </c>
      <c r="I574" s="1598">
        <f t="shared" si="95"/>
        <v>0</v>
      </c>
      <c r="J574" s="1598">
        <f t="shared" si="95"/>
        <v>0</v>
      </c>
      <c r="K574" s="1598">
        <f t="shared" si="95"/>
        <v>0</v>
      </c>
      <c r="L574" s="1598">
        <f t="shared" si="95"/>
        <v>0</v>
      </c>
      <c r="M574" s="1598">
        <f t="shared" si="95"/>
        <v>0</v>
      </c>
      <c r="N574" s="1598">
        <f t="shared" si="95"/>
        <v>0</v>
      </c>
      <c r="O574" s="399"/>
    </row>
    <row r="575" spans="1:15" hidden="1">
      <c r="A575" s="399"/>
      <c r="B575" s="1608"/>
      <c r="C575" s="1609" t="s">
        <v>1117</v>
      </c>
      <c r="D575" s="1613" t="s">
        <v>1130</v>
      </c>
      <c r="E575" s="399"/>
      <c r="F575" s="1615"/>
      <c r="G575" s="1598">
        <f>MAX(((G541-F541)/(G$530-F$530))+G558,0)</f>
        <v>0.13642649248707578</v>
      </c>
      <c r="H575" s="1598">
        <f t="shared" si="95"/>
        <v>8.0692559489422333E-2</v>
      </c>
      <c r="I575" s="1598">
        <f t="shared" si="95"/>
        <v>8.1276870515261862E-2</v>
      </c>
      <c r="J575" s="1598">
        <f t="shared" si="95"/>
        <v>8.4086037288489068E-2</v>
      </c>
      <c r="K575" s="1598">
        <f t="shared" si="95"/>
        <v>8.6765383397893248E-2</v>
      </c>
      <c r="L575" s="1598">
        <f t="shared" si="95"/>
        <v>8.7978171152127721E-2</v>
      </c>
      <c r="M575" s="1598">
        <f t="shared" si="95"/>
        <v>9.029481937486411E-2</v>
      </c>
      <c r="N575" s="1598">
        <f t="shared" si="95"/>
        <v>7.3356985097361355E-2</v>
      </c>
      <c r="O575" s="399"/>
    </row>
    <row r="576" spans="1:15" hidden="1">
      <c r="A576" s="399"/>
      <c r="B576" s="1608"/>
      <c r="C576" s="1599" t="s">
        <v>1117</v>
      </c>
      <c r="D576" s="1613" t="s">
        <v>1131</v>
      </c>
      <c r="E576" s="399"/>
      <c r="F576" s="1615"/>
      <c r="G576" s="1598">
        <f>MAX(((G542-F542)/(G$530-F$530))+G559,0)</f>
        <v>3.4106623121768945E-2</v>
      </c>
      <c r="H576" s="1598">
        <f t="shared" si="95"/>
        <v>2.0173139872355583E-2</v>
      </c>
      <c r="I576" s="1598">
        <f t="shared" si="95"/>
        <v>2.0319217628815466E-2</v>
      </c>
      <c r="J576" s="1598">
        <f t="shared" si="95"/>
        <v>2.1021509322122267E-2</v>
      </c>
      <c r="K576" s="1598">
        <f t="shared" si="95"/>
        <v>2.1691345849473312E-2</v>
      </c>
      <c r="L576" s="1598">
        <f t="shared" si="95"/>
        <v>2.199454278803193E-2</v>
      </c>
      <c r="M576" s="1598">
        <f t="shared" si="95"/>
        <v>2.2573704843716028E-2</v>
      </c>
      <c r="N576" s="1598">
        <f t="shared" si="95"/>
        <v>1.8339246274340339E-2</v>
      </c>
      <c r="O576" s="399"/>
    </row>
    <row r="577" spans="1:15" hidden="1">
      <c r="A577" s="399"/>
      <c r="B577" s="1608"/>
      <c r="C577" s="1599" t="s">
        <v>1119</v>
      </c>
      <c r="D577" s="1613" t="s">
        <v>1119</v>
      </c>
      <c r="E577" s="399"/>
      <c r="F577" s="1615"/>
      <c r="G577" s="1598">
        <f>MAX(((G543-F543)/(G$530-F$530))+G560,0)</f>
        <v>2.1345353345569024E-4</v>
      </c>
      <c r="H577" s="1598">
        <f t="shared" si="95"/>
        <v>1.3827882266592565E-4</v>
      </c>
      <c r="I577" s="1598">
        <f t="shared" si="95"/>
        <v>1.404018656286775E-4</v>
      </c>
      <c r="J577" s="1598">
        <f t="shared" si="95"/>
        <v>1.4547121367090973E-4</v>
      </c>
      <c r="K577" s="1598">
        <f t="shared" si="95"/>
        <v>1.5037486799733101E-4</v>
      </c>
      <c r="L577" s="1598">
        <f t="shared" si="95"/>
        <v>1.5325489307187426E-4</v>
      </c>
      <c r="M577" s="1598">
        <f t="shared" si="95"/>
        <v>1.57581116385448E-4</v>
      </c>
      <c r="N577" s="1598">
        <f t="shared" si="95"/>
        <v>1.3527138654013084E-4</v>
      </c>
      <c r="O577" s="399"/>
    </row>
    <row r="578" spans="1:15">
      <c r="A578" s="399"/>
      <c r="B578" s="1608">
        <v>3</v>
      </c>
      <c r="C578" s="1616" t="s">
        <v>2720</v>
      </c>
      <c r="D578" s="1613"/>
      <c r="E578" s="399"/>
      <c r="F578" s="1615"/>
      <c r="G578" s="1598"/>
      <c r="H578" s="1598"/>
      <c r="I578" s="1598"/>
      <c r="J578" s="1598"/>
      <c r="K578" s="1598"/>
      <c r="L578" s="1598"/>
      <c r="M578" s="1598"/>
      <c r="N578" s="1598"/>
      <c r="O578" s="399"/>
    </row>
    <row r="579" spans="1:15" hidden="1">
      <c r="A579" s="354"/>
      <c r="B579" s="354" t="s">
        <v>1152</v>
      </c>
      <c r="C579" s="354" t="s">
        <v>1203</v>
      </c>
      <c r="D579" s="354"/>
      <c r="E579" s="354"/>
      <c r="F579" s="1315"/>
      <c r="G579" s="1315"/>
      <c r="H579" s="1315"/>
      <c r="I579" s="1315"/>
      <c r="J579" s="1315"/>
      <c r="K579" s="1315"/>
      <c r="L579" s="1315"/>
      <c r="M579" s="1315"/>
      <c r="N579" s="1315"/>
      <c r="O579" s="354"/>
    </row>
    <row r="580" spans="1:15" hidden="1">
      <c r="A580" s="354"/>
      <c r="B580" s="979"/>
      <c r="C580" s="354"/>
      <c r="D580" s="354"/>
      <c r="E580" s="354"/>
      <c r="F580" s="1315"/>
      <c r="G580" s="1315"/>
      <c r="H580" s="1315"/>
      <c r="I580" s="1315"/>
      <c r="J580" s="1315"/>
      <c r="K580" s="1315"/>
      <c r="L580" s="1315"/>
      <c r="M580" s="1315"/>
      <c r="N580" s="1315"/>
      <c r="O580" s="354"/>
    </row>
    <row r="581" spans="1:15" hidden="1">
      <c r="A581" s="354"/>
      <c r="B581" s="358"/>
      <c r="C581" s="1322" t="s">
        <v>1191</v>
      </c>
      <c r="D581" s="2"/>
      <c r="E581" s="354"/>
      <c r="F581" s="1315"/>
      <c r="G581" s="1315"/>
      <c r="H581" s="1315"/>
      <c r="I581" s="1315"/>
      <c r="J581" s="1315"/>
      <c r="K581" s="1315"/>
      <c r="L581" s="1315"/>
      <c r="M581" s="1315"/>
      <c r="N581" s="373" t="s">
        <v>2767</v>
      </c>
      <c r="O581" s="354"/>
    </row>
    <row r="582" spans="1:15" hidden="1">
      <c r="A582" s="354"/>
      <c r="B582" s="979"/>
      <c r="C582" s="358" t="s">
        <v>987</v>
      </c>
      <c r="D582" t="s">
        <v>44</v>
      </c>
      <c r="E582" s="354"/>
      <c r="F582" s="1607">
        <v>2013</v>
      </c>
      <c r="G582" s="1607">
        <v>2015</v>
      </c>
      <c r="H582" s="1607">
        <v>2020</v>
      </c>
      <c r="I582" s="1607">
        <v>2025</v>
      </c>
      <c r="J582" s="1607">
        <v>2030</v>
      </c>
      <c r="K582" s="1607">
        <v>2035</v>
      </c>
      <c r="L582" s="1607">
        <v>2040</v>
      </c>
      <c r="M582" s="1607">
        <v>2045</v>
      </c>
      <c r="N582" s="1607">
        <v>2050</v>
      </c>
      <c r="O582" s="354"/>
    </row>
    <row r="583" spans="1:15" hidden="1">
      <c r="A583" s="354"/>
      <c r="B583" s="979"/>
      <c r="C583" s="373" t="s">
        <v>1111</v>
      </c>
      <c r="D583" s="1322" t="s">
        <v>1111</v>
      </c>
      <c r="E583" s="354"/>
      <c r="F583" s="1607"/>
      <c r="G583" s="1614">
        <f t="shared" ref="G583:N594" si="96">G566*G360</f>
        <v>267.63103576553874</v>
      </c>
      <c r="H583" s="1614">
        <f t="shared" si="96"/>
        <v>245.85730289216949</v>
      </c>
      <c r="I583" s="1614">
        <f t="shared" si="96"/>
        <v>266.93520101912793</v>
      </c>
      <c r="J583" s="1614">
        <f t="shared" si="96"/>
        <v>289.97822327308876</v>
      </c>
      <c r="K583" s="1614">
        <f t="shared" si="96"/>
        <v>315.16241396029028</v>
      </c>
      <c r="L583" s="1614">
        <f t="shared" si="96"/>
        <v>341.90403783031815</v>
      </c>
      <c r="M583" s="1614">
        <f t="shared" si="96"/>
        <v>371.24542084950991</v>
      </c>
      <c r="N583" s="1614">
        <f t="shared" si="96"/>
        <v>390.7853729903436</v>
      </c>
      <c r="O583" s="354"/>
    </row>
    <row r="584" spans="1:15" hidden="1">
      <c r="A584" s="354"/>
      <c r="B584" s="979"/>
      <c r="C584" s="358" t="s">
        <v>1113</v>
      </c>
      <c r="D584" s="411" t="s">
        <v>1125</v>
      </c>
      <c r="E584" s="354"/>
      <c r="F584" s="1598"/>
      <c r="G584" s="1614">
        <f t="shared" si="96"/>
        <v>4967.3604995975129</v>
      </c>
      <c r="H584" s="1614">
        <f t="shared" si="96"/>
        <v>4129.0993329978583</v>
      </c>
      <c r="I584" s="1614">
        <f t="shared" si="96"/>
        <v>3974.1970254649532</v>
      </c>
      <c r="J584" s="1614">
        <f t="shared" si="96"/>
        <v>4002.3500593234858</v>
      </c>
      <c r="K584" s="1614">
        <f t="shared" si="96"/>
        <v>3974.096002882889</v>
      </c>
      <c r="L584" s="1614">
        <f t="shared" si="96"/>
        <v>3930.4405466983762</v>
      </c>
      <c r="M584" s="1614">
        <f t="shared" si="96"/>
        <v>3974.0511116298007</v>
      </c>
      <c r="N584" s="1614">
        <f t="shared" si="96"/>
        <v>3657.4541077058993</v>
      </c>
      <c r="O584" s="354"/>
    </row>
    <row r="585" spans="1:15" hidden="1">
      <c r="A585" s="354"/>
      <c r="B585" s="979"/>
      <c r="C585" s="358" t="s">
        <v>1113</v>
      </c>
      <c r="D585" s="1322" t="s">
        <v>1126</v>
      </c>
      <c r="E585" s="354"/>
      <c r="F585" s="1598"/>
      <c r="G585" s="1614">
        <f t="shared" si="96"/>
        <v>161.84777140319528</v>
      </c>
      <c r="H585" s="1614">
        <f t="shared" si="96"/>
        <v>99.256290513253404</v>
      </c>
      <c r="I585" s="1614">
        <f t="shared" si="96"/>
        <v>712.33614235417258</v>
      </c>
      <c r="J585" s="1614">
        <f t="shared" si="96"/>
        <v>1050.5129350755124</v>
      </c>
      <c r="K585" s="1614">
        <f t="shared" si="96"/>
        <v>1497.1396008750544</v>
      </c>
      <c r="L585" s="1614">
        <f t="shared" si="96"/>
        <v>1926.4710804980884</v>
      </c>
      <c r="M585" s="1614">
        <f t="shared" si="96"/>
        <v>2265.7582872503044</v>
      </c>
      <c r="N585" s="1614">
        <f t="shared" si="96"/>
        <v>2535.2290585091819</v>
      </c>
      <c r="O585" s="354"/>
    </row>
    <row r="586" spans="1:15" hidden="1">
      <c r="A586" s="354"/>
      <c r="B586" s="979"/>
      <c r="C586" s="358" t="s">
        <v>1113</v>
      </c>
      <c r="D586" s="411" t="s">
        <v>1127</v>
      </c>
      <c r="E586" s="354"/>
      <c r="F586" s="1598"/>
      <c r="G586" s="1614">
        <f t="shared" si="96"/>
        <v>27.674930864059736</v>
      </c>
      <c r="H586" s="1614">
        <f t="shared" si="96"/>
        <v>20.067326218053683</v>
      </c>
      <c r="I586" s="1614">
        <f t="shared" si="96"/>
        <v>144.01789218208168</v>
      </c>
      <c r="J586" s="1614">
        <f t="shared" si="96"/>
        <v>212.38941789417854</v>
      </c>
      <c r="K586" s="1614">
        <f t="shared" si="96"/>
        <v>302.68699957827619</v>
      </c>
      <c r="L586" s="1614">
        <f t="shared" si="96"/>
        <v>389.48789464219863</v>
      </c>
      <c r="M586" s="1614">
        <f t="shared" si="96"/>
        <v>395.65833423245647</v>
      </c>
      <c r="N586" s="1614">
        <f t="shared" si="96"/>
        <v>423.00364528930072</v>
      </c>
      <c r="O586" s="354"/>
    </row>
    <row r="587" spans="1:15" hidden="1">
      <c r="A587" s="354"/>
      <c r="B587" s="979"/>
      <c r="C587" s="358" t="s">
        <v>1113</v>
      </c>
      <c r="D587" s="411" t="s">
        <v>1128</v>
      </c>
      <c r="E587" s="354"/>
      <c r="F587" s="1598"/>
      <c r="G587" s="1614">
        <f t="shared" si="96"/>
        <v>0</v>
      </c>
      <c r="H587" s="1614">
        <f t="shared" si="96"/>
        <v>0</v>
      </c>
      <c r="I587" s="1614">
        <f t="shared" si="96"/>
        <v>0</v>
      </c>
      <c r="J587" s="1614">
        <f t="shared" si="96"/>
        <v>0</v>
      </c>
      <c r="K587" s="1614">
        <f t="shared" si="96"/>
        <v>0</v>
      </c>
      <c r="L587" s="1614">
        <f t="shared" si="96"/>
        <v>0</v>
      </c>
      <c r="M587" s="1614">
        <f t="shared" si="96"/>
        <v>0</v>
      </c>
      <c r="N587" s="1614">
        <f t="shared" si="96"/>
        <v>0</v>
      </c>
      <c r="O587" s="354"/>
    </row>
    <row r="588" spans="1:15" hidden="1">
      <c r="A588" s="354"/>
      <c r="B588" s="979"/>
      <c r="C588" s="358" t="s">
        <v>1115</v>
      </c>
      <c r="D588" s="411" t="s">
        <v>1125</v>
      </c>
      <c r="E588" s="354"/>
      <c r="F588" s="1598"/>
      <c r="G588" s="1614">
        <f t="shared" si="96"/>
        <v>378.26838432668092</v>
      </c>
      <c r="H588" s="1614">
        <f t="shared" si="96"/>
        <v>296.51389934928238</v>
      </c>
      <c r="I588" s="1614">
        <f t="shared" si="96"/>
        <v>305.44901671144498</v>
      </c>
      <c r="J588" s="1614">
        <f t="shared" si="96"/>
        <v>317.31723799746214</v>
      </c>
      <c r="K588" s="1614">
        <f t="shared" si="96"/>
        <v>329.05197339281722</v>
      </c>
      <c r="L588" s="1614">
        <f t="shared" si="96"/>
        <v>338.36003243827003</v>
      </c>
      <c r="M588" s="1614">
        <f t="shared" si="96"/>
        <v>349.02889508304173</v>
      </c>
      <c r="N588" s="1614">
        <f t="shared" si="96"/>
        <v>327.42835326311985</v>
      </c>
      <c r="O588" s="354"/>
    </row>
    <row r="589" spans="1:15" hidden="1">
      <c r="A589" s="354"/>
      <c r="B589" s="979"/>
      <c r="C589" s="358" t="s">
        <v>1115</v>
      </c>
      <c r="D589" s="1322" t="s">
        <v>1129</v>
      </c>
      <c r="E589" s="354"/>
      <c r="F589" s="1598"/>
      <c r="G589" s="1614">
        <f t="shared" si="96"/>
        <v>0</v>
      </c>
      <c r="H589" s="1614">
        <f t="shared" si="96"/>
        <v>0</v>
      </c>
      <c r="I589" s="1614">
        <f t="shared" si="96"/>
        <v>0</v>
      </c>
      <c r="J589" s="1614">
        <f t="shared" si="96"/>
        <v>0</v>
      </c>
      <c r="K589" s="1614">
        <f t="shared" si="96"/>
        <v>0</v>
      </c>
      <c r="L589" s="1614">
        <f t="shared" si="96"/>
        <v>0</v>
      </c>
      <c r="M589" s="1614">
        <f t="shared" si="96"/>
        <v>0</v>
      </c>
      <c r="N589" s="1614">
        <f t="shared" si="96"/>
        <v>0</v>
      </c>
      <c r="O589" s="354"/>
    </row>
    <row r="590" spans="1:15" hidden="1">
      <c r="A590" s="354"/>
      <c r="B590" s="979"/>
      <c r="C590" s="358" t="s">
        <v>1115</v>
      </c>
      <c r="D590" s="411" t="s">
        <v>1127</v>
      </c>
      <c r="E590" s="354"/>
      <c r="F590" s="1598"/>
      <c r="G590" s="1614">
        <f t="shared" si="96"/>
        <v>0</v>
      </c>
      <c r="H590" s="1614">
        <f t="shared" si="96"/>
        <v>0</v>
      </c>
      <c r="I590" s="1614">
        <f t="shared" si="96"/>
        <v>0</v>
      </c>
      <c r="J590" s="1614">
        <f t="shared" si="96"/>
        <v>0</v>
      </c>
      <c r="K590" s="1614">
        <f t="shared" si="96"/>
        <v>0</v>
      </c>
      <c r="L590" s="1614">
        <f t="shared" si="96"/>
        <v>0</v>
      </c>
      <c r="M590" s="1614">
        <f t="shared" si="96"/>
        <v>0</v>
      </c>
      <c r="N590" s="1614">
        <f t="shared" si="96"/>
        <v>0</v>
      </c>
      <c r="O590" s="354"/>
    </row>
    <row r="591" spans="1:15" hidden="1">
      <c r="A591" s="354"/>
      <c r="B591" s="979"/>
      <c r="C591" s="358" t="s">
        <v>1115</v>
      </c>
      <c r="D591" s="1322" t="s">
        <v>1128</v>
      </c>
      <c r="E591" s="354"/>
      <c r="F591" s="1598"/>
      <c r="G591" s="1614">
        <f t="shared" si="96"/>
        <v>0</v>
      </c>
      <c r="H591" s="1614">
        <f t="shared" si="96"/>
        <v>0</v>
      </c>
      <c r="I591" s="1614">
        <f t="shared" si="96"/>
        <v>0</v>
      </c>
      <c r="J591" s="1614">
        <f t="shared" si="96"/>
        <v>0</v>
      </c>
      <c r="K591" s="1614">
        <f t="shared" si="96"/>
        <v>0</v>
      </c>
      <c r="L591" s="1614">
        <f t="shared" si="96"/>
        <v>0</v>
      </c>
      <c r="M591" s="1614">
        <f t="shared" si="96"/>
        <v>0</v>
      </c>
      <c r="N591" s="1614">
        <f t="shared" si="96"/>
        <v>0</v>
      </c>
      <c r="O591" s="354"/>
    </row>
    <row r="592" spans="1:15" hidden="1">
      <c r="A592" s="354"/>
      <c r="B592" s="979"/>
      <c r="C592" s="358" t="s">
        <v>1117</v>
      </c>
      <c r="D592" s="411" t="s">
        <v>1130</v>
      </c>
      <c r="E592" s="354"/>
      <c r="F592" s="1598"/>
      <c r="G592" s="1614">
        <f t="shared" si="96"/>
        <v>16.930118438168641</v>
      </c>
      <c r="H592" s="1614">
        <f t="shared" si="96"/>
        <v>10.013704554958842</v>
      </c>
      <c r="I592" s="1614">
        <f t="shared" si="96"/>
        <v>10.08621580033245</v>
      </c>
      <c r="J592" s="1614">
        <f t="shared" si="96"/>
        <v>10.434824969389627</v>
      </c>
      <c r="K592" s="1614">
        <f t="shared" si="96"/>
        <v>10.767323783528358</v>
      </c>
      <c r="L592" s="1614">
        <f t="shared" si="96"/>
        <v>10.917827105465593</v>
      </c>
      <c r="M592" s="1614">
        <f t="shared" si="96"/>
        <v>11.20531619996251</v>
      </c>
      <c r="N592" s="1614">
        <f t="shared" si="96"/>
        <v>9.1033817796272523</v>
      </c>
      <c r="O592" s="354"/>
    </row>
    <row r="593" spans="1:15" hidden="1">
      <c r="A593" s="354"/>
      <c r="B593" s="979"/>
      <c r="C593" s="373" t="s">
        <v>1117</v>
      </c>
      <c r="D593" s="411" t="s">
        <v>1131</v>
      </c>
      <c r="E593" s="354"/>
      <c r="F593" s="1598"/>
      <c r="G593" s="1614">
        <f t="shared" si="96"/>
        <v>11.371011722305278</v>
      </c>
      <c r="H593" s="1614">
        <f t="shared" si="96"/>
        <v>6.725644140883861</v>
      </c>
      <c r="I593" s="1614">
        <f t="shared" si="96"/>
        <v>6.7743458805765604</v>
      </c>
      <c r="J593" s="1614">
        <f t="shared" si="96"/>
        <v>7.0084871219582743</v>
      </c>
      <c r="K593" s="1614">
        <f t="shared" si="96"/>
        <v>7.2318079408310032</v>
      </c>
      <c r="L593" s="1614">
        <f t="shared" si="96"/>
        <v>7.3328925873586925</v>
      </c>
      <c r="M593" s="1614">
        <f t="shared" si="96"/>
        <v>7.5259829000755474</v>
      </c>
      <c r="N593" s="1614">
        <f t="shared" si="96"/>
        <v>6.1142313508799706</v>
      </c>
      <c r="O593" s="354"/>
    </row>
    <row r="594" spans="1:15" hidden="1">
      <c r="A594" s="354"/>
      <c r="B594" s="979"/>
      <c r="C594" s="373" t="s">
        <v>1119</v>
      </c>
      <c r="D594" s="411" t="s">
        <v>1119</v>
      </c>
      <c r="E594" s="354"/>
      <c r="F594" s="1598"/>
      <c r="G594" s="1614">
        <f t="shared" si="96"/>
        <v>12.238914119407392</v>
      </c>
      <c r="H594" s="1614">
        <f t="shared" si="96"/>
        <v>7.9285763404443319</v>
      </c>
      <c r="I594" s="1614">
        <f t="shared" si="96"/>
        <v>8.0503065365777502</v>
      </c>
      <c r="J594" s="1614">
        <f t="shared" si="96"/>
        <v>8.3409708058724323</v>
      </c>
      <c r="K594" s="1614">
        <f t="shared" si="96"/>
        <v>8.6221345945467895</v>
      </c>
      <c r="L594" s="1614">
        <f t="shared" si="96"/>
        <v>8.7872683310487041</v>
      </c>
      <c r="M594" s="1614">
        <f t="shared" si="96"/>
        <v>9.035323609117917</v>
      </c>
      <c r="N594" s="1614">
        <f t="shared" si="96"/>
        <v>7.756137159572928</v>
      </c>
      <c r="O594" s="354"/>
    </row>
    <row r="595" spans="1:15" hidden="1">
      <c r="A595" s="354"/>
      <c r="B595" s="979"/>
      <c r="C595" s="373" t="s">
        <v>1204</v>
      </c>
      <c r="D595" s="1322" t="s">
        <v>1204</v>
      </c>
      <c r="E595" s="354"/>
      <c r="F595" s="1598"/>
      <c r="G595" s="1614">
        <f t="shared" ref="G595:N595" si="97">SUM(G583:G594)</f>
        <v>5843.3226662368679</v>
      </c>
      <c r="H595" s="1614">
        <f t="shared" si="97"/>
        <v>4815.4620770069032</v>
      </c>
      <c r="I595" s="1614">
        <f t="shared" si="97"/>
        <v>5427.8461459492664</v>
      </c>
      <c r="J595" s="1614">
        <f t="shared" si="97"/>
        <v>5898.3321564609469</v>
      </c>
      <c r="K595" s="1614">
        <f t="shared" si="97"/>
        <v>6444.7582570082332</v>
      </c>
      <c r="L595" s="1614">
        <f t="shared" si="97"/>
        <v>6953.7015801311236</v>
      </c>
      <c r="M595" s="1614">
        <f t="shared" si="97"/>
        <v>7383.508671754269</v>
      </c>
      <c r="N595" s="1614">
        <f t="shared" si="97"/>
        <v>7356.8742880479258</v>
      </c>
      <c r="O595" s="354"/>
    </row>
    <row r="596" spans="1:15" hidden="1">
      <c r="A596" s="354"/>
      <c r="B596" s="979"/>
      <c r="C596" s="373"/>
      <c r="D596" s="1322"/>
      <c r="E596" s="354"/>
      <c r="F596" s="1598"/>
      <c r="G596" s="1614"/>
      <c r="H596" s="1614"/>
      <c r="I596" s="1614"/>
      <c r="J596" s="1614"/>
      <c r="K596" s="1614"/>
      <c r="L596" s="1614"/>
      <c r="M596" s="1614"/>
      <c r="N596" s="1614"/>
      <c r="O596" s="354"/>
    </row>
    <row r="597" spans="1:15" hidden="1">
      <c r="A597" s="354"/>
      <c r="B597" s="979"/>
      <c r="C597" s="373"/>
      <c r="D597" s="1322"/>
      <c r="E597" s="354"/>
      <c r="F597" s="1598"/>
      <c r="G597" s="1614"/>
      <c r="H597" s="1614"/>
      <c r="I597" s="1614"/>
      <c r="J597" s="1614"/>
      <c r="K597" s="1614"/>
      <c r="L597" s="1614"/>
      <c r="M597" s="1614"/>
      <c r="N597" s="1614"/>
      <c r="O597" s="354"/>
    </row>
    <row r="598" spans="1:15" hidden="1">
      <c r="A598" s="354"/>
      <c r="B598" s="354" t="s">
        <v>1205</v>
      </c>
      <c r="C598" s="354" t="s">
        <v>1206</v>
      </c>
      <c r="D598" s="354"/>
      <c r="E598" s="354"/>
      <c r="F598" s="1315"/>
      <c r="G598" s="1315"/>
      <c r="H598" s="1315"/>
      <c r="I598" s="1315"/>
      <c r="J598" s="1315"/>
      <c r="K598" s="1315"/>
      <c r="L598" s="1315"/>
      <c r="M598" s="1315"/>
      <c r="N598" s="1315"/>
      <c r="O598" s="354"/>
    </row>
    <row r="599" spans="1:15" hidden="1">
      <c r="A599" s="354"/>
      <c r="B599" s="979"/>
      <c r="C599" s="354"/>
      <c r="D599" s="354"/>
      <c r="E599" s="354"/>
      <c r="F599" s="1315"/>
      <c r="G599" s="1315"/>
      <c r="H599" s="1315"/>
      <c r="I599" s="1315"/>
      <c r="J599" s="1315"/>
      <c r="K599" s="1315"/>
      <c r="L599" s="1315"/>
      <c r="M599" s="1315"/>
      <c r="N599" s="1315"/>
      <c r="O599" s="354"/>
    </row>
    <row r="600" spans="1:15" hidden="1">
      <c r="A600" s="354"/>
      <c r="B600" s="979"/>
      <c r="C600" s="1322" t="s">
        <v>1191</v>
      </c>
      <c r="D600" s="2"/>
      <c r="E600" s="354"/>
      <c r="F600" s="1315"/>
      <c r="G600" s="1315"/>
      <c r="H600" s="1315"/>
      <c r="I600" s="1315"/>
      <c r="J600" s="1315"/>
      <c r="K600" s="1315"/>
      <c r="L600" s="1315"/>
      <c r="M600" s="1315"/>
      <c r="N600" s="373" t="s">
        <v>2767</v>
      </c>
      <c r="O600" s="354"/>
    </row>
    <row r="601" spans="1:15" hidden="1">
      <c r="A601" s="354"/>
      <c r="B601" s="979"/>
      <c r="C601" s="358" t="s">
        <v>987</v>
      </c>
      <c r="D601" t="s">
        <v>44</v>
      </c>
      <c r="E601" s="354"/>
      <c r="F601" s="1607">
        <v>2013</v>
      </c>
      <c r="G601" s="1607">
        <v>2015</v>
      </c>
      <c r="H601" s="1607">
        <v>2020</v>
      </c>
      <c r="I601" s="1607">
        <v>2025</v>
      </c>
      <c r="J601" s="1607">
        <v>2030</v>
      </c>
      <c r="K601" s="1607">
        <v>2035</v>
      </c>
      <c r="L601" s="1607">
        <v>2040</v>
      </c>
      <c r="M601" s="1607">
        <v>2045</v>
      </c>
      <c r="N601" s="1607">
        <v>2050</v>
      </c>
      <c r="O601" s="354"/>
    </row>
    <row r="602" spans="1:15" hidden="1">
      <c r="A602" s="354"/>
      <c r="B602" s="979"/>
      <c r="C602" s="373" t="s">
        <v>1111</v>
      </c>
      <c r="D602" s="1322" t="s">
        <v>1111</v>
      </c>
      <c r="E602" s="354"/>
      <c r="F602" s="1607"/>
      <c r="G602" s="1614">
        <f t="shared" ref="G602:N608" si="98">G566*G375</f>
        <v>250.23501844077873</v>
      </c>
      <c r="H602" s="1614">
        <f t="shared" si="98"/>
        <v>213.89585351618749</v>
      </c>
      <c r="I602" s="1614">
        <f t="shared" si="98"/>
        <v>214.88283682039804</v>
      </c>
      <c r="J602" s="1614">
        <f t="shared" si="98"/>
        <v>214.58388522208574</v>
      </c>
      <c r="K602" s="1614">
        <f t="shared" si="98"/>
        <v>212.73462942319603</v>
      </c>
      <c r="L602" s="1614">
        <f t="shared" si="98"/>
        <v>208.56146307649419</v>
      </c>
      <c r="M602" s="1614">
        <f t="shared" si="98"/>
        <v>202.32875436298303</v>
      </c>
      <c r="N602" s="1614">
        <f t="shared" si="98"/>
        <v>187.57697903536493</v>
      </c>
      <c r="O602" s="354"/>
    </row>
    <row r="603" spans="1:15" hidden="1">
      <c r="A603" s="354"/>
      <c r="B603" s="979"/>
      <c r="C603" s="358" t="s">
        <v>1113</v>
      </c>
      <c r="D603" s="411" t="s">
        <v>1125</v>
      </c>
      <c r="E603" s="354"/>
      <c r="F603" s="1598"/>
      <c r="G603" s="1614">
        <f t="shared" si="98"/>
        <v>3986.9763283616021</v>
      </c>
      <c r="H603" s="1614">
        <f t="shared" si="98"/>
        <v>3260.9090451673028</v>
      </c>
      <c r="I603" s="1614">
        <f t="shared" si="98"/>
        <v>3087.3246569800131</v>
      </c>
      <c r="J603" s="1614">
        <f t="shared" si="98"/>
        <v>3057.579999625023</v>
      </c>
      <c r="K603" s="1614">
        <f t="shared" si="98"/>
        <v>2984.7446644717484</v>
      </c>
      <c r="L603" s="1614">
        <f t="shared" si="98"/>
        <v>2901.2694683974114</v>
      </c>
      <c r="M603" s="1614">
        <f t="shared" si="98"/>
        <v>2882.2105928656301</v>
      </c>
      <c r="N603" s="1614">
        <f t="shared" si="98"/>
        <v>2605.4289457284199</v>
      </c>
      <c r="O603" s="354"/>
    </row>
    <row r="604" spans="1:15" hidden="1">
      <c r="A604" s="354"/>
      <c r="B604" s="979"/>
      <c r="C604" s="358" t="s">
        <v>1113</v>
      </c>
      <c r="D604" s="1322" t="s">
        <v>1126</v>
      </c>
      <c r="E604" s="354"/>
      <c r="F604" s="1598"/>
      <c r="G604" s="1614">
        <f t="shared" si="98"/>
        <v>112.7338713427154</v>
      </c>
      <c r="H604" s="1614">
        <f t="shared" si="98"/>
        <v>64.892758759257305</v>
      </c>
      <c r="I604" s="1614">
        <f t="shared" si="98"/>
        <v>435.26384357513638</v>
      </c>
      <c r="J604" s="1614">
        <f t="shared" si="98"/>
        <v>596.9901208322301</v>
      </c>
      <c r="K604" s="1614">
        <f t="shared" si="98"/>
        <v>786.79427270345286</v>
      </c>
      <c r="L604" s="1614">
        <f t="shared" si="98"/>
        <v>930.05964675990458</v>
      </c>
      <c r="M604" s="1614">
        <f t="shared" si="98"/>
        <v>996.99298920356193</v>
      </c>
      <c r="N604" s="1614">
        <f t="shared" si="98"/>
        <v>1007.1792006504544</v>
      </c>
      <c r="O604" s="354"/>
    </row>
    <row r="605" spans="1:15" hidden="1">
      <c r="A605" s="354"/>
      <c r="B605" s="979"/>
      <c r="C605" s="358" t="s">
        <v>1113</v>
      </c>
      <c r="D605" s="411" t="s">
        <v>1127</v>
      </c>
      <c r="E605" s="354"/>
      <c r="F605" s="1598"/>
      <c r="G605" s="1614">
        <f t="shared" si="98"/>
        <v>16.49857299264761</v>
      </c>
      <c r="H605" s="1614">
        <f t="shared" si="98"/>
        <v>11.360798037880873</v>
      </c>
      <c r="I605" s="1614">
        <f t="shared" si="98"/>
        <v>77.209770416257811</v>
      </c>
      <c r="J605" s="1614">
        <f t="shared" si="98"/>
        <v>107.48828341922456</v>
      </c>
      <c r="K605" s="1614">
        <f t="shared" si="98"/>
        <v>144.09983935357096</v>
      </c>
      <c r="L605" s="1614">
        <f t="shared" si="98"/>
        <v>173.72992214355349</v>
      </c>
      <c r="M605" s="1614">
        <f t="shared" si="98"/>
        <v>164.60386500197404</v>
      </c>
      <c r="N605" s="1614">
        <f t="shared" si="98"/>
        <v>163.28088730976933</v>
      </c>
      <c r="O605" s="354"/>
    </row>
    <row r="606" spans="1:15" hidden="1">
      <c r="A606" s="354"/>
      <c r="B606" s="979"/>
      <c r="C606" s="358" t="s">
        <v>1113</v>
      </c>
      <c r="D606" s="411" t="s">
        <v>1128</v>
      </c>
      <c r="E606" s="354"/>
      <c r="F606" s="1598"/>
      <c r="G606" s="1614">
        <f t="shared" si="98"/>
        <v>0</v>
      </c>
      <c r="H606" s="1614">
        <f t="shared" si="98"/>
        <v>0</v>
      </c>
      <c r="I606" s="1614">
        <f t="shared" si="98"/>
        <v>0</v>
      </c>
      <c r="J606" s="1614">
        <f t="shared" si="98"/>
        <v>0</v>
      </c>
      <c r="K606" s="1614">
        <f t="shared" si="98"/>
        <v>0</v>
      </c>
      <c r="L606" s="1614">
        <f t="shared" si="98"/>
        <v>0</v>
      </c>
      <c r="M606" s="1614">
        <f t="shared" si="98"/>
        <v>0</v>
      </c>
      <c r="N606" s="1614">
        <f t="shared" si="98"/>
        <v>0</v>
      </c>
      <c r="O606" s="354"/>
    </row>
    <row r="607" spans="1:15" hidden="1">
      <c r="A607" s="354"/>
      <c r="B607" s="979"/>
      <c r="C607" s="358" t="s">
        <v>1115</v>
      </c>
      <c r="D607" s="411" t="s">
        <v>1125</v>
      </c>
      <c r="E607" s="354"/>
      <c r="F607" s="1598"/>
      <c r="G607" s="1614">
        <f t="shared" si="98"/>
        <v>364.76424288827229</v>
      </c>
      <c r="H607" s="1614">
        <f t="shared" si="98"/>
        <v>275.34286946057415</v>
      </c>
      <c r="I607" s="1614">
        <f t="shared" si="98"/>
        <v>272.73552363506968</v>
      </c>
      <c r="J607" s="1614">
        <f t="shared" si="98"/>
        <v>272.00447023453756</v>
      </c>
      <c r="K607" s="1614">
        <f t="shared" si="98"/>
        <v>270.31636960724535</v>
      </c>
      <c r="L607" s="1614">
        <f t="shared" si="98"/>
        <v>265.8835275363196</v>
      </c>
      <c r="M607" s="1614">
        <f t="shared" si="98"/>
        <v>261.8068317964723</v>
      </c>
      <c r="N607" s="1614">
        <f t="shared" si="98"/>
        <v>233.91509174577854</v>
      </c>
      <c r="O607" s="354"/>
    </row>
    <row r="608" spans="1:15" hidden="1">
      <c r="A608" s="354"/>
      <c r="B608" s="979"/>
      <c r="C608" s="358" t="s">
        <v>1115</v>
      </c>
      <c r="D608" s="1322" t="s">
        <v>1129</v>
      </c>
      <c r="E608" s="354"/>
      <c r="F608" s="1598"/>
      <c r="G608" s="1614">
        <f t="shared" si="98"/>
        <v>0</v>
      </c>
      <c r="H608" s="1614">
        <f t="shared" si="98"/>
        <v>0</v>
      </c>
      <c r="I608" s="1614">
        <f t="shared" si="98"/>
        <v>0</v>
      </c>
      <c r="J608" s="1614">
        <f t="shared" si="98"/>
        <v>0</v>
      </c>
      <c r="K608" s="1614">
        <f t="shared" si="98"/>
        <v>0</v>
      </c>
      <c r="L608" s="1614">
        <f t="shared" si="98"/>
        <v>0</v>
      </c>
      <c r="M608" s="1614">
        <f t="shared" si="98"/>
        <v>0</v>
      </c>
      <c r="N608" s="1614">
        <f t="shared" si="98"/>
        <v>0</v>
      </c>
      <c r="O608" s="354"/>
    </row>
    <row r="609" spans="1:15" hidden="1">
      <c r="A609" s="354"/>
      <c r="B609" s="979"/>
      <c r="C609" s="358" t="s">
        <v>1115</v>
      </c>
      <c r="D609" s="411" t="s">
        <v>1127</v>
      </c>
      <c r="E609" s="354"/>
      <c r="F609" s="1598"/>
      <c r="G609" s="1614">
        <f t="shared" ref="G609:M613" si="99">G573*G382</f>
        <v>0</v>
      </c>
      <c r="H609" s="1614">
        <f t="shared" si="99"/>
        <v>0</v>
      </c>
      <c r="I609" s="1614">
        <f t="shared" si="99"/>
        <v>0</v>
      </c>
      <c r="J609" s="1614">
        <f t="shared" si="99"/>
        <v>0</v>
      </c>
      <c r="K609" s="1614">
        <f t="shared" si="99"/>
        <v>0</v>
      </c>
      <c r="L609" s="1614">
        <f t="shared" si="99"/>
        <v>0</v>
      </c>
      <c r="M609" s="1614">
        <f t="shared" si="99"/>
        <v>0</v>
      </c>
      <c r="N609" s="1614">
        <f>N573*N381</f>
        <v>0</v>
      </c>
      <c r="O609" s="354"/>
    </row>
    <row r="610" spans="1:15" hidden="1">
      <c r="A610" s="354"/>
      <c r="B610" s="979"/>
      <c r="C610" s="358" t="s">
        <v>1115</v>
      </c>
      <c r="D610" s="1322" t="s">
        <v>1128</v>
      </c>
      <c r="E610" s="354"/>
      <c r="F610" s="1598"/>
      <c r="G610" s="1614">
        <f t="shared" si="99"/>
        <v>0</v>
      </c>
      <c r="H610" s="1614">
        <f t="shared" si="99"/>
        <v>0</v>
      </c>
      <c r="I610" s="1614">
        <f t="shared" si="99"/>
        <v>0</v>
      </c>
      <c r="J610" s="1614">
        <f t="shared" si="99"/>
        <v>0</v>
      </c>
      <c r="K610" s="1614">
        <f t="shared" si="99"/>
        <v>0</v>
      </c>
      <c r="L610" s="1614">
        <f t="shared" si="99"/>
        <v>0</v>
      </c>
      <c r="M610" s="1614">
        <f t="shared" si="99"/>
        <v>0</v>
      </c>
      <c r="N610" s="1614">
        <f>N574*N383</f>
        <v>0</v>
      </c>
      <c r="O610" s="354"/>
    </row>
    <row r="611" spans="1:15" hidden="1">
      <c r="A611" s="354"/>
      <c r="B611" s="979"/>
      <c r="C611" s="358" t="s">
        <v>1117</v>
      </c>
      <c r="D611" s="411" t="s">
        <v>1130</v>
      </c>
      <c r="E611" s="354"/>
      <c r="F611" s="1598"/>
      <c r="G611" s="1614">
        <f t="shared" si="99"/>
        <v>16.311117335131659</v>
      </c>
      <c r="H611" s="1614">
        <f t="shared" si="99"/>
        <v>9.2814599238720792</v>
      </c>
      <c r="I611" s="1614">
        <f t="shared" si="99"/>
        <v>8.9798953580963357</v>
      </c>
      <c r="J611" s="1614">
        <f t="shared" si="99"/>
        <v>8.9087474786408389</v>
      </c>
      <c r="K611" s="1614">
        <f t="shared" si="99"/>
        <v>8.7989426044179027</v>
      </c>
      <c r="L611" s="1614">
        <f t="shared" si="99"/>
        <v>8.5227533631056449</v>
      </c>
      <c r="M611" s="1614">
        <f t="shared" si="99"/>
        <v>8.3374850155022955</v>
      </c>
      <c r="N611" s="1614">
        <f>N575*N385</f>
        <v>17.3032989307954</v>
      </c>
      <c r="O611" s="354"/>
    </row>
    <row r="612" spans="1:15" hidden="1">
      <c r="A612" s="354"/>
      <c r="B612" s="979"/>
      <c r="C612" s="373" t="s">
        <v>1117</v>
      </c>
      <c r="D612" s="411" t="s">
        <v>1131</v>
      </c>
      <c r="E612" s="354"/>
      <c r="F612" s="1598"/>
      <c r="G612" s="1614">
        <f t="shared" si="99"/>
        <v>10.955260513106694</v>
      </c>
      <c r="H612" s="1614">
        <f t="shared" si="99"/>
        <v>6.2338330773657677</v>
      </c>
      <c r="I612" s="1614">
        <f t="shared" si="99"/>
        <v>6.0312873313040001</v>
      </c>
      <c r="J612" s="1614">
        <f t="shared" si="99"/>
        <v>5.9834993489209145</v>
      </c>
      <c r="K612" s="1614">
        <f t="shared" si="99"/>
        <v>5.9097475254879166</v>
      </c>
      <c r="L612" s="1614">
        <f t="shared" si="99"/>
        <v>5.7242447196562187</v>
      </c>
      <c r="M612" s="1614">
        <f t="shared" si="99"/>
        <v>5.5998081697447351</v>
      </c>
      <c r="N612" s="1614">
        <f>N576*N385</f>
        <v>4.3258247326988499</v>
      </c>
      <c r="O612" s="354"/>
    </row>
    <row r="613" spans="1:15" hidden="1">
      <c r="A613" s="354"/>
      <c r="B613" s="979"/>
      <c r="C613" s="373" t="s">
        <v>1119</v>
      </c>
      <c r="D613" s="411" t="s">
        <v>1119</v>
      </c>
      <c r="E613" s="354"/>
      <c r="F613" s="1598"/>
      <c r="G613" s="1614">
        <f t="shared" si="99"/>
        <v>11.664205357362791</v>
      </c>
      <c r="H613" s="1614">
        <f t="shared" si="99"/>
        <v>7.1839641552558806</v>
      </c>
      <c r="I613" s="1614">
        <f t="shared" si="99"/>
        <v>6.9162398231640845</v>
      </c>
      <c r="J613" s="1614">
        <f t="shared" si="99"/>
        <v>6.7742863894855976</v>
      </c>
      <c r="K613" s="1614">
        <f t="shared" si="99"/>
        <v>6.5977653365109177</v>
      </c>
      <c r="L613" s="1614">
        <f t="shared" si="99"/>
        <v>6.3114996206778997</v>
      </c>
      <c r="M613" s="1614">
        <f t="shared" si="99"/>
        <v>6.0653903970823135</v>
      </c>
      <c r="N613" s="1614">
        <f>N577*N386</f>
        <v>4.8424669161267824</v>
      </c>
      <c r="O613" s="354"/>
    </row>
    <row r="614" spans="1:15" hidden="1">
      <c r="A614" s="354"/>
      <c r="B614" s="979"/>
      <c r="C614" s="373" t="s">
        <v>1204</v>
      </c>
      <c r="D614" s="1322" t="s">
        <v>1204</v>
      </c>
      <c r="E614" s="354"/>
      <c r="F614" s="1598"/>
      <c r="G614" s="1614">
        <f t="shared" ref="G614:N614" si="100">SUM(G602:G613)</f>
        <v>4770.1386172316179</v>
      </c>
      <c r="H614" s="1614">
        <f t="shared" si="100"/>
        <v>3849.100582097697</v>
      </c>
      <c r="I614" s="1614">
        <f t="shared" si="100"/>
        <v>4109.3440539394396</v>
      </c>
      <c r="J614" s="1614">
        <f t="shared" si="100"/>
        <v>4270.3132925501486</v>
      </c>
      <c r="K614" s="1614">
        <f t="shared" si="100"/>
        <v>4419.9962310256296</v>
      </c>
      <c r="L614" s="1614">
        <f t="shared" si="100"/>
        <v>4500.0625256171224</v>
      </c>
      <c r="M614" s="1614">
        <f t="shared" si="100"/>
        <v>4527.9457168129511</v>
      </c>
      <c r="N614" s="1614">
        <f t="shared" si="100"/>
        <v>4223.8526950494079</v>
      </c>
      <c r="O614" s="354"/>
    </row>
    <row r="615" spans="1:15" hidden="1">
      <c r="A615" s="354"/>
      <c r="B615" s="979"/>
      <c r="C615" s="373"/>
      <c r="D615" s="1322"/>
      <c r="E615" s="354"/>
      <c r="F615" s="1598"/>
      <c r="G615" s="1614"/>
      <c r="H615" s="1614"/>
      <c r="I615" s="1614"/>
      <c r="J615" s="1614"/>
      <c r="K615" s="1614"/>
      <c r="L615" s="1614"/>
      <c r="M615" s="1614"/>
      <c r="N615" s="1614"/>
      <c r="O615" s="354"/>
    </row>
    <row r="616" spans="1:15" hidden="1">
      <c r="A616" s="354"/>
    </row>
    <row r="617" spans="1:15" hidden="1">
      <c r="A617" s="354"/>
      <c r="B617" s="354" t="s">
        <v>1207</v>
      </c>
      <c r="C617" s="354" t="s">
        <v>1208</v>
      </c>
      <c r="D617" s="354"/>
      <c r="E617" s="354"/>
      <c r="F617" s="1315"/>
      <c r="G617" s="1315"/>
      <c r="H617" s="1315"/>
      <c r="I617" s="1315"/>
      <c r="J617" s="1315"/>
      <c r="K617" s="1315"/>
      <c r="L617" s="1315"/>
      <c r="M617" s="1315"/>
      <c r="N617" s="1315"/>
    </row>
    <row r="618" spans="1:15" hidden="1">
      <c r="A618" s="354"/>
      <c r="C618" s="354"/>
      <c r="D618" s="354"/>
      <c r="E618" s="354"/>
      <c r="F618" s="1315"/>
      <c r="G618" s="1315"/>
      <c r="H618" s="1315"/>
      <c r="I618" s="1315"/>
      <c r="J618" s="1315"/>
      <c r="K618" s="1315"/>
      <c r="L618" s="1315"/>
      <c r="M618" s="1315"/>
      <c r="N618" s="1315"/>
    </row>
    <row r="619" spans="1:15" hidden="1">
      <c r="A619" s="354"/>
      <c r="C619" s="1322" t="s">
        <v>1191</v>
      </c>
      <c r="D619" s="2"/>
      <c r="E619" s="354"/>
      <c r="F619" s="1315"/>
      <c r="G619" s="1315"/>
      <c r="H619" s="1315"/>
      <c r="I619" s="1315"/>
      <c r="J619" s="1315"/>
      <c r="K619" s="1315"/>
      <c r="L619" s="1315"/>
      <c r="M619" s="1315"/>
      <c r="N619" s="373" t="s">
        <v>2767</v>
      </c>
    </row>
    <row r="620" spans="1:15" hidden="1">
      <c r="A620" s="354"/>
      <c r="C620" s="358" t="s">
        <v>987</v>
      </c>
      <c r="D620" t="s">
        <v>44</v>
      </c>
      <c r="E620" s="354"/>
      <c r="F620" s="1607">
        <v>2013</v>
      </c>
      <c r="G620" s="1607">
        <v>2015</v>
      </c>
      <c r="H620" s="1607">
        <v>2020</v>
      </c>
      <c r="I620" s="1607">
        <v>2025</v>
      </c>
      <c r="J620" s="1607">
        <v>2030</v>
      </c>
      <c r="K620" s="1607">
        <v>2035</v>
      </c>
      <c r="L620" s="1607">
        <v>2040</v>
      </c>
      <c r="M620" s="1607">
        <v>2045</v>
      </c>
      <c r="N620" s="1607">
        <v>2050</v>
      </c>
    </row>
    <row r="621" spans="1:15" hidden="1">
      <c r="A621" s="354"/>
      <c r="C621" s="373" t="s">
        <v>1111</v>
      </c>
      <c r="D621" s="1322" t="s">
        <v>1111</v>
      </c>
      <c r="E621" s="354"/>
      <c r="F621" s="1607"/>
      <c r="G621" s="1614">
        <f t="shared" ref="G621:N632" si="101">G566*G390</f>
        <v>240.86793218898487</v>
      </c>
      <c r="H621" s="1614">
        <f t="shared" si="101"/>
        <v>196.68584231373561</v>
      </c>
      <c r="I621" s="1614">
        <f t="shared" si="101"/>
        <v>186.85464071338956</v>
      </c>
      <c r="J621" s="1614">
        <f t="shared" si="101"/>
        <v>173.98693396385329</v>
      </c>
      <c r="K621" s="1614">
        <f t="shared" si="101"/>
        <v>157.58120698014517</v>
      </c>
      <c r="L621" s="1614">
        <f t="shared" si="101"/>
        <v>136.7616151321273</v>
      </c>
      <c r="M621" s="1614">
        <f t="shared" si="101"/>
        <v>111.37362625485304</v>
      </c>
      <c r="N621" s="1614">
        <f t="shared" si="101"/>
        <v>78.157074598068718</v>
      </c>
    </row>
    <row r="622" spans="1:15" hidden="1">
      <c r="A622" s="354"/>
      <c r="C622" s="358" t="s">
        <v>1113</v>
      </c>
      <c r="D622" s="411" t="s">
        <v>1125</v>
      </c>
      <c r="E622" s="354"/>
      <c r="F622" s="1598"/>
      <c r="G622" s="1614">
        <f t="shared" si="101"/>
        <v>3725.8929267356043</v>
      </c>
      <c r="H622" s="1614">
        <f t="shared" si="101"/>
        <v>3052.849591851967</v>
      </c>
      <c r="I622" s="1614">
        <f t="shared" si="101"/>
        <v>2895.699307679402</v>
      </c>
      <c r="J622" s="1614">
        <f t="shared" si="101"/>
        <v>2873.2871075883309</v>
      </c>
      <c r="K622" s="1614">
        <f t="shared" si="101"/>
        <v>2810.3813408387077</v>
      </c>
      <c r="L622" s="1614">
        <f t="shared" si="101"/>
        <v>2737.3553187480848</v>
      </c>
      <c r="M622" s="1614">
        <f t="shared" si="101"/>
        <v>2725.1061985223459</v>
      </c>
      <c r="N622" s="1614">
        <f t="shared" si="101"/>
        <v>2468.7815227014821</v>
      </c>
    </row>
    <row r="623" spans="1:15" hidden="1">
      <c r="A623" s="354"/>
      <c r="C623" s="358" t="s">
        <v>1113</v>
      </c>
      <c r="D623" s="1322" t="s">
        <v>1126</v>
      </c>
      <c r="E623" s="354"/>
      <c r="F623" s="1598"/>
      <c r="G623" s="1614">
        <f t="shared" si="101"/>
        <v>85.016803896874279</v>
      </c>
      <c r="H623" s="1614">
        <f t="shared" si="101"/>
        <v>49.458582426999897</v>
      </c>
      <c r="I623" s="1614">
        <f t="shared" si="101"/>
        <v>335.72020780504465</v>
      </c>
      <c r="J623" s="1614">
        <f t="shared" si="101"/>
        <v>466.74039583277624</v>
      </c>
      <c r="K623" s="1614">
        <f t="shared" si="101"/>
        <v>624.75724659968455</v>
      </c>
      <c r="L623" s="1614">
        <f t="shared" si="101"/>
        <v>751.90854297226292</v>
      </c>
      <c r="M623" s="1614">
        <f t="shared" si="101"/>
        <v>823.16482108015464</v>
      </c>
      <c r="N623" s="1614">
        <f t="shared" si="101"/>
        <v>852.62167741529038</v>
      </c>
    </row>
    <row r="624" spans="1:15" hidden="1">
      <c r="A624" s="354"/>
      <c r="C624" s="358" t="s">
        <v>1113</v>
      </c>
      <c r="D624" s="411" t="s">
        <v>1127</v>
      </c>
      <c r="E624" s="354"/>
      <c r="F624" s="1598"/>
      <c r="G624" s="1614">
        <f t="shared" si="101"/>
        <v>12.632448937370638</v>
      </c>
      <c r="H624" s="1614">
        <f t="shared" si="101"/>
        <v>8.5325805182290413</v>
      </c>
      <c r="I624" s="1614">
        <f t="shared" si="101"/>
        <v>56.733999943237812</v>
      </c>
      <c r="J624" s="1614">
        <f t="shared" si="101"/>
        <v>77.028682305749541</v>
      </c>
      <c r="K624" s="1614">
        <f t="shared" si="101"/>
        <v>100.31535518703403</v>
      </c>
      <c r="L624" s="1614">
        <f t="shared" si="101"/>
        <v>116.90698015284528</v>
      </c>
      <c r="M624" s="1614">
        <f t="shared" si="101"/>
        <v>106.39058905331642</v>
      </c>
      <c r="N624" s="1614">
        <f t="shared" si="101"/>
        <v>100.52029760618055</v>
      </c>
    </row>
    <row r="625" spans="1:15" hidden="1">
      <c r="A625" s="354"/>
      <c r="C625" s="358" t="s">
        <v>1113</v>
      </c>
      <c r="D625" s="411" t="s">
        <v>1128</v>
      </c>
      <c r="E625" s="354"/>
      <c r="F625" s="1598"/>
      <c r="G625" s="1614">
        <f t="shared" si="101"/>
        <v>0</v>
      </c>
      <c r="H625" s="1614">
        <f t="shared" si="101"/>
        <v>0</v>
      </c>
      <c r="I625" s="1614">
        <f t="shared" si="101"/>
        <v>0</v>
      </c>
      <c r="J625" s="1614">
        <f t="shared" si="101"/>
        <v>0</v>
      </c>
      <c r="K625" s="1614">
        <f t="shared" si="101"/>
        <v>0</v>
      </c>
      <c r="L625" s="1614">
        <f t="shared" si="101"/>
        <v>0</v>
      </c>
      <c r="M625" s="1614">
        <f t="shared" si="101"/>
        <v>0</v>
      </c>
      <c r="N625" s="1614">
        <f t="shared" si="101"/>
        <v>0</v>
      </c>
    </row>
    <row r="626" spans="1:15" hidden="1">
      <c r="A626" s="354"/>
      <c r="C626" s="358" t="s">
        <v>1115</v>
      </c>
      <c r="D626" s="411" t="s">
        <v>1125</v>
      </c>
      <c r="E626" s="354"/>
      <c r="F626" s="1598"/>
      <c r="G626" s="1614">
        <f t="shared" si="101"/>
        <v>355.0589769635601</v>
      </c>
      <c r="H626" s="1614">
        <f t="shared" si="101"/>
        <v>260.12750194483255</v>
      </c>
      <c r="I626" s="1614">
        <f t="shared" si="101"/>
        <v>249.22472503446878</v>
      </c>
      <c r="J626" s="1614">
        <f t="shared" si="101"/>
        <v>239.4387226874108</v>
      </c>
      <c r="K626" s="1614">
        <f t="shared" si="101"/>
        <v>228.10378937121644</v>
      </c>
      <c r="L626" s="1614">
        <f t="shared" si="101"/>
        <v>213.79552500944246</v>
      </c>
      <c r="M626" s="1614">
        <f t="shared" si="101"/>
        <v>199.1213717426721</v>
      </c>
      <c r="N626" s="1614">
        <f t="shared" si="101"/>
        <v>166.70822230855293</v>
      </c>
    </row>
    <row r="627" spans="1:15" hidden="1">
      <c r="A627" s="354"/>
      <c r="C627" s="358" t="s">
        <v>1115</v>
      </c>
      <c r="D627" s="1322" t="s">
        <v>1129</v>
      </c>
      <c r="E627" s="354"/>
      <c r="F627" s="1598"/>
      <c r="G627" s="1614">
        <f t="shared" si="101"/>
        <v>0</v>
      </c>
      <c r="H627" s="1614">
        <f t="shared" si="101"/>
        <v>0</v>
      </c>
      <c r="I627" s="1614">
        <f t="shared" si="101"/>
        <v>0</v>
      </c>
      <c r="J627" s="1614">
        <f t="shared" si="101"/>
        <v>0</v>
      </c>
      <c r="K627" s="1614">
        <f t="shared" si="101"/>
        <v>0</v>
      </c>
      <c r="L627" s="1614">
        <f t="shared" si="101"/>
        <v>0</v>
      </c>
      <c r="M627" s="1614">
        <f t="shared" si="101"/>
        <v>0</v>
      </c>
      <c r="N627" s="1614">
        <f t="shared" si="101"/>
        <v>0</v>
      </c>
    </row>
    <row r="628" spans="1:15" hidden="1">
      <c r="A628" s="354"/>
      <c r="C628" s="358" t="s">
        <v>1115</v>
      </c>
      <c r="D628" s="411" t="s">
        <v>1127</v>
      </c>
      <c r="E628" s="354"/>
      <c r="F628" s="1598"/>
      <c r="G628" s="1614">
        <f t="shared" si="101"/>
        <v>0</v>
      </c>
      <c r="H628" s="1614">
        <f t="shared" si="101"/>
        <v>0</v>
      </c>
      <c r="I628" s="1614">
        <f t="shared" si="101"/>
        <v>0</v>
      </c>
      <c r="J628" s="1614">
        <f t="shared" si="101"/>
        <v>0</v>
      </c>
      <c r="K628" s="1614">
        <f t="shared" si="101"/>
        <v>0</v>
      </c>
      <c r="L628" s="1614">
        <f t="shared" si="101"/>
        <v>0</v>
      </c>
      <c r="M628" s="1614">
        <f t="shared" si="101"/>
        <v>0</v>
      </c>
      <c r="N628" s="1614">
        <f t="shared" si="101"/>
        <v>0</v>
      </c>
    </row>
    <row r="629" spans="1:15" hidden="1">
      <c r="A629" s="354"/>
      <c r="C629" s="358" t="s">
        <v>1115</v>
      </c>
      <c r="D629" s="1322" t="s">
        <v>1128</v>
      </c>
      <c r="E629" s="354"/>
      <c r="F629" s="1598"/>
      <c r="G629" s="1614">
        <f t="shared" si="101"/>
        <v>0</v>
      </c>
      <c r="H629" s="1614">
        <f t="shared" si="101"/>
        <v>0</v>
      </c>
      <c r="I629" s="1614">
        <f t="shared" si="101"/>
        <v>0</v>
      </c>
      <c r="J629" s="1614">
        <f t="shared" si="101"/>
        <v>0</v>
      </c>
      <c r="K629" s="1614">
        <f t="shared" si="101"/>
        <v>0</v>
      </c>
      <c r="L629" s="1614">
        <f t="shared" si="101"/>
        <v>0</v>
      </c>
      <c r="M629" s="1614">
        <f t="shared" si="101"/>
        <v>0</v>
      </c>
      <c r="N629" s="1614">
        <f t="shared" si="101"/>
        <v>0</v>
      </c>
    </row>
    <row r="630" spans="1:15" hidden="1">
      <c r="A630" s="354"/>
      <c r="C630" s="358" t="s">
        <v>1117</v>
      </c>
      <c r="D630" s="411" t="s">
        <v>1130</v>
      </c>
      <c r="E630" s="354"/>
      <c r="F630" s="1598"/>
      <c r="G630" s="1614">
        <f t="shared" si="101"/>
        <v>15.977799276021656</v>
      </c>
      <c r="H630" s="1614">
        <f t="shared" si="101"/>
        <v>8.887162792525972</v>
      </c>
      <c r="I630" s="1614">
        <f t="shared" si="101"/>
        <v>8.3841668840263495</v>
      </c>
      <c r="J630" s="1614">
        <f t="shared" si="101"/>
        <v>8.0869893512769604</v>
      </c>
      <c r="K630" s="1614">
        <f t="shared" si="101"/>
        <v>7.7390139694110056</v>
      </c>
      <c r="L630" s="1614">
        <f t="shared" si="101"/>
        <v>7.2330604573709536</v>
      </c>
      <c r="M630" s="1614">
        <f t="shared" si="101"/>
        <v>6.79322294622727</v>
      </c>
      <c r="N630" s="1614">
        <f t="shared" si="101"/>
        <v>5.0068599787949886</v>
      </c>
    </row>
    <row r="631" spans="1:15" hidden="1">
      <c r="A631" s="354"/>
      <c r="C631" s="373" t="s">
        <v>1117</v>
      </c>
      <c r="D631" s="411" t="s">
        <v>1131</v>
      </c>
      <c r="E631" s="354"/>
      <c r="F631" s="1598"/>
      <c r="G631" s="1614">
        <f t="shared" si="101"/>
        <v>10.731392312925605</v>
      </c>
      <c r="H631" s="1614">
        <f t="shared" si="101"/>
        <v>5.9690091750344259</v>
      </c>
      <c r="I631" s="1614">
        <f t="shared" si="101"/>
        <v>5.6311750132292637</v>
      </c>
      <c r="J631" s="1614">
        <f t="shared" si="101"/>
        <v>5.4315775195176608</v>
      </c>
      <c r="K631" s="1614">
        <f t="shared" si="101"/>
        <v>5.1978619574722815</v>
      </c>
      <c r="L631" s="1614">
        <f t="shared" si="101"/>
        <v>4.8580413391251316</v>
      </c>
      <c r="M631" s="1614">
        <f t="shared" si="101"/>
        <v>4.5626271331707988</v>
      </c>
      <c r="N631" s="1614">
        <f t="shared" si="101"/>
        <v>3.3628272429839838</v>
      </c>
    </row>
    <row r="632" spans="1:15" hidden="1">
      <c r="A632" s="354"/>
      <c r="C632" s="373" t="s">
        <v>1119</v>
      </c>
      <c r="D632" s="411" t="s">
        <v>1119</v>
      </c>
      <c r="E632" s="354"/>
      <c r="F632" s="1598"/>
      <c r="G632" s="1614">
        <f t="shared" si="101"/>
        <v>11.35474679318493</v>
      </c>
      <c r="H632" s="1614">
        <f t="shared" si="101"/>
        <v>6.7830191324620985</v>
      </c>
      <c r="I632" s="1614">
        <f t="shared" si="101"/>
        <v>6.3055885159413405</v>
      </c>
      <c r="J632" s="1614">
        <f t="shared" si="101"/>
        <v>5.9306870883542224</v>
      </c>
      <c r="K632" s="1614">
        <f t="shared" si="101"/>
        <v>5.507720351414676</v>
      </c>
      <c r="L632" s="1614">
        <f t="shared" si="101"/>
        <v>4.9783933920166916</v>
      </c>
      <c r="M632" s="1614">
        <f t="shared" si="101"/>
        <v>4.4661955906015987</v>
      </c>
      <c r="N632" s="1614">
        <f t="shared" si="101"/>
        <v>3.2735675542711662</v>
      </c>
    </row>
    <row r="633" spans="1:15" hidden="1">
      <c r="A633" s="354"/>
      <c r="C633" s="373" t="s">
        <v>1204</v>
      </c>
      <c r="D633" s="1322" t="s">
        <v>1204</v>
      </c>
      <c r="E633" s="354"/>
      <c r="F633" s="1598"/>
      <c r="G633" s="1614">
        <f t="shared" ref="G633:N633" si="102">SUM(G621:G632)</f>
        <v>4457.5330271045268</v>
      </c>
      <c r="H633" s="1614">
        <f t="shared" si="102"/>
        <v>3589.2932901557865</v>
      </c>
      <c r="I633" s="1614">
        <f t="shared" si="102"/>
        <v>3744.5538115887398</v>
      </c>
      <c r="J633" s="1614">
        <f t="shared" si="102"/>
        <v>3849.9310963372695</v>
      </c>
      <c r="K633" s="1614">
        <f t="shared" si="102"/>
        <v>3939.5835352550862</v>
      </c>
      <c r="L633" s="1614">
        <f t="shared" si="102"/>
        <v>3973.7974772032749</v>
      </c>
      <c r="M633" s="1614">
        <f t="shared" si="102"/>
        <v>3980.978652323342</v>
      </c>
      <c r="N633" s="1614">
        <f t="shared" si="102"/>
        <v>3678.4320494056255</v>
      </c>
    </row>
    <row r="634" spans="1:15" hidden="1">
      <c r="A634" s="354"/>
    </row>
    <row r="635" spans="1:15" hidden="1">
      <c r="A635" s="354"/>
      <c r="B635" s="354" t="s">
        <v>1209</v>
      </c>
      <c r="C635" s="354" t="s">
        <v>1210</v>
      </c>
      <c r="D635" s="354"/>
      <c r="E635" s="354"/>
      <c r="F635" s="1315"/>
      <c r="G635" s="1315"/>
      <c r="H635" s="1315"/>
      <c r="I635" s="1315"/>
      <c r="J635" s="1315"/>
      <c r="K635" s="1315"/>
      <c r="L635" s="1315"/>
      <c r="M635" s="1315"/>
      <c r="N635" s="1315"/>
      <c r="O635" s="354"/>
    </row>
    <row r="636" spans="1:15" hidden="1">
      <c r="A636" s="354"/>
      <c r="B636" s="979"/>
      <c r="C636" s="354"/>
      <c r="D636" s="354"/>
      <c r="E636" s="354"/>
      <c r="F636" s="1315"/>
      <c r="G636" s="1315"/>
      <c r="H636" s="1315"/>
      <c r="I636" s="1315"/>
      <c r="J636" s="1315"/>
      <c r="K636" s="1315"/>
      <c r="L636" s="1315"/>
      <c r="M636" s="1315"/>
      <c r="N636" s="1315"/>
      <c r="O636" s="354"/>
    </row>
    <row r="637" spans="1:15" hidden="1">
      <c r="A637" s="354"/>
      <c r="B637" s="358"/>
      <c r="C637" s="1322" t="s">
        <v>1191</v>
      </c>
      <c r="D637" s="2"/>
      <c r="E637" s="354"/>
      <c r="F637" s="1315"/>
      <c r="G637" s="1315"/>
      <c r="H637" s="1315"/>
      <c r="I637" s="1315"/>
      <c r="J637" s="1315"/>
      <c r="K637" s="1315"/>
      <c r="L637" s="1315"/>
      <c r="M637" s="1315"/>
      <c r="N637" s="373" t="s">
        <v>2748</v>
      </c>
      <c r="O637" s="354"/>
    </row>
    <row r="638" spans="1:15" hidden="1">
      <c r="A638" s="354"/>
      <c r="B638" s="979"/>
      <c r="C638" s="358" t="s">
        <v>987</v>
      </c>
      <c r="D638" t="s">
        <v>44</v>
      </c>
      <c r="E638" s="354"/>
      <c r="F638" s="1607">
        <v>2013</v>
      </c>
      <c r="G638" s="1607">
        <v>2015</v>
      </c>
      <c r="H638" s="1607">
        <v>2020</v>
      </c>
      <c r="I638" s="1607">
        <v>2025</v>
      </c>
      <c r="J638" s="1607">
        <v>2030</v>
      </c>
      <c r="K638" s="1607">
        <v>2035</v>
      </c>
      <c r="L638" s="1607">
        <v>2040</v>
      </c>
      <c r="M638" s="1607">
        <v>2045</v>
      </c>
      <c r="N638" s="1607">
        <v>2050</v>
      </c>
      <c r="O638" s="354"/>
    </row>
    <row r="639" spans="1:15" hidden="1">
      <c r="A639" s="354"/>
      <c r="B639" s="979"/>
      <c r="C639" s="373" t="s">
        <v>1111</v>
      </c>
      <c r="D639" s="1322" t="s">
        <v>1111</v>
      </c>
      <c r="E639" s="354"/>
      <c r="F639" s="1598"/>
      <c r="G639" s="1598">
        <f t="shared" ref="G639:N646" si="103">G531*G405</f>
        <v>112.64859035310774</v>
      </c>
      <c r="H639" s="1598">
        <f t="shared" si="103"/>
        <v>122.92865144608473</v>
      </c>
      <c r="I639" s="1598">
        <f t="shared" si="103"/>
        <v>133.46760050956397</v>
      </c>
      <c r="J639" s="1598">
        <f t="shared" si="103"/>
        <v>144.98911163654438</v>
      </c>
      <c r="K639" s="1598">
        <f t="shared" si="103"/>
        <v>157.58120698014511</v>
      </c>
      <c r="L639" s="1598">
        <f t="shared" si="103"/>
        <v>170.95201891515904</v>
      </c>
      <c r="M639" s="1598">
        <f t="shared" si="103"/>
        <v>185.62271042475496</v>
      </c>
      <c r="N639" s="1598">
        <f t="shared" si="103"/>
        <v>195.39268649517177</v>
      </c>
      <c r="O639" s="354"/>
    </row>
    <row r="640" spans="1:15" hidden="1">
      <c r="A640" s="354"/>
      <c r="B640" s="979"/>
      <c r="C640" s="358" t="s">
        <v>1113</v>
      </c>
      <c r="D640" s="411" t="s">
        <v>1125</v>
      </c>
      <c r="E640" s="354"/>
      <c r="F640" s="1598"/>
      <c r="G640" s="1598">
        <f t="shared" si="103"/>
        <v>3389.3179825544162</v>
      </c>
      <c r="H640" s="1598">
        <f t="shared" si="103"/>
        <v>3572.3108838703029</v>
      </c>
      <c r="I640" s="1598">
        <f t="shared" si="103"/>
        <v>3619.1926721222617</v>
      </c>
      <c r="J640" s="1598">
        <f t="shared" si="103"/>
        <v>3657.3983975032447</v>
      </c>
      <c r="K640" s="1598">
        <f t="shared" si="103"/>
        <v>3668.7514011543399</v>
      </c>
      <c r="L640" s="1598">
        <f t="shared" si="103"/>
        <v>3658.4908758639908</v>
      </c>
      <c r="M640" s="1598">
        <f t="shared" si="103"/>
        <v>3669.3352876588683</v>
      </c>
      <c r="N640" s="1598">
        <f t="shared" si="103"/>
        <v>3553.3379564391275</v>
      </c>
      <c r="O640" s="354"/>
    </row>
    <row r="641" spans="1:15" hidden="1">
      <c r="A641" s="354"/>
      <c r="B641" s="979"/>
      <c r="C641" s="358" t="s">
        <v>1113</v>
      </c>
      <c r="D641" s="1322" t="s">
        <v>1126</v>
      </c>
      <c r="E641" s="354"/>
      <c r="F641" s="1598"/>
      <c r="G641" s="1598">
        <f t="shared" si="103"/>
        <v>21.815621938224218</v>
      </c>
      <c r="H641" s="1598">
        <f t="shared" si="103"/>
        <v>46.172914541181171</v>
      </c>
      <c r="I641" s="1598">
        <f t="shared" si="103"/>
        <v>266.97544136911768</v>
      </c>
      <c r="J641" s="1598">
        <f t="shared" si="103"/>
        <v>509.7348802089312</v>
      </c>
      <c r="K641" s="1598">
        <f t="shared" si="103"/>
        <v>801.84768312391509</v>
      </c>
      <c r="L641" s="1598">
        <f t="shared" si="103"/>
        <v>1116.9218600879769</v>
      </c>
      <c r="M641" s="1598">
        <f t="shared" si="103"/>
        <v>1415.0472793671763</v>
      </c>
      <c r="N641" s="1598">
        <f t="shared" si="103"/>
        <v>1679.759356535493</v>
      </c>
      <c r="O641" s="354"/>
    </row>
    <row r="642" spans="1:15" s="354" customFormat="1" hidden="1">
      <c r="B642" s="979"/>
      <c r="C642" s="358" t="s">
        <v>1113</v>
      </c>
      <c r="D642" s="411" t="s">
        <v>1127</v>
      </c>
      <c r="F642" s="1598"/>
      <c r="G642" s="1598">
        <f t="shared" si="103"/>
        <v>2.3027937075225178</v>
      </c>
      <c r="H642" s="1598">
        <f t="shared" si="103"/>
        <v>4.8738787903684191</v>
      </c>
      <c r="I642" s="1598">
        <f t="shared" si="103"/>
        <v>28.181152395689832</v>
      </c>
      <c r="J642" s="1598">
        <f t="shared" si="103"/>
        <v>53.806133878455896</v>
      </c>
      <c r="K642" s="1598">
        <f t="shared" si="103"/>
        <v>84.640713169581332</v>
      </c>
      <c r="L642" s="1598">
        <f t="shared" si="103"/>
        <v>117.89902843422227</v>
      </c>
      <c r="M642" s="1598">
        <f t="shared" si="103"/>
        <v>138.38532013493045</v>
      </c>
      <c r="N642" s="1598">
        <f t="shared" si="103"/>
        <v>155.14670525637848</v>
      </c>
    </row>
    <row r="643" spans="1:15" s="354" customFormat="1" hidden="1">
      <c r="B643" s="979"/>
      <c r="C643" s="358" t="s">
        <v>1113</v>
      </c>
      <c r="D643" s="411" t="s">
        <v>1128</v>
      </c>
      <c r="F643" s="1598"/>
      <c r="G643" s="1598">
        <f t="shared" si="103"/>
        <v>0</v>
      </c>
      <c r="H643" s="1598">
        <f t="shared" si="103"/>
        <v>0</v>
      </c>
      <c r="I643" s="1598">
        <f t="shared" si="103"/>
        <v>0</v>
      </c>
      <c r="J643" s="1598">
        <f t="shared" si="103"/>
        <v>0</v>
      </c>
      <c r="K643" s="1598">
        <f t="shared" si="103"/>
        <v>0</v>
      </c>
      <c r="L643" s="1598">
        <f t="shared" si="103"/>
        <v>0</v>
      </c>
      <c r="M643" s="1598">
        <f t="shared" si="103"/>
        <v>0</v>
      </c>
      <c r="N643" s="1598">
        <f t="shared" si="103"/>
        <v>0</v>
      </c>
    </row>
    <row r="644" spans="1:15" s="354" customFormat="1" hidden="1">
      <c r="B644" s="979"/>
      <c r="C644" s="358" t="s">
        <v>1115</v>
      </c>
      <c r="D644" s="411" t="s">
        <v>1125</v>
      </c>
      <c r="F644" s="1598"/>
      <c r="G644" s="1598">
        <f t="shared" si="103"/>
        <v>410.52392822795485</v>
      </c>
      <c r="H644" s="1598">
        <f t="shared" si="103"/>
        <v>430.75668399928219</v>
      </c>
      <c r="I644" s="1598">
        <f t="shared" si="103"/>
        <v>448.97844052072543</v>
      </c>
      <c r="J644" s="1598">
        <f t="shared" si="103"/>
        <v>467.41330140009165</v>
      </c>
      <c r="K644" s="1598">
        <f t="shared" si="103"/>
        <v>485.91951957944707</v>
      </c>
      <c r="L644" s="1598">
        <f t="shared" si="103"/>
        <v>503.18781164768967</v>
      </c>
      <c r="M644" s="1598">
        <f t="shared" si="103"/>
        <v>520.35168619727517</v>
      </c>
      <c r="N644" s="1598">
        <f t="shared" si="103"/>
        <v>520.35168619727517</v>
      </c>
    </row>
    <row r="645" spans="1:15" s="354" customFormat="1" hidden="1">
      <c r="B645" s="979"/>
      <c r="C645" s="358" t="s">
        <v>1115</v>
      </c>
      <c r="D645" s="1322" t="s">
        <v>1129</v>
      </c>
      <c r="F645" s="1598"/>
      <c r="G645" s="1598">
        <f t="shared" si="103"/>
        <v>0</v>
      </c>
      <c r="H645" s="1598">
        <f t="shared" si="103"/>
        <v>0</v>
      </c>
      <c r="I645" s="1598">
        <f t="shared" si="103"/>
        <v>0</v>
      </c>
      <c r="J645" s="1598">
        <f t="shared" si="103"/>
        <v>0</v>
      </c>
      <c r="K645" s="1598">
        <f t="shared" si="103"/>
        <v>0</v>
      </c>
      <c r="L645" s="1598">
        <f t="shared" si="103"/>
        <v>0</v>
      </c>
      <c r="M645" s="1598">
        <f t="shared" si="103"/>
        <v>0</v>
      </c>
      <c r="N645" s="1598">
        <f t="shared" si="103"/>
        <v>0</v>
      </c>
    </row>
    <row r="646" spans="1:15" s="354" customFormat="1" hidden="1">
      <c r="B646" s="979"/>
      <c r="C646" s="358" t="s">
        <v>1115</v>
      </c>
      <c r="D646" s="411" t="s">
        <v>1127</v>
      </c>
      <c r="F646" s="1598"/>
      <c r="G646" s="1598">
        <f t="shared" si="103"/>
        <v>0</v>
      </c>
      <c r="H646" s="1598">
        <f t="shared" si="103"/>
        <v>0</v>
      </c>
      <c r="I646" s="1598">
        <f t="shared" si="103"/>
        <v>0</v>
      </c>
      <c r="J646" s="1598">
        <f t="shared" si="103"/>
        <v>0</v>
      </c>
      <c r="K646" s="1598">
        <f t="shared" si="103"/>
        <v>0</v>
      </c>
      <c r="L646" s="1598">
        <f t="shared" si="103"/>
        <v>0</v>
      </c>
      <c r="M646" s="1598">
        <f t="shared" si="103"/>
        <v>0</v>
      </c>
      <c r="N646" s="1598">
        <f t="shared" si="103"/>
        <v>0</v>
      </c>
    </row>
    <row r="647" spans="1:15" s="354" customFormat="1" hidden="1">
      <c r="B647" s="979"/>
      <c r="C647" s="358" t="s">
        <v>1115</v>
      </c>
      <c r="D647" s="1322" t="s">
        <v>1128</v>
      </c>
      <c r="F647" s="1598"/>
      <c r="G647" s="1598">
        <f t="shared" ref="G647:N650" si="104">G540*G413</f>
        <v>0</v>
      </c>
      <c r="H647" s="1598">
        <f t="shared" si="104"/>
        <v>0</v>
      </c>
      <c r="I647" s="1598">
        <f t="shared" si="104"/>
        <v>0</v>
      </c>
      <c r="J647" s="1598">
        <f t="shared" si="104"/>
        <v>0</v>
      </c>
      <c r="K647" s="1598">
        <f t="shared" si="104"/>
        <v>0</v>
      </c>
      <c r="L647" s="1598">
        <f t="shared" si="104"/>
        <v>0</v>
      </c>
      <c r="M647" s="1598">
        <f t="shared" si="104"/>
        <v>0</v>
      </c>
      <c r="N647" s="1598">
        <f t="shared" si="104"/>
        <v>0</v>
      </c>
    </row>
    <row r="648" spans="1:15" s="354" customFormat="1" hidden="1">
      <c r="B648" s="979"/>
      <c r="C648" s="358" t="s">
        <v>1117</v>
      </c>
      <c r="D648" s="411" t="s">
        <v>1130</v>
      </c>
      <c r="F648" s="1598"/>
      <c r="G648" s="1598">
        <f t="shared" si="104"/>
        <v>1691.2846157232732</v>
      </c>
      <c r="H648" s="1598">
        <f t="shared" si="104"/>
        <v>1774.6399239447492</v>
      </c>
      <c r="I648" s="1598">
        <f t="shared" si="104"/>
        <v>1849.7102776003815</v>
      </c>
      <c r="J648" s="1598">
        <f t="shared" si="104"/>
        <v>1925.65858281332</v>
      </c>
      <c r="K648" s="1598">
        <f t="shared" si="104"/>
        <v>2001.9008672449891</v>
      </c>
      <c r="L648" s="1598">
        <f t="shared" si="104"/>
        <v>2073.0431191495304</v>
      </c>
      <c r="M648" s="1598">
        <f t="shared" si="104"/>
        <v>2143.7551896912487</v>
      </c>
      <c r="N648" s="1598">
        <f t="shared" si="104"/>
        <v>2143.7551896912487</v>
      </c>
    </row>
    <row r="649" spans="1:15" s="354" customFormat="1" hidden="1">
      <c r="B649" s="979"/>
      <c r="C649" s="373" t="s">
        <v>1117</v>
      </c>
      <c r="D649" s="411" t="s">
        <v>1131</v>
      </c>
      <c r="F649" s="1598"/>
      <c r="G649" s="1598">
        <f t="shared" si="104"/>
        <v>422.8211539308183</v>
      </c>
      <c r="H649" s="1598">
        <f t="shared" si="104"/>
        <v>443.65998098618729</v>
      </c>
      <c r="I649" s="1598">
        <f t="shared" si="104"/>
        <v>462.42756940009536</v>
      </c>
      <c r="J649" s="1598">
        <f t="shared" si="104"/>
        <v>481.41464570333</v>
      </c>
      <c r="K649" s="1598">
        <f t="shared" si="104"/>
        <v>500.47521681124726</v>
      </c>
      <c r="L649" s="1598">
        <f t="shared" si="104"/>
        <v>518.2607797873826</v>
      </c>
      <c r="M649" s="1598">
        <f t="shared" si="104"/>
        <v>535.93879742281217</v>
      </c>
      <c r="N649" s="1598">
        <f t="shared" si="104"/>
        <v>535.93879742281217</v>
      </c>
    </row>
    <row r="650" spans="1:15" s="354" customFormat="1" hidden="1">
      <c r="B650" s="979"/>
      <c r="C650" s="373" t="s">
        <v>1119</v>
      </c>
      <c r="D650" s="411" t="s">
        <v>1119</v>
      </c>
      <c r="F650" s="1598"/>
      <c r="G650" s="1598">
        <f t="shared" si="104"/>
        <v>4.8182917827682772</v>
      </c>
      <c r="H650" s="1598">
        <f t="shared" si="104"/>
        <v>5.0557622788159815</v>
      </c>
      <c r="I650" s="1598">
        <f t="shared" si="104"/>
        <v>5.2696298116875893</v>
      </c>
      <c r="J650" s="1598">
        <f t="shared" si="104"/>
        <v>5.4859985361001771</v>
      </c>
      <c r="K650" s="1598">
        <f t="shared" si="104"/>
        <v>5.7032047763517593</v>
      </c>
      <c r="L650" s="1598">
        <f t="shared" si="104"/>
        <v>5.9058815609523769</v>
      </c>
      <c r="M650" s="1598">
        <f t="shared" si="104"/>
        <v>6.1073328041471742</v>
      </c>
      <c r="N650" s="1598">
        <f t="shared" si="104"/>
        <v>6.1073328041471742</v>
      </c>
    </row>
    <row r="651" spans="1:15" s="354" customFormat="1" hidden="1">
      <c r="B651" s="979"/>
      <c r="C651" s="373" t="s">
        <v>1204</v>
      </c>
      <c r="D651" s="1322" t="s">
        <v>1204</v>
      </c>
      <c r="F651" s="1598"/>
      <c r="G651" s="1614">
        <f t="shared" ref="G651:N651" si="105">SUM(G639:G650)</f>
        <v>6055.5329782180852</v>
      </c>
      <c r="H651" s="1614">
        <f t="shared" si="105"/>
        <v>6400.3986798569713</v>
      </c>
      <c r="I651" s="1614">
        <f t="shared" si="105"/>
        <v>6814.2027837295227</v>
      </c>
      <c r="J651" s="1614">
        <f t="shared" si="105"/>
        <v>7245.9010516800181</v>
      </c>
      <c r="K651" s="1614">
        <f t="shared" si="105"/>
        <v>7706.8198128400163</v>
      </c>
      <c r="L651" s="1614">
        <f t="shared" si="105"/>
        <v>8164.6613754469045</v>
      </c>
      <c r="M651" s="1614">
        <f t="shared" si="105"/>
        <v>8614.5436037012132</v>
      </c>
      <c r="N651" s="1614">
        <f t="shared" si="105"/>
        <v>8789.7897108416546</v>
      </c>
    </row>
    <row r="652" spans="1:15" s="354" customFormat="1" hidden="1">
      <c r="B652" s="979"/>
      <c r="C652" s="373"/>
      <c r="D652" s="411"/>
      <c r="F652" s="1598"/>
      <c r="G652" s="1598"/>
      <c r="H652" s="1598"/>
      <c r="I652" s="1598"/>
      <c r="J652" s="1598"/>
      <c r="K652" s="1598"/>
      <c r="L652" s="1598"/>
      <c r="M652" s="1598"/>
      <c r="N652" s="1598"/>
    </row>
    <row r="653" spans="1:15" s="354" customFormat="1" ht="13" hidden="1">
      <c r="B653" s="354" t="s">
        <v>1211</v>
      </c>
      <c r="C653" s="354" t="s">
        <v>1212</v>
      </c>
      <c r="F653" s="1315"/>
      <c r="G653" s="1315"/>
      <c r="H653" s="1315"/>
      <c r="I653" s="1315"/>
      <c r="J653" s="1315"/>
      <c r="K653" s="1315"/>
      <c r="L653" s="1315"/>
      <c r="M653" s="1315"/>
      <c r="N653" s="1315"/>
    </row>
    <row r="654" spans="1:15" s="354" customFormat="1" ht="13" hidden="1">
      <c r="B654" s="979"/>
      <c r="F654" s="1315"/>
      <c r="G654" s="1315"/>
      <c r="H654" s="1315"/>
      <c r="I654" s="1315"/>
      <c r="J654" s="1315"/>
      <c r="K654" s="1315"/>
      <c r="L654" s="1315"/>
      <c r="M654" s="1315"/>
      <c r="N654" s="1315"/>
    </row>
    <row r="655" spans="1:15" s="354" customFormat="1" hidden="1">
      <c r="B655" s="358"/>
      <c r="C655" s="1322" t="s">
        <v>1191</v>
      </c>
      <c r="D655" s="2"/>
      <c r="F655" s="1315"/>
      <c r="G655" s="1315"/>
      <c r="H655" s="1315"/>
      <c r="I655" s="1315"/>
      <c r="J655" s="1315"/>
      <c r="K655" s="1315"/>
      <c r="L655" s="1315"/>
      <c r="M655" s="1315"/>
      <c r="N655" s="373" t="s">
        <v>2748</v>
      </c>
    </row>
    <row r="656" spans="1:15" s="354" customFormat="1" hidden="1">
      <c r="B656" s="979"/>
      <c r="C656" s="358" t="s">
        <v>987</v>
      </c>
      <c r="D656" t="s">
        <v>44</v>
      </c>
      <c r="F656" s="1607">
        <v>2013</v>
      </c>
      <c r="G656" s="1607">
        <v>2015</v>
      </c>
      <c r="H656" s="1607">
        <v>2020</v>
      </c>
      <c r="I656" s="1607">
        <v>2025</v>
      </c>
      <c r="J656" s="1607">
        <v>2030</v>
      </c>
      <c r="K656" s="1607">
        <v>2035</v>
      </c>
      <c r="L656" s="1607">
        <v>2040</v>
      </c>
      <c r="M656" s="1607">
        <v>2045</v>
      </c>
      <c r="N656" s="1607">
        <v>2050</v>
      </c>
    </row>
    <row r="657" spans="2:14" s="354" customFormat="1" hidden="1">
      <c r="B657" s="979"/>
      <c r="C657" s="373" t="s">
        <v>1111</v>
      </c>
      <c r="D657" s="1322" t="s">
        <v>1111</v>
      </c>
      <c r="F657" s="1598"/>
      <c r="G657" s="1598">
        <f t="shared" ref="G657:N664" si="106">G531*G420</f>
        <v>112.64859035310774</v>
      </c>
      <c r="H657" s="1598">
        <f t="shared" si="106"/>
        <v>122.92865144608473</v>
      </c>
      <c r="I657" s="1598">
        <f t="shared" si="106"/>
        <v>133.46760050956397</v>
      </c>
      <c r="J657" s="1598">
        <f t="shared" si="106"/>
        <v>144.98911163654438</v>
      </c>
      <c r="K657" s="1598">
        <f t="shared" si="106"/>
        <v>157.58120698014511</v>
      </c>
      <c r="L657" s="1598">
        <f t="shared" si="106"/>
        <v>170.95201891515904</v>
      </c>
      <c r="M657" s="1598">
        <f t="shared" si="106"/>
        <v>185.62271042475496</v>
      </c>
      <c r="N657" s="1598">
        <f t="shared" si="106"/>
        <v>195.39268649517177</v>
      </c>
    </row>
    <row r="658" spans="2:14" s="354" customFormat="1" hidden="1">
      <c r="B658" s="979"/>
      <c r="C658" s="358" t="s">
        <v>1113</v>
      </c>
      <c r="D658" s="411" t="s">
        <v>1125</v>
      </c>
      <c r="F658" s="1598"/>
      <c r="G658" s="1598">
        <f t="shared" si="106"/>
        <v>3386.6162610876863</v>
      </c>
      <c r="H658" s="1598">
        <f t="shared" si="106"/>
        <v>3566.6156364290823</v>
      </c>
      <c r="I658" s="1598">
        <f t="shared" si="106"/>
        <v>3610.5375856473779</v>
      </c>
      <c r="J658" s="1598">
        <f t="shared" si="106"/>
        <v>3645.7363229905927</v>
      </c>
      <c r="K658" s="1598">
        <f t="shared" si="106"/>
        <v>3654.1283857731137</v>
      </c>
      <c r="L658" s="1598">
        <f t="shared" si="106"/>
        <v>3640.9921280459512</v>
      </c>
      <c r="M658" s="1598">
        <f t="shared" si="106"/>
        <v>3648.8593272553053</v>
      </c>
      <c r="N658" s="1598">
        <f t="shared" si="106"/>
        <v>3530.6763630211872</v>
      </c>
    </row>
    <row r="659" spans="2:14" s="354" customFormat="1" hidden="1">
      <c r="B659" s="979"/>
      <c r="C659" s="358" t="s">
        <v>1113</v>
      </c>
      <c r="D659" s="1322" t="s">
        <v>1126</v>
      </c>
      <c r="F659" s="1598"/>
      <c r="G659" s="1598">
        <f t="shared" si="106"/>
        <v>20.486253603400531</v>
      </c>
      <c r="H659" s="1598">
        <f t="shared" si="106"/>
        <v>40.545680012513614</v>
      </c>
      <c r="I659" s="1598">
        <f t="shared" si="106"/>
        <v>218.16976913982913</v>
      </c>
      <c r="J659" s="1598">
        <f t="shared" si="106"/>
        <v>385.4889777407376</v>
      </c>
      <c r="K659" s="1598">
        <f t="shared" si="106"/>
        <v>557.53859986350051</v>
      </c>
      <c r="L659" s="1598">
        <f t="shared" si="106"/>
        <v>708.55379499832588</v>
      </c>
      <c r="M659" s="1598">
        <f t="shared" si="106"/>
        <v>811.4507669426597</v>
      </c>
      <c r="N659" s="1598">
        <f t="shared" si="106"/>
        <v>860.88968414187241</v>
      </c>
    </row>
    <row r="660" spans="2:14" s="354" customFormat="1" hidden="1">
      <c r="B660" s="979"/>
      <c r="C660" s="358" t="s">
        <v>1113</v>
      </c>
      <c r="D660" s="411" t="s">
        <v>1127</v>
      </c>
      <c r="F660" s="1598"/>
      <c r="G660" s="1598">
        <f t="shared" si="106"/>
        <v>2.17245953458462</v>
      </c>
      <c r="H660" s="1598">
        <f t="shared" si="106"/>
        <v>4.3221724355463449</v>
      </c>
      <c r="I660" s="1598">
        <f t="shared" si="106"/>
        <v>23.396137770284216</v>
      </c>
      <c r="J660" s="1598">
        <f t="shared" si="106"/>
        <v>41.624794429549517</v>
      </c>
      <c r="K660" s="1598">
        <f t="shared" si="106"/>
        <v>60.688117433813829</v>
      </c>
      <c r="L660" s="1598">
        <f t="shared" si="106"/>
        <v>77.861732055586586</v>
      </c>
      <c r="M660" s="1598">
        <f t="shared" si="106"/>
        <v>83.558718293309752</v>
      </c>
      <c r="N660" s="1598">
        <f t="shared" si="106"/>
        <v>84.898406600448013</v>
      </c>
    </row>
    <row r="661" spans="2:14" s="354" customFormat="1" hidden="1">
      <c r="B661" s="979"/>
      <c r="C661" s="358" t="s">
        <v>1113</v>
      </c>
      <c r="D661" s="411" t="s">
        <v>1128</v>
      </c>
      <c r="F661" s="1598"/>
      <c r="G661" s="1598">
        <f t="shared" si="106"/>
        <v>0</v>
      </c>
      <c r="H661" s="1598">
        <f t="shared" si="106"/>
        <v>0</v>
      </c>
      <c r="I661" s="1598">
        <f t="shared" si="106"/>
        <v>0</v>
      </c>
      <c r="J661" s="1598">
        <f t="shared" si="106"/>
        <v>0</v>
      </c>
      <c r="K661" s="1598">
        <f t="shared" si="106"/>
        <v>0</v>
      </c>
      <c r="L661" s="1598">
        <f t="shared" si="106"/>
        <v>0</v>
      </c>
      <c r="M661" s="1598">
        <f t="shared" si="106"/>
        <v>0</v>
      </c>
      <c r="N661" s="1598">
        <f t="shared" si="106"/>
        <v>0</v>
      </c>
    </row>
    <row r="662" spans="2:14" s="354" customFormat="1" hidden="1">
      <c r="B662" s="979"/>
      <c r="C662" s="358" t="s">
        <v>1115</v>
      </c>
      <c r="D662" s="411" t="s">
        <v>1125</v>
      </c>
      <c r="F662" s="1598"/>
      <c r="G662" s="1598">
        <f t="shared" si="106"/>
        <v>410.10296541889312</v>
      </c>
      <c r="H662" s="1598">
        <f t="shared" si="106"/>
        <v>429.87326390486191</v>
      </c>
      <c r="I662" s="1598">
        <f t="shared" si="106"/>
        <v>447.5972550706183</v>
      </c>
      <c r="J662" s="1598">
        <f t="shared" si="106"/>
        <v>465.49610629578154</v>
      </c>
      <c r="K662" s="1598">
        <f t="shared" si="106"/>
        <v>483.42814170991511</v>
      </c>
      <c r="L662" s="1598">
        <f t="shared" si="106"/>
        <v>500.09191384327403</v>
      </c>
      <c r="M662" s="1598">
        <f t="shared" si="106"/>
        <v>516.61660317965425</v>
      </c>
      <c r="N662" s="1598">
        <f t="shared" si="106"/>
        <v>516.08301989142285</v>
      </c>
    </row>
    <row r="663" spans="2:14" s="354" customFormat="1" hidden="1">
      <c r="B663" s="979"/>
      <c r="C663" s="358" t="s">
        <v>1115</v>
      </c>
      <c r="D663" s="1322" t="s">
        <v>1129</v>
      </c>
      <c r="F663" s="1598"/>
      <c r="G663" s="1598">
        <f t="shared" si="106"/>
        <v>0</v>
      </c>
      <c r="H663" s="1598">
        <f t="shared" si="106"/>
        <v>0</v>
      </c>
      <c r="I663" s="1598">
        <f t="shared" si="106"/>
        <v>0</v>
      </c>
      <c r="J663" s="1598">
        <f t="shared" si="106"/>
        <v>0</v>
      </c>
      <c r="K663" s="1598">
        <f t="shared" si="106"/>
        <v>0</v>
      </c>
      <c r="L663" s="1598">
        <f t="shared" si="106"/>
        <v>0</v>
      </c>
      <c r="M663" s="1598">
        <f t="shared" si="106"/>
        <v>0</v>
      </c>
      <c r="N663" s="1598">
        <f t="shared" si="106"/>
        <v>0</v>
      </c>
    </row>
    <row r="664" spans="2:14" s="354" customFormat="1" hidden="1">
      <c r="B664" s="979"/>
      <c r="C664" s="358" t="s">
        <v>1115</v>
      </c>
      <c r="D664" s="411" t="s">
        <v>1127</v>
      </c>
      <c r="F664" s="1598"/>
      <c r="G664" s="1598">
        <f t="shared" si="106"/>
        <v>0</v>
      </c>
      <c r="H664" s="1598">
        <f t="shared" si="106"/>
        <v>0</v>
      </c>
      <c r="I664" s="1598">
        <f t="shared" si="106"/>
        <v>0</v>
      </c>
      <c r="J664" s="1598">
        <f t="shared" si="106"/>
        <v>0</v>
      </c>
      <c r="K664" s="1598">
        <f t="shared" si="106"/>
        <v>0</v>
      </c>
      <c r="L664" s="1598">
        <f t="shared" si="106"/>
        <v>0</v>
      </c>
      <c r="M664" s="1598">
        <f t="shared" si="106"/>
        <v>0</v>
      </c>
      <c r="N664" s="1598">
        <f t="shared" si="106"/>
        <v>0</v>
      </c>
    </row>
    <row r="665" spans="2:14" s="354" customFormat="1" hidden="1">
      <c r="B665" s="979"/>
      <c r="C665" s="358" t="s">
        <v>1115</v>
      </c>
      <c r="D665" s="1322" t="s">
        <v>1128</v>
      </c>
      <c r="F665" s="1598"/>
      <c r="G665" s="1598">
        <f t="shared" ref="G665:N668" si="107">G540*G428</f>
        <v>0</v>
      </c>
      <c r="H665" s="1598">
        <f t="shared" si="107"/>
        <v>0</v>
      </c>
      <c r="I665" s="1598">
        <f t="shared" si="107"/>
        <v>0</v>
      </c>
      <c r="J665" s="1598">
        <f t="shared" si="107"/>
        <v>0</v>
      </c>
      <c r="K665" s="1598">
        <f t="shared" si="107"/>
        <v>0</v>
      </c>
      <c r="L665" s="1598">
        <f t="shared" si="107"/>
        <v>0</v>
      </c>
      <c r="M665" s="1598">
        <f t="shared" si="107"/>
        <v>0</v>
      </c>
      <c r="N665" s="1598">
        <f t="shared" si="107"/>
        <v>0</v>
      </c>
    </row>
    <row r="666" spans="2:14" s="354" customFormat="1" hidden="1">
      <c r="B666" s="979"/>
      <c r="C666" s="358" t="s">
        <v>1117</v>
      </c>
      <c r="D666" s="411" t="s">
        <v>1130</v>
      </c>
      <c r="F666" s="1598"/>
      <c r="G666" s="1598">
        <f t="shared" si="107"/>
        <v>1629.4470219608909</v>
      </c>
      <c r="H666" s="1598">
        <f t="shared" si="107"/>
        <v>1644.8693795062893</v>
      </c>
      <c r="I666" s="1598">
        <f t="shared" si="107"/>
        <v>1646.8201815260895</v>
      </c>
      <c r="J666" s="1598">
        <f t="shared" si="107"/>
        <v>1644.0310150768717</v>
      </c>
      <c r="K666" s="1598">
        <f t="shared" si="107"/>
        <v>1635.9283649517643</v>
      </c>
      <c r="L666" s="1598">
        <f t="shared" si="107"/>
        <v>1618.2692848861018</v>
      </c>
      <c r="M666" s="1598">
        <f t="shared" si="107"/>
        <v>1595.0878458296445</v>
      </c>
      <c r="N666" s="1598">
        <f t="shared" si="107"/>
        <v>1516.7067967065589</v>
      </c>
    </row>
    <row r="667" spans="2:14" s="354" customFormat="1" hidden="1">
      <c r="B667" s="979"/>
      <c r="C667" s="373" t="s">
        <v>1117</v>
      </c>
      <c r="D667" s="411" t="s">
        <v>1131</v>
      </c>
      <c r="F667" s="1598"/>
      <c r="G667" s="1598">
        <f t="shared" si="107"/>
        <v>407.36175549022272</v>
      </c>
      <c r="H667" s="1598">
        <f t="shared" si="107"/>
        <v>411.21734487657233</v>
      </c>
      <c r="I667" s="1598">
        <f t="shared" si="107"/>
        <v>411.70504538152238</v>
      </c>
      <c r="J667" s="1598">
        <f t="shared" si="107"/>
        <v>411.00775376921791</v>
      </c>
      <c r="K667" s="1598">
        <f t="shared" si="107"/>
        <v>408.98209123794106</v>
      </c>
      <c r="L667" s="1598">
        <f t="shared" si="107"/>
        <v>404.56732122152545</v>
      </c>
      <c r="M667" s="1598">
        <f t="shared" si="107"/>
        <v>398.77196145741112</v>
      </c>
      <c r="N667" s="1598">
        <f t="shared" si="107"/>
        <v>379.17669917663972</v>
      </c>
    </row>
    <row r="668" spans="2:14" s="354" customFormat="1" hidden="1">
      <c r="B668" s="979"/>
      <c r="C668" s="373" t="s">
        <v>1119</v>
      </c>
      <c r="D668" s="411" t="s">
        <v>1119</v>
      </c>
      <c r="F668" s="1598"/>
      <c r="G668" s="1598">
        <f t="shared" si="107"/>
        <v>4.8182917827682772</v>
      </c>
      <c r="H668" s="1598">
        <f t="shared" si="107"/>
        <v>5.0557622788159815</v>
      </c>
      <c r="I668" s="1598">
        <f t="shared" si="107"/>
        <v>5.2696298116875893</v>
      </c>
      <c r="J668" s="1598">
        <f t="shared" si="107"/>
        <v>5.4859985361001771</v>
      </c>
      <c r="K668" s="1598">
        <f t="shared" si="107"/>
        <v>5.7032047763517593</v>
      </c>
      <c r="L668" s="1598">
        <f t="shared" si="107"/>
        <v>5.9058815609523769</v>
      </c>
      <c r="M668" s="1598">
        <f t="shared" si="107"/>
        <v>6.1073328041471742</v>
      </c>
      <c r="N668" s="1598">
        <f t="shared" si="107"/>
        <v>6.1073328041471742</v>
      </c>
    </row>
    <row r="669" spans="2:14" s="354" customFormat="1" hidden="1">
      <c r="B669" s="979"/>
      <c r="C669" s="373" t="s">
        <v>1204</v>
      </c>
      <c r="D669" s="1322" t="s">
        <v>1204</v>
      </c>
      <c r="F669" s="1598"/>
      <c r="G669" s="1614">
        <f t="shared" ref="G669:N669" si="108">SUM(G657:G668)</f>
        <v>5973.6535992315548</v>
      </c>
      <c r="H669" s="1614">
        <f t="shared" si="108"/>
        <v>6225.4278908897659</v>
      </c>
      <c r="I669" s="1614">
        <f t="shared" si="108"/>
        <v>6496.9632048569729</v>
      </c>
      <c r="J669" s="1614">
        <f t="shared" si="108"/>
        <v>6743.8600804753951</v>
      </c>
      <c r="K669" s="1614">
        <f t="shared" si="108"/>
        <v>6963.978112726546</v>
      </c>
      <c r="L669" s="1614">
        <f t="shared" si="108"/>
        <v>7127.1940755268761</v>
      </c>
      <c r="M669" s="1614">
        <f t="shared" si="108"/>
        <v>7246.0752661868864</v>
      </c>
      <c r="N669" s="1614">
        <f t="shared" si="108"/>
        <v>7089.9309888374482</v>
      </c>
    </row>
    <row r="670" spans="2:14" s="354" customFormat="1" hidden="1">
      <c r="B670" s="979"/>
      <c r="C670" s="373"/>
      <c r="D670" s="411"/>
      <c r="F670" s="1598"/>
      <c r="G670" s="1598"/>
      <c r="H670" s="1598"/>
      <c r="I670" s="1598"/>
      <c r="J670" s="1598"/>
      <c r="K670" s="1598"/>
      <c r="L670" s="1598"/>
      <c r="M670" s="1598"/>
      <c r="N670" s="1598"/>
    </row>
    <row r="671" spans="2:14" s="354" customFormat="1" ht="13" hidden="1">
      <c r="B671" s="354" t="s">
        <v>1213</v>
      </c>
      <c r="C671" s="354" t="s">
        <v>1214</v>
      </c>
      <c r="F671" s="1315"/>
      <c r="G671" s="1315"/>
      <c r="H671" s="1315"/>
      <c r="I671" s="1315"/>
      <c r="J671" s="1315"/>
      <c r="K671" s="1315"/>
      <c r="L671" s="1315"/>
      <c r="M671" s="1315"/>
      <c r="N671" s="1315"/>
    </row>
    <row r="672" spans="2:14" s="354" customFormat="1" ht="13" hidden="1">
      <c r="B672" s="979"/>
      <c r="F672" s="1315"/>
      <c r="G672" s="1315"/>
      <c r="H672" s="1315"/>
      <c r="I672" s="1315"/>
      <c r="J672" s="1315"/>
      <c r="K672" s="1315"/>
      <c r="L672" s="1315"/>
      <c r="M672" s="1315"/>
      <c r="N672" s="1315"/>
    </row>
    <row r="673" spans="2:15" s="354" customFormat="1" hidden="1">
      <c r="B673" s="358"/>
      <c r="C673" s="1322" t="s">
        <v>1191</v>
      </c>
      <c r="D673" s="2"/>
      <c r="F673" s="1315"/>
      <c r="G673" s="1315"/>
      <c r="H673" s="1315"/>
      <c r="I673" s="1315"/>
      <c r="J673" s="1315"/>
      <c r="K673" s="1315"/>
      <c r="L673" s="1315"/>
      <c r="M673" s="1315"/>
      <c r="N673" s="373" t="s">
        <v>2748</v>
      </c>
    </row>
    <row r="674" spans="2:15" s="354" customFormat="1" hidden="1">
      <c r="B674" s="979"/>
      <c r="C674" s="358" t="s">
        <v>987</v>
      </c>
      <c r="D674" t="s">
        <v>44</v>
      </c>
      <c r="F674" s="1607">
        <v>2013</v>
      </c>
      <c r="G674" s="1607">
        <v>2015</v>
      </c>
      <c r="H674" s="1607">
        <v>2020</v>
      </c>
      <c r="I674" s="1607">
        <v>2025</v>
      </c>
      <c r="J674" s="1607">
        <v>2030</v>
      </c>
      <c r="K674" s="1607">
        <v>2035</v>
      </c>
      <c r="L674" s="1607">
        <v>2040</v>
      </c>
      <c r="M674" s="1607">
        <v>2045</v>
      </c>
      <c r="N674" s="1607">
        <v>2050</v>
      </c>
    </row>
    <row r="675" spans="2:15" s="354" customFormat="1" hidden="1">
      <c r="B675" s="979"/>
      <c r="C675" s="373" t="s">
        <v>1111</v>
      </c>
      <c r="D675" s="1322" t="s">
        <v>1111</v>
      </c>
      <c r="F675" s="1607"/>
      <c r="G675" s="1614">
        <f t="shared" ref="G675:N682" si="109">G531*G435</f>
        <v>112.64859035310774</v>
      </c>
      <c r="H675" s="1614">
        <f t="shared" si="109"/>
        <v>122.92865144608473</v>
      </c>
      <c r="I675" s="1614">
        <f t="shared" si="109"/>
        <v>133.46760050956397</v>
      </c>
      <c r="J675" s="1614">
        <f t="shared" si="109"/>
        <v>144.98911163654438</v>
      </c>
      <c r="K675" s="1614">
        <f t="shared" si="109"/>
        <v>157.58120698014511</v>
      </c>
      <c r="L675" s="1614">
        <f t="shared" si="109"/>
        <v>170.95201891515904</v>
      </c>
      <c r="M675" s="1614">
        <f t="shared" si="109"/>
        <v>185.62271042475496</v>
      </c>
      <c r="N675" s="1614">
        <f t="shared" si="109"/>
        <v>195.39268649517177</v>
      </c>
      <c r="O675" s="1614"/>
    </row>
    <row r="676" spans="2:15" s="354" customFormat="1" hidden="1">
      <c r="B676" s="979"/>
      <c r="C676" s="358" t="s">
        <v>1113</v>
      </c>
      <c r="D676" s="411" t="s">
        <v>1125</v>
      </c>
      <c r="F676" s="1598"/>
      <c r="G676" s="1614">
        <f t="shared" si="109"/>
        <v>3020.5181049675334</v>
      </c>
      <c r="H676" s="1614">
        <f t="shared" si="109"/>
        <v>2794.8782043678539</v>
      </c>
      <c r="I676" s="1614">
        <f t="shared" si="109"/>
        <v>2437.7256438780269</v>
      </c>
      <c r="J676" s="1614">
        <f t="shared" si="109"/>
        <v>2065.4609214758857</v>
      </c>
      <c r="K676" s="1614">
        <f t="shared" si="109"/>
        <v>1672.6291698442556</v>
      </c>
      <c r="L676" s="1614">
        <f t="shared" si="109"/>
        <v>1269.8153100486159</v>
      </c>
      <c r="M676" s="1614">
        <f t="shared" si="109"/>
        <v>874.25378747444961</v>
      </c>
      <c r="N676" s="1614">
        <f t="shared" si="109"/>
        <v>459.90549814225523</v>
      </c>
      <c r="O676" s="1614"/>
    </row>
    <row r="677" spans="2:15" s="354" customFormat="1" hidden="1">
      <c r="B677" s="979"/>
      <c r="C677" s="358" t="s">
        <v>1113</v>
      </c>
      <c r="D677" s="1322" t="s">
        <v>1126</v>
      </c>
      <c r="F677" s="1598"/>
      <c r="G677" s="1614">
        <f t="shared" si="109"/>
        <v>19.281345114283329</v>
      </c>
      <c r="H677" s="1614">
        <f t="shared" si="109"/>
        <v>35.445285730334291</v>
      </c>
      <c r="I677" s="1614">
        <f t="shared" si="109"/>
        <v>173.93344483025317</v>
      </c>
      <c r="J677" s="1614">
        <f t="shared" si="109"/>
        <v>272.87538623239914</v>
      </c>
      <c r="K677" s="1614">
        <f t="shared" si="109"/>
        <v>336.10253833134612</v>
      </c>
      <c r="L677" s="1614">
        <f t="shared" si="109"/>
        <v>338.41849432851757</v>
      </c>
      <c r="M677" s="1614">
        <f t="shared" si="109"/>
        <v>264.3649497388846</v>
      </c>
      <c r="N677" s="1614">
        <f t="shared" si="109"/>
        <v>118.68528984316264</v>
      </c>
      <c r="O677" s="1614"/>
    </row>
    <row r="678" spans="2:15" s="354" customFormat="1" hidden="1">
      <c r="B678" s="979"/>
      <c r="C678" s="358" t="s">
        <v>1113</v>
      </c>
      <c r="D678" s="411" t="s">
        <v>1127</v>
      </c>
      <c r="F678" s="1598"/>
      <c r="G678" s="1614">
        <f t="shared" si="109"/>
        <v>2.0424696252732226</v>
      </c>
      <c r="H678" s="1614">
        <f t="shared" si="109"/>
        <v>3.7719233534118013</v>
      </c>
      <c r="I678" s="1614">
        <f t="shared" si="109"/>
        <v>18.623762243671091</v>
      </c>
      <c r="J678" s="1614">
        <f t="shared" si="109"/>
        <v>29.475630671789876</v>
      </c>
      <c r="K678" s="1614">
        <f t="shared" si="109"/>
        <v>36.79878989000413</v>
      </c>
      <c r="L678" s="1614">
        <f t="shared" si="109"/>
        <v>37.930189866630329</v>
      </c>
      <c r="M678" s="1614">
        <f t="shared" si="109"/>
        <v>28.876934992776423</v>
      </c>
      <c r="N678" s="1614">
        <f t="shared" si="109"/>
        <v>14.835661230395329</v>
      </c>
      <c r="O678" s="1614"/>
    </row>
    <row r="679" spans="2:15" s="354" customFormat="1" hidden="1">
      <c r="B679" s="979"/>
      <c r="C679" s="358" t="s">
        <v>1113</v>
      </c>
      <c r="D679" s="411" t="s">
        <v>1128</v>
      </c>
      <c r="F679" s="1598"/>
      <c r="G679" s="1614">
        <f t="shared" si="109"/>
        <v>0</v>
      </c>
      <c r="H679" s="1614">
        <f t="shared" si="109"/>
        <v>0</v>
      </c>
      <c r="I679" s="1614">
        <f t="shared" si="109"/>
        <v>0</v>
      </c>
      <c r="J679" s="1614">
        <f t="shared" si="109"/>
        <v>0</v>
      </c>
      <c r="K679" s="1614">
        <f t="shared" si="109"/>
        <v>0</v>
      </c>
      <c r="L679" s="1614">
        <f t="shared" si="109"/>
        <v>0</v>
      </c>
      <c r="M679" s="1614">
        <f t="shared" si="109"/>
        <v>0</v>
      </c>
      <c r="N679" s="1614">
        <f t="shared" si="109"/>
        <v>0</v>
      </c>
      <c r="O679" s="1614"/>
    </row>
    <row r="680" spans="2:15" s="354" customFormat="1" hidden="1">
      <c r="B680" s="979"/>
      <c r="C680" s="358" t="s">
        <v>1115</v>
      </c>
      <c r="D680" s="411" t="s">
        <v>1125</v>
      </c>
      <c r="F680" s="1598"/>
      <c r="G680" s="1614">
        <f t="shared" si="109"/>
        <v>361.26346904454982</v>
      </c>
      <c r="H680" s="1614">
        <f t="shared" si="109"/>
        <v>327.38014201928371</v>
      </c>
      <c r="I680" s="1614">
        <f t="shared" si="109"/>
        <v>287.35411641151779</v>
      </c>
      <c r="J680" s="1614">
        <f t="shared" si="109"/>
        <v>243.06590265246473</v>
      </c>
      <c r="K680" s="1614">
        <f t="shared" si="109"/>
        <v>194.38208394217963</v>
      </c>
      <c r="L680" s="1614">
        <f t="shared" si="109"/>
        <v>140.91032739599348</v>
      </c>
      <c r="M680" s="1614">
        <f t="shared" si="109"/>
        <v>83.277672589657371</v>
      </c>
      <c r="N680" s="1614">
        <f t="shared" si="109"/>
        <v>20.838527788569117</v>
      </c>
      <c r="O680" s="1614"/>
    </row>
    <row r="681" spans="2:15" s="354" customFormat="1" hidden="1">
      <c r="B681" s="979"/>
      <c r="C681" s="358" t="s">
        <v>1115</v>
      </c>
      <c r="D681" s="1322" t="s">
        <v>1129</v>
      </c>
      <c r="F681" s="1598"/>
      <c r="G681" s="1614">
        <f t="shared" si="109"/>
        <v>0</v>
      </c>
      <c r="H681" s="1614">
        <f t="shared" si="109"/>
        <v>0</v>
      </c>
      <c r="I681" s="1614">
        <f t="shared" si="109"/>
        <v>0</v>
      </c>
      <c r="J681" s="1614">
        <f t="shared" si="109"/>
        <v>0</v>
      </c>
      <c r="K681" s="1614">
        <f t="shared" si="109"/>
        <v>0</v>
      </c>
      <c r="L681" s="1614">
        <f t="shared" si="109"/>
        <v>0</v>
      </c>
      <c r="M681" s="1614">
        <f t="shared" si="109"/>
        <v>0</v>
      </c>
      <c r="N681" s="1614">
        <f t="shared" si="109"/>
        <v>0</v>
      </c>
      <c r="O681" s="1614"/>
    </row>
    <row r="682" spans="2:15" s="354" customFormat="1" hidden="1">
      <c r="B682" s="979"/>
      <c r="C682" s="358" t="s">
        <v>1115</v>
      </c>
      <c r="D682" s="411" t="s">
        <v>1127</v>
      </c>
      <c r="F682" s="1598"/>
      <c r="G682" s="1614">
        <f t="shared" si="109"/>
        <v>0</v>
      </c>
      <c r="H682" s="1614">
        <f t="shared" si="109"/>
        <v>0</v>
      </c>
      <c r="I682" s="1614">
        <f t="shared" si="109"/>
        <v>0</v>
      </c>
      <c r="J682" s="1614">
        <f t="shared" si="109"/>
        <v>0</v>
      </c>
      <c r="K682" s="1614">
        <f t="shared" si="109"/>
        <v>0</v>
      </c>
      <c r="L682" s="1614">
        <f t="shared" si="109"/>
        <v>0</v>
      </c>
      <c r="M682" s="1614">
        <f t="shared" si="109"/>
        <v>0</v>
      </c>
      <c r="N682" s="1614">
        <f t="shared" si="109"/>
        <v>0</v>
      </c>
      <c r="O682" s="1614"/>
    </row>
    <row r="683" spans="2:15" s="354" customFormat="1" hidden="1">
      <c r="B683" s="979"/>
      <c r="C683" s="358" t="s">
        <v>1115</v>
      </c>
      <c r="D683" s="1322" t="s">
        <v>1128</v>
      </c>
      <c r="F683" s="1598"/>
      <c r="G683" s="1614">
        <f t="shared" ref="G683:N686" si="110">G540*G443</f>
        <v>0</v>
      </c>
      <c r="H683" s="1614">
        <f t="shared" si="110"/>
        <v>0</v>
      </c>
      <c r="I683" s="1614">
        <f t="shared" si="110"/>
        <v>0</v>
      </c>
      <c r="J683" s="1614">
        <f t="shared" si="110"/>
        <v>0</v>
      </c>
      <c r="K683" s="1614">
        <f t="shared" si="110"/>
        <v>0</v>
      </c>
      <c r="L683" s="1614">
        <f t="shared" si="110"/>
        <v>0</v>
      </c>
      <c r="M683" s="1614">
        <f t="shared" si="110"/>
        <v>0</v>
      </c>
      <c r="N683" s="1614">
        <f t="shared" si="110"/>
        <v>0</v>
      </c>
      <c r="O683" s="1614"/>
    </row>
    <row r="684" spans="2:15" s="354" customFormat="1" hidden="1">
      <c r="B684" s="979"/>
      <c r="C684" s="358" t="s">
        <v>1117</v>
      </c>
      <c r="D684" s="411" t="s">
        <v>1130</v>
      </c>
      <c r="F684" s="1598"/>
      <c r="G684" s="1614">
        <f t="shared" si="110"/>
        <v>1596.1498560888392</v>
      </c>
      <c r="H684" s="1614">
        <f t="shared" si="110"/>
        <v>1574.9929325009653</v>
      </c>
      <c r="I684" s="1614">
        <f t="shared" si="110"/>
        <v>1537.5716682553175</v>
      </c>
      <c r="J684" s="1614">
        <f t="shared" si="110"/>
        <v>1492.3854016803234</v>
      </c>
      <c r="K684" s="1614">
        <f t="shared" si="110"/>
        <v>1438.8662483323367</v>
      </c>
      <c r="L684" s="1614">
        <f t="shared" si="110"/>
        <v>1373.3910664365646</v>
      </c>
      <c r="M684" s="1614">
        <f t="shared" si="110"/>
        <v>1299.6515837503205</v>
      </c>
      <c r="N684" s="1614">
        <f t="shared" si="110"/>
        <v>1179.0653543301871</v>
      </c>
      <c r="O684" s="1614"/>
    </row>
    <row r="685" spans="2:15" s="354" customFormat="1" hidden="1">
      <c r="B685" s="979"/>
      <c r="C685" s="373" t="s">
        <v>1117</v>
      </c>
      <c r="D685" s="411" t="s">
        <v>1131</v>
      </c>
      <c r="F685" s="1598"/>
      <c r="G685" s="1614">
        <f t="shared" si="110"/>
        <v>399.0374640222098</v>
      </c>
      <c r="H685" s="1614">
        <f t="shared" si="110"/>
        <v>393.74823312524131</v>
      </c>
      <c r="I685" s="1614">
        <f t="shared" si="110"/>
        <v>384.39291706382937</v>
      </c>
      <c r="J685" s="1614">
        <f t="shared" si="110"/>
        <v>373.09635042008085</v>
      </c>
      <c r="K685" s="1614">
        <f t="shared" si="110"/>
        <v>359.71656208308417</v>
      </c>
      <c r="L685" s="1614">
        <f t="shared" si="110"/>
        <v>343.34776660914116</v>
      </c>
      <c r="M685" s="1614">
        <f t="shared" si="110"/>
        <v>324.91289593758012</v>
      </c>
      <c r="N685" s="1614">
        <f t="shared" si="110"/>
        <v>294.76633858254678</v>
      </c>
      <c r="O685" s="1614"/>
    </row>
    <row r="686" spans="2:15" s="354" customFormat="1" hidden="1">
      <c r="B686" s="979"/>
      <c r="C686" s="373" t="s">
        <v>1119</v>
      </c>
      <c r="D686" s="411" t="s">
        <v>1119</v>
      </c>
      <c r="F686" s="1598"/>
      <c r="G686" s="1614">
        <f t="shared" si="110"/>
        <v>4.8182917827682772</v>
      </c>
      <c r="H686" s="1614">
        <f t="shared" si="110"/>
        <v>5.0557622788159815</v>
      </c>
      <c r="I686" s="1614">
        <f t="shared" si="110"/>
        <v>5.2696298116875893</v>
      </c>
      <c r="J686" s="1614">
        <f t="shared" si="110"/>
        <v>5.4859985361001771</v>
      </c>
      <c r="K686" s="1614">
        <f t="shared" si="110"/>
        <v>5.7032047763517593</v>
      </c>
      <c r="L686" s="1614">
        <f t="shared" si="110"/>
        <v>5.9058815609523769</v>
      </c>
      <c r="M686" s="1614">
        <f t="shared" si="110"/>
        <v>6.1073328041471742</v>
      </c>
      <c r="N686" s="1614">
        <f t="shared" si="110"/>
        <v>6.1073328041471742</v>
      </c>
      <c r="O686" s="1614"/>
    </row>
    <row r="687" spans="2:15" s="354" customFormat="1" hidden="1">
      <c r="B687" s="979"/>
      <c r="C687" s="373" t="s">
        <v>1204</v>
      </c>
      <c r="D687" s="1322" t="s">
        <v>1204</v>
      </c>
      <c r="F687" s="1598"/>
      <c r="G687" s="1614">
        <f t="shared" ref="G687:N687" si="111">SUM(G675:G686)</f>
        <v>5515.7595909985648</v>
      </c>
      <c r="H687" s="1614">
        <f t="shared" si="111"/>
        <v>5258.2011348219903</v>
      </c>
      <c r="I687" s="1614">
        <f t="shared" si="111"/>
        <v>4978.3387830038673</v>
      </c>
      <c r="J687" s="1614">
        <f t="shared" si="111"/>
        <v>4626.8347033055879</v>
      </c>
      <c r="K687" s="1614">
        <f t="shared" si="111"/>
        <v>4201.7798041797023</v>
      </c>
      <c r="L687" s="1614">
        <f t="shared" si="111"/>
        <v>3680.6710551615743</v>
      </c>
      <c r="M687" s="1614">
        <f t="shared" si="111"/>
        <v>3067.0678677125711</v>
      </c>
      <c r="N687" s="1614">
        <f t="shared" si="111"/>
        <v>2289.5966892164352</v>
      </c>
      <c r="O687" s="1614"/>
    </row>
    <row r="688" spans="2:15" s="354" customFormat="1" ht="13"/>
    <row r="689" spans="1:26" s="354" customFormat="1" ht="13">
      <c r="B689" s="979">
        <v>4</v>
      </c>
      <c r="C689" s="354" t="s">
        <v>1215</v>
      </c>
      <c r="F689" s="1315"/>
      <c r="G689" s="1315"/>
      <c r="H689" s="1315"/>
      <c r="I689" s="1315"/>
      <c r="J689" s="1315"/>
      <c r="K689" s="1315"/>
      <c r="L689" s="1315"/>
      <c r="M689" s="1315"/>
      <c r="N689" s="1315"/>
    </row>
    <row r="690" spans="1:26" s="354" customFormat="1" ht="13">
      <c r="B690" s="979"/>
      <c r="F690" s="1315"/>
      <c r="G690" s="1315"/>
      <c r="H690" s="1315"/>
      <c r="I690" s="1315"/>
      <c r="J690" s="1315"/>
      <c r="K690" s="1315"/>
      <c r="L690" s="1315"/>
      <c r="M690" s="1315"/>
      <c r="N690" s="1315"/>
    </row>
    <row r="691" spans="1:26" s="354" customFormat="1" ht="13">
      <c r="B691" s="979"/>
      <c r="C691" s="354" t="s">
        <v>1216</v>
      </c>
      <c r="E691" s="1315" t="s">
        <v>98</v>
      </c>
      <c r="F691" s="1617" t="s">
        <v>88</v>
      </c>
      <c r="G691" s="1315"/>
      <c r="H691" s="1315"/>
      <c r="I691" s="1315"/>
      <c r="J691" s="1315"/>
      <c r="K691" s="1315"/>
      <c r="L691" s="1315"/>
      <c r="M691" s="1315"/>
      <c r="N691" s="1315"/>
    </row>
    <row r="692" spans="1:26" s="399" customFormat="1">
      <c r="A692" s="354"/>
      <c r="B692" s="979"/>
      <c r="C692" s="358" t="s">
        <v>987</v>
      </c>
      <c r="D692" t="s">
        <v>44</v>
      </c>
      <c r="E692" s="354"/>
      <c r="F692" s="1315"/>
      <c r="G692" s="1315"/>
      <c r="H692" s="1315"/>
      <c r="I692" s="1315"/>
      <c r="J692" s="1315"/>
      <c r="K692" s="1315"/>
      <c r="L692" s="1315"/>
      <c r="M692" s="1315"/>
      <c r="N692" s="373" t="str">
        <f>Preferences.EnergyUnits</f>
        <v>TWh</v>
      </c>
      <c r="O692" s="354"/>
    </row>
    <row r="693" spans="1:26" s="399" customFormat="1">
      <c r="A693" s="354"/>
      <c r="B693" s="979"/>
      <c r="C693" s="358" t="s">
        <v>1113</v>
      </c>
      <c r="D693" s="411" t="s">
        <v>1125</v>
      </c>
      <c r="E693" s="1314"/>
      <c r="F693" s="4307">
        <f t="array" ref="F693:F704">F$496:F$507*SUMIFS(F$328:F$333, $C$328:$C$333, $C693:$C704, $D$328:$D$333, $D693:$D704)</f>
        <v>21.4990269373152</v>
      </c>
      <c r="G693" s="1314">
        <f t="array" ref="G693:G704">G$496:G$507*SUMIFS(G$328:G$333, $C$328:$C$333, $C693:$C704, $D$328:$D$333, $D693:$D704)</f>
        <v>21.984268690093007</v>
      </c>
      <c r="H693" s="1314">
        <f t="array" ref="H693:H704">H$496:H$507*SUMIFS(H$328:H$333, $C$328:$C$333, $C693:$C704, $D$328:$D$333, $D693:$D704)</f>
        <v>23.053008014954742</v>
      </c>
      <c r="I693" s="1314">
        <f t="array" ref="I693:I704">I$496:I$507*SUMIFS(I$328:I$333, $C$328:$C$333, $C693:$C704, $D$328:$D$333, $D693:$D704)</f>
        <v>22.491070314897289</v>
      </c>
      <c r="J693" s="1314">
        <f t="array" ref="J693:J704">J$496:J$507*SUMIFS(J$328:J$333, $C$328:$C$333, $C693:$C704, $D$328:$D$333, $D693:$D704)</f>
        <v>21.758017995264943</v>
      </c>
      <c r="K693" s="1314">
        <f t="array" ref="K693:K704">K$496:K$507*SUMIFS(K$328:K$333, $C$328:$C$333, $C693:$C704, $D$328:$D$333, $D693:$D704)</f>
        <v>20.85216215021034</v>
      </c>
      <c r="L693" s="1314">
        <f t="array" ref="L693:L704">L$496:L$507*SUMIFS(L$328:L$333, $C$328:$C$333, $C693:$C704, $D$328:$D$333, $D693:$D704)</f>
        <v>19.823268671198718</v>
      </c>
      <c r="M693" s="1314">
        <f t="array" ref="M693:M704">M$496:M$507*SUMIFS(M$328:M$333, $C$328:$C$333, $C693:$C704, $D$328:$D$333, $D693:$D704)</f>
        <v>18.908676871822884</v>
      </c>
      <c r="N693" s="1314">
        <f t="array" ref="N693:N704">N$496:N$507*SUMIFS(N$328:N$333, $C$328:$C$333, $C693:$C704, $D$328:$D$333, $D693:$D704)</f>
        <v>17.368443667562268</v>
      </c>
      <c r="O693" s="354"/>
    </row>
    <row r="694" spans="1:26" s="399" customFormat="1">
      <c r="A694" s="354"/>
      <c r="B694" s="979"/>
      <c r="C694" s="358" t="s">
        <v>1113</v>
      </c>
      <c r="D694" s="1322" t="s">
        <v>1126</v>
      </c>
      <c r="E694" s="354"/>
      <c r="F694" s="1314">
        <v>0</v>
      </c>
      <c r="G694" s="1314">
        <v>1.8875554032590169E-2</v>
      </c>
      <c r="H694" s="1314">
        <v>3.4083490198991977E-2</v>
      </c>
      <c r="I694" s="1314">
        <v>0.17510941812731851</v>
      </c>
      <c r="J694" s="1314">
        <v>0.3131096273781564</v>
      </c>
      <c r="K694" s="1314">
        <v>0.44938792590166715</v>
      </c>
      <c r="L694" s="1314">
        <v>0.54685766298060678</v>
      </c>
      <c r="M694" s="1314">
        <v>0.57895610189159408</v>
      </c>
      <c r="N694" s="1314">
        <v>0.6595044720826182</v>
      </c>
      <c r="O694" s="354"/>
      <c r="R694"/>
      <c r="S694"/>
      <c r="T694"/>
      <c r="U694"/>
      <c r="V694"/>
      <c r="W694"/>
      <c r="X694"/>
      <c r="Y694"/>
      <c r="Z694"/>
    </row>
    <row r="695" spans="1:26" s="399" customFormat="1">
      <c r="A695" s="354"/>
      <c r="B695" s="979"/>
      <c r="C695" s="358" t="s">
        <v>1113</v>
      </c>
      <c r="D695" s="411" t="s">
        <v>1127</v>
      </c>
      <c r="E695" s="354"/>
      <c r="F695" s="1314">
        <v>0</v>
      </c>
      <c r="G695" s="1314">
        <v>0</v>
      </c>
      <c r="H695" s="1314">
        <v>0</v>
      </c>
      <c r="I695" s="1314">
        <v>0</v>
      </c>
      <c r="J695" s="1314">
        <v>0</v>
      </c>
      <c r="K695" s="1314">
        <v>0</v>
      </c>
      <c r="L695" s="1314">
        <v>0</v>
      </c>
      <c r="M695" s="1314">
        <v>0</v>
      </c>
      <c r="N695" s="1314">
        <v>0</v>
      </c>
      <c r="O695" s="354"/>
      <c r="R695"/>
      <c r="S695"/>
      <c r="T695"/>
      <c r="U695"/>
      <c r="V695"/>
      <c r="W695"/>
      <c r="X695"/>
      <c r="Y695"/>
      <c r="Z695"/>
    </row>
    <row r="696" spans="1:26" s="354" customFormat="1">
      <c r="B696" s="979"/>
      <c r="C696" s="358" t="s">
        <v>1113</v>
      </c>
      <c r="D696" s="411" t="s">
        <v>1128</v>
      </c>
      <c r="F696" s="1314">
        <v>0</v>
      </c>
      <c r="G696" s="1314">
        <v>0</v>
      </c>
      <c r="H696" s="1314">
        <v>0</v>
      </c>
      <c r="I696" s="1314">
        <v>0</v>
      </c>
      <c r="J696" s="1314">
        <v>0</v>
      </c>
      <c r="K696" s="1314">
        <v>0</v>
      </c>
      <c r="L696" s="1314">
        <v>0</v>
      </c>
      <c r="M696" s="1314">
        <v>0</v>
      </c>
      <c r="N696" s="1314">
        <v>0</v>
      </c>
      <c r="R696"/>
      <c r="S696"/>
      <c r="T696"/>
      <c r="U696"/>
      <c r="V696"/>
      <c r="W696"/>
      <c r="X696"/>
      <c r="Y696"/>
      <c r="Z696"/>
    </row>
    <row r="697" spans="1:26" s="399" customFormat="1">
      <c r="A697" s="354"/>
      <c r="B697" s="979"/>
      <c r="C697" s="358" t="s">
        <v>1115</v>
      </c>
      <c r="D697" s="411" t="s">
        <v>1125</v>
      </c>
      <c r="E697" s="354"/>
      <c r="F697" s="1314">
        <v>1.8474232923742162</v>
      </c>
      <c r="G697" s="1314">
        <v>1.989551031921952</v>
      </c>
      <c r="H697" s="1314">
        <v>2.0876064614732281</v>
      </c>
      <c r="I697" s="1314">
        <v>1.9938850233448235</v>
      </c>
      <c r="J697" s="1314">
        <v>1.8862481541281106</v>
      </c>
      <c r="K697" s="1314">
        <v>1.9463296752776529</v>
      </c>
      <c r="L697" s="1314">
        <v>2.0003778223725228</v>
      </c>
      <c r="M697" s="1314">
        <v>2.0529762859247489</v>
      </c>
      <c r="N697" s="1314">
        <v>2.0373413121793842</v>
      </c>
      <c r="O697" s="354"/>
      <c r="R697"/>
      <c r="S697"/>
      <c r="T697"/>
      <c r="U697"/>
      <c r="V697"/>
      <c r="W697"/>
      <c r="X697"/>
      <c r="Y697"/>
      <c r="Z697"/>
    </row>
    <row r="698" spans="1:26" s="399" customFormat="1">
      <c r="A698" s="354"/>
      <c r="B698" s="979"/>
      <c r="C698" s="358" t="s">
        <v>1115</v>
      </c>
      <c r="D698" s="1322" t="s">
        <v>1129</v>
      </c>
      <c r="E698" s="354"/>
      <c r="F698" s="1314">
        <v>0</v>
      </c>
      <c r="G698" s="1314">
        <v>0</v>
      </c>
      <c r="H698" s="1314">
        <v>0</v>
      </c>
      <c r="I698" s="1314">
        <v>0</v>
      </c>
      <c r="J698" s="1314">
        <v>0</v>
      </c>
      <c r="K698" s="1314">
        <v>0</v>
      </c>
      <c r="L698" s="1314">
        <v>0</v>
      </c>
      <c r="M698" s="1314">
        <v>0</v>
      </c>
      <c r="N698" s="1314">
        <v>0</v>
      </c>
      <c r="O698" s="354"/>
      <c r="R698"/>
      <c r="S698"/>
      <c r="T698"/>
      <c r="U698"/>
      <c r="V698"/>
      <c r="W698"/>
      <c r="X698"/>
      <c r="Y698"/>
      <c r="Z698"/>
    </row>
    <row r="699" spans="1:26" s="399" customFormat="1">
      <c r="A699" s="354"/>
      <c r="B699" s="979"/>
      <c r="C699" s="358" t="s">
        <v>1115</v>
      </c>
      <c r="D699" s="411" t="s">
        <v>1127</v>
      </c>
      <c r="E699" s="354"/>
      <c r="F699" s="1314">
        <v>0</v>
      </c>
      <c r="G699" s="1314">
        <v>0</v>
      </c>
      <c r="H699" s="1314">
        <v>0</v>
      </c>
      <c r="I699" s="1314">
        <v>0</v>
      </c>
      <c r="J699" s="1314">
        <v>0</v>
      </c>
      <c r="K699" s="1314">
        <v>0</v>
      </c>
      <c r="L699" s="1314">
        <v>0</v>
      </c>
      <c r="M699" s="1314">
        <v>0</v>
      </c>
      <c r="N699" s="1314">
        <v>0</v>
      </c>
      <c r="O699" s="354"/>
      <c r="R699"/>
      <c r="S699"/>
      <c r="T699"/>
      <c r="U699"/>
      <c r="V699"/>
      <c r="W699"/>
      <c r="X699"/>
      <c r="Y699"/>
      <c r="Z699"/>
    </row>
    <row r="700" spans="1:26" s="399" customFormat="1">
      <c r="A700" s="354"/>
      <c r="B700" s="979"/>
      <c r="C700" s="373" t="s">
        <v>1115</v>
      </c>
      <c r="D700" s="1322" t="s">
        <v>3434</v>
      </c>
      <c r="E700" s="354"/>
      <c r="F700" s="1314">
        <v>0</v>
      </c>
      <c r="G700" s="1314">
        <v>0</v>
      </c>
      <c r="H700" s="1314">
        <v>0</v>
      </c>
      <c r="I700" s="1314">
        <v>0</v>
      </c>
      <c r="J700" s="1314">
        <v>0</v>
      </c>
      <c r="K700" s="1314">
        <v>0</v>
      </c>
      <c r="L700" s="1314">
        <v>0</v>
      </c>
      <c r="M700" s="1314">
        <v>0</v>
      </c>
      <c r="N700" s="1314">
        <v>0</v>
      </c>
      <c r="O700" s="354"/>
      <c r="R700" s="4150"/>
      <c r="S700" s="4150"/>
      <c r="T700" s="4150"/>
      <c r="U700" s="4150"/>
      <c r="V700" s="4150"/>
      <c r="W700" s="4150"/>
      <c r="X700" s="4150"/>
      <c r="Y700" s="4150"/>
      <c r="Z700" s="4150"/>
    </row>
    <row r="701" spans="1:26" s="399" customFormat="1">
      <c r="A701" s="354"/>
      <c r="B701" s="979"/>
      <c r="C701" s="373" t="s">
        <v>1115</v>
      </c>
      <c r="D701" s="1322" t="s">
        <v>1128</v>
      </c>
      <c r="E701" s="354"/>
      <c r="F701" s="1314">
        <v>0</v>
      </c>
      <c r="G701" s="1314">
        <v>0</v>
      </c>
      <c r="H701" s="1314">
        <v>0</v>
      </c>
      <c r="I701" s="1314">
        <v>0</v>
      </c>
      <c r="J701" s="1314">
        <v>0</v>
      </c>
      <c r="K701" s="1314">
        <v>0</v>
      </c>
      <c r="L701" s="1314">
        <v>0</v>
      </c>
      <c r="M701" s="1314">
        <v>0</v>
      </c>
      <c r="N701" s="1314">
        <v>0</v>
      </c>
      <c r="O701" s="354"/>
      <c r="R701"/>
      <c r="S701"/>
      <c r="T701"/>
      <c r="U701"/>
      <c r="V701"/>
      <c r="W701"/>
      <c r="X701"/>
      <c r="Y701"/>
      <c r="Z701"/>
    </row>
    <row r="702" spans="1:26" s="399" customFormat="1">
      <c r="A702" s="354"/>
      <c r="B702" s="979"/>
      <c r="C702" s="358" t="s">
        <v>1117</v>
      </c>
      <c r="D702" s="411" t="s">
        <v>1130</v>
      </c>
      <c r="E702" s="354"/>
      <c r="F702" s="1314">
        <v>0.41411427041169041</v>
      </c>
      <c r="G702" s="1314">
        <v>0.53049506020038939</v>
      </c>
      <c r="H702" s="1314">
        <v>0.52350898442888694</v>
      </c>
      <c r="I702" s="1314">
        <v>0.50613879599030986</v>
      </c>
      <c r="J702" s="1314">
        <v>0.48722588646184917</v>
      </c>
      <c r="K702" s="1314">
        <v>0.46667297712534517</v>
      </c>
      <c r="L702" s="1314">
        <v>0.44339626724565506</v>
      </c>
      <c r="M702" s="1314">
        <v>0.41867380375192143</v>
      </c>
      <c r="N702" s="1314">
        <v>0.38013328132745361</v>
      </c>
      <c r="O702" s="354"/>
      <c r="R702"/>
      <c r="S702"/>
      <c r="T702"/>
      <c r="U702"/>
      <c r="V702"/>
      <c r="W702"/>
      <c r="X702"/>
      <c r="Y702"/>
      <c r="Z702"/>
    </row>
    <row r="703" spans="1:26" s="399" customFormat="1">
      <c r="A703" s="354"/>
      <c r="B703" s="979"/>
      <c r="C703" s="373" t="s">
        <v>1117</v>
      </c>
      <c r="D703" s="411" t="s">
        <v>1131</v>
      </c>
      <c r="E703" s="354"/>
      <c r="F703" s="1314">
        <v>0</v>
      </c>
      <c r="G703" s="1314">
        <v>0</v>
      </c>
      <c r="H703" s="1314">
        <v>0</v>
      </c>
      <c r="I703" s="1314">
        <v>0</v>
      </c>
      <c r="J703" s="1314">
        <v>0</v>
      </c>
      <c r="K703" s="1314">
        <v>0</v>
      </c>
      <c r="L703" s="1314">
        <v>0</v>
      </c>
      <c r="M703" s="1314">
        <v>0</v>
      </c>
      <c r="N703" s="1314">
        <v>0</v>
      </c>
      <c r="O703" s="354"/>
      <c r="R703"/>
      <c r="S703"/>
      <c r="T703"/>
      <c r="U703"/>
      <c r="V703"/>
      <c r="W703"/>
      <c r="X703"/>
      <c r="Y703"/>
      <c r="Z703"/>
    </row>
    <row r="704" spans="1:26" s="399" customFormat="1">
      <c r="A704" s="354"/>
      <c r="B704" s="979"/>
      <c r="C704" s="373" t="s">
        <v>1119</v>
      </c>
      <c r="D704" s="411" t="s">
        <v>1119</v>
      </c>
      <c r="E704" s="354"/>
      <c r="F704" s="1314">
        <v>2.7179785187540276E-2</v>
      </c>
      <c r="G704" s="1314">
        <v>2.8688317425508068E-2</v>
      </c>
      <c r="H704" s="1314">
        <v>2.8626918373697949E-2</v>
      </c>
      <c r="I704" s="1314">
        <v>2.8375533440997854E-2</v>
      </c>
      <c r="J704" s="1314">
        <v>2.8092836249242522E-2</v>
      </c>
      <c r="K704" s="1314">
        <v>2.7773770259370195E-2</v>
      </c>
      <c r="L704" s="1314">
        <v>2.7351212236636904E-2</v>
      </c>
      <c r="M704" s="1314">
        <v>2.6897963862265332E-2</v>
      </c>
      <c r="N704" s="1314">
        <v>2.5579695995584108E-2</v>
      </c>
      <c r="O704" s="354"/>
      <c r="R704"/>
      <c r="S704"/>
      <c r="T704"/>
      <c r="U704"/>
      <c r="V704"/>
      <c r="W704"/>
      <c r="X704"/>
      <c r="Y704"/>
      <c r="Z704"/>
    </row>
    <row r="705" spans="1:27" s="399" customFormat="1">
      <c r="A705" s="354"/>
      <c r="B705" s="979"/>
      <c r="C705" s="373"/>
      <c r="D705" s="411"/>
      <c r="E705" s="354"/>
      <c r="F705" s="2343">
        <f t="shared" ref="F705:N705" si="112">SUM(F693:F704)</f>
        <v>23.78774428528865</v>
      </c>
      <c r="G705" s="1606">
        <f t="shared" si="112"/>
        <v>24.551878653673448</v>
      </c>
      <c r="H705" s="1606">
        <f t="shared" si="112"/>
        <v>25.726833869429544</v>
      </c>
      <c r="I705" s="1606">
        <f t="shared" si="112"/>
        <v>25.194579085800736</v>
      </c>
      <c r="J705" s="1606">
        <f t="shared" si="112"/>
        <v>24.472694499482305</v>
      </c>
      <c r="K705" s="1606">
        <f t="shared" si="112"/>
        <v>23.742326498774375</v>
      </c>
      <c r="L705" s="1606">
        <f t="shared" si="112"/>
        <v>22.841251636034144</v>
      </c>
      <c r="M705" s="1606">
        <f t="shared" si="112"/>
        <v>21.986181027253416</v>
      </c>
      <c r="N705" s="1316">
        <f t="shared" si="112"/>
        <v>20.471002429147308</v>
      </c>
      <c r="O705" s="354"/>
      <c r="R705"/>
      <c r="S705"/>
      <c r="T705"/>
      <c r="U705"/>
      <c r="V705"/>
      <c r="W705"/>
      <c r="X705"/>
      <c r="Y705"/>
      <c r="Z705"/>
    </row>
    <row r="706" spans="1:27" s="399" customFormat="1" ht="13">
      <c r="A706" s="354"/>
      <c r="B706" s="979"/>
      <c r="C706" s="354"/>
      <c r="D706" s="354"/>
      <c r="E706" s="354"/>
      <c r="F706" s="1315"/>
      <c r="G706" s="1315"/>
      <c r="H706" s="1315"/>
      <c r="I706" s="1315"/>
      <c r="J706" s="1315"/>
      <c r="K706" s="1315"/>
      <c r="L706" s="1315"/>
      <c r="M706" s="1315"/>
      <c r="N706" s="1315"/>
      <c r="O706" s="354"/>
    </row>
    <row r="707" spans="1:27" s="399" customFormat="1">
      <c r="A707"/>
      <c r="B707"/>
      <c r="C707" s="354" t="s">
        <v>15</v>
      </c>
      <c r="D707" s="354"/>
      <c r="E707" s="1315" t="s">
        <v>99</v>
      </c>
      <c r="F707" s="1617" t="s">
        <v>3452</v>
      </c>
      <c r="G707"/>
      <c r="H707"/>
      <c r="I707"/>
      <c r="J707"/>
      <c r="K707"/>
      <c r="L707"/>
      <c r="M707"/>
      <c r="N707"/>
      <c r="O707"/>
    </row>
    <row r="708" spans="1:27" s="399" customFormat="1">
      <c r="A708" s="4150"/>
      <c r="B708" s="4150"/>
      <c r="C708" s="358" t="s">
        <v>987</v>
      </c>
      <c r="D708" s="4150"/>
      <c r="E708" s="4150"/>
      <c r="F708" s="4150"/>
      <c r="G708" s="4150"/>
      <c r="H708" s="4150"/>
      <c r="I708" s="4150"/>
      <c r="J708" s="4150"/>
      <c r="K708" s="4150"/>
      <c r="L708" s="4150"/>
      <c r="M708" s="4150"/>
      <c r="N708" s="4150"/>
      <c r="O708" s="4150"/>
    </row>
    <row r="709" spans="1:27" s="399" customFormat="1">
      <c r="A709" s="4150"/>
      <c r="B709" s="4150"/>
      <c r="C709" s="358" t="s">
        <v>1113</v>
      </c>
      <c r="D709" s="411" t="s">
        <v>1125</v>
      </c>
      <c r="E709" s="4150"/>
      <c r="F709" s="1314">
        <f t="array" ref="F709:F720">F$496:F$507*SUMIFS(F$338:F$338, $C$338:$C$338, $C709:$C720, $D$338:$D$338, $D709:$D720)</f>
        <v>0</v>
      </c>
      <c r="G709" s="1314">
        <f t="array" ref="G709:G720">G$496:G$507*SUMIFS(G$338:G$338, $C$338:$C$338, $C709:$C720, $D$338:$D$338, $D709:$D720)</f>
        <v>0</v>
      </c>
      <c r="H709" s="1314">
        <f t="array" ref="H709:H720">H$496:H$507*SUMIFS(H$338:H$338, $C$338:$C$338, $C709:$C720, $D$338:$D$338, $D709:$D720)</f>
        <v>0</v>
      </c>
      <c r="I709" s="1314">
        <f t="array" ref="I709:I720">I$496:I$507*SUMIFS(I$338:I$338, $C$338:$C$338, $C709:$C720, $D$338:$D$338, $D709:$D720)</f>
        <v>0</v>
      </c>
      <c r="J709" s="1314">
        <f t="array" ref="J709:J720">J$496:J$507*SUMIFS(J$338:J$338, $C$338:$C$338, $C709:$C720, $D$338:$D$338, $D709:$D720)</f>
        <v>0</v>
      </c>
      <c r="K709" s="1314">
        <f t="array" ref="K709:K720">K$496:K$507*SUMIFS(K$338:K$338, $C$338:$C$338, $C709:$C720, $D$338:$D$338, $D709:$D720)</f>
        <v>0</v>
      </c>
      <c r="L709" s="1314">
        <f t="array" ref="L709:L720">L$496:L$507*SUMIFS(L$338:L$338, $C$338:$C$338, $C709:$C720, $D$338:$D$338, $D709:$D720)</f>
        <v>0</v>
      </c>
      <c r="M709" s="1314">
        <f t="array" ref="M709:M720">M$496:M$507*SUMIFS(M$338:M$338, $C$338:$C$338, $C709:$C720, $D$338:$D$338, $D709:$D720)</f>
        <v>0</v>
      </c>
      <c r="N709" s="1314">
        <f t="array" ref="N709:N720">N$496:N$507*SUMIFS(N$338:N$338, $C$338:$C$338, $C709:$C720, $D$338:$D$338, $D709:$D720)</f>
        <v>0</v>
      </c>
      <c r="O709" s="4150"/>
    </row>
    <row r="710" spans="1:27" s="399" customFormat="1">
      <c r="A710" s="4150"/>
      <c r="B710" s="4150"/>
      <c r="C710" s="358" t="s">
        <v>1113</v>
      </c>
      <c r="D710" s="1322" t="s">
        <v>1126</v>
      </c>
      <c r="E710" s="4150" t="s">
        <v>5</v>
      </c>
      <c r="F710" s="1314">
        <v>0</v>
      </c>
      <c r="G710" s="1314">
        <v>0</v>
      </c>
      <c r="H710" s="1314">
        <v>0</v>
      </c>
      <c r="I710" s="1314">
        <v>0</v>
      </c>
      <c r="J710" s="1314">
        <v>0</v>
      </c>
      <c r="K710" s="1314">
        <v>0</v>
      </c>
      <c r="L710" s="1314">
        <v>0</v>
      </c>
      <c r="M710" s="1314">
        <v>0</v>
      </c>
      <c r="N710" s="1314">
        <v>0</v>
      </c>
      <c r="O710" s="4150"/>
      <c r="S710"/>
      <c r="T710"/>
      <c r="U710"/>
      <c r="V710"/>
      <c r="W710"/>
      <c r="X710"/>
      <c r="Y710"/>
      <c r="Z710"/>
      <c r="AA710"/>
    </row>
    <row r="711" spans="1:27" s="399" customFormat="1">
      <c r="A711" s="4150"/>
      <c r="B711" s="4150"/>
      <c r="C711" s="358" t="s">
        <v>1113</v>
      </c>
      <c r="D711" s="411" t="s">
        <v>1127</v>
      </c>
      <c r="E711" s="4150"/>
      <c r="F711" s="1314">
        <v>0</v>
      </c>
      <c r="G711" s="1314">
        <v>0</v>
      </c>
      <c r="H711" s="1314">
        <v>0</v>
      </c>
      <c r="I711" s="1314">
        <v>0</v>
      </c>
      <c r="J711" s="1314">
        <v>0</v>
      </c>
      <c r="K711" s="1314">
        <v>0</v>
      </c>
      <c r="L711" s="1314">
        <v>0</v>
      </c>
      <c r="M711" s="1314">
        <v>0</v>
      </c>
      <c r="N711" s="1314">
        <v>0</v>
      </c>
      <c r="O711" s="4150"/>
      <c r="S711"/>
      <c r="T711"/>
      <c r="U711"/>
      <c r="V711"/>
      <c r="W711"/>
      <c r="X711"/>
      <c r="Y711"/>
      <c r="Z711"/>
      <c r="AA711"/>
    </row>
    <row r="712" spans="1:27" s="399" customFormat="1">
      <c r="A712" s="4150"/>
      <c r="B712" s="4150"/>
      <c r="C712" s="358" t="s">
        <v>1113</v>
      </c>
      <c r="D712" s="411" t="s">
        <v>1128</v>
      </c>
      <c r="E712" s="4150"/>
      <c r="F712" s="1314">
        <v>0</v>
      </c>
      <c r="G712" s="1314">
        <v>0</v>
      </c>
      <c r="H712" s="1314">
        <v>0</v>
      </c>
      <c r="I712" s="1314">
        <v>0</v>
      </c>
      <c r="J712" s="1314">
        <v>0</v>
      </c>
      <c r="K712" s="1314">
        <v>0</v>
      </c>
      <c r="L712" s="1314">
        <v>0</v>
      </c>
      <c r="M712" s="1314">
        <v>0</v>
      </c>
      <c r="N712" s="1314">
        <v>0</v>
      </c>
      <c r="O712" s="4150"/>
      <c r="S712"/>
      <c r="T712"/>
      <c r="U712"/>
      <c r="V712"/>
      <c r="W712"/>
      <c r="X712"/>
      <c r="Y712"/>
      <c r="Z712"/>
      <c r="AA712"/>
    </row>
    <row r="713" spans="1:27" s="399" customFormat="1">
      <c r="A713" s="4150"/>
      <c r="B713" s="4150"/>
      <c r="C713" s="358" t="s">
        <v>1115</v>
      </c>
      <c r="D713" s="411" t="s">
        <v>1125</v>
      </c>
      <c r="E713" s="4150"/>
      <c r="F713" s="1314">
        <v>0</v>
      </c>
      <c r="G713" s="1314">
        <v>0</v>
      </c>
      <c r="H713" s="1314">
        <v>0</v>
      </c>
      <c r="I713" s="1314">
        <v>0</v>
      </c>
      <c r="J713" s="1314">
        <v>0</v>
      </c>
      <c r="K713" s="1314">
        <v>0</v>
      </c>
      <c r="L713" s="1314">
        <v>0</v>
      </c>
      <c r="M713" s="1314">
        <v>0</v>
      </c>
      <c r="N713" s="1314">
        <v>0</v>
      </c>
      <c r="O713" s="4150"/>
      <c r="S713"/>
      <c r="T713"/>
      <c r="U713"/>
      <c r="V713"/>
      <c r="W713"/>
      <c r="X713"/>
      <c r="Y713"/>
      <c r="Z713"/>
      <c r="AA713"/>
    </row>
    <row r="714" spans="1:27" s="399" customFormat="1">
      <c r="A714" s="4150"/>
      <c r="B714" s="4150"/>
      <c r="C714" s="358" t="s">
        <v>1115</v>
      </c>
      <c r="D714" s="1322" t="s">
        <v>1129</v>
      </c>
      <c r="E714" s="4150"/>
      <c r="F714" s="1314">
        <v>0</v>
      </c>
      <c r="G714" s="1314">
        <v>0</v>
      </c>
      <c r="H714" s="1314">
        <v>0</v>
      </c>
      <c r="I714" s="1314">
        <v>0</v>
      </c>
      <c r="J714" s="1314">
        <v>0</v>
      </c>
      <c r="K714" s="1314">
        <v>0</v>
      </c>
      <c r="L714" s="1314">
        <v>0</v>
      </c>
      <c r="M714" s="1314">
        <v>0</v>
      </c>
      <c r="N714" s="1314">
        <v>0</v>
      </c>
      <c r="O714" s="4150"/>
      <c r="S714"/>
      <c r="T714"/>
      <c r="U714"/>
      <c r="V714"/>
      <c r="W714"/>
      <c r="X714"/>
      <c r="Y714"/>
      <c r="Z714"/>
      <c r="AA714"/>
    </row>
    <row r="715" spans="1:27" s="399" customFormat="1">
      <c r="A715" s="4150"/>
      <c r="B715" s="4150"/>
      <c r="C715" s="358" t="s">
        <v>1115</v>
      </c>
      <c r="D715" s="411" t="s">
        <v>1127</v>
      </c>
      <c r="E715" s="4150"/>
      <c r="F715" s="1314">
        <v>0</v>
      </c>
      <c r="G715" s="1314">
        <v>0</v>
      </c>
      <c r="H715" s="1314">
        <v>0</v>
      </c>
      <c r="I715" s="1314">
        <v>0</v>
      </c>
      <c r="J715" s="1314">
        <v>0</v>
      </c>
      <c r="K715" s="1314">
        <v>0</v>
      </c>
      <c r="L715" s="1314">
        <v>0</v>
      </c>
      <c r="M715" s="1314">
        <v>0</v>
      </c>
      <c r="N715" s="1314">
        <v>0</v>
      </c>
      <c r="O715" s="4150"/>
      <c r="S715"/>
      <c r="T715"/>
      <c r="U715"/>
      <c r="V715"/>
      <c r="W715"/>
      <c r="X715"/>
      <c r="Y715"/>
      <c r="Z715"/>
      <c r="AA715"/>
    </row>
    <row r="716" spans="1:27" s="399" customFormat="1">
      <c r="A716" s="4150"/>
      <c r="B716" s="4150"/>
      <c r="C716" s="373" t="s">
        <v>1115</v>
      </c>
      <c r="D716" s="1322" t="s">
        <v>3434</v>
      </c>
      <c r="E716" s="4150"/>
      <c r="F716" s="1314">
        <v>0</v>
      </c>
      <c r="G716" s="1314">
        <v>0</v>
      </c>
      <c r="H716" s="1314">
        <v>0</v>
      </c>
      <c r="I716" s="1314">
        <v>0</v>
      </c>
      <c r="J716" s="1314">
        <v>0</v>
      </c>
      <c r="K716" s="1314">
        <v>0</v>
      </c>
      <c r="L716" s="1314">
        <v>0</v>
      </c>
      <c r="M716" s="1314">
        <v>0</v>
      </c>
      <c r="N716" s="1314">
        <v>0</v>
      </c>
      <c r="O716" s="4150"/>
      <c r="S716"/>
      <c r="T716"/>
      <c r="U716"/>
      <c r="V716"/>
      <c r="W716"/>
      <c r="X716"/>
      <c r="Y716"/>
      <c r="Z716"/>
      <c r="AA716"/>
    </row>
    <row r="717" spans="1:27" s="399" customFormat="1">
      <c r="A717" s="4150"/>
      <c r="B717" s="4150"/>
      <c r="C717" s="373" t="s">
        <v>1115</v>
      </c>
      <c r="D717" s="1322" t="s">
        <v>1128</v>
      </c>
      <c r="E717" s="4150"/>
      <c r="F717" s="1314">
        <v>0</v>
      </c>
      <c r="G717" s="1314">
        <v>0</v>
      </c>
      <c r="H717" s="1314">
        <v>0</v>
      </c>
      <c r="I717" s="1314">
        <v>0</v>
      </c>
      <c r="J717" s="1314">
        <v>0</v>
      </c>
      <c r="K717" s="1314">
        <v>0</v>
      </c>
      <c r="L717" s="1314">
        <v>0</v>
      </c>
      <c r="M717" s="1314">
        <v>0</v>
      </c>
      <c r="N717" s="1314">
        <v>0</v>
      </c>
      <c r="O717" s="4150"/>
      <c r="S717"/>
      <c r="T717"/>
      <c r="U717"/>
      <c r="V717"/>
      <c r="W717"/>
      <c r="X717"/>
      <c r="Y717"/>
      <c r="Z717"/>
      <c r="AA717"/>
    </row>
    <row r="718" spans="1:27" s="399" customFormat="1">
      <c r="A718" s="4150"/>
      <c r="B718" s="4150"/>
      <c r="C718" s="358" t="s">
        <v>1117</v>
      </c>
      <c r="D718" s="411" t="s">
        <v>1130</v>
      </c>
      <c r="E718" s="4150"/>
      <c r="F718" s="1314">
        <v>0</v>
      </c>
      <c r="G718" s="1314">
        <v>0</v>
      </c>
      <c r="H718" s="1314">
        <v>0</v>
      </c>
      <c r="I718" s="1314">
        <v>0</v>
      </c>
      <c r="J718" s="1314">
        <v>0</v>
      </c>
      <c r="K718" s="1314">
        <v>0</v>
      </c>
      <c r="L718" s="1314">
        <v>0</v>
      </c>
      <c r="M718" s="1314">
        <v>0</v>
      </c>
      <c r="N718" s="1314">
        <v>0</v>
      </c>
      <c r="O718" s="4150"/>
      <c r="S718"/>
      <c r="T718"/>
      <c r="U718"/>
      <c r="V718"/>
      <c r="W718"/>
      <c r="X718"/>
      <c r="Y718"/>
      <c r="Z718"/>
      <c r="AA718"/>
    </row>
    <row r="719" spans="1:27" s="399" customFormat="1">
      <c r="A719" s="4150"/>
      <c r="B719" s="4150"/>
      <c r="C719" s="373" t="s">
        <v>1117</v>
      </c>
      <c r="D719" s="411" t="s">
        <v>1131</v>
      </c>
      <c r="E719" s="4150" t="s">
        <v>5</v>
      </c>
      <c r="F719" s="1314">
        <v>0</v>
      </c>
      <c r="G719" s="1314">
        <v>0</v>
      </c>
      <c r="H719" s="1314">
        <v>0</v>
      </c>
      <c r="I719" s="1314">
        <v>0</v>
      </c>
      <c r="J719" s="1314">
        <v>0</v>
      </c>
      <c r="K719" s="1314">
        <v>0</v>
      </c>
      <c r="L719" s="1314">
        <v>0</v>
      </c>
      <c r="M719" s="1314">
        <v>0</v>
      </c>
      <c r="N719" s="1314">
        <v>0</v>
      </c>
      <c r="O719" s="4150"/>
      <c r="S719"/>
      <c r="T719"/>
      <c r="U719"/>
      <c r="V719"/>
      <c r="W719"/>
      <c r="X719"/>
      <c r="Y719"/>
      <c r="Z719"/>
      <c r="AA719"/>
    </row>
    <row r="720" spans="1:27" s="399" customFormat="1">
      <c r="A720" s="4150"/>
      <c r="B720" s="4150"/>
      <c r="C720" s="373" t="s">
        <v>1119</v>
      </c>
      <c r="D720" s="411" t="s">
        <v>1119</v>
      </c>
      <c r="E720" s="4150"/>
      <c r="F720" s="1314">
        <v>0</v>
      </c>
      <c r="G720" s="1314">
        <v>0</v>
      </c>
      <c r="H720" s="1314">
        <v>0</v>
      </c>
      <c r="I720" s="1314">
        <v>0</v>
      </c>
      <c r="J720" s="1314">
        <v>0</v>
      </c>
      <c r="K720" s="1314">
        <v>0</v>
      </c>
      <c r="L720" s="1314">
        <v>0</v>
      </c>
      <c r="M720" s="1314">
        <v>0</v>
      </c>
      <c r="N720" s="1314">
        <v>0</v>
      </c>
      <c r="O720" s="4150"/>
      <c r="S720"/>
      <c r="T720"/>
      <c r="U720"/>
      <c r="V720"/>
      <c r="W720"/>
      <c r="X720"/>
      <c r="Y720"/>
      <c r="Z720"/>
      <c r="AA720"/>
    </row>
    <row r="721" spans="1:27" s="399" customFormat="1">
      <c r="A721" s="4150"/>
      <c r="B721" s="4150"/>
      <c r="C721" s="4150"/>
      <c r="D721" s="4150"/>
      <c r="E721" s="4150"/>
      <c r="F721" s="1606">
        <f t="shared" ref="F721:N721" si="113">SUM(F709:F720)</f>
        <v>0</v>
      </c>
      <c r="G721" s="1606">
        <f t="shared" si="113"/>
        <v>0</v>
      </c>
      <c r="H721" s="1606">
        <f t="shared" si="113"/>
        <v>0</v>
      </c>
      <c r="I721" s="1606">
        <f t="shared" si="113"/>
        <v>0</v>
      </c>
      <c r="J721" s="1606">
        <f t="shared" si="113"/>
        <v>0</v>
      </c>
      <c r="K721" s="1606">
        <f t="shared" si="113"/>
        <v>0</v>
      </c>
      <c r="L721" s="1606">
        <f t="shared" si="113"/>
        <v>0</v>
      </c>
      <c r="M721" s="1606">
        <f t="shared" si="113"/>
        <v>0</v>
      </c>
      <c r="N721" s="1606">
        <f t="shared" si="113"/>
        <v>0</v>
      </c>
      <c r="O721" s="4150"/>
      <c r="S721"/>
      <c r="T721"/>
      <c r="U721"/>
      <c r="V721"/>
      <c r="W721"/>
      <c r="X721"/>
      <c r="Y721"/>
      <c r="Z721"/>
      <c r="AA721"/>
    </row>
    <row r="722" spans="1:27" s="399" customFormat="1">
      <c r="A722" s="4168"/>
      <c r="B722" s="4168"/>
      <c r="C722" s="4168"/>
      <c r="D722" s="4168"/>
      <c r="E722" s="4168"/>
      <c r="F722" s="4155"/>
      <c r="G722" s="4155"/>
      <c r="H722" s="4155"/>
      <c r="I722" s="4155"/>
      <c r="J722" s="4155"/>
      <c r="K722" s="4155"/>
      <c r="L722" s="4155"/>
      <c r="M722" s="4155"/>
      <c r="N722" s="4155"/>
      <c r="O722" s="4168"/>
      <c r="S722" s="4168"/>
      <c r="T722" s="4168"/>
      <c r="U722" s="4168"/>
      <c r="V722" s="4168"/>
      <c r="W722" s="4168"/>
      <c r="X722" s="4168"/>
      <c r="Y722" s="4168"/>
      <c r="Z722" s="4168"/>
      <c r="AA722" s="4168"/>
    </row>
    <row r="723" spans="1:27" s="399" customFormat="1" ht="13">
      <c r="A723" s="354"/>
      <c r="B723" s="979"/>
      <c r="C723" s="354" t="s">
        <v>1217</v>
      </c>
      <c r="D723" s="354"/>
      <c r="E723" s="1315" t="s">
        <v>95</v>
      </c>
      <c r="F723" s="1617" t="s">
        <v>85</v>
      </c>
      <c r="G723" s="1617"/>
      <c r="H723" s="1315"/>
      <c r="I723" s="1315"/>
      <c r="J723" s="1315"/>
      <c r="K723" s="1315"/>
      <c r="L723" s="1315"/>
      <c r="M723" s="1315"/>
      <c r="N723" s="1315"/>
      <c r="O723" s="354"/>
    </row>
    <row r="724" spans="1:27" s="399" customFormat="1">
      <c r="A724" s="354"/>
      <c r="B724" s="1618"/>
      <c r="C724" s="358" t="s">
        <v>987</v>
      </c>
      <c r="D724"/>
      <c r="E724" s="354"/>
      <c r="F724" s="1315"/>
      <c r="G724" s="1315"/>
      <c r="H724" s="1315"/>
      <c r="I724" s="1315"/>
      <c r="J724" s="1315"/>
      <c r="K724" s="1315"/>
      <c r="L724" s="1315"/>
      <c r="M724" s="1315"/>
      <c r="N724" s="373" t="str">
        <f>Preferences.EnergyUnits</f>
        <v>TWh</v>
      </c>
      <c r="O724" s="354"/>
      <c r="Q724"/>
      <c r="R724"/>
      <c r="S724"/>
      <c r="T724"/>
      <c r="U724"/>
      <c r="V724"/>
      <c r="W724"/>
      <c r="X724"/>
      <c r="Y724"/>
    </row>
    <row r="725" spans="1:27" s="399" customFormat="1">
      <c r="A725" s="354"/>
      <c r="B725" s="1618"/>
      <c r="C725" s="358" t="s">
        <v>1113</v>
      </c>
      <c r="D725" s="411" t="s">
        <v>1125</v>
      </c>
      <c r="E725" s="354"/>
      <c r="F725" s="1314">
        <f t="array" ref="F725:F736">F$496:F$507*SUMIFS(F$343:F$346, $C$343:$C$346, $C725:$C736, $D$343:$D$346, $D725:$D736)</f>
        <v>0</v>
      </c>
      <c r="G725" s="1314">
        <f t="array" ref="G725:G736">G$496:G$507*SUMIFS(G$343:G$346, $C$343:$C$346, $C725:$C736, $D$343:$D$346, $D725:$D736)</f>
        <v>0</v>
      </c>
      <c r="H725" s="1314">
        <f t="array" ref="H725:H736">H$496:H$507*SUMIFS(H$343:H$346, $C$343:$C$346, $C725:$C736, $D$343:$D$346, $D725:$D736)</f>
        <v>0</v>
      </c>
      <c r="I725" s="1314">
        <f t="array" ref="I725:I736">I$496:I$507*SUMIFS(I$343:I$346, $C$343:$C$346, $C725:$C736, $D$343:$D$346, $D725:$D736)</f>
        <v>0</v>
      </c>
      <c r="J725" s="1314">
        <f t="array" ref="J725:J736">J$496:J$507*SUMIFS(J$343:J$346, $C$343:$C$346, $C725:$C736, $D$343:$D$346, $D725:$D736)</f>
        <v>0</v>
      </c>
      <c r="K725" s="1314">
        <f t="array" ref="K725:K736">K$496:K$507*SUMIFS(K$343:K$346, $C$343:$C$346, $C725:$C736, $D$343:$D$346, $D725:$D736)</f>
        <v>0</v>
      </c>
      <c r="L725" s="1314">
        <f t="array" ref="L725:L736">L$496:L$507*SUMIFS(L$343:L$346, $C$343:$C$346, $C725:$C736, $D$343:$D$346, $D725:$D736)</f>
        <v>0</v>
      </c>
      <c r="M725" s="1314">
        <f t="array" ref="M725:M736">M$496:M$507*SUMIFS(M$343:M$346, $C$343:$C$346, $C725:$C736, $D$343:$D$346, $D725:$D736)</f>
        <v>0</v>
      </c>
      <c r="N725" s="1314">
        <f t="array" ref="N725:N736">N$496:N$507*SUMIFS(N$343:N$346, $C$343:$C$346, $C725:$C736, $D$343:$D$346, $D725:$D736)</f>
        <v>0</v>
      </c>
      <c r="O725" s="354"/>
      <c r="Q725"/>
      <c r="R725"/>
      <c r="S725"/>
      <c r="T725"/>
      <c r="U725"/>
      <c r="V725"/>
      <c r="W725"/>
      <c r="X725"/>
      <c r="Y725"/>
    </row>
    <row r="726" spans="1:27" s="399" customFormat="1">
      <c r="A726" s="354"/>
      <c r="B726" s="979"/>
      <c r="C726" s="358" t="s">
        <v>1113</v>
      </c>
      <c r="D726" s="1322" t="s">
        <v>1126</v>
      </c>
      <c r="E726" s="354"/>
      <c r="F726" s="1314">
        <v>0</v>
      </c>
      <c r="G726" s="1314">
        <v>1.7337237955044209E-2</v>
      </c>
      <c r="H726" s="1314">
        <v>3.9796907631193139E-2</v>
      </c>
      <c r="I726" s="1314">
        <v>0.23832581456317348</v>
      </c>
      <c r="J726" s="1314">
        <v>0.45001586121152093</v>
      </c>
      <c r="K726" s="1314">
        <v>0.70978092969515816</v>
      </c>
      <c r="L726" s="1314">
        <v>1.0102963604217994</v>
      </c>
      <c r="M726" s="1314">
        <v>1.320998429668141</v>
      </c>
      <c r="N726" s="1314">
        <v>1.5094292494848638</v>
      </c>
      <c r="O726" s="354"/>
      <c r="Q726"/>
      <c r="R726"/>
      <c r="S726"/>
      <c r="T726"/>
      <c r="U726"/>
      <c r="V726"/>
      <c r="W726"/>
      <c r="X726"/>
      <c r="Y726"/>
    </row>
    <row r="727" spans="1:27" s="399" customFormat="1">
      <c r="A727" s="354"/>
      <c r="B727" s="979"/>
      <c r="C727" s="358" t="s">
        <v>1113</v>
      </c>
      <c r="D727" s="411" t="s">
        <v>1127</v>
      </c>
      <c r="E727" s="354"/>
      <c r="F727" s="1314">
        <v>0</v>
      </c>
      <c r="G727" s="1314">
        <v>2.5751318746762225E-3</v>
      </c>
      <c r="H727" s="1314">
        <v>5.2010914780283735E-3</v>
      </c>
      <c r="I727" s="1314">
        <v>2.8791311300624345E-2</v>
      </c>
      <c r="J727" s="1314">
        <v>5.2524043232262757E-2</v>
      </c>
      <c r="K727" s="1314">
        <v>7.8774968328137907E-2</v>
      </c>
      <c r="L727" s="1314">
        <v>0.10436778846434987</v>
      </c>
      <c r="M727" s="1314">
        <v>0.11621157349669735</v>
      </c>
      <c r="N727" s="1314">
        <v>0.12323487054360706</v>
      </c>
      <c r="O727" s="423"/>
      <c r="Q727"/>
      <c r="R727"/>
      <c r="S727"/>
      <c r="T727"/>
      <c r="U727"/>
      <c r="V727"/>
      <c r="W727"/>
      <c r="X727"/>
      <c r="Y727"/>
    </row>
    <row r="728" spans="1:27" s="399" customFormat="1">
      <c r="A728" s="354"/>
      <c r="B728" s="979"/>
      <c r="C728" s="358" t="s">
        <v>1113</v>
      </c>
      <c r="D728" s="411" t="s">
        <v>1128</v>
      </c>
      <c r="E728" s="354"/>
      <c r="F728" s="1314">
        <v>0</v>
      </c>
      <c r="G728" s="1314">
        <v>0</v>
      </c>
      <c r="H728" s="1314">
        <v>0</v>
      </c>
      <c r="I728" s="1314">
        <v>0</v>
      </c>
      <c r="J728" s="1314">
        <v>0</v>
      </c>
      <c r="K728" s="1314">
        <v>0</v>
      </c>
      <c r="L728" s="1314">
        <v>0</v>
      </c>
      <c r="M728" s="1314">
        <v>0</v>
      </c>
      <c r="N728" s="1314">
        <v>0</v>
      </c>
      <c r="O728" s="423"/>
      <c r="Q728"/>
      <c r="R728"/>
      <c r="S728"/>
      <c r="T728"/>
      <c r="U728"/>
      <c r="V728"/>
      <c r="W728"/>
      <c r="X728"/>
      <c r="Y728"/>
    </row>
    <row r="729" spans="1:27" s="399" customFormat="1">
      <c r="A729" s="354"/>
      <c r="B729" s="979"/>
      <c r="C729" s="358" t="s">
        <v>1115</v>
      </c>
      <c r="D729" s="411" t="s">
        <v>1125</v>
      </c>
      <c r="E729" s="354"/>
      <c r="F729" s="1314">
        <v>0</v>
      </c>
      <c r="G729" s="1314">
        <v>0</v>
      </c>
      <c r="H729" s="1314">
        <v>0</v>
      </c>
      <c r="I729" s="1314">
        <v>0</v>
      </c>
      <c r="J729" s="1314">
        <v>0</v>
      </c>
      <c r="K729" s="1314">
        <v>0</v>
      </c>
      <c r="L729" s="1314">
        <v>0</v>
      </c>
      <c r="M729" s="1314">
        <v>0</v>
      </c>
      <c r="N729" s="1314">
        <v>0</v>
      </c>
      <c r="O729" s="423"/>
      <c r="Q729"/>
      <c r="R729"/>
      <c r="S729"/>
      <c r="T729"/>
      <c r="U729"/>
      <c r="V729"/>
      <c r="W729"/>
      <c r="X729"/>
      <c r="Y729"/>
    </row>
    <row r="730" spans="1:27" s="354" customFormat="1">
      <c r="B730" s="979"/>
      <c r="C730" s="358" t="s">
        <v>1115</v>
      </c>
      <c r="D730" s="1322" t="s">
        <v>1129</v>
      </c>
      <c r="F730" s="1314">
        <v>0</v>
      </c>
      <c r="G730" s="1314">
        <v>0</v>
      </c>
      <c r="H730" s="1314">
        <v>0</v>
      </c>
      <c r="I730" s="1314">
        <v>0</v>
      </c>
      <c r="J730" s="1314">
        <v>0</v>
      </c>
      <c r="K730" s="1314">
        <v>0</v>
      </c>
      <c r="L730" s="1314">
        <v>0</v>
      </c>
      <c r="M730" s="1314">
        <v>0</v>
      </c>
      <c r="N730" s="1314">
        <v>0</v>
      </c>
      <c r="O730" s="423"/>
      <c r="Q730"/>
      <c r="R730"/>
      <c r="S730"/>
      <c r="T730"/>
      <c r="U730"/>
      <c r="V730"/>
      <c r="W730"/>
      <c r="X730"/>
      <c r="Y730"/>
    </row>
    <row r="731" spans="1:27" s="399" customFormat="1">
      <c r="A731"/>
      <c r="B731"/>
      <c r="C731" s="358" t="s">
        <v>1115</v>
      </c>
      <c r="D731" s="411" t="s">
        <v>1127</v>
      </c>
      <c r="E731" s="354"/>
      <c r="F731" s="1314">
        <v>0</v>
      </c>
      <c r="G731" s="1314">
        <v>0</v>
      </c>
      <c r="H731" s="1314">
        <v>0</v>
      </c>
      <c r="I731" s="1314">
        <v>0</v>
      </c>
      <c r="J731" s="1314">
        <v>0</v>
      </c>
      <c r="K731" s="1314">
        <v>0</v>
      </c>
      <c r="L731" s="1314">
        <v>0</v>
      </c>
      <c r="M731" s="1314">
        <v>0</v>
      </c>
      <c r="N731" s="1314">
        <v>0</v>
      </c>
      <c r="O731"/>
      <c r="Q731"/>
      <c r="R731"/>
      <c r="S731"/>
      <c r="T731"/>
      <c r="U731"/>
      <c r="V731"/>
      <c r="W731"/>
      <c r="X731"/>
      <c r="Y731"/>
    </row>
    <row r="732" spans="1:27" s="399" customFormat="1">
      <c r="A732" s="4150"/>
      <c r="B732" s="4150"/>
      <c r="C732" s="373" t="s">
        <v>1115</v>
      </c>
      <c r="D732" s="1322" t="s">
        <v>3434</v>
      </c>
      <c r="E732" s="354"/>
      <c r="F732" s="1314">
        <v>0</v>
      </c>
      <c r="G732" s="1314">
        <v>0</v>
      </c>
      <c r="H732" s="1314">
        <v>0</v>
      </c>
      <c r="I732" s="1314">
        <v>0</v>
      </c>
      <c r="J732" s="1314">
        <v>0</v>
      </c>
      <c r="K732" s="1314">
        <v>0</v>
      </c>
      <c r="L732" s="1314">
        <v>0</v>
      </c>
      <c r="M732" s="1314">
        <v>0</v>
      </c>
      <c r="N732" s="1314">
        <v>0</v>
      </c>
      <c r="O732" s="4150"/>
      <c r="Q732"/>
      <c r="R732"/>
      <c r="S732"/>
      <c r="T732"/>
      <c r="U732"/>
      <c r="V732"/>
      <c r="W732"/>
      <c r="X732"/>
      <c r="Y732"/>
    </row>
    <row r="733" spans="1:27" s="399" customFormat="1">
      <c r="A733"/>
      <c r="B733"/>
      <c r="C733" s="373" t="s">
        <v>1115</v>
      </c>
      <c r="D733" s="1322" t="s">
        <v>1128</v>
      </c>
      <c r="E733" s="354"/>
      <c r="F733" s="1314">
        <v>0</v>
      </c>
      <c r="G733" s="1314">
        <v>0</v>
      </c>
      <c r="H733" s="1314">
        <v>0</v>
      </c>
      <c r="I733" s="1314">
        <v>0</v>
      </c>
      <c r="J733" s="1314">
        <v>0</v>
      </c>
      <c r="K733" s="1314">
        <v>0</v>
      </c>
      <c r="L733" s="1314">
        <v>0</v>
      </c>
      <c r="M733" s="1314">
        <v>0</v>
      </c>
      <c r="N733" s="1314">
        <v>0</v>
      </c>
      <c r="O733"/>
      <c r="Q733"/>
      <c r="R733"/>
      <c r="S733"/>
      <c r="T733"/>
      <c r="U733"/>
      <c r="V733"/>
      <c r="W733"/>
      <c r="X733"/>
      <c r="Y733"/>
    </row>
    <row r="734" spans="1:27" s="399" customFormat="1">
      <c r="A734"/>
      <c r="B734"/>
      <c r="C734" s="358" t="s">
        <v>1117</v>
      </c>
      <c r="D734" s="411" t="s">
        <v>1130</v>
      </c>
      <c r="E734" s="354" t="s">
        <v>5</v>
      </c>
      <c r="F734" s="1314">
        <v>0</v>
      </c>
      <c r="G734" s="1314">
        <v>0</v>
      </c>
      <c r="H734" s="1314">
        <v>0</v>
      </c>
      <c r="I734" s="1314">
        <v>0</v>
      </c>
      <c r="J734" s="1314">
        <v>0</v>
      </c>
      <c r="K734" s="1314">
        <v>0</v>
      </c>
      <c r="L734" s="1314">
        <v>0</v>
      </c>
      <c r="M734" s="1314">
        <v>0</v>
      </c>
      <c r="N734" s="1314">
        <v>0</v>
      </c>
      <c r="O734"/>
      <c r="Q734"/>
      <c r="R734"/>
      <c r="S734"/>
      <c r="T734"/>
      <c r="U734"/>
      <c r="V734"/>
      <c r="W734"/>
      <c r="X734"/>
      <c r="Y734"/>
    </row>
    <row r="735" spans="1:27" s="399" customFormat="1">
      <c r="A735"/>
      <c r="B735"/>
      <c r="C735" s="373" t="s">
        <v>1117</v>
      </c>
      <c r="D735" s="411" t="s">
        <v>1131</v>
      </c>
      <c r="E735" s="354"/>
      <c r="F735" s="1314">
        <v>4.9223297329708232E-2</v>
      </c>
      <c r="G735" s="1314">
        <v>4.5770051807957859E-2</v>
      </c>
      <c r="H735" s="1314">
        <v>4.58190720699704E-2</v>
      </c>
      <c r="I735" s="1314">
        <v>4.5003054377111669E-2</v>
      </c>
      <c r="J735" s="1314">
        <v>4.4084124480242085E-2</v>
      </c>
      <c r="K735" s="1314">
        <v>4.3052431733014214E-2</v>
      </c>
      <c r="L735" s="1314">
        <v>4.1804075366086609E-2</v>
      </c>
      <c r="M735" s="1314">
        <v>4.0452687822359737E-2</v>
      </c>
      <c r="N735" s="1314">
        <v>3.7766401946705087E-2</v>
      </c>
      <c r="O735"/>
    </row>
    <row r="736" spans="1:27" s="399" customFormat="1">
      <c r="A736"/>
      <c r="B736"/>
      <c r="C736" s="373" t="s">
        <v>1119</v>
      </c>
      <c r="D736" s="411" t="s">
        <v>1119</v>
      </c>
      <c r="E736" s="354"/>
      <c r="F736" s="1314">
        <v>0</v>
      </c>
      <c r="G736" s="1314">
        <v>0</v>
      </c>
      <c r="H736" s="1314">
        <v>0</v>
      </c>
      <c r="I736" s="1314">
        <v>0</v>
      </c>
      <c r="J736" s="1314">
        <v>0</v>
      </c>
      <c r="K736" s="1314">
        <v>0</v>
      </c>
      <c r="L736" s="1314">
        <v>0</v>
      </c>
      <c r="M736" s="1314">
        <v>0</v>
      </c>
      <c r="N736" s="1314">
        <v>0</v>
      </c>
      <c r="O736"/>
    </row>
    <row r="737" spans="1:27" s="399" customFormat="1">
      <c r="A737"/>
      <c r="B737"/>
      <c r="C737" s="373"/>
      <c r="D737" s="411"/>
      <c r="E737" s="354"/>
      <c r="F737" s="1606">
        <f t="shared" ref="F737:N737" si="114">SUM(F725:F736)</f>
        <v>4.9223297329708232E-2</v>
      </c>
      <c r="G737" s="1606">
        <f t="shared" si="114"/>
        <v>6.568242163767829E-2</v>
      </c>
      <c r="H737" s="1606">
        <f t="shared" si="114"/>
        <v>9.0817071179191911E-2</v>
      </c>
      <c r="I737" s="1606">
        <f t="shared" si="114"/>
        <v>0.31212018024090948</v>
      </c>
      <c r="J737" s="1606">
        <f t="shared" si="114"/>
        <v>0.54662402892402584</v>
      </c>
      <c r="K737" s="1606">
        <f t="shared" si="114"/>
        <v>0.83160832975631027</v>
      </c>
      <c r="L737" s="1606">
        <f t="shared" si="114"/>
        <v>1.1564682242522359</v>
      </c>
      <c r="M737" s="1606">
        <f t="shared" si="114"/>
        <v>1.4776626909871979</v>
      </c>
      <c r="N737" s="1606">
        <f t="shared" si="114"/>
        <v>1.6704305219751758</v>
      </c>
      <c r="O737"/>
    </row>
    <row r="738" spans="1:27" s="399" customFormat="1">
      <c r="A738" s="4150"/>
      <c r="B738" s="4150"/>
      <c r="C738" s="4150"/>
      <c r="D738" s="4150"/>
      <c r="E738" s="4150"/>
      <c r="F738" s="4150"/>
      <c r="G738" s="4150" t="s">
        <v>5</v>
      </c>
      <c r="H738" s="4150"/>
      <c r="I738" s="4150"/>
      <c r="J738" s="4150"/>
      <c r="K738" s="4150"/>
      <c r="L738" s="4150"/>
      <c r="M738" s="4150"/>
      <c r="N738" s="4150"/>
      <c r="O738" s="4150"/>
    </row>
    <row r="739" spans="1:27" s="399" customFormat="1">
      <c r="A739"/>
      <c r="B739"/>
      <c r="C739" s="354" t="s">
        <v>1218</v>
      </c>
      <c r="D739" s="354"/>
      <c r="E739" s="1315" t="s">
        <v>426</v>
      </c>
      <c r="F739" s="1617" t="s">
        <v>376</v>
      </c>
      <c r="G739" s="1315"/>
      <c r="H739" s="1315"/>
      <c r="I739" s="1315"/>
      <c r="J739" s="1315"/>
      <c r="K739" s="1315"/>
      <c r="L739" s="1315"/>
      <c r="M739" s="1315"/>
      <c r="N739" s="1315"/>
      <c r="O739"/>
    </row>
    <row r="740" spans="1:27" s="399" customFormat="1">
      <c r="A740" s="354"/>
      <c r="B740" s="979"/>
      <c r="C740" s="358" t="s">
        <v>987</v>
      </c>
      <c r="D740"/>
      <c r="E740" s="354"/>
      <c r="F740" s="1315"/>
      <c r="G740" s="1315"/>
      <c r="H740" s="1315"/>
      <c r="I740" s="1315"/>
      <c r="J740" s="1315"/>
      <c r="K740" s="1315"/>
      <c r="L740" s="1315"/>
      <c r="M740" s="1315"/>
      <c r="N740" s="373" t="str">
        <f>Preferences.EnergyUnits</f>
        <v>TWh</v>
      </c>
      <c r="O740" s="354"/>
    </row>
    <row r="741" spans="1:27" s="399" customFormat="1">
      <c r="A741" s="354"/>
      <c r="B741" s="979"/>
      <c r="C741" s="358" t="s">
        <v>1113</v>
      </c>
      <c r="D741" s="411" t="s">
        <v>1125</v>
      </c>
      <c r="E741" s="354"/>
      <c r="F741" s="1314">
        <f t="array" ref="F741:F752">F$496:F$507*SUMIFS(F$351:F$352, $C$351:$C$352, $C741:$C752, $D$351:$D$352, $D741:$D752)</f>
        <v>0</v>
      </c>
      <c r="G741" s="1314">
        <f t="array" ref="G741:G752">G$496:G$507*SUMIFS(G$351:G$352, $C$351:$C$352, $C741:$C752, $D$351:$D$352, $D741:$D752)</f>
        <v>0</v>
      </c>
      <c r="H741" s="1314">
        <f t="array" ref="H741:H752">H$496:H$507*SUMIFS(H$351:H$352, $C$351:$C$352, $C741:$C752, $D$351:$D$352, $D741:$D752)</f>
        <v>0</v>
      </c>
      <c r="I741" s="1314">
        <f t="array" ref="I741:I752">I$496:I$507*SUMIFS(I$351:I$352, $C$351:$C$352, $C741:$C752, $D$351:$D$352, $D741:$D752)</f>
        <v>0</v>
      </c>
      <c r="J741" s="1314">
        <f t="array" ref="J741:J752">J$496:J$507*SUMIFS(J$351:J$352, $C$351:$C$352, $C741:$C752, $D$351:$D$352, $D741:$D752)</f>
        <v>0</v>
      </c>
      <c r="K741" s="1314">
        <f t="array" ref="K741:K752">K$496:K$507*SUMIFS(K$351:K$352, $C$351:$C$352, $C741:$C752, $D$351:$D$352, $D741:$D752)</f>
        <v>0</v>
      </c>
      <c r="L741" s="1314">
        <f t="array" ref="L741:L752">L$496:L$507*SUMIFS(L$351:L$352, $C$351:$C$352, $C741:$C752, $D$351:$D$352, $D741:$D752)</f>
        <v>0</v>
      </c>
      <c r="M741" s="1314">
        <f t="array" ref="M741:M752">M$496:M$507*SUMIFS(M$351:M$352, $C$351:$C$352, $C741:$C752, $D$351:$D$352, $D741:$D752)</f>
        <v>0</v>
      </c>
      <c r="N741" s="1314">
        <f t="array" ref="N741:N752">N$496:N$507*SUMIFS(N$351:N$352, $C$351:$C$352, $C741:$C752, $D$351:$D$352, $D741:$D752)</f>
        <v>0</v>
      </c>
      <c r="O741" s="354"/>
      <c r="R741"/>
      <c r="S741"/>
      <c r="T741"/>
      <c r="U741"/>
      <c r="V741"/>
      <c r="W741"/>
      <c r="X741"/>
      <c r="Y741"/>
      <c r="Z741"/>
      <c r="AA741"/>
    </row>
    <row r="742" spans="1:27" s="399" customFormat="1">
      <c r="A742"/>
      <c r="B742" s="979"/>
      <c r="C742" s="358" t="s">
        <v>1113</v>
      </c>
      <c r="D742" s="1322" t="s">
        <v>1126</v>
      </c>
      <c r="E742" s="354"/>
      <c r="F742" s="1314">
        <v>0</v>
      </c>
      <c r="G742" s="1314">
        <v>0</v>
      </c>
      <c r="H742" s="1314">
        <v>0</v>
      </c>
      <c r="I742" s="1314">
        <v>0</v>
      </c>
      <c r="J742" s="1314">
        <v>0</v>
      </c>
      <c r="K742" s="1314">
        <v>0</v>
      </c>
      <c r="L742" s="1314">
        <v>0</v>
      </c>
      <c r="M742" s="1314">
        <v>0</v>
      </c>
      <c r="N742" s="1314">
        <v>0</v>
      </c>
      <c r="O742" s="354"/>
      <c r="R742"/>
      <c r="S742"/>
      <c r="T742"/>
      <c r="U742"/>
      <c r="V742"/>
      <c r="W742"/>
      <c r="X742"/>
      <c r="Y742"/>
      <c r="Z742"/>
      <c r="AA742"/>
    </row>
    <row r="743" spans="1:27" s="399" customFormat="1">
      <c r="A743"/>
      <c r="B743" s="979"/>
      <c r="C743" s="358" t="s">
        <v>1113</v>
      </c>
      <c r="D743" s="411" t="s">
        <v>1127</v>
      </c>
      <c r="E743" s="354"/>
      <c r="F743" s="1314">
        <v>0</v>
      </c>
      <c r="G743" s="1314">
        <v>0</v>
      </c>
      <c r="H743" s="1314">
        <v>0</v>
      </c>
      <c r="I743" s="1314">
        <v>0</v>
      </c>
      <c r="J743" s="1314">
        <v>0</v>
      </c>
      <c r="K743" s="1314">
        <v>0</v>
      </c>
      <c r="L743" s="1314">
        <v>0</v>
      </c>
      <c r="M743" s="1314">
        <v>0</v>
      </c>
      <c r="N743" s="1314">
        <v>0</v>
      </c>
      <c r="O743" s="354"/>
      <c r="R743"/>
      <c r="S743"/>
      <c r="T743"/>
      <c r="U743"/>
      <c r="V743"/>
      <c r="W743"/>
      <c r="X743"/>
      <c r="Y743"/>
      <c r="Z743"/>
      <c r="AA743"/>
    </row>
    <row r="744" spans="1:27" s="354" customFormat="1">
      <c r="A744"/>
      <c r="B744" s="979"/>
      <c r="C744" s="358" t="s">
        <v>1113</v>
      </c>
      <c r="D744" s="411" t="s">
        <v>1128</v>
      </c>
      <c r="F744" s="1314">
        <v>0</v>
      </c>
      <c r="G744" s="1314">
        <v>0</v>
      </c>
      <c r="H744" s="1314">
        <v>0</v>
      </c>
      <c r="I744" s="1314">
        <v>0</v>
      </c>
      <c r="J744" s="1314">
        <v>0</v>
      </c>
      <c r="K744" s="1314">
        <v>0</v>
      </c>
      <c r="L744" s="1314">
        <v>0</v>
      </c>
      <c r="M744" s="1314">
        <v>0</v>
      </c>
      <c r="N744" s="1314">
        <v>0</v>
      </c>
      <c r="R744"/>
      <c r="S744"/>
      <c r="T744"/>
      <c r="U744"/>
      <c r="V744"/>
      <c r="W744"/>
      <c r="X744"/>
      <c r="Y744"/>
      <c r="Z744"/>
      <c r="AA744"/>
    </row>
    <row r="745" spans="1:27" s="354" customFormat="1">
      <c r="A745"/>
      <c r="B745" s="979"/>
      <c r="C745" s="358" t="s">
        <v>1115</v>
      </c>
      <c r="D745" s="411" t="s">
        <v>1125</v>
      </c>
      <c r="F745" s="1314">
        <v>0</v>
      </c>
      <c r="G745" s="1314">
        <v>0</v>
      </c>
      <c r="H745" s="1314">
        <v>0</v>
      </c>
      <c r="I745" s="1314">
        <v>0</v>
      </c>
      <c r="J745" s="1314">
        <v>0</v>
      </c>
      <c r="K745" s="1314">
        <v>0</v>
      </c>
      <c r="L745" s="1314">
        <v>0</v>
      </c>
      <c r="M745" s="1314">
        <v>0</v>
      </c>
      <c r="N745" s="1314">
        <v>0</v>
      </c>
      <c r="R745"/>
      <c r="S745"/>
      <c r="T745"/>
      <c r="U745"/>
      <c r="V745"/>
      <c r="W745"/>
      <c r="X745"/>
      <c r="Y745"/>
      <c r="Z745"/>
      <c r="AA745"/>
    </row>
    <row r="746" spans="1:27" s="354" customFormat="1">
      <c r="A746"/>
      <c r="B746" s="979"/>
      <c r="C746" s="358" t="s">
        <v>1115</v>
      </c>
      <c r="D746" s="1322" t="s">
        <v>1129</v>
      </c>
      <c r="F746" s="1314">
        <v>0</v>
      </c>
      <c r="G746" s="1314">
        <v>0</v>
      </c>
      <c r="H746" s="1314">
        <v>0</v>
      </c>
      <c r="I746" s="1314">
        <v>0</v>
      </c>
      <c r="J746" s="1314">
        <v>0</v>
      </c>
      <c r="K746" s="1314">
        <v>0</v>
      </c>
      <c r="L746" s="1314">
        <v>0</v>
      </c>
      <c r="M746" s="1314">
        <v>0</v>
      </c>
      <c r="N746" s="1314">
        <v>0</v>
      </c>
      <c r="R746"/>
      <c r="S746"/>
      <c r="T746"/>
      <c r="U746"/>
      <c r="V746"/>
      <c r="W746"/>
      <c r="X746"/>
      <c r="Y746"/>
      <c r="Z746"/>
      <c r="AA746"/>
    </row>
    <row r="747" spans="1:27" s="354" customFormat="1">
      <c r="A747"/>
      <c r="B747" s="979"/>
      <c r="C747" s="358" t="s">
        <v>1115</v>
      </c>
      <c r="D747" s="411" t="s">
        <v>1127</v>
      </c>
      <c r="F747" s="1314">
        <v>0</v>
      </c>
      <c r="G747" s="1314">
        <v>0</v>
      </c>
      <c r="H747" s="1314">
        <v>0</v>
      </c>
      <c r="I747" s="1314">
        <v>0</v>
      </c>
      <c r="J747" s="1314">
        <v>0</v>
      </c>
      <c r="K747" s="1314">
        <v>0</v>
      </c>
      <c r="L747" s="1314">
        <v>0</v>
      </c>
      <c r="M747" s="1314">
        <v>0</v>
      </c>
      <c r="N747" s="1314">
        <v>0</v>
      </c>
      <c r="R747"/>
      <c r="S747"/>
      <c r="T747"/>
      <c r="U747"/>
      <c r="V747"/>
      <c r="W747"/>
      <c r="X747"/>
      <c r="Y747"/>
      <c r="Z747"/>
      <c r="AA747"/>
    </row>
    <row r="748" spans="1:27" s="354" customFormat="1">
      <c r="A748" s="4150"/>
      <c r="B748" s="979"/>
      <c r="C748" s="373" t="s">
        <v>1115</v>
      </c>
      <c r="D748" s="1322" t="s">
        <v>3434</v>
      </c>
      <c r="F748" s="1314">
        <v>0</v>
      </c>
      <c r="G748" s="1314">
        <v>0</v>
      </c>
      <c r="H748" s="1314">
        <v>0</v>
      </c>
      <c r="I748" s="1314">
        <v>0</v>
      </c>
      <c r="J748" s="1314">
        <v>0</v>
      </c>
      <c r="K748" s="1314">
        <v>0</v>
      </c>
      <c r="L748" s="1314">
        <v>0</v>
      </c>
      <c r="M748" s="1314">
        <v>0</v>
      </c>
      <c r="N748" s="1314">
        <v>0</v>
      </c>
      <c r="R748"/>
      <c r="S748"/>
      <c r="T748"/>
      <c r="U748"/>
      <c r="V748"/>
      <c r="W748"/>
      <c r="X748"/>
      <c r="Y748"/>
      <c r="Z748"/>
      <c r="AA748" s="4150"/>
    </row>
    <row r="749" spans="1:27" s="354" customFormat="1">
      <c r="A749"/>
      <c r="B749" s="979"/>
      <c r="C749" s="373" t="s">
        <v>1115</v>
      </c>
      <c r="D749" s="1322" t="s">
        <v>1128</v>
      </c>
      <c r="F749" s="1314">
        <v>0</v>
      </c>
      <c r="G749" s="1314">
        <v>0</v>
      </c>
      <c r="H749" s="1314">
        <v>0</v>
      </c>
      <c r="I749" s="1314">
        <v>0</v>
      </c>
      <c r="J749" s="1314">
        <v>0</v>
      </c>
      <c r="K749" s="1314">
        <v>0</v>
      </c>
      <c r="L749" s="1314">
        <v>0</v>
      </c>
      <c r="M749" s="1314">
        <v>0</v>
      </c>
      <c r="N749" s="1314">
        <v>0</v>
      </c>
      <c r="R749"/>
      <c r="S749"/>
      <c r="T749"/>
      <c r="U749"/>
      <c r="V749"/>
      <c r="W749"/>
      <c r="X749"/>
      <c r="Y749"/>
      <c r="Z749"/>
      <c r="AA749"/>
    </row>
    <row r="750" spans="1:27" s="354" customFormat="1">
      <c r="A750"/>
      <c r="B750" s="979"/>
      <c r="C750" s="358" t="s">
        <v>1117</v>
      </c>
      <c r="D750" s="411" t="s">
        <v>1130</v>
      </c>
      <c r="F750" s="1314">
        <v>0</v>
      </c>
      <c r="G750" s="1314">
        <v>0</v>
      </c>
      <c r="H750" s="1314">
        <v>0</v>
      </c>
      <c r="I750" s="1314">
        <v>0</v>
      </c>
      <c r="J750" s="1314">
        <v>0</v>
      </c>
      <c r="K750" s="1314">
        <v>0</v>
      </c>
      <c r="L750" s="1314">
        <v>0</v>
      </c>
      <c r="M750" s="1314">
        <v>0</v>
      </c>
      <c r="N750" s="1314">
        <v>0</v>
      </c>
      <c r="R750"/>
      <c r="S750"/>
      <c r="T750"/>
      <c r="U750"/>
      <c r="V750"/>
      <c r="W750"/>
      <c r="X750"/>
      <c r="Y750"/>
      <c r="Z750"/>
      <c r="AA750"/>
    </row>
    <row r="751" spans="1:27" s="354" customFormat="1">
      <c r="A751"/>
      <c r="B751" s="979"/>
      <c r="C751" s="373" t="s">
        <v>1117</v>
      </c>
      <c r="D751" s="411" t="s">
        <v>1131</v>
      </c>
      <c r="F751" s="1314">
        <v>0</v>
      </c>
      <c r="G751" s="1314">
        <v>0</v>
      </c>
      <c r="H751" s="1314">
        <v>0</v>
      </c>
      <c r="I751" s="1314">
        <v>0</v>
      </c>
      <c r="J751" s="1314">
        <v>0</v>
      </c>
      <c r="K751" s="1314">
        <v>0</v>
      </c>
      <c r="L751" s="1314">
        <v>0</v>
      </c>
      <c r="M751" s="1314">
        <v>0</v>
      </c>
      <c r="N751" s="1314">
        <v>0</v>
      </c>
      <c r="R751"/>
      <c r="S751"/>
      <c r="T751"/>
      <c r="U751"/>
      <c r="V751"/>
      <c r="W751"/>
      <c r="X751"/>
      <c r="Y751"/>
      <c r="Z751"/>
      <c r="AA751"/>
    </row>
    <row r="752" spans="1:27" s="354" customFormat="1">
      <c r="A752"/>
      <c r="B752" s="979"/>
      <c r="C752" s="373" t="s">
        <v>1119</v>
      </c>
      <c r="D752" s="411" t="s">
        <v>1119</v>
      </c>
      <c r="F752" s="1314">
        <v>0</v>
      </c>
      <c r="G752" s="1314">
        <v>0</v>
      </c>
      <c r="H752" s="1314">
        <v>0</v>
      </c>
      <c r="I752" s="1314">
        <v>0</v>
      </c>
      <c r="J752" s="1314">
        <v>0</v>
      </c>
      <c r="K752" s="1314">
        <v>0</v>
      </c>
      <c r="L752" s="1314">
        <v>0</v>
      </c>
      <c r="M752" s="1314">
        <v>0</v>
      </c>
      <c r="N752" s="1314">
        <v>0</v>
      </c>
      <c r="R752"/>
      <c r="S752"/>
      <c r="T752"/>
      <c r="U752"/>
      <c r="V752"/>
      <c r="W752"/>
      <c r="X752"/>
      <c r="Y752"/>
      <c r="Z752"/>
      <c r="AA752"/>
    </row>
    <row r="753" spans="1:27" s="354" customFormat="1">
      <c r="A753"/>
      <c r="B753" s="979"/>
      <c r="C753" s="373"/>
      <c r="D753" s="411"/>
      <c r="F753" s="1606">
        <f t="shared" ref="F753:M753" si="115">SUM(F741:F752)</f>
        <v>0</v>
      </c>
      <c r="G753" s="1606">
        <f t="shared" si="115"/>
        <v>0</v>
      </c>
      <c r="H753" s="1606">
        <f t="shared" si="115"/>
        <v>0</v>
      </c>
      <c r="I753" s="1606">
        <f t="shared" si="115"/>
        <v>0</v>
      </c>
      <c r="J753" s="1606">
        <f t="shared" si="115"/>
        <v>0</v>
      </c>
      <c r="K753" s="1606">
        <f t="shared" si="115"/>
        <v>0</v>
      </c>
      <c r="L753" s="1606">
        <f t="shared" si="115"/>
        <v>0</v>
      </c>
      <c r="M753" s="1606">
        <f t="shared" si="115"/>
        <v>0</v>
      </c>
      <c r="N753" s="1606">
        <f>SUM(N741:N752)</f>
        <v>0</v>
      </c>
      <c r="S753"/>
      <c r="T753"/>
      <c r="U753"/>
      <c r="V753"/>
      <c r="W753"/>
      <c r="X753"/>
      <c r="Y753"/>
      <c r="Z753"/>
      <c r="AA753"/>
    </row>
    <row r="754" spans="1:27" s="354" customFormat="1">
      <c r="A754"/>
      <c r="B754" s="979"/>
      <c r="C754" s="373"/>
      <c r="D754" s="411"/>
      <c r="F754" s="1619"/>
      <c r="G754" s="1619"/>
      <c r="H754" s="1619"/>
      <c r="I754" s="1619"/>
      <c r="J754" s="1619"/>
      <c r="K754" s="1619"/>
      <c r="L754" s="1619"/>
      <c r="M754" s="1619"/>
      <c r="N754" s="1619"/>
    </row>
    <row r="755" spans="1:27" s="354" customFormat="1">
      <c r="A755"/>
      <c r="B755" s="979">
        <v>5</v>
      </c>
      <c r="C755" s="403" t="s">
        <v>1219</v>
      </c>
      <c r="D755" s="411"/>
      <c r="F755" s="1600"/>
      <c r="G755" s="1600"/>
      <c r="H755" s="1600"/>
      <c r="I755" s="1600"/>
      <c r="J755" s="1600"/>
      <c r="K755" s="1600"/>
      <c r="L755" s="1600"/>
      <c r="M755" s="1600"/>
      <c r="N755" s="1600"/>
    </row>
    <row r="756" spans="1:27" s="354" customFormat="1">
      <c r="A756"/>
      <c r="B756" s="979"/>
      <c r="C756" s="358"/>
      <c r="D756" s="411"/>
      <c r="F756" s="1600"/>
      <c r="G756" s="1600"/>
      <c r="H756" s="1600"/>
      <c r="I756" s="1600"/>
      <c r="J756" s="1600"/>
      <c r="K756" s="1600"/>
      <c r="L756" s="1600"/>
      <c r="M756" s="1600"/>
      <c r="N756" s="373" t="str">
        <f>Preferences.EnergyUnits</f>
        <v>TWh</v>
      </c>
    </row>
    <row r="757" spans="1:27" s="354" customFormat="1">
      <c r="A757"/>
      <c r="B757" s="979"/>
      <c r="C757" t="s">
        <v>1220</v>
      </c>
      <c r="D757" s="2"/>
      <c r="F757" s="1314">
        <f>SUM(F$693:F$701)+SUM(F$725:F$733)+SUM(F$741:F$749)+SUM(F709:F717)</f>
        <v>23.346450229689417</v>
      </c>
      <c r="G757" s="1314">
        <f t="shared" ref="G757:O757" si="116">SUM(G$693:G$701)+SUM(G$725:G$733)+SUM(G$741:G$749)+SUM(G709:G717)</f>
        <v>24.012607645877271</v>
      </c>
      <c r="H757" s="1314">
        <f t="shared" si="116"/>
        <v>25.219695965736182</v>
      </c>
      <c r="I757" s="1314">
        <f t="shared" si="116"/>
        <v>24.927181882233228</v>
      </c>
      <c r="J757" s="1314">
        <f t="shared" si="116"/>
        <v>24.459915681214994</v>
      </c>
      <c r="K757" s="1314">
        <f t="shared" si="116"/>
        <v>24.036435649412958</v>
      </c>
      <c r="L757" s="1314">
        <f t="shared" si="116"/>
        <v>23.485168305437998</v>
      </c>
      <c r="M757" s="1314">
        <f t="shared" si="116"/>
        <v>22.977819262804069</v>
      </c>
      <c r="N757" s="1314">
        <f t="shared" si="116"/>
        <v>21.697953571852743</v>
      </c>
      <c r="O757" s="1314">
        <f t="shared" si="116"/>
        <v>0</v>
      </c>
    </row>
    <row r="758" spans="1:27" s="354" customFormat="1">
      <c r="A758"/>
      <c r="B758" s="979"/>
      <c r="C758" t="s">
        <v>1221</v>
      </c>
      <c r="D758" s="2"/>
      <c r="F758" s="1604">
        <f t="shared" ref="F758:N758" si="117">SUM(F$702:F$703)+SUM(F$734:F$735)+SUM(F$750:F$751)</f>
        <v>0.46333756774139867</v>
      </c>
      <c r="G758" s="1314">
        <f t="shared" si="117"/>
        <v>0.57626511200834729</v>
      </c>
      <c r="H758" s="1314">
        <f t="shared" si="117"/>
        <v>0.56932805649885732</v>
      </c>
      <c r="I758" s="1314">
        <f t="shared" si="117"/>
        <v>0.55114185036742158</v>
      </c>
      <c r="J758" s="1314">
        <f t="shared" si="117"/>
        <v>0.53131001094209129</v>
      </c>
      <c r="K758" s="1314">
        <f t="shared" si="117"/>
        <v>0.50972540885835937</v>
      </c>
      <c r="L758" s="1314">
        <f t="shared" si="117"/>
        <v>0.48520034261174166</v>
      </c>
      <c r="M758" s="1314">
        <f t="shared" si="117"/>
        <v>0.45912649157428115</v>
      </c>
      <c r="N758" s="1314">
        <f t="shared" si="117"/>
        <v>0.41789968327415872</v>
      </c>
    </row>
    <row r="759" spans="1:27" s="354" customFormat="1">
      <c r="A759"/>
      <c r="B759" s="979"/>
      <c r="C759" t="s">
        <v>1222</v>
      </c>
      <c r="D759" s="2"/>
      <c r="F759" s="1314">
        <f t="shared" ref="F759:N759" si="118">F$704+F$736+F$752</f>
        <v>2.7179785187540276E-2</v>
      </c>
      <c r="G759" s="1314">
        <f t="shared" si="118"/>
        <v>2.8688317425508068E-2</v>
      </c>
      <c r="H759" s="1314">
        <f t="shared" si="118"/>
        <v>2.8626918373697949E-2</v>
      </c>
      <c r="I759" s="1314">
        <f t="shared" si="118"/>
        <v>2.8375533440997854E-2</v>
      </c>
      <c r="J759" s="1314">
        <f t="shared" si="118"/>
        <v>2.8092836249242522E-2</v>
      </c>
      <c r="K759" s="1314">
        <f t="shared" si="118"/>
        <v>2.7773770259370195E-2</v>
      </c>
      <c r="L759" s="1314">
        <f t="shared" si="118"/>
        <v>2.7351212236636904E-2</v>
      </c>
      <c r="M759" s="1314">
        <f t="shared" si="118"/>
        <v>2.6897963862265332E-2</v>
      </c>
      <c r="N759" s="1314">
        <f t="shared" si="118"/>
        <v>2.5579695995584108E-2</v>
      </c>
    </row>
    <row r="760" spans="1:27" s="354" customFormat="1">
      <c r="A760"/>
      <c r="B760"/>
      <c r="C760" s="2"/>
      <c r="D760" s="2"/>
      <c r="E760" s="373"/>
      <c r="F760" s="1370">
        <f t="shared" ref="F760:M760" si="119">SUM(F757:F759)</f>
        <v>23.836967582618357</v>
      </c>
      <c r="G760" s="1315">
        <f t="shared" si="119"/>
        <v>24.617561075311126</v>
      </c>
      <c r="H760" s="1315">
        <f t="shared" si="119"/>
        <v>25.817650940608736</v>
      </c>
      <c r="I760" s="1315">
        <f t="shared" si="119"/>
        <v>25.506699266041647</v>
      </c>
      <c r="J760" s="1315">
        <f t="shared" si="119"/>
        <v>25.01931852840633</v>
      </c>
      <c r="K760" s="1315">
        <f t="shared" si="119"/>
        <v>24.573934828530685</v>
      </c>
      <c r="L760" s="1315">
        <f t="shared" si="119"/>
        <v>23.997719860286377</v>
      </c>
      <c r="M760" s="1315">
        <f t="shared" si="119"/>
        <v>23.463843718240614</v>
      </c>
      <c r="N760" s="1315">
        <f>SUM(N757:N759)</f>
        <v>22.141432951122486</v>
      </c>
      <c r="O760"/>
    </row>
    <row r="761" spans="1:27" s="354" customFormat="1">
      <c r="A761"/>
      <c r="B761"/>
      <c r="C761" s="2"/>
      <c r="D761" s="2"/>
      <c r="E761" s="373"/>
      <c r="F761" s="1600"/>
      <c r="G761" s="1600"/>
      <c r="H761" s="1600"/>
      <c r="I761" s="1600"/>
      <c r="J761" s="1600"/>
      <c r="K761" s="1600"/>
      <c r="L761" s="1600"/>
      <c r="M761" s="1600"/>
      <c r="N761" s="1600"/>
      <c r="O761"/>
    </row>
    <row r="762" spans="1:27" s="354" customFormat="1">
      <c r="A762"/>
      <c r="B762"/>
      <c r="C762" s="354" t="s">
        <v>1223</v>
      </c>
      <c r="D762" s="6"/>
      <c r="E762" s="6"/>
      <c r="F762" s="357"/>
      <c r="G762" s="357"/>
      <c r="H762" s="357"/>
      <c r="I762" s="357"/>
      <c r="J762" s="357"/>
      <c r="K762" s="357"/>
      <c r="L762" s="357"/>
      <c r="M762" s="357"/>
      <c r="N762" s="357"/>
      <c r="O762" s="6"/>
    </row>
    <row r="763" spans="1:27" s="354" customFormat="1">
      <c r="A763"/>
      <c r="B763"/>
      <c r="C763" t="s">
        <v>250</v>
      </c>
      <c r="D763" s="6"/>
      <c r="E763" s="6" t="s">
        <v>251</v>
      </c>
      <c r="F763" s="983">
        <f>F$705*INDEX(EF[CO2], MATCH("V.04", EF[Vector], 0))+F$721*INDEX(EF[CO2], MATCH("V.05", EF[Vector], 0))</f>
        <v>6.2771099620019672</v>
      </c>
      <c r="G763" s="983">
        <f>G$705*INDEX(EF[CO2], MATCH("V.04", EF[Vector], 0))+G$721*INDEX(EF[CO2], MATCH("V.05", EF[Vector], 0))</f>
        <v>6.4787497391313478</v>
      </c>
      <c r="H763" s="983">
        <f>H$705*INDEX(EF[CO2], MATCH("V.04", EF[Vector], 0))+H$721*INDEX(EF[CO2], MATCH("V.05", EF[Vector], 0))</f>
        <v>6.7887969214650665</v>
      </c>
      <c r="I763" s="983">
        <f>I$705*INDEX(EF[CO2], MATCH("V.04", EF[Vector], 0))+I$721*INDEX(EF[CO2], MATCH("V.05", EF[Vector], 0))</f>
        <v>6.6483455291610971</v>
      </c>
      <c r="J763" s="983">
        <f>J$705*INDEX(EF[CO2], MATCH("V.04", EF[Vector], 0))+J$721*INDEX(EF[CO2], MATCH("V.05", EF[Vector], 0))</f>
        <v>6.4578546245233897</v>
      </c>
      <c r="K763" s="983">
        <f>K$705*INDEX(EF[CO2], MATCH("V.04", EF[Vector], 0))+K$721*INDEX(EF[CO2], MATCH("V.05", EF[Vector], 0))</f>
        <v>6.2651251164965807</v>
      </c>
      <c r="L763" s="983">
        <f>L$705*INDEX(EF[CO2], MATCH("V.04", EF[Vector], 0))+L$721*INDEX(EF[CO2], MATCH("V.05", EF[Vector], 0))</f>
        <v>6.0273494817166888</v>
      </c>
      <c r="M763" s="983">
        <f>M$705*INDEX(EF[CO2], MATCH("V.04", EF[Vector], 0))+M$721*INDEX(EF[CO2], MATCH("V.05", EF[Vector], 0))</f>
        <v>5.80171344947163</v>
      </c>
      <c r="N763" s="983">
        <f>N$705*INDEX(EF[CO2], MATCH("V.04", EF[Vector], 0))+N$721*INDEX(EF[CO2], MATCH("V.05", EF[Vector], 0))</f>
        <v>5.4018881210033909</v>
      </c>
      <c r="O763" s="6"/>
    </row>
    <row r="764" spans="1:27" s="354" customFormat="1">
      <c r="A764"/>
      <c r="B764"/>
      <c r="C764" t="s">
        <v>252</v>
      </c>
      <c r="D764" s="6"/>
      <c r="E764" s="6" t="s">
        <v>251</v>
      </c>
      <c r="F764" s="983">
        <f>F$705*INDEX(EF[CH4], MATCH("V.04", EF[Vector], 0))+F$721*INDEX(EF[CH4], MATCH("V.05", EF[Vector], 0))</f>
        <v>5.3950604039034664E-3</v>
      </c>
      <c r="G764" s="983">
        <f>G$705*INDEX(EF[CH4], MATCH("V.04", EF[Vector], 0))+G$721*INDEX(EF[CH4], MATCH("V.05", EF[Vector], 0))</f>
        <v>5.5683660786531386E-3</v>
      </c>
      <c r="H764" s="983">
        <f>H$705*INDEX(EF[CH4], MATCH("V.04", EF[Vector], 0))+H$721*INDEX(EF[CH4], MATCH("V.05", EF[Vector], 0))</f>
        <v>5.8348459215866212E-3</v>
      </c>
      <c r="I764" s="983">
        <f>I$705*INDEX(EF[CH4], MATCH("V.04", EF[Vector], 0))+I$721*INDEX(EF[CH4], MATCH("V.05", EF[Vector], 0))</f>
        <v>5.7141305366596069E-3</v>
      </c>
      <c r="J764" s="983">
        <f>J$705*INDEX(EF[CH4], MATCH("V.04", EF[Vector], 0))+J$721*INDEX(EF[CH4], MATCH("V.05", EF[Vector], 0))</f>
        <v>5.5504071124825869E-3</v>
      </c>
      <c r="K764" s="983">
        <f>K$705*INDEX(EF[CH4], MATCH("V.04", EF[Vector], 0))+K$721*INDEX(EF[CH4], MATCH("V.05", EF[Vector], 0))</f>
        <v>5.3847596499220288E-3</v>
      </c>
      <c r="L764" s="983">
        <f>L$705*INDEX(EF[CH4], MATCH("V.04", EF[Vector], 0))+L$721*INDEX(EF[CH4], MATCH("V.05", EF[Vector], 0))</f>
        <v>5.1803958710525443E-3</v>
      </c>
      <c r="M764" s="983">
        <f>M$705*INDEX(EF[CH4], MATCH("V.04", EF[Vector], 0))+M$721*INDEX(EF[CH4], MATCH("V.05", EF[Vector], 0))</f>
        <v>4.9864658569810753E-3</v>
      </c>
      <c r="N764" s="983">
        <f>N$705*INDEX(EF[CH4], MATCH("V.04", EF[Vector], 0))+N$721*INDEX(EF[CH4], MATCH("V.05", EF[Vector], 0))</f>
        <v>4.64282335093061E-3</v>
      </c>
      <c r="O764" s="6"/>
    </row>
    <row r="765" spans="1:27" s="354" customFormat="1">
      <c r="A765"/>
      <c r="B765"/>
      <c r="C765" t="s">
        <v>253</v>
      </c>
      <c r="D765" s="6"/>
      <c r="E765" s="6" t="s">
        <v>251</v>
      </c>
      <c r="F765" s="983">
        <f>F$705*INDEX(EF[N2O], MATCH("V.04", EF[Vector], 0))+F$721*INDEX(EF[N2O], MATCH("V.05", EF[Vector], 0))</f>
        <v>1.5928273573429279E-2</v>
      </c>
      <c r="G765" s="983">
        <f>G$705*INDEX(EF[N2O], MATCH("V.04", EF[Vector], 0))+G$721*INDEX(EF[N2O], MATCH("V.05", EF[Vector], 0))</f>
        <v>1.6439937946499741E-2</v>
      </c>
      <c r="H765" s="983">
        <f>H$705*INDEX(EF[N2O], MATCH("V.04", EF[Vector], 0))+H$721*INDEX(EF[N2O], MATCH("V.05", EF[Vector], 0))</f>
        <v>1.7226687958970022E-2</v>
      </c>
      <c r="I765" s="983">
        <f>I$705*INDEX(EF[N2O], MATCH("V.04", EF[Vector], 0))+I$721*INDEX(EF[N2O], MATCH("V.05", EF[Vector], 0))</f>
        <v>1.6870290155852175E-2</v>
      </c>
      <c r="J765" s="983">
        <f>J$705*INDEX(EF[N2O], MATCH("V.04", EF[Vector], 0))+J$721*INDEX(EF[N2O], MATCH("V.05", EF[Vector], 0))</f>
        <v>1.6386916236853351E-2</v>
      </c>
      <c r="K765" s="983">
        <f>K$705*INDEX(EF[N2O], MATCH("V.04", EF[Vector], 0))+K$721*INDEX(EF[N2O], MATCH("V.05", EF[Vector], 0))</f>
        <v>1.5897861823579322E-2</v>
      </c>
      <c r="L765" s="983">
        <f>L$705*INDEX(EF[N2O], MATCH("V.04", EF[Vector], 0))+L$721*INDEX(EF[N2O], MATCH("V.05", EF[Vector], 0))</f>
        <v>1.5294502095488464E-2</v>
      </c>
      <c r="M765" s="983">
        <f>M$705*INDEX(EF[N2O], MATCH("V.04", EF[Vector], 0))+M$721*INDEX(EF[N2O], MATCH("V.05", EF[Vector], 0))</f>
        <v>1.4721946815848888E-2</v>
      </c>
      <c r="N765" s="983">
        <f>N$705*INDEX(EF[N2O], MATCH("V.04", EF[Vector], 0))+N$721*INDEX(EF[N2O], MATCH("V.05", EF[Vector], 0))</f>
        <v>1.3707383226557037E-2</v>
      </c>
      <c r="O765" s="6"/>
    </row>
    <row r="766" spans="1:27" s="354" customFormat="1">
      <c r="A766"/>
      <c r="B766"/>
      <c r="C766"/>
      <c r="D766"/>
      <c r="E766"/>
      <c r="F766"/>
      <c r="G766"/>
      <c r="H766"/>
      <c r="I766"/>
      <c r="J766"/>
      <c r="K766"/>
      <c r="L766"/>
      <c r="M766"/>
      <c r="N766"/>
      <c r="O766"/>
    </row>
    <row r="767" spans="1:27" s="354" customFormat="1" ht="23.5">
      <c r="A767" s="7"/>
      <c r="B767" s="502" t="s">
        <v>296</v>
      </c>
      <c r="C767" s="503"/>
      <c r="D767" s="503"/>
      <c r="E767" s="503"/>
      <c r="F767" s="503"/>
      <c r="G767" s="503"/>
      <c r="H767" s="503"/>
      <c r="I767" s="503"/>
      <c r="J767" s="503"/>
      <c r="K767" s="503"/>
      <c r="L767" s="503"/>
      <c r="M767" s="503"/>
      <c r="N767" s="503"/>
    </row>
    <row r="768" spans="1:27" s="354" customFormat="1">
      <c r="A768"/>
      <c r="B768" s="505"/>
      <c r="C768" s="506"/>
      <c r="D768" s="506"/>
      <c r="E768" s="506"/>
      <c r="F768" s="506"/>
      <c r="G768" s="506"/>
      <c r="H768" s="506"/>
      <c r="I768" s="506"/>
      <c r="J768" s="506"/>
      <c r="K768" s="506"/>
      <c r="L768" s="506"/>
      <c r="M768" s="506"/>
      <c r="N768" s="506"/>
    </row>
    <row r="769" spans="1:14" s="354" customFormat="1">
      <c r="A769"/>
      <c r="B769" s="505"/>
      <c r="C769" s="34" t="s">
        <v>1224</v>
      </c>
      <c r="D769" s="506"/>
      <c r="E769" s="507"/>
      <c r="F769" s="506"/>
      <c r="G769" s="506"/>
      <c r="H769" s="506"/>
      <c r="I769" s="506"/>
      <c r="J769" s="506"/>
      <c r="K769" s="506"/>
      <c r="L769" s="506"/>
      <c r="M769" s="506"/>
      <c r="N769" s="507" t="str">
        <f>Preferences.EnergyUnits</f>
        <v>TWh</v>
      </c>
    </row>
    <row r="770" spans="1:14" s="354" customFormat="1">
      <c r="A770"/>
      <c r="B770" s="505"/>
      <c r="C770" s="506"/>
      <c r="D770" s="506"/>
      <c r="E770" s="506"/>
      <c r="F770" s="506"/>
      <c r="G770" s="506"/>
      <c r="H770" s="506"/>
      <c r="I770" s="506"/>
      <c r="J770" s="506"/>
      <c r="K770" s="506"/>
      <c r="L770" s="506"/>
      <c r="M770" s="506"/>
      <c r="N770" s="506"/>
    </row>
    <row r="771" spans="1:14" s="354" customFormat="1" ht="15.5">
      <c r="A771"/>
      <c r="B771" s="15"/>
      <c r="C771" s="1712" t="s">
        <v>28</v>
      </c>
      <c r="D771" s="1712" t="s">
        <v>29</v>
      </c>
      <c r="E771" s="1712" t="s">
        <v>30</v>
      </c>
      <c r="F771" s="1712" t="s">
        <v>588</v>
      </c>
      <c r="G771" s="1712" t="s">
        <v>132</v>
      </c>
      <c r="H771" s="1712" t="s">
        <v>133</v>
      </c>
      <c r="I771" s="1712" t="s">
        <v>134</v>
      </c>
      <c r="J771" s="1712" t="s">
        <v>135</v>
      </c>
      <c r="K771" s="1712" t="s">
        <v>136</v>
      </c>
      <c r="L771" s="1712" t="s">
        <v>137</v>
      </c>
      <c r="M771" s="1712" t="s">
        <v>138</v>
      </c>
      <c r="N771" s="1712" t="s">
        <v>139</v>
      </c>
    </row>
    <row r="772" spans="1:14" s="354" customFormat="1" ht="15.5">
      <c r="A772"/>
      <c r="B772" s="15"/>
      <c r="C772" s="716" t="s">
        <v>409</v>
      </c>
      <c r="D772" s="1716" t="str">
        <f>INDEX(Vectors[Description], MATCH(XII.a.Outputs[Vector], Vectors[Code], 0))</f>
        <v>Road transport</v>
      </c>
      <c r="E772" s="716"/>
      <c r="F772" s="717">
        <f>F757</f>
        <v>23.346450229689417</v>
      </c>
      <c r="G772" s="717">
        <f t="shared" ref="G772:N772" si="120">G757</f>
        <v>24.012607645877271</v>
      </c>
      <c r="H772" s="717">
        <f t="shared" si="120"/>
        <v>25.219695965736182</v>
      </c>
      <c r="I772" s="717">
        <f t="shared" si="120"/>
        <v>24.927181882233228</v>
      </c>
      <c r="J772" s="717">
        <f t="shared" si="120"/>
        <v>24.459915681214994</v>
      </c>
      <c r="K772" s="717">
        <f t="shared" si="120"/>
        <v>24.036435649412958</v>
      </c>
      <c r="L772" s="717">
        <f t="shared" si="120"/>
        <v>23.485168305437998</v>
      </c>
      <c r="M772" s="717">
        <f t="shared" si="120"/>
        <v>22.977819262804069</v>
      </c>
      <c r="N772" s="717">
        <f t="shared" si="120"/>
        <v>21.697953571852743</v>
      </c>
    </row>
    <row r="773" spans="1:14" s="354" customFormat="1" ht="15.5">
      <c r="A773"/>
      <c r="B773" s="15"/>
      <c r="C773" s="716" t="s">
        <v>410</v>
      </c>
      <c r="D773" s="1716" t="str">
        <f>INDEX(Vectors[Description], MATCH(XII.a.Outputs[Vector], Vectors[Code], 0))</f>
        <v>Rail transport</v>
      </c>
      <c r="E773" s="716"/>
      <c r="F773" s="1714">
        <f>F758+F$170</f>
        <v>0.48659756774139867</v>
      </c>
      <c r="G773" s="717">
        <f t="shared" ref="G773:N773" si="121">G758+H$170</f>
        <v>0.59952511200834724</v>
      </c>
      <c r="H773" s="717">
        <f t="shared" si="121"/>
        <v>0.59258805649885726</v>
      </c>
      <c r="I773" s="717">
        <f t="shared" si="121"/>
        <v>0.57440185036742153</v>
      </c>
      <c r="J773" s="717">
        <f t="shared" si="121"/>
        <v>0.55457001094209124</v>
      </c>
      <c r="K773" s="717">
        <f t="shared" si="121"/>
        <v>0.53298540885835932</v>
      </c>
      <c r="L773" s="717">
        <f t="shared" si="121"/>
        <v>0.50846034261174167</v>
      </c>
      <c r="M773" s="717">
        <f t="shared" si="121"/>
        <v>0.48238649157428115</v>
      </c>
      <c r="N773" s="717">
        <f t="shared" si="121"/>
        <v>0.41789968327415872</v>
      </c>
    </row>
    <row r="774" spans="1:14" s="354" customFormat="1" ht="15.5">
      <c r="A774"/>
      <c r="B774" s="15"/>
      <c r="C774" s="716" t="s">
        <v>411</v>
      </c>
      <c r="D774" s="1716" t="str">
        <f>INDEX(Vectors[Description], MATCH(XII.a.Outputs[Vector], Vectors[Code], 0))</f>
        <v>Domestic aviation</v>
      </c>
      <c r="E774" s="716"/>
      <c r="F774" s="1714">
        <f t="shared" ref="F774:N774" si="122">F759</f>
        <v>2.7179785187540276E-2</v>
      </c>
      <c r="G774" s="717">
        <f t="shared" si="122"/>
        <v>2.8688317425508068E-2</v>
      </c>
      <c r="H774" s="717">
        <f t="shared" si="122"/>
        <v>2.8626918373697949E-2</v>
      </c>
      <c r="I774" s="717">
        <f t="shared" si="122"/>
        <v>2.8375533440997854E-2</v>
      </c>
      <c r="J774" s="717">
        <f t="shared" si="122"/>
        <v>2.8092836249242522E-2</v>
      </c>
      <c r="K774" s="717">
        <f t="shared" si="122"/>
        <v>2.7773770259370195E-2</v>
      </c>
      <c r="L774" s="717">
        <f t="shared" si="122"/>
        <v>2.7351212236636904E-2</v>
      </c>
      <c r="M774" s="717">
        <f t="shared" si="122"/>
        <v>2.6897963862265332E-2</v>
      </c>
      <c r="N774" s="717">
        <f t="shared" si="122"/>
        <v>2.5579695995584108E-2</v>
      </c>
    </row>
    <row r="775" spans="1:14" s="354" customFormat="1" ht="15.5">
      <c r="A775"/>
      <c r="B775" s="15"/>
      <c r="C775" s="716" t="s">
        <v>98</v>
      </c>
      <c r="D775" s="1716" t="str">
        <f>INDEX(Vectors[Description], MATCH(XII.a.Outputs[Vector], Vectors[Code], 0))</f>
        <v>Liquid hydrocarbons</v>
      </c>
      <c r="E775" s="716"/>
      <c r="F775" s="717">
        <f t="shared" ref="F775:N775" si="123">-F705</f>
        <v>-23.78774428528865</v>
      </c>
      <c r="G775" s="717">
        <f t="shared" si="123"/>
        <v>-24.551878653673448</v>
      </c>
      <c r="H775" s="717">
        <f t="shared" si="123"/>
        <v>-25.726833869429544</v>
      </c>
      <c r="I775" s="717">
        <f t="shared" si="123"/>
        <v>-25.194579085800736</v>
      </c>
      <c r="J775" s="717">
        <f t="shared" si="123"/>
        <v>-24.472694499482305</v>
      </c>
      <c r="K775" s="717">
        <f t="shared" si="123"/>
        <v>-23.742326498774375</v>
      </c>
      <c r="L775" s="717">
        <f t="shared" si="123"/>
        <v>-22.841251636034144</v>
      </c>
      <c r="M775" s="717">
        <f t="shared" si="123"/>
        <v>-21.986181027253416</v>
      </c>
      <c r="N775" s="717">
        <f t="shared" si="123"/>
        <v>-20.471002429147308</v>
      </c>
    </row>
    <row r="776" spans="1:14" s="354" customFormat="1" ht="15.5">
      <c r="A776"/>
      <c r="B776" s="15"/>
      <c r="C776" s="716" t="s">
        <v>95</v>
      </c>
      <c r="D776" s="1716" t="str">
        <f>INDEX(Vectors[Description], MATCH(XII.a.Outputs[Vector], Vectors[Code], 0))</f>
        <v>Electricity (delivered to end user)</v>
      </c>
      <c r="E776" s="716"/>
      <c r="F776" s="717">
        <f>-F737-F$170</f>
        <v>-7.2483297329708235E-2</v>
      </c>
      <c r="G776" s="717">
        <f>-G737-H$170</f>
        <v>-8.8942421637678293E-2</v>
      </c>
      <c r="H776" s="717">
        <f t="shared" ref="H776:N776" si="124">-H737-I$170</f>
        <v>-0.11407707117919191</v>
      </c>
      <c r="I776" s="717">
        <f t="shared" si="124"/>
        <v>-0.33538018024090949</v>
      </c>
      <c r="J776" s="717">
        <f t="shared" si="124"/>
        <v>-0.56988402892402579</v>
      </c>
      <c r="K776" s="717">
        <f t="shared" si="124"/>
        <v>-0.85486832975631022</v>
      </c>
      <c r="L776" s="717">
        <f t="shared" si="124"/>
        <v>-1.179728224252236</v>
      </c>
      <c r="M776" s="717">
        <f t="shared" si="124"/>
        <v>-1.500922690987198</v>
      </c>
      <c r="N776" s="717">
        <f t="shared" si="124"/>
        <v>-1.6704305219751758</v>
      </c>
    </row>
    <row r="777" spans="1:14" s="354" customFormat="1" ht="15.5">
      <c r="A777" s="4150"/>
      <c r="B777" s="15"/>
      <c r="C777" s="716" t="s">
        <v>99</v>
      </c>
      <c r="D777" s="1716" t="str">
        <f>INDEX(Vectors[Description], MATCH(XII.a.Outputs[Vector], Vectors[Code], 0))</f>
        <v>Gaseous hydrocarbons</v>
      </c>
      <c r="E777" s="716"/>
      <c r="F777" s="717">
        <f t="shared" ref="F777:N777" si="125">-F721</f>
        <v>0</v>
      </c>
      <c r="G777" s="717">
        <f t="shared" si="125"/>
        <v>0</v>
      </c>
      <c r="H777" s="717">
        <f t="shared" si="125"/>
        <v>0</v>
      </c>
      <c r="I777" s="717">
        <f t="shared" si="125"/>
        <v>0</v>
      </c>
      <c r="J777" s="717">
        <f t="shared" si="125"/>
        <v>0</v>
      </c>
      <c r="K777" s="717">
        <f t="shared" si="125"/>
        <v>0</v>
      </c>
      <c r="L777" s="717">
        <f t="shared" si="125"/>
        <v>0</v>
      </c>
      <c r="M777" s="717">
        <f t="shared" si="125"/>
        <v>0</v>
      </c>
      <c r="N777" s="717">
        <f t="shared" si="125"/>
        <v>0</v>
      </c>
    </row>
    <row r="778" spans="1:14" s="354" customFormat="1" ht="15.5">
      <c r="A778"/>
      <c r="B778" s="15"/>
      <c r="C778" s="716" t="s">
        <v>426</v>
      </c>
      <c r="D778" s="1716" t="str">
        <f>INDEX(Vectors[Description], MATCH(XII.a.Outputs[Vector], Vectors[Code], 0))</f>
        <v>H2</v>
      </c>
      <c r="E778" s="716"/>
      <c r="F778" s="717">
        <f t="shared" ref="F778:N778" si="126">-F$753</f>
        <v>0</v>
      </c>
      <c r="G778" s="717">
        <f t="shared" si="126"/>
        <v>0</v>
      </c>
      <c r="H778" s="717">
        <f t="shared" si="126"/>
        <v>0</v>
      </c>
      <c r="I778" s="717">
        <f t="shared" si="126"/>
        <v>0</v>
      </c>
      <c r="J778" s="717">
        <f t="shared" si="126"/>
        <v>0</v>
      </c>
      <c r="K778" s="717">
        <f t="shared" si="126"/>
        <v>0</v>
      </c>
      <c r="L778" s="717">
        <f t="shared" si="126"/>
        <v>0</v>
      </c>
      <c r="M778" s="717">
        <f t="shared" si="126"/>
        <v>0</v>
      </c>
      <c r="N778" s="717">
        <f t="shared" si="126"/>
        <v>0</v>
      </c>
    </row>
    <row r="779" spans="1:14" s="354" customFormat="1" ht="15.5">
      <c r="A779"/>
      <c r="B779" s="15"/>
      <c r="C779" s="2433" t="s">
        <v>58</v>
      </c>
      <c r="D779" s="2433"/>
      <c r="E779" s="2433"/>
      <c r="F779" s="2434">
        <f>SUBTOTAL(109,XII.a.Outputs[2013])</f>
        <v>-6.3837823915946501E-16</v>
      </c>
      <c r="G779" s="2434">
        <f>SUBTOTAL(109,XII.a.Outputs[2015])</f>
        <v>5.5511151231257827E-16</v>
      </c>
      <c r="H779" s="2434">
        <f>SUBTOTAL(109,XII.a.Outputs[2020])</f>
        <v>3.8857805861880479E-16</v>
      </c>
      <c r="I779" s="2434">
        <f>SUBTOTAL(109,XII.a.Outputs[2025])</f>
        <v>1.3877787807814457E-15</v>
      </c>
      <c r="J779" s="2434">
        <f>SUBTOTAL(109,XII.a.Outputs[2030])</f>
        <v>-3.4416913763379853E-15</v>
      </c>
      <c r="K779" s="2434">
        <f>SUBTOTAL(109,XII.a.Outputs[2035])</f>
        <v>6.6613381477509392E-16</v>
      </c>
      <c r="L779" s="2434">
        <f>SUBTOTAL(109,XII.a.Outputs[2040])</f>
        <v>-2.4424906541753444E-15</v>
      </c>
      <c r="M779" s="2434">
        <f>SUBTOTAL(109,XII.a.Outputs[2045])</f>
        <v>1.1102230246251565E-15</v>
      </c>
      <c r="N779" s="2434">
        <f>SUBTOTAL(109,XII.a.Outputs[2050])</f>
        <v>1.5543122344752192E-15</v>
      </c>
    </row>
    <row r="780" spans="1:14" s="354" customFormat="1" ht="15.5">
      <c r="A780"/>
      <c r="B780" s="15"/>
      <c r="C780" s="17"/>
      <c r="D780" s="17"/>
      <c r="E780" s="17"/>
      <c r="F780" s="2431" t="s">
        <v>5</v>
      </c>
      <c r="G780" s="440"/>
      <c r="H780" s="440"/>
      <c r="I780" s="440"/>
      <c r="J780" s="440"/>
      <c r="K780" s="440"/>
      <c r="L780" s="440"/>
      <c r="M780" s="440"/>
      <c r="N780" s="440"/>
    </row>
    <row r="781" spans="1:14" s="354" customFormat="1" ht="15.5">
      <c r="A781"/>
      <c r="B781" s="15"/>
      <c r="C781" s="34" t="s">
        <v>1225</v>
      </c>
      <c r="D781" s="506"/>
      <c r="E781" s="507"/>
      <c r="F781" s="506"/>
      <c r="G781" s="506"/>
      <c r="H781" s="506"/>
      <c r="I781" s="506"/>
      <c r="J781" s="506"/>
      <c r="K781" s="506"/>
      <c r="L781" s="506"/>
      <c r="M781" s="506"/>
      <c r="N781" s="507" t="str">
        <f>Preferences.EnergyUnits</f>
        <v>TWh</v>
      </c>
    </row>
    <row r="782" spans="1:14" s="354" customFormat="1" ht="15.5">
      <c r="A782"/>
      <c r="B782" s="15"/>
      <c r="C782" s="506"/>
      <c r="D782" s="506"/>
      <c r="E782" s="506"/>
      <c r="F782" s="506"/>
      <c r="G782" s="506"/>
      <c r="H782" s="506"/>
      <c r="I782" s="506"/>
      <c r="J782" s="506"/>
      <c r="K782" s="506"/>
      <c r="L782" s="506"/>
      <c r="M782" s="506"/>
      <c r="N782" s="506"/>
    </row>
    <row r="783" spans="1:14" s="354" customFormat="1" ht="15.5">
      <c r="A783"/>
      <c r="B783" s="15"/>
      <c r="C783" s="864" t="s">
        <v>28</v>
      </c>
      <c r="D783" s="864" t="s">
        <v>29</v>
      </c>
      <c r="E783" s="864" t="s">
        <v>30</v>
      </c>
      <c r="F783" s="864" t="s">
        <v>588</v>
      </c>
      <c r="G783" s="864" t="s">
        <v>132</v>
      </c>
      <c r="H783" s="864" t="s">
        <v>133</v>
      </c>
      <c r="I783" s="864" t="s">
        <v>134</v>
      </c>
      <c r="J783" s="864" t="s">
        <v>135</v>
      </c>
      <c r="K783" s="864" t="s">
        <v>136</v>
      </c>
      <c r="L783" s="864" t="s">
        <v>137</v>
      </c>
      <c r="M783" s="864" t="s">
        <v>138</v>
      </c>
      <c r="N783" s="864" t="s">
        <v>139</v>
      </c>
    </row>
    <row r="784" spans="1:14" s="354" customFormat="1" ht="15.5">
      <c r="A784"/>
      <c r="B784" s="15"/>
      <c r="C784" s="17" t="s">
        <v>409</v>
      </c>
      <c r="D784" s="2457" t="str">
        <f>INDEX(Vectors[Description], MATCH(XII.a.Road.Outputs[Vector], Vectors[Code], 0))</f>
        <v>Road transport</v>
      </c>
      <c r="E784" s="17"/>
      <c r="F784" s="22">
        <f t="shared" ref="F784:N784" si="127">F757</f>
        <v>23.346450229689417</v>
      </c>
      <c r="G784" s="22">
        <f t="shared" si="127"/>
        <v>24.012607645877271</v>
      </c>
      <c r="H784" s="22">
        <f t="shared" si="127"/>
        <v>25.219695965736182</v>
      </c>
      <c r="I784" s="22">
        <f t="shared" si="127"/>
        <v>24.927181882233228</v>
      </c>
      <c r="J784" s="22">
        <f t="shared" si="127"/>
        <v>24.459915681214994</v>
      </c>
      <c r="K784" s="22">
        <f t="shared" si="127"/>
        <v>24.036435649412958</v>
      </c>
      <c r="L784" s="22">
        <f t="shared" si="127"/>
        <v>23.485168305437998</v>
      </c>
      <c r="M784" s="22">
        <f t="shared" si="127"/>
        <v>22.977819262804069</v>
      </c>
      <c r="N784" s="22">
        <f t="shared" si="127"/>
        <v>21.697953571852743</v>
      </c>
    </row>
    <row r="785" spans="1:14" s="354" customFormat="1" ht="15.5">
      <c r="A785"/>
      <c r="B785" s="15"/>
      <c r="C785" s="17" t="s">
        <v>98</v>
      </c>
      <c r="D785" s="2457" t="str">
        <f>INDEX(Vectors[Description], MATCH(XII.a.Road.Outputs[Vector], Vectors[Code], 0))</f>
        <v>Liquid hydrocarbons</v>
      </c>
      <c r="E785" s="17"/>
      <c r="F785" s="22">
        <f t="shared" ref="F785:N785" si="128">-SUM(F693:F701)</f>
        <v>-23.346450229689417</v>
      </c>
      <c r="G785" s="22">
        <f t="shared" si="128"/>
        <v>-23.992695276047549</v>
      </c>
      <c r="H785" s="22">
        <f t="shared" si="128"/>
        <v>-25.174697966626962</v>
      </c>
      <c r="I785" s="22">
        <f t="shared" si="128"/>
        <v>-24.66006475636943</v>
      </c>
      <c r="J785" s="22">
        <f t="shared" si="128"/>
        <v>-23.957375776771212</v>
      </c>
      <c r="K785" s="22">
        <f t="shared" si="128"/>
        <v>-23.247879751389661</v>
      </c>
      <c r="L785" s="22">
        <f t="shared" si="128"/>
        <v>-22.370504156551849</v>
      </c>
      <c r="M785" s="22">
        <f t="shared" si="128"/>
        <v>-21.540609259639229</v>
      </c>
      <c r="N785" s="22">
        <f t="shared" si="128"/>
        <v>-20.06528945182427</v>
      </c>
    </row>
    <row r="786" spans="1:14" s="354" customFormat="1" ht="15.5">
      <c r="A786"/>
      <c r="B786" s="15"/>
      <c r="C786" s="17" t="s">
        <v>95</v>
      </c>
      <c r="D786" s="2457" t="str">
        <f>INDEX(Vectors[Description], MATCH(XII.a.Road.Outputs[Vector], Vectors[Code], 0))</f>
        <v>Electricity (delivered to end user)</v>
      </c>
      <c r="E786" s="17"/>
      <c r="F786" s="22">
        <f t="shared" ref="F786:N786" si="129">-SUM(F725:F733)</f>
        <v>0</v>
      </c>
      <c r="G786" s="22">
        <f>-SUM(G725:G733)</f>
        <v>-1.991236982972043E-2</v>
      </c>
      <c r="H786" s="22">
        <f t="shared" si="129"/>
        <v>-4.4997999109221511E-2</v>
      </c>
      <c r="I786" s="22">
        <f t="shared" si="129"/>
        <v>-0.26711712586379782</v>
      </c>
      <c r="J786" s="22">
        <f t="shared" si="129"/>
        <v>-0.50253990444378371</v>
      </c>
      <c r="K786" s="22">
        <f t="shared" si="129"/>
        <v>-0.78855589802329606</v>
      </c>
      <c r="L786" s="22">
        <f t="shared" si="129"/>
        <v>-1.1146641488861493</v>
      </c>
      <c r="M786" s="22">
        <f t="shared" si="129"/>
        <v>-1.4372100031648383</v>
      </c>
      <c r="N786" s="22">
        <f t="shared" si="129"/>
        <v>-1.6326641200284708</v>
      </c>
    </row>
    <row r="787" spans="1:14" s="354" customFormat="1" ht="15.5">
      <c r="A787" s="4150"/>
      <c r="B787" s="15"/>
      <c r="C787" s="17" t="s">
        <v>99</v>
      </c>
      <c r="D787" s="2457" t="str">
        <f>INDEX(Vectors[Description], MATCH(XII.a.Road.Outputs[Vector], Vectors[Code], 0))</f>
        <v>Gaseous hydrocarbons</v>
      </c>
      <c r="E787" s="17"/>
      <c r="F787" s="22">
        <f t="shared" ref="F787:N787" si="130">-SUM(F709:F717)</f>
        <v>0</v>
      </c>
      <c r="G787" s="22">
        <f t="shared" si="130"/>
        <v>0</v>
      </c>
      <c r="H787" s="22">
        <f t="shared" si="130"/>
        <v>0</v>
      </c>
      <c r="I787" s="22">
        <f t="shared" si="130"/>
        <v>0</v>
      </c>
      <c r="J787" s="22">
        <f t="shared" si="130"/>
        <v>0</v>
      </c>
      <c r="K787" s="22">
        <f t="shared" si="130"/>
        <v>0</v>
      </c>
      <c r="L787" s="22">
        <f t="shared" si="130"/>
        <v>0</v>
      </c>
      <c r="M787" s="22">
        <f t="shared" si="130"/>
        <v>0</v>
      </c>
      <c r="N787" s="22">
        <f t="shared" si="130"/>
        <v>0</v>
      </c>
    </row>
    <row r="788" spans="1:14" s="354" customFormat="1" ht="15.5">
      <c r="A788"/>
      <c r="B788" s="15"/>
      <c r="C788" s="17" t="s">
        <v>426</v>
      </c>
      <c r="D788" s="2457" t="str">
        <f>INDEX(Vectors[Description], MATCH(XII.a.Road.Outputs[Vector], Vectors[Code], 0))</f>
        <v>H2</v>
      </c>
      <c r="E788" s="17"/>
      <c r="F788" s="22">
        <f>-SUM(F741:F749)</f>
        <v>0</v>
      </c>
      <c r="G788" s="22">
        <f>-SUM(G741:G749)</f>
        <v>0</v>
      </c>
      <c r="H788" s="22">
        <f t="shared" ref="H788:N788" si="131">-SUM(H741:H749)</f>
        <v>0</v>
      </c>
      <c r="I788" s="22">
        <f t="shared" si="131"/>
        <v>0</v>
      </c>
      <c r="J788" s="22">
        <f t="shared" si="131"/>
        <v>0</v>
      </c>
      <c r="K788" s="22">
        <f t="shared" si="131"/>
        <v>0</v>
      </c>
      <c r="L788" s="22">
        <f t="shared" si="131"/>
        <v>0</v>
      </c>
      <c r="M788" s="22">
        <f t="shared" si="131"/>
        <v>0</v>
      </c>
      <c r="N788" s="22">
        <f t="shared" si="131"/>
        <v>0</v>
      </c>
    </row>
    <row r="789" spans="1:14" s="354" customFormat="1" ht="15.5">
      <c r="A789"/>
      <c r="B789" s="15"/>
      <c r="C789" s="2432" t="s">
        <v>58</v>
      </c>
      <c r="D789" s="2432"/>
      <c r="E789" s="2432"/>
      <c r="F789" s="2435">
        <f>SUBTOTAL(109,XII.a.Road.Outputs[2013])</f>
        <v>0</v>
      </c>
      <c r="G789" s="2435">
        <f>SUBTOTAL(109,XII.a.Road.Outputs[2015])</f>
        <v>1.6792123247455493E-15</v>
      </c>
      <c r="H789" s="2435">
        <f>SUBTOTAL(109,XII.a.Road.Outputs[2020])</f>
        <v>-8.6736173798840355E-16</v>
      </c>
      <c r="I789" s="2435">
        <f>SUBTOTAL(109,XII.a.Road.Outputs[2025])</f>
        <v>4.9960036108132044E-16</v>
      </c>
      <c r="J789" s="2435">
        <f>SUBTOTAL(109,XII.a.Road.Outputs[2030])</f>
        <v>-1.1102230246251565E-15</v>
      </c>
      <c r="K789" s="2435">
        <f>SUBTOTAL(109,XII.a.Road.Outputs[2035])</f>
        <v>1.1102230246251565E-15</v>
      </c>
      <c r="L789" s="2435">
        <f>SUBTOTAL(109,XII.a.Road.Outputs[2040])</f>
        <v>-2.2204460492503131E-16</v>
      </c>
      <c r="M789" s="2435">
        <f>SUBTOTAL(109,XII.a.Road.Outputs[2045])</f>
        <v>1.1102230246251565E-15</v>
      </c>
      <c r="N789" s="2435">
        <f>SUBTOTAL(109,XII.a.Road.Outputs[2050])</f>
        <v>1.7763568394002505E-15</v>
      </c>
    </row>
    <row r="790" spans="1:14" s="354" customFormat="1" ht="15.5">
      <c r="A790"/>
      <c r="B790" s="15"/>
      <c r="C790" s="17"/>
      <c r="D790" s="17"/>
      <c r="E790" s="17"/>
      <c r="F790" s="440"/>
      <c r="G790" s="440"/>
      <c r="H790" s="440"/>
      <c r="I790" s="440"/>
      <c r="J790" s="440"/>
      <c r="K790" s="440"/>
      <c r="L790" s="440"/>
      <c r="M790" s="440"/>
      <c r="N790" s="440"/>
    </row>
    <row r="791" spans="1:14" s="354" customFormat="1" ht="15.5">
      <c r="A791"/>
      <c r="B791" s="15"/>
      <c r="C791" s="34" t="s">
        <v>1226</v>
      </c>
      <c r="D791" s="506"/>
      <c r="E791" s="507"/>
      <c r="F791" s="506"/>
      <c r="G791" s="506"/>
      <c r="H791" s="506"/>
      <c r="I791" s="506"/>
      <c r="J791" s="506"/>
      <c r="K791" s="506"/>
      <c r="L791" s="506"/>
      <c r="M791" s="506"/>
      <c r="N791" s="507" t="str">
        <f>Preferences.EnergyUnits</f>
        <v>TWh</v>
      </c>
    </row>
    <row r="792" spans="1:14" s="354" customFormat="1" ht="15.5">
      <c r="A792"/>
      <c r="B792" s="15"/>
      <c r="C792" s="506"/>
      <c r="D792" s="506"/>
      <c r="E792" s="506"/>
      <c r="F792" s="506"/>
      <c r="G792" s="506"/>
      <c r="H792" s="506"/>
      <c r="I792" s="506"/>
      <c r="J792" s="506"/>
      <c r="K792" s="506"/>
      <c r="L792" s="506"/>
      <c r="M792" s="506"/>
      <c r="N792" s="506"/>
    </row>
    <row r="793" spans="1:14" s="354" customFormat="1" ht="15.5">
      <c r="A793"/>
      <c r="B793" s="15"/>
      <c r="C793" s="864" t="s">
        <v>28</v>
      </c>
      <c r="D793" s="864" t="s">
        <v>29</v>
      </c>
      <c r="E793" s="864" t="s">
        <v>30</v>
      </c>
      <c r="F793" s="864" t="s">
        <v>588</v>
      </c>
      <c r="G793" s="864" t="s">
        <v>132</v>
      </c>
      <c r="H793" s="864" t="s">
        <v>133</v>
      </c>
      <c r="I793" s="864" t="s">
        <v>134</v>
      </c>
      <c r="J793" s="864" t="s">
        <v>135</v>
      </c>
      <c r="K793" s="864" t="s">
        <v>136</v>
      </c>
      <c r="L793" s="864" t="s">
        <v>137</v>
      </c>
      <c r="M793" s="864" t="s">
        <v>138</v>
      </c>
      <c r="N793" s="864" t="s">
        <v>139</v>
      </c>
    </row>
    <row r="794" spans="1:14" s="354" customFormat="1" ht="15.5">
      <c r="A794"/>
      <c r="B794" s="15"/>
      <c r="C794" s="17" t="s">
        <v>410</v>
      </c>
      <c r="D794" s="2457" t="str">
        <f>INDEX(Vectors[Description], MATCH(XII.a.Rail.Outputs[Vector], Vectors[Code], 0))</f>
        <v>Rail transport</v>
      </c>
      <c r="E794" s="17"/>
      <c r="F794" s="22">
        <f>F758+F$170</f>
        <v>0.48659756774139867</v>
      </c>
      <c r="G794" s="22">
        <f t="shared" ref="G794:N794" si="132">G758+H$170</f>
        <v>0.59952511200834724</v>
      </c>
      <c r="H794" s="22">
        <f t="shared" si="132"/>
        <v>0.59258805649885726</v>
      </c>
      <c r="I794" s="22">
        <f t="shared" si="132"/>
        <v>0.57440185036742153</v>
      </c>
      <c r="J794" s="22">
        <f t="shared" si="132"/>
        <v>0.55457001094209124</v>
      </c>
      <c r="K794" s="22">
        <f t="shared" si="132"/>
        <v>0.53298540885835932</v>
      </c>
      <c r="L794" s="22">
        <f t="shared" si="132"/>
        <v>0.50846034261174167</v>
      </c>
      <c r="M794" s="22">
        <f t="shared" si="132"/>
        <v>0.48238649157428115</v>
      </c>
      <c r="N794" s="22">
        <f t="shared" si="132"/>
        <v>0.41789968327415872</v>
      </c>
    </row>
    <row r="795" spans="1:14" s="354" customFormat="1" ht="15.5">
      <c r="A795"/>
      <c r="B795" s="15"/>
      <c r="C795" s="17" t="s">
        <v>98</v>
      </c>
      <c r="D795" s="2457" t="str">
        <f>INDEX(Vectors[Description], MATCH(XII.a.Rail.Outputs[Vector], Vectors[Code], 0))</f>
        <v>Liquid hydrocarbons</v>
      </c>
      <c r="E795" s="17"/>
      <c r="F795" s="22">
        <f t="shared" ref="F795:N795" si="133">-SUM(F702:F703)</f>
        <v>-0.41411427041169041</v>
      </c>
      <c r="G795" s="22">
        <f t="shared" si="133"/>
        <v>-0.53049506020038939</v>
      </c>
      <c r="H795" s="22">
        <f t="shared" si="133"/>
        <v>-0.52350898442888694</v>
      </c>
      <c r="I795" s="22">
        <f t="shared" si="133"/>
        <v>-0.50613879599030986</v>
      </c>
      <c r="J795" s="22">
        <f t="shared" si="133"/>
        <v>-0.48722588646184917</v>
      </c>
      <c r="K795" s="22">
        <f t="shared" si="133"/>
        <v>-0.46667297712534517</v>
      </c>
      <c r="L795" s="22">
        <f t="shared" si="133"/>
        <v>-0.44339626724565506</v>
      </c>
      <c r="M795" s="22">
        <f t="shared" si="133"/>
        <v>-0.41867380375192143</v>
      </c>
      <c r="N795" s="22">
        <f t="shared" si="133"/>
        <v>-0.38013328132745361</v>
      </c>
    </row>
    <row r="796" spans="1:14" s="354" customFormat="1" ht="15.5">
      <c r="A796"/>
      <c r="B796" s="15"/>
      <c r="C796" s="17" t="s">
        <v>95</v>
      </c>
      <c r="D796" s="2457" t="str">
        <f>INDEX(Vectors[Description], MATCH(XII.a.Rail.Outputs[Vector], Vectors[Code], 0))</f>
        <v>Electricity (delivered to end user)</v>
      </c>
      <c r="E796" s="17"/>
      <c r="F796" s="22">
        <f>-(SUM(F734:F735)+F170)</f>
        <v>-7.2483297329708235E-2</v>
      </c>
      <c r="G796" s="22">
        <f t="shared" ref="G796:N796" si="134">-(SUM(G734:G735)+H170)</f>
        <v>-6.9030051807957862E-2</v>
      </c>
      <c r="H796" s="22">
        <f t="shared" si="134"/>
        <v>-6.9079072069970396E-2</v>
      </c>
      <c r="I796" s="22">
        <f t="shared" si="134"/>
        <v>-6.8263054377111665E-2</v>
      </c>
      <c r="J796" s="22">
        <f t="shared" si="134"/>
        <v>-6.7344124480242087E-2</v>
      </c>
      <c r="K796" s="22">
        <f t="shared" si="134"/>
        <v>-6.631243173301421E-2</v>
      </c>
      <c r="L796" s="22">
        <f t="shared" si="134"/>
        <v>-6.5064075366086604E-2</v>
      </c>
      <c r="M796" s="22">
        <f t="shared" si="134"/>
        <v>-6.371268782235974E-2</v>
      </c>
      <c r="N796" s="22">
        <f t="shared" si="134"/>
        <v>-3.7766401946705087E-2</v>
      </c>
    </row>
    <row r="797" spans="1:14" s="354" customFormat="1" ht="15.5">
      <c r="A797"/>
      <c r="B797" s="15"/>
      <c r="C797" s="17" t="s">
        <v>426</v>
      </c>
      <c r="D797" s="2457" t="str">
        <f>INDEX(Vectors[Description], MATCH(XII.a.Rail.Outputs[Vector], Vectors[Code], 0))</f>
        <v>H2</v>
      </c>
      <c r="E797" s="17"/>
      <c r="F797" s="22">
        <v>0</v>
      </c>
      <c r="G797" s="22">
        <v>0</v>
      </c>
      <c r="H797" s="22">
        <v>0</v>
      </c>
      <c r="I797" s="22">
        <v>0</v>
      </c>
      <c r="J797" s="22">
        <v>0</v>
      </c>
      <c r="K797" s="22">
        <v>0</v>
      </c>
      <c r="L797" s="22">
        <v>0</v>
      </c>
      <c r="M797" s="22">
        <v>0</v>
      </c>
      <c r="N797" s="22">
        <v>0</v>
      </c>
    </row>
    <row r="798" spans="1:14" s="354" customFormat="1" ht="15.5">
      <c r="A798"/>
      <c r="B798" s="15"/>
      <c r="C798" s="2432" t="s">
        <v>58</v>
      </c>
      <c r="D798" s="2432"/>
      <c r="E798" s="2432"/>
      <c r="F798" s="2435">
        <f>SUBTOTAL(109,XII.a.Rail.Outputs[2013])</f>
        <v>2.7755575615628914E-17</v>
      </c>
      <c r="G798" s="2435">
        <f>SUBTOTAL(109,XII.a.Rail.Outputs[2015])</f>
        <v>-1.3877787807814457E-17</v>
      </c>
      <c r="H798" s="2435">
        <f>SUBTOTAL(109,XII.a.Rail.Outputs[2020])</f>
        <v>-6.9388939039072284E-17</v>
      </c>
      <c r="I798" s="2435">
        <f>SUBTOTAL(109,XII.a.Rail.Outputs[2025])</f>
        <v>0</v>
      </c>
      <c r="J798" s="2435">
        <f>SUBTOTAL(109,XII.a.Rail.Outputs[2030])</f>
        <v>-1.3877787807814457E-17</v>
      </c>
      <c r="K798" s="2435">
        <f>SUBTOTAL(109,XII.a.Rail.Outputs[2035])</f>
        <v>-5.5511151231257827E-17</v>
      </c>
      <c r="L798" s="2435">
        <f>SUBTOTAL(109,XII.a.Rail.Outputs[2040])</f>
        <v>0</v>
      </c>
      <c r="M798" s="2435">
        <f>SUBTOTAL(109,XII.a.Rail.Outputs[2045])</f>
        <v>-1.3877787807814457E-17</v>
      </c>
      <c r="N798" s="2435">
        <f>SUBTOTAL(109,XII.a.Rail.Outputs[2050])</f>
        <v>2.0816681711721685E-17</v>
      </c>
    </row>
    <row r="799" spans="1:14" s="354" customFormat="1" ht="15.5">
      <c r="A799"/>
      <c r="B799" s="15"/>
      <c r="C799" s="17"/>
      <c r="D799" s="17"/>
      <c r="E799" s="17"/>
      <c r="F799" s="440"/>
      <c r="G799" s="440"/>
      <c r="H799" s="440"/>
      <c r="I799" s="440"/>
      <c r="J799" s="440"/>
      <c r="K799" s="440"/>
      <c r="L799" s="440"/>
      <c r="M799" s="440"/>
      <c r="N799" s="440"/>
    </row>
    <row r="800" spans="1:14" s="354" customFormat="1" ht="15.5">
      <c r="A800"/>
      <c r="B800" s="15"/>
      <c r="C800" s="34" t="s">
        <v>1227</v>
      </c>
      <c r="D800" s="506"/>
      <c r="E800" s="507"/>
      <c r="F800" s="506"/>
      <c r="G800" s="506"/>
      <c r="H800" s="506"/>
      <c r="I800" s="506"/>
      <c r="J800" s="506"/>
      <c r="K800" s="506"/>
      <c r="L800" s="506"/>
      <c r="M800" s="506"/>
      <c r="N800" s="507" t="str">
        <f>Preferences.EnergyUnits</f>
        <v>TWh</v>
      </c>
    </row>
    <row r="801" spans="1:16" s="354" customFormat="1" ht="15.5">
      <c r="A801"/>
      <c r="B801" s="15"/>
      <c r="C801" s="506"/>
      <c r="D801" s="506"/>
      <c r="E801" s="506"/>
      <c r="F801" s="506"/>
      <c r="G801" s="506"/>
      <c r="H801" s="506"/>
      <c r="I801" s="506"/>
      <c r="J801" s="506"/>
      <c r="K801" s="506"/>
      <c r="L801" s="506"/>
      <c r="M801" s="506"/>
      <c r="N801" s="506"/>
    </row>
    <row r="802" spans="1:16" s="354" customFormat="1" ht="15.5">
      <c r="A802"/>
      <c r="B802" s="15"/>
      <c r="C802" s="1740" t="s">
        <v>28</v>
      </c>
      <c r="D802" s="1740" t="s">
        <v>29</v>
      </c>
      <c r="E802" s="1740" t="s">
        <v>30</v>
      </c>
      <c r="F802" s="1740" t="s">
        <v>588</v>
      </c>
      <c r="G802" s="1740" t="s">
        <v>132</v>
      </c>
      <c r="H802" s="1740" t="s">
        <v>133</v>
      </c>
      <c r="I802" s="1740" t="s">
        <v>134</v>
      </c>
      <c r="J802" s="1740" t="s">
        <v>135</v>
      </c>
      <c r="K802" s="1740" t="s">
        <v>136</v>
      </c>
      <c r="L802" s="1740" t="s">
        <v>137</v>
      </c>
      <c r="M802" s="1740" t="s">
        <v>138</v>
      </c>
      <c r="N802" s="1740" t="s">
        <v>139</v>
      </c>
    </row>
    <row r="803" spans="1:16" s="354" customFormat="1" ht="15.5">
      <c r="A803"/>
      <c r="B803" s="15"/>
      <c r="C803" s="716" t="s">
        <v>411</v>
      </c>
      <c r="D803" s="1716" t="str">
        <f>INDEX(Vectors[Description], MATCH(XII.a.Aviation.Outputs[Vector], Vectors[Code], 0))</f>
        <v>Domestic aviation</v>
      </c>
      <c r="E803" s="716"/>
      <c r="F803" s="717">
        <f t="shared" ref="F803:N803" si="135">F759</f>
        <v>2.7179785187540276E-2</v>
      </c>
      <c r="G803" s="717">
        <f t="shared" si="135"/>
        <v>2.8688317425508068E-2</v>
      </c>
      <c r="H803" s="717">
        <f t="shared" si="135"/>
        <v>2.8626918373697949E-2</v>
      </c>
      <c r="I803" s="717">
        <f t="shared" si="135"/>
        <v>2.8375533440997854E-2</v>
      </c>
      <c r="J803" s="717">
        <f t="shared" si="135"/>
        <v>2.8092836249242522E-2</v>
      </c>
      <c r="K803" s="717">
        <f t="shared" si="135"/>
        <v>2.7773770259370195E-2</v>
      </c>
      <c r="L803" s="717">
        <f t="shared" si="135"/>
        <v>2.7351212236636904E-2</v>
      </c>
      <c r="M803" s="717">
        <f t="shared" si="135"/>
        <v>2.6897963862265332E-2</v>
      </c>
      <c r="N803" s="717">
        <f t="shared" si="135"/>
        <v>2.5579695995584108E-2</v>
      </c>
    </row>
    <row r="804" spans="1:16" s="354" customFormat="1" ht="15.5">
      <c r="A804"/>
      <c r="B804" s="15"/>
      <c r="C804" s="716" t="s">
        <v>98</v>
      </c>
      <c r="D804" s="1716" t="str">
        <f>INDEX(Vectors[Description], MATCH(XII.a.Aviation.Outputs[Vector], Vectors[Code], 0))</f>
        <v>Liquid hydrocarbons</v>
      </c>
      <c r="E804" s="716"/>
      <c r="F804" s="717">
        <f t="shared" ref="F804:N804" si="136">-F704</f>
        <v>-2.7179785187540276E-2</v>
      </c>
      <c r="G804" s="717">
        <f t="shared" si="136"/>
        <v>-2.8688317425508068E-2</v>
      </c>
      <c r="H804" s="717">
        <f t="shared" si="136"/>
        <v>-2.8626918373697949E-2</v>
      </c>
      <c r="I804" s="717">
        <f t="shared" si="136"/>
        <v>-2.8375533440997854E-2</v>
      </c>
      <c r="J804" s="717">
        <f t="shared" si="136"/>
        <v>-2.8092836249242522E-2</v>
      </c>
      <c r="K804" s="717">
        <f t="shared" si="136"/>
        <v>-2.7773770259370195E-2</v>
      </c>
      <c r="L804" s="717">
        <f t="shared" si="136"/>
        <v>-2.7351212236636904E-2</v>
      </c>
      <c r="M804" s="717">
        <f t="shared" si="136"/>
        <v>-2.6897963862265332E-2</v>
      </c>
      <c r="N804" s="717">
        <f t="shared" si="136"/>
        <v>-2.5579695995584108E-2</v>
      </c>
    </row>
    <row r="805" spans="1:16" s="354" customFormat="1" ht="15.5">
      <c r="A805" s="434"/>
      <c r="B805" s="15"/>
      <c r="C805" s="716" t="s">
        <v>95</v>
      </c>
      <c r="D805" s="1716" t="str">
        <f>INDEX(Vectors[Description], MATCH(XII.a.Aviation.Outputs[Vector], Vectors[Code], 0))</f>
        <v>Electricity (delivered to end user)</v>
      </c>
      <c r="E805" s="716"/>
      <c r="F805" s="717">
        <v>0</v>
      </c>
      <c r="G805" s="717">
        <v>0</v>
      </c>
      <c r="H805" s="717">
        <v>0</v>
      </c>
      <c r="I805" s="717">
        <v>0</v>
      </c>
      <c r="J805" s="717">
        <v>0</v>
      </c>
      <c r="K805" s="717">
        <v>0</v>
      </c>
      <c r="L805" s="717">
        <v>0</v>
      </c>
      <c r="M805" s="717">
        <v>0</v>
      </c>
      <c r="N805" s="717">
        <v>0</v>
      </c>
    </row>
    <row r="806" spans="1:16" s="399" customFormat="1" ht="15.5">
      <c r="A806" s="1620"/>
      <c r="B806" s="35"/>
      <c r="C806" s="716" t="s">
        <v>426</v>
      </c>
      <c r="D806" s="1716" t="str">
        <f>INDEX(Vectors[Description], MATCH(XII.a.Aviation.Outputs[Vector], Vectors[Code], 0))</f>
        <v>H2</v>
      </c>
      <c r="E806" s="716"/>
      <c r="F806" s="717">
        <v>0</v>
      </c>
      <c r="G806" s="717">
        <v>0</v>
      </c>
      <c r="H806" s="717">
        <v>0</v>
      </c>
      <c r="I806" s="717">
        <v>0</v>
      </c>
      <c r="J806" s="717">
        <v>0</v>
      </c>
      <c r="K806" s="717">
        <v>0</v>
      </c>
      <c r="L806" s="717">
        <v>0</v>
      </c>
      <c r="M806" s="717">
        <v>0</v>
      </c>
      <c r="N806" s="717">
        <v>0</v>
      </c>
      <c r="O806" s="39"/>
    </row>
    <row r="807" spans="1:16" s="354" customFormat="1" ht="15.5">
      <c r="A807" s="2"/>
      <c r="B807" s="35"/>
      <c r="C807" s="2433" t="s">
        <v>58</v>
      </c>
      <c r="D807" s="2433"/>
      <c r="E807" s="2433"/>
      <c r="F807" s="2434">
        <f>SUBTOTAL(109,XII.a.Aviation.Outputs[2013])</f>
        <v>0</v>
      </c>
      <c r="G807" s="2434">
        <f>SUBTOTAL(109,XII.a.Aviation.Outputs[2015])</f>
        <v>0</v>
      </c>
      <c r="H807" s="2434">
        <f>SUBTOTAL(109,XII.a.Aviation.Outputs[2020])</f>
        <v>0</v>
      </c>
      <c r="I807" s="2434">
        <f>SUBTOTAL(109,XII.a.Aviation.Outputs[2025])</f>
        <v>0</v>
      </c>
      <c r="J807" s="2434">
        <f>SUBTOTAL(109,XII.a.Aviation.Outputs[2030])</f>
        <v>0</v>
      </c>
      <c r="K807" s="2434">
        <f>SUBTOTAL(109,XII.a.Aviation.Outputs[2035])</f>
        <v>0</v>
      </c>
      <c r="L807" s="2434">
        <f>SUBTOTAL(109,XII.a.Aviation.Outputs[2040])</f>
        <v>0</v>
      </c>
      <c r="M807" s="2434">
        <f>SUBTOTAL(109,XII.a.Aviation.Outputs[2045])</f>
        <v>0</v>
      </c>
      <c r="N807" s="2434">
        <f>SUBTOTAL(109,XII.a.Aviation.Outputs[2050])</f>
        <v>0</v>
      </c>
      <c r="O807"/>
    </row>
    <row r="808" spans="1:16" s="354" customFormat="1" ht="15.5">
      <c r="A808"/>
      <c r="B808" s="35"/>
      <c r="C808" s="443"/>
      <c r="D808" s="443"/>
      <c r="E808" s="443"/>
      <c r="F808" s="443"/>
      <c r="G808" s="443"/>
      <c r="H808" s="443"/>
      <c r="I808" s="443"/>
      <c r="J808" s="443"/>
      <c r="K808" s="443"/>
      <c r="L808" s="443"/>
      <c r="M808" s="443"/>
      <c r="N808" s="443"/>
      <c r="O808"/>
    </row>
    <row r="809" spans="1:16" s="354" customFormat="1">
      <c r="A809"/>
      <c r="B809"/>
      <c r="C809" s="39" t="s">
        <v>5</v>
      </c>
      <c r="D809" s="39"/>
      <c r="E809" s="39"/>
      <c r="F809" s="39"/>
      <c r="G809" s="39"/>
      <c r="H809" s="39"/>
      <c r="I809" s="39"/>
      <c r="J809" s="39"/>
      <c r="K809" s="39"/>
      <c r="L809" s="39"/>
      <c r="M809" s="39"/>
      <c r="N809" s="39"/>
      <c r="O809"/>
    </row>
    <row r="810" spans="1:16" s="354" customFormat="1" ht="23.5">
      <c r="A810" s="7"/>
      <c r="B810" s="1119"/>
      <c r="C810" s="1119"/>
      <c r="D810" s="1120"/>
      <c r="E810" s="1120"/>
      <c r="F810" s="1120"/>
      <c r="G810" s="1120"/>
      <c r="H810" s="1120"/>
      <c r="I810" s="1120"/>
      <c r="J810" s="1120"/>
      <c r="K810" s="1120"/>
      <c r="L810" s="1120"/>
      <c r="M810" s="1120"/>
      <c r="N810" s="1120"/>
      <c r="O810"/>
      <c r="P810" s="354" t="s">
        <v>5</v>
      </c>
    </row>
    <row r="811" spans="1:16" s="354" customFormat="1" ht="15.5">
      <c r="A811"/>
      <c r="B811" s="458"/>
      <c r="C811" s="1123"/>
      <c r="D811" s="1123"/>
      <c r="E811" s="1123"/>
      <c r="F811" s="1123"/>
      <c r="G811" s="1123"/>
      <c r="H811" s="1123"/>
      <c r="I811" s="1123"/>
      <c r="J811" s="1123"/>
      <c r="K811" s="1123"/>
      <c r="L811" s="1123"/>
      <c r="M811" s="1123"/>
      <c r="N811" s="1123"/>
      <c r="O811"/>
    </row>
    <row r="812" spans="1:16" s="354" customFormat="1" ht="15.5">
      <c r="A812"/>
      <c r="B812" s="458"/>
      <c r="C812" s="453" t="s">
        <v>1228</v>
      </c>
      <c r="D812" s="1126"/>
      <c r="E812" s="1127"/>
      <c r="F812" s="1126"/>
      <c r="G812" s="1126"/>
      <c r="H812" s="1126"/>
      <c r="I812" s="1126"/>
      <c r="J812" s="1126"/>
      <c r="K812" s="1126"/>
      <c r="L812" s="1126"/>
      <c r="M812" s="1126"/>
      <c r="N812" s="1127" t="s">
        <v>251</v>
      </c>
      <c r="O812"/>
    </row>
    <row r="813" spans="1:16" s="354" customFormat="1" ht="15.5">
      <c r="A813"/>
      <c r="B813" s="458"/>
      <c r="C813" s="1126"/>
      <c r="D813" s="1126"/>
      <c r="E813" s="1126"/>
      <c r="F813" s="1126"/>
      <c r="G813" s="1126"/>
      <c r="H813" s="1126"/>
      <c r="I813" s="1126"/>
      <c r="J813" s="1126"/>
      <c r="K813" s="1126"/>
      <c r="L813" s="1126"/>
      <c r="M813" s="1126"/>
      <c r="N813" s="1126"/>
      <c r="O813"/>
    </row>
    <row r="814" spans="1:16" s="354" customFormat="1" ht="15.5">
      <c r="A814"/>
      <c r="B814" s="458"/>
      <c r="C814" s="1327" t="s">
        <v>302</v>
      </c>
      <c r="D814" s="1327" t="s">
        <v>303</v>
      </c>
      <c r="E814" s="1327" t="s">
        <v>30</v>
      </c>
      <c r="F814" s="1327" t="s">
        <v>588</v>
      </c>
      <c r="G814" s="1327" t="s">
        <v>132</v>
      </c>
      <c r="H814" s="1327" t="s">
        <v>133</v>
      </c>
      <c r="I814" s="1327" t="s">
        <v>134</v>
      </c>
      <c r="J814" s="1327" t="s">
        <v>135</v>
      </c>
      <c r="K814" s="1327" t="s">
        <v>136</v>
      </c>
      <c r="L814" s="1327" t="s">
        <v>137</v>
      </c>
      <c r="M814" s="1327" t="s">
        <v>138</v>
      </c>
      <c r="N814" s="1327" t="s">
        <v>139</v>
      </c>
      <c r="O814"/>
    </row>
    <row r="815" spans="1:16" s="354" customFormat="1" ht="15.5">
      <c r="A815"/>
      <c r="B815" s="458"/>
      <c r="C815" s="1131" t="s">
        <v>250</v>
      </c>
      <c r="D815" s="1132" t="s">
        <v>304</v>
      </c>
      <c r="E815" s="1131" t="s">
        <v>305</v>
      </c>
      <c r="F815" s="461">
        <f>F763</f>
        <v>6.2771099620019672</v>
      </c>
      <c r="G815" s="461">
        <f t="shared" ref="G815:N815" si="137">G$763</f>
        <v>6.4787497391313478</v>
      </c>
      <c r="H815" s="461">
        <f t="shared" si="137"/>
        <v>6.7887969214650665</v>
      </c>
      <c r="I815" s="461">
        <f t="shared" si="137"/>
        <v>6.6483455291610971</v>
      </c>
      <c r="J815" s="461">
        <f t="shared" si="137"/>
        <v>6.4578546245233897</v>
      </c>
      <c r="K815" s="461">
        <f t="shared" si="137"/>
        <v>6.2651251164965807</v>
      </c>
      <c r="L815" s="461">
        <f t="shared" si="137"/>
        <v>6.0273494817166888</v>
      </c>
      <c r="M815" s="461">
        <f t="shared" si="137"/>
        <v>5.80171344947163</v>
      </c>
      <c r="N815" s="461">
        <f t="shared" si="137"/>
        <v>5.4018881210033909</v>
      </c>
      <c r="O815"/>
    </row>
    <row r="816" spans="1:16" s="354" customFormat="1" ht="15.5">
      <c r="A816"/>
      <c r="B816" s="458"/>
      <c r="C816" s="1131" t="s">
        <v>252</v>
      </c>
      <c r="D816" s="1132" t="s">
        <v>304</v>
      </c>
      <c r="E816" s="1131" t="s">
        <v>305</v>
      </c>
      <c r="F816" s="461">
        <f>F764</f>
        <v>5.3950604039034664E-3</v>
      </c>
      <c r="G816" s="461">
        <f t="shared" ref="G816:N816" si="138">G$764</f>
        <v>5.5683660786531386E-3</v>
      </c>
      <c r="H816" s="461">
        <f t="shared" si="138"/>
        <v>5.8348459215866212E-3</v>
      </c>
      <c r="I816" s="461">
        <f t="shared" si="138"/>
        <v>5.7141305366596069E-3</v>
      </c>
      <c r="J816" s="461">
        <f t="shared" si="138"/>
        <v>5.5504071124825869E-3</v>
      </c>
      <c r="K816" s="461">
        <f t="shared" si="138"/>
        <v>5.3847596499220288E-3</v>
      </c>
      <c r="L816" s="461">
        <f t="shared" si="138"/>
        <v>5.1803958710525443E-3</v>
      </c>
      <c r="M816" s="461">
        <f t="shared" si="138"/>
        <v>4.9864658569810753E-3</v>
      </c>
      <c r="N816" s="461">
        <f t="shared" si="138"/>
        <v>4.64282335093061E-3</v>
      </c>
      <c r="O816"/>
    </row>
    <row r="817" spans="1:15" s="354" customFormat="1" ht="15.5">
      <c r="A817"/>
      <c r="B817" s="458"/>
      <c r="C817" s="1131" t="s">
        <v>253</v>
      </c>
      <c r="D817" s="1132" t="s">
        <v>304</v>
      </c>
      <c r="E817" s="1131" t="s">
        <v>305</v>
      </c>
      <c r="F817" s="461">
        <f>F765</f>
        <v>1.5928273573429279E-2</v>
      </c>
      <c r="G817" s="461">
        <f t="shared" ref="G817:N817" si="139">G$765</f>
        <v>1.6439937946499741E-2</v>
      </c>
      <c r="H817" s="461">
        <f t="shared" si="139"/>
        <v>1.7226687958970022E-2</v>
      </c>
      <c r="I817" s="461">
        <f t="shared" si="139"/>
        <v>1.6870290155852175E-2</v>
      </c>
      <c r="J817" s="461">
        <f t="shared" si="139"/>
        <v>1.6386916236853351E-2</v>
      </c>
      <c r="K817" s="461">
        <f t="shared" si="139"/>
        <v>1.5897861823579322E-2</v>
      </c>
      <c r="L817" s="461">
        <f t="shared" si="139"/>
        <v>1.5294502095488464E-2</v>
      </c>
      <c r="M817" s="461">
        <f t="shared" si="139"/>
        <v>1.4721946815848888E-2</v>
      </c>
      <c r="N817" s="461">
        <f t="shared" si="139"/>
        <v>1.3707383226557037E-2</v>
      </c>
      <c r="O817"/>
    </row>
    <row r="818" spans="1:15" s="354" customFormat="1" ht="15.5">
      <c r="A818"/>
      <c r="B818" s="458"/>
      <c r="C818" s="2436" t="s">
        <v>58</v>
      </c>
      <c r="D818" s="2436"/>
      <c r="E818" s="2436"/>
      <c r="F818" s="2437">
        <f>SUBTOTAL(109,XII.a.Emissions[2013])</f>
        <v>6.2984332959792999</v>
      </c>
      <c r="G818" s="2437">
        <f>SUBTOTAL(109,XII.a.Emissions[2015])</f>
        <v>6.5007580431565009</v>
      </c>
      <c r="H818" s="2437">
        <f>SUBTOTAL(109,XII.a.Emissions[2020])</f>
        <v>6.8118584553456225</v>
      </c>
      <c r="I818" s="2437">
        <f>SUBTOTAL(109,XII.a.Emissions[2025])</f>
        <v>6.6709299498536092</v>
      </c>
      <c r="J818" s="2437">
        <f>SUBTOTAL(109,XII.a.Emissions[2030])</f>
        <v>6.4797919478727257</v>
      </c>
      <c r="K818" s="2437">
        <f>SUBTOTAL(109,XII.a.Emissions[2035])</f>
        <v>6.286407737970082</v>
      </c>
      <c r="L818" s="2437">
        <f>SUBTOTAL(109,XII.a.Emissions[2040])</f>
        <v>6.0478243796832301</v>
      </c>
      <c r="M818" s="2437">
        <f>SUBTOTAL(109,XII.a.Emissions[2045])</f>
        <v>5.8214218621444598</v>
      </c>
      <c r="N818" s="2437">
        <f>SUBTOTAL(109,XII.a.Emissions[2050])</f>
        <v>5.4202383275808792</v>
      </c>
      <c r="O818"/>
    </row>
    <row r="819" spans="1:15" s="354" customFormat="1" ht="15.5">
      <c r="A819"/>
      <c r="B819" s="458"/>
      <c r="C819" s="1131"/>
      <c r="D819" s="1131"/>
      <c r="E819" s="1131"/>
      <c r="F819" s="462"/>
      <c r="G819" s="462"/>
      <c r="H819" s="462"/>
      <c r="I819" s="462"/>
      <c r="J819" s="462"/>
      <c r="K819" s="462"/>
      <c r="L819" s="462"/>
      <c r="M819" s="462"/>
      <c r="N819" s="462"/>
      <c r="O819"/>
    </row>
    <row r="820" spans="1:15" s="354" customFormat="1" ht="15.5">
      <c r="A820"/>
      <c r="B820" s="458"/>
      <c r="C820" s="453" t="s">
        <v>1229</v>
      </c>
      <c r="D820" s="1126"/>
      <c r="E820" s="1127"/>
      <c r="F820" s="1126"/>
      <c r="G820" s="1126"/>
      <c r="H820" s="1126"/>
      <c r="I820" s="1126"/>
      <c r="J820" s="1126"/>
      <c r="K820" s="1126"/>
      <c r="L820" s="1126"/>
      <c r="M820" s="1126"/>
      <c r="N820" s="1127" t="s">
        <v>251</v>
      </c>
      <c r="O820"/>
    </row>
    <row r="821" spans="1:15" s="354" customFormat="1" ht="15.5">
      <c r="A821"/>
      <c r="B821" s="458"/>
      <c r="C821" s="1126"/>
      <c r="D821" s="1126"/>
      <c r="E821" s="1126"/>
      <c r="F821" s="1126"/>
      <c r="G821" s="1126"/>
      <c r="H821" s="1126"/>
      <c r="I821" s="1126"/>
      <c r="J821" s="1126"/>
      <c r="K821" s="1126"/>
      <c r="L821" s="1126"/>
      <c r="M821" s="1126"/>
      <c r="N821" s="1126"/>
      <c r="O821"/>
    </row>
    <row r="822" spans="1:15" s="354" customFormat="1" ht="15.5">
      <c r="A822"/>
      <c r="B822" s="458"/>
      <c r="C822" s="1327" t="s">
        <v>302</v>
      </c>
      <c r="D822" s="1327" t="s">
        <v>303</v>
      </c>
      <c r="E822" s="1327" t="s">
        <v>30</v>
      </c>
      <c r="F822" s="1327" t="s">
        <v>588</v>
      </c>
      <c r="G822" s="1327" t="s">
        <v>132</v>
      </c>
      <c r="H822" s="1327" t="s">
        <v>133</v>
      </c>
      <c r="I822" s="1327" t="s">
        <v>134</v>
      </c>
      <c r="J822" s="1327" t="s">
        <v>135</v>
      </c>
      <c r="K822" s="1327" t="s">
        <v>136</v>
      </c>
      <c r="L822" s="1327" t="s">
        <v>137</v>
      </c>
      <c r="M822" s="1327" t="s">
        <v>138</v>
      </c>
      <c r="N822" s="1327" t="s">
        <v>139</v>
      </c>
      <c r="O822"/>
    </row>
    <row r="823" spans="1:15" s="354" customFormat="1" ht="15.5">
      <c r="A823"/>
      <c r="B823" s="458"/>
      <c r="C823" s="1131" t="s">
        <v>250</v>
      </c>
      <c r="D823" s="1132" t="s">
        <v>304</v>
      </c>
      <c r="E823" s="1131" t="s">
        <v>305</v>
      </c>
      <c r="F823" s="461">
        <f t="shared" ref="F823:N823" si="140">(F815*(F$785/F$775))+(-F787)</f>
        <v>6.1606612866104413</v>
      </c>
      <c r="G823" s="461">
        <f t="shared" si="140"/>
        <v>6.3311924294434254</v>
      </c>
      <c r="H823" s="461">
        <f t="shared" si="140"/>
        <v>6.643099299433521</v>
      </c>
      <c r="I823" s="461">
        <f t="shared" si="140"/>
        <v>6.5072978879107639</v>
      </c>
      <c r="J823" s="461">
        <f t="shared" si="140"/>
        <v>6.3218723199743865</v>
      </c>
      <c r="K823" s="461">
        <f t="shared" si="140"/>
        <v>6.1346505087967023</v>
      </c>
      <c r="L823" s="461">
        <f t="shared" si="140"/>
        <v>5.9031286368309006</v>
      </c>
      <c r="M823" s="461">
        <f t="shared" si="140"/>
        <v>5.6841359714335979</v>
      </c>
      <c r="N823" s="461">
        <f t="shared" si="140"/>
        <v>5.2948285805473878</v>
      </c>
      <c r="O823"/>
    </row>
    <row r="824" spans="1:15" s="354" customFormat="1" ht="15.5">
      <c r="A824"/>
      <c r="B824" s="458"/>
      <c r="C824" s="1131" t="s">
        <v>252</v>
      </c>
      <c r="D824" s="1132" t="s">
        <v>304</v>
      </c>
      <c r="E824" s="1131" t="s">
        <v>305</v>
      </c>
      <c r="F824" s="461">
        <f>(F816*(F$785/F$775))+(-F788)</f>
        <v>5.2949749120935604E-3</v>
      </c>
      <c r="G824" s="461">
        <f t="shared" ref="G824:N825" si="141">G816*(G$785/G$775)</f>
        <v>5.441543288607585E-3</v>
      </c>
      <c r="H824" s="461">
        <f t="shared" si="141"/>
        <v>5.7096214988309954E-3</v>
      </c>
      <c r="I824" s="461">
        <f t="shared" si="141"/>
        <v>5.5929026867445868E-3</v>
      </c>
      <c r="J824" s="461">
        <f t="shared" si="141"/>
        <v>5.4335328261717105E-3</v>
      </c>
      <c r="K824" s="461">
        <f t="shared" si="141"/>
        <v>5.2726191276151755E-3</v>
      </c>
      <c r="L824" s="461">
        <f t="shared" si="141"/>
        <v>5.0736303427059599E-3</v>
      </c>
      <c r="M824" s="461">
        <f t="shared" si="141"/>
        <v>4.8854101800861775E-3</v>
      </c>
      <c r="N824" s="461">
        <f t="shared" si="141"/>
        <v>4.550807647673745E-3</v>
      </c>
      <c r="O824"/>
    </row>
    <row r="825" spans="1:15" s="354" customFormat="1" ht="15.5">
      <c r="A825"/>
      <c r="B825" s="458"/>
      <c r="C825" s="1131" t="s">
        <v>253</v>
      </c>
      <c r="D825" s="1132" t="s">
        <v>304</v>
      </c>
      <c r="E825" s="1131" t="s">
        <v>305</v>
      </c>
      <c r="F825" s="461">
        <f>(F817*(F$785/F$775))+(-F789)</f>
        <v>1.5632783073800033E-2</v>
      </c>
      <c r="G825" s="461">
        <f t="shared" si="141"/>
        <v>1.6065508756841439E-2</v>
      </c>
      <c r="H825" s="461">
        <f t="shared" si="141"/>
        <v>1.6856977758453413E-2</v>
      </c>
      <c r="I825" s="461">
        <f t="shared" si="141"/>
        <v>1.6512379360864974E-2</v>
      </c>
      <c r="J825" s="461">
        <f t="shared" si="141"/>
        <v>1.6041858820126001E-2</v>
      </c>
      <c r="K825" s="461">
        <f t="shared" si="141"/>
        <v>1.5566780281530518E-2</v>
      </c>
      <c r="L825" s="461">
        <f t="shared" si="141"/>
        <v>1.4979289583227119E-2</v>
      </c>
      <c r="M825" s="461">
        <f t="shared" si="141"/>
        <v>1.4423591960254428E-2</v>
      </c>
      <c r="N825" s="461">
        <f t="shared" si="141"/>
        <v>1.343571781694153E-2</v>
      </c>
      <c r="O825"/>
    </row>
    <row r="826" spans="1:15" s="354" customFormat="1" ht="15.5">
      <c r="A826"/>
      <c r="B826" s="458"/>
      <c r="C826" s="2436" t="s">
        <v>58</v>
      </c>
      <c r="D826" s="2436"/>
      <c r="E826" s="2436"/>
      <c r="F826" s="2437">
        <f>SUBTOTAL(109,XII.a.road.Emissions[2013])</f>
        <v>6.1815890445963344</v>
      </c>
      <c r="G826" s="2437">
        <f>SUBTOTAL(109,XII.a.road.Emissions[2015])</f>
        <v>6.352699481488874</v>
      </c>
      <c r="H826" s="2437">
        <f>SUBTOTAL(109,XII.a.road.Emissions[2020])</f>
        <v>6.6656658986908051</v>
      </c>
      <c r="I826" s="2437">
        <f>SUBTOTAL(109,XII.a.road.Emissions[2025])</f>
        <v>6.5294031699583739</v>
      </c>
      <c r="J826" s="2437">
        <f>SUBTOTAL(109,XII.a.road.Emissions[2030])</f>
        <v>6.3433477116206838</v>
      </c>
      <c r="K826" s="2437">
        <f>SUBTOTAL(109,XII.a.road.Emissions[2035])</f>
        <v>6.1554899082058485</v>
      </c>
      <c r="L826" s="2437">
        <f>SUBTOTAL(109,XII.a.road.Emissions[2040])</f>
        <v>5.923181556756834</v>
      </c>
      <c r="M826" s="2437">
        <f>SUBTOTAL(109,XII.a.road.Emissions[2045])</f>
        <v>5.7034449735739381</v>
      </c>
      <c r="N826" s="2437">
        <f>SUBTOTAL(109,XII.a.road.Emissions[2050])</f>
        <v>5.3128151060120032</v>
      </c>
      <c r="O826"/>
    </row>
    <row r="827" spans="1:15" s="354" customFormat="1" ht="15.5">
      <c r="A827"/>
      <c r="B827" s="458"/>
      <c r="C827" s="1131"/>
      <c r="D827" s="1131"/>
      <c r="E827" s="1131"/>
      <c r="F827" s="462"/>
      <c r="G827" s="462"/>
      <c r="H827" s="462"/>
      <c r="I827" s="462"/>
      <c r="J827" s="462"/>
      <c r="K827" s="462"/>
      <c r="L827" s="462"/>
      <c r="M827" s="462"/>
      <c r="N827" s="462"/>
      <c r="O827"/>
    </row>
    <row r="828" spans="1:15" s="354" customFormat="1" ht="15.5">
      <c r="A828"/>
      <c r="B828" s="458"/>
      <c r="C828" s="453" t="s">
        <v>1230</v>
      </c>
      <c r="D828" s="1126"/>
      <c r="E828" s="1127"/>
      <c r="F828" s="1126"/>
      <c r="G828" s="1126"/>
      <c r="H828" s="1126"/>
      <c r="I828" s="1126"/>
      <c r="J828" s="1126"/>
      <c r="K828" s="1126"/>
      <c r="L828" s="1126"/>
      <c r="M828" s="1126"/>
      <c r="N828" s="1127" t="s">
        <v>251</v>
      </c>
      <c r="O828"/>
    </row>
    <row r="829" spans="1:15" s="354" customFormat="1" ht="15.5">
      <c r="A829"/>
      <c r="B829" s="458"/>
      <c r="C829" s="1126"/>
      <c r="D829" s="1126"/>
      <c r="E829" s="1126"/>
      <c r="F829" s="1126"/>
      <c r="G829" s="1126"/>
      <c r="H829" s="1126"/>
      <c r="I829" s="1126"/>
      <c r="J829" s="1126"/>
      <c r="K829" s="1126"/>
      <c r="L829" s="1126"/>
      <c r="M829" s="1126"/>
      <c r="N829" s="1126"/>
      <c r="O829"/>
    </row>
    <row r="830" spans="1:15" s="354" customFormat="1" ht="15.5">
      <c r="A830"/>
      <c r="B830" s="458"/>
      <c r="C830" s="1327" t="s">
        <v>302</v>
      </c>
      <c r="D830" s="1327" t="s">
        <v>303</v>
      </c>
      <c r="E830" s="1327" t="s">
        <v>30</v>
      </c>
      <c r="F830" s="1327" t="s">
        <v>588</v>
      </c>
      <c r="G830" s="1327" t="s">
        <v>132</v>
      </c>
      <c r="H830" s="1327" t="s">
        <v>133</v>
      </c>
      <c r="I830" s="1327" t="s">
        <v>134</v>
      </c>
      <c r="J830" s="1327" t="s">
        <v>135</v>
      </c>
      <c r="K830" s="1327" t="s">
        <v>136</v>
      </c>
      <c r="L830" s="1327" t="s">
        <v>137</v>
      </c>
      <c r="M830" s="1327" t="s">
        <v>138</v>
      </c>
      <c r="N830" s="1327" t="s">
        <v>139</v>
      </c>
      <c r="O830"/>
    </row>
    <row r="831" spans="1:15" s="354" customFormat="1" ht="15.5">
      <c r="A831"/>
      <c r="B831" s="458"/>
      <c r="C831" s="1131" t="s">
        <v>250</v>
      </c>
      <c r="D831" s="1132" t="s">
        <v>304</v>
      </c>
      <c r="E831" s="1131" t="s">
        <v>305</v>
      </c>
      <c r="F831" s="1371">
        <f>F815*(F$795/F$775)</f>
        <v>0.10927647367623684</v>
      </c>
      <c r="G831" s="461">
        <f t="shared" ref="G831:N831" si="142">G815*(G$795/G$775)</f>
        <v>0.1399870364856787</v>
      </c>
      <c r="H831" s="461">
        <f t="shared" si="142"/>
        <v>0.13814355081109464</v>
      </c>
      <c r="I831" s="461">
        <f t="shared" si="142"/>
        <v>0.13355990548592295</v>
      </c>
      <c r="J831" s="461">
        <f t="shared" si="142"/>
        <v>0.12856916691955275</v>
      </c>
      <c r="K831" s="461">
        <f t="shared" si="142"/>
        <v>0.12314566520383605</v>
      </c>
      <c r="L831" s="461">
        <f t="shared" si="142"/>
        <v>0.11700340700078343</v>
      </c>
      <c r="M831" s="461">
        <f t="shared" si="142"/>
        <v>0.11047964333405701</v>
      </c>
      <c r="N831" s="461">
        <f t="shared" si="142"/>
        <v>0.10030957027668844</v>
      </c>
      <c r="O831"/>
    </row>
    <row r="832" spans="1:15" s="354" customFormat="1" ht="15.5">
      <c r="A832"/>
      <c r="B832" s="458"/>
      <c r="C832" s="1131" t="s">
        <v>252</v>
      </c>
      <c r="D832" s="1132" t="s">
        <v>304</v>
      </c>
      <c r="E832" s="1131" t="s">
        <v>305</v>
      </c>
      <c r="F832" s="1371">
        <f t="shared" ref="F832:N832" si="143">F816*(F$795/F$775)</f>
        <v>9.3921116529371395E-5</v>
      </c>
      <c r="G832" s="461">
        <f t="shared" si="143"/>
        <v>1.2031627965344833E-4</v>
      </c>
      <c r="H832" s="461">
        <f t="shared" si="143"/>
        <v>1.1873183766847157E-4</v>
      </c>
      <c r="I832" s="461">
        <f t="shared" si="143"/>
        <v>1.1479227893060228E-4</v>
      </c>
      <c r="J832" s="461">
        <f t="shared" si="143"/>
        <v>1.105028310495474E-4</v>
      </c>
      <c r="K832" s="461">
        <f t="shared" si="143"/>
        <v>1.0584143121202829E-4</v>
      </c>
      <c r="L832" s="461">
        <f t="shared" si="143"/>
        <v>1.0056227341131457E-4</v>
      </c>
      <c r="M832" s="461">
        <f t="shared" si="143"/>
        <v>9.4955218690935791E-5</v>
      </c>
      <c r="N832" s="461">
        <f t="shared" si="143"/>
        <v>8.6214228205066482E-5</v>
      </c>
      <c r="O832"/>
    </row>
    <row r="833" spans="1:15" s="354" customFormat="1" ht="15.5">
      <c r="A833"/>
      <c r="B833" s="458"/>
      <c r="C833" s="1131" t="s">
        <v>253</v>
      </c>
      <c r="D833" s="1132" t="s">
        <v>304</v>
      </c>
      <c r="E833" s="1131" t="s">
        <v>305</v>
      </c>
      <c r="F833" s="1371">
        <f t="shared" ref="F833:N833" si="144">F817*(F$795/F$775)</f>
        <v>2.772909154676679E-4</v>
      </c>
      <c r="G833" s="461">
        <f t="shared" si="144"/>
        <v>3.5521949231018073E-4</v>
      </c>
      <c r="H833" s="461">
        <f t="shared" si="144"/>
        <v>3.5054161597358269E-4</v>
      </c>
      <c r="I833" s="461">
        <f t="shared" si="144"/>
        <v>3.3891053779511155E-4</v>
      </c>
      <c r="J833" s="461">
        <f t="shared" si="144"/>
        <v>3.262464535748542E-4</v>
      </c>
      <c r="K833" s="461">
        <f t="shared" si="144"/>
        <v>3.1248422548313111E-4</v>
      </c>
      <c r="L833" s="461">
        <f t="shared" si="144"/>
        <v>2.9689814054769065E-4</v>
      </c>
      <c r="M833" s="461">
        <f t="shared" si="144"/>
        <v>2.8034397899228661E-4</v>
      </c>
      <c r="N833" s="461">
        <f t="shared" si="144"/>
        <v>2.5453724517686291E-4</v>
      </c>
      <c r="O833"/>
    </row>
    <row r="834" spans="1:15" s="354" customFormat="1" ht="15.5">
      <c r="A834"/>
      <c r="B834" s="458"/>
      <c r="C834" s="2436" t="s">
        <v>58</v>
      </c>
      <c r="D834" s="2436"/>
      <c r="E834" s="2436"/>
      <c r="F834" s="2438">
        <f>SUBTOTAL(109,XII.a.Rail.Emissions[2013])</f>
        <v>0.10964768570823388</v>
      </c>
      <c r="G834" s="2438">
        <f>SUBTOTAL(109,XII.a.Rail.Emissions[2015])</f>
        <v>0.14046257225764233</v>
      </c>
      <c r="H834" s="2438">
        <f>SUBTOTAL(109,XII.a.Rail.Emissions[2020])</f>
        <v>0.1386128242647367</v>
      </c>
      <c r="I834" s="2438">
        <f>SUBTOTAL(109,XII.a.Rail.Emissions[2025])</f>
        <v>0.13401360830264866</v>
      </c>
      <c r="J834" s="2438">
        <f>SUBTOTAL(109,XII.a.Rail.Emissions[2030])</f>
        <v>0.12900591620417715</v>
      </c>
      <c r="K834" s="2438">
        <f>SUBTOTAL(109,XII.a.Rail.Emissions[2035])</f>
        <v>0.12356399086053121</v>
      </c>
      <c r="L834" s="2438">
        <f>SUBTOTAL(109,XII.a.Rail.Emissions[2040])</f>
        <v>0.11740086741474244</v>
      </c>
      <c r="M834" s="2438">
        <f>SUBTOTAL(109,XII.a.Rail.Emissions[2045])</f>
        <v>0.11085494253174023</v>
      </c>
      <c r="N834" s="2438">
        <f>SUBTOTAL(109,XII.a.Rail.Emissions[2050])</f>
        <v>0.10065032175007037</v>
      </c>
      <c r="O834"/>
    </row>
    <row r="835" spans="1:15" s="354" customFormat="1" ht="15.5">
      <c r="A835"/>
      <c r="B835" s="458"/>
      <c r="C835" s="1131"/>
      <c r="D835" s="1131"/>
      <c r="E835" s="1131"/>
      <c r="F835" s="462"/>
      <c r="G835" s="462"/>
      <c r="H835" s="462"/>
      <c r="I835" s="462"/>
      <c r="J835" s="462"/>
      <c r="K835" s="462"/>
      <c r="L835" s="462"/>
      <c r="M835" s="462"/>
      <c r="N835" s="462"/>
      <c r="O835"/>
    </row>
    <row r="836" spans="1:15" s="354" customFormat="1" ht="15.5">
      <c r="A836"/>
      <c r="B836" s="458"/>
      <c r="C836" s="453" t="s">
        <v>1231</v>
      </c>
      <c r="D836" s="1126"/>
      <c r="E836" s="1127"/>
      <c r="F836" s="1126"/>
      <c r="G836" s="1126"/>
      <c r="H836" s="1126"/>
      <c r="I836" s="1126"/>
      <c r="J836" s="1126"/>
      <c r="K836" s="1126"/>
      <c r="L836" s="1126"/>
      <c r="M836" s="1126"/>
      <c r="N836" s="1127" t="s">
        <v>251</v>
      </c>
      <c r="O836"/>
    </row>
    <row r="837" spans="1:15" ht="15.5">
      <c r="B837" s="458"/>
      <c r="C837" s="1126"/>
      <c r="D837" s="1126"/>
      <c r="E837" s="1126"/>
      <c r="F837" s="1126"/>
      <c r="G837" s="1126"/>
      <c r="H837" s="1126"/>
      <c r="I837" s="1126"/>
      <c r="J837" s="1126"/>
      <c r="K837" s="1126"/>
      <c r="L837" s="1126"/>
      <c r="M837" s="1126"/>
      <c r="N837" s="1126"/>
    </row>
    <row r="838" spans="1:15" ht="15.5">
      <c r="B838" s="458"/>
      <c r="C838" s="1327" t="s">
        <v>302</v>
      </c>
      <c r="D838" s="1327" t="s">
        <v>303</v>
      </c>
      <c r="E838" s="1327" t="s">
        <v>30</v>
      </c>
      <c r="F838" s="1327" t="s">
        <v>588</v>
      </c>
      <c r="G838" s="1327" t="s">
        <v>132</v>
      </c>
      <c r="H838" s="1327" t="s">
        <v>133</v>
      </c>
      <c r="I838" s="1327" t="s">
        <v>134</v>
      </c>
      <c r="J838" s="1327" t="s">
        <v>135</v>
      </c>
      <c r="K838" s="1327" t="s">
        <v>136</v>
      </c>
      <c r="L838" s="1327" t="s">
        <v>137</v>
      </c>
      <c r="M838" s="1327" t="s">
        <v>138</v>
      </c>
      <c r="N838" s="1327" t="s">
        <v>139</v>
      </c>
    </row>
    <row r="839" spans="1:15" ht="15.5">
      <c r="B839" s="458"/>
      <c r="C839" s="1131" t="s">
        <v>250</v>
      </c>
      <c r="D839" s="1132" t="s">
        <v>304</v>
      </c>
      <c r="E839" s="1131" t="s">
        <v>305</v>
      </c>
      <c r="F839" s="1371">
        <f>F815*(F$804/F$775)</f>
        <v>7.172201715288126E-3</v>
      </c>
      <c r="G839" s="461">
        <f t="shared" ref="G839:N839" si="145">G815*(G$804/G$775)</f>
        <v>7.5702732022430675E-3</v>
      </c>
      <c r="H839" s="461">
        <f t="shared" si="145"/>
        <v>7.5540712204514122E-3</v>
      </c>
      <c r="I839" s="461">
        <f t="shared" si="145"/>
        <v>7.487735764410512E-3</v>
      </c>
      <c r="J839" s="461">
        <f t="shared" si="145"/>
        <v>7.4131376294501155E-3</v>
      </c>
      <c r="K839" s="461">
        <f t="shared" si="145"/>
        <v>7.328942496042606E-3</v>
      </c>
      <c r="L839" s="461">
        <f t="shared" si="145"/>
        <v>7.2174378850037458E-3</v>
      </c>
      <c r="M839" s="461">
        <f t="shared" si="145"/>
        <v>7.0978347039745747E-3</v>
      </c>
      <c r="N839" s="461">
        <f t="shared" si="145"/>
        <v>6.7499701793147333E-3</v>
      </c>
    </row>
    <row r="840" spans="1:15" ht="15.5">
      <c r="B840" s="458"/>
      <c r="C840" s="1131" t="s">
        <v>252</v>
      </c>
      <c r="D840" s="1132" t="s">
        <v>304</v>
      </c>
      <c r="E840" s="1131" t="s">
        <v>305</v>
      </c>
      <c r="F840" s="1371">
        <f t="shared" ref="F840:N840" si="146">F816*(F$804/F$775)</f>
        <v>6.1643752805341355E-6</v>
      </c>
      <c r="G840" s="461">
        <f t="shared" si="146"/>
        <v>6.506510392105231E-6</v>
      </c>
      <c r="H840" s="461">
        <f t="shared" si="146"/>
        <v>6.4925850871546946E-6</v>
      </c>
      <c r="I840" s="461">
        <f t="shared" si="146"/>
        <v>6.4355709844183128E-6</v>
      </c>
      <c r="J840" s="461">
        <f t="shared" si="146"/>
        <v>6.3714552613282042E-6</v>
      </c>
      <c r="K840" s="461">
        <f t="shared" si="146"/>
        <v>6.2990910948251613E-6</v>
      </c>
      <c r="L840" s="461">
        <f t="shared" si="146"/>
        <v>6.2032549352692507E-6</v>
      </c>
      <c r="M840" s="461">
        <f t="shared" si="146"/>
        <v>6.1004582039617784E-6</v>
      </c>
      <c r="N840" s="461">
        <f t="shared" si="146"/>
        <v>5.8014750517984764E-6</v>
      </c>
    </row>
    <row r="841" spans="1:15" ht="15.5">
      <c r="B841" s="458"/>
      <c r="C841" s="1131" t="s">
        <v>253</v>
      </c>
      <c r="D841" s="1132" t="s">
        <v>304</v>
      </c>
      <c r="E841" s="1131" t="s">
        <v>305</v>
      </c>
      <c r="F841" s="1371">
        <f t="shared" ref="F841:N841" si="147">F817*(F$804/F$775)</f>
        <v>1.8199584161576966E-5</v>
      </c>
      <c r="G841" s="461">
        <f t="shared" si="147"/>
        <v>1.9209697348120203E-5</v>
      </c>
      <c r="H841" s="461">
        <f t="shared" si="147"/>
        <v>1.9168584543028144E-5</v>
      </c>
      <c r="I841" s="461">
        <f t="shared" si="147"/>
        <v>1.9000257192092162E-5</v>
      </c>
      <c r="J841" s="461">
        <f t="shared" si="147"/>
        <v>1.881096315249279E-5</v>
      </c>
      <c r="K841" s="461">
        <f t="shared" si="147"/>
        <v>1.8597316565674284E-5</v>
      </c>
      <c r="L841" s="461">
        <f t="shared" si="147"/>
        <v>1.8314371713652074E-5</v>
      </c>
      <c r="M841" s="461">
        <f t="shared" si="147"/>
        <v>1.8010876602172868E-5</v>
      </c>
      <c r="N841" s="461">
        <f t="shared" si="147"/>
        <v>1.7128164438643118E-5</v>
      </c>
    </row>
    <row r="842" spans="1:15" ht="15.5">
      <c r="A842" s="39"/>
      <c r="B842" s="458"/>
      <c r="C842" s="2436" t="s">
        <v>58</v>
      </c>
      <c r="D842" s="2436"/>
      <c r="E842" s="2436"/>
      <c r="F842" s="2438">
        <f>SUBTOTAL(109,XII.a.Aviation.Emissions[2013])</f>
        <v>7.1965656747302372E-3</v>
      </c>
      <c r="G842" s="2438">
        <f>SUBTOTAL(109,XII.a.Aviation.Emissions[2015])</f>
        <v>7.595989409983293E-3</v>
      </c>
      <c r="H842" s="2438">
        <f>SUBTOTAL(109,XII.a.Aviation.Emissions[2020])</f>
        <v>7.5797323900815951E-3</v>
      </c>
      <c r="I842" s="2438">
        <f>SUBTOTAL(109,XII.a.Aviation.Emissions[2025])</f>
        <v>7.5131715925870228E-3</v>
      </c>
      <c r="J842" s="2438">
        <f>SUBTOTAL(109,XII.a.Aviation.Emissions[2030])</f>
        <v>7.4383200478639368E-3</v>
      </c>
      <c r="K842" s="2438">
        <f>SUBTOTAL(109,XII.a.Aviation.Emissions[2035])</f>
        <v>7.3538389037031051E-3</v>
      </c>
      <c r="L842" s="2438">
        <f>SUBTOTAL(109,XII.a.Aviation.Emissions[2040])</f>
        <v>7.2419555116526669E-3</v>
      </c>
      <c r="M842" s="2438">
        <f>SUBTOTAL(109,XII.a.Aviation.Emissions[2045])</f>
        <v>7.1219460387807092E-3</v>
      </c>
      <c r="N842" s="2438">
        <f>SUBTOTAL(109,XII.a.Aviation.Emissions[2050])</f>
        <v>6.7728998188051753E-3</v>
      </c>
    </row>
    <row r="843" spans="1:15" ht="15.5">
      <c r="B843" s="458"/>
      <c r="C843" s="1126"/>
      <c r="D843" s="1126"/>
      <c r="E843" s="1126"/>
      <c r="F843" s="1126"/>
      <c r="G843" s="1126"/>
      <c r="H843" s="1126"/>
      <c r="I843" s="1126"/>
      <c r="J843" s="1126"/>
      <c r="K843" s="1126"/>
      <c r="L843" s="1126"/>
      <c r="M843" s="1126"/>
      <c r="N843" s="1126"/>
    </row>
    <row r="844" spans="1:15" s="2416" customFormat="1" ht="15.5">
      <c r="B844" s="458"/>
      <c r="C844" s="1126"/>
      <c r="D844" s="1126"/>
      <c r="E844" s="1126"/>
      <c r="F844" s="1126"/>
      <c r="G844" s="1126"/>
      <c r="H844" s="1126"/>
      <c r="I844" s="1126"/>
      <c r="J844" s="1126"/>
      <c r="K844" s="1126"/>
      <c r="L844" s="1126"/>
      <c r="M844" s="1126"/>
      <c r="N844" s="1126"/>
    </row>
    <row r="845" spans="1:15" s="354" customFormat="1">
      <c r="A845"/>
      <c r="C845"/>
      <c r="D845"/>
      <c r="E845"/>
      <c r="F845"/>
      <c r="G845"/>
      <c r="H845"/>
      <c r="I845"/>
      <c r="J845"/>
      <c r="K845"/>
      <c r="L845"/>
      <c r="M845"/>
      <c r="N845"/>
    </row>
    <row r="846" spans="1:15" s="354" customFormat="1" ht="15">
      <c r="A846" s="2416" t="s">
        <v>5</v>
      </c>
      <c r="B846" s="986" t="s">
        <v>310</v>
      </c>
      <c r="C846" s="987"/>
      <c r="D846" s="988"/>
      <c r="E846" s="988"/>
      <c r="F846" s="988"/>
      <c r="G846" s="988"/>
      <c r="H846" s="988"/>
      <c r="I846" s="988"/>
      <c r="J846" s="988"/>
      <c r="K846" s="988"/>
      <c r="L846" s="988"/>
      <c r="M846" s="988"/>
      <c r="N846" s="988"/>
    </row>
    <row r="847" spans="1:15" s="354" customFormat="1" ht="15.5">
      <c r="A847"/>
      <c r="B847" s="483"/>
      <c r="C847" s="991"/>
      <c r="D847" s="991"/>
      <c r="E847" s="991"/>
      <c r="F847" s="991"/>
      <c r="G847" s="991"/>
      <c r="H847" s="991"/>
      <c r="I847" s="991"/>
      <c r="J847" s="991"/>
      <c r="K847" s="991"/>
      <c r="L847" s="991"/>
      <c r="M847" s="991"/>
      <c r="N847" s="991"/>
    </row>
    <row r="848" spans="1:15" s="354" customFormat="1" ht="15.5">
      <c r="A848" s="39"/>
      <c r="B848" s="483"/>
      <c r="C848" s="479" t="s">
        <v>1232</v>
      </c>
      <c r="D848" s="994"/>
      <c r="E848" s="995"/>
      <c r="F848" s="994"/>
      <c r="G848" s="994"/>
      <c r="H848" s="994"/>
      <c r="I848" s="994"/>
      <c r="J848" s="994"/>
      <c r="K848" s="994"/>
      <c r="L848" s="994"/>
      <c r="M848" s="994"/>
      <c r="N848" s="995"/>
    </row>
    <row r="849" spans="1:15" s="354" customFormat="1" ht="15.5">
      <c r="A849"/>
      <c r="B849" s="483"/>
      <c r="C849" s="994"/>
      <c r="D849" s="994"/>
      <c r="E849" s="994"/>
      <c r="F849" s="994"/>
      <c r="G849" s="994"/>
      <c r="H849" s="994"/>
      <c r="I849" s="994"/>
      <c r="J849" s="994"/>
      <c r="K849" s="994"/>
      <c r="L849" s="994"/>
      <c r="M849" s="994"/>
      <c r="N849" s="994"/>
    </row>
    <row r="850" spans="1:15" s="354" customFormat="1">
      <c r="A850"/>
      <c r="B850" s="993"/>
      <c r="C850" s="997" t="s">
        <v>28</v>
      </c>
      <c r="D850" s="997" t="s">
        <v>312</v>
      </c>
      <c r="E850" s="997" t="s">
        <v>30</v>
      </c>
      <c r="F850" s="997" t="s">
        <v>588</v>
      </c>
      <c r="G850" s="997" t="s">
        <v>132</v>
      </c>
      <c r="H850" s="997" t="s">
        <v>133</v>
      </c>
      <c r="I850" s="997" t="s">
        <v>134</v>
      </c>
      <c r="J850" s="997" t="s">
        <v>135</v>
      </c>
      <c r="K850" s="997" t="s">
        <v>136</v>
      </c>
      <c r="L850" s="997" t="s">
        <v>137</v>
      </c>
      <c r="M850" s="997" t="s">
        <v>138</v>
      </c>
      <c r="N850" s="997" t="s">
        <v>139</v>
      </c>
    </row>
    <row r="851" spans="1:15" s="354" customFormat="1">
      <c r="A851"/>
      <c r="B851" s="993"/>
      <c r="C851" s="998" t="s">
        <v>1233</v>
      </c>
      <c r="D851" s="485" t="s">
        <v>1234</v>
      </c>
      <c r="E851" s="485" t="str">
        <f>Preferences.PowerUnits</f>
        <v>GW</v>
      </c>
      <c r="F851" s="2408">
        <f t="shared" ref="F851:N851" si="148">F726*Conversion.to.average.power</f>
        <v>0</v>
      </c>
      <c r="G851" s="2408">
        <f t="shared" si="148"/>
        <v>1.9777821075797632E-3</v>
      </c>
      <c r="H851" s="2408">
        <f t="shared" si="148"/>
        <v>4.5399164534785687E-3</v>
      </c>
      <c r="I851" s="2408">
        <f t="shared" si="148"/>
        <v>2.718752162482015E-2</v>
      </c>
      <c r="J851" s="2408">
        <f t="shared" si="148"/>
        <v>5.1336511659995532E-2</v>
      </c>
      <c r="K851" s="2408">
        <f t="shared" si="148"/>
        <v>8.0969761544051791E-2</v>
      </c>
      <c r="L851" s="2408">
        <f t="shared" si="148"/>
        <v>0.11525169523406333</v>
      </c>
      <c r="M851" s="2408">
        <f t="shared" si="148"/>
        <v>0.15069569126946619</v>
      </c>
      <c r="N851" s="2408">
        <f t="shared" si="148"/>
        <v>0.1721913357842646</v>
      </c>
    </row>
    <row r="852" spans="1:15" s="354" customFormat="1" ht="15.5">
      <c r="A852"/>
      <c r="B852" s="483"/>
      <c r="C852" s="998"/>
      <c r="D852" s="485"/>
      <c r="E852" s="998"/>
      <c r="F852" s="486"/>
      <c r="G852" s="486"/>
      <c r="H852" s="486"/>
      <c r="I852" s="486"/>
      <c r="J852" s="486"/>
      <c r="K852" s="486"/>
      <c r="L852" s="486"/>
      <c r="M852" s="486"/>
      <c r="N852" s="486"/>
    </row>
    <row r="853" spans="1:15" s="354" customFormat="1" ht="15.5">
      <c r="A853"/>
      <c r="B853" s="483"/>
      <c r="C853" s="479" t="s">
        <v>1235</v>
      </c>
      <c r="D853" s="994"/>
      <c r="E853" s="995"/>
      <c r="F853" s="994"/>
      <c r="G853" s="994"/>
      <c r="H853" s="994"/>
      <c r="I853" s="994"/>
      <c r="J853" s="994"/>
      <c r="K853" s="994"/>
      <c r="L853" s="994"/>
      <c r="M853" s="994"/>
      <c r="N853" s="995"/>
    </row>
    <row r="854" spans="1:15" s="354" customFormat="1" ht="15.5">
      <c r="A854"/>
      <c r="B854" s="483"/>
      <c r="C854" s="994"/>
      <c r="D854" s="994"/>
      <c r="E854" s="994"/>
      <c r="F854" s="994"/>
      <c r="G854" s="994"/>
      <c r="H854" s="994"/>
      <c r="I854" s="994"/>
      <c r="J854" s="994"/>
      <c r="K854" s="994"/>
      <c r="L854" s="994"/>
      <c r="M854" s="994"/>
      <c r="N854" s="994"/>
    </row>
    <row r="855" spans="1:15" s="354" customFormat="1" ht="15.5">
      <c r="A855"/>
      <c r="B855" s="2439"/>
      <c r="C855" s="997" t="s">
        <v>28</v>
      </c>
      <c r="D855" s="997" t="s">
        <v>312</v>
      </c>
      <c r="E855" s="997" t="s">
        <v>30</v>
      </c>
      <c r="F855" s="997" t="s">
        <v>588</v>
      </c>
      <c r="G855" s="997" t="s">
        <v>132</v>
      </c>
      <c r="H855" s="997" t="s">
        <v>133</v>
      </c>
      <c r="I855" s="997" t="s">
        <v>134</v>
      </c>
      <c r="J855" s="997" t="s">
        <v>135</v>
      </c>
      <c r="K855" s="997" t="s">
        <v>136</v>
      </c>
      <c r="L855" s="997" t="s">
        <v>137</v>
      </c>
      <c r="M855" s="997" t="s">
        <v>138</v>
      </c>
      <c r="N855" s="997" t="s">
        <v>139</v>
      </c>
    </row>
    <row r="856" spans="1:15" s="354" customFormat="1">
      <c r="A856"/>
      <c r="B856" s="994"/>
      <c r="C856" s="998" t="s">
        <v>1233</v>
      </c>
      <c r="D856" s="485" t="s">
        <v>1234</v>
      </c>
      <c r="E856" s="485" t="str">
        <f>Preferences.PowerUnits</f>
        <v>GW</v>
      </c>
      <c r="F856" s="2408">
        <f t="shared" ref="F856:N856" si="149">F727*Conversion.to.average.power</f>
        <v>0</v>
      </c>
      <c r="G856" s="2408">
        <f t="shared" si="149"/>
        <v>2.9376361791880244E-4</v>
      </c>
      <c r="H856" s="2408">
        <f t="shared" si="149"/>
        <v>5.9332551654441847E-4</v>
      </c>
      <c r="I856" s="2408">
        <f t="shared" si="149"/>
        <v>3.2844297627908211E-3</v>
      </c>
      <c r="J856" s="2408">
        <f t="shared" si="149"/>
        <v>5.9917913794504613E-3</v>
      </c>
      <c r="K856" s="2408">
        <f t="shared" si="149"/>
        <v>8.9864212101457772E-3</v>
      </c>
      <c r="L856" s="2408">
        <f t="shared" si="149"/>
        <v>1.1905976324931537E-2</v>
      </c>
      <c r="M856" s="2408">
        <f t="shared" si="149"/>
        <v>1.3257081165491368E-2</v>
      </c>
      <c r="N856" s="2408">
        <f t="shared" si="149"/>
        <v>1.4058278638330713E-2</v>
      </c>
      <c r="O856"/>
    </row>
    <row r="857" spans="1:15" s="354" customFormat="1">
      <c r="A857"/>
      <c r="B857" s="994"/>
      <c r="C857" s="998"/>
      <c r="D857" s="485"/>
      <c r="E857" s="998"/>
      <c r="F857" s="486"/>
      <c r="G857" s="486"/>
      <c r="H857" s="486"/>
      <c r="I857" s="486"/>
      <c r="J857" s="486"/>
      <c r="K857" s="486"/>
      <c r="L857" s="486"/>
      <c r="M857" s="486"/>
      <c r="N857" s="486"/>
      <c r="O857"/>
    </row>
    <row r="858" spans="1:15" s="354" customFormat="1">
      <c r="A858"/>
      <c r="B858" s="479"/>
      <c r="C858" s="479" t="s">
        <v>311</v>
      </c>
      <c r="D858" s="994"/>
      <c r="E858" s="995"/>
      <c r="F858" s="994"/>
      <c r="G858" s="994"/>
      <c r="H858" s="994"/>
      <c r="I858" s="994"/>
      <c r="J858" s="994"/>
      <c r="K858" s="994"/>
      <c r="L858" s="994"/>
      <c r="M858" s="994"/>
      <c r="N858" s="995"/>
    </row>
    <row r="859" spans="1:15" s="354" customFormat="1">
      <c r="A859"/>
      <c r="B859" s="479"/>
      <c r="C859" s="994"/>
      <c r="D859" s="994"/>
      <c r="E859" s="994"/>
      <c r="F859" s="994"/>
      <c r="G859" s="994"/>
      <c r="H859" s="994"/>
      <c r="I859" s="994"/>
      <c r="J859" s="994"/>
      <c r="K859" s="994"/>
      <c r="L859" s="994"/>
      <c r="M859" s="994"/>
      <c r="N859" s="994"/>
    </row>
    <row r="860" spans="1:15" s="354" customFormat="1">
      <c r="A860"/>
      <c r="B860" s="479"/>
      <c r="C860" s="997" t="s">
        <v>28</v>
      </c>
      <c r="D860" s="997" t="s">
        <v>312</v>
      </c>
      <c r="E860" s="997" t="s">
        <v>30</v>
      </c>
      <c r="F860" s="997" t="s">
        <v>588</v>
      </c>
      <c r="G860" s="997" t="s">
        <v>132</v>
      </c>
      <c r="H860" s="997" t="s">
        <v>133</v>
      </c>
      <c r="I860" s="997" t="s">
        <v>134</v>
      </c>
      <c r="J860" s="997" t="s">
        <v>135</v>
      </c>
      <c r="K860" s="997" t="s">
        <v>136</v>
      </c>
      <c r="L860" s="997" t="s">
        <v>137</v>
      </c>
      <c r="M860" s="997" t="s">
        <v>138</v>
      </c>
      <c r="N860" s="997" t="s">
        <v>139</v>
      </c>
    </row>
    <row r="861" spans="1:15" s="354" customFormat="1">
      <c r="A861"/>
      <c r="B861" s="479"/>
      <c r="C861" s="998" t="s">
        <v>868</v>
      </c>
      <c r="D861" s="998" t="s">
        <v>1825</v>
      </c>
      <c r="E861" s="485"/>
      <c r="F861" s="999"/>
      <c r="G861" s="999"/>
      <c r="H861" s="999"/>
      <c r="I861" s="999"/>
      <c r="J861" s="999"/>
      <c r="K861" s="999"/>
      <c r="L861" s="999"/>
      <c r="M861" s="999"/>
      <c r="N861" s="999"/>
    </row>
    <row r="862" spans="1:15" s="354" customFormat="1">
      <c r="A862"/>
      <c r="B862" s="479"/>
      <c r="C862" s="998" t="s">
        <v>313</v>
      </c>
      <c r="D862" s="485" t="s">
        <v>314</v>
      </c>
      <c r="E862" s="485"/>
      <c r="F862" s="999"/>
      <c r="G862" s="999"/>
      <c r="H862" s="999"/>
      <c r="I862" s="999"/>
      <c r="J862" s="999"/>
      <c r="K862" s="999"/>
      <c r="L862" s="999"/>
      <c r="M862" s="999"/>
      <c r="N862" s="999"/>
    </row>
    <row r="863" spans="1:15" s="354" customFormat="1">
      <c r="A863"/>
      <c r="B863" s="479"/>
      <c r="C863" s="1001"/>
      <c r="D863" s="1001"/>
      <c r="E863" s="1001"/>
      <c r="F863" s="1001"/>
      <c r="G863" s="1001"/>
      <c r="H863" s="1001"/>
      <c r="I863" s="1001"/>
      <c r="J863" s="1001"/>
      <c r="K863" s="1001"/>
      <c r="L863" s="1001"/>
      <c r="M863" s="1001"/>
      <c r="N863" s="1001"/>
    </row>
    <row r="864" spans="1:15" s="354" customFormat="1">
      <c r="A864"/>
      <c r="C864"/>
      <c r="D864"/>
      <c r="E864"/>
      <c r="F864"/>
      <c r="G864" s="3052" t="s">
        <v>5</v>
      </c>
      <c r="H864"/>
      <c r="I864"/>
      <c r="J864"/>
      <c r="K864"/>
      <c r="L864"/>
      <c r="M864"/>
      <c r="N864"/>
    </row>
    <row r="866" spans="2:14" ht="15">
      <c r="B866" s="986" t="s">
        <v>2720</v>
      </c>
      <c r="C866" s="988"/>
      <c r="D866" s="988"/>
      <c r="E866" s="988"/>
      <c r="F866" s="988"/>
      <c r="G866" s="988"/>
      <c r="H866" s="988"/>
      <c r="I866" s="988"/>
      <c r="J866" s="988"/>
      <c r="K866" s="988"/>
      <c r="L866" s="988"/>
      <c r="M866" s="988"/>
      <c r="N866" s="988"/>
    </row>
    <row r="867" spans="2:14" hidden="1">
      <c r="B867" s="993"/>
      <c r="C867" s="994"/>
      <c r="D867" s="994"/>
      <c r="E867" s="994"/>
      <c r="F867" s="994"/>
      <c r="G867" s="994"/>
      <c r="H867" s="994"/>
      <c r="I867" s="994"/>
      <c r="J867" s="994"/>
      <c r="K867" s="994"/>
      <c r="L867" s="994"/>
      <c r="M867" s="994"/>
      <c r="N867" s="994"/>
    </row>
    <row r="868" spans="2:14" hidden="1">
      <c r="B868" s="993"/>
      <c r="C868" s="491" t="s">
        <v>1237</v>
      </c>
      <c r="D868" s="1003"/>
      <c r="E868" s="1003"/>
      <c r="F868" s="1003"/>
      <c r="G868" s="1003"/>
      <c r="H868" s="1003"/>
      <c r="I868" s="1003"/>
      <c r="J868" s="1003"/>
      <c r="K868" s="1003"/>
      <c r="L868" s="1003"/>
      <c r="M868" s="1003"/>
      <c r="N868" s="1003"/>
    </row>
    <row r="869" spans="2:14" hidden="1">
      <c r="B869" s="993"/>
      <c r="C869" s="994"/>
      <c r="D869" s="994"/>
      <c r="E869" s="994"/>
      <c r="F869" s="994"/>
      <c r="G869" s="994"/>
      <c r="H869" s="994"/>
      <c r="I869" s="994"/>
      <c r="J869" s="994"/>
      <c r="K869" s="994"/>
      <c r="L869" s="994"/>
      <c r="M869" s="994"/>
      <c r="N869" s="994"/>
    </row>
    <row r="870" spans="2:14" ht="15.5" hidden="1">
      <c r="B870" s="483"/>
      <c r="C870" s="1377" t="s">
        <v>28</v>
      </c>
      <c r="D870" s="1377" t="s">
        <v>29</v>
      </c>
      <c r="E870" s="1377" t="s">
        <v>30</v>
      </c>
      <c r="F870" s="1377">
        <v>2013</v>
      </c>
      <c r="G870" s="1377" t="s">
        <v>132</v>
      </c>
      <c r="H870" s="1377" t="s">
        <v>133</v>
      </c>
      <c r="I870" s="1377" t="s">
        <v>134</v>
      </c>
      <c r="J870" s="1377" t="s">
        <v>135</v>
      </c>
      <c r="K870" s="1377" t="s">
        <v>136</v>
      </c>
      <c r="L870" s="1377" t="s">
        <v>137</v>
      </c>
      <c r="M870" s="1377" t="s">
        <v>138</v>
      </c>
      <c r="N870" s="1377" t="s">
        <v>139</v>
      </c>
    </row>
    <row r="871" spans="2:14" ht="15.5" hidden="1">
      <c r="B871" s="483"/>
      <c r="C871" s="1340" t="s">
        <v>321</v>
      </c>
      <c r="D871" s="1341" t="s">
        <v>322</v>
      </c>
      <c r="E871" s="1341"/>
      <c r="F871" s="1621"/>
      <c r="G871" s="1621"/>
      <c r="H871" s="1621"/>
      <c r="I871" s="1621"/>
      <c r="J871" s="1621"/>
      <c r="K871" s="1621"/>
      <c r="L871" s="1621"/>
      <c r="M871" s="1621"/>
      <c r="N871" s="1621"/>
    </row>
    <row r="872" spans="2:14" ht="15.5" hidden="1">
      <c r="B872" s="483"/>
      <c r="C872" s="998" t="s">
        <v>328</v>
      </c>
      <c r="D872" s="485" t="s">
        <v>329</v>
      </c>
      <c r="E872" s="485"/>
      <c r="F872" s="486"/>
      <c r="G872" s="486"/>
      <c r="H872" s="486"/>
      <c r="I872" s="486"/>
      <c r="J872" s="486"/>
      <c r="K872" s="486"/>
      <c r="L872" s="486"/>
      <c r="M872" s="486"/>
      <c r="N872" s="486"/>
    </row>
    <row r="873" spans="2:14" hidden="1">
      <c r="B873" s="494"/>
      <c r="C873" s="998" t="s">
        <v>323</v>
      </c>
      <c r="D873" s="485" t="s">
        <v>324</v>
      </c>
      <c r="E873" s="485"/>
      <c r="F873" s="486"/>
      <c r="G873" s="486"/>
      <c r="H873" s="486"/>
      <c r="I873" s="486"/>
      <c r="J873" s="486"/>
      <c r="K873" s="486"/>
      <c r="L873" s="486"/>
      <c r="M873" s="486"/>
      <c r="N873" s="486"/>
    </row>
    <row r="874" spans="2:14" hidden="1">
      <c r="B874" s="494"/>
      <c r="C874" s="998" t="s">
        <v>330</v>
      </c>
      <c r="D874" s="485" t="s">
        <v>331</v>
      </c>
      <c r="E874" s="485"/>
      <c r="F874" s="486"/>
      <c r="G874" s="486"/>
      <c r="H874" s="486"/>
      <c r="I874" s="486"/>
      <c r="J874" s="486"/>
      <c r="K874" s="486"/>
      <c r="L874" s="486"/>
      <c r="M874" s="486"/>
      <c r="N874" s="486"/>
    </row>
    <row r="875" spans="2:14" hidden="1">
      <c r="B875" s="494"/>
      <c r="C875" s="998" t="s">
        <v>325</v>
      </c>
      <c r="D875" s="485" t="s">
        <v>326</v>
      </c>
      <c r="E875" s="485"/>
      <c r="F875" s="486"/>
      <c r="G875" s="486"/>
      <c r="H875" s="486"/>
      <c r="I875" s="486"/>
      <c r="J875" s="486"/>
      <c r="K875" s="486"/>
      <c r="L875" s="486"/>
      <c r="M875" s="486"/>
      <c r="N875" s="486"/>
    </row>
    <row r="876" spans="2:14" hidden="1">
      <c r="B876" s="494"/>
      <c r="C876" s="1343" t="s">
        <v>332</v>
      </c>
      <c r="D876" s="1344" t="s">
        <v>333</v>
      </c>
      <c r="E876" s="1344"/>
      <c r="F876" s="487"/>
      <c r="G876" s="487"/>
      <c r="H876" s="487"/>
      <c r="I876" s="487"/>
      <c r="J876" s="487"/>
      <c r="K876" s="487"/>
      <c r="L876" s="487"/>
      <c r="M876" s="487"/>
      <c r="N876" s="487"/>
    </row>
    <row r="877" spans="2:14" hidden="1">
      <c r="B877" s="993"/>
      <c r="C877" s="994"/>
      <c r="D877" s="994"/>
      <c r="E877" s="994"/>
      <c r="F877" s="994"/>
      <c r="G877" s="994"/>
      <c r="H877" s="994"/>
      <c r="I877" s="994"/>
      <c r="J877" s="994"/>
      <c r="K877" s="994"/>
      <c r="L877" s="994"/>
      <c r="M877" s="994"/>
      <c r="N877" s="994"/>
    </row>
    <row r="878" spans="2:14" hidden="1">
      <c r="B878" s="993"/>
      <c r="C878" s="491" t="s">
        <v>1238</v>
      </c>
      <c r="D878" s="1003"/>
      <c r="E878" s="1003"/>
      <c r="F878" s="1003"/>
      <c r="G878" s="1003"/>
      <c r="H878" s="1003"/>
      <c r="I878" s="1003"/>
      <c r="J878" s="1003"/>
      <c r="K878" s="1003"/>
      <c r="L878" s="1003"/>
      <c r="M878" s="1003"/>
      <c r="N878" s="1003"/>
    </row>
    <row r="879" spans="2:14" hidden="1">
      <c r="B879" s="993"/>
      <c r="C879" s="994"/>
      <c r="D879" s="994"/>
      <c r="E879" s="994"/>
      <c r="F879" s="994"/>
      <c r="G879" s="994"/>
      <c r="H879" s="994"/>
      <c r="I879" s="994"/>
      <c r="J879" s="994"/>
      <c r="K879" s="994"/>
      <c r="L879" s="994"/>
      <c r="M879" s="994"/>
      <c r="N879" s="994"/>
    </row>
    <row r="880" spans="2:14" ht="15.5" hidden="1">
      <c r="B880" s="483"/>
      <c r="C880" s="1377" t="s">
        <v>28</v>
      </c>
      <c r="D880" s="1377" t="s">
        <v>29</v>
      </c>
      <c r="E880" s="1377" t="s">
        <v>30</v>
      </c>
      <c r="F880" s="1377">
        <v>2013</v>
      </c>
      <c r="G880" s="1377" t="s">
        <v>132</v>
      </c>
      <c r="H880" s="1377" t="s">
        <v>133</v>
      </c>
      <c r="I880" s="1377" t="s">
        <v>134</v>
      </c>
      <c r="J880" s="1377" t="s">
        <v>135</v>
      </c>
      <c r="K880" s="1377" t="s">
        <v>136</v>
      </c>
      <c r="L880" s="1377" t="s">
        <v>137</v>
      </c>
      <c r="M880" s="1377" t="s">
        <v>138</v>
      </c>
      <c r="N880" s="1377" t="s">
        <v>139</v>
      </c>
    </row>
    <row r="881" spans="2:14" ht="15.5" hidden="1">
      <c r="B881" s="483"/>
      <c r="C881" s="1340" t="s">
        <v>321</v>
      </c>
      <c r="D881" s="1341" t="s">
        <v>322</v>
      </c>
      <c r="E881" s="1341"/>
      <c r="F881" s="1621"/>
      <c r="G881" s="1621"/>
      <c r="H881" s="1621"/>
      <c r="I881" s="1621"/>
      <c r="J881" s="1621"/>
      <c r="K881" s="1621"/>
      <c r="L881" s="1621"/>
      <c r="M881" s="1621"/>
      <c r="N881" s="1621"/>
    </row>
    <row r="882" spans="2:14" ht="15.5" hidden="1">
      <c r="B882" s="483"/>
      <c r="C882" s="998" t="s">
        <v>328</v>
      </c>
      <c r="D882" s="485" t="s">
        <v>329</v>
      </c>
      <c r="E882" s="485"/>
      <c r="F882" s="486"/>
      <c r="G882" s="486"/>
      <c r="H882" s="486"/>
      <c r="I882" s="486"/>
      <c r="J882" s="486"/>
      <c r="K882" s="486"/>
      <c r="L882" s="486"/>
      <c r="M882" s="486"/>
      <c r="N882" s="486"/>
    </row>
    <row r="883" spans="2:14" ht="15.5" hidden="1">
      <c r="B883" s="483"/>
      <c r="C883" s="998" t="s">
        <v>323</v>
      </c>
      <c r="D883" s="485" t="s">
        <v>324</v>
      </c>
      <c r="E883" s="485"/>
      <c r="F883" s="486"/>
      <c r="G883" s="486"/>
      <c r="H883" s="486"/>
      <c r="I883" s="486"/>
      <c r="J883" s="486"/>
      <c r="K883" s="486"/>
      <c r="L883" s="486"/>
      <c r="M883" s="486"/>
      <c r="N883" s="486"/>
    </row>
    <row r="884" spans="2:14" ht="15.5" hidden="1">
      <c r="B884" s="483"/>
      <c r="C884" s="998" t="s">
        <v>330</v>
      </c>
      <c r="D884" s="485" t="s">
        <v>331</v>
      </c>
      <c r="E884" s="485"/>
      <c r="F884" s="486"/>
      <c r="G884" s="486"/>
      <c r="H884" s="486"/>
      <c r="I884" s="486"/>
      <c r="J884" s="486"/>
      <c r="K884" s="486"/>
      <c r="L884" s="486"/>
      <c r="M884" s="486"/>
      <c r="N884" s="486"/>
    </row>
    <row r="885" spans="2:14" hidden="1">
      <c r="B885" s="494"/>
      <c r="C885" s="998" t="s">
        <v>325</v>
      </c>
      <c r="D885" s="485" t="s">
        <v>326</v>
      </c>
      <c r="E885" s="485"/>
      <c r="F885" s="486"/>
      <c r="G885" s="486"/>
      <c r="H885" s="486"/>
      <c r="I885" s="486"/>
      <c r="J885" s="486"/>
      <c r="K885" s="486"/>
      <c r="L885" s="486"/>
      <c r="M885" s="486"/>
      <c r="N885" s="486"/>
    </row>
    <row r="886" spans="2:14" hidden="1">
      <c r="B886" s="494"/>
      <c r="C886" s="1343" t="s">
        <v>332</v>
      </c>
      <c r="D886" s="1344" t="s">
        <v>333</v>
      </c>
      <c r="E886" s="1344"/>
      <c r="F886" s="487"/>
      <c r="G886" s="487"/>
      <c r="H886" s="487"/>
      <c r="I886" s="487"/>
      <c r="J886" s="487"/>
      <c r="K886" s="487"/>
      <c r="L886" s="487"/>
      <c r="M886" s="487"/>
      <c r="N886" s="487"/>
    </row>
    <row r="887" spans="2:14" hidden="1">
      <c r="B887" s="993"/>
      <c r="C887" s="994"/>
      <c r="D887" s="994"/>
      <c r="E887" s="994"/>
      <c r="F887" s="994"/>
      <c r="G887" s="994"/>
      <c r="H887" s="994"/>
      <c r="I887" s="994"/>
      <c r="J887" s="994"/>
      <c r="K887" s="994"/>
      <c r="L887" s="994"/>
      <c r="M887" s="994"/>
      <c r="N887" s="994"/>
    </row>
    <row r="888" spans="2:14" hidden="1">
      <c r="B888" s="993"/>
      <c r="C888" s="491" t="s">
        <v>1239</v>
      </c>
      <c r="D888" s="1003"/>
      <c r="E888" s="1003"/>
      <c r="F888" s="1003"/>
      <c r="G888" s="1003"/>
      <c r="H888" s="1003"/>
      <c r="I888" s="1003"/>
      <c r="J888" s="1003"/>
      <c r="K888" s="1003"/>
      <c r="L888" s="1003"/>
      <c r="M888" s="1003"/>
      <c r="N888" s="1003"/>
    </row>
    <row r="889" spans="2:14" hidden="1">
      <c r="B889" s="993"/>
      <c r="C889" s="994"/>
      <c r="D889" s="994"/>
      <c r="E889" s="994"/>
      <c r="F889" s="994"/>
      <c r="G889" s="994"/>
      <c r="H889" s="994"/>
      <c r="I889" s="994"/>
      <c r="J889" s="994"/>
      <c r="K889" s="994"/>
      <c r="L889" s="994"/>
      <c r="M889" s="994"/>
      <c r="N889" s="994"/>
    </row>
    <row r="890" spans="2:14" ht="15.5" hidden="1">
      <c r="B890" s="483"/>
      <c r="C890" s="1377" t="s">
        <v>28</v>
      </c>
      <c r="D890" s="1377" t="s">
        <v>29</v>
      </c>
      <c r="E890" s="1377" t="s">
        <v>30</v>
      </c>
      <c r="F890" s="1377">
        <v>2013</v>
      </c>
      <c r="G890" s="1377" t="s">
        <v>132</v>
      </c>
      <c r="H890" s="1377" t="s">
        <v>133</v>
      </c>
      <c r="I890" s="1377" t="s">
        <v>134</v>
      </c>
      <c r="J890" s="1377" t="s">
        <v>135</v>
      </c>
      <c r="K890" s="1377" t="s">
        <v>136</v>
      </c>
      <c r="L890" s="1377" t="s">
        <v>137</v>
      </c>
      <c r="M890" s="1377" t="s">
        <v>138</v>
      </c>
      <c r="N890" s="1377" t="s">
        <v>139</v>
      </c>
    </row>
    <row r="891" spans="2:14" ht="15.5" hidden="1">
      <c r="B891" s="483"/>
      <c r="C891" s="1340" t="s">
        <v>321</v>
      </c>
      <c r="D891" s="1341" t="s">
        <v>322</v>
      </c>
      <c r="E891" s="1341"/>
      <c r="F891" s="1621"/>
      <c r="G891" s="1621"/>
      <c r="H891" s="1621"/>
      <c r="I891" s="1621"/>
      <c r="J891" s="1621"/>
      <c r="K891" s="1621"/>
      <c r="L891" s="1621"/>
      <c r="M891" s="1621"/>
      <c r="N891" s="1621"/>
    </row>
    <row r="892" spans="2:14" ht="15.5" hidden="1">
      <c r="B892" s="483"/>
      <c r="C892" s="998" t="s">
        <v>328</v>
      </c>
      <c r="D892" s="485" t="s">
        <v>329</v>
      </c>
      <c r="E892" s="485"/>
      <c r="F892" s="486"/>
      <c r="G892" s="486"/>
      <c r="H892" s="486"/>
      <c r="I892" s="486"/>
      <c r="J892" s="486"/>
      <c r="K892" s="486"/>
      <c r="L892" s="486"/>
      <c r="M892" s="486"/>
      <c r="N892" s="486"/>
    </row>
    <row r="893" spans="2:14" ht="15.5" hidden="1">
      <c r="B893" s="483"/>
      <c r="C893" s="998" t="s">
        <v>323</v>
      </c>
      <c r="D893" s="485" t="s">
        <v>324</v>
      </c>
      <c r="E893" s="485"/>
      <c r="F893" s="486"/>
      <c r="G893" s="486"/>
      <c r="H893" s="486"/>
      <c r="I893" s="486"/>
      <c r="J893" s="486"/>
      <c r="K893" s="486"/>
      <c r="L893" s="486"/>
      <c r="M893" s="486"/>
      <c r="N893" s="486"/>
    </row>
    <row r="894" spans="2:14" ht="15.5" hidden="1">
      <c r="B894" s="483"/>
      <c r="C894" s="998" t="s">
        <v>330</v>
      </c>
      <c r="D894" s="485" t="s">
        <v>331</v>
      </c>
      <c r="E894" s="485"/>
      <c r="F894" s="486"/>
      <c r="G894" s="486"/>
      <c r="H894" s="486"/>
      <c r="I894" s="486"/>
      <c r="J894" s="486"/>
      <c r="K894" s="486"/>
      <c r="L894" s="486"/>
      <c r="M894" s="486"/>
      <c r="N894" s="486"/>
    </row>
    <row r="895" spans="2:14" hidden="1">
      <c r="B895" s="494"/>
      <c r="C895" s="998" t="s">
        <v>325</v>
      </c>
      <c r="D895" s="485" t="s">
        <v>326</v>
      </c>
      <c r="E895" s="485"/>
      <c r="F895" s="486"/>
      <c r="G895" s="486"/>
      <c r="H895" s="486"/>
      <c r="I895" s="486"/>
      <c r="J895" s="486"/>
      <c r="K895" s="486"/>
      <c r="L895" s="486"/>
      <c r="M895" s="486"/>
      <c r="N895" s="486"/>
    </row>
    <row r="896" spans="2:14" hidden="1">
      <c r="B896" s="494"/>
      <c r="C896" s="1343" t="s">
        <v>332</v>
      </c>
      <c r="D896" s="1344" t="s">
        <v>333</v>
      </c>
      <c r="E896" s="1344"/>
      <c r="F896" s="487"/>
      <c r="G896" s="487"/>
      <c r="H896" s="487"/>
      <c r="I896" s="487"/>
      <c r="J896" s="487"/>
      <c r="K896" s="487"/>
      <c r="L896" s="487"/>
      <c r="M896" s="487"/>
      <c r="N896" s="487"/>
    </row>
    <row r="897" spans="2:14" hidden="1">
      <c r="B897" s="993"/>
      <c r="C897" s="994"/>
      <c r="D897" s="994"/>
      <c r="E897" s="994"/>
      <c r="F897" s="994"/>
      <c r="G897" s="994"/>
      <c r="H897" s="994"/>
      <c r="I897" s="994"/>
      <c r="J897" s="994"/>
      <c r="K897" s="994"/>
      <c r="L897" s="994"/>
      <c r="M897" s="994"/>
      <c r="N897" s="994"/>
    </row>
    <row r="898" spans="2:14" hidden="1">
      <c r="B898" s="993"/>
      <c r="C898" s="491" t="s">
        <v>1240</v>
      </c>
      <c r="D898" s="1003"/>
      <c r="E898" s="1003"/>
      <c r="F898" s="1003"/>
      <c r="G898" s="1003"/>
      <c r="H898" s="1003"/>
      <c r="I898" s="1003"/>
      <c r="J898" s="1003"/>
      <c r="K898" s="1003"/>
      <c r="L898" s="1003"/>
      <c r="M898" s="1003"/>
      <c r="N898" s="1003"/>
    </row>
    <row r="899" spans="2:14" hidden="1">
      <c r="B899" s="993"/>
      <c r="C899" s="994"/>
      <c r="D899" s="994"/>
      <c r="E899" s="994"/>
      <c r="F899" s="994"/>
      <c r="G899" s="994"/>
      <c r="H899" s="994"/>
      <c r="I899" s="994"/>
      <c r="J899" s="994"/>
      <c r="K899" s="994"/>
      <c r="L899" s="994"/>
      <c r="M899" s="994"/>
      <c r="N899" s="994"/>
    </row>
    <row r="900" spans="2:14" ht="15.5" hidden="1">
      <c r="B900" s="483"/>
      <c r="C900" s="1377" t="s">
        <v>28</v>
      </c>
      <c r="D900" s="1377" t="s">
        <v>29</v>
      </c>
      <c r="E900" s="1377" t="s">
        <v>30</v>
      </c>
      <c r="F900" s="1377">
        <v>2013</v>
      </c>
      <c r="G900" s="1377" t="s">
        <v>132</v>
      </c>
      <c r="H900" s="1377" t="s">
        <v>133</v>
      </c>
      <c r="I900" s="1377" t="s">
        <v>134</v>
      </c>
      <c r="J900" s="1377" t="s">
        <v>135</v>
      </c>
      <c r="K900" s="1377" t="s">
        <v>136</v>
      </c>
      <c r="L900" s="1377" t="s">
        <v>137</v>
      </c>
      <c r="M900" s="1377" t="s">
        <v>138</v>
      </c>
      <c r="N900" s="1377" t="s">
        <v>139</v>
      </c>
    </row>
    <row r="901" spans="2:14" ht="15.5" hidden="1">
      <c r="B901" s="483"/>
      <c r="C901" s="1340" t="s">
        <v>321</v>
      </c>
      <c r="D901" s="1341" t="s">
        <v>322</v>
      </c>
      <c r="E901" s="1341"/>
      <c r="F901" s="1621"/>
      <c r="G901" s="1621"/>
      <c r="H901" s="1621"/>
      <c r="I901" s="1621"/>
      <c r="J901" s="1621"/>
      <c r="K901" s="1621"/>
      <c r="L901" s="1621"/>
      <c r="M901" s="1621"/>
      <c r="N901" s="1621"/>
    </row>
    <row r="902" spans="2:14" ht="15.5" hidden="1">
      <c r="B902" s="483"/>
      <c r="C902" s="998" t="s">
        <v>328</v>
      </c>
      <c r="D902" s="485" t="s">
        <v>329</v>
      </c>
      <c r="E902" s="485"/>
      <c r="F902" s="486"/>
      <c r="G902" s="486"/>
      <c r="H902" s="486"/>
      <c r="I902" s="486"/>
      <c r="J902" s="486"/>
      <c r="K902" s="486"/>
      <c r="L902" s="486"/>
      <c r="M902" s="486"/>
      <c r="N902" s="486"/>
    </row>
    <row r="903" spans="2:14" ht="15.5" hidden="1">
      <c r="B903" s="483"/>
      <c r="C903" s="998" t="s">
        <v>323</v>
      </c>
      <c r="D903" s="485" t="s">
        <v>324</v>
      </c>
      <c r="E903" s="485"/>
      <c r="F903" s="486"/>
      <c r="G903" s="486"/>
      <c r="H903" s="486"/>
      <c r="I903" s="486"/>
      <c r="J903" s="486"/>
      <c r="K903" s="486"/>
      <c r="L903" s="486"/>
      <c r="M903" s="486"/>
      <c r="N903" s="486"/>
    </row>
    <row r="904" spans="2:14" ht="15.5" hidden="1">
      <c r="B904" s="483"/>
      <c r="C904" s="998" t="s">
        <v>330</v>
      </c>
      <c r="D904" s="485" t="s">
        <v>331</v>
      </c>
      <c r="E904" s="485"/>
      <c r="F904" s="486"/>
      <c r="G904" s="486"/>
      <c r="H904" s="486"/>
      <c r="I904" s="486"/>
      <c r="J904" s="486"/>
      <c r="K904" s="486"/>
      <c r="L904" s="486"/>
      <c r="M904" s="486"/>
      <c r="N904" s="486"/>
    </row>
    <row r="905" spans="2:14" hidden="1">
      <c r="B905" s="494"/>
      <c r="C905" s="998" t="s">
        <v>325</v>
      </c>
      <c r="D905" s="485" t="s">
        <v>326</v>
      </c>
      <c r="E905" s="485"/>
      <c r="F905" s="486"/>
      <c r="G905" s="486"/>
      <c r="H905" s="486"/>
      <c r="I905" s="486"/>
      <c r="J905" s="486"/>
      <c r="K905" s="486"/>
      <c r="L905" s="486"/>
      <c r="M905" s="486"/>
      <c r="N905" s="486"/>
    </row>
    <row r="906" spans="2:14" hidden="1">
      <c r="B906" s="494"/>
      <c r="C906" s="1343" t="s">
        <v>332</v>
      </c>
      <c r="D906" s="1344" t="s">
        <v>333</v>
      </c>
      <c r="E906" s="1344"/>
      <c r="F906" s="487"/>
      <c r="G906" s="487"/>
      <c r="H906" s="487"/>
      <c r="I906" s="487"/>
      <c r="J906" s="487"/>
      <c r="K906" s="487"/>
      <c r="L906" s="487"/>
      <c r="M906" s="487"/>
      <c r="N906" s="487"/>
    </row>
    <row r="907" spans="2:14" hidden="1">
      <c r="B907" s="993"/>
      <c r="C907" s="994"/>
      <c r="D907" s="994"/>
      <c r="E907" s="994"/>
      <c r="F907" s="994"/>
      <c r="G907" s="994"/>
      <c r="H907" s="994"/>
      <c r="I907" s="994"/>
      <c r="J907" s="994"/>
      <c r="K907" s="994"/>
      <c r="L907" s="994"/>
      <c r="M907" s="994"/>
      <c r="N907" s="994"/>
    </row>
    <row r="908" spans="2:14" hidden="1">
      <c r="B908" s="993"/>
      <c r="C908" s="491" t="s">
        <v>1241</v>
      </c>
      <c r="D908" s="1003"/>
      <c r="E908" s="1003"/>
      <c r="F908" s="1003"/>
      <c r="G908" s="1003"/>
      <c r="H908" s="1003"/>
      <c r="I908" s="1003"/>
      <c r="J908" s="1003"/>
      <c r="K908" s="1003"/>
      <c r="L908" s="1003"/>
      <c r="M908" s="1003"/>
      <c r="N908" s="1003"/>
    </row>
    <row r="909" spans="2:14" hidden="1">
      <c r="B909" s="993"/>
      <c r="C909" s="994"/>
      <c r="D909" s="994"/>
      <c r="E909" s="994"/>
      <c r="F909" s="994"/>
      <c r="G909" s="994"/>
      <c r="H909" s="994"/>
      <c r="I909" s="994"/>
      <c r="J909" s="994"/>
      <c r="K909" s="994"/>
      <c r="L909" s="994"/>
      <c r="M909" s="994"/>
      <c r="N909" s="994"/>
    </row>
    <row r="910" spans="2:14" ht="15.5" hidden="1">
      <c r="B910" s="483"/>
      <c r="C910" s="1377" t="s">
        <v>28</v>
      </c>
      <c r="D910" s="1377" t="s">
        <v>29</v>
      </c>
      <c r="E910" s="1377" t="s">
        <v>30</v>
      </c>
      <c r="F910" s="1377">
        <v>2013</v>
      </c>
      <c r="G910" s="1377" t="s">
        <v>132</v>
      </c>
      <c r="H910" s="1377" t="s">
        <v>133</v>
      </c>
      <c r="I910" s="1377" t="s">
        <v>134</v>
      </c>
      <c r="J910" s="1377" t="s">
        <v>135</v>
      </c>
      <c r="K910" s="1377" t="s">
        <v>136</v>
      </c>
      <c r="L910" s="1377" t="s">
        <v>137</v>
      </c>
      <c r="M910" s="1377" t="s">
        <v>138</v>
      </c>
      <c r="N910" s="1377" t="s">
        <v>139</v>
      </c>
    </row>
    <row r="911" spans="2:14" ht="15.5" hidden="1">
      <c r="B911" s="483"/>
      <c r="C911" s="1340" t="s">
        <v>321</v>
      </c>
      <c r="D911" s="1341" t="s">
        <v>322</v>
      </c>
      <c r="E911" s="1341"/>
      <c r="F911" s="1621"/>
      <c r="G911" s="1621"/>
      <c r="H911" s="1621"/>
      <c r="I911" s="1621"/>
      <c r="J911" s="1621"/>
      <c r="K911" s="1621"/>
      <c r="L911" s="1621"/>
      <c r="M911" s="1621"/>
      <c r="N911" s="1621"/>
    </row>
    <row r="912" spans="2:14" ht="15.5" hidden="1">
      <c r="B912" s="483"/>
      <c r="C912" s="998" t="s">
        <v>328</v>
      </c>
      <c r="D912" s="485" t="s">
        <v>329</v>
      </c>
      <c r="E912" s="485"/>
      <c r="F912" s="486"/>
      <c r="G912" s="486"/>
      <c r="H912" s="486"/>
      <c r="I912" s="486"/>
      <c r="J912" s="486"/>
      <c r="K912" s="486"/>
      <c r="L912" s="486"/>
      <c r="M912" s="486"/>
      <c r="N912" s="486"/>
    </row>
    <row r="913" spans="2:14" ht="15.5" hidden="1">
      <c r="B913" s="483"/>
      <c r="C913" s="998" t="s">
        <v>323</v>
      </c>
      <c r="D913" s="485" t="s">
        <v>324</v>
      </c>
      <c r="E913" s="485"/>
      <c r="F913" s="486"/>
      <c r="G913" s="486"/>
      <c r="H913" s="486"/>
      <c r="I913" s="486"/>
      <c r="J913" s="486"/>
      <c r="K913" s="486"/>
      <c r="L913" s="486"/>
      <c r="M913" s="486"/>
      <c r="N913" s="486"/>
    </row>
    <row r="914" spans="2:14" ht="15.5" hidden="1">
      <c r="B914" s="483"/>
      <c r="C914" s="998" t="s">
        <v>330</v>
      </c>
      <c r="D914" s="485" t="s">
        <v>331</v>
      </c>
      <c r="E914" s="485"/>
      <c r="F914" s="486"/>
      <c r="G914" s="486"/>
      <c r="H914" s="486"/>
      <c r="I914" s="486"/>
      <c r="J914" s="486"/>
      <c r="K914" s="486"/>
      <c r="L914" s="486"/>
      <c r="M914" s="486"/>
      <c r="N914" s="486"/>
    </row>
    <row r="915" spans="2:14" hidden="1">
      <c r="B915" s="494"/>
      <c r="C915" s="998" t="s">
        <v>325</v>
      </c>
      <c r="D915" s="485" t="s">
        <v>326</v>
      </c>
      <c r="E915" s="485"/>
      <c r="F915" s="486"/>
      <c r="G915" s="486"/>
      <c r="H915" s="486"/>
      <c r="I915" s="486"/>
      <c r="J915" s="486"/>
      <c r="K915" s="486"/>
      <c r="L915" s="486"/>
      <c r="M915" s="486"/>
      <c r="N915" s="486"/>
    </row>
    <row r="916" spans="2:14" hidden="1">
      <c r="B916" s="494"/>
      <c r="C916" s="1343" t="s">
        <v>332</v>
      </c>
      <c r="D916" s="1344" t="s">
        <v>333</v>
      </c>
      <c r="E916" s="1344"/>
      <c r="F916" s="487"/>
      <c r="G916" s="487"/>
      <c r="H916" s="487"/>
      <c r="I916" s="487"/>
      <c r="J916" s="487"/>
      <c r="K916" s="487"/>
      <c r="L916" s="487"/>
      <c r="M916" s="487"/>
      <c r="N916" s="487"/>
    </row>
    <row r="917" spans="2:14" hidden="1">
      <c r="B917" s="993"/>
      <c r="C917" s="994"/>
      <c r="D917" s="994"/>
      <c r="E917" s="994"/>
      <c r="F917" s="994"/>
      <c r="G917" s="994"/>
      <c r="H917" s="994"/>
      <c r="I917" s="994"/>
      <c r="J917" s="994"/>
      <c r="K917" s="994"/>
      <c r="L917" s="994"/>
      <c r="M917" s="994"/>
      <c r="N917" s="994"/>
    </row>
    <row r="918" spans="2:14" hidden="1">
      <c r="B918" s="993"/>
      <c r="C918" s="491" t="s">
        <v>1242</v>
      </c>
      <c r="D918" s="1003"/>
      <c r="E918" s="1003"/>
      <c r="F918" s="1003"/>
      <c r="G918" s="1003"/>
      <c r="H918" s="1003"/>
      <c r="I918" s="1003"/>
      <c r="J918" s="1003"/>
      <c r="K918" s="1003"/>
      <c r="L918" s="1003"/>
      <c r="M918" s="1003"/>
      <c r="N918" s="1003"/>
    </row>
    <row r="919" spans="2:14" hidden="1">
      <c r="B919" s="993"/>
      <c r="C919" s="994"/>
      <c r="D919" s="994"/>
      <c r="E919" s="994"/>
      <c r="F919" s="994"/>
      <c r="G919" s="994"/>
      <c r="H919" s="994"/>
      <c r="I919" s="994"/>
      <c r="J919" s="994"/>
      <c r="K919" s="994"/>
      <c r="L919" s="994"/>
      <c r="M919" s="994"/>
      <c r="N919" s="994"/>
    </row>
    <row r="920" spans="2:14" ht="15.5" hidden="1">
      <c r="B920" s="483"/>
      <c r="C920" s="1377" t="s">
        <v>28</v>
      </c>
      <c r="D920" s="1377" t="s">
        <v>29</v>
      </c>
      <c r="E920" s="1377" t="s">
        <v>30</v>
      </c>
      <c r="F920" s="1377">
        <v>2013</v>
      </c>
      <c r="G920" s="1377" t="s">
        <v>132</v>
      </c>
      <c r="H920" s="1377" t="s">
        <v>133</v>
      </c>
      <c r="I920" s="1377" t="s">
        <v>134</v>
      </c>
      <c r="J920" s="1377" t="s">
        <v>135</v>
      </c>
      <c r="K920" s="1377" t="s">
        <v>136</v>
      </c>
      <c r="L920" s="1377" t="s">
        <v>137</v>
      </c>
      <c r="M920" s="1377" t="s">
        <v>138</v>
      </c>
      <c r="N920" s="1377" t="s">
        <v>139</v>
      </c>
    </row>
    <row r="921" spans="2:14" ht="15.5" hidden="1">
      <c r="B921" s="483"/>
      <c r="C921" s="1340" t="s">
        <v>321</v>
      </c>
      <c r="D921" s="1341" t="s">
        <v>322</v>
      </c>
      <c r="E921" s="1341"/>
      <c r="F921" s="1621"/>
      <c r="G921" s="1621"/>
      <c r="H921" s="1621"/>
      <c r="I921" s="1621"/>
      <c r="J921" s="1621"/>
      <c r="K921" s="1621"/>
      <c r="L921" s="1621"/>
      <c r="M921" s="1621"/>
      <c r="N921" s="1621"/>
    </row>
    <row r="922" spans="2:14" ht="15.5" hidden="1">
      <c r="B922" s="483"/>
      <c r="C922" s="998" t="s">
        <v>328</v>
      </c>
      <c r="D922" s="485" t="s">
        <v>329</v>
      </c>
      <c r="E922" s="485"/>
      <c r="F922" s="486"/>
      <c r="G922" s="486"/>
      <c r="H922" s="486"/>
      <c r="I922" s="486"/>
      <c r="J922" s="486"/>
      <c r="K922" s="486"/>
      <c r="L922" s="486"/>
      <c r="M922" s="486"/>
      <c r="N922" s="486"/>
    </row>
    <row r="923" spans="2:14" ht="15.5" hidden="1">
      <c r="B923" s="483"/>
      <c r="C923" s="998" t="s">
        <v>323</v>
      </c>
      <c r="D923" s="485" t="s">
        <v>324</v>
      </c>
      <c r="E923" s="485"/>
      <c r="F923" s="486"/>
      <c r="G923" s="486"/>
      <c r="H923" s="486"/>
      <c r="I923" s="486"/>
      <c r="J923" s="486"/>
      <c r="K923" s="486"/>
      <c r="L923" s="486"/>
      <c r="M923" s="486"/>
      <c r="N923" s="486"/>
    </row>
    <row r="924" spans="2:14" ht="15.5" hidden="1">
      <c r="B924" s="483"/>
      <c r="C924" s="998" t="s">
        <v>330</v>
      </c>
      <c r="D924" s="485" t="s">
        <v>331</v>
      </c>
      <c r="E924" s="485"/>
      <c r="F924" s="486"/>
      <c r="G924" s="486"/>
      <c r="H924" s="486"/>
      <c r="I924" s="486"/>
      <c r="J924" s="486"/>
      <c r="K924" s="486"/>
      <c r="L924" s="486"/>
      <c r="M924" s="486"/>
      <c r="N924" s="486"/>
    </row>
    <row r="925" spans="2:14" hidden="1">
      <c r="B925" s="494"/>
      <c r="C925" s="998" t="s">
        <v>325</v>
      </c>
      <c r="D925" s="485" t="s">
        <v>326</v>
      </c>
      <c r="E925" s="485"/>
      <c r="F925" s="486"/>
      <c r="G925" s="486"/>
      <c r="H925" s="486"/>
      <c r="I925" s="486"/>
      <c r="J925" s="486"/>
      <c r="K925" s="486"/>
      <c r="L925" s="486"/>
      <c r="M925" s="486"/>
      <c r="N925" s="486"/>
    </row>
    <row r="926" spans="2:14" hidden="1">
      <c r="B926" s="494"/>
      <c r="C926" s="1343" t="s">
        <v>332</v>
      </c>
      <c r="D926" s="1344" t="s">
        <v>333</v>
      </c>
      <c r="E926" s="1344"/>
      <c r="F926" s="487"/>
      <c r="G926" s="487"/>
      <c r="H926" s="487"/>
      <c r="I926" s="487"/>
      <c r="J926" s="487"/>
      <c r="K926" s="487"/>
      <c r="L926" s="487"/>
      <c r="M926" s="487"/>
      <c r="N926" s="487"/>
    </row>
    <row r="927" spans="2:14" hidden="1">
      <c r="B927" s="494"/>
      <c r="C927" s="998"/>
      <c r="D927" s="485"/>
      <c r="E927" s="485"/>
      <c r="F927" s="486"/>
      <c r="G927" s="486"/>
      <c r="H927" s="486"/>
      <c r="I927" s="486"/>
      <c r="J927" s="486"/>
      <c r="K927" s="486"/>
      <c r="L927" s="486"/>
      <c r="M927" s="486"/>
      <c r="N927" s="486"/>
    </row>
    <row r="928" spans="2:14" hidden="1">
      <c r="B928" s="993"/>
      <c r="C928" s="491" t="s">
        <v>1243</v>
      </c>
      <c r="D928" s="1003"/>
      <c r="E928" s="1003"/>
      <c r="F928" s="1003"/>
      <c r="G928" s="1003"/>
      <c r="H928" s="1003"/>
      <c r="I928" s="1003"/>
      <c r="J928" s="1003"/>
      <c r="K928" s="1003"/>
      <c r="L928" s="1003"/>
      <c r="M928" s="1003"/>
      <c r="N928" s="1003"/>
    </row>
    <row r="929" spans="1:14" hidden="1">
      <c r="B929" s="993"/>
      <c r="C929" s="994"/>
      <c r="D929" s="994"/>
      <c r="E929" s="994"/>
      <c r="F929" s="994"/>
      <c r="G929" s="994"/>
      <c r="H929" s="994"/>
      <c r="I929" s="994"/>
      <c r="J929" s="994"/>
      <c r="K929" s="994"/>
      <c r="L929" s="994"/>
      <c r="M929" s="994"/>
      <c r="N929" s="994"/>
    </row>
    <row r="930" spans="1:14" ht="15.5" hidden="1">
      <c r="B930" s="483"/>
      <c r="C930" s="1377" t="s">
        <v>28</v>
      </c>
      <c r="D930" s="1377" t="s">
        <v>29</v>
      </c>
      <c r="E930" s="1377" t="s">
        <v>30</v>
      </c>
      <c r="F930" s="1377">
        <v>2013</v>
      </c>
      <c r="G930" s="1377" t="s">
        <v>132</v>
      </c>
      <c r="H930" s="1377" t="s">
        <v>133</v>
      </c>
      <c r="I930" s="1377" t="s">
        <v>134</v>
      </c>
      <c r="J930" s="1377" t="s">
        <v>135</v>
      </c>
      <c r="K930" s="1377" t="s">
        <v>136</v>
      </c>
      <c r="L930" s="1377" t="s">
        <v>137</v>
      </c>
      <c r="M930" s="1377" t="s">
        <v>138</v>
      </c>
      <c r="N930" s="1377" t="s">
        <v>139</v>
      </c>
    </row>
    <row r="931" spans="1:14" ht="15.5" hidden="1">
      <c r="B931" s="483"/>
      <c r="C931" s="1340" t="s">
        <v>321</v>
      </c>
      <c r="D931" s="1341" t="s">
        <v>322</v>
      </c>
      <c r="E931" s="1341"/>
      <c r="F931" s="1621"/>
      <c r="G931" s="1621"/>
      <c r="H931" s="1621"/>
      <c r="I931" s="1621"/>
      <c r="J931" s="1621"/>
      <c r="K931" s="1621"/>
      <c r="L931" s="1621"/>
      <c r="M931" s="1621"/>
      <c r="N931" s="1621"/>
    </row>
    <row r="932" spans="1:14" ht="15.5" hidden="1">
      <c r="A932" s="2416" t="s">
        <v>5</v>
      </c>
      <c r="B932" s="483"/>
      <c r="C932" s="998" t="s">
        <v>328</v>
      </c>
      <c r="D932" s="485" t="s">
        <v>329</v>
      </c>
      <c r="E932" s="485"/>
      <c r="F932" s="486"/>
      <c r="G932" s="486"/>
      <c r="H932" s="486"/>
      <c r="I932" s="486"/>
      <c r="J932" s="486"/>
      <c r="K932" s="486"/>
      <c r="L932" s="486"/>
      <c r="M932" s="486"/>
      <c r="N932" s="486"/>
    </row>
    <row r="933" spans="1:14" ht="15.5" hidden="1">
      <c r="B933" s="483"/>
      <c r="C933" s="998" t="s">
        <v>323</v>
      </c>
      <c r="D933" s="485" t="s">
        <v>324</v>
      </c>
      <c r="E933" s="485"/>
      <c r="F933" s="486"/>
      <c r="G933" s="486"/>
      <c r="H933" s="486"/>
      <c r="I933" s="486"/>
      <c r="J933" s="486"/>
      <c r="K933" s="486"/>
      <c r="L933" s="486"/>
      <c r="M933" s="486"/>
      <c r="N933" s="486"/>
    </row>
    <row r="934" spans="1:14" ht="15.5" hidden="1">
      <c r="B934" s="483"/>
      <c r="C934" s="998" t="s">
        <v>330</v>
      </c>
      <c r="D934" s="485" t="s">
        <v>331</v>
      </c>
      <c r="E934" s="485"/>
      <c r="F934" s="486"/>
      <c r="G934" s="486"/>
      <c r="H934" s="486"/>
      <c r="I934" s="486"/>
      <c r="J934" s="486"/>
      <c r="K934" s="486"/>
      <c r="L934" s="486"/>
      <c r="M934" s="486"/>
      <c r="N934" s="486"/>
    </row>
    <row r="935" spans="1:14" hidden="1">
      <c r="B935" s="494"/>
      <c r="C935" s="998" t="s">
        <v>325</v>
      </c>
      <c r="D935" s="485" t="s">
        <v>326</v>
      </c>
      <c r="E935" s="485"/>
      <c r="F935" s="486"/>
      <c r="G935" s="486"/>
      <c r="H935" s="486"/>
      <c r="I935" s="486"/>
      <c r="J935" s="486"/>
      <c r="K935" s="486"/>
      <c r="L935" s="486"/>
      <c r="M935" s="486"/>
      <c r="N935" s="486"/>
    </row>
    <row r="936" spans="1:14" hidden="1">
      <c r="B936" s="494"/>
      <c r="C936" s="1343" t="s">
        <v>332</v>
      </c>
      <c r="D936" s="1344" t="s">
        <v>333</v>
      </c>
      <c r="E936" s="1344"/>
      <c r="F936" s="487"/>
      <c r="G936" s="487"/>
      <c r="H936" s="487"/>
      <c r="I936" s="487"/>
      <c r="J936" s="487"/>
      <c r="K936" s="487"/>
      <c r="L936" s="487"/>
      <c r="M936" s="487"/>
      <c r="N936" s="487"/>
    </row>
    <row r="937" spans="1:14">
      <c r="B937" s="993"/>
      <c r="C937" s="994"/>
      <c r="D937" s="994"/>
      <c r="E937" s="994"/>
      <c r="F937" s="994"/>
      <c r="G937" s="994"/>
      <c r="H937" s="994"/>
      <c r="I937" s="994"/>
      <c r="J937" s="994"/>
      <c r="K937" s="994"/>
      <c r="L937" s="994"/>
      <c r="M937" s="994"/>
      <c r="N937" s="994"/>
    </row>
    <row r="939" spans="1:14" ht="15.5">
      <c r="B939" s="1345" t="s">
        <v>973</v>
      </c>
      <c r="C939" s="1622"/>
      <c r="D939" s="1622"/>
      <c r="E939" s="1622"/>
      <c r="F939" s="1622"/>
      <c r="G939" s="1622"/>
      <c r="H939" s="1622"/>
      <c r="I939" s="1622"/>
      <c r="J939" s="1622"/>
      <c r="K939" s="1622"/>
      <c r="L939" s="1622"/>
      <c r="M939" s="1622"/>
      <c r="N939" s="1622"/>
    </row>
    <row r="940" spans="1:14">
      <c r="B940" s="1346"/>
      <c r="C940" s="1346"/>
      <c r="D940" s="1346"/>
      <c r="E940" s="1346"/>
      <c r="F940" s="1346"/>
      <c r="G940" s="1346"/>
      <c r="H940" s="1346"/>
      <c r="I940" s="1346"/>
      <c r="J940" s="1346"/>
      <c r="K940" s="1346"/>
      <c r="L940" s="1346"/>
      <c r="M940" s="1346"/>
      <c r="N940" s="1346"/>
    </row>
    <row r="941" spans="1:14">
      <c r="B941" s="1346"/>
      <c r="C941" s="1623" t="s">
        <v>1228</v>
      </c>
      <c r="D941" s="1346"/>
      <c r="E941" s="1346"/>
      <c r="F941" s="1346"/>
      <c r="G941" s="1346"/>
      <c r="H941" s="1346"/>
      <c r="I941" s="1346"/>
      <c r="J941" s="1346"/>
      <c r="K941" s="1346"/>
      <c r="L941" s="1346"/>
      <c r="M941" s="1346"/>
      <c r="N941" s="1346"/>
    </row>
    <row r="942" spans="1:14">
      <c r="B942" s="1346"/>
      <c r="C942" s="1346"/>
      <c r="D942" s="1346"/>
      <c r="E942" s="1346"/>
      <c r="F942" s="1346"/>
      <c r="G942" s="1346"/>
      <c r="H942" s="1346"/>
      <c r="I942" s="1346"/>
      <c r="J942" s="1346"/>
      <c r="K942" s="1346"/>
      <c r="L942" s="1346"/>
      <c r="M942" s="1346"/>
      <c r="N942" s="1346"/>
    </row>
    <row r="943" spans="1:14">
      <c r="B943" s="1346"/>
      <c r="C943" s="2440" t="s">
        <v>28</v>
      </c>
      <c r="D943" s="1705" t="s">
        <v>29</v>
      </c>
      <c r="E943" s="1705" t="s">
        <v>303</v>
      </c>
      <c r="F943" s="1705" t="s">
        <v>588</v>
      </c>
      <c r="G943" s="1705" t="s">
        <v>132</v>
      </c>
      <c r="H943" s="1705" t="s">
        <v>133</v>
      </c>
      <c r="I943" s="1705" t="s">
        <v>134</v>
      </c>
      <c r="J943" s="1705" t="s">
        <v>135</v>
      </c>
      <c r="K943" s="1705" t="s">
        <v>136</v>
      </c>
      <c r="L943" s="1705" t="s">
        <v>137</v>
      </c>
      <c r="M943" s="1705" t="s">
        <v>138</v>
      </c>
      <c r="N943" s="1706" t="s">
        <v>139</v>
      </c>
    </row>
    <row r="944" spans="1:14">
      <c r="B944" s="1346"/>
      <c r="C944" s="1626" t="s">
        <v>257</v>
      </c>
      <c r="D944" s="1627" t="s">
        <v>258</v>
      </c>
      <c r="E944" s="1628" t="s">
        <v>304</v>
      </c>
      <c r="F944" s="1629">
        <f t="shared" ref="F944:N944" si="150">SUMPRODUCT(F$693:F$704,F$175:F$186)-F$704*(1-F$239)*F$186</f>
        <v>1.4694743764907572</v>
      </c>
      <c r="G944" s="1629">
        <f t="shared" si="150"/>
        <v>1.2752965667617762</v>
      </c>
      <c r="H944" s="1629">
        <f t="shared" si="150"/>
        <v>1.1913936517526957</v>
      </c>
      <c r="I944" s="1629">
        <f t="shared" si="150"/>
        <v>1.1277293016268788</v>
      </c>
      <c r="J944" s="1629">
        <f t="shared" si="150"/>
        <v>1.0985806205317921</v>
      </c>
      <c r="K944" s="1629">
        <f t="shared" si="150"/>
        <v>1.0697626752876053</v>
      </c>
      <c r="L944" s="1629">
        <f t="shared" si="150"/>
        <v>1.0169755940115655</v>
      </c>
      <c r="M944" s="1629">
        <f t="shared" si="150"/>
        <v>0.97524561927030495</v>
      </c>
      <c r="N944" s="1629">
        <f t="shared" si="150"/>
        <v>0.90636786372317379</v>
      </c>
    </row>
    <row r="945" spans="2:14">
      <c r="B945" s="1346"/>
      <c r="C945" s="1626" t="s">
        <v>259</v>
      </c>
      <c r="D945" s="1627" t="s">
        <v>260</v>
      </c>
      <c r="E945" s="1628" t="s">
        <v>304</v>
      </c>
      <c r="F945" s="1629">
        <f t="shared" ref="F945:N945" si="151">SUMPRODUCT(F$693:F$704,F$191:F$202)-F$704*(1-F$239)*F$202</f>
        <v>21.590700186789103</v>
      </c>
      <c r="G945" s="1629">
        <f t="shared" si="151"/>
        <v>19.2629653436571</v>
      </c>
      <c r="H945" s="1629">
        <f t="shared" si="151"/>
        <v>15.329594105636748</v>
      </c>
      <c r="I945" s="1629">
        <f t="shared" si="151"/>
        <v>12.199235455698171</v>
      </c>
      <c r="J945" s="1629">
        <f t="shared" si="151"/>
        <v>10.582770230629562</v>
      </c>
      <c r="K945" s="1629">
        <f t="shared" si="151"/>
        <v>9.6051102489536735</v>
      </c>
      <c r="L945" s="1629">
        <f t="shared" si="151"/>
        <v>9.0530205074622394</v>
      </c>
      <c r="M945" s="1629">
        <f t="shared" si="151"/>
        <v>8.6568755058072853</v>
      </c>
      <c r="N945" s="1629">
        <f t="shared" si="151"/>
        <v>8.0350312977400495</v>
      </c>
    </row>
    <row r="946" spans="2:14">
      <c r="B946" s="1346"/>
      <c r="C946" s="1626" t="s">
        <v>261</v>
      </c>
      <c r="D946" s="1627" t="s">
        <v>262</v>
      </c>
      <c r="E946" s="1628" t="s">
        <v>304</v>
      </c>
      <c r="F946" s="1629">
        <f t="shared" ref="F946:N946" si="152">SUMPRODUCT(F$693:F$704,F$207:F$218)-F$704*(1-F$239)*F$218</f>
        <v>6.1734774484809858E-2</v>
      </c>
      <c r="G946" s="1629">
        <f t="shared" si="152"/>
        <v>2.7621238187523756E-2</v>
      </c>
      <c r="H946" s="1629">
        <f t="shared" si="152"/>
        <v>2.9027797817970578E-2</v>
      </c>
      <c r="I946" s="1629">
        <f t="shared" si="152"/>
        <v>2.7708336780626616E-2</v>
      </c>
      <c r="J946" s="1629">
        <f t="shared" si="152"/>
        <v>2.6186874477085776E-2</v>
      </c>
      <c r="K946" s="1629">
        <f t="shared" si="152"/>
        <v>2.4744181353169775E-2</v>
      </c>
      <c r="L946" s="1629">
        <f t="shared" si="152"/>
        <v>2.3852407093245136E-2</v>
      </c>
      <c r="M946" s="1629">
        <f t="shared" si="152"/>
        <v>2.3004150817470082E-2</v>
      </c>
      <c r="N946" s="1629">
        <f t="shared" si="152"/>
        <v>2.1461462947245054E-2</v>
      </c>
    </row>
    <row r="947" spans="2:14">
      <c r="B947" s="1346"/>
      <c r="C947" s="1630" t="s">
        <v>263</v>
      </c>
      <c r="D947" s="1631" t="s">
        <v>264</v>
      </c>
      <c r="E947" s="1628" t="s">
        <v>304</v>
      </c>
      <c r="F947" s="1629">
        <f t="shared" ref="F947:N947" si="153">SUMPRODUCT(F$693:F$704,F$223:F$234)-F$704*(1-F$239)*F$234</f>
        <v>4.3326886717155855</v>
      </c>
      <c r="G947" s="1629">
        <f t="shared" si="153"/>
        <v>2.4909078724414342</v>
      </c>
      <c r="H947" s="1629">
        <f t="shared" si="153"/>
        <v>2.2816366985386232</v>
      </c>
      <c r="I947" s="1629">
        <f t="shared" si="153"/>
        <v>2.3796669110260109</v>
      </c>
      <c r="J947" s="1629">
        <f t="shared" si="153"/>
        <v>2.4644985055786299</v>
      </c>
      <c r="K947" s="1629">
        <f t="shared" si="153"/>
        <v>2.3549376850596064</v>
      </c>
      <c r="L947" s="1629">
        <f t="shared" si="153"/>
        <v>2.2327799571993454</v>
      </c>
      <c r="M947" s="1629">
        <f t="shared" si="153"/>
        <v>2.1325039250936149</v>
      </c>
      <c r="N947" s="1629">
        <f t="shared" si="153"/>
        <v>1.9718405602734441</v>
      </c>
    </row>
    <row r="948" spans="2:14">
      <c r="B948" s="1632"/>
      <c r="C948" s="1632"/>
      <c r="D948" s="1632"/>
      <c r="E948" s="1632"/>
      <c r="F948" s="1632"/>
      <c r="G948" s="1632"/>
      <c r="H948" s="1632"/>
      <c r="I948" s="1632"/>
      <c r="J948" s="1632"/>
      <c r="K948" s="1632"/>
      <c r="L948" s="1632"/>
      <c r="M948" s="1632"/>
      <c r="N948" s="1632"/>
    </row>
    <row r="949" spans="2:14">
      <c r="B949" s="1632"/>
      <c r="C949" s="1632"/>
      <c r="D949" s="1632"/>
      <c r="E949" s="1632"/>
      <c r="F949" s="1632"/>
      <c r="G949" s="1632"/>
      <c r="H949" s="1632"/>
      <c r="I949" s="1632"/>
      <c r="J949" s="1632"/>
      <c r="K949" s="1632"/>
      <c r="L949" s="1632"/>
      <c r="M949" s="1632"/>
      <c r="N949" s="1632"/>
    </row>
    <row r="950" spans="2:14">
      <c r="B950" s="1632"/>
      <c r="C950" s="1633" t="s">
        <v>1229</v>
      </c>
      <c r="D950" s="1632"/>
      <c r="E950" s="1632"/>
      <c r="F950" s="1632"/>
      <c r="G950" s="1632"/>
      <c r="H950" s="1632"/>
      <c r="I950" s="1632"/>
      <c r="J950" s="1632"/>
      <c r="K950" s="1632"/>
      <c r="L950" s="1632"/>
      <c r="M950" s="1632"/>
      <c r="N950" s="1632"/>
    </row>
    <row r="951" spans="2:14">
      <c r="B951" s="1632"/>
      <c r="C951" s="1632"/>
      <c r="D951" s="1632"/>
      <c r="E951" s="1632"/>
      <c r="F951" s="1632"/>
      <c r="G951" s="1632"/>
      <c r="H951" s="1632"/>
      <c r="I951" s="1632"/>
      <c r="J951" s="1632"/>
      <c r="K951" s="1632"/>
      <c r="L951" s="1632"/>
      <c r="M951" s="1632"/>
      <c r="N951" s="1632"/>
    </row>
    <row r="952" spans="2:14">
      <c r="B952" s="1632"/>
      <c r="C952" s="2440" t="s">
        <v>28</v>
      </c>
      <c r="D952" s="1705" t="s">
        <v>29</v>
      </c>
      <c r="E952" s="1705" t="s">
        <v>303</v>
      </c>
      <c r="F952" s="1705" t="s">
        <v>588</v>
      </c>
      <c r="G952" s="1705" t="s">
        <v>132</v>
      </c>
      <c r="H952" s="1705" t="s">
        <v>133</v>
      </c>
      <c r="I952" s="1705" t="s">
        <v>134</v>
      </c>
      <c r="J952" s="1705" t="s">
        <v>135</v>
      </c>
      <c r="K952" s="1705" t="s">
        <v>136</v>
      </c>
      <c r="L952" s="1705" t="s">
        <v>137</v>
      </c>
      <c r="M952" s="1705" t="s">
        <v>138</v>
      </c>
      <c r="N952" s="1706" t="s">
        <v>139</v>
      </c>
    </row>
    <row r="953" spans="2:14">
      <c r="B953" s="1632"/>
      <c r="C953" s="1634" t="s">
        <v>257</v>
      </c>
      <c r="D953" s="1635" t="s">
        <v>258</v>
      </c>
      <c r="E953" s="1628" t="s">
        <v>304</v>
      </c>
      <c r="F953" s="1629">
        <f t="shared" ref="F953:N953" si="154">SUMPRODUCT(F$693:F$701,F$175:F$183)</f>
        <v>1.3860272193934167</v>
      </c>
      <c r="G953" s="1629">
        <f t="shared" si="154"/>
        <v>1.182350650803891</v>
      </c>
      <c r="H953" s="1629">
        <f t="shared" si="154"/>
        <v>1.1157174637141523</v>
      </c>
      <c r="I953" s="1629">
        <f t="shared" si="154"/>
        <v>1.070076425284666</v>
      </c>
      <c r="J953" s="1629">
        <f t="shared" si="154"/>
        <v>1.0580145032122548</v>
      </c>
      <c r="K953" s="1629">
        <f t="shared" si="154"/>
        <v>1.0452100188738309</v>
      </c>
      <c r="L953" s="1629">
        <f t="shared" si="154"/>
        <v>1.0038814828389397</v>
      </c>
      <c r="M953" s="1629">
        <f t="shared" si="154"/>
        <v>0.96471225252952486</v>
      </c>
      <c r="N953" s="1629">
        <f t="shared" si="154"/>
        <v>0.89680127026560452</v>
      </c>
    </row>
    <row r="954" spans="2:14">
      <c r="B954" s="1632"/>
      <c r="C954" s="1634" t="s">
        <v>259</v>
      </c>
      <c r="D954" s="1635" t="s">
        <v>260</v>
      </c>
      <c r="E954" s="1628" t="s">
        <v>304</v>
      </c>
      <c r="F954" s="1629">
        <f t="shared" ref="F954:N954" si="155">SUMPRODUCT(F$693:F$701,F$191:F$199)</f>
        <v>18.430248744172257</v>
      </c>
      <c r="G954" s="1629">
        <f t="shared" si="155"/>
        <v>15.719249633510801</v>
      </c>
      <c r="H954" s="1629">
        <f t="shared" si="155"/>
        <v>12.35912530892039</v>
      </c>
      <c r="I954" s="1629">
        <f t="shared" si="155"/>
        <v>9.8363445181670084</v>
      </c>
      <c r="J954" s="1629">
        <f t="shared" si="155"/>
        <v>8.7981454997620681</v>
      </c>
      <c r="K954" s="1629">
        <f t="shared" si="155"/>
        <v>8.3650424371605823</v>
      </c>
      <c r="L954" s="1629">
        <f t="shared" si="155"/>
        <v>8.0407264587646434</v>
      </c>
      <c r="M954" s="1629">
        <f t="shared" si="155"/>
        <v>7.7245835262762883</v>
      </c>
      <c r="N954" s="1629">
        <f t="shared" si="155"/>
        <v>7.1882921513386098</v>
      </c>
    </row>
    <row r="955" spans="2:14">
      <c r="B955" s="1632"/>
      <c r="C955" s="1634" t="s">
        <v>261</v>
      </c>
      <c r="D955" s="1635" t="s">
        <v>262</v>
      </c>
      <c r="E955" s="1628" t="s">
        <v>304</v>
      </c>
      <c r="F955" s="1629">
        <f t="shared" ref="F955:N955" si="156">SUMPRODUCT(F$693:F$701,F$207:F$215)</f>
        <v>2.4426300447809798E-2</v>
      </c>
      <c r="G955" s="1629">
        <f t="shared" si="156"/>
        <v>2.6283201485330802E-2</v>
      </c>
      <c r="H955" s="1629">
        <f t="shared" si="156"/>
        <v>2.7701862750962345E-2</v>
      </c>
      <c r="I955" s="1629">
        <f t="shared" si="156"/>
        <v>2.641421325712455E-2</v>
      </c>
      <c r="J955" s="1629">
        <f t="shared" si="156"/>
        <v>2.4927544555069736E-2</v>
      </c>
      <c r="K955" s="1629">
        <f t="shared" si="156"/>
        <v>2.3522868890265138E-2</v>
      </c>
      <c r="L955" s="1629">
        <f t="shared" si="156"/>
        <v>2.2675218048067762E-2</v>
      </c>
      <c r="M955" s="1629">
        <f t="shared" si="156"/>
        <v>2.1873903293471532E-2</v>
      </c>
      <c r="N955" s="1629">
        <f t="shared" si="156"/>
        <v>2.0415063545673705E-2</v>
      </c>
    </row>
    <row r="956" spans="2:14">
      <c r="B956" s="1632"/>
      <c r="C956" s="1636" t="s">
        <v>263</v>
      </c>
      <c r="D956" s="1637" t="s">
        <v>264</v>
      </c>
      <c r="E956" s="1628" t="s">
        <v>304</v>
      </c>
      <c r="F956" s="1629">
        <f t="shared" ref="F956:N956" si="157">SUMPRODUCT(F$693:F$701,F$223:F$231)</f>
        <v>4.0134472706627529</v>
      </c>
      <c r="G956" s="1629">
        <f t="shared" si="157"/>
        <v>2.1325644088787681</v>
      </c>
      <c r="H956" s="1629">
        <f t="shared" si="157"/>
        <v>1.9809514199498064</v>
      </c>
      <c r="I956" s="1629">
        <f t="shared" si="157"/>
        <v>2.1401151481738743</v>
      </c>
      <c r="J956" s="1629">
        <f t="shared" si="157"/>
        <v>2.2831362396193309</v>
      </c>
      <c r="K956" s="1629">
        <f t="shared" si="157"/>
        <v>2.228379028165961</v>
      </c>
      <c r="L956" s="1629">
        <f t="shared" si="157"/>
        <v>2.1315073356810754</v>
      </c>
      <c r="M956" s="1629">
        <f t="shared" si="157"/>
        <v>2.0395345453554188</v>
      </c>
      <c r="N956" s="1629">
        <f t="shared" si="157"/>
        <v>1.8873528470605523</v>
      </c>
    </row>
    <row r="957" spans="2:14">
      <c r="B957" s="1632"/>
      <c r="C957" s="1632"/>
      <c r="D957" s="1632"/>
      <c r="E957" s="1632"/>
      <c r="F957" s="1632"/>
      <c r="G957" s="1632"/>
      <c r="H957" s="1632"/>
      <c r="I957" s="1632"/>
      <c r="J957" s="1632"/>
      <c r="K957" s="1632"/>
      <c r="L957" s="1632"/>
      <c r="M957" s="1632"/>
      <c r="N957" s="1632"/>
    </row>
    <row r="958" spans="2:14">
      <c r="B958" s="1632"/>
      <c r="C958" s="1632"/>
      <c r="D958" s="1632"/>
      <c r="E958" s="1632"/>
      <c r="F958" s="1632"/>
      <c r="G958" s="1632"/>
      <c r="H958" s="1632"/>
      <c r="I958" s="1632"/>
      <c r="J958" s="1632"/>
      <c r="K958" s="1632"/>
      <c r="L958" s="1632"/>
      <c r="M958" s="1632"/>
      <c r="N958" s="1632"/>
    </row>
    <row r="959" spans="2:14">
      <c r="B959" s="1632"/>
      <c r="C959" s="1633" t="s">
        <v>1230</v>
      </c>
      <c r="D959" s="1632"/>
      <c r="E959" s="1632"/>
      <c r="F959" s="1632"/>
      <c r="G959" s="1632"/>
      <c r="H959" s="1632"/>
      <c r="I959" s="1632"/>
      <c r="J959" s="1632"/>
      <c r="K959" s="1632"/>
      <c r="L959" s="1632"/>
      <c r="M959" s="1632"/>
      <c r="N959" s="1632"/>
    </row>
    <row r="960" spans="2:14">
      <c r="B960" s="1632"/>
      <c r="C960" s="1632"/>
      <c r="D960" s="1632"/>
      <c r="E960" s="1632"/>
      <c r="F960" s="1632"/>
      <c r="G960" s="1632"/>
      <c r="H960" s="1632"/>
      <c r="I960" s="1632"/>
      <c r="J960" s="1632"/>
      <c r="K960" s="1632"/>
      <c r="L960" s="1632"/>
      <c r="M960" s="1632"/>
      <c r="N960" s="1632"/>
    </row>
    <row r="961" spans="2:14">
      <c r="B961" s="1632"/>
      <c r="C961" s="2440" t="s">
        <v>28</v>
      </c>
      <c r="D961" s="1705" t="s">
        <v>29</v>
      </c>
      <c r="E961" s="1705" t="s">
        <v>303</v>
      </c>
      <c r="F961" s="1705" t="s">
        <v>588</v>
      </c>
      <c r="G961" s="1705" t="s">
        <v>132</v>
      </c>
      <c r="H961" s="1705" t="s">
        <v>133</v>
      </c>
      <c r="I961" s="1705" t="s">
        <v>134</v>
      </c>
      <c r="J961" s="1705" t="s">
        <v>135</v>
      </c>
      <c r="K961" s="1705" t="s">
        <v>136</v>
      </c>
      <c r="L961" s="1705" t="s">
        <v>137</v>
      </c>
      <c r="M961" s="1705" t="s">
        <v>138</v>
      </c>
      <c r="N961" s="1706" t="s">
        <v>139</v>
      </c>
    </row>
    <row r="962" spans="2:14">
      <c r="B962" s="1632"/>
      <c r="C962" s="1634" t="s">
        <v>257</v>
      </c>
      <c r="D962" s="1635" t="s">
        <v>258</v>
      </c>
      <c r="E962" s="1638" t="s">
        <v>304</v>
      </c>
      <c r="F962" s="1629">
        <f t="shared" ref="F962:N962" si="158">SUMPRODUCT(F$702:F$703,F$184:F$185)</f>
        <v>8.3379938474973631E-2</v>
      </c>
      <c r="G962" s="1629">
        <f t="shared" si="158"/>
        <v>9.2874966568033082E-2</v>
      </c>
      <c r="H962" s="1629">
        <f t="shared" si="158"/>
        <v>7.560539049535428E-2</v>
      </c>
      <c r="I962" s="1629">
        <f t="shared" si="158"/>
        <v>5.7582700501834845E-2</v>
      </c>
      <c r="J962" s="1629">
        <f t="shared" si="158"/>
        <v>4.0496640620659143E-2</v>
      </c>
      <c r="K962" s="1629">
        <f t="shared" si="158"/>
        <v>2.448396880046597E-2</v>
      </c>
      <c r="L962" s="1629">
        <f t="shared" si="158"/>
        <v>1.3026468592159042E-2</v>
      </c>
      <c r="M962" s="1629">
        <f t="shared" si="158"/>
        <v>1.0466845093798036E-2</v>
      </c>
      <c r="N962" s="1629">
        <f t="shared" si="158"/>
        <v>9.5033320331863406E-3</v>
      </c>
    </row>
    <row r="963" spans="2:14">
      <c r="B963" s="1632"/>
      <c r="C963" s="1634" t="s">
        <v>259</v>
      </c>
      <c r="D963" s="1635" t="s">
        <v>260</v>
      </c>
      <c r="E963" s="1638" t="s">
        <v>304</v>
      </c>
      <c r="F963" s="1629">
        <f t="shared" ref="F963:N963" si="159">SUMPRODUCT(F$702:F$703,F$200:F$201)</f>
        <v>3.1541552192297599</v>
      </c>
      <c r="G963" s="1629">
        <f t="shared" si="159"/>
        <v>3.5370700338149992</v>
      </c>
      <c r="H963" s="1629">
        <f t="shared" si="159"/>
        <v>2.9638373435344798</v>
      </c>
      <c r="I963" s="1629">
        <f t="shared" si="159"/>
        <v>2.3563177179107893</v>
      </c>
      <c r="J963" s="1629">
        <f t="shared" si="159"/>
        <v>1.7781169983235618</v>
      </c>
      <c r="K963" s="1629">
        <f t="shared" si="159"/>
        <v>1.2336339911926699</v>
      </c>
      <c r="L963" s="1629">
        <f t="shared" si="159"/>
        <v>1.005958114069663</v>
      </c>
      <c r="M963" s="1629">
        <f t="shared" si="159"/>
        <v>0.92606104032503744</v>
      </c>
      <c r="N963" s="1629">
        <f t="shared" si="159"/>
        <v>0.84081358521504168</v>
      </c>
    </row>
    <row r="964" spans="2:14">
      <c r="B964" s="1632"/>
      <c r="C964" s="1634" t="s">
        <v>261</v>
      </c>
      <c r="D964" s="1635" t="s">
        <v>262</v>
      </c>
      <c r="E964" s="1638" t="s">
        <v>304</v>
      </c>
      <c r="F964" s="1629">
        <f t="shared" ref="F964:N964" si="160">SUMPRODUCT(F$702:F$703,F$216:F$217)</f>
        <v>3.6834374578724023E-2</v>
      </c>
      <c r="G964" s="1629">
        <f t="shared" si="160"/>
        <v>8.3762377926377136E-4</v>
      </c>
      <c r="H964" s="1629">
        <f t="shared" si="160"/>
        <v>8.2659313330876749E-4</v>
      </c>
      <c r="I964" s="1629">
        <f t="shared" si="160"/>
        <v>7.9916651998469845E-4</v>
      </c>
      <c r="J964" s="1629">
        <f t="shared" si="160"/>
        <v>7.6930403125555007E-4</v>
      </c>
      <c r="K964" s="1629">
        <f t="shared" si="160"/>
        <v>7.3685206914528062E-4</v>
      </c>
      <c r="L964" s="1629">
        <f t="shared" si="160"/>
        <v>7.0009936933524363E-4</v>
      </c>
      <c r="M964" s="1629">
        <f t="shared" si="160"/>
        <v>6.6106390066092749E-4</v>
      </c>
      <c r="N964" s="1629">
        <f t="shared" si="160"/>
        <v>6.0021044420124155E-4</v>
      </c>
    </row>
    <row r="965" spans="2:14">
      <c r="B965" s="1632"/>
      <c r="C965" s="1636" t="s">
        <v>263</v>
      </c>
      <c r="D965" s="1637" t="s">
        <v>264</v>
      </c>
      <c r="E965" s="1638" t="s">
        <v>304</v>
      </c>
      <c r="F965" s="1629">
        <f t="shared" ref="F965:N965" si="161">SUMPRODUCT(F$702:F$703,F$232:F$233)</f>
        <v>0.31744505617300461</v>
      </c>
      <c r="G965" s="1629">
        <f t="shared" si="161"/>
        <v>0.3564474179625024</v>
      </c>
      <c r="H965" s="1629">
        <f t="shared" si="161"/>
        <v>0.29879329092625639</v>
      </c>
      <c r="I965" s="1629">
        <f t="shared" si="161"/>
        <v>0.23767638952385442</v>
      </c>
      <c r="J965" s="1629">
        <f t="shared" si="161"/>
        <v>0.17950557643037224</v>
      </c>
      <c r="K965" s="1629">
        <f t="shared" si="161"/>
        <v>0.12472305482193249</v>
      </c>
      <c r="L965" s="1629">
        <f t="shared" si="161"/>
        <v>9.9464946817407168E-2</v>
      </c>
      <c r="M965" s="1629">
        <f t="shared" si="161"/>
        <v>9.1191660770647012E-2</v>
      </c>
      <c r="N965" s="1629">
        <f t="shared" si="161"/>
        <v>8.279712016323397E-2</v>
      </c>
    </row>
    <row r="966" spans="2:14">
      <c r="B966" s="1632"/>
      <c r="C966" s="1632"/>
      <c r="D966" s="1632"/>
      <c r="E966" s="1632"/>
      <c r="F966" s="1632"/>
      <c r="G966" s="1632"/>
      <c r="H966" s="1632"/>
      <c r="I966" s="1632"/>
      <c r="J966" s="1632"/>
      <c r="K966" s="1632"/>
      <c r="L966" s="1632"/>
      <c r="M966" s="1632"/>
      <c r="N966" s="1632"/>
    </row>
    <row r="967" spans="2:14">
      <c r="B967" s="1632"/>
      <c r="C967" s="1632"/>
      <c r="D967" s="1632"/>
      <c r="E967" s="1632"/>
      <c r="F967" s="1632"/>
      <c r="G967" s="1632"/>
      <c r="H967" s="1632"/>
      <c r="I967" s="1632"/>
      <c r="J967" s="1632"/>
      <c r="K967" s="1632"/>
      <c r="L967" s="1632"/>
      <c r="M967" s="1632"/>
      <c r="N967" s="1632"/>
    </row>
    <row r="968" spans="2:14">
      <c r="B968" s="1632"/>
      <c r="C968" s="1633" t="s">
        <v>1231</v>
      </c>
      <c r="D968" s="1632"/>
      <c r="E968" s="1632"/>
      <c r="F968" s="1632"/>
      <c r="G968" s="1632"/>
      <c r="H968" s="1632"/>
      <c r="I968" s="1632"/>
      <c r="J968" s="1632"/>
      <c r="K968" s="1632"/>
      <c r="L968" s="1632"/>
      <c r="M968" s="1632"/>
      <c r="N968" s="1632"/>
    </row>
    <row r="969" spans="2:14">
      <c r="B969" s="1632"/>
      <c r="C969" s="1632"/>
      <c r="D969" s="1632"/>
      <c r="E969" s="1632"/>
      <c r="F969" s="1632"/>
      <c r="G969" s="1632"/>
      <c r="H969" s="1632"/>
      <c r="I969" s="1632"/>
      <c r="J969" s="1632"/>
      <c r="K969" s="1632"/>
      <c r="L969" s="1632"/>
      <c r="M969" s="1632"/>
      <c r="N969" s="1632"/>
    </row>
    <row r="970" spans="2:14">
      <c r="B970" s="1632"/>
      <c r="C970" s="2440" t="s">
        <v>28</v>
      </c>
      <c r="D970" s="1705" t="s">
        <v>29</v>
      </c>
      <c r="E970" s="1705" t="s">
        <v>303</v>
      </c>
      <c r="F970" s="1705" t="s">
        <v>588</v>
      </c>
      <c r="G970" s="1705" t="s">
        <v>132</v>
      </c>
      <c r="H970" s="1705" t="s">
        <v>133</v>
      </c>
      <c r="I970" s="1705" t="s">
        <v>134</v>
      </c>
      <c r="J970" s="1705" t="s">
        <v>135</v>
      </c>
      <c r="K970" s="1705" t="s">
        <v>136</v>
      </c>
      <c r="L970" s="1705" t="s">
        <v>137</v>
      </c>
      <c r="M970" s="1705" t="s">
        <v>138</v>
      </c>
      <c r="N970" s="1706" t="s">
        <v>139</v>
      </c>
    </row>
    <row r="971" spans="2:14">
      <c r="B971" s="1632"/>
      <c r="C971" s="1634" t="s">
        <v>257</v>
      </c>
      <c r="D971" s="1635" t="s">
        <v>258</v>
      </c>
      <c r="E971" s="1638" t="s">
        <v>304</v>
      </c>
      <c r="F971" s="1629">
        <f t="shared" ref="F971:N971" si="162">F$704*F$239*F$186</f>
        <v>6.7218622366905847E-5</v>
      </c>
      <c r="G971" s="1629">
        <f t="shared" si="162"/>
        <v>7.0949389852100852E-5</v>
      </c>
      <c r="H971" s="1629">
        <f t="shared" si="162"/>
        <v>7.0797543189265479E-5</v>
      </c>
      <c r="I971" s="1629">
        <f t="shared" si="162"/>
        <v>7.0175840378028991E-5</v>
      </c>
      <c r="J971" s="1629">
        <f t="shared" si="162"/>
        <v>6.947669887835674E-5</v>
      </c>
      <c r="K971" s="1629">
        <f t="shared" si="162"/>
        <v>6.8687613308497902E-5</v>
      </c>
      <c r="L971" s="1629">
        <f t="shared" si="162"/>
        <v>6.7642580466544609E-5</v>
      </c>
      <c r="M971" s="1629">
        <f t="shared" si="162"/>
        <v>6.6521646982152567E-5</v>
      </c>
      <c r="N971" s="1629">
        <f t="shared" si="162"/>
        <v>6.3261424382987454E-5</v>
      </c>
    </row>
    <row r="972" spans="2:14">
      <c r="B972" s="1632"/>
      <c r="C972" s="1634" t="s">
        <v>259</v>
      </c>
      <c r="D972" s="1635" t="s">
        <v>260</v>
      </c>
      <c r="E972" s="1638" t="s">
        <v>304</v>
      </c>
      <c r="F972" s="1629">
        <f t="shared" ref="F972:N972" si="163">F$704*F$239*F$202</f>
        <v>6.2962233870859693E-3</v>
      </c>
      <c r="G972" s="1629">
        <f t="shared" si="163"/>
        <v>6.6456763312990825E-3</v>
      </c>
      <c r="H972" s="1629">
        <f t="shared" si="163"/>
        <v>6.6314531818781304E-3</v>
      </c>
      <c r="I972" s="1629">
        <f t="shared" si="163"/>
        <v>6.5732196203725406E-3</v>
      </c>
      <c r="J972" s="1629">
        <f t="shared" si="163"/>
        <v>6.5077325439327526E-3</v>
      </c>
      <c r="K972" s="1629">
        <f t="shared" si="163"/>
        <v>6.4338206004204545E-3</v>
      </c>
      <c r="L972" s="1629">
        <f t="shared" si="163"/>
        <v>6.3359346279310991E-3</v>
      </c>
      <c r="M972" s="1629">
        <f t="shared" si="163"/>
        <v>6.2309392059589934E-3</v>
      </c>
      <c r="N972" s="1629">
        <f t="shared" si="163"/>
        <v>5.9255611863988098E-3</v>
      </c>
    </row>
    <row r="973" spans="2:14">
      <c r="B973" s="1632"/>
      <c r="C973" s="1634" t="s">
        <v>261</v>
      </c>
      <c r="D973" s="1635" t="s">
        <v>262</v>
      </c>
      <c r="E973" s="1638" t="s">
        <v>304</v>
      </c>
      <c r="F973" s="1629">
        <f t="shared" ref="F973:N973" si="164">F$704*F$239*F$218</f>
        <v>4.74099458276036E-4</v>
      </c>
      <c r="G973" s="1629">
        <f t="shared" si="164"/>
        <v>5.0041292292918283E-4</v>
      </c>
      <c r="H973" s="1629">
        <f t="shared" si="164"/>
        <v>4.9934193369946718E-4</v>
      </c>
      <c r="I973" s="1629">
        <f t="shared" si="164"/>
        <v>4.9495700351736606E-4</v>
      </c>
      <c r="J973" s="1629">
        <f t="shared" si="164"/>
        <v>4.9002589076049255E-4</v>
      </c>
      <c r="K973" s="1629">
        <f t="shared" si="164"/>
        <v>4.8446039375935653E-4</v>
      </c>
      <c r="L973" s="1629">
        <f t="shared" si="164"/>
        <v>4.7708967584213463E-4</v>
      </c>
      <c r="M973" s="1629">
        <f t="shared" si="164"/>
        <v>4.6918362333762243E-4</v>
      </c>
      <c r="N973" s="1629">
        <f t="shared" si="164"/>
        <v>4.4618895737010841E-4</v>
      </c>
    </row>
    <row r="974" spans="2:14">
      <c r="B974" s="1632"/>
      <c r="C974" s="1636" t="s">
        <v>263</v>
      </c>
      <c r="D974" s="1637" t="s">
        <v>264</v>
      </c>
      <c r="E974" s="1638" t="s">
        <v>304</v>
      </c>
      <c r="F974" s="1629">
        <f t="shared" ref="F974:N974" si="165">F$704*F$239*F$234</f>
        <v>1.7963448798289088E-3</v>
      </c>
      <c r="G974" s="1629">
        <f t="shared" si="165"/>
        <v>1.8960456001632449E-3</v>
      </c>
      <c r="H974" s="1629">
        <f t="shared" si="165"/>
        <v>1.8919876625605584E-3</v>
      </c>
      <c r="I974" s="1629">
        <f t="shared" si="165"/>
        <v>1.8753733282821201E-3</v>
      </c>
      <c r="J974" s="1629">
        <f t="shared" si="165"/>
        <v>1.8566895289272782E-3</v>
      </c>
      <c r="K974" s="1629">
        <f t="shared" si="165"/>
        <v>1.8356020717130305E-3</v>
      </c>
      <c r="L974" s="1629">
        <f t="shared" si="165"/>
        <v>1.8076747008625965E-3</v>
      </c>
      <c r="M974" s="1629">
        <f t="shared" si="165"/>
        <v>1.7777189675492076E-3</v>
      </c>
      <c r="N974" s="1629">
        <f t="shared" si="165"/>
        <v>1.6905930496577976E-3</v>
      </c>
    </row>
    <row r="975" spans="2:14">
      <c r="B975" s="1632"/>
      <c r="C975" s="1632"/>
      <c r="D975" s="1632"/>
      <c r="E975" s="1632"/>
      <c r="F975" s="1632"/>
      <c r="G975" s="1632"/>
      <c r="H975" s="1632"/>
      <c r="I975" s="1632"/>
      <c r="J975" s="1632"/>
      <c r="K975" s="1632"/>
      <c r="L975" s="1632"/>
      <c r="M975" s="1632"/>
      <c r="N975" s="1632"/>
    </row>
  </sheetData>
  <conditionalFormatting sqref="G351:N353 G338:N339 G328:N329 G343:N344 G166:N166 F170:N170 F145:N146 G164:N164 F156:N157">
    <cfRule type="cellIs" dxfId="1158" priority="11"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9"/>
  </sheetPr>
  <dimension ref="A1:AC730"/>
  <sheetViews>
    <sheetView showGridLines="0" zoomScale="80" zoomScaleNormal="80" workbookViewId="0">
      <selection activeCell="N44" sqref="N44"/>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9" ht="22.5">
      <c r="A1" s="1639" t="s">
        <v>481</v>
      </c>
      <c r="B1" s="1007" t="s">
        <v>482</v>
      </c>
      <c r="C1" s="1007"/>
    </row>
    <row r="2" spans="1:19" s="6" customFormat="1" ht="15">
      <c r="A2" s="855" t="s">
        <v>471</v>
      </c>
      <c r="B2" s="855" t="s">
        <v>472</v>
      </c>
      <c r="C2" s="855"/>
      <c r="E2" s="5"/>
    </row>
    <row r="4" spans="1:19" ht="23.5">
      <c r="A4" s="7"/>
      <c r="B4" s="502" t="s">
        <v>6</v>
      </c>
      <c r="C4" s="503"/>
      <c r="D4" s="503"/>
      <c r="E4" s="503"/>
      <c r="F4" s="503"/>
      <c r="G4" s="503"/>
      <c r="H4" s="503"/>
      <c r="I4" s="503"/>
      <c r="J4" s="503"/>
      <c r="K4" s="503"/>
      <c r="L4" s="503"/>
      <c r="M4" s="503"/>
      <c r="N4" s="503"/>
      <c r="O4" s="857"/>
    </row>
    <row r="5" spans="1:19">
      <c r="B5" s="505"/>
      <c r="C5" s="506"/>
      <c r="D5" s="506"/>
      <c r="E5" s="506"/>
      <c r="F5" s="506"/>
      <c r="G5" s="506"/>
      <c r="H5" s="506"/>
      <c r="I5" s="506"/>
      <c r="J5" s="506"/>
      <c r="K5" s="506"/>
      <c r="L5" s="506"/>
      <c r="M5" s="506"/>
      <c r="N5" s="506"/>
      <c r="O5" s="858"/>
    </row>
    <row r="6" spans="1:19">
      <c r="B6" s="505"/>
      <c r="C6" s="12"/>
      <c r="D6" s="506"/>
      <c r="E6" s="507"/>
      <c r="F6" s="506"/>
      <c r="G6" s="506"/>
      <c r="H6" s="506"/>
      <c r="I6" s="506"/>
      <c r="J6" s="506"/>
      <c r="K6" s="506"/>
      <c r="L6" s="506"/>
      <c r="M6" s="506"/>
      <c r="N6" s="506"/>
      <c r="O6" s="858"/>
    </row>
    <row r="7" spans="1:19" ht="15.5">
      <c r="B7" s="15"/>
      <c r="C7" s="506"/>
      <c r="D7" s="16" t="s">
        <v>7</v>
      </c>
      <c r="E7" s="16" t="s">
        <v>8</v>
      </c>
      <c r="F7" s="506"/>
      <c r="G7" s="506"/>
      <c r="H7" s="506"/>
      <c r="I7" s="506"/>
      <c r="J7" s="506"/>
      <c r="K7" s="506"/>
      <c r="L7" s="506"/>
      <c r="M7" s="506"/>
      <c r="N7" s="506"/>
      <c r="O7" s="858"/>
    </row>
    <row r="8" spans="1:19" ht="15.5">
      <c r="B8" s="15"/>
      <c r="C8" s="506"/>
      <c r="D8" s="859" t="s">
        <v>1244</v>
      </c>
      <c r="E8" s="859">
        <f>XII.b.Scenario</f>
        <v>1</v>
      </c>
      <c r="F8" s="506"/>
      <c r="G8" s="506"/>
      <c r="H8" s="506"/>
      <c r="I8" s="506"/>
      <c r="J8" s="506"/>
      <c r="K8" s="506"/>
      <c r="L8" s="506"/>
      <c r="M8" s="506"/>
      <c r="N8" s="506"/>
      <c r="O8" s="858"/>
    </row>
    <row r="9" spans="1:19">
      <c r="B9" s="1243"/>
      <c r="C9" s="860"/>
      <c r="D9" s="860"/>
      <c r="E9" s="860"/>
      <c r="F9" s="860"/>
      <c r="G9" s="860"/>
      <c r="H9" s="860"/>
      <c r="I9" s="860"/>
      <c r="J9" s="860"/>
      <c r="K9" s="860"/>
      <c r="L9" s="860"/>
      <c r="M9" s="860"/>
      <c r="N9" s="860"/>
      <c r="O9" s="861"/>
    </row>
    <row r="11" spans="1:19" s="6" customFormat="1" ht="23.5">
      <c r="A11" s="40"/>
      <c r="B11" s="869" t="s">
        <v>33</v>
      </c>
      <c r="C11" s="870"/>
      <c r="D11" s="870"/>
      <c r="E11" s="870"/>
      <c r="F11" s="870"/>
      <c r="G11" s="870"/>
      <c r="H11" s="870"/>
      <c r="I11" s="870"/>
      <c r="J11" s="870"/>
      <c r="K11" s="870"/>
      <c r="L11" s="870"/>
      <c r="M11" s="870"/>
      <c r="N11" s="870"/>
      <c r="O11" s="871"/>
    </row>
    <row r="12" spans="1:19">
      <c r="B12" s="105"/>
      <c r="C12" s="67"/>
      <c r="D12" s="67"/>
      <c r="E12" s="67"/>
      <c r="F12" s="67"/>
      <c r="G12" s="67"/>
      <c r="H12" s="67"/>
      <c r="I12" s="67"/>
      <c r="J12" s="67"/>
      <c r="K12" s="67"/>
      <c r="L12" s="67"/>
      <c r="M12" s="67"/>
      <c r="N12" s="67"/>
      <c r="O12" s="876"/>
    </row>
    <row r="13" spans="1:19" s="4158" customFormat="1">
      <c r="B13" s="105"/>
      <c r="C13" s="3826" t="s">
        <v>3460</v>
      </c>
      <c r="D13" s="67"/>
      <c r="E13" s="67"/>
      <c r="F13" s="67"/>
      <c r="G13" s="67"/>
      <c r="H13" s="67"/>
      <c r="I13" s="67"/>
      <c r="J13" s="67"/>
      <c r="K13" s="67"/>
      <c r="L13" s="67"/>
      <c r="M13" s="67"/>
      <c r="N13" s="67"/>
      <c r="O13" s="876"/>
    </row>
    <row r="14" spans="1:19" s="4158" customFormat="1">
      <c r="B14" s="105"/>
      <c r="C14" s="67"/>
      <c r="D14" s="67"/>
      <c r="E14" s="67"/>
      <c r="F14" s="67"/>
      <c r="G14" s="67"/>
      <c r="H14" s="67"/>
      <c r="I14" s="67"/>
      <c r="J14" s="67"/>
      <c r="K14" s="67"/>
      <c r="L14" s="67"/>
      <c r="M14" s="67"/>
      <c r="N14" s="67"/>
      <c r="O14" s="876"/>
    </row>
    <row r="15" spans="1:19" ht="15.5">
      <c r="B15" s="55"/>
      <c r="C15" s="49" t="s">
        <v>3472</v>
      </c>
      <c r="D15" s="67"/>
      <c r="E15" s="51"/>
      <c r="F15" s="67"/>
      <c r="G15" s="67"/>
      <c r="H15" s="67"/>
      <c r="I15" s="67"/>
      <c r="J15" s="67"/>
      <c r="K15" s="67"/>
      <c r="L15" s="67"/>
      <c r="M15" s="67"/>
      <c r="N15" s="51" t="s">
        <v>3461</v>
      </c>
      <c r="O15" s="876"/>
    </row>
    <row r="16" spans="1:19" ht="15.5">
      <c r="B16" s="55"/>
      <c r="C16" s="67"/>
      <c r="D16" s="67"/>
      <c r="E16" s="67"/>
      <c r="F16" s="67" t="s">
        <v>5</v>
      </c>
      <c r="G16" s="67"/>
      <c r="H16" s="67"/>
      <c r="I16" s="67"/>
      <c r="J16" s="67"/>
      <c r="K16" s="67"/>
      <c r="L16" s="67"/>
      <c r="M16" s="67"/>
      <c r="N16" s="67"/>
      <c r="O16" s="876"/>
      <c r="P16" s="377"/>
      <c r="Q16" s="377" t="s">
        <v>3569</v>
      </c>
      <c r="S16" s="377" t="s">
        <v>2105</v>
      </c>
    </row>
    <row r="17" spans="2:19" ht="15.5">
      <c r="B17" s="55"/>
      <c r="C17" s="878" t="s">
        <v>8</v>
      </c>
      <c r="D17" s="878" t="s">
        <v>34</v>
      </c>
      <c r="E17" s="878" t="s">
        <v>30</v>
      </c>
      <c r="F17" s="87">
        <v>2013</v>
      </c>
      <c r="G17" s="87">
        <v>2015</v>
      </c>
      <c r="H17" s="87">
        <v>2020</v>
      </c>
      <c r="I17" s="87">
        <v>2025</v>
      </c>
      <c r="J17" s="87">
        <v>2030</v>
      </c>
      <c r="K17" s="87">
        <v>2035</v>
      </c>
      <c r="L17" s="87">
        <v>2040</v>
      </c>
      <c r="M17" s="87">
        <v>2045</v>
      </c>
      <c r="N17" s="87">
        <v>2050</v>
      </c>
      <c r="O17" s="876"/>
      <c r="P17" s="377" t="s">
        <v>3469</v>
      </c>
      <c r="Q17" s="377" t="s">
        <v>3470</v>
      </c>
      <c r="S17" s="377" t="s">
        <v>3470</v>
      </c>
    </row>
    <row r="18" spans="2:19" ht="15.5">
      <c r="B18" s="55"/>
      <c r="C18" s="65">
        <v>1</v>
      </c>
      <c r="D18" s="103" t="s">
        <v>1249</v>
      </c>
      <c r="E18" s="1256"/>
      <c r="F18" s="1652">
        <v>9.1379999999999999</v>
      </c>
      <c r="G18" s="1478">
        <f>F18*(1+$P18)^(G$64-F$64)</f>
        <v>9.5358736449705948</v>
      </c>
      <c r="H18" s="1478">
        <f t="shared" ref="H18:M18" si="0">G18*(1+$P18)^(H$64-G$64)</f>
        <v>10.60800762095052</v>
      </c>
      <c r="I18" s="1478">
        <f t="shared" si="0"/>
        <v>11.800683385260115</v>
      </c>
      <c r="J18" s="1478">
        <f t="shared" si="0"/>
        <v>13.127453649649265</v>
      </c>
      <c r="K18" s="1478">
        <f t="shared" si="0"/>
        <v>14.603394879566228</v>
      </c>
      <c r="L18" s="1478">
        <f t="shared" si="0"/>
        <v>16.245278612294996</v>
      </c>
      <c r="M18" s="1478">
        <f t="shared" si="0"/>
        <v>18.071762036672961</v>
      </c>
      <c r="N18" s="1652">
        <f>F18*(1+Q18)</f>
        <v>20.1036</v>
      </c>
      <c r="O18" s="876"/>
      <c r="P18" s="4166">
        <f>(N18/F18)^(1/(N$64-F$64))-1</f>
        <v>2.1538330578743325E-2</v>
      </c>
      <c r="Q18" s="391">
        <v>1.2</v>
      </c>
      <c r="S18" s="391">
        <v>0.35288920832594184</v>
      </c>
    </row>
    <row r="19" spans="2:19" ht="15.5">
      <c r="B19" s="55"/>
      <c r="C19" s="65">
        <v>2</v>
      </c>
      <c r="D19" s="103" t="s">
        <v>1249</v>
      </c>
      <c r="E19" s="1256"/>
      <c r="F19" s="1652">
        <v>9.1379999999999999</v>
      </c>
      <c r="G19" s="1478">
        <f>F19*(1+$P19)^(G$64-F$64)</f>
        <v>9.4738979053496593</v>
      </c>
      <c r="H19" s="1478">
        <f t="shared" ref="H19:M19" si="1">G19*(1+$P19)^(H$64-G$64)</f>
        <v>10.368658399743794</v>
      </c>
      <c r="I19" s="1478">
        <f t="shared" si="1"/>
        <v>11.347924379665312</v>
      </c>
      <c r="J19" s="1478">
        <f t="shared" si="1"/>
        <v>12.419676949699138</v>
      </c>
      <c r="K19" s="1478">
        <f t="shared" si="1"/>
        <v>13.59265098834201</v>
      </c>
      <c r="L19" s="1478">
        <f t="shared" si="1"/>
        <v>14.876406338036897</v>
      </c>
      <c r="M19" s="1478">
        <f t="shared" si="1"/>
        <v>16.281405718736753</v>
      </c>
      <c r="N19" s="1652">
        <f>F19*(1+Q19)</f>
        <v>17.819099999999999</v>
      </c>
      <c r="O19" s="876"/>
      <c r="P19" s="4166">
        <f>(N19/F19)^(1/(N$64-F$64))-1</f>
        <v>1.8213318159337133E-2</v>
      </c>
      <c r="Q19" s="391">
        <v>0.95</v>
      </c>
      <c r="S19" s="391">
        <v>0.17387330545026553</v>
      </c>
    </row>
    <row r="20" spans="2:19" ht="15.5">
      <c r="B20" s="55"/>
      <c r="C20" s="65">
        <v>3</v>
      </c>
      <c r="D20" s="103" t="s">
        <v>1249</v>
      </c>
      <c r="E20" s="1256"/>
      <c r="F20" s="1653">
        <v>9.1379999999999999</v>
      </c>
      <c r="G20" s="1550">
        <f t="shared" ref="G20:M20" si="2">F20*(1+$P20)^(G$64-F$64)</f>
        <v>9.3731305570286718</v>
      </c>
      <c r="H20" s="1550">
        <f t="shared" si="2"/>
        <v>9.9877680439436798</v>
      </c>
      <c r="I20" s="1550">
        <f t="shared" si="2"/>
        <v>10.642710020167002</v>
      </c>
      <c r="J20" s="1550">
        <f t="shared" si="2"/>
        <v>11.340599428722756</v>
      </c>
      <c r="K20" s="1550">
        <f t="shared" si="2"/>
        <v>12.084252522059115</v>
      </c>
      <c r="L20" s="1550">
        <f t="shared" si="2"/>
        <v>12.876670226711177</v>
      </c>
      <c r="M20" s="1550">
        <f t="shared" si="2"/>
        <v>13.721050253194877</v>
      </c>
      <c r="N20" s="1653">
        <f>F20*(1+Q20)</f>
        <v>14.620800000000001</v>
      </c>
      <c r="O20" s="876"/>
      <c r="P20" s="4166">
        <f>(N20/F20)^(1/(N$64-F$64))-1</f>
        <v>1.2783824075126793E-2</v>
      </c>
      <c r="Q20" s="391">
        <v>0.6</v>
      </c>
      <c r="S20" s="391">
        <v>-0.12497643897421146</v>
      </c>
    </row>
    <row r="21" spans="2:19" ht="15.5">
      <c r="B21" s="55"/>
      <c r="C21" s="887">
        <v>4</v>
      </c>
      <c r="D21" s="888" t="s">
        <v>1249</v>
      </c>
      <c r="E21" s="888"/>
      <c r="F21" s="1654">
        <v>9.1379999999999999</v>
      </c>
      <c r="G21" s="1486">
        <f t="shared" ref="G21:M21" si="3">F21*(1+$P21)^(G$64-F$64)</f>
        <v>9.3057196906079422</v>
      </c>
      <c r="H21" s="1486">
        <f t="shared" si="3"/>
        <v>9.7386105431618653</v>
      </c>
      <c r="I21" s="1486">
        <f t="shared" si="3"/>
        <v>10.191638955889022</v>
      </c>
      <c r="J21" s="1486">
        <f t="shared" si="3"/>
        <v>10.665741703792484</v>
      </c>
      <c r="K21" s="1486">
        <f t="shared" si="3"/>
        <v>11.161899139518235</v>
      </c>
      <c r="L21" s="1486">
        <f t="shared" si="3"/>
        <v>11.681137220534545</v>
      </c>
      <c r="M21" s="1486">
        <f t="shared" si="3"/>
        <v>12.224529630613278</v>
      </c>
      <c r="N21" s="1654">
        <f>F21*(1+Q21)</f>
        <v>12.793199999999999</v>
      </c>
      <c r="O21" s="876"/>
      <c r="P21" s="4166">
        <f>(N21/F21)^(1/(N$64-F$64))-1</f>
        <v>9.1353188604079705E-3</v>
      </c>
      <c r="Q21" s="391">
        <v>0.4</v>
      </c>
      <c r="S21" s="391">
        <v>-0.23716743465973752</v>
      </c>
    </row>
    <row r="22" spans="2:19">
      <c r="B22" s="45"/>
      <c r="C22" s="65"/>
      <c r="D22" s="103"/>
      <c r="E22" s="103"/>
      <c r="F22" s="74"/>
      <c r="G22" s="77"/>
      <c r="H22" s="77"/>
      <c r="I22" s="77"/>
      <c r="J22" s="77"/>
      <c r="K22" s="77"/>
      <c r="L22" s="77"/>
      <c r="M22" s="77"/>
      <c r="N22" s="77"/>
      <c r="O22" s="876"/>
      <c r="Q22" s="3900" t="s">
        <v>5</v>
      </c>
      <c r="R22" t="s">
        <v>5</v>
      </c>
    </row>
    <row r="23" spans="2:19">
      <c r="B23" s="45"/>
      <c r="C23" s="49" t="s">
        <v>3467</v>
      </c>
      <c r="D23" s="67"/>
      <c r="E23" s="51"/>
      <c r="F23" s="67"/>
      <c r="G23" s="67"/>
      <c r="H23" s="67"/>
      <c r="I23" s="67"/>
      <c r="J23" s="67"/>
      <c r="K23" s="67"/>
      <c r="L23" s="67"/>
      <c r="M23" s="67" t="s">
        <v>5</v>
      </c>
      <c r="N23" s="51" t="s">
        <v>3461</v>
      </c>
      <c r="O23" s="876"/>
    </row>
    <row r="24" spans="2:19">
      <c r="B24" s="45"/>
      <c r="C24" s="67"/>
      <c r="D24" s="67"/>
      <c r="E24" s="67"/>
      <c r="F24" s="67"/>
      <c r="G24" s="67"/>
      <c r="H24" s="67"/>
      <c r="I24" s="67"/>
      <c r="J24" s="67"/>
      <c r="K24" s="67"/>
      <c r="L24" s="67"/>
      <c r="M24" s="67"/>
      <c r="N24" s="67"/>
      <c r="O24" s="876"/>
    </row>
    <row r="25" spans="2:19" ht="15.5">
      <c r="B25" s="55"/>
      <c r="C25" s="878" t="s">
        <v>8</v>
      </c>
      <c r="D25" s="878" t="s">
        <v>34</v>
      </c>
      <c r="E25" s="878" t="s">
        <v>30</v>
      </c>
      <c r="F25" s="87">
        <v>2013</v>
      </c>
      <c r="G25" s="87">
        <v>2015</v>
      </c>
      <c r="H25" s="87">
        <v>2020</v>
      </c>
      <c r="I25" s="87">
        <v>2025</v>
      </c>
      <c r="J25" s="87">
        <v>2030</v>
      </c>
      <c r="K25" s="87">
        <v>2035</v>
      </c>
      <c r="L25" s="87">
        <v>2040</v>
      </c>
      <c r="M25" s="87">
        <v>2045</v>
      </c>
      <c r="N25" s="87">
        <v>2050</v>
      </c>
      <c r="O25" s="876"/>
    </row>
    <row r="26" spans="2:19" ht="15.5">
      <c r="B26" s="55"/>
      <c r="C26" s="65">
        <v>1</v>
      </c>
      <c r="D26" s="103" t="s">
        <v>3453</v>
      </c>
      <c r="E26" s="1256"/>
      <c r="F26" s="4164">
        <v>0</v>
      </c>
      <c r="G26" s="4164">
        <v>0</v>
      </c>
      <c r="H26" s="4164">
        <v>0</v>
      </c>
      <c r="I26" s="4164">
        <v>0</v>
      </c>
      <c r="J26" s="4164">
        <v>0</v>
      </c>
      <c r="K26" s="4164">
        <v>0</v>
      </c>
      <c r="L26" s="4164">
        <v>0</v>
      </c>
      <c r="M26" s="4164">
        <v>0</v>
      </c>
      <c r="N26" s="4164">
        <v>0</v>
      </c>
      <c r="O26" s="876"/>
    </row>
    <row r="27" spans="2:19" ht="15.5">
      <c r="B27" s="55"/>
      <c r="C27" s="65">
        <v>2</v>
      </c>
      <c r="D27" s="103" t="s">
        <v>3453</v>
      </c>
      <c r="E27" s="1256"/>
      <c r="F27" s="4164">
        <v>0</v>
      </c>
      <c r="G27" s="4164">
        <v>0</v>
      </c>
      <c r="H27" s="4164">
        <v>0</v>
      </c>
      <c r="I27" s="4164">
        <v>0</v>
      </c>
      <c r="J27" s="4164">
        <v>0.02</v>
      </c>
      <c r="K27" s="4164">
        <v>0.04</v>
      </c>
      <c r="L27" s="4164">
        <v>0.06</v>
      </c>
      <c r="M27" s="4164">
        <v>0.08</v>
      </c>
      <c r="N27" s="4164">
        <v>0.1</v>
      </c>
      <c r="O27" s="876"/>
      <c r="Q27" s="4168"/>
    </row>
    <row r="28" spans="2:19" ht="15.5">
      <c r="B28" s="55"/>
      <c r="C28" s="65">
        <v>3</v>
      </c>
      <c r="D28" s="103" t="s">
        <v>3453</v>
      </c>
      <c r="E28" s="1256"/>
      <c r="F28" s="4165">
        <v>0</v>
      </c>
      <c r="G28" s="4165">
        <v>0</v>
      </c>
      <c r="H28" s="4165">
        <v>0.05</v>
      </c>
      <c r="I28" s="4165">
        <v>7.0000000000000007E-2</v>
      </c>
      <c r="J28" s="4165">
        <v>0.1</v>
      </c>
      <c r="K28" s="4165">
        <v>0.13</v>
      </c>
      <c r="L28" s="4165">
        <v>0.17</v>
      </c>
      <c r="M28" s="4165">
        <v>0.21</v>
      </c>
      <c r="N28" s="4165">
        <v>0.25</v>
      </c>
      <c r="O28" s="876"/>
      <c r="Q28" s="4168"/>
    </row>
    <row r="29" spans="2:19" ht="15.5">
      <c r="B29" s="55"/>
      <c r="C29" s="887">
        <v>4</v>
      </c>
      <c r="D29" s="888" t="s">
        <v>3453</v>
      </c>
      <c r="E29" s="888"/>
      <c r="F29" s="4163">
        <v>0</v>
      </c>
      <c r="G29" s="4163">
        <v>0</v>
      </c>
      <c r="H29" s="4163">
        <v>0.05</v>
      </c>
      <c r="I29" s="4163">
        <v>0.1</v>
      </c>
      <c r="J29" s="4163">
        <v>0.2</v>
      </c>
      <c r="K29" s="4163">
        <v>0.25</v>
      </c>
      <c r="L29" s="4163">
        <v>0.3</v>
      </c>
      <c r="M29" s="4163">
        <v>0.35</v>
      </c>
      <c r="N29" s="4163">
        <v>0.4</v>
      </c>
      <c r="O29" s="876"/>
      <c r="Q29" s="4168"/>
    </row>
    <row r="30" spans="2:19" ht="15.5">
      <c r="B30" s="55"/>
      <c r="C30" s="65"/>
      <c r="D30" s="103"/>
      <c r="E30" s="103"/>
      <c r="F30" s="1653"/>
      <c r="G30" s="60"/>
      <c r="H30" s="60"/>
      <c r="I30" s="60"/>
      <c r="J30" s="60"/>
      <c r="K30" s="60"/>
      <c r="L30" s="60"/>
      <c r="M30" s="60"/>
      <c r="N30" s="60"/>
      <c r="O30" s="876"/>
    </row>
    <row r="31" spans="2:19" s="4158" customFormat="1">
      <c r="B31" s="45"/>
      <c r="C31" s="49" t="s">
        <v>3475</v>
      </c>
      <c r="D31" s="67"/>
      <c r="E31" s="51"/>
      <c r="F31" s="67"/>
      <c r="G31" s="67"/>
      <c r="H31" s="67"/>
      <c r="I31" s="67"/>
      <c r="J31" s="67"/>
      <c r="K31" s="67"/>
      <c r="L31" s="67"/>
      <c r="M31" s="67"/>
      <c r="N31" s="51" t="s">
        <v>1248</v>
      </c>
      <c r="O31" s="876"/>
    </row>
    <row r="32" spans="2:19" s="4158" customFormat="1">
      <c r="B32" s="45"/>
      <c r="C32" s="67"/>
      <c r="D32" s="67"/>
      <c r="E32" s="67"/>
      <c r="F32" s="67" t="s">
        <v>5</v>
      </c>
      <c r="G32" s="67"/>
      <c r="H32" s="67"/>
      <c r="I32" s="67"/>
      <c r="J32" s="67"/>
      <c r="K32" s="67"/>
      <c r="L32" s="67"/>
      <c r="M32" s="67"/>
      <c r="N32" s="67"/>
      <c r="O32" s="876"/>
      <c r="Q32" s="377" t="s">
        <v>3569</v>
      </c>
      <c r="S32" s="377" t="s">
        <v>2105</v>
      </c>
    </row>
    <row r="33" spans="2:29" s="4158" customFormat="1">
      <c r="B33" s="45"/>
      <c r="C33" s="878" t="s">
        <v>8</v>
      </c>
      <c r="D33" s="878" t="s">
        <v>34</v>
      </c>
      <c r="E33" s="878" t="s">
        <v>30</v>
      </c>
      <c r="F33" s="87">
        <v>2013</v>
      </c>
      <c r="G33" s="87">
        <v>2015</v>
      </c>
      <c r="H33" s="87">
        <v>2020</v>
      </c>
      <c r="I33" s="87">
        <v>2025</v>
      </c>
      <c r="J33" s="87">
        <v>2030</v>
      </c>
      <c r="K33" s="87">
        <v>2035</v>
      </c>
      <c r="L33" s="87">
        <v>2040</v>
      </c>
      <c r="M33" s="87">
        <v>2045</v>
      </c>
      <c r="N33" s="87">
        <v>2050</v>
      </c>
      <c r="O33" s="876"/>
      <c r="P33" s="377" t="s">
        <v>3469</v>
      </c>
      <c r="Q33" s="377" t="s">
        <v>3470</v>
      </c>
      <c r="S33" s="377" t="s">
        <v>3470</v>
      </c>
    </row>
    <row r="34" spans="2:29" s="4158" customFormat="1">
      <c r="B34" s="45"/>
      <c r="C34" s="65">
        <v>1</v>
      </c>
      <c r="D34" s="103" t="s">
        <v>1249</v>
      </c>
      <c r="E34" s="1256"/>
      <c r="F34" s="1652">
        <v>4.0949999999999998</v>
      </c>
      <c r="G34" s="1478">
        <f>F34*(1+$P34)^(G$64-F$64)</f>
        <v>4.2732985966463763</v>
      </c>
      <c r="H34" s="1478">
        <f t="shared" ref="H34:M34" si="4">G34*(1+$P34)^(H$64-G$64)</f>
        <v>4.7537525944180761</v>
      </c>
      <c r="I34" s="1478">
        <f t="shared" si="4"/>
        <v>5.2882248262902349</v>
      </c>
      <c r="J34" s="1478">
        <f t="shared" si="4"/>
        <v>5.8827886512709275</v>
      </c>
      <c r="K34" s="1478">
        <f t="shared" si="4"/>
        <v>6.5442002661220942</v>
      </c>
      <c r="L34" s="1478">
        <f t="shared" si="4"/>
        <v>7.2799754779325898</v>
      </c>
      <c r="M34" s="1478">
        <f t="shared" si="4"/>
        <v>8.0984751083580395</v>
      </c>
      <c r="N34" s="1652">
        <f>F34*(1+Q34)</f>
        <v>9.0090000000000003</v>
      </c>
      <c r="O34" s="876"/>
      <c r="P34" s="4166">
        <f>(N34/F34)^(1/(N$64-F$64))-1</f>
        <v>2.1538330578743325E-2</v>
      </c>
      <c r="Q34" s="391">
        <v>1.2</v>
      </c>
      <c r="R34" s="4169" t="s">
        <v>5</v>
      </c>
      <c r="S34" s="391">
        <v>0.35288920832594184</v>
      </c>
    </row>
    <row r="35" spans="2:29" s="4158" customFormat="1">
      <c r="B35" s="45"/>
      <c r="C35" s="65">
        <v>2</v>
      </c>
      <c r="D35" s="103" t="s">
        <v>1249</v>
      </c>
      <c r="E35" s="1256"/>
      <c r="F35" s="1652">
        <v>4.0949999999999998</v>
      </c>
      <c r="G35" s="1478">
        <f>F35*(1+$P35)^(G$64-F$64)</f>
        <v>4.2455254894295091</v>
      </c>
      <c r="H35" s="1478">
        <f t="shared" ref="H35:M35" si="5">G35*(1+$P35)^(H$64-G$64)</f>
        <v>4.6464933406599735</v>
      </c>
      <c r="I35" s="1478">
        <f t="shared" si="5"/>
        <v>5.0853305247022824</v>
      </c>
      <c r="J35" s="1478">
        <f t="shared" si="5"/>
        <v>5.5656136035257147</v>
      </c>
      <c r="K35" s="1478">
        <f t="shared" si="5"/>
        <v>6.0912569268177439</v>
      </c>
      <c r="L35" s="1478">
        <f t="shared" si="5"/>
        <v>6.6665445342811456</v>
      </c>
      <c r="M35" s="1478">
        <f t="shared" si="5"/>
        <v>7.2961650709375157</v>
      </c>
      <c r="N35" s="1652">
        <f>F35*(1+Q35)</f>
        <v>7.9852499999999997</v>
      </c>
      <c r="O35" s="876"/>
      <c r="P35" s="4166">
        <f>(N35/F35)^(1/(N$64-F$64))-1</f>
        <v>1.8213318159337133E-2</v>
      </c>
      <c r="Q35" s="391">
        <v>0.95</v>
      </c>
      <c r="R35" s="4169"/>
      <c r="S35" s="391">
        <v>0.17387330545026553</v>
      </c>
    </row>
    <row r="36" spans="2:29" s="4158" customFormat="1">
      <c r="B36" s="45"/>
      <c r="C36" s="65">
        <v>3</v>
      </c>
      <c r="D36" s="103" t="s">
        <v>1249</v>
      </c>
      <c r="E36" s="1256"/>
      <c r="F36" s="1653">
        <v>4.0949999999999998</v>
      </c>
      <c r="G36" s="1550">
        <f t="shared" ref="G36:M36" si="6">F36*(1+$P36)^(G$64-F$64)</f>
        <v>4.200368749292231</v>
      </c>
      <c r="H36" s="1550">
        <f t="shared" si="6"/>
        <v>4.4758054431986611</v>
      </c>
      <c r="I36" s="1550">
        <f t="shared" si="6"/>
        <v>4.7693037352357042</v>
      </c>
      <c r="J36" s="1550">
        <f t="shared" si="6"/>
        <v>5.0820480040074063</v>
      </c>
      <c r="K36" s="1550">
        <f t="shared" si="6"/>
        <v>5.4153002930435621</v>
      </c>
      <c r="L36" s="1550">
        <f t="shared" si="6"/>
        <v>5.7704054036312389</v>
      </c>
      <c r="M36" s="1550">
        <f t="shared" si="6"/>
        <v>6.1487963216057144</v>
      </c>
      <c r="N36" s="1653">
        <f>F36*(1+Q36)</f>
        <v>6.5519999999999996</v>
      </c>
      <c r="O36" s="876"/>
      <c r="P36" s="4166">
        <f>(N36/F36)^(1/(N$64-F$64))-1</f>
        <v>1.2783824075126793E-2</v>
      </c>
      <c r="Q36" s="391">
        <v>0.6</v>
      </c>
      <c r="R36" s="4169"/>
      <c r="S36" s="391">
        <v>-0.12497643897421146</v>
      </c>
    </row>
    <row r="37" spans="2:29" s="4158" customFormat="1">
      <c r="B37" s="45"/>
      <c r="C37" s="887">
        <v>4</v>
      </c>
      <c r="D37" s="888" t="s">
        <v>1249</v>
      </c>
      <c r="E37" s="888"/>
      <c r="F37" s="1654">
        <v>4.0949999999999998</v>
      </c>
      <c r="G37" s="1486">
        <f t="shared" ref="G37:M37" si="7">F37*(1+$P37)^(G$64-F$64)</f>
        <v>4.1701600058042807</v>
      </c>
      <c r="H37" s="1486">
        <f t="shared" si="7"/>
        <v>4.3641508179303825</v>
      </c>
      <c r="I37" s="1486">
        <f t="shared" si="7"/>
        <v>4.5671658485845414</v>
      </c>
      <c r="J37" s="1486">
        <f t="shared" si="7"/>
        <v>4.7796248935248649</v>
      </c>
      <c r="K37" s="1486">
        <f t="shared" si="7"/>
        <v>5.0019672769016372</v>
      </c>
      <c r="L37" s="1486">
        <f t="shared" si="7"/>
        <v>5.2346527596945664</v>
      </c>
      <c r="M37" s="1486">
        <f t="shared" si="7"/>
        <v>5.4781624904094279</v>
      </c>
      <c r="N37" s="1654">
        <f>F37*(1+Q37)</f>
        <v>5.7329999999999997</v>
      </c>
      <c r="O37" s="876"/>
      <c r="P37" s="4166">
        <f>(N37/F37)^(1/(N$64-F$64))-1</f>
        <v>9.1353188604079705E-3</v>
      </c>
      <c r="Q37" s="391">
        <v>0.4</v>
      </c>
      <c r="R37" s="4169"/>
      <c r="S37" s="391">
        <v>-0.23716743465973752</v>
      </c>
    </row>
    <row r="38" spans="2:29" s="4158" customFormat="1">
      <c r="B38" s="45"/>
      <c r="C38" s="65"/>
      <c r="D38" s="103"/>
      <c r="E38" s="103"/>
      <c r="F38" s="74"/>
      <c r="G38" s="77"/>
      <c r="H38" s="77"/>
      <c r="I38" s="77" t="s">
        <v>5</v>
      </c>
      <c r="J38" s="77"/>
      <c r="K38" s="77"/>
      <c r="L38" s="77"/>
      <c r="M38" s="77"/>
      <c r="N38" s="77"/>
      <c r="O38" s="876"/>
    </row>
    <row r="39" spans="2:29" s="4158" customFormat="1">
      <c r="B39" s="45"/>
      <c r="C39" s="49" t="s">
        <v>3468</v>
      </c>
      <c r="D39" s="67"/>
      <c r="E39" s="51"/>
      <c r="F39" s="67"/>
      <c r="G39" s="67"/>
      <c r="H39" s="67"/>
      <c r="I39" s="67"/>
      <c r="J39" s="67"/>
      <c r="K39" s="67"/>
      <c r="L39" s="67"/>
      <c r="M39" s="67"/>
      <c r="N39" s="51" t="s">
        <v>1248</v>
      </c>
      <c r="O39" s="876"/>
    </row>
    <row r="40" spans="2:29" s="4158" customFormat="1">
      <c r="B40" s="45"/>
      <c r="C40" s="67"/>
      <c r="D40" s="67"/>
      <c r="E40" s="67"/>
      <c r="F40" s="67" t="s">
        <v>5</v>
      </c>
      <c r="G40" s="67"/>
      <c r="H40" s="67"/>
      <c r="I40" s="67"/>
      <c r="J40" s="67"/>
      <c r="K40" s="67"/>
      <c r="L40" s="67"/>
      <c r="M40" s="67"/>
      <c r="N40" s="67"/>
      <c r="O40" s="876"/>
    </row>
    <row r="41" spans="2:29" s="4158" customFormat="1">
      <c r="B41" s="45"/>
      <c r="C41" s="878" t="s">
        <v>8</v>
      </c>
      <c r="D41" s="878" t="s">
        <v>34</v>
      </c>
      <c r="E41" s="878" t="s">
        <v>30</v>
      </c>
      <c r="F41" s="87">
        <v>2013</v>
      </c>
      <c r="G41" s="87">
        <v>2015</v>
      </c>
      <c r="H41" s="87">
        <v>2020</v>
      </c>
      <c r="I41" s="87">
        <v>2025</v>
      </c>
      <c r="J41" s="87">
        <v>2030</v>
      </c>
      <c r="K41" s="87">
        <v>2035</v>
      </c>
      <c r="L41" s="87">
        <v>2040</v>
      </c>
      <c r="M41" s="87">
        <v>2045</v>
      </c>
      <c r="N41" s="87">
        <v>2050</v>
      </c>
      <c r="O41" s="876"/>
      <c r="X41"/>
      <c r="Y41"/>
      <c r="Z41"/>
      <c r="AA41"/>
      <c r="AB41"/>
      <c r="AC41"/>
    </row>
    <row r="42" spans="2:29" s="4158" customFormat="1">
      <c r="B42" s="45"/>
      <c r="C42" s="65">
        <v>1</v>
      </c>
      <c r="D42" s="103" t="s">
        <v>984</v>
      </c>
      <c r="E42" s="1256"/>
      <c r="F42" s="4164">
        <v>0</v>
      </c>
      <c r="G42" s="4164">
        <v>0</v>
      </c>
      <c r="H42" s="4164">
        <v>-6.9388939039072284E-18</v>
      </c>
      <c r="I42" s="4164">
        <v>1.6666666666666663E-2</v>
      </c>
      <c r="J42" s="4164">
        <v>3.3333333333333333E-2</v>
      </c>
      <c r="K42" s="4164">
        <v>0.05</v>
      </c>
      <c r="L42" s="4164">
        <v>6.6666666666666666E-2</v>
      </c>
      <c r="M42" s="4164">
        <v>8.3333333333333343E-2</v>
      </c>
      <c r="N42" s="4164">
        <v>0.10000000000000002</v>
      </c>
      <c r="O42" s="876"/>
      <c r="X42"/>
      <c r="Y42"/>
      <c r="Z42"/>
      <c r="AA42"/>
      <c r="AB42"/>
      <c r="AC42"/>
    </row>
    <row r="43" spans="2:29" s="4158" customFormat="1">
      <c r="B43" s="45"/>
      <c r="C43" s="65">
        <v>2</v>
      </c>
      <c r="D43" s="103" t="s">
        <v>984</v>
      </c>
      <c r="E43" s="1256"/>
      <c r="F43" s="4164">
        <v>0</v>
      </c>
      <c r="G43" s="4164">
        <v>0</v>
      </c>
      <c r="H43" s="4164">
        <v>-2.0816681711721685E-17</v>
      </c>
      <c r="I43" s="4164">
        <v>4.9999999999999975E-2</v>
      </c>
      <c r="J43" s="4164">
        <v>9.9999999999999978E-2</v>
      </c>
      <c r="K43" s="4164">
        <v>0.14999999999999997</v>
      </c>
      <c r="L43" s="4164">
        <v>0.19999999999999996</v>
      </c>
      <c r="M43" s="4164">
        <v>0.24999999999999997</v>
      </c>
      <c r="N43" s="4164">
        <v>0.29999999999999993</v>
      </c>
      <c r="O43" s="876"/>
      <c r="X43"/>
      <c r="Y43"/>
      <c r="Z43"/>
      <c r="AA43"/>
      <c r="AB43"/>
      <c r="AC43"/>
    </row>
    <row r="44" spans="2:29" s="4158" customFormat="1">
      <c r="B44" s="45"/>
      <c r="C44" s="65">
        <v>3</v>
      </c>
      <c r="D44" s="103" t="s">
        <v>984</v>
      </c>
      <c r="E44" s="1256"/>
      <c r="F44" s="4165">
        <v>0</v>
      </c>
      <c r="G44" s="4165">
        <v>0</v>
      </c>
      <c r="H44" s="4165">
        <v>0.05</v>
      </c>
      <c r="I44" s="4165">
        <v>9.9999999999999964E-2</v>
      </c>
      <c r="J44" s="4165">
        <v>0.17999999999999997</v>
      </c>
      <c r="K44" s="4165">
        <v>0.25999999999999995</v>
      </c>
      <c r="L44" s="4165">
        <v>0.33999999999999997</v>
      </c>
      <c r="M44" s="4165">
        <v>0.42</v>
      </c>
      <c r="N44" s="4165">
        <v>0.49999999999999994</v>
      </c>
      <c r="O44" s="876"/>
      <c r="X44"/>
      <c r="Y44"/>
      <c r="Z44"/>
      <c r="AA44"/>
      <c r="AB44"/>
      <c r="AC44"/>
    </row>
    <row r="45" spans="2:29" s="4158" customFormat="1">
      <c r="B45" s="45"/>
      <c r="C45" s="887">
        <v>4</v>
      </c>
      <c r="D45" s="888" t="s">
        <v>984</v>
      </c>
      <c r="E45" s="888"/>
      <c r="F45" s="4163">
        <v>0</v>
      </c>
      <c r="G45" s="4163">
        <v>0</v>
      </c>
      <c r="H45" s="4163">
        <v>0.05</v>
      </c>
      <c r="I45" s="4163">
        <v>0.1</v>
      </c>
      <c r="J45" s="4163">
        <v>0.6</v>
      </c>
      <c r="K45" s="4163">
        <v>0.7</v>
      </c>
      <c r="L45" s="4163">
        <v>0.8</v>
      </c>
      <c r="M45" s="4163">
        <v>0.9</v>
      </c>
      <c r="N45" s="4163">
        <v>1</v>
      </c>
      <c r="O45" s="876"/>
      <c r="P45" s="4169" t="s">
        <v>5</v>
      </c>
      <c r="X45"/>
      <c r="Y45"/>
      <c r="Z45"/>
      <c r="AA45"/>
      <c r="AB45"/>
      <c r="AC45"/>
    </row>
    <row r="46" spans="2:29" s="4158" customFormat="1">
      <c r="B46" s="45"/>
      <c r="C46" s="65"/>
      <c r="D46" s="103"/>
      <c r="E46" s="103"/>
      <c r="F46" s="1653"/>
      <c r="G46" s="60"/>
      <c r="H46" s="60"/>
      <c r="I46" s="60"/>
      <c r="J46" s="60"/>
      <c r="K46" s="60"/>
      <c r="L46" s="60"/>
      <c r="M46" s="60"/>
      <c r="N46" s="60"/>
      <c r="O46" s="876"/>
      <c r="X46"/>
      <c r="Y46"/>
      <c r="Z46"/>
      <c r="AA46"/>
      <c r="AB46"/>
      <c r="AC46"/>
    </row>
    <row r="47" spans="2:29" s="4158" customFormat="1">
      <c r="B47" s="45"/>
      <c r="C47" s="2207" t="s">
        <v>3476</v>
      </c>
      <c r="D47" s="103"/>
      <c r="E47" s="103"/>
      <c r="F47" s="1653"/>
      <c r="G47" s="60"/>
      <c r="H47" s="60"/>
      <c r="I47" s="60"/>
      <c r="J47" s="60"/>
      <c r="K47" s="60"/>
      <c r="L47" s="60" t="s">
        <v>5</v>
      </c>
      <c r="M47" s="60"/>
      <c r="N47" s="51" t="str">
        <f>Preferences.EnergyUnits</f>
        <v>TWh</v>
      </c>
      <c r="O47" s="876"/>
      <c r="X47"/>
      <c r="Y47"/>
      <c r="Z47"/>
      <c r="AA47"/>
      <c r="AB47"/>
      <c r="AC47"/>
    </row>
    <row r="48" spans="2:29" s="4158" customFormat="1">
      <c r="B48" s="45"/>
      <c r="C48" s="2207"/>
      <c r="D48" s="103"/>
      <c r="E48" s="103"/>
      <c r="F48" s="1653"/>
      <c r="G48" s="60"/>
      <c r="H48" s="60"/>
      <c r="I48" s="60"/>
      <c r="J48" s="60"/>
      <c r="K48" s="60"/>
      <c r="L48" s="60"/>
      <c r="M48" s="60"/>
      <c r="N48" s="60"/>
      <c r="O48" s="876"/>
      <c r="Q48" s="377" t="s">
        <v>3570</v>
      </c>
      <c r="R48" s="4169"/>
      <c r="S48" s="377" t="s">
        <v>2105</v>
      </c>
      <c r="X48"/>
      <c r="Y48"/>
      <c r="Z48"/>
      <c r="AA48"/>
      <c r="AB48"/>
      <c r="AC48"/>
    </row>
    <row r="49" spans="2:29" s="4158" customFormat="1">
      <c r="B49" s="45"/>
      <c r="C49" s="878" t="s">
        <v>8</v>
      </c>
      <c r="D49" s="878" t="s">
        <v>34</v>
      </c>
      <c r="E49" s="878" t="s">
        <v>30</v>
      </c>
      <c r="F49" s="87">
        <v>2013</v>
      </c>
      <c r="G49" s="87">
        <v>2015</v>
      </c>
      <c r="H49" s="87">
        <v>2020</v>
      </c>
      <c r="I49" s="87">
        <v>2025</v>
      </c>
      <c r="J49" s="87">
        <v>2030</v>
      </c>
      <c r="K49" s="87">
        <v>2035</v>
      </c>
      <c r="L49" s="87">
        <v>2040</v>
      </c>
      <c r="M49" s="87">
        <v>2045</v>
      </c>
      <c r="N49" s="87">
        <v>2050</v>
      </c>
      <c r="O49" s="876"/>
      <c r="P49" s="377" t="s">
        <v>3469</v>
      </c>
      <c r="Q49" s="377" t="s">
        <v>3470</v>
      </c>
      <c r="R49" s="4169"/>
      <c r="S49" s="377" t="s">
        <v>3470</v>
      </c>
      <c r="X49"/>
      <c r="Y49"/>
      <c r="Z49"/>
      <c r="AA49"/>
      <c r="AB49"/>
      <c r="AC49"/>
    </row>
    <row r="50" spans="2:29" s="4158" customFormat="1">
      <c r="B50" s="45"/>
      <c r="C50" s="65">
        <v>1</v>
      </c>
      <c r="D50" s="103" t="s">
        <v>1249</v>
      </c>
      <c r="E50" s="1256"/>
      <c r="F50" s="4213">
        <f>(Unit.TWh)*5</f>
        <v>5</v>
      </c>
      <c r="G50" s="4214">
        <f>(Unit.TWh)*5.08235807915864</f>
        <v>5.0823580791586398</v>
      </c>
      <c r="H50" s="4214">
        <f>(Unit.TWh)*5.29423725357464</f>
        <v>5.2942372535746403</v>
      </c>
      <c r="I50" s="4214">
        <f>(Unit.TWh)*5.51494949009527</f>
        <v>5.5149494900952698</v>
      </c>
      <c r="J50" s="4214">
        <f>(Unit.TWh)*5.74486303154742</f>
        <v>5.7448630315474203</v>
      </c>
      <c r="K50" s="4214">
        <f>(Unit.TWh)*5.9843614724874</f>
        <v>5.9843614724874001</v>
      </c>
      <c r="L50" s="4214">
        <f>(Unit.TWh)*6.2338443992015</f>
        <v>6.2338443992014998</v>
      </c>
      <c r="M50" s="4214">
        <f>(Unit.TWh)*6.4937280563875</f>
        <v>6.4937280563874999</v>
      </c>
      <c r="N50" s="4213">
        <f>(Unit.TWh)*6.76444604162971</f>
        <v>6.7644460416297099</v>
      </c>
      <c r="O50" s="876"/>
      <c r="P50" s="4166">
        <f>(N50/F50)^(1/(N$64-F$64))-1</f>
        <v>8.2021701185377438E-3</v>
      </c>
      <c r="Q50" s="391">
        <v>0.35288920832594184</v>
      </c>
      <c r="R50" s="4169" t="s">
        <v>5</v>
      </c>
      <c r="S50" s="391">
        <v>0.35288920832594184</v>
      </c>
      <c r="X50"/>
      <c r="Y50"/>
      <c r="Z50"/>
      <c r="AA50"/>
      <c r="AB50"/>
      <c r="AC50"/>
    </row>
    <row r="51" spans="2:29" s="4158" customFormat="1">
      <c r="B51" s="45"/>
      <c r="C51" s="65">
        <v>2</v>
      </c>
      <c r="D51" s="103" t="s">
        <v>1249</v>
      </c>
      <c r="E51" s="1256"/>
      <c r="F51" s="4213">
        <f>(Unit.TWh)*5</f>
        <v>5</v>
      </c>
      <c r="G51" s="4214">
        <f>(Unit.TWh)*5.0435149660317</f>
        <v>5.0435149660317</v>
      </c>
      <c r="H51" s="4214">
        <f>(Unit.TWh)*5.15396645699563</f>
        <v>5.1539664569956303</v>
      </c>
      <c r="I51" s="4214">
        <f>(Unit.TWh)*5.26683680305137</f>
        <v>5.2668368030513699</v>
      </c>
      <c r="J51" s="4214">
        <f>(Unit.TWh)*5.38217897641235</f>
        <v>5.3821789764123498</v>
      </c>
      <c r="K51" s="4214">
        <f>(Unit.TWh)*5.5000471093679</f>
        <v>5.5000471093679</v>
      </c>
      <c r="L51" s="4214">
        <f>(Unit.TWh)*5.62049651968848</f>
        <v>5.62049651968848</v>
      </c>
      <c r="M51" s="4214">
        <f>(Unit.TWh)*5.74358373658746</f>
        <v>5.7435837365874596</v>
      </c>
      <c r="N51" s="4213">
        <f>(Unit.TWh)*5.86936652725133</f>
        <v>5.86936652725133</v>
      </c>
      <c r="O51" s="876"/>
      <c r="P51" s="4166">
        <f>(N51/F51)^(1/(N$64-F$64))-1</f>
        <v>4.3420698180178796E-3</v>
      </c>
      <c r="Q51" s="391">
        <v>0.17387330545026553</v>
      </c>
      <c r="R51" s="4169"/>
      <c r="S51" s="391">
        <v>0.17387330545026553</v>
      </c>
      <c r="X51"/>
      <c r="Y51"/>
      <c r="Z51"/>
      <c r="AA51"/>
      <c r="AB51"/>
      <c r="AC51"/>
    </row>
    <row r="52" spans="2:29" s="4158" customFormat="1">
      <c r="B52" s="45"/>
      <c r="C52" s="65">
        <v>3</v>
      </c>
      <c r="D52" s="103" t="s">
        <v>1249</v>
      </c>
      <c r="E52" s="1256"/>
      <c r="F52" s="4213">
        <f>(Unit.TWh)*5</f>
        <v>5</v>
      </c>
      <c r="G52" s="4216">
        <f>(Unit.TWh)*5.02582597737953</f>
        <v>5.0258259773795304</v>
      </c>
      <c r="H52" s="4216">
        <f>(Unit.TWh)*5.09097603749606</f>
        <v>5.09097603749606</v>
      </c>
      <c r="I52" s="4216">
        <f>(Unit.TWh)*5.15697064144525</f>
        <v>5.1569706414452501</v>
      </c>
      <c r="J52" s="4216">
        <f>(Unit.TWh)*5.2238207370955</f>
        <v>5.2238207370955001</v>
      </c>
      <c r="K52" s="4216">
        <f>(Unit.TWh)*5.29153741423305</f>
        <v>5.2915374142330496</v>
      </c>
      <c r="L52" s="4216">
        <f>(Unit.TWh)*5.36013190640166</f>
        <v>5.3601319064016604</v>
      </c>
      <c r="M52" s="4216">
        <f>(Unit.TWh)*5.42961559276613</f>
        <v>5.4296155927661296</v>
      </c>
      <c r="N52" s="4215">
        <f>(Unit.TWh)*5.5</f>
        <v>5.5</v>
      </c>
      <c r="O52" s="876"/>
      <c r="P52" s="4166">
        <f>(N52/F52)^(1/(N$64-F$64))-1</f>
        <v>2.5792714174306397E-3</v>
      </c>
      <c r="Q52" s="391">
        <v>0.1</v>
      </c>
      <c r="R52" s="4169"/>
      <c r="S52" s="391">
        <v>-0.12497643897421146</v>
      </c>
    </row>
    <row r="53" spans="2:29" s="4158" customFormat="1">
      <c r="B53" s="45"/>
      <c r="C53" s="887">
        <v>4</v>
      </c>
      <c r="D53" s="888" t="s">
        <v>1249</v>
      </c>
      <c r="E53" s="888"/>
      <c r="F53" s="4219">
        <f>(Unit.TWh)*5</f>
        <v>5</v>
      </c>
      <c r="G53" s="4218">
        <f t="shared" ref="G53:N53" si="8">(Unit.TWh)*5</f>
        <v>5</v>
      </c>
      <c r="H53" s="4218">
        <f t="shared" si="8"/>
        <v>5</v>
      </c>
      <c r="I53" s="4218">
        <f t="shared" si="8"/>
        <v>5</v>
      </c>
      <c r="J53" s="4218">
        <f t="shared" si="8"/>
        <v>5</v>
      </c>
      <c r="K53" s="4218">
        <f t="shared" si="8"/>
        <v>5</v>
      </c>
      <c r="L53" s="4218">
        <f t="shared" si="8"/>
        <v>5</v>
      </c>
      <c r="M53" s="4218">
        <f t="shared" si="8"/>
        <v>5</v>
      </c>
      <c r="N53" s="4217">
        <f t="shared" si="8"/>
        <v>5</v>
      </c>
      <c r="O53" s="876"/>
      <c r="P53" s="4166">
        <f>(N53/F53)^(1/(N$64-F$64))-1</f>
        <v>0</v>
      </c>
      <c r="Q53" s="391">
        <v>0</v>
      </c>
      <c r="R53" s="4169"/>
      <c r="S53" s="391">
        <v>-0.23716743465973752</v>
      </c>
    </row>
    <row r="54" spans="2:29" s="4158" customFormat="1">
      <c r="B54" s="45"/>
      <c r="C54" s="65"/>
      <c r="D54" s="103"/>
      <c r="E54" s="103"/>
      <c r="F54" s="1653"/>
      <c r="G54" s="60"/>
      <c r="H54" s="60"/>
      <c r="I54" s="60"/>
      <c r="J54" s="60"/>
      <c r="K54" s="60"/>
      <c r="L54" s="60"/>
      <c r="M54" s="60"/>
      <c r="N54" s="60"/>
      <c r="O54" s="876"/>
    </row>
    <row r="55" spans="2:29" s="4168" customFormat="1">
      <c r="B55" s="45"/>
      <c r="C55" s="3567" t="s">
        <v>63</v>
      </c>
      <c r="D55" s="103"/>
      <c r="E55" s="103"/>
      <c r="F55" s="1653"/>
      <c r="G55" s="60"/>
      <c r="H55" s="60"/>
      <c r="I55" s="60"/>
      <c r="J55" s="60"/>
      <c r="K55" s="60"/>
      <c r="L55" s="60"/>
      <c r="M55" s="60"/>
      <c r="N55" s="60"/>
      <c r="O55" s="876"/>
    </row>
    <row r="56" spans="2:29" s="4168" customFormat="1">
      <c r="B56" s="45"/>
      <c r="C56" s="3834" t="s">
        <v>64</v>
      </c>
      <c r="D56" s="2248" t="s">
        <v>3473</v>
      </c>
      <c r="E56" s="103"/>
      <c r="F56" s="1653"/>
      <c r="G56" s="60"/>
      <c r="H56" s="60"/>
      <c r="I56" s="60"/>
      <c r="J56" s="60"/>
      <c r="K56" s="60"/>
      <c r="L56" s="60"/>
      <c r="M56" s="60"/>
      <c r="N56" s="60"/>
      <c r="O56" s="876"/>
      <c r="T56"/>
      <c r="U56"/>
      <c r="V56"/>
      <c r="W56"/>
      <c r="X56"/>
      <c r="Y56"/>
      <c r="Z56"/>
      <c r="AA56"/>
      <c r="AB56"/>
    </row>
    <row r="57" spans="2:29" s="4168" customFormat="1">
      <c r="B57" s="45"/>
      <c r="C57" s="3834" t="s">
        <v>66</v>
      </c>
      <c r="D57" s="2248" t="s">
        <v>3474</v>
      </c>
      <c r="E57" s="103"/>
      <c r="F57" s="1653"/>
      <c r="G57" s="60"/>
      <c r="H57" s="60"/>
      <c r="I57" s="60"/>
      <c r="J57" s="60"/>
      <c r="K57" s="60"/>
      <c r="L57" s="60"/>
      <c r="M57" s="60"/>
      <c r="N57" s="60"/>
      <c r="O57" s="876"/>
      <c r="T57"/>
      <c r="U57"/>
      <c r="V57"/>
      <c r="W57"/>
      <c r="X57"/>
      <c r="Y57"/>
      <c r="Z57"/>
      <c r="AA57"/>
      <c r="AB57"/>
    </row>
    <row r="58" spans="2:29" s="4168" customFormat="1">
      <c r="B58" s="45"/>
      <c r="C58" s="3834" t="s">
        <v>105</v>
      </c>
      <c r="D58" s="2248" t="s">
        <v>3477</v>
      </c>
      <c r="E58" s="103"/>
      <c r="F58" s="1653"/>
      <c r="G58" s="60"/>
      <c r="H58" s="60"/>
      <c r="I58" s="60"/>
      <c r="J58" s="60"/>
      <c r="K58" s="60"/>
      <c r="L58" s="60"/>
      <c r="M58" s="60"/>
      <c r="N58" s="60"/>
      <c r="O58" s="876"/>
      <c r="T58"/>
      <c r="U58"/>
      <c r="V58"/>
      <c r="W58"/>
      <c r="X58"/>
      <c r="Y58"/>
      <c r="Z58"/>
      <c r="AA58"/>
      <c r="AB58"/>
    </row>
    <row r="59" spans="2:29" s="4158" customFormat="1">
      <c r="B59" s="45"/>
      <c r="C59" s="65"/>
      <c r="D59" s="103"/>
      <c r="E59" s="103"/>
      <c r="F59" s="1653"/>
      <c r="G59" s="60"/>
      <c r="H59" s="60"/>
      <c r="I59" s="60"/>
      <c r="J59" s="60"/>
      <c r="K59" s="60"/>
      <c r="L59" s="60"/>
      <c r="M59" s="60"/>
      <c r="N59" s="60"/>
      <c r="O59" s="876"/>
      <c r="T59"/>
      <c r="U59"/>
      <c r="V59"/>
      <c r="W59"/>
      <c r="X59"/>
      <c r="Y59"/>
      <c r="Z59"/>
      <c r="AA59"/>
      <c r="AB59"/>
    </row>
    <row r="60" spans="2:29" s="4158" customFormat="1">
      <c r="B60" s="45"/>
      <c r="C60" s="3567" t="s">
        <v>3459</v>
      </c>
      <c r="D60" s="103"/>
      <c r="E60" s="103"/>
      <c r="F60" s="74"/>
      <c r="G60" s="77"/>
      <c r="H60" s="77"/>
      <c r="I60" s="77"/>
      <c r="J60" s="77"/>
      <c r="K60" s="77"/>
      <c r="L60" s="77"/>
      <c r="M60" s="77"/>
      <c r="N60" s="77"/>
      <c r="O60" s="876"/>
    </row>
    <row r="61" spans="2:29" s="4158" customFormat="1">
      <c r="B61" s="45"/>
      <c r="C61" s="65"/>
      <c r="D61" s="103"/>
      <c r="E61" s="103"/>
      <c r="F61" s="74"/>
      <c r="G61" s="77"/>
      <c r="H61" s="77"/>
      <c r="I61" s="77"/>
      <c r="J61" s="77"/>
      <c r="K61" s="77"/>
      <c r="L61" s="77"/>
      <c r="M61" s="77"/>
      <c r="N61" s="77"/>
      <c r="O61" s="876"/>
    </row>
    <row r="62" spans="2:29" s="4158" customFormat="1">
      <c r="B62" s="45"/>
      <c r="C62" s="49" t="s">
        <v>3479</v>
      </c>
      <c r="D62" s="67"/>
      <c r="E62" s="51"/>
      <c r="F62" s="67"/>
      <c r="G62" s="67"/>
      <c r="H62" s="67"/>
      <c r="I62" s="67"/>
      <c r="J62" s="67"/>
      <c r="K62" s="67"/>
      <c r="L62" s="67"/>
      <c r="M62" s="67"/>
      <c r="N62" s="51" t="str">
        <f>Preferences.EnergyUnits &amp; " / bn tonne-km"</f>
        <v>TWh / bn tonne-km</v>
      </c>
      <c r="O62" s="876"/>
    </row>
    <row r="63" spans="2:29" s="4158" customFormat="1">
      <c r="B63" s="45"/>
      <c r="C63" s="67"/>
      <c r="D63" s="67"/>
      <c r="E63" s="67"/>
      <c r="F63" s="67"/>
      <c r="G63" s="67"/>
      <c r="H63" s="67"/>
      <c r="I63" s="67"/>
      <c r="J63" s="67"/>
      <c r="K63" s="67"/>
      <c r="L63" s="67"/>
      <c r="M63" s="67"/>
      <c r="N63" s="67"/>
      <c r="O63" s="876"/>
    </row>
    <row r="64" spans="2:29" s="4158" customFormat="1">
      <c r="B64" s="45"/>
      <c r="C64" s="878" t="s">
        <v>8</v>
      </c>
      <c r="D64" s="878" t="s">
        <v>34</v>
      </c>
      <c r="E64" s="878" t="s">
        <v>30</v>
      </c>
      <c r="F64" s="87">
        <v>2013</v>
      </c>
      <c r="G64" s="87">
        <v>2015</v>
      </c>
      <c r="H64" s="87">
        <v>2020</v>
      </c>
      <c r="I64" s="87">
        <v>2025</v>
      </c>
      <c r="J64" s="87">
        <v>2030</v>
      </c>
      <c r="K64" s="87">
        <v>2035</v>
      </c>
      <c r="L64" s="87">
        <v>2040</v>
      </c>
      <c r="M64" s="87">
        <v>2045</v>
      </c>
      <c r="N64" s="87">
        <v>2050</v>
      </c>
      <c r="O64" s="876"/>
      <c r="P64" s="377" t="s">
        <v>3469</v>
      </c>
      <c r="Q64" s="377" t="s">
        <v>3470</v>
      </c>
    </row>
    <row r="65" spans="2:28" s="4158" customFormat="1">
      <c r="B65" s="45"/>
      <c r="C65" s="65">
        <v>1</v>
      </c>
      <c r="D65" s="103" t="s">
        <v>1246</v>
      </c>
      <c r="E65" s="1256"/>
      <c r="F65" s="4207">
        <f>(Unit.TWh)*0.739668</f>
        <v>0.73966799999999999</v>
      </c>
      <c r="G65" s="4207">
        <f>(Unit.TWh)*0.733198617121011</f>
        <v>0.73319861712101098</v>
      </c>
      <c r="H65" s="4207">
        <f>(Unit.TWh)*0.717271630804226</f>
        <v>0.71727163080422596</v>
      </c>
      <c r="I65" s="4207">
        <f>(Unit.TWh)*0.701690620171535</f>
        <v>0.70169062017153505</v>
      </c>
      <c r="J65" s="4207">
        <f>(Unit.TWh)*0.686448069728694</f>
        <v>0.68644806972869399</v>
      </c>
      <c r="K65" s="4207">
        <f>(Unit.TWh)*0.671536627237596</f>
        <v>0.671536627237596</v>
      </c>
      <c r="L65" s="4207">
        <f>(Unit.TWh)*0.656949100169923</f>
        <v>0.65694910016992303</v>
      </c>
      <c r="M65" s="4207">
        <f>(Unit.TWh)*0.642678452237831</f>
        <v>0.64267845223783104</v>
      </c>
      <c r="N65" s="4207">
        <f>(Unit.TWh)*0.6287178</f>
        <v>0.62871779999999999</v>
      </c>
      <c r="O65" s="876"/>
      <c r="P65" s="4166">
        <f>(N65/F65)^(1/(N$64-F$64))-1</f>
        <v>-4.382771004116881E-3</v>
      </c>
      <c r="Q65" s="391">
        <f>(N65-F65)/F65</f>
        <v>-0.15</v>
      </c>
      <c r="T65"/>
      <c r="U65"/>
      <c r="V65"/>
      <c r="W65"/>
      <c r="X65"/>
      <c r="Y65"/>
      <c r="Z65"/>
      <c r="AA65"/>
      <c r="AB65"/>
    </row>
    <row r="66" spans="2:28" s="4158" customFormat="1">
      <c r="B66" s="45"/>
      <c r="C66" s="65">
        <v>2</v>
      </c>
      <c r="D66" s="103" t="s">
        <v>1246</v>
      </c>
      <c r="E66" s="1256"/>
      <c r="F66" s="4207">
        <f>(Unit.TWh)*0.739668</f>
        <v>0.73966799999999999</v>
      </c>
      <c r="G66" s="4207">
        <f>(Unit.TWh)*0.730799852954465</f>
        <v>0.73079985295446503</v>
      </c>
      <c r="H66" s="4207">
        <f>(Unit.TWh)*0.709091865975279</f>
        <v>0.70909186597527896</v>
      </c>
      <c r="I66" s="4207">
        <f>(Unit.TWh)*0.688028702194651</f>
        <v>0.68802870219465095</v>
      </c>
      <c r="J66" s="4207">
        <f>(Unit.TWh)*0.667591207512398</f>
        <v>0.66759120751239798</v>
      </c>
      <c r="K66" s="4207">
        <f>(Unit.TWh)*0.647760796789804</f>
        <v>0.64776079678980403</v>
      </c>
      <c r="L66" s="4207">
        <f>(Unit.TWh)*0.62851943694895</f>
        <v>0.62851943694894996</v>
      </c>
      <c r="M66" s="4207">
        <f>(Unit.TWh)*0.609849630574066</f>
        <v>0.60984963057406605</v>
      </c>
      <c r="N66" s="4208">
        <f>(Unit.TWh)*0.5917344</f>
        <v>0.59173439999999999</v>
      </c>
      <c r="O66" s="876"/>
      <c r="P66" s="4166">
        <f>(N66/F66)^(1/(N$64-F$64))-1</f>
        <v>-6.012757378045408E-3</v>
      </c>
      <c r="Q66" s="391">
        <f>(N66-F66)/F66</f>
        <v>-0.2</v>
      </c>
      <c r="T66"/>
      <c r="U66"/>
      <c r="V66"/>
      <c r="W66"/>
      <c r="X66"/>
      <c r="Y66"/>
      <c r="Z66"/>
      <c r="AA66"/>
      <c r="AB66"/>
    </row>
    <row r="67" spans="2:28" s="4158" customFormat="1">
      <c r="B67" s="45"/>
      <c r="C67" s="65">
        <v>3</v>
      </c>
      <c r="D67" s="103" t="s">
        <v>1246</v>
      </c>
      <c r="E67" s="1256"/>
      <c r="F67" s="4207">
        <f>(Unit.TWh)*0.739668</f>
        <v>0.73966799999999999</v>
      </c>
      <c r="G67" s="4208">
        <f>(Unit.TWh)*0.725543994096204</f>
        <v>0.72554399409620396</v>
      </c>
      <c r="H67" s="4208">
        <f>(Unit.TWh)*0.691402672916952</f>
        <v>0.69140267291695201</v>
      </c>
      <c r="I67" s="4208">
        <f>(Unit.TWh)*0.658867911534693</f>
        <v>0.65886791153469304</v>
      </c>
      <c r="J67" s="4208">
        <f>(Unit.TWh)*0.627864111399279</f>
        <v>0.627864111399279</v>
      </c>
      <c r="K67" s="4208">
        <f>(Unit.TWh)*0.598319231338752</f>
        <v>0.59831923133875198</v>
      </c>
      <c r="L67" s="4208">
        <f>(Unit.TWh)*0.570164620162754</f>
        <v>0.57016462016275404</v>
      </c>
      <c r="M67" s="4208">
        <f>(Unit.TWh)*0.543334857142979</f>
        <v>0.54333485714297902</v>
      </c>
      <c r="N67" s="4208">
        <f>(Unit.TWh)*0.5177676</f>
        <v>0.51776759999999999</v>
      </c>
      <c r="O67" s="876"/>
      <c r="P67" s="4166">
        <f>(N67/F67)^(1/(N$64-F$64))-1</f>
        <v>-9.5935488084197829E-3</v>
      </c>
      <c r="Q67" s="391">
        <f>(N67-F67)/F67</f>
        <v>-0.3</v>
      </c>
      <c r="T67"/>
      <c r="U67"/>
      <c r="V67"/>
      <c r="W67"/>
      <c r="X67"/>
      <c r="Y67"/>
      <c r="Z67"/>
      <c r="AA67"/>
      <c r="AB67"/>
    </row>
    <row r="68" spans="2:28" s="4158" customFormat="1">
      <c r="B68" s="45"/>
      <c r="C68" s="887">
        <v>4</v>
      </c>
      <c r="D68" s="888" t="s">
        <v>1246</v>
      </c>
      <c r="E68" s="888"/>
      <c r="F68" s="4209">
        <f>(Unit.TWh)*0.739668</f>
        <v>0.73966799999999999</v>
      </c>
      <c r="G68" s="4210">
        <f>(Unit.TWh)*0.718206207356621</f>
        <v>0.718206207356621</v>
      </c>
      <c r="H68" s="4210">
        <f>(Unit.TWh)*0.667236759182934</f>
        <v>0.66723675918293401</v>
      </c>
      <c r="I68" s="4210">
        <f>(Unit.TWh)*0.619884495907568</f>
        <v>0.619884495907568</v>
      </c>
      <c r="J68" s="4210">
        <f>(Unit.TWh)*0.575892714210053</f>
        <v>0.57589271421005295</v>
      </c>
      <c r="K68" s="4210">
        <f>(Unit.TWh)*0.535022928416126</f>
        <v>0.53502292841612598</v>
      </c>
      <c r="L68" s="4210">
        <f>(Unit.TWh)*0.497053577633143</f>
        <v>0.49705357763314301</v>
      </c>
      <c r="M68" s="4210">
        <f>(Unit.TWh)*0.461778824637116</f>
        <v>0.461778824637116</v>
      </c>
      <c r="N68" s="4210">
        <f>(Unit.TWh)*0.42900744</f>
        <v>0.42900744000000002</v>
      </c>
      <c r="O68" s="876"/>
      <c r="P68" s="4166">
        <f>(N68/F68)^(1/(N$64-F$64))-1</f>
        <v>-1.4614512096459253E-2</v>
      </c>
      <c r="Q68" s="391">
        <f>(N68-F68)/F68</f>
        <v>-0.42</v>
      </c>
      <c r="T68"/>
      <c r="U68"/>
      <c r="V68"/>
      <c r="W68"/>
      <c r="X68"/>
      <c r="Y68"/>
      <c r="Z68"/>
      <c r="AA68"/>
      <c r="AB68"/>
    </row>
    <row r="69" spans="2:28" s="4158" customFormat="1">
      <c r="B69" s="45"/>
      <c r="C69" s="65"/>
      <c r="D69" s="103"/>
      <c r="E69" s="103"/>
      <c r="F69" s="74"/>
      <c r="G69" s="77"/>
      <c r="H69" s="77"/>
      <c r="I69" s="77"/>
      <c r="J69" s="77"/>
      <c r="K69" s="77"/>
      <c r="L69" s="77"/>
      <c r="M69" s="77"/>
      <c r="N69" s="77"/>
      <c r="O69" s="876"/>
    </row>
    <row r="70" spans="2:28">
      <c r="B70" s="45"/>
      <c r="C70" s="49" t="s">
        <v>3566</v>
      </c>
      <c r="D70" s="67"/>
      <c r="E70" s="51"/>
      <c r="F70" s="67" t="s">
        <v>5</v>
      </c>
      <c r="G70" s="67"/>
      <c r="H70" s="67"/>
      <c r="I70" s="67"/>
      <c r="J70" s="67"/>
      <c r="K70" s="67"/>
      <c r="L70" s="67"/>
      <c r="M70" s="67"/>
      <c r="N70" s="51" t="str">
        <f>Preferences.EnergyUnits &amp; " / bn tonne-km"</f>
        <v>TWh / bn tonne-km</v>
      </c>
      <c r="O70" s="876"/>
    </row>
    <row r="71" spans="2:28">
      <c r="B71" s="45"/>
      <c r="C71" s="67"/>
      <c r="D71" s="67"/>
      <c r="E71" s="67"/>
      <c r="F71" s="67"/>
      <c r="G71" s="67"/>
      <c r="H71" s="67"/>
      <c r="I71" s="67"/>
      <c r="J71" s="67"/>
      <c r="K71" s="67"/>
      <c r="L71" s="67"/>
      <c r="M71" s="67"/>
      <c r="N71" s="67"/>
      <c r="O71" s="876"/>
    </row>
    <row r="72" spans="2:28" ht="15.5">
      <c r="B72" s="55"/>
      <c r="C72" s="878" t="s">
        <v>8</v>
      </c>
      <c r="D72" s="878" t="s">
        <v>34</v>
      </c>
      <c r="E72" s="878" t="s">
        <v>30</v>
      </c>
      <c r="F72" s="87">
        <v>2013</v>
      </c>
      <c r="G72" s="87">
        <v>2015</v>
      </c>
      <c r="H72" s="87">
        <v>2020</v>
      </c>
      <c r="I72" s="87">
        <v>2025</v>
      </c>
      <c r="J72" s="87">
        <v>2030</v>
      </c>
      <c r="K72" s="87">
        <v>2035</v>
      </c>
      <c r="L72" s="87">
        <v>2040</v>
      </c>
      <c r="M72" s="87">
        <v>2045</v>
      </c>
      <c r="N72" s="87">
        <v>2050</v>
      </c>
      <c r="O72" s="876"/>
      <c r="P72" s="377" t="s">
        <v>3469</v>
      </c>
      <c r="Q72" s="377" t="s">
        <v>3470</v>
      </c>
    </row>
    <row r="73" spans="2:28" ht="15.5">
      <c r="B73" s="55"/>
      <c r="C73" s="65">
        <v>1</v>
      </c>
      <c r="D73" s="103" t="s">
        <v>15</v>
      </c>
      <c r="E73" s="1256"/>
      <c r="F73" s="4207">
        <f>(Unit.TWh)*0.739668</f>
        <v>0.73966799999999999</v>
      </c>
      <c r="G73" s="4207">
        <f>(Unit.TWh)*0.733198617121011</f>
        <v>0.73319861712101098</v>
      </c>
      <c r="H73" s="4207">
        <f>(Unit.TWh)*0.717271630804226</f>
        <v>0.71727163080422596</v>
      </c>
      <c r="I73" s="4207">
        <f>(Unit.TWh)*0.701690620171535</f>
        <v>0.70169062017153505</v>
      </c>
      <c r="J73" s="4207">
        <f>(Unit.TWh)*0.686448069728694</f>
        <v>0.68644806972869399</v>
      </c>
      <c r="K73" s="4207">
        <f>(Unit.TWh)*0.671536627237596</f>
        <v>0.671536627237596</v>
      </c>
      <c r="L73" s="4207">
        <f>(Unit.TWh)*0.656949100169923</f>
        <v>0.65694910016992303</v>
      </c>
      <c r="M73" s="4207">
        <f>(Unit.TWh)*0.642678452237831</f>
        <v>0.64267845223783104</v>
      </c>
      <c r="N73" s="4207">
        <f>(Unit.TWh)*0.6287178</f>
        <v>0.62871779999999999</v>
      </c>
      <c r="O73" s="876"/>
      <c r="P73" s="4166">
        <f>(N73/F73)^(1/(N$64-F$64))-1</f>
        <v>-4.382771004116881E-3</v>
      </c>
      <c r="Q73" s="391">
        <f>(N73-F73)/F73</f>
        <v>-0.15</v>
      </c>
      <c r="S73" s="4168" t="s">
        <v>5</v>
      </c>
    </row>
    <row r="74" spans="2:28" ht="15.5">
      <c r="B74" s="55"/>
      <c r="C74" s="65">
        <v>2</v>
      </c>
      <c r="D74" s="103" t="s">
        <v>15</v>
      </c>
      <c r="E74" s="1256"/>
      <c r="F74" s="4207">
        <f>(Unit.TWh)*0.739668</f>
        <v>0.73966799999999999</v>
      </c>
      <c r="G74" s="4207">
        <f>(Unit.TWh)*0.730799852954465</f>
        <v>0.73079985295446503</v>
      </c>
      <c r="H74" s="4207">
        <f>(Unit.TWh)*0.709091865975279</f>
        <v>0.70909186597527896</v>
      </c>
      <c r="I74" s="4207">
        <f>(Unit.TWh)*0.688028702194651</f>
        <v>0.68802870219465095</v>
      </c>
      <c r="J74" s="4207">
        <f>(Unit.TWh)*0.667591207512398</f>
        <v>0.66759120751239798</v>
      </c>
      <c r="K74" s="4207">
        <f>(Unit.TWh)*0.647760796789804</f>
        <v>0.64776079678980403</v>
      </c>
      <c r="L74" s="4207">
        <f>(Unit.TWh)*0.62851943694895</f>
        <v>0.62851943694894996</v>
      </c>
      <c r="M74" s="4207">
        <f>(Unit.TWh)*0.609849630574066</f>
        <v>0.60984963057406605</v>
      </c>
      <c r="N74" s="4208">
        <f>(Unit.TWh)*0.5917344</f>
        <v>0.59173439999999999</v>
      </c>
      <c r="O74" s="876"/>
      <c r="P74" s="4166">
        <f>(N74/F74)^(1/(N$64-F$64))-1</f>
        <v>-6.012757378045408E-3</v>
      </c>
      <c r="Q74" s="391">
        <f>(N74-F74)/F74</f>
        <v>-0.2</v>
      </c>
    </row>
    <row r="75" spans="2:28" ht="15.5">
      <c r="B75" s="55"/>
      <c r="C75" s="65">
        <v>3</v>
      </c>
      <c r="D75" s="103" t="s">
        <v>15</v>
      </c>
      <c r="E75" s="1256" t="s">
        <v>5</v>
      </c>
      <c r="F75" s="4207">
        <f>(Unit.TWh)*0.739668</f>
        <v>0.73966799999999999</v>
      </c>
      <c r="G75" s="4208">
        <f>(Unit.TWh)*0.725543994096204</f>
        <v>0.72554399409620396</v>
      </c>
      <c r="H75" s="4208">
        <f>(Unit.TWh)*0.691402672916952</f>
        <v>0.69140267291695201</v>
      </c>
      <c r="I75" s="4208">
        <f>(Unit.TWh)*0.658867911534693</f>
        <v>0.65886791153469304</v>
      </c>
      <c r="J75" s="4208">
        <f>(Unit.TWh)*0.627864111399279</f>
        <v>0.627864111399279</v>
      </c>
      <c r="K75" s="4208">
        <f>(Unit.TWh)*0.598319231338752</f>
        <v>0.59831923133875198</v>
      </c>
      <c r="L75" s="4208">
        <f>(Unit.TWh)*0.570164620162754</f>
        <v>0.57016462016275404</v>
      </c>
      <c r="M75" s="4208">
        <f>(Unit.TWh)*0.543334857142979</f>
        <v>0.54333485714297902</v>
      </c>
      <c r="N75" s="4208">
        <f>(Unit.TWh)*0.5177676</f>
        <v>0.51776759999999999</v>
      </c>
      <c r="O75" s="876"/>
      <c r="P75" s="4166">
        <f>(N75/F75)^(1/(N$64-F$64))-1</f>
        <v>-9.5935488084197829E-3</v>
      </c>
      <c r="Q75" s="391">
        <v>-0.3</v>
      </c>
    </row>
    <row r="76" spans="2:28" ht="15.5">
      <c r="B76" s="55"/>
      <c r="C76" s="887">
        <v>4</v>
      </c>
      <c r="D76" s="888" t="s">
        <v>15</v>
      </c>
      <c r="E76" s="888"/>
      <c r="F76" s="4209">
        <f>(Unit.TWh)*0.739668</f>
        <v>0.73966799999999999</v>
      </c>
      <c r="G76" s="4210">
        <f>(Unit.TWh)*0.718206207356621</f>
        <v>0.718206207356621</v>
      </c>
      <c r="H76" s="4210">
        <f>(Unit.TWh)*0.667236759182934</f>
        <v>0.66723675918293401</v>
      </c>
      <c r="I76" s="4210">
        <f>(Unit.TWh)*0.619884495907568</f>
        <v>0.619884495907568</v>
      </c>
      <c r="J76" s="4210">
        <f>(Unit.TWh)*0.575892714210053</f>
        <v>0.57589271421005295</v>
      </c>
      <c r="K76" s="4210">
        <f>(Unit.TWh)*0.535022928416126</f>
        <v>0.53502292841612598</v>
      </c>
      <c r="L76" s="4210">
        <f>(Unit.TWh)*0.497053577633143</f>
        <v>0.49705357763314301</v>
      </c>
      <c r="M76" s="4210">
        <f>(Unit.TWh)*0.461778824637116</f>
        <v>0.461778824637116</v>
      </c>
      <c r="N76" s="4210">
        <f>(Unit.TWh)*0.42900744</f>
        <v>0.42900744000000002</v>
      </c>
      <c r="O76" s="876"/>
      <c r="P76" s="4166">
        <f>(N76/F76)^(1/(N$64-F$64))-1</f>
        <v>-1.4614512096459253E-2</v>
      </c>
      <c r="Q76" s="391">
        <f>(N76-F76)/F76</f>
        <v>-0.42</v>
      </c>
    </row>
    <row r="77" spans="2:28" s="4158" customFormat="1" ht="15.5">
      <c r="B77" s="55"/>
      <c r="C77" s="65"/>
      <c r="D77" s="103"/>
      <c r="E77" s="103"/>
      <c r="F77" s="1655"/>
      <c r="G77" s="1545"/>
      <c r="H77" s="1545"/>
      <c r="I77" s="1545"/>
      <c r="J77" s="1545"/>
      <c r="K77" s="1545"/>
      <c r="L77" s="1545"/>
      <c r="M77" s="1545"/>
      <c r="N77" s="1545"/>
      <c r="O77" s="876"/>
    </row>
    <row r="78" spans="2:28">
      <c r="B78" s="45"/>
      <c r="C78" s="49" t="s">
        <v>3481</v>
      </c>
      <c r="D78" s="67"/>
      <c r="E78" s="51"/>
      <c r="F78" s="67" t="s">
        <v>5</v>
      </c>
      <c r="G78" s="67" t="s">
        <v>5</v>
      </c>
      <c r="H78" s="67"/>
      <c r="I78" s="67"/>
      <c r="J78" s="67"/>
      <c r="K78" s="67"/>
      <c r="L78" s="67"/>
      <c r="M78" s="67"/>
      <c r="N78" s="51" t="str">
        <f>Preferences.EnergyUnits &amp; " / bn vehicle-km"</f>
        <v>TWh / bn vehicle-km</v>
      </c>
      <c r="O78" s="876"/>
    </row>
    <row r="79" spans="2:28">
      <c r="B79" s="45"/>
      <c r="C79" s="67"/>
      <c r="D79" s="67"/>
      <c r="E79" s="67"/>
      <c r="F79" s="67"/>
      <c r="G79" s="67"/>
      <c r="H79" s="67"/>
      <c r="I79" s="67"/>
      <c r="J79" s="67"/>
      <c r="K79" s="67"/>
      <c r="L79" s="67"/>
      <c r="M79" s="67"/>
      <c r="N79" s="67"/>
      <c r="O79" s="876"/>
    </row>
    <row r="80" spans="2:28" ht="15.5">
      <c r="B80" s="55"/>
      <c r="C80" s="878" t="s">
        <v>8</v>
      </c>
      <c r="D80" s="878" t="s">
        <v>34</v>
      </c>
      <c r="E80" s="878" t="s">
        <v>30</v>
      </c>
      <c r="F80" s="87">
        <v>2013</v>
      </c>
      <c r="G80" s="87">
        <v>2015</v>
      </c>
      <c r="H80" s="87">
        <v>2020</v>
      </c>
      <c r="I80" s="87">
        <v>2025</v>
      </c>
      <c r="J80" s="87">
        <v>2030</v>
      </c>
      <c r="K80" s="87">
        <v>2035</v>
      </c>
      <c r="L80" s="87">
        <v>2040</v>
      </c>
      <c r="M80" s="87">
        <v>2045</v>
      </c>
      <c r="N80" s="87">
        <v>2050</v>
      </c>
      <c r="O80" s="876"/>
      <c r="P80" s="377" t="s">
        <v>3469</v>
      </c>
      <c r="Q80" s="377" t="s">
        <v>3470</v>
      </c>
    </row>
    <row r="81" spans="2:17" ht="15.5">
      <c r="B81" s="55"/>
      <c r="C81" s="65">
        <v>1</v>
      </c>
      <c r="D81" s="103" t="s">
        <v>1246</v>
      </c>
      <c r="E81" s="1256"/>
      <c r="F81" s="1655">
        <f>(Unit.TWh)*0.93611186</f>
        <v>0.93611186000000002</v>
      </c>
      <c r="G81" s="1478">
        <f>(Unit.TWh)*0.927924313641495</f>
        <v>0.92792431364149497</v>
      </c>
      <c r="H81" s="1478">
        <f>(Unit.TWh)*0.907767377306274</f>
        <v>0.90776737730627399</v>
      </c>
      <c r="I81" s="1478">
        <f>(Unit.TWh)*0.888048302202243</f>
        <v>0.88804830220224296</v>
      </c>
      <c r="J81" s="1478">
        <f>(Unit.TWh)*0.868757576841417</f>
        <v>0.86875757684141697</v>
      </c>
      <c r="K81" s="1478">
        <f>(Unit.TWh)*0.849885896350136</f>
        <v>0.84988589635013601</v>
      </c>
      <c r="L81" s="1478">
        <f>(Unit.TWh)*0.831424157980868</f>
        <v>0.83142415798086799</v>
      </c>
      <c r="M81" s="1478">
        <f>(Unit.TWh)*0.813363456721498</f>
        <v>0.81336345672149801</v>
      </c>
      <c r="N81" s="1478">
        <f>(Unit.TWh)*0.795695081</f>
        <v>0.79569508099999997</v>
      </c>
      <c r="O81" s="876"/>
      <c r="P81" s="4166">
        <f>(N81/F81)^(1/(N$64-F$64))-1</f>
        <v>-4.382771004116881E-3</v>
      </c>
      <c r="Q81" s="391">
        <f>(N81-F81)/F81</f>
        <v>-0.15000000000000005</v>
      </c>
    </row>
    <row r="82" spans="2:17" ht="15.5">
      <c r="B82" s="55"/>
      <c r="C82" s="65">
        <v>2</v>
      </c>
      <c r="D82" s="103" t="s">
        <v>1246</v>
      </c>
      <c r="E82" s="1256"/>
      <c r="F82" s="1655">
        <f>(Unit.TWh)*0.93611186</f>
        <v>0.93611186000000002</v>
      </c>
      <c r="G82" s="1478">
        <f>(Unit.TWh)*0.924888476501526</f>
        <v>0.92488847650152595</v>
      </c>
      <c r="H82" s="1478">
        <f>(Unit.TWh)*0.89741519920963</f>
        <v>0.89741519920962998</v>
      </c>
      <c r="I82" s="1478">
        <f>(Unit.TWh)*0.870757999730718</f>
        <v>0.87075799973071799</v>
      </c>
      <c r="J82" s="1478">
        <f>(Unit.TWh)*0.844892636945328</f>
        <v>0.84489263694532801</v>
      </c>
      <c r="K82" s="1478">
        <f>(Unit.TWh)*0.819795589802433</f>
        <v>0.81979558980243294</v>
      </c>
      <c r="L82" s="1478">
        <f>(Unit.TWh)*0.79544403593022</f>
        <v>0.79544403593021995</v>
      </c>
      <c r="M82" s="1478">
        <f>(Unit.TWh)*0.771815830882236</f>
        <v>0.77181583088223604</v>
      </c>
      <c r="N82" s="1550">
        <f>(Unit.TWh)*0.748889488</f>
        <v>0.74888948799999999</v>
      </c>
      <c r="O82" s="876"/>
      <c r="P82" s="4166">
        <f>(N82/F82)^(1/(N$64-F$64))-1</f>
        <v>-6.012757378045408E-3</v>
      </c>
      <c r="Q82" s="391">
        <f>(N82-F82)/F82</f>
        <v>-0.2</v>
      </c>
    </row>
    <row r="83" spans="2:17" ht="15.5">
      <c r="B83" s="55"/>
      <c r="C83" s="65">
        <v>3</v>
      </c>
      <c r="D83" s="103" t="s">
        <v>1246</v>
      </c>
      <c r="E83" s="1256"/>
      <c r="F83" s="1655">
        <f>(Unit.TWh)*0.93611186</f>
        <v>0.93611186000000002</v>
      </c>
      <c r="G83" s="1550">
        <f>(Unit.TWh)*0.908950162278418</f>
        <v>0.90895016227841796</v>
      </c>
      <c r="H83" s="1550">
        <f>(Unit.TWh)*0.844444052871165</f>
        <v>0.84444405287116497</v>
      </c>
      <c r="I83" s="1550">
        <f>(Unit.TWh)*0.784515794179545</f>
        <v>0.78451579417954498</v>
      </c>
      <c r="J83" s="1550">
        <f>(Unit.TWh)*0.728840506632193</f>
        <v>0.72884050663219302</v>
      </c>
      <c r="K83" s="1550">
        <f>(Unit.TWh)*0.677116366616194</f>
        <v>0.67711636661619401</v>
      </c>
      <c r="L83" s="1550">
        <f>(Unit.TWh)*0.629062970248565</f>
        <v>0.62906297024856495</v>
      </c>
      <c r="M83" s="1550">
        <f>(Unit.TWh)*0.58441981326712</f>
        <v>0.58441981326712</v>
      </c>
      <c r="N83" s="1550">
        <f>(Unit.TWh)*0.5429448788</f>
        <v>0.54294487879999997</v>
      </c>
      <c r="O83" s="876"/>
      <c r="P83" s="4166">
        <f>(N83/F83)^(1/(N$64-F$64))-1</f>
        <v>-1.4614512096459253E-2</v>
      </c>
      <c r="Q83" s="391">
        <f>(N83-F83)/F83</f>
        <v>-0.42000000000000004</v>
      </c>
    </row>
    <row r="84" spans="2:17" ht="15.5">
      <c r="B84" s="55"/>
      <c r="C84" s="887">
        <v>4</v>
      </c>
      <c r="D84" s="888" t="s">
        <v>1246</v>
      </c>
      <c r="E84" s="888"/>
      <c r="F84" s="3822">
        <f>(Unit.TWh)*0.93611186</f>
        <v>0.93611186000000002</v>
      </c>
      <c r="G84" s="1486">
        <f>(Unit.TWh)*0.908950162278418</f>
        <v>0.90895016227841796</v>
      </c>
      <c r="H84" s="1486">
        <f>(Unit.TWh)*0.844444052871165</f>
        <v>0.84444405287116497</v>
      </c>
      <c r="I84" s="1486">
        <f>(Unit.TWh)*0.784515794179545</f>
        <v>0.78451579417954498</v>
      </c>
      <c r="J84" s="1486">
        <f>(Unit.TWh)*0.728840506632193</f>
        <v>0.72884050663219302</v>
      </c>
      <c r="K84" s="1486">
        <f>(Unit.TWh)*0.677116366616194</f>
        <v>0.67711636661619401</v>
      </c>
      <c r="L84" s="1486">
        <f>(Unit.TWh)*0.629062970248565</f>
        <v>0.62906297024856495</v>
      </c>
      <c r="M84" s="1486">
        <f>(Unit.TWh)*0.58441981326712</f>
        <v>0.58441981326712</v>
      </c>
      <c r="N84" s="1486">
        <f>(Unit.TWh)*0.5429448788</f>
        <v>0.54294487879999997</v>
      </c>
      <c r="O84" s="876"/>
      <c r="P84" s="4166">
        <f>(N84/F84)^(1/(N$64-F$64))-1</f>
        <v>-1.4614512096459253E-2</v>
      </c>
      <c r="Q84" s="391">
        <f>(N84-F84)/F84</f>
        <v>-0.42000000000000004</v>
      </c>
    </row>
    <row r="85" spans="2:17">
      <c r="B85" s="45"/>
      <c r="C85" s="65"/>
      <c r="D85" s="103"/>
      <c r="E85" s="103"/>
      <c r="F85" s="1190"/>
      <c r="G85" s="1190"/>
      <c r="H85" s="1190"/>
      <c r="I85" s="1190"/>
      <c r="J85" s="1190"/>
      <c r="K85" s="1190"/>
      <c r="L85" s="1190"/>
      <c r="M85" s="1190"/>
      <c r="N85" s="1190"/>
      <c r="O85" s="876"/>
    </row>
    <row r="86" spans="2:17" s="4158" customFormat="1">
      <c r="B86" s="45"/>
      <c r="C86" s="49" t="s">
        <v>3565</v>
      </c>
      <c r="D86" s="67"/>
      <c r="E86" s="51"/>
      <c r="F86" s="67"/>
      <c r="G86" s="67"/>
      <c r="H86" s="67"/>
      <c r="I86" s="67"/>
      <c r="J86" s="67"/>
      <c r="K86" s="67"/>
      <c r="L86" s="67"/>
      <c r="M86" s="67"/>
      <c r="N86" s="51" t="str">
        <f>Preferences.EnergyUnits &amp; " / bn vehicle-km"</f>
        <v>TWh / bn vehicle-km</v>
      </c>
      <c r="O86" s="876"/>
    </row>
    <row r="87" spans="2:17" s="4158" customFormat="1">
      <c r="B87" s="45"/>
      <c r="C87" s="67"/>
      <c r="D87" s="67"/>
      <c r="E87" s="67"/>
      <c r="F87" s="67"/>
      <c r="G87" s="67"/>
      <c r="H87" s="67"/>
      <c r="I87" s="67"/>
      <c r="J87" s="67"/>
      <c r="K87" s="67"/>
      <c r="L87" s="67"/>
      <c r="M87" s="67"/>
      <c r="N87" s="67"/>
      <c r="O87" s="876"/>
    </row>
    <row r="88" spans="2:17" s="4158" customFormat="1" ht="15.5">
      <c r="B88" s="55"/>
      <c r="C88" s="878" t="s">
        <v>8</v>
      </c>
      <c r="D88" s="878" t="s">
        <v>34</v>
      </c>
      <c r="E88" s="878" t="s">
        <v>30</v>
      </c>
      <c r="F88" s="87">
        <v>2013</v>
      </c>
      <c r="G88" s="87">
        <v>2015</v>
      </c>
      <c r="H88" s="87">
        <v>2020</v>
      </c>
      <c r="I88" s="87">
        <v>2025</v>
      </c>
      <c r="J88" s="87">
        <v>2030</v>
      </c>
      <c r="K88" s="87">
        <v>2035</v>
      </c>
      <c r="L88" s="87">
        <v>2040</v>
      </c>
      <c r="M88" s="87">
        <v>2045</v>
      </c>
      <c r="N88" s="87">
        <v>2050</v>
      </c>
      <c r="O88" s="876"/>
    </row>
    <row r="89" spans="2:17" s="4158" customFormat="1" ht="15.5">
      <c r="B89" s="55"/>
      <c r="C89" s="65">
        <v>1</v>
      </c>
      <c r="D89" s="103" t="s">
        <v>984</v>
      </c>
      <c r="E89" s="1256"/>
      <c r="F89" s="4211">
        <f>(Unit.TWh)*0.23</f>
        <v>0.23</v>
      </c>
      <c r="G89" s="4211">
        <f>(Unit.TWh)*0.22</f>
        <v>0.22</v>
      </c>
      <c r="H89" s="4211">
        <f>(Unit.TWh)*0.21</f>
        <v>0.21</v>
      </c>
      <c r="I89" s="4211">
        <f>(Unit.TWh)*0.19</f>
        <v>0.19</v>
      </c>
      <c r="J89" s="4211">
        <f>(Unit.TWh)*0.18</f>
        <v>0.18</v>
      </c>
      <c r="K89" s="4211">
        <f>(Unit.TWh)*0.17</f>
        <v>0.17</v>
      </c>
      <c r="L89" s="4211">
        <f>(Unit.TWh)*0.16</f>
        <v>0.16</v>
      </c>
      <c r="M89" s="4211">
        <f>(Unit.TWh)*0.15</f>
        <v>0.15</v>
      </c>
      <c r="N89" s="4211">
        <f>(Unit.TWh)*0.14</f>
        <v>0.14000000000000001</v>
      </c>
      <c r="O89" s="876"/>
      <c r="P89" s="391"/>
    </row>
    <row r="90" spans="2:17" s="4158" customFormat="1" ht="15.5">
      <c r="B90" s="55"/>
      <c r="C90" s="65">
        <v>2</v>
      </c>
      <c r="D90" s="103" t="s">
        <v>984</v>
      </c>
      <c r="E90" s="1256"/>
      <c r="F90" s="1655">
        <f>(Unit.TWh)*0.23</f>
        <v>0.23</v>
      </c>
      <c r="G90" s="1655">
        <f>(Unit.TWh)*0.22</f>
        <v>0.22</v>
      </c>
      <c r="H90" s="1655">
        <f>(Unit.TWh)*0.21</f>
        <v>0.21</v>
      </c>
      <c r="I90" s="1655">
        <f>(Unit.TWh)*0.19</f>
        <v>0.19</v>
      </c>
      <c r="J90" s="1655">
        <f>(Unit.TWh)*0.18</f>
        <v>0.18</v>
      </c>
      <c r="K90" s="1655">
        <f>(Unit.TWh)*0.17</f>
        <v>0.17</v>
      </c>
      <c r="L90" s="1655">
        <f>(Unit.TWh)*0.16</f>
        <v>0.16</v>
      </c>
      <c r="M90" s="1655">
        <f>(Unit.TWh)*0.15</f>
        <v>0.15</v>
      </c>
      <c r="N90" s="1655">
        <f>(Unit.TWh)*0.14</f>
        <v>0.14000000000000001</v>
      </c>
      <c r="O90" s="876"/>
      <c r="P90" s="391"/>
    </row>
    <row r="91" spans="2:17" s="4158" customFormat="1" ht="15.5">
      <c r="B91" s="55"/>
      <c r="C91" s="65">
        <v>3</v>
      </c>
      <c r="D91" s="103" t="s">
        <v>984</v>
      </c>
      <c r="E91" s="1256"/>
      <c r="F91" s="1655">
        <f>(Unit.TWh)*0.23</f>
        <v>0.23</v>
      </c>
      <c r="G91" s="1655">
        <f>(Unit.TWh)*0.22</f>
        <v>0.22</v>
      </c>
      <c r="H91" s="1655">
        <f>(Unit.TWh)*0.21</f>
        <v>0.21</v>
      </c>
      <c r="I91" s="1655">
        <f>(Unit.TWh)*0.19</f>
        <v>0.19</v>
      </c>
      <c r="J91" s="1655">
        <f>(Unit.TWh)*0.18</f>
        <v>0.18</v>
      </c>
      <c r="K91" s="1655">
        <f>(Unit.TWh)*0.17</f>
        <v>0.17</v>
      </c>
      <c r="L91" s="1655">
        <f>(Unit.TWh)*0.16</f>
        <v>0.16</v>
      </c>
      <c r="M91" s="1655">
        <f>(Unit.TWh)*0.15</f>
        <v>0.15</v>
      </c>
      <c r="N91" s="1655">
        <f>(Unit.TWh)*0.14</f>
        <v>0.14000000000000001</v>
      </c>
      <c r="O91" s="876"/>
      <c r="P91" s="391"/>
    </row>
    <row r="92" spans="2:17" s="4158" customFormat="1" ht="15.5">
      <c r="B92" s="55"/>
      <c r="C92" s="887">
        <v>4</v>
      </c>
      <c r="D92" s="888" t="s">
        <v>984</v>
      </c>
      <c r="E92" s="888"/>
      <c r="F92" s="3822">
        <f>(Unit.TWh)*0.23</f>
        <v>0.23</v>
      </c>
      <c r="G92" s="3822">
        <f>(Unit.TWh)*0.22</f>
        <v>0.22</v>
      </c>
      <c r="H92" s="3822">
        <f>(Unit.TWh)*0.21</f>
        <v>0.21</v>
      </c>
      <c r="I92" s="3822">
        <f>(Unit.TWh)*0.19</f>
        <v>0.19</v>
      </c>
      <c r="J92" s="3822">
        <f>(Unit.TWh)*0.18</f>
        <v>0.18</v>
      </c>
      <c r="K92" s="3822">
        <f>(Unit.TWh)*0.17</f>
        <v>0.17</v>
      </c>
      <c r="L92" s="3822">
        <f>(Unit.TWh)*0.16</f>
        <v>0.16</v>
      </c>
      <c r="M92" s="3822">
        <f>(Unit.TWh)*0.15</f>
        <v>0.15</v>
      </c>
      <c r="N92" s="3822">
        <f>(Unit.TWh)*0.14</f>
        <v>0.14000000000000001</v>
      </c>
      <c r="O92" s="876"/>
      <c r="P92" s="391"/>
    </row>
    <row r="93" spans="2:17" ht="15.5">
      <c r="B93" s="55"/>
      <c r="C93" s="65"/>
      <c r="D93" s="103"/>
      <c r="E93" s="103"/>
      <c r="F93" s="1656"/>
      <c r="G93" s="886"/>
      <c r="H93" s="886"/>
      <c r="I93" s="886"/>
      <c r="J93" s="886"/>
      <c r="K93" s="886"/>
      <c r="L93" s="886"/>
      <c r="M93" s="886"/>
      <c r="N93" s="886"/>
      <c r="O93" s="876"/>
    </row>
    <row r="94" spans="2:17" s="4168" customFormat="1" ht="15.5">
      <c r="B94" s="55"/>
      <c r="C94" s="3834" t="s">
        <v>3478</v>
      </c>
      <c r="D94" s="2248" t="s">
        <v>3483</v>
      </c>
      <c r="E94" s="103"/>
      <c r="F94" s="1656"/>
      <c r="G94" s="886"/>
      <c r="H94" s="886"/>
      <c r="I94" s="886"/>
      <c r="J94" s="886"/>
      <c r="K94" s="886"/>
      <c r="L94" s="886"/>
      <c r="M94" s="886"/>
      <c r="N94" s="886"/>
      <c r="O94" s="876"/>
    </row>
    <row r="95" spans="2:17" s="4168" customFormat="1" ht="15.5">
      <c r="B95" s="55"/>
      <c r="C95" s="3836"/>
      <c r="D95" s="3836" t="s">
        <v>3480</v>
      </c>
      <c r="E95" s="103"/>
      <c r="F95" s="1656"/>
      <c r="G95" s="886"/>
      <c r="H95" s="886"/>
      <c r="I95" s="886"/>
      <c r="J95" s="886"/>
      <c r="K95" s="886"/>
      <c r="L95" s="886"/>
      <c r="M95" s="886"/>
      <c r="N95" s="886"/>
      <c r="O95" s="876"/>
    </row>
    <row r="96" spans="2:17" s="4168" customFormat="1" ht="15.5">
      <c r="B96" s="55"/>
      <c r="C96" s="3834" t="s">
        <v>66</v>
      </c>
      <c r="D96" s="2248" t="s">
        <v>3482</v>
      </c>
      <c r="E96" s="103"/>
      <c r="F96" s="1656"/>
      <c r="G96" s="886"/>
      <c r="H96" s="886"/>
      <c r="I96" s="886"/>
      <c r="J96" s="886"/>
      <c r="K96" s="886"/>
      <c r="L96" s="886"/>
      <c r="M96" s="886"/>
      <c r="N96" s="886"/>
      <c r="O96" s="876"/>
    </row>
    <row r="97" spans="2:16" s="4158" customFormat="1" ht="15.5">
      <c r="B97" s="55"/>
      <c r="C97" s="65"/>
      <c r="D97" s="103"/>
      <c r="E97" s="103"/>
      <c r="F97" s="1655"/>
      <c r="G97" s="1545"/>
      <c r="H97" s="1545"/>
      <c r="I97" s="1545"/>
      <c r="J97" s="1545"/>
      <c r="K97" s="1545"/>
      <c r="L97" s="1545"/>
      <c r="M97" s="1545"/>
      <c r="N97" s="1545"/>
      <c r="O97" s="876"/>
      <c r="P97" s="391"/>
    </row>
    <row r="98" spans="2:16" s="4158" customFormat="1">
      <c r="B98" s="105"/>
      <c r="C98" s="3826" t="s">
        <v>3458</v>
      </c>
      <c r="D98" s="67"/>
      <c r="E98" s="67"/>
      <c r="F98" s="67"/>
      <c r="G98" s="67"/>
      <c r="H98" s="67"/>
      <c r="I98" s="67"/>
      <c r="J98" s="67"/>
      <c r="K98" s="67"/>
      <c r="L98" s="67"/>
      <c r="M98" s="67"/>
      <c r="N98" s="67"/>
      <c r="O98" s="876"/>
    </row>
    <row r="99" spans="2:16" s="4158" customFormat="1">
      <c r="B99" s="105"/>
      <c r="C99" s="67"/>
      <c r="D99" s="67"/>
      <c r="E99" s="67"/>
      <c r="F99" s="67"/>
      <c r="G99" s="67"/>
      <c r="H99" s="67"/>
      <c r="I99" s="67"/>
      <c r="J99" s="67"/>
      <c r="K99" s="67"/>
      <c r="L99" s="67"/>
      <c r="M99" s="67"/>
      <c r="N99" s="67"/>
      <c r="O99" s="876"/>
    </row>
    <row r="100" spans="2:16">
      <c r="B100" s="105"/>
      <c r="C100" s="49" t="s">
        <v>3063</v>
      </c>
      <c r="D100" s="67"/>
      <c r="E100" s="51"/>
      <c r="F100" s="67"/>
      <c r="G100" s="67"/>
      <c r="H100" s="67"/>
      <c r="I100" s="67"/>
      <c r="J100" s="67"/>
      <c r="K100" s="67"/>
      <c r="L100" s="67"/>
      <c r="M100" s="67"/>
      <c r="N100" s="51" t="s">
        <v>1245</v>
      </c>
      <c r="O100" s="876"/>
    </row>
    <row r="101" spans="2:16">
      <c r="B101" s="105"/>
      <c r="C101" s="67"/>
      <c r="D101" s="67"/>
      <c r="E101" s="67"/>
      <c r="F101" s="67"/>
      <c r="G101" s="67"/>
      <c r="H101" s="67"/>
      <c r="I101" s="67"/>
      <c r="J101" s="67"/>
      <c r="K101" s="67"/>
      <c r="L101" s="67"/>
      <c r="M101" s="67"/>
      <c r="N101" s="67"/>
      <c r="O101" s="876"/>
    </row>
    <row r="102" spans="2:16">
      <c r="B102" s="105"/>
      <c r="C102" s="878" t="s">
        <v>8</v>
      </c>
      <c r="D102" s="878" t="s">
        <v>34</v>
      </c>
      <c r="E102" s="878" t="s">
        <v>30</v>
      </c>
      <c r="F102" s="87">
        <v>2013</v>
      </c>
      <c r="G102" s="87">
        <v>2015</v>
      </c>
      <c r="H102" s="87">
        <v>2020</v>
      </c>
      <c r="I102" s="87">
        <v>2025</v>
      </c>
      <c r="J102" s="87">
        <v>2030</v>
      </c>
      <c r="K102" s="87">
        <v>2035</v>
      </c>
      <c r="L102" s="87">
        <v>2040</v>
      </c>
      <c r="M102" s="87">
        <v>2045</v>
      </c>
      <c r="N102" s="87">
        <v>2050</v>
      </c>
      <c r="O102" s="876"/>
    </row>
    <row r="103" spans="2:16" ht="15.5">
      <c r="B103" s="55"/>
      <c r="C103" s="65">
        <v>1</v>
      </c>
      <c r="D103" s="103" t="s">
        <v>1246</v>
      </c>
      <c r="E103" s="1256"/>
      <c r="F103" s="4170">
        <v>529069.53332918952</v>
      </c>
      <c r="G103" s="4170">
        <v>550893.65157901857</v>
      </c>
      <c r="H103" s="4170">
        <v>572717.76982884773</v>
      </c>
      <c r="I103" s="4170">
        <v>594541.88807867677</v>
      </c>
      <c r="J103" s="4170">
        <v>616366.00632850581</v>
      </c>
      <c r="K103" s="4170">
        <v>638190.12457833486</v>
      </c>
      <c r="L103" s="4170">
        <v>660014.24282816402</v>
      </c>
      <c r="M103" s="4170">
        <v>681838.36107799306</v>
      </c>
      <c r="N103" s="4170">
        <v>703662.4793278221</v>
      </c>
      <c r="O103" s="876"/>
      <c r="P103" s="391"/>
    </row>
    <row r="104" spans="2:16" ht="15.5">
      <c r="B104" s="55"/>
      <c r="C104" s="65">
        <v>2</v>
      </c>
      <c r="D104" s="103" t="s">
        <v>1246</v>
      </c>
      <c r="E104" s="1256"/>
      <c r="F104" s="4170">
        <v>529069.53332918952</v>
      </c>
      <c r="G104" s="4170">
        <v>545602.95624572667</v>
      </c>
      <c r="H104" s="4170">
        <v>562136.37916226394</v>
      </c>
      <c r="I104" s="4170">
        <v>578669.80207880109</v>
      </c>
      <c r="J104" s="4170">
        <v>595203.22499533824</v>
      </c>
      <c r="K104" s="4170">
        <v>611736.64791187539</v>
      </c>
      <c r="L104" s="4170">
        <v>628270.07082841266</v>
      </c>
      <c r="M104" s="4170">
        <v>644803.49374494981</v>
      </c>
      <c r="N104" s="4170">
        <v>661336.91666148696</v>
      </c>
      <c r="O104" s="876"/>
      <c r="P104" s="391"/>
    </row>
    <row r="105" spans="2:16" ht="15.5">
      <c r="B105" s="55"/>
      <c r="C105" s="65">
        <v>3</v>
      </c>
      <c r="D105" s="103" t="s">
        <v>1246</v>
      </c>
      <c r="E105" s="1256"/>
      <c r="F105" s="4170">
        <v>529069.53332918952</v>
      </c>
      <c r="G105" s="4170">
        <v>535682.90249580448</v>
      </c>
      <c r="H105" s="4170">
        <v>542296.27166241931</v>
      </c>
      <c r="I105" s="4170">
        <v>548909.64082903415</v>
      </c>
      <c r="J105" s="4170">
        <v>555523.0099956491</v>
      </c>
      <c r="K105" s="4170">
        <v>562136.37916226394</v>
      </c>
      <c r="L105" s="4170">
        <v>568749.74832887878</v>
      </c>
      <c r="M105" s="4170">
        <v>575363.11749549373</v>
      </c>
      <c r="N105" s="4170">
        <v>581976.48666210857</v>
      </c>
      <c r="O105" s="876"/>
      <c r="P105" s="391"/>
    </row>
    <row r="106" spans="2:16" ht="15.5">
      <c r="B106" s="55"/>
      <c r="C106" s="887">
        <v>4</v>
      </c>
      <c r="D106" s="888" t="s">
        <v>1246</v>
      </c>
      <c r="E106" s="888"/>
      <c r="F106" s="4171">
        <v>529069.53332918952</v>
      </c>
      <c r="G106" s="4171">
        <v>0</v>
      </c>
      <c r="H106" s="4171">
        <v>0</v>
      </c>
      <c r="I106" s="4171">
        <v>0</v>
      </c>
      <c r="J106" s="4171">
        <v>0</v>
      </c>
      <c r="K106" s="4171">
        <v>0</v>
      </c>
      <c r="L106" s="4171">
        <v>0</v>
      </c>
      <c r="M106" s="4171">
        <v>0</v>
      </c>
      <c r="N106" s="4171">
        <v>0</v>
      </c>
      <c r="O106" s="876"/>
      <c r="P106" s="391"/>
    </row>
    <row r="107" spans="2:16" ht="15.5">
      <c r="B107" s="55"/>
      <c r="C107" s="65"/>
      <c r="D107" s="103"/>
      <c r="E107" s="103"/>
      <c r="F107" s="1190"/>
      <c r="G107" s="104"/>
      <c r="H107" s="104"/>
      <c r="I107" s="104"/>
      <c r="J107" s="104"/>
      <c r="K107" s="104"/>
      <c r="L107" s="104"/>
      <c r="M107" s="104"/>
      <c r="N107" s="104"/>
      <c r="O107" s="876"/>
    </row>
    <row r="108" spans="2:16" ht="15.5">
      <c r="B108" s="55"/>
      <c r="C108" s="49" t="s">
        <v>1247</v>
      </c>
      <c r="D108" s="67"/>
      <c r="E108" s="51"/>
      <c r="F108" s="195"/>
      <c r="G108" s="195" t="s">
        <v>5</v>
      </c>
      <c r="H108" s="195"/>
      <c r="I108" s="195"/>
      <c r="J108" s="195"/>
      <c r="K108" s="195"/>
      <c r="L108" s="195"/>
      <c r="M108" s="195"/>
      <c r="N108" s="1640" t="str">
        <f>Preferences.EnergyUnits</f>
        <v>TWh</v>
      </c>
      <c r="O108" s="876"/>
    </row>
    <row r="109" spans="2:16" ht="15.5">
      <c r="B109" s="55"/>
      <c r="C109" s="67"/>
      <c r="D109" s="67"/>
      <c r="E109" s="67"/>
      <c r="F109" s="195"/>
      <c r="G109" s="195"/>
      <c r="H109" s="195"/>
      <c r="I109" s="195"/>
      <c r="J109" s="195"/>
      <c r="K109" s="195"/>
      <c r="L109" s="195"/>
      <c r="M109" s="195"/>
      <c r="N109" s="195"/>
      <c r="O109" s="876"/>
      <c r="P109" t="s">
        <v>5</v>
      </c>
    </row>
    <row r="110" spans="2:16" ht="15.5">
      <c r="B110" s="55"/>
      <c r="C110" s="878" t="s">
        <v>8</v>
      </c>
      <c r="D110" s="878" t="s">
        <v>34</v>
      </c>
      <c r="E110" s="878" t="s">
        <v>30</v>
      </c>
      <c r="F110" s="87">
        <v>2013</v>
      </c>
      <c r="G110" s="87">
        <v>2015</v>
      </c>
      <c r="H110" s="87">
        <v>2020</v>
      </c>
      <c r="I110" s="87">
        <v>2025</v>
      </c>
      <c r="J110" s="87">
        <v>2030</v>
      </c>
      <c r="K110" s="87">
        <v>2035</v>
      </c>
      <c r="L110" s="87">
        <v>2040</v>
      </c>
      <c r="M110" s="87">
        <v>2045</v>
      </c>
      <c r="N110" s="87">
        <v>2050</v>
      </c>
      <c r="O110" s="876"/>
    </row>
    <row r="111" spans="2:16" ht="15.5">
      <c r="B111" s="55"/>
      <c r="C111" s="65">
        <v>1</v>
      </c>
      <c r="D111" s="103" t="s">
        <v>984</v>
      </c>
      <c r="E111" s="1256"/>
      <c r="F111" s="1641">
        <v>0</v>
      </c>
      <c r="G111" s="1642">
        <v>0</v>
      </c>
      <c r="H111" s="1642">
        <v>0</v>
      </c>
      <c r="I111" s="1642">
        <v>0</v>
      </c>
      <c r="J111" s="1642">
        <v>0</v>
      </c>
      <c r="K111" s="1642">
        <v>0</v>
      </c>
      <c r="L111" s="1642">
        <v>0</v>
      </c>
      <c r="M111" s="1642">
        <v>0</v>
      </c>
      <c r="N111" s="1642">
        <v>0</v>
      </c>
      <c r="O111" s="876"/>
    </row>
    <row r="112" spans="2:16" ht="15.5">
      <c r="B112" s="55"/>
      <c r="C112" s="65">
        <v>2</v>
      </c>
      <c r="D112" s="103" t="s">
        <v>984</v>
      </c>
      <c r="E112" s="1256"/>
      <c r="F112" s="1641">
        <v>0</v>
      </c>
      <c r="G112" s="1643">
        <v>0</v>
      </c>
      <c r="H112" s="1643">
        <v>0</v>
      </c>
      <c r="I112" s="1643">
        <v>0</v>
      </c>
      <c r="J112" s="1643">
        <v>0</v>
      </c>
      <c r="K112" s="1643">
        <v>0</v>
      </c>
      <c r="L112" s="1643">
        <v>0</v>
      </c>
      <c r="M112" s="1643">
        <v>0</v>
      </c>
      <c r="N112" s="1643">
        <v>0</v>
      </c>
      <c r="O112" s="876"/>
    </row>
    <row r="113" spans="2:16" ht="15.5">
      <c r="B113" s="55"/>
      <c r="C113" s="65">
        <v>3</v>
      </c>
      <c r="D113" s="103" t="s">
        <v>984</v>
      </c>
      <c r="E113" s="1256"/>
      <c r="F113" s="1641">
        <v>0</v>
      </c>
      <c r="G113" s="1643">
        <v>0</v>
      </c>
      <c r="H113" s="1643">
        <v>0</v>
      </c>
      <c r="I113" s="1643">
        <v>0</v>
      </c>
      <c r="J113" s="1643">
        <v>0</v>
      </c>
      <c r="K113" s="1643">
        <v>0</v>
      </c>
      <c r="L113" s="1643">
        <v>0</v>
      </c>
      <c r="M113" s="1643">
        <v>0</v>
      </c>
      <c r="N113" s="1643">
        <v>0</v>
      </c>
      <c r="O113" s="876"/>
    </row>
    <row r="114" spans="2:16" ht="15.5">
      <c r="B114" s="55"/>
      <c r="C114" s="887">
        <v>4</v>
      </c>
      <c r="D114" s="888" t="s">
        <v>984</v>
      </c>
      <c r="E114" s="888"/>
      <c r="F114" s="1644">
        <v>0</v>
      </c>
      <c r="G114" s="1645">
        <f>(Unit.TWh)*0.0000089092664092664</f>
        <v>8.9092664092663995E-6</v>
      </c>
      <c r="H114" s="1645">
        <f>(Unit.TWh)*0.0000170656370656371</f>
        <v>1.7065637065637101E-5</v>
      </c>
      <c r="I114" s="1645">
        <f>(Unit.TWh)*0.000024469111969112</f>
        <v>2.4469111969112E-5</v>
      </c>
      <c r="J114" s="1645">
        <f>(Unit.TWh)*0.0000311196911196911</f>
        <v>3.1119691119691097E-5</v>
      </c>
      <c r="K114" s="1645">
        <f>(Unit.TWh)*0.0000370173745173745</f>
        <v>3.7017374517374498E-5</v>
      </c>
      <c r="L114" s="1645">
        <f>(Unit.TWh)*0.0000421621621621622</f>
        <v>4.2162162162162198E-5</v>
      </c>
      <c r="M114" s="1645">
        <f>(Unit.TWh)*0.000046554054054054</f>
        <v>4.6554054054054E-5</v>
      </c>
      <c r="N114" s="1645">
        <f>(Unit.TWh)*0.0000501930501930502</f>
        <v>5.0193050193050202E-5</v>
      </c>
      <c r="O114" s="876"/>
    </row>
    <row r="115" spans="2:16" ht="15.5">
      <c r="B115" s="55"/>
      <c r="C115" s="65"/>
      <c r="D115" s="103"/>
      <c r="E115" s="103"/>
      <c r="F115" s="59"/>
      <c r="G115" s="1217"/>
      <c r="H115" s="1217"/>
      <c r="I115" s="1217"/>
      <c r="J115" s="1217"/>
      <c r="K115" s="1217"/>
      <c r="L115" s="1217"/>
      <c r="M115" s="1217"/>
      <c r="N115" s="1217"/>
      <c r="O115" s="876"/>
    </row>
    <row r="116" spans="2:16" ht="15.5">
      <c r="B116" s="55"/>
      <c r="C116" s="49" t="s">
        <v>3065</v>
      </c>
      <c r="D116" s="67"/>
      <c r="E116" s="51"/>
      <c r="F116" s="67"/>
      <c r="G116" s="67"/>
      <c r="H116" s="67"/>
      <c r="I116" s="67"/>
      <c r="J116" s="67"/>
      <c r="K116" s="67"/>
      <c r="L116" s="67"/>
      <c r="M116" s="67"/>
      <c r="N116" s="51" t="s">
        <v>1248</v>
      </c>
      <c r="O116" s="876"/>
    </row>
    <row r="117" spans="2:16" ht="15.5">
      <c r="B117" s="55"/>
      <c r="C117" s="67"/>
      <c r="D117" s="67"/>
      <c r="E117" s="67"/>
      <c r="F117" s="67"/>
      <c r="G117" s="67"/>
      <c r="H117" s="67"/>
      <c r="I117" s="67"/>
      <c r="J117" s="67"/>
      <c r="K117" s="67"/>
      <c r="L117" s="67"/>
      <c r="M117" s="67"/>
      <c r="N117" s="67"/>
      <c r="O117" s="876"/>
    </row>
    <row r="118" spans="2:16" ht="15.5">
      <c r="B118" s="55"/>
      <c r="C118" s="878" t="s">
        <v>8</v>
      </c>
      <c r="D118" s="878" t="s">
        <v>34</v>
      </c>
      <c r="E118" s="878" t="s">
        <v>30</v>
      </c>
      <c r="F118" s="87">
        <v>2013</v>
      </c>
      <c r="G118" s="87">
        <v>2015</v>
      </c>
      <c r="H118" s="87">
        <v>2020</v>
      </c>
      <c r="I118" s="87">
        <v>2025</v>
      </c>
      <c r="J118" s="87">
        <v>2030</v>
      </c>
      <c r="K118" s="87">
        <v>2035</v>
      </c>
      <c r="L118" s="87">
        <v>2040</v>
      </c>
      <c r="M118" s="87">
        <v>2045</v>
      </c>
      <c r="N118" s="87">
        <v>2050</v>
      </c>
      <c r="O118" s="876"/>
    </row>
    <row r="119" spans="2:16" ht="15.5">
      <c r="B119" s="55"/>
      <c r="C119" s="65">
        <v>1</v>
      </c>
      <c r="D119" s="103" t="s">
        <v>1249</v>
      </c>
      <c r="E119" s="1256"/>
      <c r="F119" s="1646">
        <v>1.9299999999999997E-4</v>
      </c>
      <c r="G119" s="1646">
        <v>2.0096124999999999E-4</v>
      </c>
      <c r="H119" s="1646">
        <v>2.0892249999999998E-4</v>
      </c>
      <c r="I119" s="1646">
        <v>2.1688375E-4</v>
      </c>
      <c r="J119" s="1646">
        <v>2.2484499999999999E-4</v>
      </c>
      <c r="K119" s="1646">
        <v>2.3280624999999998E-4</v>
      </c>
      <c r="L119" s="1646">
        <v>2.4076749999999997E-4</v>
      </c>
      <c r="M119" s="1646">
        <v>2.4872874999999997E-4</v>
      </c>
      <c r="N119" s="1646">
        <v>2.5669000000000001E-4</v>
      </c>
      <c r="O119" s="876"/>
      <c r="P119" s="391"/>
    </row>
    <row r="120" spans="2:16" ht="15.5">
      <c r="B120" s="55"/>
      <c r="C120" s="65">
        <v>2</v>
      </c>
      <c r="D120" s="103" t="s">
        <v>1249</v>
      </c>
      <c r="E120" s="1256"/>
      <c r="F120" s="1646">
        <v>1.93E-4</v>
      </c>
      <c r="G120" s="1646">
        <v>1.9903125000000002E-4</v>
      </c>
      <c r="H120" s="1646">
        <v>2.050625E-4</v>
      </c>
      <c r="I120" s="1646">
        <v>2.1109375000000002E-4</v>
      </c>
      <c r="J120" s="1646">
        <v>2.1712500000000001E-4</v>
      </c>
      <c r="K120" s="1646">
        <v>2.2315625000000002E-4</v>
      </c>
      <c r="L120" s="1646">
        <v>2.2918750000000001E-4</v>
      </c>
      <c r="M120" s="1646">
        <v>2.3521875000000002E-4</v>
      </c>
      <c r="N120" s="1646">
        <v>2.4125000000000001E-4</v>
      </c>
      <c r="O120" s="876"/>
      <c r="P120" s="391"/>
    </row>
    <row r="121" spans="2:16" ht="15.5">
      <c r="B121" s="55"/>
      <c r="C121" s="65">
        <v>3</v>
      </c>
      <c r="D121" s="103" t="s">
        <v>1249</v>
      </c>
      <c r="E121" s="1256"/>
      <c r="F121" s="1646">
        <v>1.9300000000000003E-4</v>
      </c>
      <c r="G121" s="1646">
        <v>1.9541250000000001E-4</v>
      </c>
      <c r="H121" s="1646">
        <v>1.9782500000000002E-4</v>
      </c>
      <c r="I121" s="1646">
        <v>2.0023750000000001E-4</v>
      </c>
      <c r="J121" s="1646">
        <v>2.0265000000000002E-4</v>
      </c>
      <c r="K121" s="1646">
        <v>2.0506250000000003E-4</v>
      </c>
      <c r="L121" s="1646">
        <v>2.0747500000000002E-4</v>
      </c>
      <c r="M121" s="1646">
        <v>2.0988750000000003E-4</v>
      </c>
      <c r="N121" s="1646">
        <v>2.1230000000000001E-4</v>
      </c>
      <c r="O121" s="876"/>
      <c r="P121" s="391"/>
    </row>
    <row r="122" spans="2:16" ht="15.5">
      <c r="B122" s="55"/>
      <c r="C122" s="887">
        <v>4</v>
      </c>
      <c r="D122" s="888" t="s">
        <v>1249</v>
      </c>
      <c r="E122" s="1310"/>
      <c r="F122" s="1647">
        <v>1.93E-4</v>
      </c>
      <c r="G122" s="1647">
        <v>1.9541250000000001E-4</v>
      </c>
      <c r="H122" s="1647">
        <v>1.4475000000000002E-4</v>
      </c>
      <c r="I122" s="1647">
        <v>1.20625E-4</v>
      </c>
      <c r="J122" s="1647">
        <v>9.6500000000000001E-5</v>
      </c>
      <c r="K122" s="1647">
        <v>7.2375000000000011E-5</v>
      </c>
      <c r="L122" s="1647">
        <v>4.8250000000000007E-5</v>
      </c>
      <c r="M122" s="1647">
        <v>2.4125000000000004E-5</v>
      </c>
      <c r="N122" s="1647">
        <v>0</v>
      </c>
      <c r="O122" s="876"/>
      <c r="P122" s="391"/>
    </row>
    <row r="123" spans="2:16">
      <c r="B123" s="45"/>
      <c r="C123" s="65"/>
      <c r="D123" s="103"/>
      <c r="E123" s="103"/>
      <c r="F123" s="74" t="s">
        <v>5</v>
      </c>
      <c r="G123" s="77"/>
      <c r="H123" s="77"/>
      <c r="I123" s="77"/>
      <c r="J123" s="77"/>
      <c r="K123" s="77"/>
      <c r="L123" s="77"/>
      <c r="M123" s="77"/>
      <c r="N123" s="77"/>
      <c r="O123" s="876"/>
    </row>
    <row r="124" spans="2:16">
      <c r="B124" s="45"/>
      <c r="C124" s="49" t="s">
        <v>1250</v>
      </c>
      <c r="D124" s="67"/>
      <c r="E124" s="51"/>
      <c r="F124" s="4160"/>
      <c r="G124" s="67"/>
      <c r="H124" s="67"/>
      <c r="I124" s="67"/>
      <c r="J124" s="67"/>
      <c r="K124" s="67"/>
      <c r="L124" s="67"/>
      <c r="M124" s="67"/>
      <c r="N124" s="51" t="s">
        <v>1248</v>
      </c>
      <c r="O124" s="876"/>
    </row>
    <row r="125" spans="2:16">
      <c r="B125" s="45"/>
      <c r="C125" s="67"/>
      <c r="D125" s="67"/>
      <c r="E125" s="67"/>
      <c r="F125" s="67"/>
      <c r="G125" s="67"/>
      <c r="H125" s="67"/>
      <c r="I125" s="67"/>
      <c r="J125" s="67"/>
      <c r="K125" s="67"/>
      <c r="L125" s="67"/>
      <c r="M125" s="67"/>
      <c r="N125" s="67"/>
      <c r="O125" s="876"/>
    </row>
    <row r="126" spans="2:16" ht="15.5">
      <c r="B126" s="55"/>
      <c r="C126" s="878" t="s">
        <v>8</v>
      </c>
      <c r="D126" s="878" t="s">
        <v>34</v>
      </c>
      <c r="E126" s="878" t="s">
        <v>30</v>
      </c>
      <c r="F126" s="87">
        <v>2013</v>
      </c>
      <c r="G126" s="87">
        <v>2015</v>
      </c>
      <c r="H126" s="87">
        <v>2020</v>
      </c>
      <c r="I126" s="87">
        <v>2025</v>
      </c>
      <c r="J126" s="87">
        <v>2030</v>
      </c>
      <c r="K126" s="87">
        <v>2035</v>
      </c>
      <c r="L126" s="87">
        <v>2040</v>
      </c>
      <c r="M126" s="87">
        <v>2045</v>
      </c>
      <c r="N126" s="87">
        <v>2050</v>
      </c>
      <c r="O126" s="876"/>
    </row>
    <row r="127" spans="2:16" ht="15.5">
      <c r="B127" s="55"/>
      <c r="C127" s="65">
        <v>1</v>
      </c>
      <c r="D127" s="103" t="s">
        <v>984</v>
      </c>
      <c r="E127" s="1256"/>
      <c r="F127" s="1641">
        <v>0</v>
      </c>
      <c r="G127" s="1190">
        <v>0</v>
      </c>
      <c r="H127" s="1190">
        <v>0</v>
      </c>
      <c r="I127" s="1190">
        <v>0</v>
      </c>
      <c r="J127" s="1190">
        <v>0</v>
      </c>
      <c r="K127" s="1190">
        <v>0</v>
      </c>
      <c r="L127" s="1190">
        <v>0</v>
      </c>
      <c r="M127" s="1190">
        <v>0</v>
      </c>
      <c r="N127" s="1190">
        <v>0</v>
      </c>
      <c r="O127" s="876"/>
    </row>
    <row r="128" spans="2:16" ht="15.5">
      <c r="B128" s="55"/>
      <c r="C128" s="65">
        <v>2</v>
      </c>
      <c r="D128" s="103" t="s">
        <v>984</v>
      </c>
      <c r="E128" s="1256"/>
      <c r="F128" s="1641">
        <v>0</v>
      </c>
      <c r="G128" s="1648">
        <v>0</v>
      </c>
      <c r="H128" s="1648">
        <v>0</v>
      </c>
      <c r="I128" s="1648">
        <v>0</v>
      </c>
      <c r="J128" s="1648">
        <v>0</v>
      </c>
      <c r="K128" s="1648">
        <v>0</v>
      </c>
      <c r="L128" s="1648">
        <v>0</v>
      </c>
      <c r="M128" s="1648">
        <v>0</v>
      </c>
      <c r="N128" s="1648">
        <v>0</v>
      </c>
      <c r="O128" s="876"/>
    </row>
    <row r="129" spans="1:19" ht="15.5">
      <c r="B129" s="55"/>
      <c r="C129" s="65">
        <v>3</v>
      </c>
      <c r="D129" s="103" t="s">
        <v>984</v>
      </c>
      <c r="E129" s="1256"/>
      <c r="F129" s="1641">
        <v>0</v>
      </c>
      <c r="G129" s="1648">
        <v>0</v>
      </c>
      <c r="H129" s="1648">
        <v>0</v>
      </c>
      <c r="I129" s="1648">
        <v>0</v>
      </c>
      <c r="J129" s="1648">
        <v>0</v>
      </c>
      <c r="K129" s="1648">
        <v>0</v>
      </c>
      <c r="L129" s="1648">
        <v>0</v>
      </c>
      <c r="M129" s="1648">
        <v>0</v>
      </c>
      <c r="N129" s="1648">
        <v>0</v>
      </c>
      <c r="O129" s="876"/>
    </row>
    <row r="130" spans="1:19" ht="15.5">
      <c r="B130" s="55"/>
      <c r="C130" s="887">
        <v>4</v>
      </c>
      <c r="D130" s="888" t="s">
        <v>984</v>
      </c>
      <c r="E130" s="888"/>
      <c r="F130" s="1647">
        <f>F121-F122</f>
        <v>0</v>
      </c>
      <c r="G130" s="1647">
        <v>0</v>
      </c>
      <c r="H130" s="1647">
        <f t="shared" ref="H130:N130" si="9">H121-H122</f>
        <v>5.3075000000000003E-5</v>
      </c>
      <c r="I130" s="1647">
        <f t="shared" si="9"/>
        <v>7.9612500000000004E-5</v>
      </c>
      <c r="J130" s="1647">
        <f t="shared" si="9"/>
        <v>1.0615000000000002E-4</v>
      </c>
      <c r="K130" s="1647">
        <f t="shared" si="9"/>
        <v>1.3268750000000002E-4</v>
      </c>
      <c r="L130" s="1647">
        <f t="shared" si="9"/>
        <v>1.5922500000000001E-4</v>
      </c>
      <c r="M130" s="1647">
        <f t="shared" si="9"/>
        <v>1.8576250000000002E-4</v>
      </c>
      <c r="N130" s="1647">
        <f t="shared" si="9"/>
        <v>2.1230000000000001E-4</v>
      </c>
      <c r="O130" s="1646"/>
    </row>
    <row r="131" spans="1:19" ht="15.5">
      <c r="A131" s="1649"/>
      <c r="B131" s="1650"/>
      <c r="C131" s="1196"/>
      <c r="D131" s="1197"/>
      <c r="E131" s="1197"/>
      <c r="F131" s="59"/>
      <c r="G131" s="1651"/>
      <c r="H131" s="1651"/>
      <c r="I131" s="1651"/>
      <c r="J131" s="1651"/>
      <c r="K131" s="1651"/>
      <c r="L131" s="1651"/>
      <c r="M131" s="1651"/>
      <c r="N131" s="1651"/>
      <c r="O131" s="876"/>
    </row>
    <row r="132" spans="1:19" s="4158" customFormat="1" ht="15.5">
      <c r="A132" s="389"/>
      <c r="B132" s="55"/>
      <c r="C132" s="3567" t="s">
        <v>3568</v>
      </c>
      <c r="D132" s="103"/>
      <c r="E132" s="103"/>
      <c r="F132" s="59"/>
      <c r="G132" s="1217"/>
      <c r="H132" s="1217"/>
      <c r="I132" s="1217"/>
      <c r="J132" s="1217"/>
      <c r="K132" s="1217"/>
      <c r="L132" s="1217"/>
      <c r="M132" s="1217"/>
      <c r="N132" s="1217"/>
      <c r="O132" s="876"/>
    </row>
    <row r="133" spans="1:19" s="4158" customFormat="1" ht="15.5">
      <c r="A133" s="389"/>
      <c r="B133" s="55"/>
      <c r="C133" s="65"/>
      <c r="D133" s="103"/>
      <c r="E133" s="103"/>
      <c r="F133" s="59"/>
      <c r="G133" s="1217"/>
      <c r="H133" s="1217"/>
      <c r="I133" s="1217"/>
      <c r="J133" s="1217"/>
      <c r="K133" s="1217"/>
      <c r="L133" s="1217"/>
      <c r="M133" s="1217"/>
      <c r="N133" s="1217"/>
      <c r="O133" s="876"/>
    </row>
    <row r="134" spans="1:19">
      <c r="B134" s="45"/>
      <c r="C134" s="49" t="s">
        <v>1251</v>
      </c>
      <c r="D134" s="67"/>
      <c r="E134" s="51"/>
      <c r="F134" s="67"/>
      <c r="G134" s="67"/>
      <c r="H134" s="67"/>
      <c r="I134" s="67"/>
      <c r="J134" s="67"/>
      <c r="K134" s="67"/>
      <c r="L134" s="67"/>
      <c r="M134" s="67"/>
      <c r="N134" s="51" t="str">
        <f>Preferences.EnergyUnits</f>
        <v>TWh</v>
      </c>
      <c r="O134" s="876"/>
    </row>
    <row r="135" spans="1:19">
      <c r="B135" s="45"/>
      <c r="C135" s="67"/>
      <c r="D135" s="67"/>
      <c r="E135" s="67"/>
      <c r="F135" s="67"/>
      <c r="G135" s="67"/>
      <c r="H135" s="67"/>
      <c r="I135" s="67"/>
      <c r="J135" s="67"/>
      <c r="K135" s="67"/>
      <c r="L135" s="67"/>
      <c r="M135" s="67"/>
      <c r="N135" s="67"/>
      <c r="O135" s="876"/>
      <c r="P135" s="4169"/>
      <c r="Q135" s="377"/>
      <c r="R135" s="4169"/>
      <c r="S135" s="377"/>
    </row>
    <row r="136" spans="1:19" ht="15.5">
      <c r="B136" s="55"/>
      <c r="C136" s="878" t="s">
        <v>8</v>
      </c>
      <c r="D136" s="878" t="s">
        <v>34</v>
      </c>
      <c r="E136" s="878" t="s">
        <v>30</v>
      </c>
      <c r="F136" s="87">
        <v>2013</v>
      </c>
      <c r="G136" s="87">
        <v>2015</v>
      </c>
      <c r="H136" s="87">
        <v>2020</v>
      </c>
      <c r="I136" s="87">
        <v>2025</v>
      </c>
      <c r="J136" s="87">
        <v>2030</v>
      </c>
      <c r="K136" s="87">
        <v>2035</v>
      </c>
      <c r="L136" s="87">
        <v>2040</v>
      </c>
      <c r="M136" s="87">
        <v>2045</v>
      </c>
      <c r="N136" s="87">
        <v>2050</v>
      </c>
      <c r="O136" s="876"/>
      <c r="P136" s="377"/>
      <c r="Q136" s="377"/>
      <c r="R136" s="4169"/>
      <c r="S136" s="377"/>
    </row>
    <row r="137" spans="1:19" ht="15.5">
      <c r="B137" s="55"/>
      <c r="C137" s="65">
        <v>1</v>
      </c>
      <c r="D137" s="103" t="s">
        <v>1246</v>
      </c>
      <c r="E137" s="1256"/>
      <c r="F137" s="1652">
        <f t="shared" ref="F137:N140" si="10">(Unit.TWh)*0.66</f>
        <v>0.66</v>
      </c>
      <c r="G137" s="1481">
        <f t="shared" si="10"/>
        <v>0.66</v>
      </c>
      <c r="H137" s="1481">
        <f t="shared" si="10"/>
        <v>0.66</v>
      </c>
      <c r="I137" s="1481">
        <f t="shared" si="10"/>
        <v>0.66</v>
      </c>
      <c r="J137" s="1481">
        <f t="shared" si="10"/>
        <v>0.66</v>
      </c>
      <c r="K137" s="1481">
        <f t="shared" si="10"/>
        <v>0.66</v>
      </c>
      <c r="L137" s="1481">
        <f t="shared" si="10"/>
        <v>0.66</v>
      </c>
      <c r="M137" s="1481">
        <f t="shared" si="10"/>
        <v>0.66</v>
      </c>
      <c r="N137" s="1481">
        <f t="shared" si="10"/>
        <v>0.66</v>
      </c>
      <c r="O137" s="876"/>
      <c r="P137" s="4166"/>
      <c r="Q137" s="391"/>
      <c r="R137" s="4169"/>
      <c r="S137" s="391"/>
    </row>
    <row r="138" spans="1:19" ht="15.5">
      <c r="B138" s="55"/>
      <c r="C138" s="65">
        <v>2</v>
      </c>
      <c r="D138" s="103" t="s">
        <v>1246</v>
      </c>
      <c r="E138" s="1256"/>
      <c r="F138" s="1652">
        <f t="shared" si="10"/>
        <v>0.66</v>
      </c>
      <c r="G138" s="1481">
        <f t="shared" si="10"/>
        <v>0.66</v>
      </c>
      <c r="H138" s="1481">
        <f t="shared" si="10"/>
        <v>0.66</v>
      </c>
      <c r="I138" s="1481">
        <f t="shared" si="10"/>
        <v>0.66</v>
      </c>
      <c r="J138" s="1481">
        <f t="shared" si="10"/>
        <v>0.66</v>
      </c>
      <c r="K138" s="1481">
        <f t="shared" si="10"/>
        <v>0.66</v>
      </c>
      <c r="L138" s="1481">
        <f t="shared" si="10"/>
        <v>0.66</v>
      </c>
      <c r="M138" s="1481">
        <f t="shared" si="10"/>
        <v>0.66</v>
      </c>
      <c r="N138" s="1481">
        <f t="shared" si="10"/>
        <v>0.66</v>
      </c>
      <c r="O138" s="876"/>
      <c r="P138" s="4166"/>
      <c r="Q138" s="391"/>
      <c r="R138" s="4169"/>
      <c r="S138" s="391"/>
    </row>
    <row r="139" spans="1:19" ht="15.5">
      <c r="B139" s="55"/>
      <c r="C139" s="65">
        <v>3</v>
      </c>
      <c r="D139" s="103" t="s">
        <v>1246</v>
      </c>
      <c r="E139" s="1256"/>
      <c r="F139" s="1653">
        <f t="shared" si="10"/>
        <v>0.66</v>
      </c>
      <c r="G139" s="1480">
        <f t="shared" si="10"/>
        <v>0.66</v>
      </c>
      <c r="H139" s="1480">
        <f t="shared" si="10"/>
        <v>0.66</v>
      </c>
      <c r="I139" s="1480">
        <f t="shared" si="10"/>
        <v>0.66</v>
      </c>
      <c r="J139" s="1480">
        <f t="shared" si="10"/>
        <v>0.66</v>
      </c>
      <c r="K139" s="1480">
        <f t="shared" si="10"/>
        <v>0.66</v>
      </c>
      <c r="L139" s="1480">
        <f t="shared" si="10"/>
        <v>0.66</v>
      </c>
      <c r="M139" s="1480">
        <f t="shared" si="10"/>
        <v>0.66</v>
      </c>
      <c r="N139" s="1480">
        <f t="shared" si="10"/>
        <v>0.66</v>
      </c>
      <c r="O139" s="876"/>
      <c r="P139" s="4166"/>
      <c r="Q139" s="391"/>
      <c r="R139" s="4169"/>
      <c r="S139" s="391"/>
    </row>
    <row r="140" spans="1:19" ht="15.5">
      <c r="B140" s="55"/>
      <c r="C140" s="887">
        <v>4</v>
      </c>
      <c r="D140" s="888" t="s">
        <v>1246</v>
      </c>
      <c r="E140" s="888"/>
      <c r="F140" s="1654">
        <f t="shared" si="10"/>
        <v>0.66</v>
      </c>
      <c r="G140" s="1657">
        <f t="shared" si="10"/>
        <v>0.66</v>
      </c>
      <c r="H140" s="1657">
        <f t="shared" si="10"/>
        <v>0.66</v>
      </c>
      <c r="I140" s="1657">
        <f t="shared" si="10"/>
        <v>0.66</v>
      </c>
      <c r="J140" s="1657">
        <f t="shared" si="10"/>
        <v>0.66</v>
      </c>
      <c r="K140" s="1657">
        <f t="shared" si="10"/>
        <v>0.66</v>
      </c>
      <c r="L140" s="1657">
        <f t="shared" si="10"/>
        <v>0.66</v>
      </c>
      <c r="M140" s="1657">
        <f t="shared" si="10"/>
        <v>0.66</v>
      </c>
      <c r="N140" s="1657">
        <f t="shared" si="10"/>
        <v>0.66</v>
      </c>
      <c r="O140" s="876"/>
      <c r="P140" s="4166"/>
      <c r="Q140" s="391"/>
      <c r="R140" s="4169"/>
      <c r="S140" s="391"/>
    </row>
    <row r="141" spans="1:19">
      <c r="B141" s="45"/>
      <c r="C141" s="65"/>
      <c r="D141" s="103"/>
      <c r="E141" s="103"/>
      <c r="F141" s="74"/>
      <c r="G141" s="77"/>
      <c r="H141" s="77"/>
      <c r="I141" s="77"/>
      <c r="J141" s="77"/>
      <c r="K141" s="77"/>
      <c r="L141" s="77"/>
      <c r="M141" s="77"/>
      <c r="N141" s="77"/>
      <c r="O141" s="876"/>
    </row>
    <row r="142" spans="1:19">
      <c r="B142" s="45"/>
      <c r="C142" s="3850" t="s">
        <v>63</v>
      </c>
      <c r="D142" s="195"/>
      <c r="E142" s="67"/>
      <c r="F142" s="67"/>
      <c r="G142" s="67"/>
      <c r="H142" s="67"/>
      <c r="I142" s="67"/>
      <c r="J142" s="67"/>
      <c r="K142" s="67"/>
      <c r="L142" s="67"/>
      <c r="M142" s="67"/>
      <c r="N142" s="67"/>
      <c r="O142" s="876"/>
    </row>
    <row r="143" spans="1:19">
      <c r="B143" s="45"/>
      <c r="C143" s="920" t="s">
        <v>64</v>
      </c>
      <c r="D143" s="3848" t="s">
        <v>3067</v>
      </c>
      <c r="E143" s="67"/>
      <c r="F143" s="67"/>
      <c r="G143" s="67"/>
      <c r="H143" s="67"/>
      <c r="I143" s="67"/>
      <c r="J143" s="67"/>
      <c r="K143" s="67"/>
      <c r="L143" s="67"/>
      <c r="M143" s="67"/>
      <c r="N143" s="67"/>
      <c r="O143" s="876"/>
    </row>
    <row r="144" spans="1:19">
      <c r="B144" s="45"/>
      <c r="C144" s="920"/>
      <c r="D144" s="1072" t="s">
        <v>3064</v>
      </c>
      <c r="E144" s="67"/>
      <c r="F144" s="67"/>
      <c r="G144" s="67"/>
      <c r="H144" s="67"/>
      <c r="I144" s="67"/>
      <c r="J144" s="67"/>
      <c r="K144" s="67"/>
      <c r="L144" s="67"/>
      <c r="M144" s="67"/>
      <c r="N144" s="67"/>
      <c r="O144" s="876"/>
    </row>
    <row r="145" spans="1:18" ht="15.5">
      <c r="B145" s="1097"/>
      <c r="C145" s="920" t="s">
        <v>66</v>
      </c>
      <c r="D145" s="1072" t="s">
        <v>3066</v>
      </c>
      <c r="E145" s="1258"/>
      <c r="F145" s="108"/>
      <c r="G145" s="1259"/>
      <c r="H145" s="1259"/>
      <c r="I145" s="1259"/>
      <c r="J145" s="1259"/>
      <c r="K145" s="1259"/>
      <c r="L145" s="1259"/>
      <c r="M145" s="1259"/>
      <c r="N145" s="1259"/>
      <c r="O145" s="1100"/>
    </row>
    <row r="147" spans="1:18" s="6" customFormat="1" ht="23.5">
      <c r="A147" s="40"/>
      <c r="B147" s="869" t="s">
        <v>69</v>
      </c>
      <c r="C147" s="870"/>
      <c r="D147" s="870"/>
      <c r="E147" s="870"/>
      <c r="F147" s="870"/>
      <c r="G147" s="870"/>
      <c r="H147" s="870"/>
      <c r="I147" s="870"/>
      <c r="J147" s="870"/>
      <c r="K147" s="870"/>
      <c r="L147" s="870"/>
      <c r="M147" s="870"/>
      <c r="N147" s="870"/>
      <c r="O147" s="871"/>
      <c r="Q147"/>
      <c r="R147"/>
    </row>
    <row r="148" spans="1:18">
      <c r="B148" s="105"/>
      <c r="C148" s="67"/>
      <c r="D148" s="67"/>
      <c r="E148" s="67"/>
      <c r="F148" s="67"/>
      <c r="G148" s="67"/>
      <c r="H148" s="67"/>
      <c r="I148" s="67"/>
      <c r="J148" s="67"/>
      <c r="K148" s="67"/>
      <c r="L148" s="67"/>
      <c r="M148" s="67"/>
      <c r="N148" s="67"/>
      <c r="O148" s="876"/>
    </row>
    <row r="149" spans="1:18">
      <c r="A149" s="918"/>
      <c r="B149" s="130"/>
      <c r="C149" s="49" t="s">
        <v>3454</v>
      </c>
      <c r="D149" s="67"/>
      <c r="E149" s="51"/>
      <c r="F149" s="67"/>
      <c r="G149" s="1300"/>
      <c r="H149" s="1300"/>
      <c r="I149" s="185"/>
      <c r="J149" s="1060"/>
      <c r="K149" s="1060"/>
      <c r="L149" s="1060"/>
      <c r="M149" s="1060"/>
      <c r="N149" s="185" t="s">
        <v>1139</v>
      </c>
      <c r="O149" s="876"/>
    </row>
    <row r="150" spans="1:18" ht="15.5" hidden="1">
      <c r="A150" s="918"/>
      <c r="B150" s="55"/>
      <c r="C150" s="67"/>
      <c r="D150" s="67"/>
      <c r="E150" s="67"/>
      <c r="F150" s="67"/>
      <c r="G150" s="1300"/>
      <c r="H150" s="1300"/>
      <c r="I150" s="1300"/>
      <c r="J150" s="1060"/>
      <c r="K150" s="1060"/>
      <c r="L150" s="1060"/>
      <c r="M150" s="1060"/>
      <c r="N150" s="1060"/>
      <c r="O150" s="876"/>
    </row>
    <row r="151" spans="1:18" ht="15.5" hidden="1">
      <c r="A151" s="918"/>
      <c r="B151" s="55"/>
      <c r="C151" s="900" t="s">
        <v>43</v>
      </c>
      <c r="D151" s="878" t="s">
        <v>987</v>
      </c>
      <c r="E151" s="878" t="s">
        <v>30</v>
      </c>
      <c r="F151" s="87">
        <v>2013</v>
      </c>
      <c r="G151" s="87">
        <v>2015</v>
      </c>
      <c r="H151" s="87">
        <v>2020</v>
      </c>
      <c r="I151" s="87">
        <v>2025</v>
      </c>
      <c r="J151" s="87">
        <v>2030</v>
      </c>
      <c r="K151" s="87">
        <v>2035</v>
      </c>
      <c r="L151" s="87">
        <v>2040</v>
      </c>
      <c r="M151" s="87">
        <v>2045</v>
      </c>
      <c r="N151" s="87">
        <v>2050</v>
      </c>
      <c r="O151" s="876"/>
    </row>
    <row r="152" spans="1:18" ht="15.5" hidden="1">
      <c r="A152" s="918"/>
      <c r="B152" s="55"/>
      <c r="C152" s="66" t="s">
        <v>1220</v>
      </c>
      <c r="D152" s="103" t="s">
        <v>1252</v>
      </c>
      <c r="E152" s="914"/>
      <c r="F152" s="1503">
        <v>20220</v>
      </c>
      <c r="G152" s="1503">
        <v>20220</v>
      </c>
      <c r="H152" s="1503">
        <v>20220</v>
      </c>
      <c r="I152" s="1503">
        <v>20220</v>
      </c>
      <c r="J152" s="1503">
        <v>20220</v>
      </c>
      <c r="K152" s="1503">
        <v>20220</v>
      </c>
      <c r="L152" s="1503">
        <v>20220</v>
      </c>
      <c r="M152" s="1503">
        <v>20220</v>
      </c>
      <c r="N152" s="1503">
        <v>20220</v>
      </c>
      <c r="O152" s="876"/>
    </row>
    <row r="153" spans="1:18" ht="15.5" hidden="1">
      <c r="A153" s="918"/>
      <c r="B153" s="55"/>
      <c r="C153" s="104" t="s">
        <v>1221</v>
      </c>
      <c r="D153" s="103" t="s">
        <v>1253</v>
      </c>
      <c r="E153" s="1256"/>
      <c r="F153" s="1503">
        <v>48489.414199999999</v>
      </c>
      <c r="G153" s="1503">
        <v>48489.414199999999</v>
      </c>
      <c r="H153" s="1503">
        <v>48489.414199999999</v>
      </c>
      <c r="I153" s="1503">
        <v>48489.414199999999</v>
      </c>
      <c r="J153" s="1503">
        <v>48489.414199999999</v>
      </c>
      <c r="K153" s="1503">
        <v>48489.414199999999</v>
      </c>
      <c r="L153" s="1503">
        <v>48489.414199999999</v>
      </c>
      <c r="M153" s="1503">
        <v>48489.414199999999</v>
      </c>
      <c r="N153" s="1503">
        <v>48489.414199999999</v>
      </c>
      <c r="O153" s="1503">
        <v>48489.414199999999</v>
      </c>
    </row>
    <row r="154" spans="1:18">
      <c r="B154" s="105"/>
      <c r="C154" s="2200" t="s">
        <v>3488</v>
      </c>
      <c r="D154" s="67"/>
      <c r="E154" s="67"/>
      <c r="F154" s="67"/>
      <c r="G154" s="67"/>
      <c r="H154" s="67"/>
      <c r="I154" s="67"/>
      <c r="J154" s="67"/>
      <c r="K154" s="67"/>
      <c r="L154" s="67"/>
      <c r="M154" s="67"/>
      <c r="N154" s="67"/>
      <c r="O154" s="876"/>
    </row>
    <row r="155" spans="1:18" hidden="1">
      <c r="B155" s="105"/>
      <c r="C155" s="49" t="s">
        <v>779</v>
      </c>
      <c r="D155" s="67"/>
      <c r="E155" s="67" t="s">
        <v>5</v>
      </c>
      <c r="F155" s="67"/>
      <c r="G155" s="67"/>
      <c r="H155" s="67" t="s">
        <v>5</v>
      </c>
      <c r="I155" s="67"/>
      <c r="J155" s="67"/>
      <c r="K155" s="67"/>
      <c r="L155" s="67"/>
      <c r="M155" s="67"/>
      <c r="N155" s="67" t="str">
        <f>"kt per "&amp;Preferences.EnergyUnits</f>
        <v>kt per TWh</v>
      </c>
      <c r="O155" s="876"/>
    </row>
    <row r="156" spans="1:18" hidden="1">
      <c r="B156" s="105"/>
      <c r="C156" s="67"/>
      <c r="D156" s="67"/>
      <c r="E156" s="1352"/>
      <c r="F156" s="67"/>
      <c r="G156" s="67"/>
      <c r="H156" s="67"/>
      <c r="I156" s="67"/>
      <c r="J156" s="67"/>
      <c r="K156" s="67"/>
      <c r="L156" s="67"/>
      <c r="M156" s="67"/>
      <c r="N156" s="67"/>
      <c r="O156" s="876"/>
    </row>
    <row r="157" spans="1:18" hidden="1">
      <c r="B157" s="105"/>
      <c r="C157" s="1520" t="s">
        <v>43</v>
      </c>
      <c r="D157" s="1520" t="s">
        <v>987</v>
      </c>
      <c r="E157" s="1521" t="s">
        <v>44</v>
      </c>
      <c r="F157" s="1357" t="s">
        <v>588</v>
      </c>
      <c r="G157" s="1357" t="s">
        <v>132</v>
      </c>
      <c r="H157" s="1357" t="s">
        <v>133</v>
      </c>
      <c r="I157" s="1357" t="s">
        <v>134</v>
      </c>
      <c r="J157" s="1357" t="s">
        <v>135</v>
      </c>
      <c r="K157" s="1357" t="s">
        <v>136</v>
      </c>
      <c r="L157" s="1357" t="s">
        <v>137</v>
      </c>
      <c r="M157" s="1357" t="s">
        <v>138</v>
      </c>
      <c r="N157" s="1357" t="s">
        <v>139</v>
      </c>
      <c r="O157" s="876"/>
    </row>
    <row r="158" spans="1:18" hidden="1">
      <c r="B158" s="105"/>
      <c r="C158" s="1362" t="s">
        <v>471</v>
      </c>
      <c r="D158" s="189" t="s">
        <v>1117</v>
      </c>
      <c r="E158" s="2441" t="s">
        <v>1130</v>
      </c>
      <c r="F158" s="2430">
        <f>0.284*(1/Unit.TWh)</f>
        <v>0.28399999999999997</v>
      </c>
      <c r="G158" s="2430">
        <f>0.245666666666667*(1/Unit.TWh)</f>
        <v>0.24566666666666701</v>
      </c>
      <c r="H158" s="2430">
        <f>0.2015*(1/Unit.TWh)</f>
        <v>0.20150000000000001</v>
      </c>
      <c r="I158" s="2430">
        <f>0.157333333333333*(1/Unit.TWh)</f>
        <v>0.15733333333333299</v>
      </c>
      <c r="J158" s="2430">
        <f>0.113166666666667*(1/Unit.TWh)</f>
        <v>0.113166666666667</v>
      </c>
      <c r="K158" s="2430">
        <f>0.069*(1/Unit.TWh)</f>
        <v>6.9000000000000006E-2</v>
      </c>
      <c r="L158" s="2430">
        <f>0.0308333333333333*(1/Unit.TWh)</f>
        <v>3.0833333333333299E-2</v>
      </c>
      <c r="M158" s="2430">
        <f>0.025*(1/Unit.TWh)</f>
        <v>2.5000000000000001E-2</v>
      </c>
      <c r="N158" s="2430">
        <f>0.025*(1/Unit.TWh)</f>
        <v>2.5000000000000001E-2</v>
      </c>
      <c r="O158" s="876"/>
    </row>
    <row r="159" spans="1:18" hidden="1">
      <c r="B159" s="105"/>
      <c r="C159" s="1362" t="s">
        <v>471</v>
      </c>
      <c r="D159" s="189" t="s">
        <v>1117</v>
      </c>
      <c r="E159" s="80" t="s">
        <v>1131</v>
      </c>
      <c r="F159" s="2412">
        <f t="shared" ref="F159:N159" si="11">0*(1/Unit.TWh)</f>
        <v>0</v>
      </c>
      <c r="G159" s="2412">
        <f t="shared" si="11"/>
        <v>0</v>
      </c>
      <c r="H159" s="2412">
        <f t="shared" si="11"/>
        <v>0</v>
      </c>
      <c r="I159" s="2412">
        <f t="shared" si="11"/>
        <v>0</v>
      </c>
      <c r="J159" s="2412">
        <f t="shared" si="11"/>
        <v>0</v>
      </c>
      <c r="K159" s="2412">
        <f t="shared" si="11"/>
        <v>0</v>
      </c>
      <c r="L159" s="2412">
        <f t="shared" si="11"/>
        <v>0</v>
      </c>
      <c r="M159" s="2412">
        <f t="shared" si="11"/>
        <v>0</v>
      </c>
      <c r="N159" s="2412">
        <f t="shared" si="11"/>
        <v>0</v>
      </c>
      <c r="O159" s="876"/>
    </row>
    <row r="160" spans="1:18" hidden="1">
      <c r="B160" s="105"/>
      <c r="C160" s="1362" t="s">
        <v>471</v>
      </c>
      <c r="D160" s="80" t="s">
        <v>1254</v>
      </c>
      <c r="E160" s="80" t="s">
        <v>1130</v>
      </c>
      <c r="F160" s="2430">
        <f>0.0510659286834548*(1/Unit.TWh)</f>
        <v>5.1065928683454803E-2</v>
      </c>
      <c r="G160" s="2430">
        <f>0.0376329218937318*(1/Unit.TWh)</f>
        <v>3.7632921893731797E-2</v>
      </c>
      <c r="H160" s="2430">
        <f>0.0314237522645619*(1/Unit.TWh)</f>
        <v>3.1423752264561899E-2</v>
      </c>
      <c r="I160" s="2430">
        <f>0.0304830293892288*(1/Unit.TWh)</f>
        <v>3.04830293892288E-2</v>
      </c>
      <c r="J160" s="2430">
        <f>0.0304215804075059*(1/Unit.TWh)</f>
        <v>3.0421580407505901E-2</v>
      </c>
      <c r="K160" s="2430">
        <f>0.0302205363536633*(1/Unit.TWh)</f>
        <v>3.0220536353663299E-2</v>
      </c>
      <c r="L160" s="2430">
        <f>0.0302205363536633*(1/Unit.TWh)</f>
        <v>3.0220536353663299E-2</v>
      </c>
      <c r="M160" s="2430">
        <f>0.0302205363536633*(1/Unit.TWh)</f>
        <v>3.0220536353663299E-2</v>
      </c>
      <c r="N160" s="2430">
        <f>0.0302205363536633*(1/Unit.TWh)</f>
        <v>3.0220536353663299E-2</v>
      </c>
      <c r="O160" s="876"/>
    </row>
    <row r="161" spans="2:15" hidden="1">
      <c r="B161" s="105"/>
      <c r="C161" s="1362" t="s">
        <v>471</v>
      </c>
      <c r="D161" s="80" t="s">
        <v>1254</v>
      </c>
      <c r="E161" s="80" t="s">
        <v>3455</v>
      </c>
      <c r="F161" s="2430"/>
      <c r="G161" s="2430"/>
      <c r="H161" s="2430"/>
      <c r="I161" s="2430"/>
      <c r="J161" s="2430"/>
      <c r="K161" s="2430"/>
      <c r="L161" s="2430"/>
      <c r="M161" s="2430"/>
      <c r="N161" s="2430"/>
      <c r="O161" s="876"/>
    </row>
    <row r="162" spans="2:15" s="4168" customFormat="1" hidden="1">
      <c r="B162" s="105"/>
      <c r="C162" s="1362" t="s">
        <v>471</v>
      </c>
      <c r="D162" s="80" t="s">
        <v>1254</v>
      </c>
      <c r="E162" s="3833" t="s">
        <v>1131</v>
      </c>
      <c r="F162" s="4154"/>
      <c r="G162" s="4154"/>
      <c r="H162" s="4154"/>
      <c r="I162" s="4154"/>
      <c r="J162" s="4154"/>
      <c r="K162" s="4154"/>
      <c r="L162" s="4154"/>
      <c r="M162" s="4154"/>
      <c r="N162" s="4154"/>
      <c r="O162" s="876"/>
    </row>
    <row r="163" spans="2:15" hidden="1">
      <c r="B163" s="105"/>
      <c r="C163" s="1362" t="s">
        <v>471</v>
      </c>
      <c r="D163" s="80" t="s">
        <v>1255</v>
      </c>
      <c r="E163" s="80" t="s">
        <v>1130</v>
      </c>
      <c r="F163" s="2430">
        <f>0.232276077116459*(1/Unit.TWh)</f>
        <v>0.23227607711645901</v>
      </c>
      <c r="G163" s="2430">
        <f>0.163782197079641*(1/Unit.TWh)</f>
        <v>0.16378219707964101</v>
      </c>
      <c r="H163" s="2430">
        <f t="shared" ref="H163:N163" si="12">0.101877930768909*(1/Unit.TWh)</f>
        <v>0.101877930768909</v>
      </c>
      <c r="I163" s="2430">
        <f t="shared" si="12"/>
        <v>0.101877930768909</v>
      </c>
      <c r="J163" s="2430">
        <f t="shared" si="12"/>
        <v>0.101877930768909</v>
      </c>
      <c r="K163" s="2430">
        <f t="shared" si="12"/>
        <v>0.101877930768909</v>
      </c>
      <c r="L163" s="2430">
        <f t="shared" si="12"/>
        <v>0.101877930768909</v>
      </c>
      <c r="M163" s="2430">
        <f t="shared" si="12"/>
        <v>0.101877930768909</v>
      </c>
      <c r="N163" s="2430">
        <f t="shared" si="12"/>
        <v>0.101877930768909</v>
      </c>
      <c r="O163" s="876"/>
    </row>
    <row r="164" spans="2:15" s="918" customFormat="1" ht="15.5" hidden="1">
      <c r="B164" s="1210"/>
      <c r="C164" s="943"/>
      <c r="D164" s="103"/>
      <c r="E164" s="1256"/>
      <c r="F164" s="3819"/>
      <c r="G164" s="3819"/>
      <c r="H164" s="3819"/>
      <c r="I164" s="3819"/>
      <c r="J164" s="3818"/>
      <c r="K164" s="3818"/>
      <c r="L164" s="3818"/>
      <c r="M164" s="3818"/>
      <c r="N164" s="3818"/>
      <c r="O164" s="923"/>
    </row>
    <row r="165" spans="2:15" hidden="1">
      <c r="B165" s="105"/>
      <c r="C165" s="49" t="s">
        <v>781</v>
      </c>
      <c r="D165" s="67"/>
      <c r="E165" s="67"/>
      <c r="F165" s="67"/>
      <c r="G165" s="67"/>
      <c r="H165" s="67"/>
      <c r="I165" s="67"/>
      <c r="J165" s="67"/>
      <c r="K165" s="67"/>
      <c r="L165" s="67"/>
      <c r="M165" s="67"/>
      <c r="N165" s="67" t="str">
        <f>"kt per "&amp;Preferences.EnergyUnits</f>
        <v>kt per TWh</v>
      </c>
      <c r="O165" s="876"/>
    </row>
    <row r="166" spans="2:15" hidden="1">
      <c r="B166" s="105"/>
      <c r="C166" s="67"/>
      <c r="D166" s="67"/>
      <c r="E166" s="1352"/>
      <c r="F166" s="67"/>
      <c r="G166" s="67"/>
      <c r="H166" s="67"/>
      <c r="I166" s="67"/>
      <c r="J166" s="67"/>
      <c r="K166" s="67"/>
      <c r="L166" s="67"/>
      <c r="M166" s="67"/>
      <c r="N166" s="67"/>
      <c r="O166" s="876" t="s">
        <v>5</v>
      </c>
    </row>
    <row r="167" spans="2:15" hidden="1">
      <c r="B167" s="105"/>
      <c r="C167" s="1520" t="s">
        <v>43</v>
      </c>
      <c r="D167" s="1520" t="s">
        <v>987</v>
      </c>
      <c r="E167" s="1521" t="s">
        <v>44</v>
      </c>
      <c r="F167" s="1357" t="s">
        <v>588</v>
      </c>
      <c r="G167" s="1357" t="s">
        <v>132</v>
      </c>
      <c r="H167" s="1357" t="s">
        <v>133</v>
      </c>
      <c r="I167" s="1357" t="s">
        <v>134</v>
      </c>
      <c r="J167" s="1357" t="s">
        <v>135</v>
      </c>
      <c r="K167" s="1357" t="s">
        <v>136</v>
      </c>
      <c r="L167" s="1357" t="s">
        <v>137</v>
      </c>
      <c r="M167" s="1357" t="s">
        <v>138</v>
      </c>
      <c r="N167" s="1357" t="s">
        <v>139</v>
      </c>
      <c r="O167" s="876"/>
    </row>
    <row r="168" spans="2:15" hidden="1">
      <c r="B168" s="105"/>
      <c r="C168" s="1362" t="s">
        <v>471</v>
      </c>
      <c r="D168" s="189" t="s">
        <v>1117</v>
      </c>
      <c r="E168" s="1523" t="s">
        <v>1130</v>
      </c>
      <c r="F168" s="2430">
        <f>13.588*(1/Unit.TWh)</f>
        <v>13.587999999999999</v>
      </c>
      <c r="G168" s="2430">
        <f>11.9763333333333*(1/Unit.TWh)</f>
        <v>11.976333333333301</v>
      </c>
      <c r="H168" s="2430">
        <f>10.238*(1/Unit.TWh)</f>
        <v>10.238</v>
      </c>
      <c r="I168" s="2430">
        <f>8.49966666666667*(1/Unit.TWh)</f>
        <v>8.4996666666666698</v>
      </c>
      <c r="J168" s="2430">
        <f>6.76133333333333*(1/Unit.TWh)</f>
        <v>6.7613333333333303</v>
      </c>
      <c r="K168" s="2430">
        <f>5.023*(1/Unit.TWh)</f>
        <v>5.0229999999999997</v>
      </c>
      <c r="L168" s="2430">
        <f>3.72666666666667*(1/Unit.TWh)</f>
        <v>3.7266666666666701</v>
      </c>
      <c r="M168" s="2430">
        <f>3.6*(1/Unit.TWh)</f>
        <v>3.6</v>
      </c>
      <c r="N168" s="2430">
        <f>3.6*(1/Unit.TWh)</f>
        <v>3.6</v>
      </c>
      <c r="O168" s="876"/>
    </row>
    <row r="169" spans="2:15" hidden="1">
      <c r="B169" s="105"/>
      <c r="C169" s="1362" t="s">
        <v>471</v>
      </c>
      <c r="D169" s="189" t="s">
        <v>1117</v>
      </c>
      <c r="E169" s="80" t="s">
        <v>1131</v>
      </c>
      <c r="F169" s="2412">
        <f t="shared" ref="F169:N169" si="13">0*(1/Unit.TWh)</f>
        <v>0</v>
      </c>
      <c r="G169" s="2412">
        <f t="shared" si="13"/>
        <v>0</v>
      </c>
      <c r="H169" s="2412">
        <f t="shared" si="13"/>
        <v>0</v>
      </c>
      <c r="I169" s="2412">
        <f t="shared" si="13"/>
        <v>0</v>
      </c>
      <c r="J169" s="2412">
        <f t="shared" si="13"/>
        <v>0</v>
      </c>
      <c r="K169" s="2412">
        <f t="shared" si="13"/>
        <v>0</v>
      </c>
      <c r="L169" s="2412">
        <f t="shared" si="13"/>
        <v>0</v>
      </c>
      <c r="M169" s="2412">
        <f t="shared" si="13"/>
        <v>0</v>
      </c>
      <c r="N169" s="2412">
        <f t="shared" si="13"/>
        <v>0</v>
      </c>
      <c r="O169" s="876"/>
    </row>
    <row r="170" spans="2:15" hidden="1">
      <c r="B170" s="105"/>
      <c r="C170" s="1362" t="s">
        <v>471</v>
      </c>
      <c r="D170" s="80" t="s">
        <v>1254</v>
      </c>
      <c r="E170" s="80" t="s">
        <v>1130</v>
      </c>
      <c r="F170" s="2430">
        <f>1.35630425930133*(1/Unit.TWh)</f>
        <v>1.3563042593013299</v>
      </c>
      <c r="G170" s="2430">
        <f>0.600487696866041*(1/Unit.TWh)</f>
        <v>0.60048769686604098</v>
      </c>
      <c r="H170" s="2430">
        <f>0.16047711449102*(1/Unit.TWh)</f>
        <v>0.16047711449102001</v>
      </c>
      <c r="I170" s="2430">
        <f>0.0839169806445128*(1/Unit.TWh)</f>
        <v>8.3916980644512806E-2</v>
      </c>
      <c r="J170" s="2430">
        <f>0.077332183695044*(1/Unit.TWh)</f>
        <v>7.7332183695043993E-2</v>
      </c>
      <c r="K170" s="2430">
        <f>0.0765312356472111*(1/Unit.TWh)</f>
        <v>7.6531235647211093E-2</v>
      </c>
      <c r="L170" s="2430">
        <f>0.0765312356472111*(1/Unit.TWh)</f>
        <v>7.6531235647211093E-2</v>
      </c>
      <c r="M170" s="2430">
        <f>0.0765312356472111*(1/Unit.TWh)</f>
        <v>7.6531235647211093E-2</v>
      </c>
      <c r="N170" s="2430">
        <f>0.0765312356472111*(1/Unit.TWh)</f>
        <v>7.6531235647211093E-2</v>
      </c>
      <c r="O170" s="876"/>
    </row>
    <row r="171" spans="2:15" hidden="1">
      <c r="B171" s="105"/>
      <c r="C171" s="1362" t="s">
        <v>471</v>
      </c>
      <c r="D171" s="80" t="s">
        <v>1254</v>
      </c>
      <c r="E171" s="80" t="s">
        <v>3455</v>
      </c>
      <c r="F171" s="2430"/>
      <c r="G171" s="2430"/>
      <c r="H171" s="2430"/>
      <c r="I171" s="2430"/>
      <c r="J171" s="2430"/>
      <c r="K171" s="2430"/>
      <c r="L171" s="2430"/>
      <c r="M171" s="2430"/>
      <c r="N171" s="2430"/>
      <c r="O171" s="876"/>
    </row>
    <row r="172" spans="2:15" s="4168" customFormat="1" hidden="1">
      <c r="B172" s="105"/>
      <c r="C172" s="1362" t="s">
        <v>471</v>
      </c>
      <c r="D172" s="80" t="s">
        <v>1254</v>
      </c>
      <c r="E172" s="3833" t="s">
        <v>1131</v>
      </c>
      <c r="F172" s="4154"/>
      <c r="G172" s="4154"/>
      <c r="H172" s="4154"/>
      <c r="I172" s="4154"/>
      <c r="J172" s="4154"/>
      <c r="K172" s="4154"/>
      <c r="L172" s="4154"/>
      <c r="M172" s="4154"/>
      <c r="N172" s="4154"/>
      <c r="O172" s="876"/>
    </row>
    <row r="173" spans="2:15" hidden="1">
      <c r="B173" s="105"/>
      <c r="C173" s="1362" t="s">
        <v>471</v>
      </c>
      <c r="D173" s="80" t="s">
        <v>1255</v>
      </c>
      <c r="E173" s="80" t="s">
        <v>1130</v>
      </c>
      <c r="F173" s="2430">
        <f>5.2743658010897*(1/Unit.TWh)</f>
        <v>5.2743658010896999</v>
      </c>
      <c r="G173" s="2430">
        <f>4.93418827412335*(1/Unit.TWh)</f>
        <v>4.9341882741233496</v>
      </c>
      <c r="H173" s="2430">
        <f t="shared" ref="H173:N173" si="14">4.62673832077086*(1/Unit.TWh)</f>
        <v>4.6267383207708601</v>
      </c>
      <c r="I173" s="2430">
        <f t="shared" si="14"/>
        <v>4.6267383207708601</v>
      </c>
      <c r="J173" s="2430">
        <f t="shared" si="14"/>
        <v>4.6267383207708601</v>
      </c>
      <c r="K173" s="2430">
        <f t="shared" si="14"/>
        <v>4.6267383207708601</v>
      </c>
      <c r="L173" s="2430">
        <f t="shared" si="14"/>
        <v>4.6267383207708601</v>
      </c>
      <c r="M173" s="2430">
        <f t="shared" si="14"/>
        <v>4.6267383207708601</v>
      </c>
      <c r="N173" s="2430">
        <f t="shared" si="14"/>
        <v>4.6267383207708601</v>
      </c>
      <c r="O173" s="876"/>
    </row>
    <row r="174" spans="2:15" hidden="1">
      <c r="B174" s="105"/>
      <c r="C174" s="1362"/>
      <c r="D174" s="80"/>
      <c r="E174" s="80"/>
      <c r="F174" s="2430"/>
      <c r="G174" s="2430"/>
      <c r="H174" s="2430"/>
      <c r="I174" s="2430"/>
      <c r="J174" s="2430"/>
      <c r="K174" s="2430"/>
      <c r="L174" s="2430"/>
      <c r="M174" s="2430"/>
      <c r="N174" s="2430"/>
      <c r="O174" s="876"/>
    </row>
    <row r="175" spans="2:15" hidden="1">
      <c r="B175" s="105"/>
      <c r="C175" s="49" t="s">
        <v>782</v>
      </c>
      <c r="D175" s="67"/>
      <c r="E175" s="67"/>
      <c r="F175" s="67"/>
      <c r="G175" s="67"/>
      <c r="H175" s="67"/>
      <c r="I175" s="67"/>
      <c r="J175" s="67"/>
      <c r="K175" s="67"/>
      <c r="L175" s="67"/>
      <c r="M175" s="67"/>
      <c r="N175" s="67" t="str">
        <f>"kt per "&amp;Preferences.EnergyUnits</f>
        <v>kt per TWh</v>
      </c>
      <c r="O175" s="876"/>
    </row>
    <row r="176" spans="2:15" hidden="1">
      <c r="B176" s="105"/>
      <c r="C176" s="67"/>
      <c r="D176" s="67"/>
      <c r="E176" s="1352"/>
      <c r="F176" s="67"/>
      <c r="G176" s="67"/>
      <c r="H176" s="67"/>
      <c r="I176" s="67"/>
      <c r="J176" s="67"/>
      <c r="K176" s="67"/>
      <c r="L176" s="67"/>
      <c r="M176" s="67"/>
      <c r="N176" s="67"/>
      <c r="O176" s="876"/>
    </row>
    <row r="177" spans="2:15" hidden="1">
      <c r="B177" s="105"/>
      <c r="C177" s="1520" t="s">
        <v>43</v>
      </c>
      <c r="D177" s="1520" t="s">
        <v>987</v>
      </c>
      <c r="E177" s="1521" t="s">
        <v>44</v>
      </c>
      <c r="F177" s="1357" t="s">
        <v>588</v>
      </c>
      <c r="G177" s="1357" t="s">
        <v>132</v>
      </c>
      <c r="H177" s="1357" t="s">
        <v>133</v>
      </c>
      <c r="I177" s="1357" t="s">
        <v>134</v>
      </c>
      <c r="J177" s="1357" t="s">
        <v>135</v>
      </c>
      <c r="K177" s="1357" t="s">
        <v>136</v>
      </c>
      <c r="L177" s="1357" t="s">
        <v>137</v>
      </c>
      <c r="M177" s="1357" t="s">
        <v>138</v>
      </c>
      <c r="N177" s="1357" t="s">
        <v>139</v>
      </c>
      <c r="O177" s="876"/>
    </row>
    <row r="178" spans="2:15" hidden="1">
      <c r="B178" s="105"/>
      <c r="C178" s="1362" t="s">
        <v>471</v>
      </c>
      <c r="D178" s="189" t="s">
        <v>1117</v>
      </c>
      <c r="E178" s="2441" t="s">
        <v>1130</v>
      </c>
      <c r="F178" s="2430">
        <f>0.0889473684210526*(1/Unit.TWh)</f>
        <v>8.8947368421052594E-2</v>
      </c>
      <c r="G178" s="2430">
        <f t="shared" ref="G178:N178" si="15">0.00157894736842105*(1/Unit.TWh)</f>
        <v>1.57894736842105E-3</v>
      </c>
      <c r="H178" s="2430">
        <f t="shared" si="15"/>
        <v>1.57894736842105E-3</v>
      </c>
      <c r="I178" s="2430">
        <f t="shared" si="15"/>
        <v>1.57894736842105E-3</v>
      </c>
      <c r="J178" s="2430">
        <f t="shared" si="15"/>
        <v>1.57894736842105E-3</v>
      </c>
      <c r="K178" s="2430">
        <f t="shared" si="15"/>
        <v>1.57894736842105E-3</v>
      </c>
      <c r="L178" s="2430">
        <f t="shared" si="15"/>
        <v>1.57894736842105E-3</v>
      </c>
      <c r="M178" s="2430">
        <f t="shared" si="15"/>
        <v>1.57894736842105E-3</v>
      </c>
      <c r="N178" s="2430">
        <f t="shared" si="15"/>
        <v>1.57894736842105E-3</v>
      </c>
      <c r="O178" s="876"/>
    </row>
    <row r="179" spans="2:15" hidden="1">
      <c r="B179" s="105"/>
      <c r="C179" s="1362" t="s">
        <v>471</v>
      </c>
      <c r="D179" s="189" t="s">
        <v>1117</v>
      </c>
      <c r="E179" s="80" t="s">
        <v>1131</v>
      </c>
      <c r="F179" s="2412">
        <f t="shared" ref="F179:N179" si="16">0*(1/Unit.TWh)</f>
        <v>0</v>
      </c>
      <c r="G179" s="2412">
        <f t="shared" si="16"/>
        <v>0</v>
      </c>
      <c r="H179" s="2412">
        <f t="shared" si="16"/>
        <v>0</v>
      </c>
      <c r="I179" s="2412">
        <f t="shared" si="16"/>
        <v>0</v>
      </c>
      <c r="J179" s="2412">
        <f t="shared" si="16"/>
        <v>0</v>
      </c>
      <c r="K179" s="2412">
        <f t="shared" si="16"/>
        <v>0</v>
      </c>
      <c r="L179" s="2412">
        <f t="shared" si="16"/>
        <v>0</v>
      </c>
      <c r="M179" s="2412">
        <f t="shared" si="16"/>
        <v>0</v>
      </c>
      <c r="N179" s="2412">
        <f t="shared" si="16"/>
        <v>0</v>
      </c>
      <c r="O179" s="876"/>
    </row>
    <row r="180" spans="2:15" hidden="1">
      <c r="B180" s="105"/>
      <c r="C180" s="1362" t="s">
        <v>471</v>
      </c>
      <c r="D180" s="80" t="s">
        <v>1254</v>
      </c>
      <c r="E180" s="80" t="s">
        <v>1130</v>
      </c>
      <c r="F180" s="2430">
        <f>0.00116842105263158*(1/Unit.TWh)</f>
        <v>1.1684210526315801E-3</v>
      </c>
      <c r="G180" s="2430">
        <f>0.00107424570114252*(1/Unit.TWh)</f>
        <v>1.0742457011425201E-3</v>
      </c>
      <c r="H180" s="2430">
        <f>0.00102350454301691*(1/Unit.TWh)</f>
        <v>1.02350454301691E-3</v>
      </c>
      <c r="I180" s="2430">
        <f>0.00096964891038593*(1/Unit.TWh)</f>
        <v>9.6964891038592998E-4</v>
      </c>
      <c r="J180" s="2430">
        <f>0.000928493149890139*(1/Unit.TWh)</f>
        <v>9.28493149890139E-4</v>
      </c>
      <c r="K180" s="2430">
        <f>0.000871867628299022*(1/Unit.TWh)</f>
        <v>8.7186762829902199E-4</v>
      </c>
      <c r="L180" s="2430">
        <f>0.000871867628299022*(1/Unit.TWh)</f>
        <v>8.7186762829902199E-4</v>
      </c>
      <c r="M180" s="2430">
        <f>0.000871867628299022*(1/Unit.TWh)</f>
        <v>8.7186762829902199E-4</v>
      </c>
      <c r="N180" s="2430">
        <f>0.000871867628299022*(1/Unit.TWh)</f>
        <v>8.7186762829902199E-4</v>
      </c>
      <c r="O180" s="876"/>
    </row>
    <row r="181" spans="2:15" hidden="1">
      <c r="B181" s="105"/>
      <c r="C181" s="1362" t="s">
        <v>471</v>
      </c>
      <c r="D181" s="80" t="s">
        <v>1254</v>
      </c>
      <c r="E181" s="80" t="s">
        <v>3455</v>
      </c>
      <c r="F181" s="2430"/>
      <c r="G181" s="2430"/>
      <c r="H181" s="2430"/>
      <c r="I181" s="2430"/>
      <c r="J181" s="2430"/>
      <c r="K181" s="2430"/>
      <c r="L181" s="2430"/>
      <c r="M181" s="2430"/>
      <c r="N181" s="2430"/>
      <c r="O181" s="876"/>
    </row>
    <row r="182" spans="2:15" s="4168" customFormat="1" hidden="1">
      <c r="B182" s="105"/>
      <c r="C182" s="1362" t="s">
        <v>471</v>
      </c>
      <c r="D182" s="80" t="s">
        <v>1254</v>
      </c>
      <c r="E182" s="3833" t="s">
        <v>1131</v>
      </c>
      <c r="F182" s="4154"/>
      <c r="G182" s="4154"/>
      <c r="H182" s="4154"/>
      <c r="I182" s="4154"/>
      <c r="J182" s="4154"/>
      <c r="K182" s="4154"/>
      <c r="L182" s="4154"/>
      <c r="M182" s="4154"/>
      <c r="N182" s="4154"/>
      <c r="O182" s="876"/>
    </row>
    <row r="183" spans="2:15" hidden="1">
      <c r="B183" s="105"/>
      <c r="C183" s="1362" t="s">
        <v>471</v>
      </c>
      <c r="D183" s="80" t="s">
        <v>1255</v>
      </c>
      <c r="E183" s="80" t="s">
        <v>1130</v>
      </c>
      <c r="F183" s="2430">
        <f>2.20284079971256*(1/Unit.TWh)</f>
        <v>2.2028407997125599</v>
      </c>
      <c r="G183" s="2430">
        <f>1.20995257256538*(1/Unit.TWh)</f>
        <v>1.2099525725653799</v>
      </c>
      <c r="H183" s="2430">
        <f t="shared" ref="H183:N183" si="17">0.31258747663168*(1/Unit.TWh)</f>
        <v>0.31258747663168002</v>
      </c>
      <c r="I183" s="2430">
        <f t="shared" si="17"/>
        <v>0.31258747663168002</v>
      </c>
      <c r="J183" s="2430">
        <f t="shared" si="17"/>
        <v>0.31258747663168002</v>
      </c>
      <c r="K183" s="2430">
        <f t="shared" si="17"/>
        <v>0.31258747663168002</v>
      </c>
      <c r="L183" s="2430">
        <f t="shared" si="17"/>
        <v>0.31258747663168002</v>
      </c>
      <c r="M183" s="2430">
        <f t="shared" si="17"/>
        <v>0.31258747663168002</v>
      </c>
      <c r="N183" s="2430">
        <f t="shared" si="17"/>
        <v>0.31258747663168002</v>
      </c>
      <c r="O183" s="876"/>
    </row>
    <row r="184" spans="2:15" s="918" customFormat="1" ht="15.5" hidden="1">
      <c r="B184" s="1210"/>
      <c r="C184" s="943"/>
      <c r="D184" s="103"/>
      <c r="E184" s="1256"/>
      <c r="F184" s="3819"/>
      <c r="G184" s="3819"/>
      <c r="H184" s="3819"/>
      <c r="I184" s="3819"/>
      <c r="J184" s="3818"/>
      <c r="K184" s="3818"/>
      <c r="L184" s="3818"/>
      <c r="M184" s="3818"/>
      <c r="N184" s="3818"/>
      <c r="O184" s="923"/>
    </row>
    <row r="185" spans="2:15" hidden="1">
      <c r="B185" s="105"/>
      <c r="C185" s="49" t="s">
        <v>783</v>
      </c>
      <c r="D185" s="67"/>
      <c r="E185" s="67"/>
      <c r="F185" s="67"/>
      <c r="G185" s="67"/>
      <c r="H185" s="67"/>
      <c r="I185" s="67"/>
      <c r="J185" s="67"/>
      <c r="K185" s="67"/>
      <c r="L185" s="67"/>
      <c r="M185" s="67"/>
      <c r="N185" s="67" t="str">
        <f>"kt per "&amp;Preferences.EnergyUnits</f>
        <v>kt per TWh</v>
      </c>
      <c r="O185" s="876"/>
    </row>
    <row r="186" spans="2:15" hidden="1">
      <c r="B186" s="105"/>
      <c r="C186" s="67"/>
      <c r="D186" s="67"/>
      <c r="E186" s="1352"/>
      <c r="F186" s="67"/>
      <c r="G186" s="67"/>
      <c r="H186" s="67"/>
      <c r="I186" s="67"/>
      <c r="J186" s="67"/>
      <c r="K186" s="67"/>
      <c r="L186" s="67"/>
      <c r="M186" s="67"/>
      <c r="N186" s="67"/>
      <c r="O186" s="876"/>
    </row>
    <row r="187" spans="2:15" hidden="1">
      <c r="B187" s="105"/>
      <c r="C187" s="1520" t="s">
        <v>43</v>
      </c>
      <c r="D187" s="1520" t="s">
        <v>987</v>
      </c>
      <c r="E187" s="1521" t="s">
        <v>44</v>
      </c>
      <c r="F187" s="1357" t="s">
        <v>588</v>
      </c>
      <c r="G187" s="1357" t="s">
        <v>132</v>
      </c>
      <c r="H187" s="1357" t="s">
        <v>133</v>
      </c>
      <c r="I187" s="1357" t="s">
        <v>134</v>
      </c>
      <c r="J187" s="1357" t="s">
        <v>135</v>
      </c>
      <c r="K187" s="1357" t="s">
        <v>136</v>
      </c>
      <c r="L187" s="1357" t="s">
        <v>137</v>
      </c>
      <c r="M187" s="1357" t="s">
        <v>138</v>
      </c>
      <c r="N187" s="1357" t="s">
        <v>139</v>
      </c>
      <c r="O187" s="876"/>
    </row>
    <row r="188" spans="2:15" hidden="1">
      <c r="B188" s="105"/>
      <c r="C188" s="1362" t="s">
        <v>471</v>
      </c>
      <c r="D188" s="189" t="s">
        <v>1117</v>
      </c>
      <c r="E188" s="1523" t="s">
        <v>1130</v>
      </c>
      <c r="F188" s="2430">
        <f>1.33613333333333*(1/Unit.TWh)</f>
        <v>1.3361333333333301</v>
      </c>
      <c r="G188" s="2430">
        <f>1.16896666666667*(1/Unit.TWh)</f>
        <v>1.16896666666667</v>
      </c>
      <c r="H188" s="2430">
        <f>1.0018*(1/Unit.TWh)</f>
        <v>1.0018</v>
      </c>
      <c r="I188" s="2430">
        <f>0.834633333333333*(1/Unit.TWh)</f>
        <v>0.83463333333333301</v>
      </c>
      <c r="J188" s="2430">
        <f>0.667466666666667*(1/Unit.TWh)</f>
        <v>0.66746666666666699</v>
      </c>
      <c r="K188" s="2430">
        <f>0.5003*(1/Unit.TWh)</f>
        <v>0.50029999999999997</v>
      </c>
      <c r="L188" s="2430">
        <f>0.4*(1/Unit.TWh)</f>
        <v>0.4</v>
      </c>
      <c r="M188" s="2430">
        <f>0.4*(1/Unit.TWh)</f>
        <v>0.4</v>
      </c>
      <c r="N188" s="2430">
        <f>0.4*(1/Unit.TWh)</f>
        <v>0.4</v>
      </c>
      <c r="O188" s="876"/>
    </row>
    <row r="189" spans="2:15" hidden="1">
      <c r="B189" s="105"/>
      <c r="C189" s="1362" t="s">
        <v>471</v>
      </c>
      <c r="D189" s="189" t="s">
        <v>1117</v>
      </c>
      <c r="E189" s="80" t="s">
        <v>1131</v>
      </c>
      <c r="F189" s="2412">
        <f t="shared" ref="F189:N189" si="18">0*(1/Unit.TWh)</f>
        <v>0</v>
      </c>
      <c r="G189" s="2412">
        <f t="shared" si="18"/>
        <v>0</v>
      </c>
      <c r="H189" s="2412">
        <f t="shared" si="18"/>
        <v>0</v>
      </c>
      <c r="I189" s="2412">
        <f t="shared" si="18"/>
        <v>0</v>
      </c>
      <c r="J189" s="2412">
        <f t="shared" si="18"/>
        <v>0</v>
      </c>
      <c r="K189" s="2412">
        <f t="shared" si="18"/>
        <v>0</v>
      </c>
      <c r="L189" s="2412">
        <f t="shared" si="18"/>
        <v>0</v>
      </c>
      <c r="M189" s="2412">
        <f t="shared" si="18"/>
        <v>0</v>
      </c>
      <c r="N189" s="2412">
        <f t="shared" si="18"/>
        <v>0</v>
      </c>
      <c r="O189" s="876"/>
    </row>
    <row r="190" spans="2:15" hidden="1">
      <c r="B190" s="105"/>
      <c r="C190" s="1362" t="s">
        <v>471</v>
      </c>
      <c r="D190" s="80" t="s">
        <v>1254</v>
      </c>
      <c r="E190" s="80" t="s">
        <v>1130</v>
      </c>
      <c r="F190" s="2430">
        <f>0.0381333780809245*(1/Unit.TWh)</f>
        <v>3.8133378080924499E-2</v>
      </c>
      <c r="G190" s="2430">
        <f>0.0101807957568558*(1/Unit.TWh)</f>
        <v>1.01807957568558E-2</v>
      </c>
      <c r="H190" s="2430">
        <f>0.0016789558507987*(1/Unit.TWh)</f>
        <v>1.6789558507986999E-3</v>
      </c>
      <c r="I190" s="2430">
        <f>0.00108706449039611*(1/Unit.TWh)</f>
        <v>1.08706449039611E-3</v>
      </c>
      <c r="J190" s="2430">
        <f>0.00105877611882696*(1/Unit.TWh)</f>
        <v>1.05877611882696E-3</v>
      </c>
      <c r="K190" s="2430">
        <f>0.00105050041725171*(1/Unit.TWh)</f>
        <v>1.05050041725171E-3</v>
      </c>
      <c r="L190" s="2430">
        <f>0.00105050041725171*(1/Unit.TWh)</f>
        <v>1.05050041725171E-3</v>
      </c>
      <c r="M190" s="2430">
        <f>0.00105050041725171*(1/Unit.TWh)</f>
        <v>1.05050041725171E-3</v>
      </c>
      <c r="N190" s="2430">
        <f>0.00105050041725171*(1/Unit.TWh)</f>
        <v>1.05050041725171E-3</v>
      </c>
      <c r="O190" s="876"/>
    </row>
    <row r="191" spans="2:15" hidden="1">
      <c r="B191" s="105"/>
      <c r="C191" s="1362" t="s">
        <v>471</v>
      </c>
      <c r="D191" s="80" t="s">
        <v>1254</v>
      </c>
      <c r="E191" s="80" t="s">
        <v>3455</v>
      </c>
      <c r="F191" s="2430"/>
      <c r="G191" s="2430"/>
      <c r="H191" s="2430"/>
      <c r="I191" s="2430"/>
      <c r="J191" s="2430"/>
      <c r="K191" s="2430"/>
      <c r="L191" s="2430"/>
      <c r="M191" s="2430"/>
      <c r="N191" s="2430"/>
      <c r="O191" s="876"/>
    </row>
    <row r="192" spans="2:15" s="4168" customFormat="1" hidden="1">
      <c r="B192" s="105"/>
      <c r="C192" s="1362" t="s">
        <v>471</v>
      </c>
      <c r="D192" s="80" t="s">
        <v>1254</v>
      </c>
      <c r="E192" s="3833" t="s">
        <v>1131</v>
      </c>
      <c r="F192" s="4154"/>
      <c r="G192" s="4154"/>
      <c r="H192" s="4154"/>
      <c r="I192" s="4154"/>
      <c r="J192" s="4154"/>
      <c r="K192" s="4154"/>
      <c r="L192" s="4154"/>
      <c r="M192" s="4154"/>
      <c r="N192" s="4154"/>
      <c r="O192" s="876"/>
    </row>
    <row r="193" spans="1:16" hidden="1">
      <c r="B193" s="105"/>
      <c r="C193" s="1362" t="s">
        <v>471</v>
      </c>
      <c r="D193" s="80" t="s">
        <v>1255</v>
      </c>
      <c r="E193" s="80" t="s">
        <v>1130</v>
      </c>
      <c r="F193" s="2430">
        <f>0.235549656254945*(1/Unit.TWh)</f>
        <v>0.23554965625494501</v>
      </c>
      <c r="G193" s="2430">
        <f>0.227593183398212*(1/Unit.TWh)</f>
        <v>0.227593183398212</v>
      </c>
      <c r="H193" s="2430">
        <f t="shared" ref="H193:N193" si="19">0.220402181598452*(1/Unit.TWh)</f>
        <v>0.22040218159845201</v>
      </c>
      <c r="I193" s="2430">
        <f t="shared" si="19"/>
        <v>0.22040218159845201</v>
      </c>
      <c r="J193" s="2430">
        <f t="shared" si="19"/>
        <v>0.22040218159845201</v>
      </c>
      <c r="K193" s="2430">
        <f t="shared" si="19"/>
        <v>0.22040218159845201</v>
      </c>
      <c r="L193" s="2430">
        <f t="shared" si="19"/>
        <v>0.22040218159845201</v>
      </c>
      <c r="M193" s="2430">
        <f t="shared" si="19"/>
        <v>0.22040218159845201</v>
      </c>
      <c r="N193" s="2430">
        <f t="shared" si="19"/>
        <v>0.22040218159845201</v>
      </c>
      <c r="O193" s="876"/>
    </row>
    <row r="194" spans="1:16" hidden="1">
      <c r="B194" s="105"/>
      <c r="C194" s="1362"/>
      <c r="D194" s="80"/>
      <c r="E194" s="80"/>
      <c r="F194" s="1062"/>
      <c r="G194" s="190"/>
      <c r="H194" s="190"/>
      <c r="I194" s="190"/>
      <c r="J194" s="190"/>
      <c r="K194" s="190"/>
      <c r="L194" s="190"/>
      <c r="M194" s="190"/>
      <c r="N194" s="190"/>
      <c r="O194" s="876"/>
    </row>
    <row r="195" spans="1:16" hidden="1">
      <c r="B195" s="105"/>
      <c r="C195" s="1464" t="s">
        <v>1147</v>
      </c>
      <c r="D195" s="80"/>
      <c r="E195" s="80"/>
      <c r="F195" s="1062"/>
      <c r="G195" s="190"/>
      <c r="H195" s="190"/>
      <c r="I195" s="190"/>
      <c r="J195" s="190"/>
      <c r="K195" s="190"/>
      <c r="L195" s="190"/>
      <c r="M195" s="190"/>
      <c r="N195" s="190"/>
      <c r="O195" s="876"/>
    </row>
    <row r="196" spans="1:16" hidden="1">
      <c r="B196" s="105"/>
      <c r="C196" s="1660" t="s">
        <v>950</v>
      </c>
      <c r="D196" s="80"/>
      <c r="E196" s="80"/>
      <c r="F196" s="1062"/>
      <c r="G196" s="190"/>
      <c r="H196" s="190"/>
      <c r="I196" s="190"/>
      <c r="J196" s="190"/>
      <c r="K196" s="190"/>
      <c r="L196" s="190"/>
      <c r="M196" s="190"/>
      <c r="N196" s="190"/>
      <c r="O196" s="876"/>
    </row>
    <row r="197" spans="1:16" hidden="1">
      <c r="B197" s="105"/>
      <c r="C197" s="1661">
        <v>30</v>
      </c>
      <c r="D197" s="80"/>
      <c r="E197" s="80"/>
      <c r="F197" s="1062"/>
      <c r="G197" s="190"/>
      <c r="H197" s="190"/>
      <c r="I197" s="190"/>
      <c r="J197" s="190"/>
      <c r="K197" s="190"/>
      <c r="L197" s="190"/>
      <c r="M197" s="190"/>
      <c r="N197" s="190"/>
      <c r="O197" s="876"/>
    </row>
    <row r="198" spans="1:16" hidden="1">
      <c r="B198" s="105"/>
      <c r="C198" s="1662">
        <v>30</v>
      </c>
      <c r="D198" s="80"/>
      <c r="E198" s="80"/>
      <c r="F198" s="1062"/>
      <c r="G198" s="190"/>
      <c r="H198" s="190"/>
      <c r="I198" s="190"/>
      <c r="J198" s="190"/>
      <c r="K198" s="190"/>
      <c r="L198" s="190"/>
      <c r="M198" s="190"/>
      <c r="N198" s="190"/>
      <c r="O198" s="876"/>
    </row>
    <row r="199" spans="1:16" hidden="1">
      <c r="B199" s="105"/>
      <c r="C199" s="1662">
        <v>7</v>
      </c>
      <c r="D199" s="80"/>
      <c r="E199" s="80"/>
      <c r="F199" s="1062"/>
      <c r="G199" s="190"/>
      <c r="H199" s="190"/>
      <c r="I199" s="190"/>
      <c r="J199" s="190"/>
      <c r="K199" s="190"/>
      <c r="L199" s="190"/>
      <c r="M199" s="190"/>
      <c r="N199" s="190"/>
      <c r="O199" s="876"/>
    </row>
    <row r="200" spans="1:16" hidden="1">
      <c r="B200" s="105"/>
      <c r="C200" s="1663">
        <v>7</v>
      </c>
      <c r="D200" s="80"/>
      <c r="E200" s="80"/>
      <c r="F200" s="1062"/>
      <c r="G200" s="190"/>
      <c r="H200" s="190"/>
      <c r="I200" s="190"/>
      <c r="J200" s="190"/>
      <c r="K200" s="190"/>
      <c r="L200" s="190"/>
      <c r="M200" s="190"/>
      <c r="N200" s="190"/>
      <c r="O200" s="876"/>
    </row>
    <row r="201" spans="1:16" hidden="1">
      <c r="B201" s="105"/>
      <c r="C201" s="1362"/>
      <c r="D201" s="80"/>
      <c r="E201" s="80"/>
      <c r="F201" s="1062"/>
      <c r="G201" s="190"/>
      <c r="H201" s="190"/>
      <c r="I201" s="190"/>
      <c r="J201" s="190"/>
      <c r="K201" s="190"/>
      <c r="L201" s="190"/>
      <c r="M201" s="190"/>
      <c r="N201" s="190"/>
      <c r="O201" s="876"/>
    </row>
    <row r="202" spans="1:16">
      <c r="B202" s="868"/>
    </row>
    <row r="203" spans="1:16" ht="23.5">
      <c r="A203" s="40"/>
      <c r="B203" s="869" t="s">
        <v>2719</v>
      </c>
      <c r="C203" s="870"/>
      <c r="D203" s="870"/>
      <c r="E203" s="870"/>
      <c r="F203" s="870"/>
      <c r="G203" s="870"/>
      <c r="H203" s="870"/>
      <c r="I203" s="870"/>
      <c r="J203" s="870"/>
      <c r="K203" s="870"/>
      <c r="L203" s="870"/>
      <c r="M203" s="870"/>
      <c r="N203" s="870"/>
      <c r="O203" s="871"/>
    </row>
    <row r="204" spans="1:16" hidden="1">
      <c r="B204" s="105"/>
      <c r="C204" s="67"/>
      <c r="D204" s="67"/>
      <c r="E204" s="67"/>
      <c r="F204" s="67"/>
      <c r="G204" s="67"/>
      <c r="H204" s="67"/>
      <c r="I204" s="67"/>
      <c r="J204" s="67"/>
      <c r="K204" s="67"/>
      <c r="L204" s="67"/>
      <c r="M204" s="67"/>
      <c r="N204" s="67"/>
      <c r="O204" s="67"/>
      <c r="P204" s="1068"/>
    </row>
    <row r="205" spans="1:16" hidden="1">
      <c r="B205" s="67"/>
      <c r="C205" s="49" t="s">
        <v>168</v>
      </c>
      <c r="D205" s="67"/>
      <c r="E205" s="67"/>
      <c r="F205" s="67"/>
      <c r="G205" s="67"/>
      <c r="H205" s="67"/>
      <c r="I205" s="67"/>
      <c r="J205" s="67"/>
      <c r="K205" s="67"/>
      <c r="L205" s="67"/>
      <c r="M205" s="67"/>
      <c r="N205" s="1664" t="s">
        <v>2765</v>
      </c>
      <c r="O205" s="67"/>
      <c r="P205" s="1068"/>
    </row>
    <row r="206" spans="1:16" hidden="1">
      <c r="B206" s="67"/>
      <c r="C206" s="49"/>
      <c r="D206" s="67"/>
      <c r="E206" s="67"/>
      <c r="F206" s="67"/>
      <c r="G206" s="67"/>
      <c r="H206" s="67"/>
      <c r="I206" s="67"/>
      <c r="J206" s="67"/>
      <c r="K206" s="67"/>
      <c r="L206" s="67"/>
      <c r="M206" s="67"/>
      <c r="N206" s="1664"/>
      <c r="O206" s="67"/>
      <c r="P206" s="1068"/>
    </row>
    <row r="207" spans="1:16" hidden="1">
      <c r="B207" s="47"/>
      <c r="C207" s="1665" t="s">
        <v>1256</v>
      </c>
      <c r="D207" s="973"/>
      <c r="E207" s="1571" t="s">
        <v>159</v>
      </c>
      <c r="F207" s="1572">
        <v>2013</v>
      </c>
      <c r="G207" s="1666">
        <v>2015</v>
      </c>
      <c r="H207" s="1666">
        <v>2020</v>
      </c>
      <c r="I207" s="1666">
        <v>2025</v>
      </c>
      <c r="J207" s="1666">
        <v>2030</v>
      </c>
      <c r="K207" s="1666">
        <v>2035</v>
      </c>
      <c r="L207" s="1666">
        <v>2040</v>
      </c>
      <c r="M207" s="1666">
        <v>2045</v>
      </c>
      <c r="N207" s="1666">
        <v>2050</v>
      </c>
      <c r="O207" s="67"/>
      <c r="P207" s="1068"/>
    </row>
    <row r="208" spans="1:16" hidden="1">
      <c r="B208" s="47"/>
      <c r="C208" s="964" t="s">
        <v>1257</v>
      </c>
      <c r="D208" s="968" t="s">
        <v>1258</v>
      </c>
      <c r="E208" s="964"/>
      <c r="F208" s="1561"/>
      <c r="G208" s="1561"/>
      <c r="H208" s="1561"/>
      <c r="I208" s="1561"/>
      <c r="J208" s="1561"/>
      <c r="K208" s="1561"/>
      <c r="L208" s="1561"/>
      <c r="M208" s="1561"/>
      <c r="N208" s="1561"/>
      <c r="O208" s="67"/>
      <c r="P208" s="1068"/>
    </row>
    <row r="209" spans="1:18" hidden="1">
      <c r="B209" s="47"/>
      <c r="C209" s="67" t="s">
        <v>1257</v>
      </c>
      <c r="D209" s="103" t="s">
        <v>1259</v>
      </c>
      <c r="E209" s="67"/>
      <c r="F209" s="1563"/>
      <c r="G209" s="1563"/>
      <c r="H209" s="1563"/>
      <c r="I209" s="1563"/>
      <c r="J209" s="1563"/>
      <c r="K209" s="1563"/>
      <c r="L209" s="1563"/>
      <c r="M209" s="1563"/>
      <c r="N209" s="1563"/>
      <c r="O209" s="67"/>
      <c r="P209" s="1068"/>
    </row>
    <row r="210" spans="1:18" hidden="1">
      <c r="B210" s="47"/>
      <c r="C210" s="67" t="s">
        <v>1260</v>
      </c>
      <c r="D210" s="103" t="s">
        <v>1261</v>
      </c>
      <c r="E210" s="67"/>
      <c r="F210" s="1563"/>
      <c r="G210" s="1563"/>
      <c r="H210" s="1563"/>
      <c r="I210" s="1563"/>
      <c r="J210" s="1563"/>
      <c r="K210" s="1563"/>
      <c r="L210" s="1563"/>
      <c r="M210" s="1563"/>
      <c r="N210" s="1563"/>
      <c r="O210" s="67"/>
      <c r="P210" s="1068"/>
    </row>
    <row r="211" spans="1:18" hidden="1">
      <c r="B211" s="67"/>
      <c r="C211" s="969" t="s">
        <v>1260</v>
      </c>
      <c r="D211" s="194" t="s">
        <v>1262</v>
      </c>
      <c r="E211" s="969"/>
      <c r="F211" s="1565"/>
      <c r="G211" s="1565"/>
      <c r="H211" s="1565"/>
      <c r="I211" s="1565"/>
      <c r="J211" s="1565"/>
      <c r="K211" s="1565"/>
      <c r="L211" s="1565"/>
      <c r="M211" s="1565"/>
      <c r="N211" s="1565"/>
      <c r="O211" s="67"/>
      <c r="P211" s="1068"/>
      <c r="Q211" s="1164"/>
      <c r="R211" s="1164"/>
    </row>
    <row r="212" spans="1:18" hidden="1">
      <c r="B212" s="67"/>
      <c r="C212" s="47"/>
      <c r="D212" s="47"/>
      <c r="E212" s="47"/>
      <c r="F212" s="47"/>
      <c r="G212" s="47"/>
      <c r="H212" s="47"/>
      <c r="I212" s="47"/>
      <c r="J212" s="47"/>
      <c r="K212" s="47"/>
      <c r="L212" s="47"/>
      <c r="M212" s="47"/>
      <c r="N212" s="47"/>
      <c r="O212" s="67"/>
      <c r="P212" s="1068"/>
      <c r="Q212" s="1164"/>
      <c r="R212" s="1164"/>
    </row>
    <row r="213" spans="1:18" hidden="1">
      <c r="B213" s="67"/>
      <c r="C213" s="103"/>
      <c r="D213" s="103"/>
      <c r="E213" s="67"/>
      <c r="F213" s="1503"/>
      <c r="G213" s="1563"/>
      <c r="H213" s="1563"/>
      <c r="I213" s="1563"/>
      <c r="J213" s="1563"/>
      <c r="K213" s="1563"/>
      <c r="L213" s="1563"/>
      <c r="M213" s="1563"/>
      <c r="N213" s="1664" t="s">
        <v>2765</v>
      </c>
      <c r="O213" s="67"/>
      <c r="P213" s="1068"/>
      <c r="Q213" s="1164"/>
      <c r="R213" s="1164"/>
    </row>
    <row r="214" spans="1:18" hidden="1">
      <c r="B214" s="67"/>
      <c r="C214" s="1570" t="s">
        <v>1155</v>
      </c>
      <c r="D214" s="973"/>
      <c r="E214" s="1571" t="s">
        <v>159</v>
      </c>
      <c r="F214" s="1572">
        <v>2013</v>
      </c>
      <c r="G214" s="1572">
        <v>2015</v>
      </c>
      <c r="H214" s="1572">
        <v>2020</v>
      </c>
      <c r="I214" s="1572">
        <v>2025</v>
      </c>
      <c r="J214" s="1572">
        <v>2030</v>
      </c>
      <c r="K214" s="1572">
        <v>2035</v>
      </c>
      <c r="L214" s="1572">
        <v>2040</v>
      </c>
      <c r="M214" s="1557">
        <v>2045</v>
      </c>
      <c r="N214" s="1557">
        <v>2050</v>
      </c>
      <c r="O214" s="67"/>
      <c r="P214" s="1068"/>
      <c r="Q214" s="1164"/>
      <c r="R214" s="1164"/>
    </row>
    <row r="215" spans="1:18" hidden="1">
      <c r="B215" s="67"/>
      <c r="C215" s="964" t="s">
        <v>1257</v>
      </c>
      <c r="D215" s="968" t="s">
        <v>1258</v>
      </c>
      <c r="E215" s="964"/>
      <c r="F215" s="1561"/>
      <c r="G215" s="1561"/>
      <c r="H215" s="1561"/>
      <c r="I215" s="1561"/>
      <c r="J215" s="1561"/>
      <c r="K215" s="1561"/>
      <c r="L215" s="1561"/>
      <c r="M215" s="1561"/>
      <c r="N215" s="1561"/>
      <c r="O215" s="67"/>
      <c r="Q215" s="1164"/>
      <c r="R215" s="1164"/>
    </row>
    <row r="216" spans="1:18" hidden="1">
      <c r="B216" s="67"/>
      <c r="C216" s="67" t="s">
        <v>1257</v>
      </c>
      <c r="D216" s="103" t="s">
        <v>1259</v>
      </c>
      <c r="E216" s="67"/>
      <c r="F216" s="1563"/>
      <c r="G216" s="1563"/>
      <c r="H216" s="1563"/>
      <c r="I216" s="1563"/>
      <c r="J216" s="1563"/>
      <c r="K216" s="1563"/>
      <c r="L216" s="1563"/>
      <c r="M216" s="1563"/>
      <c r="N216" s="1563"/>
      <c r="O216" s="67"/>
      <c r="Q216" s="1164"/>
      <c r="R216" s="1164"/>
    </row>
    <row r="217" spans="1:18" hidden="1">
      <c r="B217" s="67"/>
      <c r="C217" s="67" t="s">
        <v>1260</v>
      </c>
      <c r="D217" s="103" t="s">
        <v>1261</v>
      </c>
      <c r="E217" s="67"/>
      <c r="F217" s="1563"/>
      <c r="G217" s="1563"/>
      <c r="H217" s="1563"/>
      <c r="I217" s="1563"/>
      <c r="J217" s="1563"/>
      <c r="K217" s="1563"/>
      <c r="L217" s="1563"/>
      <c r="M217" s="1563"/>
      <c r="N217" s="1563"/>
      <c r="O217" s="67"/>
      <c r="Q217" s="1164"/>
      <c r="R217" s="1164"/>
    </row>
    <row r="218" spans="1:18" hidden="1">
      <c r="B218" s="67"/>
      <c r="C218" s="969" t="s">
        <v>1260</v>
      </c>
      <c r="D218" s="194" t="s">
        <v>1262</v>
      </c>
      <c r="E218" s="969"/>
      <c r="F218" s="1566"/>
      <c r="G218" s="1565"/>
      <c r="H218" s="1565"/>
      <c r="I218" s="1565"/>
      <c r="J218" s="1565"/>
      <c r="K218" s="1565"/>
      <c r="L218" s="1565"/>
      <c r="M218" s="1565"/>
      <c r="N218" s="1566"/>
      <c r="O218" s="67"/>
      <c r="Q218" s="1164"/>
      <c r="R218" s="1164"/>
    </row>
    <row r="219" spans="1:18" hidden="1">
      <c r="B219" s="67"/>
      <c r="C219" s="47"/>
      <c r="D219" s="47"/>
      <c r="E219" s="47"/>
      <c r="F219" s="47"/>
      <c r="G219" s="47"/>
      <c r="H219" s="47"/>
      <c r="I219" s="47"/>
      <c r="J219" s="47"/>
      <c r="K219" s="47"/>
      <c r="L219" s="47"/>
      <c r="M219" s="47"/>
      <c r="N219" s="47"/>
      <c r="O219" s="67"/>
      <c r="Q219" s="1164"/>
      <c r="R219" s="1164"/>
    </row>
    <row r="220" spans="1:18" hidden="1">
      <c r="B220" s="67"/>
      <c r="C220" s="194"/>
      <c r="D220" s="194"/>
      <c r="E220" s="969"/>
      <c r="F220" s="1510"/>
      <c r="G220" s="1565"/>
      <c r="H220" s="1565"/>
      <c r="I220" s="1565"/>
      <c r="J220" s="1565"/>
      <c r="K220" s="1565"/>
      <c r="L220" s="1565"/>
      <c r="M220" s="1565"/>
      <c r="N220" s="1664" t="s">
        <v>2765</v>
      </c>
      <c r="O220" s="67"/>
      <c r="P220" s="1068"/>
      <c r="Q220" s="1164"/>
      <c r="R220" s="1164"/>
    </row>
    <row r="221" spans="1:18" hidden="1">
      <c r="B221" s="47"/>
      <c r="C221" s="1665" t="s">
        <v>1263</v>
      </c>
      <c r="D221" s="1667"/>
      <c r="E221" s="962" t="s">
        <v>159</v>
      </c>
      <c r="F221" s="1666">
        <v>2013</v>
      </c>
      <c r="G221" s="1666">
        <v>2015</v>
      </c>
      <c r="H221" s="1666">
        <v>2020</v>
      </c>
      <c r="I221" s="1666">
        <v>2025</v>
      </c>
      <c r="J221" s="1666">
        <v>2030</v>
      </c>
      <c r="K221" s="1666">
        <v>2035</v>
      </c>
      <c r="L221" s="1666">
        <v>2040</v>
      </c>
      <c r="M221" s="1666">
        <v>2045</v>
      </c>
      <c r="N221" s="1557">
        <v>2050</v>
      </c>
      <c r="O221" s="67"/>
      <c r="P221" s="1068"/>
      <c r="Q221" s="1164"/>
      <c r="R221" s="1164"/>
    </row>
    <row r="222" spans="1:18" hidden="1">
      <c r="B222" s="350"/>
      <c r="C222" s="964" t="s">
        <v>1257</v>
      </c>
      <c r="D222" s="968" t="s">
        <v>1258</v>
      </c>
      <c r="E222" s="964"/>
      <c r="F222" s="1561"/>
      <c r="G222" s="1561"/>
      <c r="H222" s="1561"/>
      <c r="I222" s="1561"/>
      <c r="J222" s="1561"/>
      <c r="K222" s="1561"/>
      <c r="L222" s="1561"/>
      <c r="M222" s="1561"/>
      <c r="N222" s="1563"/>
      <c r="O222" s="67"/>
      <c r="P222" s="1068"/>
      <c r="Q222" s="1164"/>
      <c r="R222" s="1164"/>
    </row>
    <row r="223" spans="1:18" hidden="1">
      <c r="B223" s="350"/>
      <c r="C223" s="67" t="s">
        <v>1257</v>
      </c>
      <c r="D223" s="103" t="s">
        <v>1259</v>
      </c>
      <c r="E223" s="67"/>
      <c r="F223" s="1563"/>
      <c r="G223" s="1563"/>
      <c r="H223" s="1563"/>
      <c r="I223" s="1563"/>
      <c r="J223" s="1563"/>
      <c r="K223" s="1563"/>
      <c r="L223" s="1563"/>
      <c r="M223" s="1563"/>
      <c r="N223" s="1563"/>
      <c r="O223" s="67"/>
      <c r="P223" s="1068"/>
      <c r="Q223" s="1164"/>
      <c r="R223" s="1164"/>
    </row>
    <row r="224" spans="1:18" s="39" customFormat="1" hidden="1">
      <c r="A224"/>
      <c r="B224" s="350"/>
      <c r="C224" s="67" t="s">
        <v>1260</v>
      </c>
      <c r="D224" s="103" t="s">
        <v>1261</v>
      </c>
      <c r="E224" s="67"/>
      <c r="F224" s="1563"/>
      <c r="G224" s="1563"/>
      <c r="H224" s="1563"/>
      <c r="I224" s="1563"/>
      <c r="J224" s="1563"/>
      <c r="K224" s="1563"/>
      <c r="L224" s="1563"/>
      <c r="M224" s="1563"/>
      <c r="N224" s="1563"/>
      <c r="O224" s="67"/>
      <c r="P224" s="1068"/>
      <c r="Q224" s="1164"/>
      <c r="R224" s="1164"/>
    </row>
    <row r="225" spans="1:18" s="39" customFormat="1" hidden="1">
      <c r="A225"/>
      <c r="B225" s="350"/>
      <c r="C225" s="969" t="s">
        <v>1260</v>
      </c>
      <c r="D225" s="194" t="s">
        <v>1262</v>
      </c>
      <c r="E225" s="969"/>
      <c r="F225" s="1565"/>
      <c r="G225" s="1565"/>
      <c r="H225" s="1565"/>
      <c r="I225" s="1565"/>
      <c r="J225" s="1565"/>
      <c r="K225" s="1565"/>
      <c r="L225" s="1565"/>
      <c r="M225" s="1565"/>
      <c r="N225" s="1565"/>
      <c r="O225" s="67"/>
      <c r="P225" s="1068"/>
      <c r="Q225" s="1164"/>
      <c r="R225" s="1164"/>
    </row>
    <row r="226" spans="1:18" s="39" customFormat="1" hidden="1">
      <c r="A226"/>
      <c r="B226" s="350"/>
      <c r="C226" s="103"/>
      <c r="D226" s="103"/>
      <c r="E226" s="67"/>
      <c r="F226" s="1503"/>
      <c r="G226" s="1563"/>
      <c r="H226" s="1563"/>
      <c r="I226" s="1563"/>
      <c r="J226" s="1563"/>
      <c r="K226" s="1563"/>
      <c r="L226" s="1563"/>
      <c r="M226" s="1563"/>
      <c r="N226" s="1503"/>
      <c r="O226" s="67"/>
      <c r="P226" s="1068"/>
      <c r="Q226" s="1164"/>
      <c r="R226" s="1164"/>
    </row>
    <row r="227" spans="1:18" s="39" customFormat="1" hidden="1">
      <c r="A227"/>
      <c r="B227" s="350"/>
      <c r="C227" s="117" t="s">
        <v>172</v>
      </c>
      <c r="D227" s="47"/>
      <c r="E227" s="47"/>
      <c r="F227" s="47"/>
      <c r="G227" s="47"/>
      <c r="H227" s="47"/>
      <c r="I227" s="47"/>
      <c r="J227" s="47"/>
      <c r="K227" s="47"/>
      <c r="L227" s="47"/>
      <c r="M227" s="47"/>
      <c r="N227" s="47"/>
      <c r="O227" s="67"/>
      <c r="P227" s="1068"/>
      <c r="Q227" s="1164"/>
      <c r="R227" s="1164"/>
    </row>
    <row r="228" spans="1:18" s="39" customFormat="1" hidden="1">
      <c r="A228"/>
      <c r="B228" s="350"/>
      <c r="C228" s="47"/>
      <c r="D228" s="103"/>
      <c r="E228" s="67"/>
      <c r="F228" s="1503"/>
      <c r="G228" s="1563"/>
      <c r="H228" s="1563"/>
      <c r="I228" s="1563"/>
      <c r="J228" s="1563"/>
      <c r="K228" s="1563"/>
      <c r="L228" s="1563"/>
      <c r="M228" s="1563"/>
      <c r="N228" s="1664" t="s">
        <v>2765</v>
      </c>
      <c r="O228" s="67"/>
      <c r="P228" s="1068"/>
      <c r="Q228" s="1164"/>
      <c r="R228" s="1164"/>
    </row>
    <row r="229" spans="1:18" s="39" customFormat="1" hidden="1">
      <c r="A229"/>
      <c r="B229" s="350"/>
      <c r="C229" s="1570" t="s">
        <v>1264</v>
      </c>
      <c r="D229" s="1555"/>
      <c r="E229" s="1556" t="s">
        <v>159</v>
      </c>
      <c r="F229" s="1557">
        <v>2013</v>
      </c>
      <c r="G229" s="1666">
        <v>2015</v>
      </c>
      <c r="H229" s="1666">
        <v>2020</v>
      </c>
      <c r="I229" s="1666">
        <v>2025</v>
      </c>
      <c r="J229" s="1666">
        <v>2030</v>
      </c>
      <c r="K229" s="1666">
        <v>2035</v>
      </c>
      <c r="L229" s="1666">
        <v>2040</v>
      </c>
      <c r="M229" s="1666">
        <v>2045</v>
      </c>
      <c r="N229" s="1666">
        <v>2050</v>
      </c>
      <c r="O229" s="67"/>
      <c r="P229" s="1068"/>
      <c r="Q229" s="1164"/>
      <c r="R229" s="1164"/>
    </row>
    <row r="230" spans="1:18" s="39" customFormat="1" hidden="1">
      <c r="A230"/>
      <c r="B230" s="350"/>
      <c r="C230" s="964" t="s">
        <v>1257</v>
      </c>
      <c r="D230" s="968" t="s">
        <v>1258</v>
      </c>
      <c r="E230" s="964"/>
      <c r="F230" s="1561"/>
      <c r="G230" s="1561"/>
      <c r="H230" s="1561"/>
      <c r="I230" s="1561"/>
      <c r="J230" s="1561"/>
      <c r="K230" s="1561"/>
      <c r="L230" s="1561"/>
      <c r="M230" s="1561"/>
      <c r="N230" s="1561"/>
      <c r="O230" s="67"/>
      <c r="P230" s="1068"/>
      <c r="Q230" s="1164"/>
      <c r="R230" s="1164"/>
    </row>
    <row r="231" spans="1:18" s="39" customFormat="1" hidden="1">
      <c r="A231"/>
      <c r="B231" s="350"/>
      <c r="C231" s="67" t="s">
        <v>1257</v>
      </c>
      <c r="D231" s="103" t="s">
        <v>1259</v>
      </c>
      <c r="E231" s="67"/>
      <c r="F231" s="1563"/>
      <c r="G231" s="1563"/>
      <c r="H231" s="1563"/>
      <c r="I231" s="1563"/>
      <c r="J231" s="1563"/>
      <c r="K231" s="1563"/>
      <c r="L231" s="1563"/>
      <c r="M231" s="1563"/>
      <c r="N231" s="1563"/>
      <c r="O231" s="67"/>
      <c r="P231" s="1068"/>
      <c r="Q231" s="1164"/>
      <c r="R231" s="1164"/>
    </row>
    <row r="232" spans="1:18" s="39" customFormat="1" hidden="1">
      <c r="A232"/>
      <c r="B232" s="350"/>
      <c r="C232" s="67" t="s">
        <v>1260</v>
      </c>
      <c r="D232" s="103" t="s">
        <v>1261</v>
      </c>
      <c r="E232" s="67"/>
      <c r="F232" s="1563"/>
      <c r="G232" s="1563"/>
      <c r="H232" s="1563"/>
      <c r="I232" s="1563"/>
      <c r="J232" s="1563"/>
      <c r="K232" s="1563"/>
      <c r="L232" s="1563"/>
      <c r="M232" s="1563"/>
      <c r="N232" s="1563"/>
      <c r="O232" s="67"/>
      <c r="P232" s="1068"/>
      <c r="Q232" s="1164"/>
      <c r="R232" s="1164"/>
    </row>
    <row r="233" spans="1:18" s="39" customFormat="1" hidden="1">
      <c r="A233"/>
      <c r="B233" s="350"/>
      <c r="C233" s="969" t="s">
        <v>1260</v>
      </c>
      <c r="D233" s="194" t="s">
        <v>1262</v>
      </c>
      <c r="E233" s="969"/>
      <c r="F233" s="1565"/>
      <c r="G233" s="1565"/>
      <c r="H233" s="1565"/>
      <c r="I233" s="1565"/>
      <c r="J233" s="1565"/>
      <c r="K233" s="1565"/>
      <c r="L233" s="1565"/>
      <c r="M233" s="1565"/>
      <c r="N233" s="1565"/>
      <c r="O233" s="67"/>
      <c r="P233" s="1068"/>
      <c r="Q233" s="1164"/>
      <c r="R233" s="1164"/>
    </row>
    <row r="234" spans="1:18" s="39" customFormat="1" hidden="1">
      <c r="A234"/>
      <c r="B234" s="350"/>
      <c r="C234" s="67"/>
      <c r="D234" s="103"/>
      <c r="E234" s="67"/>
      <c r="F234" s="1503"/>
      <c r="G234" s="1563"/>
      <c r="H234" s="1563"/>
      <c r="I234" s="1563"/>
      <c r="J234" s="1563"/>
      <c r="K234" s="1563"/>
      <c r="L234" s="1563"/>
      <c r="M234" s="1563"/>
      <c r="N234" s="1503"/>
      <c r="O234" s="67"/>
      <c r="P234" s="1068"/>
      <c r="Q234" s="1164"/>
      <c r="R234" s="1164"/>
    </row>
    <row r="235" spans="1:18" s="39" customFormat="1" hidden="1">
      <c r="A235"/>
      <c r="B235" s="350"/>
      <c r="C235" s="103"/>
      <c r="D235" s="103"/>
      <c r="E235" s="67"/>
      <c r="F235" s="1503"/>
      <c r="G235" s="1563"/>
      <c r="H235" s="1563"/>
      <c r="I235" s="1563"/>
      <c r="J235" s="1563"/>
      <c r="K235" s="1563"/>
      <c r="L235" s="1563"/>
      <c r="M235" s="1563"/>
      <c r="N235" s="1664" t="s">
        <v>2765</v>
      </c>
      <c r="O235" s="67"/>
      <c r="P235" s="1068"/>
      <c r="Q235" s="1164"/>
      <c r="R235" s="1164"/>
    </row>
    <row r="236" spans="1:18" s="39" customFormat="1" hidden="1">
      <c r="A236"/>
      <c r="B236" s="350"/>
      <c r="C236" s="1570" t="s">
        <v>1265</v>
      </c>
      <c r="D236" s="973"/>
      <c r="E236" s="1571" t="s">
        <v>159</v>
      </c>
      <c r="F236" s="1572">
        <v>2013</v>
      </c>
      <c r="G236" s="1572">
        <v>2015</v>
      </c>
      <c r="H236" s="1572">
        <v>2020</v>
      </c>
      <c r="I236" s="1572">
        <v>2025</v>
      </c>
      <c r="J236" s="1572">
        <v>2030</v>
      </c>
      <c r="K236" s="1572">
        <v>2035</v>
      </c>
      <c r="L236" s="1572">
        <v>2040</v>
      </c>
      <c r="M236" s="1572">
        <v>2045</v>
      </c>
      <c r="N236" s="1572">
        <v>2050</v>
      </c>
      <c r="O236" s="67"/>
      <c r="P236" s="1068"/>
      <c r="Q236" s="1164"/>
      <c r="R236" s="1164"/>
    </row>
    <row r="237" spans="1:18" s="39" customFormat="1" hidden="1">
      <c r="A237"/>
      <c r="B237" s="350"/>
      <c r="C237" s="964" t="s">
        <v>1257</v>
      </c>
      <c r="D237" s="968" t="s">
        <v>1258</v>
      </c>
      <c r="E237" s="964"/>
      <c r="F237" s="1561"/>
      <c r="G237" s="1561"/>
      <c r="H237" s="1561"/>
      <c r="I237" s="1561"/>
      <c r="J237" s="1561"/>
      <c r="K237" s="1561"/>
      <c r="L237" s="1561"/>
      <c r="M237" s="1561"/>
      <c r="N237" s="1561"/>
      <c r="O237" s="67"/>
      <c r="P237" s="1068"/>
      <c r="Q237" s="1164"/>
      <c r="R237" s="1164"/>
    </row>
    <row r="238" spans="1:18" s="39" customFormat="1" hidden="1">
      <c r="A238"/>
      <c r="B238" s="350"/>
      <c r="C238" s="67" t="s">
        <v>1257</v>
      </c>
      <c r="D238" s="103" t="s">
        <v>1259</v>
      </c>
      <c r="E238" s="67"/>
      <c r="F238" s="1563"/>
      <c r="G238" s="1563"/>
      <c r="H238" s="1563"/>
      <c r="I238" s="1563"/>
      <c r="J238" s="1563"/>
      <c r="K238" s="1563"/>
      <c r="L238" s="1563"/>
      <c r="M238" s="1563"/>
      <c r="N238" s="1563"/>
      <c r="O238" s="67"/>
      <c r="P238" s="1068"/>
      <c r="Q238" s="1164"/>
      <c r="R238" s="1164"/>
    </row>
    <row r="239" spans="1:18" s="39" customFormat="1" hidden="1">
      <c r="A239"/>
      <c r="B239" s="350"/>
      <c r="C239" s="67" t="s">
        <v>1260</v>
      </c>
      <c r="D239" s="103" t="s">
        <v>1261</v>
      </c>
      <c r="E239" s="67"/>
      <c r="F239" s="1563"/>
      <c r="G239" s="1563"/>
      <c r="H239" s="1563"/>
      <c r="I239" s="1563"/>
      <c r="J239" s="1563"/>
      <c r="K239" s="1563"/>
      <c r="L239" s="1563"/>
      <c r="M239" s="1563"/>
      <c r="N239" s="1563"/>
      <c r="O239" s="67"/>
      <c r="P239" s="1068"/>
      <c r="Q239" s="1164"/>
      <c r="R239" s="1164"/>
    </row>
    <row r="240" spans="1:18" s="39" customFormat="1" hidden="1">
      <c r="A240"/>
      <c r="B240" s="350"/>
      <c r="C240" s="969" t="s">
        <v>1260</v>
      </c>
      <c r="D240" s="194" t="s">
        <v>1262</v>
      </c>
      <c r="E240" s="969"/>
      <c r="F240" s="1565"/>
      <c r="G240" s="1565"/>
      <c r="H240" s="1565"/>
      <c r="I240" s="1565"/>
      <c r="J240" s="1565"/>
      <c r="K240" s="1565"/>
      <c r="L240" s="1565"/>
      <c r="M240" s="1565"/>
      <c r="N240" s="1565"/>
      <c r="O240" s="67"/>
      <c r="P240" s="1068"/>
      <c r="Q240" s="1164"/>
      <c r="R240" s="1164"/>
    </row>
    <row r="241" spans="1:20" s="39" customFormat="1" hidden="1">
      <c r="A241"/>
      <c r="B241" s="350"/>
      <c r="C241" s="67"/>
      <c r="D241" s="103"/>
      <c r="E241" s="67"/>
      <c r="F241" s="1503"/>
      <c r="G241" s="1563"/>
      <c r="H241" s="1563"/>
      <c r="I241" s="1563"/>
      <c r="J241" s="1563"/>
      <c r="K241" s="1563"/>
      <c r="L241" s="1563"/>
      <c r="M241" s="1563"/>
      <c r="N241" s="1503"/>
      <c r="O241" s="67"/>
      <c r="P241" s="647"/>
      <c r="Q241" s="1164"/>
      <c r="R241" s="1164"/>
    </row>
    <row r="242" spans="1:20" s="39" customFormat="1" hidden="1">
      <c r="A242"/>
      <c r="B242" s="350"/>
      <c r="C242" s="103"/>
      <c r="D242" s="103"/>
      <c r="E242" s="67"/>
      <c r="F242" s="1503"/>
      <c r="G242" s="1563"/>
      <c r="H242" s="1563"/>
      <c r="I242" s="1563"/>
      <c r="J242" s="1563"/>
      <c r="K242" s="1563"/>
      <c r="L242" s="1563"/>
      <c r="M242" s="1563"/>
      <c r="N242" s="1664" t="s">
        <v>2765</v>
      </c>
      <c r="O242" s="67"/>
      <c r="P242" s="647"/>
      <c r="Q242" s="1164"/>
      <c r="R242" s="1164"/>
    </row>
    <row r="243" spans="1:20" s="39" customFormat="1" hidden="1">
      <c r="A243"/>
      <c r="B243" s="350"/>
      <c r="C243" s="1554" t="s">
        <v>1266</v>
      </c>
      <c r="D243" s="1555"/>
      <c r="E243" s="1556" t="s">
        <v>159</v>
      </c>
      <c r="F243" s="1557">
        <v>2013</v>
      </c>
      <c r="G243" s="1557">
        <v>2015</v>
      </c>
      <c r="H243" s="1557">
        <v>2020</v>
      </c>
      <c r="I243" s="1557">
        <v>2025</v>
      </c>
      <c r="J243" s="1557">
        <v>2030</v>
      </c>
      <c r="K243" s="1557">
        <v>2035</v>
      </c>
      <c r="L243" s="1557">
        <v>2040</v>
      </c>
      <c r="M243" s="1557">
        <v>2045</v>
      </c>
      <c r="N243" s="1557">
        <v>2050</v>
      </c>
      <c r="O243" s="67"/>
      <c r="P243" s="647"/>
      <c r="Q243" s="1164"/>
      <c r="R243" s="1164"/>
    </row>
    <row r="244" spans="1:20" s="39" customFormat="1" hidden="1">
      <c r="A244"/>
      <c r="B244" s="350"/>
      <c r="C244" s="964" t="s">
        <v>1257</v>
      </c>
      <c r="D244" s="968" t="s">
        <v>1258</v>
      </c>
      <c r="E244" s="964"/>
      <c r="F244" s="1561"/>
      <c r="G244" s="1561"/>
      <c r="H244" s="1561"/>
      <c r="I244" s="1561"/>
      <c r="J244" s="1561"/>
      <c r="K244" s="1561"/>
      <c r="L244" s="1561"/>
      <c r="M244" s="1561"/>
      <c r="N244" s="1561"/>
      <c r="O244" s="67"/>
      <c r="P244" s="647"/>
      <c r="Q244" s="1164"/>
      <c r="R244" s="1164"/>
    </row>
    <row r="245" spans="1:20" s="39" customFormat="1" hidden="1">
      <c r="A245"/>
      <c r="B245" s="350"/>
      <c r="C245" s="67" t="s">
        <v>1257</v>
      </c>
      <c r="D245" s="103" t="s">
        <v>1259</v>
      </c>
      <c r="E245" s="67"/>
      <c r="F245" s="1563"/>
      <c r="G245" s="1563"/>
      <c r="H245" s="1563"/>
      <c r="I245" s="1563"/>
      <c r="J245" s="1563"/>
      <c r="K245" s="1563"/>
      <c r="L245" s="1563"/>
      <c r="M245" s="1563"/>
      <c r="N245" s="1563"/>
      <c r="O245" s="67"/>
      <c r="P245" s="647"/>
      <c r="Q245" s="1164"/>
      <c r="R245" s="1164"/>
    </row>
    <row r="246" spans="1:20" s="39" customFormat="1" hidden="1">
      <c r="A246"/>
      <c r="B246" s="350"/>
      <c r="C246" s="67" t="s">
        <v>1260</v>
      </c>
      <c r="D246" s="103" t="s">
        <v>1261</v>
      </c>
      <c r="E246" s="67"/>
      <c r="F246" s="1563"/>
      <c r="G246" s="1563"/>
      <c r="H246" s="1563"/>
      <c r="I246" s="1563"/>
      <c r="J246" s="1563"/>
      <c r="K246" s="1563"/>
      <c r="L246" s="1563"/>
      <c r="M246" s="1563"/>
      <c r="N246" s="1563"/>
      <c r="O246" s="67"/>
      <c r="P246" s="647"/>
      <c r="Q246" s="1164"/>
      <c r="R246" s="1164"/>
    </row>
    <row r="247" spans="1:20" s="39" customFormat="1" hidden="1">
      <c r="A247"/>
      <c r="B247" s="350"/>
      <c r="C247" s="969" t="s">
        <v>1260</v>
      </c>
      <c r="D247" s="194" t="s">
        <v>1262</v>
      </c>
      <c r="E247" s="969"/>
      <c r="F247" s="1565"/>
      <c r="G247" s="1565"/>
      <c r="H247" s="1565"/>
      <c r="I247" s="1565"/>
      <c r="J247" s="1565"/>
      <c r="K247" s="1565"/>
      <c r="L247" s="1565"/>
      <c r="M247" s="1565"/>
      <c r="N247" s="1565"/>
      <c r="O247" s="67"/>
      <c r="P247" s="647"/>
      <c r="Q247" s="1164"/>
      <c r="R247" s="1164"/>
    </row>
    <row r="248" spans="1:20" s="39" customFormat="1" hidden="1">
      <c r="A248"/>
      <c r="B248" s="350"/>
      <c r="C248" s="103"/>
      <c r="D248" s="103"/>
      <c r="E248" s="1586"/>
      <c r="F248" s="1503"/>
      <c r="G248" s="1563"/>
      <c r="H248" s="1563"/>
      <c r="I248" s="1563"/>
      <c r="J248" s="1563"/>
      <c r="K248" s="1563"/>
      <c r="L248" s="1563"/>
      <c r="M248" s="1563"/>
      <c r="N248" s="1503"/>
      <c r="O248" s="67"/>
      <c r="P248" s="647"/>
      <c r="Q248" s="1164"/>
      <c r="R248" s="1164"/>
    </row>
    <row r="249" spans="1:20" s="39" customFormat="1" hidden="1">
      <c r="A249"/>
      <c r="B249" s="350"/>
      <c r="C249" s="67" t="s">
        <v>30</v>
      </c>
      <c r="D249" s="67"/>
      <c r="E249" s="67"/>
      <c r="F249" s="67"/>
      <c r="G249" s="67"/>
      <c r="H249" s="67"/>
      <c r="I249" s="67"/>
      <c r="J249" s="67"/>
      <c r="K249" s="67"/>
      <c r="L249" s="67"/>
      <c r="M249" s="67"/>
      <c r="N249" s="67"/>
      <c r="O249" s="67"/>
      <c r="P249" s="1068"/>
      <c r="Q249" s="1164"/>
      <c r="R249" s="1164"/>
    </row>
    <row r="250" spans="1:20" s="39" customFormat="1" hidden="1">
      <c r="A250"/>
      <c r="B250" s="350"/>
      <c r="C250" s="99" t="s">
        <v>64</v>
      </c>
      <c r="D250" s="1597" t="s">
        <v>1160</v>
      </c>
      <c r="E250" s="67"/>
      <c r="F250" s="67"/>
      <c r="G250" s="67"/>
      <c r="H250" s="67"/>
      <c r="I250" s="67"/>
      <c r="J250" s="67"/>
      <c r="K250" s="67"/>
      <c r="L250" s="67"/>
      <c r="M250" s="67"/>
      <c r="N250" s="67"/>
      <c r="O250" s="67"/>
      <c r="P250" s="1068"/>
      <c r="Q250" s="1164"/>
      <c r="R250" s="1164"/>
    </row>
    <row r="251" spans="1:20" s="39" customFormat="1" hidden="1">
      <c r="A251"/>
      <c r="B251" s="350"/>
      <c r="C251" s="51" t="s">
        <v>66</v>
      </c>
      <c r="D251" s="67" t="s">
        <v>1161</v>
      </c>
      <c r="E251" s="67"/>
      <c r="F251" s="67"/>
      <c r="G251" s="67"/>
      <c r="H251" s="67"/>
      <c r="I251" s="67"/>
      <c r="J251" s="67"/>
      <c r="K251" s="67"/>
      <c r="L251" s="67"/>
      <c r="M251" s="67"/>
      <c r="N251" s="67"/>
      <c r="O251" s="67"/>
      <c r="P251" s="1068"/>
      <c r="Q251" s="1164"/>
      <c r="R251" s="1164"/>
    </row>
    <row r="252" spans="1:20" s="39" customFormat="1" hidden="1">
      <c r="A252"/>
      <c r="B252" s="350"/>
      <c r="C252" s="51" t="s">
        <v>105</v>
      </c>
      <c r="D252" s="67" t="s">
        <v>1267</v>
      </c>
      <c r="E252" s="67"/>
      <c r="F252" s="67"/>
      <c r="G252" s="67"/>
      <c r="H252" s="67"/>
      <c r="I252" s="67"/>
      <c r="J252" s="67"/>
      <c r="K252" s="67"/>
      <c r="L252" s="67"/>
      <c r="M252" s="67"/>
      <c r="N252" s="67"/>
      <c r="O252" s="67"/>
      <c r="P252" s="1068"/>
      <c r="Q252" s="1164"/>
      <c r="R252" s="1164"/>
    </row>
    <row r="253" spans="1:20" s="39" customFormat="1" hidden="1">
      <c r="A253"/>
      <c r="B253" s="350"/>
      <c r="C253" s="51" t="s">
        <v>79</v>
      </c>
      <c r="D253" s="67" t="s">
        <v>1268</v>
      </c>
      <c r="E253" s="67"/>
      <c r="F253" s="67"/>
      <c r="G253" s="67"/>
      <c r="H253" s="67"/>
      <c r="I253" s="67"/>
      <c r="J253" s="67"/>
      <c r="K253" s="67"/>
      <c r="L253" s="67"/>
      <c r="M253" s="67"/>
      <c r="N253" s="67"/>
      <c r="O253" s="67"/>
      <c r="P253" s="1068"/>
      <c r="Q253" s="1164"/>
      <c r="R253" s="1164"/>
    </row>
    <row r="254" spans="1:20" s="39" customFormat="1" hidden="1">
      <c r="A254"/>
      <c r="B254" s="350"/>
      <c r="C254" s="1553"/>
      <c r="D254" s="350"/>
      <c r="E254" s="350"/>
      <c r="F254" s="350"/>
      <c r="G254" s="350"/>
      <c r="H254" s="350"/>
      <c r="I254" s="350"/>
      <c r="J254" s="350"/>
      <c r="K254" s="350"/>
      <c r="L254" s="350"/>
      <c r="M254" s="350"/>
      <c r="N254" s="350"/>
      <c r="O254" s="67"/>
      <c r="P254" s="1068"/>
    </row>
    <row r="255" spans="1:20" s="39" customFormat="1">
      <c r="B255" s="1668"/>
      <c r="P255" s="1068"/>
      <c r="Q255" s="1669"/>
      <c r="R255" s="1068"/>
      <c r="S255" s="1068"/>
      <c r="T255" s="1068"/>
    </row>
    <row r="256" spans="1:20" ht="18.5" collapsed="1">
      <c r="A256" s="346"/>
      <c r="B256" s="1101" t="s">
        <v>206</v>
      </c>
      <c r="P256" s="1068"/>
      <c r="Q256" s="1670"/>
      <c r="R256" s="1068"/>
      <c r="S256" s="1068"/>
      <c r="T256" s="1068"/>
    </row>
    <row r="257" spans="2:20" s="2" customFormat="1">
      <c r="B257" s="354">
        <v>1</v>
      </c>
      <c r="C257" s="4168" t="s">
        <v>3485</v>
      </c>
      <c r="P257" s="81"/>
      <c r="Q257" s="1670"/>
      <c r="R257" s="1068"/>
      <c r="S257" s="81"/>
      <c r="T257" s="81"/>
    </row>
    <row r="258" spans="2:20" s="2" customFormat="1">
      <c r="B258" s="354">
        <v>2</v>
      </c>
      <c r="C258" s="4168" t="s">
        <v>3464</v>
      </c>
      <c r="L258" s="4175"/>
      <c r="P258" s="81"/>
      <c r="Q258" s="1670"/>
      <c r="R258" s="1068"/>
      <c r="S258" s="81"/>
      <c r="T258" s="81"/>
    </row>
    <row r="259" spans="2:20" s="2" customFormat="1">
      <c r="B259" s="354">
        <v>3</v>
      </c>
      <c r="C259" s="4168" t="s">
        <v>3486</v>
      </c>
      <c r="P259" s="81"/>
      <c r="Q259" s="1670"/>
      <c r="R259" s="1068"/>
      <c r="S259" s="81"/>
      <c r="T259" s="81"/>
    </row>
    <row r="260" spans="2:20" s="2" customFormat="1">
      <c r="B260" s="354">
        <v>4</v>
      </c>
      <c r="C260" s="4168" t="s">
        <v>1055</v>
      </c>
      <c r="D260" s="38"/>
      <c r="P260" s="81"/>
      <c r="Q260" s="1671"/>
      <c r="R260" s="1068"/>
      <c r="S260" s="81"/>
      <c r="T260" s="81"/>
    </row>
    <row r="261" spans="2:20" s="2" customFormat="1">
      <c r="B261" s="354">
        <v>5</v>
      </c>
      <c r="C261" s="4168" t="s">
        <v>3487</v>
      </c>
      <c r="P261" s="81"/>
      <c r="Q261" s="1672"/>
      <c r="R261" s="1068"/>
      <c r="S261" s="81"/>
      <c r="T261" s="81"/>
    </row>
    <row r="262" spans="2:20">
      <c r="P262" s="1068"/>
      <c r="Q262" s="1673"/>
      <c r="R262" s="1068"/>
      <c r="S262" s="1068"/>
      <c r="T262" s="1068"/>
    </row>
    <row r="263" spans="2:20" s="6" customFormat="1">
      <c r="B263" s="354">
        <v>1</v>
      </c>
      <c r="C263" s="354" t="s">
        <v>3462</v>
      </c>
      <c r="E263" s="354" t="s">
        <v>5</v>
      </c>
      <c r="F263" s="1313">
        <v>2013</v>
      </c>
      <c r="G263" s="1313">
        <v>2015</v>
      </c>
      <c r="H263" s="1313">
        <v>2020</v>
      </c>
      <c r="I263" s="1313">
        <v>2025</v>
      </c>
      <c r="J263" s="1313">
        <v>2030</v>
      </c>
      <c r="K263" s="1313">
        <v>2035</v>
      </c>
      <c r="L263" s="1313">
        <v>2040</v>
      </c>
      <c r="M263" s="1313">
        <v>2045</v>
      </c>
      <c r="N263" s="1313">
        <v>2050</v>
      </c>
      <c r="O263" s="4158"/>
      <c r="P263" s="647"/>
      <c r="Q263" s="1670"/>
      <c r="R263" s="1068"/>
      <c r="S263" s="647"/>
      <c r="T263" s="647"/>
    </row>
    <row r="264" spans="2:20" s="6" customFormat="1">
      <c r="B264" s="354"/>
      <c r="C264" t="s">
        <v>1260</v>
      </c>
      <c r="D264"/>
      <c r="E264" s="373" t="s">
        <v>3461</v>
      </c>
      <c r="F264" s="1683">
        <f>INDEX(F$18:F$21, MATCH($E$8, $C$18:$C$21, 0))*(1-INDEX(F$26:F$29, MATCH($E$8, $C$26:$C$29, 0)))</f>
        <v>9.1379999999999999</v>
      </c>
      <c r="G264" s="1683">
        <f t="shared" ref="G264:N264" si="20">INDEX(G$18:G$21, MATCH($E$8, $C$18:$C$21, 0))*(1-INDEX(G$26:G$29, MATCH($E$8, $C$26:$C$29, 0)))</f>
        <v>9.5358736449705948</v>
      </c>
      <c r="H264" s="1683">
        <f t="shared" si="20"/>
        <v>10.60800762095052</v>
      </c>
      <c r="I264" s="1683">
        <f t="shared" si="20"/>
        <v>11.800683385260115</v>
      </c>
      <c r="J264" s="1683">
        <f t="shared" si="20"/>
        <v>13.127453649649265</v>
      </c>
      <c r="K264" s="1683">
        <f t="shared" si="20"/>
        <v>14.603394879566228</v>
      </c>
      <c r="L264" s="1683">
        <f t="shared" si="20"/>
        <v>16.245278612294996</v>
      </c>
      <c r="M264" s="1683">
        <f t="shared" si="20"/>
        <v>18.071762036672961</v>
      </c>
      <c r="N264" s="1683">
        <f t="shared" si="20"/>
        <v>20.1036</v>
      </c>
      <c r="P264" s="647"/>
      <c r="Q264" s="1670"/>
      <c r="R264" s="1068"/>
      <c r="S264" s="647"/>
      <c r="T264" s="647"/>
    </row>
    <row r="265" spans="2:20" s="824" customFormat="1">
      <c r="B265" s="405" t="s">
        <v>218</v>
      </c>
      <c r="C265" s="405" t="s">
        <v>1273</v>
      </c>
      <c r="E265" s="405" t="str">
        <f>Preferences.EnergyUnits &amp; " / bn vehicle-km"</f>
        <v>TWh / bn vehicle-km</v>
      </c>
      <c r="F265" s="1678">
        <f t="shared" ref="F265:N265" si="21">INDEX(F$65:F$68, MATCH($E$8, $C$65:$C$68, 0))</f>
        <v>0.73966799999999999</v>
      </c>
      <c r="G265" s="1678">
        <f t="shared" si="21"/>
        <v>0.73319861712101098</v>
      </c>
      <c r="H265" s="1678">
        <f t="shared" si="21"/>
        <v>0.71727163080422596</v>
      </c>
      <c r="I265" s="1678">
        <f t="shared" si="21"/>
        <v>0.70169062017153505</v>
      </c>
      <c r="J265" s="1678">
        <f t="shared" si="21"/>
        <v>0.68644806972869399</v>
      </c>
      <c r="K265" s="1678">
        <f t="shared" si="21"/>
        <v>0.671536627237596</v>
      </c>
      <c r="L265" s="1678">
        <f t="shared" si="21"/>
        <v>0.65694910016992303</v>
      </c>
      <c r="M265" s="1678">
        <f t="shared" si="21"/>
        <v>0.64267845223783104</v>
      </c>
      <c r="N265" s="1678">
        <f t="shared" si="21"/>
        <v>0.62871779999999999</v>
      </c>
      <c r="P265" s="1679"/>
      <c r="Q265" s="1670"/>
      <c r="R265" s="1068"/>
      <c r="S265" s="1679"/>
      <c r="T265" s="1679"/>
    </row>
    <row r="266" spans="2:20" s="6" customFormat="1">
      <c r="B266" s="982" t="s">
        <v>220</v>
      </c>
      <c r="C266" s="354" t="s">
        <v>1271</v>
      </c>
      <c r="E266" s="355" t="str">
        <f>Preferences.EnergyUnits</f>
        <v>TWh</v>
      </c>
      <c r="F266" s="1315">
        <f>F264*F265</f>
        <v>6.7590861840000001</v>
      </c>
      <c r="G266" s="1315">
        <f t="shared" ref="G266:N266" si="22">G264*G265</f>
        <v>6.9916893695331348</v>
      </c>
      <c r="H266" s="1315">
        <f t="shared" si="22"/>
        <v>7.608822925862837</v>
      </c>
      <c r="I266" s="1315">
        <f t="shared" si="22"/>
        <v>8.2804288430510997</v>
      </c>
      <c r="J266" s="1315">
        <f t="shared" si="22"/>
        <v>9.0113152182546372</v>
      </c>
      <c r="K266" s="1315">
        <f t="shared" si="22"/>
        <v>9.8067145436426841</v>
      </c>
      <c r="L266" s="1315">
        <f t="shared" si="22"/>
        <v>10.672321166356893</v>
      </c>
      <c r="M266" s="1315">
        <f t="shared" si="22"/>
        <v>11.614332054939371</v>
      </c>
      <c r="N266" s="1315">
        <f t="shared" si="22"/>
        <v>12.639491164080001</v>
      </c>
      <c r="P266" s="647"/>
      <c r="Q266" s="1670"/>
      <c r="R266" s="1068"/>
      <c r="S266" s="647"/>
      <c r="T266" s="647"/>
    </row>
    <row r="267" spans="2:20" s="6" customFormat="1">
      <c r="B267" s="354"/>
      <c r="C267"/>
      <c r="E267" s="354"/>
      <c r="F267" s="1315"/>
      <c r="G267" s="1315"/>
      <c r="H267" s="1315"/>
      <c r="I267" s="1315"/>
      <c r="J267" s="1315"/>
      <c r="K267" s="1315"/>
      <c r="L267" s="1315"/>
      <c r="M267" s="1315"/>
      <c r="N267" s="1315"/>
      <c r="P267" s="647"/>
      <c r="Q267" s="1670"/>
      <c r="R267" s="1068"/>
      <c r="S267" s="647"/>
      <c r="T267" s="647"/>
    </row>
    <row r="268" spans="2:20" s="6" customFormat="1">
      <c r="B268" s="354"/>
      <c r="C268" s="399" t="s">
        <v>3463</v>
      </c>
      <c r="E268" s="354"/>
      <c r="F268" s="1315"/>
      <c r="G268" s="1315"/>
      <c r="H268" s="1315"/>
      <c r="I268" s="1315"/>
      <c r="J268" s="1315"/>
      <c r="K268" s="1315"/>
      <c r="L268" s="1315"/>
      <c r="M268" s="1315"/>
      <c r="N268" s="1315"/>
      <c r="P268" s="647"/>
      <c r="Q268" s="1068"/>
      <c r="R268" s="1068"/>
      <c r="S268" s="647"/>
      <c r="T268" s="647"/>
    </row>
    <row r="269" spans="2:20" s="6" customFormat="1">
      <c r="B269" s="354"/>
      <c r="C269" s="39" t="s">
        <v>1260</v>
      </c>
      <c r="D269"/>
      <c r="E269" s="373" t="s">
        <v>3461</v>
      </c>
      <c r="F269" s="1683">
        <f>INDEX(F$18:F$21, MATCH($E$8, $C$18:$C$21, 0))*(INDEX(F$26:F$29, MATCH($E$8, $C$26:$C$29, 0)))</f>
        <v>0</v>
      </c>
      <c r="G269" s="1683">
        <f t="shared" ref="G269:N269" si="23">INDEX(G$18:G$21, MATCH($E$8, $C$18:$C$21, 0))*(INDEX(G$26:G$29, MATCH($E$8, $C$26:$C$29, 0)))</f>
        <v>0</v>
      </c>
      <c r="H269" s="1683">
        <f t="shared" si="23"/>
        <v>0</v>
      </c>
      <c r="I269" s="1683">
        <f t="shared" si="23"/>
        <v>0</v>
      </c>
      <c r="J269" s="1683">
        <f t="shared" si="23"/>
        <v>0</v>
      </c>
      <c r="K269" s="1683">
        <f t="shared" si="23"/>
        <v>0</v>
      </c>
      <c r="L269" s="1683">
        <f t="shared" si="23"/>
        <v>0</v>
      </c>
      <c r="M269" s="1683">
        <f t="shared" si="23"/>
        <v>0</v>
      </c>
      <c r="N269" s="1683">
        <f t="shared" si="23"/>
        <v>0</v>
      </c>
      <c r="P269" s="647"/>
      <c r="Q269" s="1672"/>
      <c r="R269" s="1068"/>
      <c r="S269" s="647"/>
      <c r="T269" s="647"/>
    </row>
    <row r="270" spans="2:20" s="824" customFormat="1">
      <c r="B270" s="405" t="s">
        <v>218</v>
      </c>
      <c r="C270" s="3530" t="s">
        <v>1273</v>
      </c>
      <c r="E270" s="405" t="str">
        <f>Preferences.EnergyUnits &amp; " / bn vehicle-km"</f>
        <v>TWh / bn vehicle-km</v>
      </c>
      <c r="F270" s="1678">
        <f>INDEX(F$73:F$76, MATCH($E$8, $C$73:$C$76, 0))</f>
        <v>0.73966799999999999</v>
      </c>
      <c r="G270" s="1678">
        <f t="shared" ref="G270:N270" si="24">INDEX(G$73:G$76, MATCH($E$8, $C$73:$C$76, 0))</f>
        <v>0.73319861712101098</v>
      </c>
      <c r="H270" s="1678">
        <f t="shared" si="24"/>
        <v>0.71727163080422596</v>
      </c>
      <c r="I270" s="1678">
        <f t="shared" si="24"/>
        <v>0.70169062017153505</v>
      </c>
      <c r="J270" s="1678">
        <f t="shared" si="24"/>
        <v>0.68644806972869399</v>
      </c>
      <c r="K270" s="1678">
        <f t="shared" si="24"/>
        <v>0.671536627237596</v>
      </c>
      <c r="L270" s="1678">
        <f t="shared" si="24"/>
        <v>0.65694910016992303</v>
      </c>
      <c r="M270" s="1678">
        <f t="shared" si="24"/>
        <v>0.64267845223783104</v>
      </c>
      <c r="N270" s="1678">
        <f t="shared" si="24"/>
        <v>0.62871779999999999</v>
      </c>
      <c r="P270" s="1679"/>
      <c r="Q270" s="1673"/>
      <c r="R270" s="1068"/>
      <c r="S270" s="1679"/>
      <c r="T270" s="1679"/>
    </row>
    <row r="271" spans="2:20" s="6" customFormat="1">
      <c r="B271" s="982" t="s">
        <v>220</v>
      </c>
      <c r="C271" s="354" t="s">
        <v>1271</v>
      </c>
      <c r="E271" s="355" t="str">
        <f>Preferences.EnergyUnits</f>
        <v>TWh</v>
      </c>
      <c r="F271" s="1315">
        <f>F269*F270</f>
        <v>0</v>
      </c>
      <c r="G271" s="1315">
        <f t="shared" ref="G271:N271" si="25">G269*G270</f>
        <v>0</v>
      </c>
      <c r="H271" s="1315">
        <f t="shared" si="25"/>
        <v>0</v>
      </c>
      <c r="I271" s="1315">
        <f t="shared" si="25"/>
        <v>0</v>
      </c>
      <c r="J271" s="1315">
        <f t="shared" si="25"/>
        <v>0</v>
      </c>
      <c r="K271" s="1315">
        <f t="shared" si="25"/>
        <v>0</v>
      </c>
      <c r="L271" s="1315">
        <f t="shared" si="25"/>
        <v>0</v>
      </c>
      <c r="M271" s="1315">
        <f t="shared" si="25"/>
        <v>0</v>
      </c>
      <c r="N271" s="1315">
        <f t="shared" si="25"/>
        <v>0</v>
      </c>
      <c r="P271" s="647"/>
      <c r="Q271" s="1669"/>
      <c r="R271" s="1068"/>
      <c r="S271" s="647"/>
      <c r="T271" s="647"/>
    </row>
    <row r="272" spans="2:20" s="6" customFormat="1">
      <c r="B272" s="982"/>
      <c r="C272" s="354"/>
      <c r="E272" s="355"/>
      <c r="F272" s="1315"/>
      <c r="G272" s="1315"/>
      <c r="H272" s="1315"/>
      <c r="I272" s="1315"/>
      <c r="J272" s="1315"/>
      <c r="K272" s="1315"/>
      <c r="L272" s="1315"/>
      <c r="M272" s="1315"/>
      <c r="N272" s="1315"/>
      <c r="P272" s="647"/>
      <c r="Q272" s="1670"/>
      <c r="R272" s="1068"/>
      <c r="S272" s="647"/>
      <c r="T272" s="647"/>
    </row>
    <row r="273" spans="2:20" s="6" customFormat="1">
      <c r="B273" s="354"/>
      <c r="C273" s="399" t="s">
        <v>3465</v>
      </c>
      <c r="E273" s="354"/>
      <c r="F273" s="1315"/>
      <c r="G273" s="1315"/>
      <c r="H273" s="1315"/>
      <c r="I273" s="1315"/>
      <c r="J273" s="1315"/>
      <c r="K273" s="1315"/>
      <c r="L273" s="1315"/>
      <c r="M273" s="1315"/>
      <c r="N273" s="1315"/>
      <c r="P273" s="647"/>
      <c r="Q273" s="1068"/>
      <c r="R273" s="1068"/>
      <c r="S273" s="647"/>
      <c r="T273" s="647"/>
    </row>
    <row r="274" spans="2:20" s="6" customFormat="1">
      <c r="B274" s="354"/>
      <c r="C274" s="39" t="s">
        <v>1260</v>
      </c>
      <c r="D274" s="4158"/>
      <c r="E274" s="373" t="s">
        <v>1248</v>
      </c>
      <c r="F274" s="1683">
        <f>INDEX(F$34:F$37, MATCH($E$8, $C$34:$C$37, 0))*(1-INDEX(F$42:F$45, MATCH($E$8, $C$42:$C$45, 0)))</f>
        <v>4.0949999999999998</v>
      </c>
      <c r="G274" s="1683">
        <f t="shared" ref="G274:N274" si="26">INDEX(G$34:G$37, MATCH($E$8, $C$34:$C$37, 0))*(1-INDEX(G$42:G$45, MATCH($E$8, $C$42:$C$45, 0)))</f>
        <v>4.2732985966463763</v>
      </c>
      <c r="H274" s="1683">
        <f t="shared" si="26"/>
        <v>4.7537525944180761</v>
      </c>
      <c r="I274" s="1683">
        <f t="shared" si="26"/>
        <v>5.2000877458520645</v>
      </c>
      <c r="J274" s="1683">
        <f t="shared" si="26"/>
        <v>5.6866956962285631</v>
      </c>
      <c r="K274" s="1683">
        <f t="shared" si="26"/>
        <v>6.2169902528159895</v>
      </c>
      <c r="L274" s="1683">
        <f t="shared" si="26"/>
        <v>6.7946437794037502</v>
      </c>
      <c r="M274" s="1683">
        <f t="shared" si="26"/>
        <v>7.4236021826615355</v>
      </c>
      <c r="N274" s="1683">
        <f t="shared" si="26"/>
        <v>8.1081000000000003</v>
      </c>
      <c r="P274" s="647"/>
      <c r="Q274" s="1672"/>
      <c r="R274" s="1068"/>
      <c r="S274" s="647"/>
      <c r="T274" s="647"/>
    </row>
    <row r="275" spans="2:20" s="824" customFormat="1">
      <c r="B275" s="405" t="s">
        <v>218</v>
      </c>
      <c r="C275" s="3530" t="s">
        <v>1273</v>
      </c>
      <c r="E275" s="405" t="str">
        <f>Preferences.EnergyUnits &amp; " / bn vehicle-km"</f>
        <v>TWh / bn vehicle-km</v>
      </c>
      <c r="F275" s="1678">
        <f>INDEX(F$81:F$84, MATCH($E$8, $C$81:$C$84, 0))</f>
        <v>0.93611186000000002</v>
      </c>
      <c r="G275" s="1678">
        <f t="shared" ref="G275:N275" si="27">INDEX(G$81:G$84, MATCH($E$8, $C$81:$C$84, 0))</f>
        <v>0.92792431364149497</v>
      </c>
      <c r="H275" s="1678">
        <f t="shared" si="27"/>
        <v>0.90776737730627399</v>
      </c>
      <c r="I275" s="1678">
        <f t="shared" si="27"/>
        <v>0.88804830220224296</v>
      </c>
      <c r="J275" s="1678">
        <f t="shared" si="27"/>
        <v>0.86875757684141697</v>
      </c>
      <c r="K275" s="1678">
        <f t="shared" si="27"/>
        <v>0.84988589635013601</v>
      </c>
      <c r="L275" s="1678">
        <f t="shared" si="27"/>
        <v>0.83142415798086799</v>
      </c>
      <c r="M275" s="1678">
        <f t="shared" si="27"/>
        <v>0.81336345672149801</v>
      </c>
      <c r="N275" s="1678">
        <f t="shared" si="27"/>
        <v>0.79569508099999997</v>
      </c>
      <c r="P275" s="1679"/>
      <c r="Q275" s="1673"/>
      <c r="R275" s="1068"/>
      <c r="S275" s="1679"/>
      <c r="T275" s="1679"/>
    </row>
    <row r="276" spans="2:20" s="6" customFormat="1">
      <c r="B276" s="982" t="s">
        <v>220</v>
      </c>
      <c r="C276" s="354" t="s">
        <v>1271</v>
      </c>
      <c r="E276" s="355" t="str">
        <f>Preferences.EnergyUnits</f>
        <v>TWh</v>
      </c>
      <c r="F276" s="1315">
        <f>F274*F275</f>
        <v>3.8333780666999999</v>
      </c>
      <c r="G276" s="1315">
        <f t="shared" ref="G276:N276" si="28">G274*G275</f>
        <v>3.9652976672782523</v>
      </c>
      <c r="H276" s="1315">
        <f t="shared" si="28"/>
        <v>4.3153015249977926</v>
      </c>
      <c r="I276" s="1315">
        <f t="shared" si="28"/>
        <v>4.6179290940066142</v>
      </c>
      <c r="J276" s="1315">
        <f t="shared" si="28"/>
        <v>4.9403599732900414</v>
      </c>
      <c r="K276" s="1315">
        <f t="shared" si="28"/>
        <v>5.2837323336145756</v>
      </c>
      <c r="L276" s="1315">
        <f t="shared" si="28"/>
        <v>5.6492309830707059</v>
      </c>
      <c r="M276" s="1315">
        <f t="shared" si="28"/>
        <v>6.0380867326148442</v>
      </c>
      <c r="N276" s="1315">
        <f t="shared" si="28"/>
        <v>6.4515752862560998</v>
      </c>
      <c r="P276" s="647"/>
      <c r="Q276" s="1669"/>
      <c r="R276" s="1068"/>
      <c r="S276" s="647"/>
      <c r="T276" s="647"/>
    </row>
    <row r="277" spans="2:20" s="6" customFormat="1">
      <c r="B277" s="354"/>
      <c r="C277"/>
      <c r="E277" s="354"/>
      <c r="F277" s="1315"/>
      <c r="G277" s="1315"/>
      <c r="H277" s="1315"/>
      <c r="I277" s="1315"/>
      <c r="J277" s="1315"/>
      <c r="K277" s="1315"/>
      <c r="L277" s="1315"/>
      <c r="M277" s="1315"/>
      <c r="N277" s="1315"/>
      <c r="P277" s="647"/>
      <c r="Q277" s="1670"/>
      <c r="R277" s="1068"/>
      <c r="S277" s="647"/>
      <c r="T277" s="647"/>
    </row>
    <row r="278" spans="2:20" s="6" customFormat="1">
      <c r="B278" s="354"/>
      <c r="C278" s="399" t="s">
        <v>3466</v>
      </c>
      <c r="E278" s="354"/>
      <c r="F278" s="1315"/>
      <c r="G278" s="1315"/>
      <c r="H278" s="1315"/>
      <c r="I278" s="1315"/>
      <c r="J278" s="1315"/>
      <c r="K278" s="1315"/>
      <c r="L278" s="1315"/>
      <c r="M278" s="1315"/>
      <c r="N278" s="1315"/>
      <c r="P278" s="647"/>
      <c r="Q278" s="1068"/>
      <c r="R278" s="1068"/>
      <c r="S278" s="647"/>
      <c r="T278" s="647"/>
    </row>
    <row r="279" spans="2:20" s="6" customFormat="1">
      <c r="B279" s="354"/>
      <c r="C279" s="39" t="s">
        <v>1260</v>
      </c>
      <c r="D279" s="4158"/>
      <c r="E279" s="373" t="s">
        <v>1248</v>
      </c>
      <c r="F279" s="1683">
        <f>INDEX(F$34:F$37, MATCH($E$8, $C$34:$C$37, 0))*(INDEX(F$42:F$45, MATCH($E$8, $C$42:$C$45, 0)))</f>
        <v>0</v>
      </c>
      <c r="G279" s="1683">
        <f t="shared" ref="G279:N279" si="29">INDEX(G$34:G$37, MATCH($E$8, $C$34:$C$37, 0))*(INDEX(G$42:G$45, MATCH($E$8, $C$42:$C$45, 0)))</f>
        <v>0</v>
      </c>
      <c r="H279" s="1683">
        <f t="shared" si="29"/>
        <v>-3.2985784898090759E-17</v>
      </c>
      <c r="I279" s="1683">
        <f t="shared" si="29"/>
        <v>8.8137080438170562E-2</v>
      </c>
      <c r="J279" s="1683">
        <f t="shared" si="29"/>
        <v>0.19609295504236424</v>
      </c>
      <c r="K279" s="1683">
        <f t="shared" si="29"/>
        <v>0.32721001330610472</v>
      </c>
      <c r="L279" s="1683">
        <f t="shared" si="29"/>
        <v>0.48533169852883934</v>
      </c>
      <c r="M279" s="1683">
        <f t="shared" si="29"/>
        <v>0.67487292569650337</v>
      </c>
      <c r="N279" s="1683">
        <f t="shared" si="29"/>
        <v>0.90090000000000026</v>
      </c>
      <c r="P279" s="647"/>
      <c r="Q279" s="1672"/>
      <c r="R279" s="1068"/>
      <c r="S279" s="647"/>
      <c r="T279" s="647"/>
    </row>
    <row r="280" spans="2:20" s="824" customFormat="1">
      <c r="B280" s="405" t="s">
        <v>218</v>
      </c>
      <c r="C280" s="3530" t="s">
        <v>1273</v>
      </c>
      <c r="E280" s="405" t="str">
        <f>Preferences.EnergyUnits &amp; " / bn vehicle-km"</f>
        <v>TWh / bn vehicle-km</v>
      </c>
      <c r="F280" s="1678">
        <f>INDEX(F$89:F$92, MATCH($E$8, $C$89:$C$92, 0))</f>
        <v>0.23</v>
      </c>
      <c r="G280" s="1678">
        <f t="shared" ref="G280:N280" si="30">INDEX(G$73:G$76, MATCH($E$8, $C$73:$C$76, 0))</f>
        <v>0.73319861712101098</v>
      </c>
      <c r="H280" s="1678">
        <f t="shared" si="30"/>
        <v>0.71727163080422596</v>
      </c>
      <c r="I280" s="1678">
        <f t="shared" si="30"/>
        <v>0.70169062017153505</v>
      </c>
      <c r="J280" s="1678">
        <f t="shared" si="30"/>
        <v>0.68644806972869399</v>
      </c>
      <c r="K280" s="1678">
        <f t="shared" si="30"/>
        <v>0.671536627237596</v>
      </c>
      <c r="L280" s="1678">
        <f t="shared" si="30"/>
        <v>0.65694910016992303</v>
      </c>
      <c r="M280" s="1678">
        <f t="shared" si="30"/>
        <v>0.64267845223783104</v>
      </c>
      <c r="N280" s="1678">
        <f t="shared" si="30"/>
        <v>0.62871779999999999</v>
      </c>
      <c r="P280" s="1679"/>
      <c r="Q280" s="1673"/>
      <c r="R280" s="1068"/>
      <c r="S280" s="1679"/>
      <c r="T280" s="1679"/>
    </row>
    <row r="281" spans="2:20" s="6" customFormat="1">
      <c r="B281" s="982" t="s">
        <v>220</v>
      </c>
      <c r="C281" s="354" t="s">
        <v>1271</v>
      </c>
      <c r="E281" s="355" t="str">
        <f>Preferences.EnergyUnits</f>
        <v>TWh</v>
      </c>
      <c r="F281" s="1315"/>
      <c r="G281" s="1315">
        <f t="shared" ref="G281:N281" si="31">G279*G280</f>
        <v>0</v>
      </c>
      <c r="H281" s="1315">
        <f t="shared" si="31"/>
        <v>-2.3659767727210967E-17</v>
      </c>
      <c r="I281" s="1315">
        <f t="shared" si="31"/>
        <v>6.1844962632768369E-2</v>
      </c>
      <c r="J281" s="1315">
        <f t="shared" si="31"/>
        <v>0.13460763047622651</v>
      </c>
      <c r="K281" s="1315">
        <f t="shared" si="31"/>
        <v>0.21973350873395048</v>
      </c>
      <c r="L281" s="1315">
        <f t="shared" si="31"/>
        <v>0.31883822263246137</v>
      </c>
      <c r="M281" s="1315">
        <f t="shared" si="31"/>
        <v>0.43372628734384555</v>
      </c>
      <c r="N281" s="1315">
        <f t="shared" si="31"/>
        <v>0.56641186602000015</v>
      </c>
      <c r="P281" s="647"/>
      <c r="Q281" s="1669"/>
      <c r="R281" s="1068"/>
      <c r="S281" s="647"/>
      <c r="T281" s="647"/>
    </row>
    <row r="282" spans="2:20" s="6" customFormat="1">
      <c r="B282" s="982"/>
      <c r="C282" s="354"/>
      <c r="E282" s="355"/>
      <c r="F282" s="1315"/>
      <c r="G282" s="1315"/>
      <c r="H282" s="1315"/>
      <c r="I282" s="1315"/>
      <c r="J282" s="1315"/>
      <c r="K282" s="1315"/>
      <c r="L282" s="1315"/>
      <c r="M282" s="1315"/>
      <c r="N282" s="1315"/>
      <c r="P282" s="647"/>
      <c r="Q282" s="1669"/>
      <c r="R282" s="1068"/>
      <c r="S282" s="647"/>
      <c r="T282" s="647"/>
    </row>
    <row r="283" spans="2:20" s="6" customFormat="1">
      <c r="B283" s="354"/>
      <c r="C283" s="2290" t="s">
        <v>3471</v>
      </c>
      <c r="E283" s="355" t="str">
        <f>Preferences.EnergyUnits</f>
        <v>TWh</v>
      </c>
      <c r="F283" s="1370">
        <f>INDEX(F$50:F$53, MATCH($E$8, $C$50:$C$53, 0))</f>
        <v>5</v>
      </c>
      <c r="G283" s="1370">
        <f t="shared" ref="G283:M283" si="32">INDEX(G$50:G$53, MATCH($E$8, $C$50:$C$53, 0))</f>
        <v>5.0823580791586398</v>
      </c>
      <c r="H283" s="1370">
        <f t="shared" si="32"/>
        <v>5.2942372535746403</v>
      </c>
      <c r="I283" s="1370">
        <f t="shared" si="32"/>
        <v>5.5149494900952698</v>
      </c>
      <c r="J283" s="1370">
        <f t="shared" si="32"/>
        <v>5.7448630315474203</v>
      </c>
      <c r="K283" s="1370">
        <f t="shared" si="32"/>
        <v>5.9843614724874001</v>
      </c>
      <c r="L283" s="1370">
        <f t="shared" si="32"/>
        <v>6.2338443992014998</v>
      </c>
      <c r="M283" s="1370">
        <f t="shared" si="32"/>
        <v>6.4937280563874999</v>
      </c>
      <c r="N283" s="1370">
        <f>INDEX(N$50:N$53, MATCH($E$8, $C$50:$C$53, 0))</f>
        <v>6.7644460416297099</v>
      </c>
      <c r="P283" s="647"/>
      <c r="Q283" s="1670"/>
      <c r="R283" s="1068"/>
      <c r="S283" s="647"/>
      <c r="T283" s="647"/>
    </row>
    <row r="284" spans="2:20" s="6" customFormat="1">
      <c r="B284" s="354"/>
      <c r="C284" s="4167"/>
      <c r="E284" s="355"/>
      <c r="F284" s="1370"/>
      <c r="G284" s="1370"/>
      <c r="H284" s="1370"/>
      <c r="I284" s="1370"/>
      <c r="J284" s="1370"/>
      <c r="K284" s="1370"/>
      <c r="L284" s="1370"/>
      <c r="M284" s="1370"/>
      <c r="N284" s="1370"/>
      <c r="P284" s="647"/>
      <c r="Q284" s="1670"/>
      <c r="R284" s="1068"/>
      <c r="S284" s="647"/>
      <c r="T284" s="647"/>
    </row>
    <row r="285" spans="2:20">
      <c r="B285" s="354">
        <v>2</v>
      </c>
      <c r="C285" s="354" t="s">
        <v>1269</v>
      </c>
      <c r="F285" s="1313">
        <v>2013</v>
      </c>
      <c r="G285" s="1313">
        <v>2015</v>
      </c>
      <c r="H285" s="1313">
        <v>2020</v>
      </c>
      <c r="I285" s="1313">
        <v>2025</v>
      </c>
      <c r="J285" s="1313">
        <v>2030</v>
      </c>
      <c r="K285" s="1313">
        <v>2035</v>
      </c>
      <c r="L285" s="1313">
        <v>2040</v>
      </c>
      <c r="M285" s="1313">
        <v>2045</v>
      </c>
      <c r="N285" s="1313">
        <v>2050</v>
      </c>
      <c r="P285" s="1068"/>
      <c r="Q285" s="1669"/>
      <c r="R285" s="1068"/>
      <c r="S285" s="1068"/>
      <c r="T285" s="1068"/>
    </row>
    <row r="286" spans="2:20">
      <c r="C286" t="s">
        <v>1257</v>
      </c>
      <c r="E286" s="373" t="s">
        <v>1245</v>
      </c>
      <c r="F286" s="1674">
        <f>INDEX(F$103:F$106, MATCH($E$8, $C$103:$C$106, 0))</f>
        <v>529069.53332918952</v>
      </c>
      <c r="G286" s="1674">
        <f t="shared" ref="G286:N286" si="33">INDEX(G$103:G$106, MATCH($E$8, $C$103:$C$106, 0))</f>
        <v>550893.65157901857</v>
      </c>
      <c r="H286" s="1674">
        <f t="shared" si="33"/>
        <v>572717.76982884773</v>
      </c>
      <c r="I286" s="1674">
        <f t="shared" si="33"/>
        <v>594541.88807867677</v>
      </c>
      <c r="J286" s="1674">
        <f t="shared" si="33"/>
        <v>616366.00632850581</v>
      </c>
      <c r="K286" s="1674">
        <f t="shared" si="33"/>
        <v>638190.12457833486</v>
      </c>
      <c r="L286" s="1674">
        <f t="shared" si="33"/>
        <v>660014.24282816402</v>
      </c>
      <c r="M286" s="1674">
        <f t="shared" si="33"/>
        <v>681838.36107799306</v>
      </c>
      <c r="N286" s="1674">
        <f t="shared" si="33"/>
        <v>703662.4793278221</v>
      </c>
      <c r="P286" s="1068"/>
      <c r="Q286" s="1670"/>
      <c r="R286" s="1068"/>
      <c r="S286" s="1068"/>
      <c r="T286" s="1068"/>
    </row>
    <row r="287" spans="2:20" s="405" customFormat="1">
      <c r="B287" s="405" t="s">
        <v>218</v>
      </c>
      <c r="C287" s="405" t="s">
        <v>1270</v>
      </c>
      <c r="E287" s="1369" t="str">
        <f>Preferences.EnergyUnits &amp;" / litre"</f>
        <v>TWh / litre</v>
      </c>
      <c r="F287" s="1675">
        <f>Constants.GCV.Diesel*Constants.Density.Diesel</f>
        <v>9.3233058E-9</v>
      </c>
      <c r="G287" s="1676"/>
      <c r="H287" s="1676"/>
      <c r="I287" s="1676"/>
      <c r="J287" s="1676"/>
      <c r="K287" s="1676"/>
      <c r="L287" s="1676"/>
      <c r="M287" s="1676"/>
      <c r="N287" s="1676"/>
      <c r="P287" s="1677"/>
      <c r="Q287" s="1670"/>
      <c r="R287" s="1068"/>
      <c r="S287" s="1677"/>
      <c r="T287" s="1677"/>
    </row>
    <row r="288" spans="2:20">
      <c r="B288" s="982" t="s">
        <v>220</v>
      </c>
      <c r="C288" s="354" t="s">
        <v>1271</v>
      </c>
      <c r="D288" s="354"/>
      <c r="E288" s="355" t="str">
        <f>Preferences.EnergyUnits</f>
        <v>TWh</v>
      </c>
      <c r="F288" s="1370">
        <f>F286*$F$287</f>
        <v>4.932677048691326E-3</v>
      </c>
      <c r="G288" s="1370">
        <f t="shared" ref="G288:N288" si="34">G286*$F$287</f>
        <v>5.1361499769498426E-3</v>
      </c>
      <c r="H288" s="1370">
        <f t="shared" si="34"/>
        <v>5.339622905208361E-3</v>
      </c>
      <c r="I288" s="1370">
        <f t="shared" si="34"/>
        <v>5.5430958334668776E-3</v>
      </c>
      <c r="J288" s="1370">
        <f t="shared" si="34"/>
        <v>5.7465687617253951E-3</v>
      </c>
      <c r="K288" s="1370">
        <f t="shared" si="34"/>
        <v>5.9500416899839117E-3</v>
      </c>
      <c r="L288" s="1370">
        <f t="shared" si="34"/>
        <v>6.15351461824243E-3</v>
      </c>
      <c r="M288" s="1370">
        <f t="shared" si="34"/>
        <v>6.3569875465009466E-3</v>
      </c>
      <c r="N288" s="1370">
        <f t="shared" si="34"/>
        <v>6.5604604747594641E-3</v>
      </c>
      <c r="P288" s="1068"/>
      <c r="Q288" s="1670"/>
      <c r="R288" s="1068"/>
      <c r="S288" s="1068"/>
      <c r="T288" s="1068"/>
    </row>
    <row r="289" spans="2:20">
      <c r="E289" s="373"/>
      <c r="F289" s="1604"/>
      <c r="G289" s="1604"/>
      <c r="H289" s="1604"/>
      <c r="I289" s="1604"/>
      <c r="J289" s="1604"/>
      <c r="K289" s="1604"/>
      <c r="L289" s="1604"/>
      <c r="M289" s="1604"/>
      <c r="N289" s="1604"/>
      <c r="P289" s="1068"/>
      <c r="Q289" s="1670"/>
      <c r="R289" s="1068"/>
      <c r="S289" s="1068"/>
      <c r="T289" s="1068"/>
    </row>
    <row r="290" spans="2:20" s="6" customFormat="1">
      <c r="B290" s="354"/>
      <c r="C290" s="354" t="s">
        <v>1272</v>
      </c>
      <c r="E290" s="355" t="str">
        <f>Preferences.EnergyUnits</f>
        <v>TWh</v>
      </c>
      <c r="F290" s="1370">
        <f t="shared" ref="F290:N290" si="35">INDEX(F$111:F$114, MATCH($E$8, $C$111:$C$114, 0))</f>
        <v>0</v>
      </c>
      <c r="G290" s="1370">
        <f t="shared" si="35"/>
        <v>0</v>
      </c>
      <c r="H290" s="1370">
        <f t="shared" si="35"/>
        <v>0</v>
      </c>
      <c r="I290" s="1370">
        <f t="shared" si="35"/>
        <v>0</v>
      </c>
      <c r="J290" s="1370">
        <f t="shared" si="35"/>
        <v>0</v>
      </c>
      <c r="K290" s="1370">
        <f t="shared" si="35"/>
        <v>0</v>
      </c>
      <c r="L290" s="1370">
        <f t="shared" si="35"/>
        <v>0</v>
      </c>
      <c r="M290" s="1370">
        <f t="shared" si="35"/>
        <v>0</v>
      </c>
      <c r="N290" s="1370">
        <f t="shared" si="35"/>
        <v>0</v>
      </c>
      <c r="P290" s="647"/>
      <c r="Q290" s="1670"/>
      <c r="R290" s="1068"/>
      <c r="S290" s="647"/>
      <c r="T290" s="647"/>
    </row>
    <row r="291" spans="2:20" s="6" customFormat="1">
      <c r="B291" s="354"/>
      <c r="C291"/>
      <c r="E291" s="354"/>
      <c r="F291" s="1370"/>
      <c r="G291" s="1370"/>
      <c r="H291" s="1370"/>
      <c r="I291" s="1370"/>
      <c r="J291" s="1370"/>
      <c r="K291" s="1370"/>
      <c r="L291" s="1370"/>
      <c r="M291" s="1370"/>
      <c r="N291" s="1370"/>
      <c r="P291" s="647"/>
      <c r="Q291" s="1670"/>
      <c r="R291" s="1068"/>
      <c r="S291" s="647"/>
      <c r="T291" s="647"/>
    </row>
    <row r="292" spans="2:20" s="6" customFormat="1">
      <c r="B292" s="354"/>
      <c r="C292" s="4158"/>
      <c r="E292" s="354"/>
      <c r="F292" s="1370"/>
      <c r="G292" s="1370"/>
      <c r="H292" s="1370"/>
      <c r="I292" s="1370"/>
      <c r="J292" s="1370"/>
      <c r="K292" s="1370"/>
      <c r="L292" s="1370"/>
      <c r="M292" s="1370"/>
      <c r="N292" s="1370"/>
      <c r="P292" s="647"/>
      <c r="Q292" s="1670"/>
      <c r="R292" s="1068"/>
      <c r="S292" s="647"/>
      <c r="T292" s="647"/>
    </row>
    <row r="293" spans="2:20" s="6" customFormat="1">
      <c r="B293" s="354">
        <v>3</v>
      </c>
      <c r="C293" s="354" t="s">
        <v>1255</v>
      </c>
      <c r="E293" s="355" t="str">
        <f>Preferences.EnergyUnits</f>
        <v>TWh</v>
      </c>
      <c r="F293" s="1315">
        <f t="shared" ref="F293:N293" si="36">INDEX(F$137:F$140, MATCH($E$8, $C$137:$C$140, 0))</f>
        <v>0.66</v>
      </c>
      <c r="G293" s="1315">
        <f t="shared" si="36"/>
        <v>0.66</v>
      </c>
      <c r="H293" s="1315">
        <f t="shared" si="36"/>
        <v>0.66</v>
      </c>
      <c r="I293" s="1315">
        <f t="shared" si="36"/>
        <v>0.66</v>
      </c>
      <c r="J293" s="1315">
        <f t="shared" si="36"/>
        <v>0.66</v>
      </c>
      <c r="K293" s="1315">
        <f t="shared" si="36"/>
        <v>0.66</v>
      </c>
      <c r="L293" s="1315">
        <f t="shared" si="36"/>
        <v>0.66</v>
      </c>
      <c r="M293" s="1315">
        <f t="shared" si="36"/>
        <v>0.66</v>
      </c>
      <c r="N293" s="1315">
        <f t="shared" si="36"/>
        <v>0.66</v>
      </c>
      <c r="P293" s="647"/>
      <c r="Q293" s="1670"/>
      <c r="R293" s="1068"/>
      <c r="S293" s="647"/>
      <c r="T293" s="647"/>
    </row>
    <row r="294" spans="2:20" s="6" customFormat="1">
      <c r="B294" s="354"/>
      <c r="C294"/>
      <c r="E294" s="354"/>
      <c r="F294" s="1370"/>
      <c r="G294" s="1370"/>
      <c r="H294" s="1370"/>
      <c r="I294" s="1370"/>
      <c r="J294" s="1370"/>
      <c r="K294" s="1370"/>
      <c r="L294" s="1370"/>
      <c r="M294" s="1370"/>
      <c r="N294" s="1370"/>
      <c r="P294" s="647"/>
      <c r="Q294" s="1670"/>
      <c r="R294" s="1068"/>
      <c r="S294" s="647"/>
      <c r="T294" s="647"/>
    </row>
    <row r="295" spans="2:20" s="6" customFormat="1">
      <c r="B295" s="372">
        <v>4</v>
      </c>
      <c r="C295" s="354" t="s">
        <v>1274</v>
      </c>
      <c r="F295" s="357"/>
      <c r="G295" s="357"/>
      <c r="H295" s="357"/>
      <c r="I295" s="357"/>
      <c r="J295" s="357"/>
      <c r="K295" s="357"/>
      <c r="L295" s="357"/>
      <c r="M295" s="357"/>
      <c r="N295" s="357"/>
      <c r="P295" s="647"/>
      <c r="Q295" s="1670"/>
      <c r="R295" s="1068"/>
      <c r="S295" s="647"/>
      <c r="T295" s="647"/>
    </row>
    <row r="296" spans="2:20" s="6" customFormat="1">
      <c r="B296" s="354"/>
      <c r="C296"/>
      <c r="F296" s="983"/>
      <c r="G296" s="983"/>
      <c r="H296" s="983"/>
      <c r="I296" s="983"/>
      <c r="J296" s="983"/>
      <c r="K296" s="983"/>
      <c r="L296" s="983"/>
      <c r="M296" s="983"/>
      <c r="N296" s="983"/>
      <c r="P296" s="647"/>
      <c r="Q296" s="1670"/>
      <c r="R296" s="1068"/>
      <c r="S296" s="647"/>
      <c r="T296" s="647"/>
    </row>
    <row r="297" spans="2:20" s="6" customFormat="1">
      <c r="B297" s="354"/>
      <c r="C297" s="4168" t="s">
        <v>3484</v>
      </c>
      <c r="F297" s="983"/>
      <c r="G297" s="983"/>
      <c r="H297" s="983"/>
      <c r="I297" s="983"/>
      <c r="J297" s="983"/>
      <c r="K297" s="983"/>
      <c r="L297" s="983"/>
      <c r="M297" s="983"/>
      <c r="N297" s="983"/>
      <c r="P297" s="647"/>
      <c r="Q297" s="1670"/>
      <c r="R297" s="1068"/>
      <c r="S297" s="647"/>
      <c r="T297" s="647"/>
    </row>
    <row r="298" spans="2:20" s="6" customFormat="1">
      <c r="B298"/>
      <c r="C298" t="s">
        <v>250</v>
      </c>
      <c r="E298" s="6" t="s">
        <v>251</v>
      </c>
      <c r="F298" s="983">
        <f>(F$288+F$266+F$293+F$276)*INDEX(EF[CO2],MATCH("V.04",EF[Vector],0))+(F$271*INDEX(EF[CO2], MATCH("V.05", EF[Vector], 0)))</f>
        <v>2.9706019012943239</v>
      </c>
      <c r="G298" s="983">
        <f>(G$288+G$266+G$293+G$276)*INDEX(EF[CO2],MATCH("V.04",EF[Vector],0))+(G$271*INDEX(EF[CO2], MATCH("V.05", EF[Vector], 0)))</f>
        <v>3.066845866529706</v>
      </c>
      <c r="H298" s="983">
        <f>(H$288+H$266+H$293+H$276)*INDEX(EF[CO2],MATCH("V.04",EF[Vector],0))+(H$271*INDEX(EF[CO2], MATCH("V.05", EF[Vector], 0)))</f>
        <v>3.3221077797853287</v>
      </c>
      <c r="I298" s="983">
        <f>(I$288+I$266+I$293+I$276)*INDEX(EF[CO2],MATCH("V.04",EF[Vector],0))+(I$271*INDEX(EF[CO2], MATCH("V.05", EF[Vector], 0)))</f>
        <v>3.579242204559324</v>
      </c>
      <c r="J298" s="983">
        <f>(J$288+J$266+J$293+J$276)*INDEX(EF[CO2],MATCH("V.04",EF[Vector],0))+(J$271*INDEX(EF[CO2], MATCH("V.05", EF[Vector], 0)))</f>
        <v>3.8572452541096531</v>
      </c>
      <c r="K298" s="983">
        <f>(K$288+K$266+K$293+K$276)*INDEX(EF[CO2],MATCH("V.04",EF[Vector],0))+(K$271*INDEX(EF[CO2], MATCH("V.05", EF[Vector], 0)))</f>
        <v>4.1577980189717971</v>
      </c>
      <c r="L298" s="983">
        <f>(L$288+L$266+L$293+L$276)*INDEX(EF[CO2],MATCH("V.04",EF[Vector],0))+(L$271*INDEX(EF[CO2], MATCH("V.05", EF[Vector], 0)))</f>
        <v>4.482715770628416</v>
      </c>
      <c r="M298" s="983">
        <f>(M$288+M$266+M$293+M$276)*INDEX(EF[CO2],MATCH("V.04",EF[Vector],0))+(M$271*INDEX(EF[CO2], MATCH("V.05", EF[Vector], 0)))</f>
        <v>4.833958551533577</v>
      </c>
      <c r="N298" s="983">
        <f>(N$288+N$266+N$293+N$276)*INDEX(EF[CO2],MATCH("V.04",EF[Vector],0))+(N$271*INDEX(EF[CO2], MATCH("V.05", EF[Vector], 0)))</f>
        <v>5.2136425892247686</v>
      </c>
      <c r="P298" s="647"/>
      <c r="Q298" s="1670"/>
      <c r="R298" s="1068"/>
      <c r="S298" s="647"/>
      <c r="T298" s="647"/>
    </row>
    <row r="299" spans="2:20" s="6" customFormat="1">
      <c r="B299"/>
      <c r="C299" t="s">
        <v>252</v>
      </c>
      <c r="E299" s="6" t="s">
        <v>251</v>
      </c>
      <c r="F299" s="983">
        <f>(F$288+F$266+F$293+F$276)*INDEX(EF[CH4],MATCH("V.04",EF[Vector],0))+(F$271*INDEX(EF[CH4], MATCH("V.05", EF[Vector], 0)))</f>
        <v>2.553177623213403E-3</v>
      </c>
      <c r="G299" s="983">
        <f>(G$288+G$266+G$293+G$276)*INDEX(EF[CH4],MATCH("V.04",EF[Vector],0))+(G$271*INDEX(EF[CH4], MATCH("V.05", EF[Vector], 0)))</f>
        <v>2.6358975387635953E-3</v>
      </c>
      <c r="H299" s="983">
        <f>(H$288+H$266+H$293+H$276)*INDEX(EF[CH4],MATCH("V.04",EF[Vector],0))+(H$271*INDEX(EF[CH4], MATCH("V.05", EF[Vector], 0)))</f>
        <v>2.8552904519300922E-3</v>
      </c>
      <c r="I299" s="983">
        <f>(I$288+I$266+I$293+I$276)*INDEX(EF[CH4],MATCH("V.04",EF[Vector],0))+(I$271*INDEX(EF[CH4], MATCH("V.05", EF[Vector], 0)))</f>
        <v>3.0762927542597198E-3</v>
      </c>
      <c r="J299" s="983">
        <f>(J$288+J$266+J$293+J$276)*INDEX(EF[CH4],MATCH("V.04",EF[Vector],0))+(J$271*INDEX(EF[CH4], MATCH("V.05", EF[Vector], 0)))</f>
        <v>3.3152312552374927E-3</v>
      </c>
      <c r="K299" s="983">
        <f>(K$288+K$266+K$293+K$276)*INDEX(EF[CH4],MATCH("V.04",EF[Vector],0))+(K$271*INDEX(EF[CH4], MATCH("V.05", EF[Vector], 0)))</f>
        <v>3.5735508212172348E-3</v>
      </c>
      <c r="L299" s="983">
        <f>(L$288+L$266+L$293+L$276)*INDEX(EF[CH4],MATCH("V.04",EF[Vector],0))+(L$271*INDEX(EF[CH4], MATCH("V.05", EF[Vector], 0)))</f>
        <v>3.852811644605597E-3</v>
      </c>
      <c r="M299" s="983">
        <f>(M$288+M$266+M$293+M$276)*INDEX(EF[CH4],MATCH("V.04",EF[Vector],0))+(M$271*INDEX(EF[CH4], MATCH("V.05", EF[Vector], 0)))</f>
        <v>4.1546983457928432E-3</v>
      </c>
      <c r="N299" s="983">
        <f>(N$288+N$266+N$293+N$276)*INDEX(EF[CH4],MATCH("V.04",EF[Vector],0))+(N$271*INDEX(EF[CH4], MATCH("V.05", EF[Vector], 0)))</f>
        <v>4.481029783371903E-3</v>
      </c>
      <c r="O299" s="6" t="s">
        <v>5</v>
      </c>
      <c r="P299" s="647"/>
      <c r="Q299" s="1670"/>
      <c r="R299" s="1068"/>
      <c r="S299" s="647"/>
      <c r="T299" s="647"/>
    </row>
    <row r="300" spans="2:20" s="6" customFormat="1">
      <c r="B300"/>
      <c r="C300" t="s">
        <v>253</v>
      </c>
      <c r="E300" s="6" t="s">
        <v>251</v>
      </c>
      <c r="F300" s="983">
        <f>(F$288+F$266+F$293+F$276)*INDEX(EF[N2O],MATCH("V.04",EF[Vector],0))+(F$271*INDEX(EF[N2O], MATCH("V.05", EF[Vector], 0)))</f>
        <v>7.5379529828205234E-3</v>
      </c>
      <c r="G300" s="983">
        <f>(G$288+G$266+G$293+G$276)*INDEX(EF[N2O],MATCH("V.04",EF[Vector],0))+(G$271*INDEX(EF[N2O], MATCH("V.05", EF[Vector], 0)))</f>
        <v>7.7821736858734716E-3</v>
      </c>
      <c r="H300" s="983">
        <f>(H$288+H$266+H$293+H$276)*INDEX(EF[N2O],MATCH("V.04",EF[Vector],0))+(H$271*INDEX(EF[N2O], MATCH("V.05", EF[Vector], 0)))</f>
        <v>8.4299051437936052E-3</v>
      </c>
      <c r="I300" s="983">
        <f>(I$288+I$266+I$293+I$276)*INDEX(EF[N2O],MATCH("V.04",EF[Vector],0))+(I$271*INDEX(EF[N2O], MATCH("V.05", EF[Vector], 0)))</f>
        <v>9.0823881316239342E-3</v>
      </c>
      <c r="J300" s="983">
        <f>(J$288+J$266+J$293+J$276)*INDEX(EF[N2O],MATCH("V.04",EF[Vector],0))+(J$271*INDEX(EF[N2O], MATCH("V.05", EF[Vector], 0)))</f>
        <v>9.7878256107011685E-3</v>
      </c>
      <c r="K300" s="983">
        <f>(K$288+K$266+K$293+K$276)*INDEX(EF[N2O],MATCH("V.04",EF[Vector],0))+(K$271*INDEX(EF[N2O], MATCH("V.05", EF[Vector], 0)))</f>
        <v>1.0550483376927074E-2</v>
      </c>
      <c r="L300" s="983">
        <f>(L$288+L$266+L$293+L$276)*INDEX(EF[N2O],MATCH("V.04",EF[Vector],0))+(L$271*INDEX(EF[N2O], MATCH("V.05", EF[Vector], 0)))</f>
        <v>1.1374967712645095E-2</v>
      </c>
      <c r="M300" s="983">
        <f>(M$288+M$266+M$293+M$276)*INDEX(EF[N2O],MATCH("V.04",EF[Vector],0))+(M$271*INDEX(EF[N2O], MATCH("V.05", EF[Vector], 0)))</f>
        <v>1.2266252259007441E-2</v>
      </c>
      <c r="N300" s="983">
        <f>(N$288+N$266+N$293+N$276)*INDEX(EF[N2O],MATCH("V.04",EF[Vector],0))+(N$271*INDEX(EF[N2O], MATCH("V.05", EF[Vector], 0)))</f>
        <v>1.3229706979478952E-2</v>
      </c>
      <c r="P300" s="647"/>
      <c r="Q300" s="1670"/>
      <c r="R300" s="1068"/>
      <c r="S300" s="647"/>
      <c r="T300" s="647"/>
    </row>
    <row r="301" spans="2:20" s="6" customFormat="1">
      <c r="B301" s="354"/>
      <c r="C301"/>
      <c r="F301" s="983"/>
      <c r="G301" s="983"/>
      <c r="H301" s="983"/>
      <c r="I301" s="983"/>
      <c r="J301" s="983"/>
      <c r="K301" s="983"/>
      <c r="L301" s="983"/>
      <c r="M301" s="983"/>
      <c r="N301" s="983"/>
      <c r="P301" s="647"/>
      <c r="Q301" s="1670"/>
      <c r="R301" s="1068"/>
      <c r="S301" s="647"/>
      <c r="T301" s="647"/>
    </row>
    <row r="302" spans="2:20" s="6" customFormat="1">
      <c r="B302" s="354">
        <v>5</v>
      </c>
      <c r="C302" s="354" t="s">
        <v>3490</v>
      </c>
      <c r="D302" s="354"/>
      <c r="E302" s="354"/>
      <c r="F302" s="1315"/>
      <c r="G302" s="1315"/>
      <c r="H302" s="1315"/>
      <c r="I302" s="1315"/>
      <c r="J302" s="1315"/>
      <c r="K302" s="1315"/>
      <c r="L302" s="1315"/>
      <c r="M302" s="1315"/>
      <c r="N302" s="1315"/>
      <c r="P302" s="647"/>
      <c r="Q302" s="1671"/>
      <c r="R302" s="1068"/>
      <c r="S302" s="647"/>
      <c r="T302" s="647"/>
    </row>
    <row r="303" spans="2:20" s="6" customFormat="1" hidden="1">
      <c r="B303" s="354"/>
      <c r="C303" s="354"/>
      <c r="D303" s="354"/>
      <c r="E303" s="354"/>
      <c r="F303" s="1315"/>
      <c r="G303" s="1315"/>
      <c r="H303" s="1315"/>
      <c r="I303" s="1315"/>
      <c r="J303" s="1315"/>
      <c r="K303" s="1315"/>
      <c r="L303" s="1315"/>
      <c r="M303" s="1315"/>
      <c r="N303" s="1315"/>
      <c r="P303" s="647"/>
      <c r="Q303" s="1068"/>
      <c r="R303" s="1068"/>
      <c r="S303" s="647"/>
      <c r="T303" s="647"/>
    </row>
    <row r="304" spans="2:20" s="6" customFormat="1" hidden="1">
      <c r="B304" s="354"/>
      <c r="C304" s="4162" t="s">
        <v>3489</v>
      </c>
      <c r="D304" s="3916"/>
      <c r="E304" s="354"/>
      <c r="F304" s="1315"/>
      <c r="G304" s="1315"/>
      <c r="H304" s="1315"/>
      <c r="I304" s="1315"/>
      <c r="J304" s="1315"/>
      <c r="K304" s="1315"/>
      <c r="L304" s="1315"/>
      <c r="M304" s="1315"/>
      <c r="N304" s="373" t="s">
        <v>1248</v>
      </c>
      <c r="P304" s="647"/>
      <c r="Q304" s="1068"/>
      <c r="R304" s="1068"/>
      <c r="S304" s="647"/>
      <c r="T304" s="647"/>
    </row>
    <row r="305" spans="1:20" s="6" customFormat="1" hidden="1">
      <c r="B305" s="354"/>
      <c r="C305" s="358" t="s">
        <v>987</v>
      </c>
      <c r="D305" t="s">
        <v>44</v>
      </c>
      <c r="E305" s="354"/>
      <c r="F305" s="1315"/>
      <c r="G305" s="1315"/>
      <c r="H305" s="1315"/>
      <c r="I305" s="1315"/>
      <c r="J305" s="1315"/>
      <c r="K305" s="1315"/>
      <c r="L305" s="1315"/>
      <c r="M305" s="1315"/>
      <c r="N305" s="1315"/>
      <c r="P305" s="647"/>
      <c r="Q305" s="1068"/>
      <c r="R305" s="1068"/>
      <c r="S305" s="647"/>
      <c r="T305" s="647"/>
    </row>
    <row r="306" spans="1:20" s="6" customFormat="1" hidden="1">
      <c r="B306" s="354"/>
      <c r="C306" s="1068" t="s">
        <v>1257</v>
      </c>
      <c r="D306" s="1680" t="s">
        <v>1258</v>
      </c>
      <c r="E306" s="354"/>
      <c r="F306" s="1598">
        <f t="shared" ref="F306:N306" si="37">IF($E$8=1,F119,IF($E$8=2,F120,IF($E$8=3,F121,IF($E$8=4,F122))))</f>
        <v>1.9299999999999997E-4</v>
      </c>
      <c r="G306" s="1598">
        <f t="shared" si="37"/>
        <v>2.0096124999999999E-4</v>
      </c>
      <c r="H306" s="1598">
        <f t="shared" si="37"/>
        <v>2.0892249999999998E-4</v>
      </c>
      <c r="I306" s="1598">
        <f t="shared" si="37"/>
        <v>2.1688375E-4</v>
      </c>
      <c r="J306" s="1598">
        <f t="shared" si="37"/>
        <v>2.2484499999999999E-4</v>
      </c>
      <c r="K306" s="1598">
        <f t="shared" si="37"/>
        <v>2.3280624999999998E-4</v>
      </c>
      <c r="L306" s="1598">
        <f t="shared" si="37"/>
        <v>2.4076749999999997E-4</v>
      </c>
      <c r="M306" s="1598">
        <f t="shared" si="37"/>
        <v>2.4872874999999997E-4</v>
      </c>
      <c r="N306" s="1598">
        <f t="shared" si="37"/>
        <v>2.5669000000000001E-4</v>
      </c>
      <c r="P306" s="647"/>
      <c r="Q306" s="1068"/>
      <c r="R306" s="1068"/>
      <c r="S306" s="647"/>
      <c r="T306" s="647"/>
    </row>
    <row r="307" spans="1:20" s="6" customFormat="1" hidden="1">
      <c r="B307" s="354"/>
      <c r="C307" s="1068" t="s">
        <v>1257</v>
      </c>
      <c r="D307" s="647" t="s">
        <v>1259</v>
      </c>
      <c r="E307" s="354"/>
      <c r="F307" s="1598">
        <f t="shared" ref="F307:N307" si="38">IF($E$8=1,F127,IF($E$8=2,F128,IF($E$8=3,F129,IF($E$8=4,F130))))</f>
        <v>0</v>
      </c>
      <c r="G307" s="1598">
        <f t="shared" si="38"/>
        <v>0</v>
      </c>
      <c r="H307" s="1598">
        <f t="shared" si="38"/>
        <v>0</v>
      </c>
      <c r="I307" s="1598">
        <f t="shared" si="38"/>
        <v>0</v>
      </c>
      <c r="J307" s="1598">
        <f t="shared" si="38"/>
        <v>0</v>
      </c>
      <c r="K307" s="1598">
        <f t="shared" si="38"/>
        <v>0</v>
      </c>
      <c r="L307" s="1598">
        <f t="shared" si="38"/>
        <v>0</v>
      </c>
      <c r="M307" s="1598">
        <f t="shared" si="38"/>
        <v>0</v>
      </c>
      <c r="N307" s="1598">
        <f t="shared" si="38"/>
        <v>0</v>
      </c>
      <c r="P307" s="647"/>
      <c r="Q307" s="1068"/>
      <c r="R307" s="1068"/>
      <c r="S307" s="647"/>
      <c r="T307" s="647"/>
    </row>
    <row r="308" spans="1:20" s="6" customFormat="1" hidden="1">
      <c r="B308" s="354"/>
      <c r="C308" s="1068" t="s">
        <v>1260</v>
      </c>
      <c r="D308" s="647" t="s">
        <v>1261</v>
      </c>
      <c r="E308" s="354"/>
      <c r="F308" s="1598">
        <f>IF($E$8=1,F18,IF($E$8=2,F19,IF($E$8=3,F20,IF($E$8=4,F21))))</f>
        <v>9.1379999999999999</v>
      </c>
      <c r="G308" s="1598">
        <f t="shared" ref="G308:N308" si="39">IF($E$8=1,G18,IF($E$8=2,G19,IF($E$8=3,G20,IF($E$8=4,G21))))</f>
        <v>9.5358736449705948</v>
      </c>
      <c r="H308" s="1598">
        <f t="shared" si="39"/>
        <v>10.60800762095052</v>
      </c>
      <c r="I308" s="1598">
        <f t="shared" si="39"/>
        <v>11.800683385260115</v>
      </c>
      <c r="J308" s="1598">
        <f t="shared" si="39"/>
        <v>13.127453649649265</v>
      </c>
      <c r="K308" s="1598">
        <f t="shared" si="39"/>
        <v>14.603394879566228</v>
      </c>
      <c r="L308" s="1598">
        <f t="shared" si="39"/>
        <v>16.245278612294996</v>
      </c>
      <c r="M308" s="1598">
        <f t="shared" si="39"/>
        <v>18.071762036672961</v>
      </c>
      <c r="N308" s="1598">
        <f t="shared" si="39"/>
        <v>20.1036</v>
      </c>
      <c r="P308" s="647"/>
      <c r="Q308" s="1068"/>
      <c r="R308" s="1068"/>
      <c r="S308" s="647"/>
      <c r="T308" s="647"/>
    </row>
    <row r="309" spans="1:20" s="6" customFormat="1" hidden="1">
      <c r="B309" s="354"/>
      <c r="C309" s="1068" t="s">
        <v>1260</v>
      </c>
      <c r="D309" s="1681" t="s">
        <v>3457</v>
      </c>
      <c r="E309" s="354"/>
      <c r="F309" s="1598">
        <f t="shared" ref="F309:N309" si="40">IF($E$8=1,F42,IF($E$8=2,F43,IF($E$8=3,F44,IF($E$8=4,F45))))</f>
        <v>0</v>
      </c>
      <c r="G309" s="1598">
        <f t="shared" si="40"/>
        <v>0</v>
      </c>
      <c r="H309" s="1598">
        <f t="shared" si="40"/>
        <v>-6.9388939039072284E-18</v>
      </c>
      <c r="I309" s="1598">
        <f t="shared" si="40"/>
        <v>1.6666666666666663E-2</v>
      </c>
      <c r="J309" s="1598">
        <f t="shared" si="40"/>
        <v>3.3333333333333333E-2</v>
      </c>
      <c r="K309" s="1598">
        <f t="shared" si="40"/>
        <v>0.05</v>
      </c>
      <c r="L309" s="1598">
        <f t="shared" si="40"/>
        <v>6.6666666666666666E-2</v>
      </c>
      <c r="M309" s="1598">
        <f t="shared" si="40"/>
        <v>8.3333333333333343E-2</v>
      </c>
      <c r="N309" s="1598">
        <f t="shared" si="40"/>
        <v>0.10000000000000002</v>
      </c>
      <c r="P309" s="647"/>
      <c r="Q309" s="1068"/>
      <c r="R309" s="1068"/>
      <c r="S309" s="647"/>
      <c r="T309" s="647"/>
    </row>
    <row r="310" spans="1:20" s="6" customFormat="1" hidden="1">
      <c r="B310" s="354"/>
      <c r="C310"/>
      <c r="F310" s="983"/>
      <c r="G310" s="983"/>
      <c r="H310" s="983"/>
      <c r="I310" s="983"/>
      <c r="J310" s="983"/>
      <c r="K310" s="983"/>
      <c r="L310" s="983"/>
      <c r="M310" s="983"/>
      <c r="N310" s="983"/>
      <c r="P310" s="647"/>
      <c r="Q310" s="1068"/>
      <c r="R310" s="1068"/>
      <c r="S310" s="647"/>
      <c r="T310" s="647"/>
    </row>
    <row r="311" spans="1:20" s="6" customFormat="1">
      <c r="A311" s="354"/>
      <c r="B311" s="354" t="s">
        <v>3491</v>
      </c>
      <c r="C311" s="354" t="s">
        <v>2729</v>
      </c>
      <c r="D311" s="354"/>
      <c r="E311" s="354"/>
      <c r="F311" s="1315"/>
      <c r="G311" s="1315"/>
      <c r="H311" s="1315"/>
      <c r="I311" s="1315"/>
      <c r="J311" s="1315"/>
      <c r="K311" s="1315"/>
      <c r="L311" s="1315"/>
      <c r="M311" s="1315"/>
      <c r="N311" s="1315"/>
      <c r="P311" s="647"/>
      <c r="Q311" s="1068"/>
      <c r="R311" s="1068"/>
      <c r="S311" s="647"/>
      <c r="T311" s="647"/>
    </row>
    <row r="312" spans="1:20" s="6" customFormat="1" hidden="1">
      <c r="A312" s="354"/>
      <c r="B312" s="979"/>
      <c r="C312" s="354"/>
      <c r="D312" s="354"/>
      <c r="E312" s="354"/>
      <c r="F312" s="1315"/>
      <c r="G312" s="1315"/>
      <c r="H312" s="1315"/>
      <c r="I312" s="1315"/>
      <c r="J312" s="1315"/>
      <c r="K312" s="1315"/>
      <c r="L312" s="1315"/>
      <c r="M312" s="1315"/>
      <c r="N312" s="1315"/>
      <c r="P312" s="647"/>
      <c r="Q312" s="1068"/>
      <c r="R312" s="1068"/>
      <c r="S312" s="647"/>
      <c r="T312" s="647"/>
    </row>
    <row r="313" spans="1:20" s="6" customFormat="1" hidden="1">
      <c r="A313" s="354"/>
      <c r="B313" s="358"/>
      <c r="C313" s="1322" t="s">
        <v>1191</v>
      </c>
      <c r="D313" s="2"/>
      <c r="E313" s="354"/>
      <c r="F313" s="1315"/>
      <c r="G313" s="1315"/>
      <c r="H313" s="1315"/>
      <c r="I313" s="1315"/>
      <c r="J313" s="1315"/>
      <c r="K313" s="1315"/>
      <c r="L313" s="1315"/>
      <c r="M313" s="1315"/>
      <c r="N313" s="373" t="s">
        <v>1275</v>
      </c>
      <c r="P313" s="647"/>
      <c r="Q313" s="1068"/>
      <c r="R313" s="1068"/>
      <c r="S313" s="647"/>
      <c r="T313" s="647"/>
    </row>
    <row r="314" spans="1:20" s="6" customFormat="1" hidden="1">
      <c r="A314" s="354"/>
      <c r="B314" s="979"/>
      <c r="C314" s="358" t="s">
        <v>987</v>
      </c>
      <c r="D314" t="s">
        <v>44</v>
      </c>
      <c r="E314" s="354"/>
      <c r="F314" s="1607">
        <v>2013</v>
      </c>
      <c r="G314" s="1607">
        <v>2015</v>
      </c>
      <c r="H314" s="1607">
        <v>2020</v>
      </c>
      <c r="I314" s="1607">
        <v>2025</v>
      </c>
      <c r="J314" s="1607">
        <v>2030</v>
      </c>
      <c r="K314" s="1607">
        <v>2035</v>
      </c>
      <c r="L314" s="1607">
        <v>2040</v>
      </c>
      <c r="M314" s="1607">
        <v>2045</v>
      </c>
      <c r="N314" s="1607">
        <v>2050</v>
      </c>
      <c r="P314" s="647"/>
      <c r="Q314" s="647"/>
      <c r="R314" s="647"/>
      <c r="S314" s="647"/>
      <c r="T314" s="647"/>
    </row>
    <row r="315" spans="1:20" s="6" customFormat="1" hidden="1">
      <c r="A315" s="354"/>
      <c r="B315" s="979"/>
      <c r="C315" s="1068" t="s">
        <v>1257</v>
      </c>
      <c r="D315" s="1680" t="s">
        <v>1258</v>
      </c>
      <c r="E315" s="354"/>
      <c r="F315" s="1598">
        <f>F306*1000000000/F$153</f>
        <v>3.980250188297799</v>
      </c>
      <c r="G315" s="1598">
        <f t="shared" ref="G315:N316" si="41">G306*1000000000/G$153</f>
        <v>4.1444355085650839</v>
      </c>
      <c r="H315" s="1598">
        <f t="shared" si="41"/>
        <v>4.3086208288323675</v>
      </c>
      <c r="I315" s="1598">
        <f t="shared" si="41"/>
        <v>4.472806149099652</v>
      </c>
      <c r="J315" s="1598">
        <f t="shared" si="41"/>
        <v>4.6369914693669365</v>
      </c>
      <c r="K315" s="1598">
        <f t="shared" si="41"/>
        <v>4.8011767896342201</v>
      </c>
      <c r="L315" s="1598">
        <f t="shared" si="41"/>
        <v>4.9653621099015046</v>
      </c>
      <c r="M315" s="1598">
        <f t="shared" si="41"/>
        <v>5.1295474301687891</v>
      </c>
      <c r="N315" s="1598">
        <f t="shared" si="41"/>
        <v>5.2937327504360736</v>
      </c>
      <c r="P315" s="647"/>
      <c r="Q315" s="647"/>
      <c r="R315" s="647"/>
      <c r="S315" s="647"/>
      <c r="T315" s="647"/>
    </row>
    <row r="316" spans="1:20" s="6" customFormat="1" hidden="1">
      <c r="A316" s="354"/>
      <c r="B316" s="979"/>
      <c r="C316" s="1068" t="s">
        <v>1257</v>
      </c>
      <c r="D316" s="647" t="s">
        <v>1259</v>
      </c>
      <c r="E316" s="354"/>
      <c r="F316" s="1598">
        <f>F307*1000000000/F$153</f>
        <v>0</v>
      </c>
      <c r="G316" s="1598">
        <f t="shared" si="41"/>
        <v>0</v>
      </c>
      <c r="H316" s="1598">
        <f t="shared" si="41"/>
        <v>0</v>
      </c>
      <c r="I316" s="1598">
        <f t="shared" si="41"/>
        <v>0</v>
      </c>
      <c r="J316" s="1598">
        <f t="shared" si="41"/>
        <v>0</v>
      </c>
      <c r="K316" s="1598">
        <f t="shared" si="41"/>
        <v>0</v>
      </c>
      <c r="L316" s="1598">
        <f t="shared" si="41"/>
        <v>0</v>
      </c>
      <c r="M316" s="1598">
        <f t="shared" si="41"/>
        <v>0</v>
      </c>
      <c r="N316" s="1598">
        <f t="shared" si="41"/>
        <v>0</v>
      </c>
      <c r="P316" s="647"/>
      <c r="Q316" s="647"/>
      <c r="R316" s="647"/>
      <c r="S316" s="647"/>
      <c r="T316" s="647"/>
    </row>
    <row r="317" spans="1:20" s="6" customFormat="1" hidden="1">
      <c r="A317" s="354"/>
      <c r="B317" s="979"/>
      <c r="C317" s="1068" t="s">
        <v>1260</v>
      </c>
      <c r="D317" s="647" t="s">
        <v>1261</v>
      </c>
      <c r="E317" s="354"/>
      <c r="F317" s="1598">
        <f>F308*1000000000/F$152*0.82</f>
        <v>370581.6023738872</v>
      </c>
      <c r="G317" s="1598">
        <f t="shared" ref="G317:N318" si="42">G308*1000000000/G$152*0.82</f>
        <v>386716.93317882728</v>
      </c>
      <c r="H317" s="1598">
        <f t="shared" si="42"/>
        <v>430196.15475664817</v>
      </c>
      <c r="I317" s="1598">
        <f t="shared" si="42"/>
        <v>478563.81681074644</v>
      </c>
      <c r="J317" s="1598">
        <f t="shared" si="42"/>
        <v>532369.5347533332</v>
      </c>
      <c r="K317" s="1598">
        <f t="shared" si="42"/>
        <v>592224.71816242847</v>
      </c>
      <c r="L317" s="1598">
        <f t="shared" si="42"/>
        <v>658809.51840167632</v>
      </c>
      <c r="M317" s="1598">
        <f t="shared" si="42"/>
        <v>732880.55737249402</v>
      </c>
      <c r="N317" s="1598">
        <f t="shared" si="42"/>
        <v>815279.52522255189</v>
      </c>
      <c r="P317" s="647"/>
      <c r="Q317" s="647"/>
      <c r="R317" s="647"/>
      <c r="S317" s="647"/>
      <c r="T317" s="647"/>
    </row>
    <row r="318" spans="1:20" s="6" customFormat="1" hidden="1">
      <c r="A318" s="354"/>
      <c r="B318" s="979"/>
      <c r="C318" s="1068" t="s">
        <v>1260</v>
      </c>
      <c r="D318" s="1681" t="s">
        <v>1262</v>
      </c>
      <c r="E318" s="354"/>
      <c r="F318" s="1598">
        <f>F309*1000000000/F$152*0.82</f>
        <v>0</v>
      </c>
      <c r="G318" s="1598">
        <f t="shared" si="42"/>
        <v>0</v>
      </c>
      <c r="H318" s="1598">
        <f t="shared" si="42"/>
        <v>-2.8139925821977878E-13</v>
      </c>
      <c r="I318" s="1598">
        <f t="shared" si="42"/>
        <v>675.89845037916234</v>
      </c>
      <c r="J318" s="1598">
        <f t="shared" si="42"/>
        <v>1351.7969007583249</v>
      </c>
      <c r="K318" s="1598">
        <f t="shared" si="42"/>
        <v>2027.6953511374875</v>
      </c>
      <c r="L318" s="1598">
        <f t="shared" si="42"/>
        <v>2703.5938015166498</v>
      </c>
      <c r="M318" s="1598">
        <f t="shared" si="42"/>
        <v>3379.4922518958128</v>
      </c>
      <c r="N318" s="1598">
        <f t="shared" si="42"/>
        <v>4055.3907022749754</v>
      </c>
      <c r="P318" s="647"/>
      <c r="Q318" s="647"/>
      <c r="R318" s="647"/>
      <c r="S318" s="647"/>
      <c r="T318" s="647"/>
    </row>
    <row r="319" spans="1:20" s="6" customFormat="1" hidden="1">
      <c r="A319" s="354"/>
      <c r="B319" s="979"/>
      <c r="C319" s="373"/>
      <c r="D319" s="411"/>
      <c r="E319" s="354"/>
      <c r="F319" s="1598"/>
      <c r="G319" s="1598"/>
      <c r="H319" s="1598"/>
      <c r="I319" s="1598"/>
      <c r="J319" s="1598"/>
      <c r="K319" s="1598"/>
      <c r="L319" s="1598"/>
      <c r="M319" s="1598"/>
      <c r="N319" s="1598"/>
      <c r="P319" s="647"/>
      <c r="Q319" s="647"/>
      <c r="R319" s="647"/>
      <c r="S319" s="647"/>
      <c r="T319" s="647"/>
    </row>
    <row r="320" spans="1:20" s="6" customFormat="1" hidden="1">
      <c r="A320" s="399"/>
      <c r="B320" s="399" t="s">
        <v>1276</v>
      </c>
      <c r="C320" s="399" t="s">
        <v>1277</v>
      </c>
      <c r="D320" s="399"/>
      <c r="E320" s="399"/>
      <c r="F320" s="399"/>
      <c r="G320" s="399"/>
      <c r="H320" s="399"/>
      <c r="I320" s="399"/>
      <c r="J320" s="399"/>
      <c r="K320" s="399"/>
      <c r="L320" s="399"/>
      <c r="M320" s="399"/>
      <c r="N320" s="399"/>
      <c r="P320" s="647"/>
      <c r="Q320" s="647"/>
      <c r="R320" s="647"/>
      <c r="S320" s="647"/>
      <c r="T320" s="647"/>
    </row>
    <row r="321" spans="1:20" s="6" customFormat="1" hidden="1">
      <c r="A321" s="399"/>
      <c r="B321" s="1608"/>
      <c r="C321" s="399"/>
      <c r="D321" s="399"/>
      <c r="E321" s="399"/>
      <c r="F321" s="399"/>
      <c r="G321" s="399"/>
      <c r="H321" s="399"/>
      <c r="I321" s="399"/>
      <c r="J321" s="399"/>
      <c r="K321" s="399"/>
      <c r="L321" s="399"/>
      <c r="M321" s="399"/>
      <c r="N321" s="1599" t="s">
        <v>1278</v>
      </c>
      <c r="P321" s="647"/>
      <c r="Q321" s="647"/>
      <c r="R321" s="647"/>
      <c r="S321" s="647"/>
      <c r="T321" s="647"/>
    </row>
    <row r="322" spans="1:20" s="6" customFormat="1" hidden="1">
      <c r="A322" s="399"/>
      <c r="B322" s="1609"/>
      <c r="C322" s="1610" t="s">
        <v>1191</v>
      </c>
      <c r="D322" s="38"/>
      <c r="E322" s="399"/>
      <c r="F322" s="1607">
        <v>2013</v>
      </c>
      <c r="G322" s="1607">
        <v>2015</v>
      </c>
      <c r="H322" s="1607">
        <v>2020</v>
      </c>
      <c r="I322" s="1607">
        <v>2025</v>
      </c>
      <c r="J322" s="1607">
        <v>2030</v>
      </c>
      <c r="K322" s="1607">
        <v>2035</v>
      </c>
      <c r="L322" s="1607">
        <v>2040</v>
      </c>
      <c r="M322" s="1607">
        <v>2045</v>
      </c>
      <c r="N322" s="1607">
        <v>2050</v>
      </c>
      <c r="P322" s="647"/>
      <c r="Q322" s="647"/>
      <c r="R322" s="647"/>
      <c r="S322" s="647"/>
      <c r="T322" s="647"/>
    </row>
    <row r="323" spans="1:20" s="6" customFormat="1" hidden="1">
      <c r="A323" s="399"/>
      <c r="B323" s="979"/>
      <c r="C323" s="1068" t="s">
        <v>1257</v>
      </c>
      <c r="D323" s="1680" t="s">
        <v>1258</v>
      </c>
      <c r="E323" s="399"/>
      <c r="F323" s="1682"/>
      <c r="G323" s="1682">
        <f t="shared" ref="G323:N324" si="43">F315/$C$197</f>
        <v>0.13267500627659329</v>
      </c>
      <c r="H323" s="1682">
        <f t="shared" si="43"/>
        <v>0.1381478502855028</v>
      </c>
      <c r="I323" s="1682">
        <f t="shared" si="43"/>
        <v>0.14362069429441224</v>
      </c>
      <c r="J323" s="1682">
        <f t="shared" si="43"/>
        <v>0.14909353830332173</v>
      </c>
      <c r="K323" s="1682">
        <f t="shared" si="43"/>
        <v>0.15456638231223122</v>
      </c>
      <c r="L323" s="1682">
        <f t="shared" si="43"/>
        <v>0.16003922632114068</v>
      </c>
      <c r="M323" s="1682">
        <f t="shared" si="43"/>
        <v>0.16551207033005017</v>
      </c>
      <c r="N323" s="1682">
        <f t="shared" si="43"/>
        <v>0.17098491433895963</v>
      </c>
      <c r="P323" s="647"/>
      <c r="Q323" s="647"/>
      <c r="R323" s="647"/>
      <c r="S323" s="647"/>
      <c r="T323" s="647"/>
    </row>
    <row r="324" spans="1:20" s="6" customFormat="1" hidden="1">
      <c r="A324" s="354"/>
      <c r="B324" s="979"/>
      <c r="C324" s="1068" t="s">
        <v>1257</v>
      </c>
      <c r="D324" s="647" t="s">
        <v>1259</v>
      </c>
      <c r="E324" s="354"/>
      <c r="F324" s="1683"/>
      <c r="G324" s="1682">
        <f t="shared" si="43"/>
        <v>0</v>
      </c>
      <c r="H324" s="1682">
        <f t="shared" si="43"/>
        <v>0</v>
      </c>
      <c r="I324" s="1682">
        <f t="shared" si="43"/>
        <v>0</v>
      </c>
      <c r="J324" s="1682">
        <f t="shared" si="43"/>
        <v>0</v>
      </c>
      <c r="K324" s="1682">
        <f t="shared" si="43"/>
        <v>0</v>
      </c>
      <c r="L324" s="1682">
        <f t="shared" si="43"/>
        <v>0</v>
      </c>
      <c r="M324" s="1682">
        <f t="shared" si="43"/>
        <v>0</v>
      </c>
      <c r="N324" s="1682">
        <f t="shared" si="43"/>
        <v>0</v>
      </c>
      <c r="P324" s="647"/>
    </row>
    <row r="325" spans="1:20" s="6" customFormat="1" hidden="1">
      <c r="A325" s="399"/>
      <c r="B325" s="979"/>
      <c r="C325" s="1068" t="s">
        <v>1260</v>
      </c>
      <c r="D325" s="647" t="s">
        <v>1261</v>
      </c>
      <c r="E325" s="399"/>
      <c r="F325" s="1683"/>
      <c r="G325" s="1684">
        <f t="shared" ref="G325:N326" si="44">F317/$C$199</f>
        <v>52940.228910555314</v>
      </c>
      <c r="H325" s="1684">
        <f t="shared" si="44"/>
        <v>55245.2761684039</v>
      </c>
      <c r="I325" s="1684">
        <f t="shared" si="44"/>
        <v>61456.593536664026</v>
      </c>
      <c r="J325" s="1684">
        <f t="shared" si="44"/>
        <v>68366.259544392349</v>
      </c>
      <c r="K325" s="1684">
        <f t="shared" si="44"/>
        <v>76052.790679047597</v>
      </c>
      <c r="L325" s="1684">
        <f t="shared" si="44"/>
        <v>84603.531166061206</v>
      </c>
      <c r="M325" s="1684">
        <f t="shared" si="44"/>
        <v>94115.645485953763</v>
      </c>
      <c r="N325" s="1684">
        <f t="shared" si="44"/>
        <v>104697.22248178486</v>
      </c>
      <c r="P325" s="647"/>
    </row>
    <row r="326" spans="1:20" s="6" customFormat="1" hidden="1">
      <c r="A326" s="399"/>
      <c r="B326" s="979"/>
      <c r="C326" s="1068" t="s">
        <v>1260</v>
      </c>
      <c r="D326" s="1681" t="s">
        <v>1262</v>
      </c>
      <c r="E326" s="399"/>
      <c r="F326" s="1683"/>
      <c r="G326" s="1684">
        <f t="shared" si="44"/>
        <v>0</v>
      </c>
      <c r="H326" s="1684">
        <f t="shared" si="44"/>
        <v>0</v>
      </c>
      <c r="I326" s="1684">
        <f t="shared" si="44"/>
        <v>-4.0199894031396969E-14</v>
      </c>
      <c r="J326" s="1684">
        <f t="shared" si="44"/>
        <v>96.556921482737479</v>
      </c>
      <c r="K326" s="1684">
        <f t="shared" si="44"/>
        <v>193.11384296547499</v>
      </c>
      <c r="L326" s="1684">
        <f t="shared" si="44"/>
        <v>289.67076444821248</v>
      </c>
      <c r="M326" s="1684">
        <f t="shared" si="44"/>
        <v>386.22768593094997</v>
      </c>
      <c r="N326" s="1684">
        <f t="shared" si="44"/>
        <v>482.78460741368752</v>
      </c>
      <c r="P326" s="647"/>
    </row>
    <row r="327" spans="1:20" s="6" customFormat="1" hidden="1">
      <c r="A327" s="399"/>
      <c r="B327" s="1608"/>
      <c r="C327" s="1599"/>
      <c r="D327" s="1613"/>
      <c r="E327" s="399"/>
      <c r="F327" s="1614"/>
      <c r="G327" s="1614"/>
      <c r="H327" s="1614"/>
      <c r="I327" s="1614"/>
      <c r="J327" s="1614"/>
      <c r="K327" s="1614"/>
      <c r="L327" s="1614"/>
      <c r="M327" s="1614"/>
      <c r="N327" s="1614"/>
      <c r="P327" s="647"/>
    </row>
    <row r="328" spans="1:20" s="6" customFormat="1" hidden="1">
      <c r="A328" s="399"/>
      <c r="B328" s="399" t="s">
        <v>1279</v>
      </c>
      <c r="C328" s="399" t="s">
        <v>1201</v>
      </c>
      <c r="D328" s="399"/>
      <c r="E328" s="399"/>
      <c r="F328" s="1611"/>
      <c r="G328" s="1611"/>
      <c r="H328" s="1611"/>
      <c r="I328" s="1611"/>
      <c r="J328" s="1611"/>
      <c r="K328" s="1611"/>
      <c r="L328" s="1611"/>
      <c r="M328" s="1611"/>
      <c r="N328" s="1599" t="s">
        <v>1280</v>
      </c>
      <c r="P328" s="647"/>
    </row>
    <row r="329" spans="1:20" s="6" customFormat="1" hidden="1">
      <c r="A329" s="399"/>
      <c r="B329" s="1608"/>
      <c r="C329" s="399"/>
      <c r="D329" s="399"/>
      <c r="E329" s="399"/>
      <c r="F329" s="1607">
        <v>2013</v>
      </c>
      <c r="G329" s="1607">
        <v>2015</v>
      </c>
      <c r="H329" s="1607">
        <v>2020</v>
      </c>
      <c r="I329" s="1607">
        <v>2025</v>
      </c>
      <c r="J329" s="1607">
        <v>2030</v>
      </c>
      <c r="K329" s="1607">
        <v>2035</v>
      </c>
      <c r="L329" s="1607">
        <v>2040</v>
      </c>
      <c r="M329" s="1607">
        <v>2045</v>
      </c>
      <c r="N329" s="1607">
        <v>2050</v>
      </c>
      <c r="P329" s="647"/>
    </row>
    <row r="330" spans="1:20" s="6" customFormat="1" hidden="1">
      <c r="A330" s="399"/>
      <c r="B330" s="979"/>
      <c r="C330" s="1068" t="s">
        <v>1257</v>
      </c>
      <c r="D330" s="1680" t="s">
        <v>1258</v>
      </c>
      <c r="E330" s="399"/>
      <c r="F330" s="1611"/>
      <c r="G330" s="1685">
        <f t="shared" ref="G330:N333" si="45">MAX(((G315-F315)/(G$314-F$314))+G323,0)</f>
        <v>0.21476766641023576</v>
      </c>
      <c r="H330" s="1685">
        <f t="shared" si="45"/>
        <v>0.17098491433895951</v>
      </c>
      <c r="I330" s="1685">
        <f t="shared" si="45"/>
        <v>0.17645775834786914</v>
      </c>
      <c r="J330" s="1685">
        <f t="shared" si="45"/>
        <v>0.18193060235677863</v>
      </c>
      <c r="K330" s="1685">
        <f t="shared" si="45"/>
        <v>0.18740344636568795</v>
      </c>
      <c r="L330" s="1685">
        <f t="shared" si="45"/>
        <v>0.19287629037459758</v>
      </c>
      <c r="M330" s="1685">
        <f t="shared" si="45"/>
        <v>0.19834913438350707</v>
      </c>
      <c r="N330" s="1685">
        <f t="shared" si="45"/>
        <v>0.20382197839241653</v>
      </c>
      <c r="P330" s="647"/>
    </row>
    <row r="331" spans="1:20" s="6" customFormat="1" hidden="1">
      <c r="A331" s="399"/>
      <c r="B331" s="979"/>
      <c r="C331" s="1068" t="s">
        <v>1257</v>
      </c>
      <c r="D331" s="647" t="s">
        <v>1259</v>
      </c>
      <c r="E331" s="399"/>
      <c r="F331" s="1607"/>
      <c r="G331" s="1685">
        <f t="shared" si="45"/>
        <v>0</v>
      </c>
      <c r="H331" s="1685">
        <f t="shared" si="45"/>
        <v>0</v>
      </c>
      <c r="I331" s="1685">
        <f t="shared" si="45"/>
        <v>0</v>
      </c>
      <c r="J331" s="1685">
        <f t="shared" si="45"/>
        <v>0</v>
      </c>
      <c r="K331" s="1685">
        <f t="shared" si="45"/>
        <v>0</v>
      </c>
      <c r="L331" s="1685">
        <f t="shared" si="45"/>
        <v>0</v>
      </c>
      <c r="M331" s="1685">
        <f t="shared" si="45"/>
        <v>0</v>
      </c>
      <c r="N331" s="1685">
        <f t="shared" si="45"/>
        <v>0</v>
      </c>
      <c r="P331" s="647"/>
    </row>
    <row r="332" spans="1:20" s="6" customFormat="1" hidden="1">
      <c r="A332" s="354"/>
      <c r="B332" s="979"/>
      <c r="C332" s="1068" t="s">
        <v>1260</v>
      </c>
      <c r="D332" s="647" t="s">
        <v>1261</v>
      </c>
      <c r="E332" s="354"/>
      <c r="F332" s="1598"/>
      <c r="G332" s="1686">
        <f t="shared" si="45"/>
        <v>61007.894313025354</v>
      </c>
      <c r="H332" s="1686">
        <f t="shared" si="45"/>
        <v>63941.120483968079</v>
      </c>
      <c r="I332" s="1686">
        <f t="shared" si="45"/>
        <v>71130.125947483684</v>
      </c>
      <c r="J332" s="1686">
        <f t="shared" si="45"/>
        <v>79127.403132909705</v>
      </c>
      <c r="K332" s="1686">
        <f t="shared" si="45"/>
        <v>88023.82736086665</v>
      </c>
      <c r="L332" s="1686">
        <f t="shared" si="45"/>
        <v>97920.491213910776</v>
      </c>
      <c r="M332" s="1686">
        <f t="shared" si="45"/>
        <v>108929.8532801173</v>
      </c>
      <c r="N332" s="1686">
        <f t="shared" si="45"/>
        <v>121177.01605179644</v>
      </c>
      <c r="P332" s="647"/>
    </row>
    <row r="333" spans="1:20" s="6" customFormat="1" hidden="1">
      <c r="A333" s="399"/>
      <c r="B333" s="979"/>
      <c r="C333" s="1068" t="s">
        <v>1260</v>
      </c>
      <c r="D333" s="1681" t="s">
        <v>1262</v>
      </c>
      <c r="E333" s="399"/>
      <c r="F333" s="1615"/>
      <c r="G333" s="1686">
        <f t="shared" si="45"/>
        <v>0</v>
      </c>
      <c r="H333" s="1686">
        <f t="shared" si="45"/>
        <v>0</v>
      </c>
      <c r="I333" s="1686">
        <f t="shared" si="45"/>
        <v>135.1796900758325</v>
      </c>
      <c r="J333" s="1686">
        <f t="shared" si="45"/>
        <v>231.73661155857002</v>
      </c>
      <c r="K333" s="1686">
        <f t="shared" si="45"/>
        <v>328.29353304130751</v>
      </c>
      <c r="L333" s="1686">
        <f t="shared" si="45"/>
        <v>424.85045452404495</v>
      </c>
      <c r="M333" s="1686">
        <f t="shared" si="45"/>
        <v>521.40737600678256</v>
      </c>
      <c r="N333" s="1686">
        <f t="shared" si="45"/>
        <v>617.96429748952005</v>
      </c>
      <c r="P333" s="647"/>
    </row>
    <row r="334" spans="1:20" s="6" customFormat="1" hidden="1">
      <c r="A334" s="354"/>
      <c r="B334" s="979"/>
      <c r="C334" s="373"/>
      <c r="D334" s="411"/>
      <c r="E334" s="354"/>
      <c r="F334" s="1598"/>
      <c r="G334" s="1598"/>
      <c r="H334" s="1598"/>
      <c r="I334" s="1598"/>
      <c r="J334" s="1598"/>
      <c r="K334" s="1598"/>
      <c r="L334" s="1598"/>
      <c r="M334" s="1598"/>
      <c r="N334" s="1598"/>
      <c r="P334" s="647"/>
    </row>
    <row r="335" spans="1:20" s="6" customFormat="1" hidden="1">
      <c r="A335" s="354"/>
      <c r="B335" s="354">
        <v>8</v>
      </c>
      <c r="C335" s="354" t="s">
        <v>1281</v>
      </c>
      <c r="D335" s="354"/>
      <c r="E335" s="354"/>
      <c r="F335" s="1315"/>
      <c r="G335" s="1315"/>
      <c r="H335" s="1315"/>
      <c r="I335" s="1315"/>
      <c r="J335" s="1315"/>
      <c r="K335" s="1315"/>
      <c r="L335" s="1315"/>
      <c r="M335" s="1315"/>
      <c r="N335" s="1315"/>
      <c r="P335" s="647"/>
    </row>
    <row r="336" spans="1:20" s="6" customFormat="1" hidden="1">
      <c r="A336" s="354"/>
      <c r="B336" s="979"/>
      <c r="C336" s="1322" t="s">
        <v>1191</v>
      </c>
      <c r="D336" s="2"/>
      <c r="E336" s="354"/>
      <c r="F336" s="1315"/>
      <c r="G336" s="1315"/>
      <c r="H336" s="1315"/>
      <c r="I336" s="1315"/>
      <c r="J336" s="1315"/>
      <c r="K336" s="1315"/>
      <c r="L336" s="1315"/>
      <c r="M336" s="1315"/>
      <c r="N336" s="1315"/>
      <c r="P336" s="647"/>
    </row>
    <row r="337" spans="1:16" s="6" customFormat="1" hidden="1">
      <c r="A337" s="354"/>
      <c r="B337" s="358"/>
      <c r="C337" s="358" t="s">
        <v>987</v>
      </c>
      <c r="D337" t="s">
        <v>44</v>
      </c>
      <c r="E337" s="354"/>
      <c r="F337" s="1315"/>
      <c r="G337" s="1315"/>
      <c r="H337" s="1315"/>
      <c r="I337" s="1315"/>
      <c r="J337" s="1315"/>
      <c r="K337" s="1315"/>
      <c r="L337" s="1315"/>
      <c r="M337" s="1315"/>
      <c r="N337" s="373" t="str">
        <f>Preferences.moneyunits&amp;"/yr, preceeding 5 years"</f>
        <v>/yr, preceeding 5 years</v>
      </c>
      <c r="P337" s="647"/>
    </row>
    <row r="338" spans="1:16" s="6" customFormat="1" hidden="1">
      <c r="A338" s="354"/>
      <c r="B338" s="979"/>
      <c r="E338" s="354"/>
      <c r="F338" s="1315"/>
      <c r="G338" s="1315"/>
      <c r="H338" s="1315"/>
      <c r="I338" s="1315"/>
      <c r="J338" s="1315"/>
      <c r="K338" s="1315"/>
      <c r="L338" s="1315"/>
      <c r="M338" s="1315"/>
      <c r="N338" s="1315"/>
      <c r="P338" s="647"/>
    </row>
    <row r="339" spans="1:16" s="6" customFormat="1" hidden="1">
      <c r="A339" s="354"/>
      <c r="B339" s="979"/>
      <c r="C339" s="1068" t="s">
        <v>1257</v>
      </c>
      <c r="D339" s="1680" t="s">
        <v>1258</v>
      </c>
      <c r="E339" s="354"/>
      <c r="F339" s="1598"/>
      <c r="G339" s="1598"/>
      <c r="H339" s="1598"/>
      <c r="I339" s="1598"/>
      <c r="J339" s="1598"/>
      <c r="K339" s="1598"/>
      <c r="L339" s="1598"/>
      <c r="M339" s="1598"/>
      <c r="N339" s="1598"/>
      <c r="P339" s="647"/>
    </row>
    <row r="340" spans="1:16" s="6" customFormat="1" hidden="1">
      <c r="A340" s="354"/>
      <c r="B340" s="979"/>
      <c r="C340" s="1068" t="s">
        <v>1257</v>
      </c>
      <c r="D340" s="647" t="s">
        <v>1259</v>
      </c>
      <c r="E340" s="354"/>
      <c r="F340" s="1598"/>
      <c r="G340" s="1598"/>
      <c r="H340" s="1598"/>
      <c r="I340" s="1598"/>
      <c r="J340" s="1598"/>
      <c r="K340" s="1598"/>
      <c r="L340" s="1598"/>
      <c r="M340" s="1598"/>
      <c r="N340" s="1598"/>
      <c r="P340" s="647"/>
    </row>
    <row r="341" spans="1:16" s="6" customFormat="1" hidden="1">
      <c r="A341" s="354"/>
      <c r="B341" s="979"/>
      <c r="C341" s="1068" t="s">
        <v>1260</v>
      </c>
      <c r="D341" s="647" t="s">
        <v>1261</v>
      </c>
      <c r="E341" s="354"/>
      <c r="F341" s="1598"/>
      <c r="G341" s="1598"/>
      <c r="H341" s="1598"/>
      <c r="I341" s="1598"/>
      <c r="J341" s="1598"/>
      <c r="K341" s="1598"/>
      <c r="L341" s="1598"/>
      <c r="M341" s="1598"/>
      <c r="N341" s="1598"/>
      <c r="P341" s="647"/>
    </row>
    <row r="342" spans="1:16" s="6" customFormat="1" hidden="1">
      <c r="A342" s="354"/>
      <c r="B342" s="979"/>
      <c r="C342" s="1068" t="s">
        <v>1260</v>
      </c>
      <c r="D342" s="1681" t="s">
        <v>1262</v>
      </c>
      <c r="E342" s="354"/>
      <c r="F342" s="1598"/>
      <c r="G342" s="1598"/>
      <c r="H342" s="1598"/>
      <c r="I342" s="1598"/>
      <c r="J342" s="1598"/>
      <c r="K342" s="1598"/>
      <c r="L342" s="1598"/>
      <c r="M342" s="1598"/>
      <c r="N342" s="1598"/>
      <c r="P342" s="647"/>
    </row>
    <row r="343" spans="1:16" s="6" customFormat="1" hidden="1">
      <c r="A343" s="354"/>
      <c r="B343" s="979"/>
      <c r="C343" s="1068"/>
      <c r="D343" s="647"/>
      <c r="E343" s="354"/>
      <c r="F343" s="1598"/>
      <c r="G343" s="1598"/>
      <c r="H343" s="1598"/>
      <c r="I343" s="1598"/>
      <c r="J343" s="1598"/>
      <c r="K343" s="1598"/>
      <c r="L343" s="1598"/>
      <c r="M343" s="1598"/>
      <c r="N343" s="1598"/>
      <c r="P343" s="647"/>
    </row>
    <row r="344" spans="1:16" s="850" customFormat="1" hidden="1">
      <c r="A344" s="399"/>
      <c r="B344" s="1608"/>
      <c r="E344" s="399"/>
      <c r="F344" s="1614"/>
      <c r="G344" s="1614"/>
      <c r="H344" s="1614"/>
      <c r="I344" s="1614"/>
      <c r="J344" s="1614"/>
      <c r="K344" s="1614"/>
      <c r="L344" s="1614"/>
      <c r="M344" s="1614"/>
      <c r="N344" s="1614"/>
      <c r="P344" s="647"/>
    </row>
    <row r="345" spans="1:16" s="850" customFormat="1" hidden="1">
      <c r="A345" s="399"/>
      <c r="B345" s="1608">
        <v>9</v>
      </c>
      <c r="C345" s="202" t="s">
        <v>1282</v>
      </c>
      <c r="D345" s="647"/>
      <c r="E345" s="399"/>
      <c r="F345" s="1614"/>
      <c r="G345" s="1614"/>
      <c r="H345" s="1614"/>
      <c r="I345" s="1614"/>
      <c r="J345" s="1614"/>
      <c r="K345" s="1614"/>
      <c r="L345" s="1614"/>
      <c r="M345" s="1614"/>
      <c r="N345" s="1614"/>
      <c r="P345" s="647"/>
    </row>
    <row r="346" spans="1:16" s="850" customFormat="1" hidden="1">
      <c r="A346" s="399"/>
      <c r="B346" s="1608"/>
      <c r="C346" s="1322" t="s">
        <v>1191</v>
      </c>
      <c r="D346" s="2"/>
      <c r="E346" s="399"/>
      <c r="F346" s="1614"/>
      <c r="G346" s="1614"/>
      <c r="H346" s="1614"/>
      <c r="I346" s="1614"/>
      <c r="J346" s="1614"/>
      <c r="K346" s="1614"/>
      <c r="L346" s="1614"/>
      <c r="M346" s="1614"/>
      <c r="N346" s="373" t="str">
        <f>Preferences.moneyunits&amp;"/yr, preceeding 5 years"</f>
        <v>/yr, preceeding 5 years</v>
      </c>
      <c r="P346" s="647"/>
    </row>
    <row r="347" spans="1:16" s="850" customFormat="1" hidden="1">
      <c r="A347" s="399"/>
      <c r="B347" s="1608"/>
      <c r="C347" s="358" t="s">
        <v>987</v>
      </c>
      <c r="D347" t="s">
        <v>44</v>
      </c>
      <c r="E347" s="399"/>
      <c r="F347" s="1614"/>
      <c r="G347" s="1614"/>
      <c r="H347" s="1614"/>
      <c r="I347" s="1614"/>
      <c r="J347" s="1614"/>
      <c r="K347" s="1614"/>
      <c r="L347" s="1614"/>
      <c r="M347" s="1614"/>
      <c r="N347" s="1614"/>
      <c r="P347" s="647"/>
    </row>
    <row r="348" spans="1:16" s="850" customFormat="1" hidden="1">
      <c r="A348" s="399"/>
      <c r="B348" s="1608"/>
      <c r="E348" s="399"/>
      <c r="F348" s="1614"/>
      <c r="G348" s="1614"/>
      <c r="H348" s="1614"/>
      <c r="I348" s="1614"/>
      <c r="J348" s="1614"/>
      <c r="K348" s="1614"/>
      <c r="L348" s="1614"/>
      <c r="M348" s="1614"/>
      <c r="N348" s="1614"/>
      <c r="P348" s="647"/>
    </row>
    <row r="349" spans="1:16" s="850" customFormat="1" hidden="1">
      <c r="A349" s="399"/>
      <c r="B349" s="1608"/>
      <c r="C349" s="1068" t="s">
        <v>1257</v>
      </c>
      <c r="D349" s="1680" t="s">
        <v>1258</v>
      </c>
      <c r="E349" s="399"/>
      <c r="F349" s="1598"/>
      <c r="G349" s="1598"/>
      <c r="H349" s="1598"/>
      <c r="I349" s="1598"/>
      <c r="J349" s="1598"/>
      <c r="K349" s="1598"/>
      <c r="L349" s="1598"/>
      <c r="M349" s="1598"/>
      <c r="N349" s="1598"/>
      <c r="P349" s="647"/>
    </row>
    <row r="350" spans="1:16" s="850" customFormat="1" hidden="1">
      <c r="A350" s="399"/>
      <c r="B350" s="1608"/>
      <c r="C350" s="1068" t="s">
        <v>1257</v>
      </c>
      <c r="D350" s="647" t="s">
        <v>1259</v>
      </c>
      <c r="E350" s="399"/>
      <c r="F350" s="1598"/>
      <c r="G350" s="1598"/>
      <c r="H350" s="1598"/>
      <c r="I350" s="1598"/>
      <c r="J350" s="1598"/>
      <c r="K350" s="1598"/>
      <c r="L350" s="1598"/>
      <c r="M350" s="1598"/>
      <c r="N350" s="1598"/>
      <c r="P350" s="647"/>
    </row>
    <row r="351" spans="1:16" hidden="1">
      <c r="C351" s="1068" t="s">
        <v>1260</v>
      </c>
      <c r="D351" s="647" t="s">
        <v>1261</v>
      </c>
      <c r="F351" s="1598"/>
      <c r="G351" s="1598"/>
      <c r="H351" s="1598"/>
      <c r="I351" s="1598"/>
      <c r="J351" s="1598"/>
      <c r="K351" s="1598"/>
      <c r="L351" s="1598"/>
      <c r="M351" s="1598"/>
      <c r="N351" s="1598"/>
    </row>
    <row r="352" spans="1:16" s="6" customFormat="1" hidden="1">
      <c r="A352" s="354"/>
      <c r="B352" s="979"/>
      <c r="C352" s="1068" t="s">
        <v>1260</v>
      </c>
      <c r="D352" s="1681" t="s">
        <v>1262</v>
      </c>
      <c r="E352" s="354"/>
      <c r="F352" s="1598"/>
      <c r="G352" s="1598"/>
      <c r="H352" s="1598"/>
      <c r="I352" s="1598"/>
      <c r="J352" s="1598"/>
      <c r="K352" s="1598"/>
      <c r="L352" s="1598"/>
      <c r="M352" s="1598"/>
      <c r="N352" s="1598"/>
    </row>
    <row r="353" spans="1:14" s="6" customFormat="1" hidden="1">
      <c r="A353" s="354"/>
      <c r="B353" s="979"/>
      <c r="C353" s="373"/>
      <c r="D353" s="411"/>
      <c r="E353" s="354"/>
      <c r="F353" s="1598"/>
      <c r="G353" s="1598"/>
      <c r="H353" s="1598"/>
      <c r="I353" s="1598"/>
      <c r="J353" s="1598"/>
      <c r="K353" s="1598"/>
      <c r="L353" s="1598"/>
      <c r="M353" s="1598"/>
      <c r="N353" s="1598"/>
    </row>
    <row r="354" spans="1:14" s="6" customFormat="1" hidden="1">
      <c r="A354" s="354"/>
      <c r="B354" s="354">
        <v>9</v>
      </c>
      <c r="C354" s="354" t="s">
        <v>1283</v>
      </c>
      <c r="D354" s="354"/>
      <c r="E354" s="354"/>
      <c r="F354" s="1315"/>
      <c r="G354" s="1315"/>
      <c r="H354" s="1315"/>
      <c r="I354" s="1315"/>
      <c r="J354" s="1315"/>
      <c r="K354" s="1315"/>
      <c r="L354" s="1315"/>
      <c r="M354" s="1315"/>
      <c r="N354" s="1315"/>
    </row>
    <row r="355" spans="1:14" s="6" customFormat="1" hidden="1">
      <c r="A355" s="354"/>
      <c r="B355" s="979"/>
      <c r="C355" s="354"/>
      <c r="D355" s="354"/>
      <c r="E355" s="354"/>
      <c r="F355" s="1315"/>
      <c r="G355" s="1315"/>
      <c r="H355" s="1315"/>
      <c r="I355" s="1315"/>
      <c r="J355" s="1315"/>
      <c r="K355" s="1315"/>
      <c r="L355" s="1315"/>
      <c r="M355" s="1315"/>
      <c r="N355" s="1315"/>
    </row>
    <row r="356" spans="1:14" s="6" customFormat="1" hidden="1">
      <c r="A356" s="354"/>
      <c r="B356" s="358"/>
      <c r="C356" s="1322" t="s">
        <v>1191</v>
      </c>
      <c r="D356" s="2"/>
      <c r="E356" s="354"/>
      <c r="F356" s="1315"/>
      <c r="G356" s="1315"/>
      <c r="H356" s="1315"/>
      <c r="I356" s="1315"/>
      <c r="J356" s="1315"/>
      <c r="K356" s="1315"/>
      <c r="L356" s="1315"/>
      <c r="M356" s="1315"/>
      <c r="N356" s="373" t="str">
        <f>Preferences.moneyunits&amp;"/yr, preceeding 5 years"</f>
        <v>/yr, preceeding 5 years</v>
      </c>
    </row>
    <row r="357" spans="1:14" s="6" customFormat="1" hidden="1">
      <c r="A357" s="354"/>
      <c r="B357" s="979"/>
      <c r="C357" s="358" t="s">
        <v>987</v>
      </c>
      <c r="D357" t="s">
        <v>44</v>
      </c>
      <c r="E357" s="354"/>
      <c r="F357" s="1315"/>
      <c r="G357" s="1315"/>
      <c r="H357" s="1315"/>
      <c r="I357" s="1315"/>
      <c r="J357" s="1315"/>
      <c r="K357" s="1315"/>
      <c r="L357" s="1315"/>
      <c r="M357" s="1315"/>
      <c r="N357" s="1315"/>
    </row>
    <row r="358" spans="1:14" s="6" customFormat="1" hidden="1">
      <c r="A358" s="354"/>
      <c r="B358" s="979"/>
      <c r="C358" s="1068" t="s">
        <v>1257</v>
      </c>
      <c r="D358" s="1680" t="s">
        <v>1258</v>
      </c>
      <c r="E358" s="354"/>
      <c r="F358" s="1598"/>
      <c r="G358" s="1598"/>
      <c r="H358" s="1598"/>
      <c r="I358" s="1598"/>
      <c r="J358" s="1598"/>
      <c r="K358" s="1598"/>
      <c r="L358" s="1598"/>
      <c r="M358" s="1598"/>
      <c r="N358" s="1598"/>
    </row>
    <row r="359" spans="1:14" s="6" customFormat="1" hidden="1">
      <c r="A359" s="354"/>
      <c r="B359" s="979"/>
      <c r="C359" s="1068" t="s">
        <v>1257</v>
      </c>
      <c r="D359" s="647" t="s">
        <v>1259</v>
      </c>
      <c r="E359" s="354"/>
      <c r="F359" s="1598"/>
      <c r="G359" s="1598"/>
      <c r="H359" s="1598"/>
      <c r="I359" s="1598"/>
      <c r="J359" s="1598"/>
      <c r="K359" s="1598"/>
      <c r="L359" s="1598"/>
      <c r="M359" s="1598"/>
      <c r="N359" s="1598"/>
    </row>
    <row r="360" spans="1:14" s="6" customFormat="1" hidden="1">
      <c r="A360" s="354"/>
      <c r="B360" s="979"/>
      <c r="C360" s="1068" t="s">
        <v>1260</v>
      </c>
      <c r="D360" s="647" t="s">
        <v>1261</v>
      </c>
      <c r="E360" s="354"/>
      <c r="F360" s="1598"/>
      <c r="G360" s="1598"/>
      <c r="H360" s="1598"/>
      <c r="I360" s="1598"/>
      <c r="J360" s="1598"/>
      <c r="K360" s="1598"/>
      <c r="L360" s="1598"/>
      <c r="M360" s="1598"/>
      <c r="N360" s="1598"/>
    </row>
    <row r="361" spans="1:14" s="6" customFormat="1" hidden="1">
      <c r="A361" s="354"/>
      <c r="B361" s="979"/>
      <c r="C361" s="1068" t="s">
        <v>1260</v>
      </c>
      <c r="D361" s="1681" t="s">
        <v>1262</v>
      </c>
      <c r="E361" s="354"/>
      <c r="F361" s="1598"/>
      <c r="G361" s="1598"/>
      <c r="H361" s="1598"/>
      <c r="I361" s="1598"/>
      <c r="J361" s="1598"/>
      <c r="K361" s="1598"/>
      <c r="L361" s="1598"/>
      <c r="M361" s="1598"/>
      <c r="N361" s="1598"/>
    </row>
    <row r="362" spans="1:14" s="6" customFormat="1" hidden="1">
      <c r="A362" s="354"/>
      <c r="B362" s="979"/>
      <c r="C362" s="373"/>
      <c r="D362" s="411"/>
      <c r="E362" s="354"/>
      <c r="F362" s="1598"/>
      <c r="G362" s="1598"/>
      <c r="H362" s="1598"/>
      <c r="I362" s="1598"/>
      <c r="J362" s="1598"/>
      <c r="K362" s="1598"/>
      <c r="L362" s="1598"/>
      <c r="M362" s="1598"/>
      <c r="N362" s="1598"/>
    </row>
    <row r="363" spans="1:14" s="6" customFormat="1" hidden="1">
      <c r="A363" s="354"/>
      <c r="B363" s="354">
        <v>10</v>
      </c>
      <c r="C363" s="354" t="s">
        <v>1284</v>
      </c>
      <c r="D363" s="354"/>
      <c r="E363" s="354"/>
      <c r="F363" s="1315"/>
      <c r="G363" s="1315"/>
      <c r="H363" s="1315"/>
      <c r="I363" s="1315"/>
      <c r="J363" s="1315"/>
      <c r="K363" s="1315"/>
      <c r="L363" s="1315"/>
      <c r="M363" s="1315"/>
      <c r="N363" s="1315"/>
    </row>
    <row r="364" spans="1:14" s="6" customFormat="1" hidden="1">
      <c r="A364" s="354"/>
      <c r="B364" s="979"/>
      <c r="C364" s="354"/>
      <c r="D364" s="354"/>
      <c r="E364" s="354"/>
      <c r="F364" s="1315"/>
      <c r="G364" s="1315"/>
      <c r="H364" s="1315"/>
      <c r="I364" s="1315"/>
      <c r="J364" s="1315"/>
      <c r="K364" s="1315"/>
      <c r="L364" s="1315"/>
      <c r="M364" s="1315"/>
      <c r="N364" s="1315"/>
    </row>
    <row r="365" spans="1:14" s="6" customFormat="1" hidden="1">
      <c r="A365" s="354"/>
      <c r="B365" s="358"/>
      <c r="C365" s="1322" t="s">
        <v>1191</v>
      </c>
      <c r="D365" s="2"/>
      <c r="E365" s="354"/>
      <c r="F365" s="1315"/>
      <c r="G365" s="1315"/>
      <c r="H365" s="1315"/>
      <c r="I365" s="1315"/>
      <c r="J365" s="1315"/>
      <c r="K365" s="1315"/>
      <c r="L365" s="1315"/>
      <c r="M365" s="1315"/>
      <c r="N365" s="373" t="str">
        <f>Preferences.moneyunits&amp;"/yr, preceeding 5 years"</f>
        <v>/yr, preceeding 5 years</v>
      </c>
    </row>
    <row r="366" spans="1:14" s="6" customFormat="1" hidden="1">
      <c r="A366" s="354"/>
      <c r="B366" s="979"/>
      <c r="C366" s="358" t="s">
        <v>987</v>
      </c>
      <c r="D366" t="s">
        <v>44</v>
      </c>
      <c r="E366" s="354"/>
      <c r="F366" s="1315"/>
      <c r="G366" s="1315"/>
      <c r="H366" s="1315"/>
      <c r="I366" s="1315"/>
      <c r="J366" s="1315"/>
      <c r="K366" s="1315"/>
      <c r="L366" s="1315"/>
      <c r="M366" s="1315"/>
      <c r="N366" s="1315"/>
    </row>
    <row r="367" spans="1:14" s="6" customFormat="1" hidden="1">
      <c r="A367" s="354"/>
      <c r="B367" s="979"/>
      <c r="C367" s="1068" t="s">
        <v>1257</v>
      </c>
      <c r="D367" s="1680" t="s">
        <v>1258</v>
      </c>
      <c r="E367" s="354"/>
      <c r="F367" s="1598"/>
      <c r="G367" s="1598"/>
      <c r="H367" s="1598"/>
      <c r="I367" s="1598"/>
      <c r="J367" s="1598"/>
      <c r="K367" s="1598"/>
      <c r="L367" s="1598"/>
      <c r="M367" s="1598"/>
      <c r="N367" s="1598"/>
    </row>
    <row r="368" spans="1:14" s="6" customFormat="1" hidden="1">
      <c r="A368" s="354"/>
      <c r="B368" s="979"/>
      <c r="C368" s="1068" t="s">
        <v>1257</v>
      </c>
      <c r="D368" s="647" t="s">
        <v>1259</v>
      </c>
      <c r="E368" s="354"/>
      <c r="F368" s="1598"/>
      <c r="G368" s="1598"/>
      <c r="H368" s="1598"/>
      <c r="I368" s="1598"/>
      <c r="J368" s="1598"/>
      <c r="K368" s="1598"/>
      <c r="L368" s="1598"/>
      <c r="M368" s="1598"/>
      <c r="N368" s="1598"/>
    </row>
    <row r="369" spans="1:14" s="6" customFormat="1" hidden="1">
      <c r="A369" s="354"/>
      <c r="B369" s="979"/>
      <c r="C369" s="1068" t="s">
        <v>1260</v>
      </c>
      <c r="D369" s="647" t="s">
        <v>1261</v>
      </c>
      <c r="E369" s="354"/>
      <c r="F369" s="1598"/>
      <c r="G369" s="1598"/>
      <c r="H369" s="1598"/>
      <c r="I369" s="1598"/>
      <c r="J369" s="1598"/>
      <c r="K369" s="1598"/>
      <c r="L369" s="1598"/>
      <c r="M369" s="1598"/>
      <c r="N369" s="1598"/>
    </row>
    <row r="370" spans="1:14" s="6" customFormat="1" hidden="1">
      <c r="A370" s="354"/>
      <c r="B370" s="979"/>
      <c r="C370" s="1068" t="s">
        <v>1260</v>
      </c>
      <c r="D370" s="1681" t="s">
        <v>1262</v>
      </c>
      <c r="E370" s="354"/>
      <c r="F370" s="1598"/>
      <c r="G370" s="1598"/>
      <c r="H370" s="1598"/>
      <c r="I370" s="1598"/>
      <c r="J370" s="1598"/>
      <c r="K370" s="1598"/>
      <c r="L370" s="1598"/>
      <c r="M370" s="1598"/>
      <c r="N370" s="1598"/>
    </row>
    <row r="371" spans="1:14" s="6" customFormat="1" hidden="1">
      <c r="A371" s="354"/>
      <c r="B371" s="979"/>
      <c r="C371" s="373"/>
      <c r="D371" s="411"/>
      <c r="E371" s="354"/>
      <c r="F371" s="1598"/>
      <c r="G371" s="1598"/>
      <c r="H371" s="1598"/>
      <c r="I371" s="1598"/>
      <c r="J371" s="1598"/>
      <c r="K371" s="1598"/>
      <c r="L371" s="1598"/>
      <c r="M371" s="1598"/>
      <c r="N371" s="1598"/>
    </row>
    <row r="372" spans="1:14" s="6" customFormat="1" hidden="1">
      <c r="A372" s="354"/>
      <c r="B372" s="979">
        <v>11</v>
      </c>
      <c r="C372" s="354" t="s">
        <v>1285</v>
      </c>
      <c r="D372" s="411"/>
      <c r="E372" s="354"/>
      <c r="F372" s="1598"/>
      <c r="G372" s="1598"/>
      <c r="H372" s="1598"/>
      <c r="I372" s="1598"/>
      <c r="J372" s="1598"/>
      <c r="K372" s="1598"/>
      <c r="L372" s="1598"/>
      <c r="M372" s="1598"/>
      <c r="N372" s="1598"/>
    </row>
    <row r="373" spans="1:14" s="6" customFormat="1" hidden="1">
      <c r="A373" s="354"/>
      <c r="B373" s="979"/>
      <c r="C373" s="373"/>
      <c r="D373" s="411"/>
      <c r="E373" s="354"/>
      <c r="F373" s="1598"/>
      <c r="G373" s="1598"/>
      <c r="H373" s="1598"/>
      <c r="I373" s="1598"/>
      <c r="J373" s="1598"/>
      <c r="K373" s="1598"/>
      <c r="L373" s="1598"/>
      <c r="M373" s="1598"/>
      <c r="N373" s="1598"/>
    </row>
    <row r="374" spans="1:14" s="6" customFormat="1" hidden="1">
      <c r="A374" s="354"/>
      <c r="B374" s="979"/>
      <c r="C374" s="1322" t="s">
        <v>1191</v>
      </c>
      <c r="D374" s="2"/>
      <c r="E374" s="354"/>
      <c r="F374" s="1315"/>
      <c r="G374" s="1315"/>
      <c r="H374" s="1315"/>
      <c r="I374" s="1315"/>
      <c r="J374" s="1315"/>
      <c r="K374" s="1315"/>
      <c r="L374" s="1315"/>
      <c r="M374" s="1315"/>
      <c r="N374" s="373" t="str">
        <f>Preferences.moneyunits&amp;"/yr, preceeding 5 years"</f>
        <v>/yr, preceeding 5 years</v>
      </c>
    </row>
    <row r="375" spans="1:14" s="6" customFormat="1" hidden="1">
      <c r="A375" s="354"/>
      <c r="B375" s="979"/>
      <c r="C375" s="358" t="s">
        <v>987</v>
      </c>
      <c r="D375" t="s">
        <v>44</v>
      </c>
      <c r="E375" s="354"/>
      <c r="F375" s="1315"/>
      <c r="G375" s="1315"/>
      <c r="H375" s="1315"/>
      <c r="I375" s="1315"/>
      <c r="J375" s="1315"/>
      <c r="K375" s="1315"/>
      <c r="L375" s="1315"/>
      <c r="M375" s="1315"/>
      <c r="N375" s="1315"/>
    </row>
    <row r="376" spans="1:14" s="6" customFormat="1" hidden="1">
      <c r="A376" s="354"/>
      <c r="B376" s="979"/>
      <c r="C376" s="1068" t="s">
        <v>1257</v>
      </c>
      <c r="D376" s="1680" t="s">
        <v>1258</v>
      </c>
      <c r="E376" s="354"/>
      <c r="F376" s="1598"/>
      <c r="G376" s="1598"/>
      <c r="H376" s="1598"/>
      <c r="I376" s="1598"/>
      <c r="J376" s="1598"/>
      <c r="K376" s="1598"/>
      <c r="L376" s="1598"/>
      <c r="M376" s="1598"/>
      <c r="N376" s="1598"/>
    </row>
    <row r="377" spans="1:14" s="6" customFormat="1" hidden="1">
      <c r="A377" s="354"/>
      <c r="B377" s="979"/>
      <c r="C377" s="1068" t="s">
        <v>1257</v>
      </c>
      <c r="D377" s="647" t="s">
        <v>1259</v>
      </c>
      <c r="E377" s="354"/>
      <c r="F377" s="1598"/>
      <c r="G377" s="1598"/>
      <c r="H377" s="1598"/>
      <c r="I377" s="1598"/>
      <c r="J377" s="1598"/>
      <c r="K377" s="1598"/>
      <c r="L377" s="1598"/>
      <c r="M377" s="1598"/>
      <c r="N377" s="1598"/>
    </row>
    <row r="378" spans="1:14" s="6" customFormat="1" hidden="1">
      <c r="A378" s="354"/>
      <c r="B378" s="979"/>
      <c r="C378" s="1068" t="s">
        <v>1260</v>
      </c>
      <c r="D378" s="647" t="s">
        <v>1261</v>
      </c>
      <c r="E378" s="354"/>
      <c r="F378" s="1598"/>
      <c r="G378" s="1598"/>
      <c r="H378" s="1598"/>
      <c r="I378" s="1598"/>
      <c r="J378" s="1598"/>
      <c r="K378" s="1598"/>
      <c r="L378" s="1598"/>
      <c r="M378" s="1598"/>
      <c r="N378" s="1598"/>
    </row>
    <row r="379" spans="1:14" s="6" customFormat="1" hidden="1">
      <c r="A379" s="354"/>
      <c r="B379" s="979"/>
      <c r="C379" s="1068" t="s">
        <v>1260</v>
      </c>
      <c r="D379" s="1681" t="s">
        <v>1262</v>
      </c>
      <c r="E379" s="354"/>
      <c r="F379" s="1598"/>
      <c r="G379" s="1598"/>
      <c r="H379" s="1598"/>
      <c r="I379" s="1598"/>
      <c r="J379" s="1598"/>
      <c r="K379" s="1598"/>
      <c r="L379" s="1598"/>
      <c r="M379" s="1598"/>
      <c r="N379" s="1598"/>
    </row>
    <row r="380" spans="1:14" s="6" customFormat="1" hidden="1">
      <c r="A380" s="354"/>
      <c r="B380" s="979"/>
      <c r="C380" s="373"/>
      <c r="D380" s="411"/>
      <c r="E380" s="354"/>
      <c r="F380" s="1598"/>
      <c r="G380" s="1598"/>
      <c r="H380" s="1598"/>
      <c r="I380" s="1598"/>
      <c r="J380" s="1598"/>
      <c r="K380" s="1598"/>
      <c r="L380" s="1598"/>
      <c r="M380" s="1598"/>
      <c r="N380" s="1598"/>
    </row>
    <row r="381" spans="1:14" s="6" customFormat="1" hidden="1">
      <c r="A381" s="354"/>
      <c r="B381" s="354">
        <v>12</v>
      </c>
      <c r="C381" s="354" t="s">
        <v>1286</v>
      </c>
      <c r="D381" s="354"/>
      <c r="E381" s="354"/>
      <c r="F381" s="1315"/>
      <c r="G381" s="1315"/>
      <c r="H381" s="1315"/>
      <c r="I381" s="1315"/>
      <c r="J381" s="1315"/>
      <c r="K381" s="1315"/>
      <c r="L381" s="1315"/>
      <c r="M381" s="1315"/>
      <c r="N381" s="1315"/>
    </row>
    <row r="382" spans="1:14" s="6" customFormat="1" hidden="1">
      <c r="A382" s="354"/>
      <c r="B382" s="979"/>
      <c r="C382" s="354"/>
      <c r="D382" s="354"/>
      <c r="E382" s="354"/>
      <c r="F382" s="1315"/>
      <c r="G382" s="1315"/>
      <c r="H382" s="1315"/>
      <c r="I382" s="1315"/>
      <c r="J382" s="1315"/>
      <c r="K382" s="1315"/>
      <c r="L382" s="1315"/>
      <c r="M382" s="1315"/>
      <c r="N382" s="1315"/>
    </row>
    <row r="383" spans="1:14" s="6" customFormat="1" hidden="1">
      <c r="A383" s="354"/>
      <c r="B383" s="358"/>
      <c r="C383" s="1322" t="s">
        <v>1191</v>
      </c>
      <c r="D383" s="2"/>
      <c r="E383" s="354"/>
      <c r="F383" s="1315"/>
      <c r="G383" s="1315"/>
      <c r="H383" s="1315"/>
      <c r="I383" s="1315"/>
      <c r="J383" s="1315"/>
      <c r="K383" s="1315"/>
      <c r="L383" s="1315"/>
      <c r="M383" s="1315"/>
      <c r="N383" s="373" t="str">
        <f>Preferences.moneyunits&amp;"/yr, preceeding 5 years"</f>
        <v>/yr, preceeding 5 years</v>
      </c>
    </row>
    <row r="384" spans="1:14" s="6" customFormat="1" hidden="1">
      <c r="A384" s="354"/>
      <c r="B384" s="979"/>
      <c r="C384" s="358" t="s">
        <v>987</v>
      </c>
      <c r="D384" t="s">
        <v>44</v>
      </c>
      <c r="E384" s="354"/>
      <c r="F384" s="1315"/>
      <c r="G384" s="1315"/>
      <c r="H384" s="1315"/>
      <c r="I384" s="1315"/>
      <c r="J384" s="1315"/>
      <c r="K384" s="1315"/>
      <c r="L384" s="1315"/>
      <c r="M384" s="1315"/>
      <c r="N384" s="1315"/>
    </row>
    <row r="385" spans="1:14" s="6" customFormat="1" hidden="1">
      <c r="A385" s="354"/>
      <c r="B385" s="979"/>
      <c r="C385" s="1068" t="s">
        <v>1257</v>
      </c>
      <c r="D385" s="1680" t="s">
        <v>1258</v>
      </c>
      <c r="E385" s="354"/>
      <c r="F385" s="1598"/>
      <c r="G385" s="1598"/>
      <c r="H385" s="1598"/>
      <c r="I385" s="1598"/>
      <c r="J385" s="1598"/>
      <c r="K385" s="1598"/>
      <c r="L385" s="1598"/>
      <c r="M385" s="1598"/>
      <c r="N385" s="1598"/>
    </row>
    <row r="386" spans="1:14" s="6" customFormat="1" hidden="1">
      <c r="A386" s="399"/>
      <c r="B386" s="1608"/>
      <c r="C386" s="1068" t="s">
        <v>1257</v>
      </c>
      <c r="D386" s="647" t="s">
        <v>1259</v>
      </c>
      <c r="E386" s="354"/>
      <c r="F386" s="1598"/>
      <c r="G386" s="1598"/>
      <c r="H386" s="1598"/>
      <c r="I386" s="1598"/>
      <c r="J386" s="1598"/>
      <c r="K386" s="1598"/>
      <c r="L386" s="1598"/>
      <c r="M386" s="1598"/>
      <c r="N386" s="1598"/>
    </row>
    <row r="387" spans="1:14" s="6" customFormat="1" hidden="1">
      <c r="A387" s="202"/>
      <c r="B387" s="1608"/>
      <c r="C387" s="1068" t="s">
        <v>1260</v>
      </c>
      <c r="D387" s="647" t="s">
        <v>1261</v>
      </c>
      <c r="E387" s="354"/>
      <c r="F387" s="1598"/>
      <c r="G387" s="1598"/>
      <c r="H387" s="1598"/>
      <c r="I387" s="1598"/>
      <c r="J387" s="1598"/>
      <c r="K387" s="1598"/>
      <c r="L387" s="1598"/>
      <c r="M387" s="1598"/>
      <c r="N387" s="1598"/>
    </row>
    <row r="388" spans="1:14" s="6" customFormat="1" hidden="1">
      <c r="A388" s="202"/>
      <c r="B388" s="1608"/>
      <c r="C388" s="1068" t="s">
        <v>1260</v>
      </c>
      <c r="D388" s="1681" t="s">
        <v>1262</v>
      </c>
      <c r="E388" s="354"/>
      <c r="F388" s="1598"/>
      <c r="G388" s="1598"/>
      <c r="H388" s="1598"/>
      <c r="I388" s="1598"/>
      <c r="J388" s="1598"/>
      <c r="K388" s="1598"/>
      <c r="L388" s="1598"/>
      <c r="M388" s="1598"/>
      <c r="N388" s="1598"/>
    </row>
    <row r="389" spans="1:14" s="6" customFormat="1" hidden="1">
      <c r="A389" s="647"/>
      <c r="B389" s="399"/>
      <c r="C389"/>
      <c r="F389" s="983"/>
      <c r="G389" s="983"/>
      <c r="H389" s="983"/>
      <c r="I389" s="983"/>
      <c r="J389" s="983"/>
      <c r="K389" s="983"/>
      <c r="L389" s="983"/>
      <c r="M389" s="983"/>
      <c r="N389" s="983"/>
    </row>
    <row r="390" spans="1:14" s="6" customFormat="1" hidden="1">
      <c r="A390" s="1068"/>
      <c r="B390" t="s">
        <v>290</v>
      </c>
      <c r="C390"/>
      <c r="D390"/>
      <c r="E390"/>
      <c r="F390" s="1687"/>
      <c r="G390" s="1687"/>
      <c r="H390" s="1687"/>
      <c r="I390" s="1687"/>
      <c r="J390" s="1687"/>
      <c r="K390" s="1687"/>
      <c r="L390" s="984"/>
      <c r="M390" s="984"/>
      <c r="N390" s="984"/>
    </row>
    <row r="391" spans="1:14" s="6" customFormat="1" hidden="1">
      <c r="A391" s="647"/>
      <c r="B391"/>
      <c r="C391" t="s">
        <v>168</v>
      </c>
      <c r="D391"/>
      <c r="E391" s="373" t="s">
        <v>2767</v>
      </c>
      <c r="F391" s="1687">
        <f t="shared" ref="F391:N391" si="46">SUM(F339:F342)</f>
        <v>0</v>
      </c>
      <c r="G391" s="1687">
        <f t="shared" si="46"/>
        <v>0</v>
      </c>
      <c r="H391" s="1687">
        <f t="shared" si="46"/>
        <v>0</v>
      </c>
      <c r="I391" s="1687">
        <f t="shared" si="46"/>
        <v>0</v>
      </c>
      <c r="J391" s="1687">
        <f t="shared" si="46"/>
        <v>0</v>
      </c>
      <c r="K391" s="1687">
        <f t="shared" si="46"/>
        <v>0</v>
      </c>
      <c r="L391" s="984">
        <f t="shared" si="46"/>
        <v>0</v>
      </c>
      <c r="M391" s="984">
        <f t="shared" si="46"/>
        <v>0</v>
      </c>
      <c r="N391" s="984">
        <f t="shared" si="46"/>
        <v>0</v>
      </c>
    </row>
    <row r="392" spans="1:14" s="6" customFormat="1" hidden="1">
      <c r="A392" s="1027"/>
      <c r="B392"/>
      <c r="C392" t="s">
        <v>172</v>
      </c>
      <c r="D392"/>
      <c r="E392" s="373" t="s">
        <v>2767</v>
      </c>
      <c r="F392" s="1687">
        <f t="shared" ref="F392:N392" si="47">SUM(F367:F370)</f>
        <v>0</v>
      </c>
      <c r="G392" s="1687">
        <f t="shared" si="47"/>
        <v>0</v>
      </c>
      <c r="H392" s="1687">
        <f t="shared" si="47"/>
        <v>0</v>
      </c>
      <c r="I392" s="1687">
        <f t="shared" si="47"/>
        <v>0</v>
      </c>
      <c r="J392" s="1687">
        <f>SUM(J367:J370)</f>
        <v>0</v>
      </c>
      <c r="K392" s="1687">
        <f t="shared" si="47"/>
        <v>0</v>
      </c>
      <c r="L392" s="984">
        <f t="shared" si="47"/>
        <v>0</v>
      </c>
      <c r="M392" s="984">
        <f t="shared" si="47"/>
        <v>0</v>
      </c>
      <c r="N392" s="984">
        <f t="shared" si="47"/>
        <v>0</v>
      </c>
    </row>
    <row r="393" spans="1:14" s="6" customFormat="1" hidden="1">
      <c r="B393"/>
      <c r="C393" t="s">
        <v>291</v>
      </c>
      <c r="D393"/>
      <c r="E393" s="373" t="s">
        <v>2767</v>
      </c>
      <c r="F393" s="1687">
        <f>SUM(F391:F392)</f>
        <v>0</v>
      </c>
      <c r="G393" s="1687">
        <f t="shared" ref="G393:N393" si="48">SUM(G391:G392)</f>
        <v>0</v>
      </c>
      <c r="H393" s="1687">
        <f t="shared" si="48"/>
        <v>0</v>
      </c>
      <c r="I393" s="1687">
        <f t="shared" si="48"/>
        <v>0</v>
      </c>
      <c r="J393" s="1687">
        <f t="shared" si="48"/>
        <v>0</v>
      </c>
      <c r="K393" s="1687">
        <f t="shared" si="48"/>
        <v>0</v>
      </c>
      <c r="L393" s="984">
        <f t="shared" si="48"/>
        <v>0</v>
      </c>
      <c r="M393" s="984">
        <f t="shared" si="48"/>
        <v>0</v>
      </c>
      <c r="N393" s="984">
        <f t="shared" si="48"/>
        <v>0</v>
      </c>
    </row>
    <row r="394" spans="1:14" s="6" customFormat="1" hidden="1">
      <c r="F394" s="1688"/>
      <c r="G394" s="1688"/>
      <c r="H394" s="1688"/>
      <c r="I394" s="1688"/>
      <c r="J394" s="1688"/>
      <c r="K394" s="1688"/>
    </row>
    <row r="395" spans="1:14" s="6" customFormat="1" hidden="1">
      <c r="B395" t="s">
        <v>292</v>
      </c>
      <c r="C395"/>
      <c r="D395"/>
      <c r="E395"/>
      <c r="F395" s="1687"/>
      <c r="G395" s="1687"/>
      <c r="H395" s="1687"/>
      <c r="I395" s="1687"/>
      <c r="J395" s="1687"/>
      <c r="K395" s="1687"/>
      <c r="L395" s="984"/>
      <c r="M395" s="984"/>
      <c r="N395" s="984"/>
    </row>
    <row r="396" spans="1:14" s="6" customFormat="1" hidden="1">
      <c r="B396"/>
      <c r="C396" t="s">
        <v>168</v>
      </c>
      <c r="D396"/>
      <c r="E396" s="373" t="s">
        <v>2767</v>
      </c>
      <c r="F396" s="1687">
        <f>SUM(F344:F347)</f>
        <v>0</v>
      </c>
      <c r="G396" s="1687">
        <f t="shared" ref="G396:N396" si="49">SUM(G349:G352)</f>
        <v>0</v>
      </c>
      <c r="H396" s="1687">
        <f t="shared" si="49"/>
        <v>0</v>
      </c>
      <c r="I396" s="1687">
        <f t="shared" si="49"/>
        <v>0</v>
      </c>
      <c r="J396" s="1687">
        <f t="shared" si="49"/>
        <v>0</v>
      </c>
      <c r="K396" s="1687">
        <f t="shared" si="49"/>
        <v>0</v>
      </c>
      <c r="L396" s="984">
        <f t="shared" si="49"/>
        <v>0</v>
      </c>
      <c r="M396" s="984">
        <f t="shared" si="49"/>
        <v>0</v>
      </c>
      <c r="N396" s="984">
        <f t="shared" si="49"/>
        <v>0</v>
      </c>
    </row>
    <row r="397" spans="1:14" s="6" customFormat="1" hidden="1">
      <c r="B397"/>
      <c r="C397" t="s">
        <v>172</v>
      </c>
      <c r="D397"/>
      <c r="E397" s="373" t="s">
        <v>2767</v>
      </c>
      <c r="F397" s="1687">
        <f>SUM(F376:F379)</f>
        <v>0</v>
      </c>
      <c r="G397" s="1687">
        <f t="shared" ref="G397:N397" si="50">SUM(G376:G379)</f>
        <v>0</v>
      </c>
      <c r="H397" s="1687">
        <f t="shared" si="50"/>
        <v>0</v>
      </c>
      <c r="I397" s="1687">
        <f t="shared" si="50"/>
        <v>0</v>
      </c>
      <c r="J397" s="1687">
        <f t="shared" si="50"/>
        <v>0</v>
      </c>
      <c r="K397" s="1687">
        <f t="shared" si="50"/>
        <v>0</v>
      </c>
      <c r="L397" s="984">
        <f t="shared" si="50"/>
        <v>0</v>
      </c>
      <c r="M397" s="984">
        <f t="shared" si="50"/>
        <v>0</v>
      </c>
      <c r="N397" s="984">
        <f t="shared" si="50"/>
        <v>0</v>
      </c>
    </row>
    <row r="398" spans="1:14" s="6" customFormat="1" hidden="1">
      <c r="B398"/>
      <c r="C398" t="s">
        <v>291</v>
      </c>
      <c r="D398"/>
      <c r="E398" s="373" t="s">
        <v>2767</v>
      </c>
      <c r="F398" s="1687">
        <f>SUM(F396:F397)</f>
        <v>0</v>
      </c>
      <c r="G398" s="1687">
        <f t="shared" ref="G398:N398" si="51">SUM(G396:G397)</f>
        <v>0</v>
      </c>
      <c r="H398" s="1687">
        <f t="shared" si="51"/>
        <v>0</v>
      </c>
      <c r="I398" s="1687">
        <f t="shared" si="51"/>
        <v>0</v>
      </c>
      <c r="J398" s="1687">
        <f t="shared" si="51"/>
        <v>0</v>
      </c>
      <c r="K398" s="1687">
        <f t="shared" si="51"/>
        <v>0</v>
      </c>
      <c r="L398" s="984">
        <f t="shared" si="51"/>
        <v>0</v>
      </c>
      <c r="M398" s="984">
        <f t="shared" si="51"/>
        <v>0</v>
      </c>
      <c r="N398" s="984">
        <f t="shared" si="51"/>
        <v>0</v>
      </c>
    </row>
    <row r="399" spans="1:14" s="6" customFormat="1" hidden="1">
      <c r="B399"/>
      <c r="C399"/>
      <c r="D399"/>
      <c r="E399" s="373"/>
      <c r="F399" s="1687"/>
      <c r="G399" s="1687"/>
      <c r="H399" s="1687"/>
      <c r="I399" s="1687"/>
      <c r="J399" s="1687"/>
      <c r="K399" s="1687"/>
      <c r="L399" s="984"/>
      <c r="M399" s="984"/>
      <c r="N399" s="984"/>
    </row>
    <row r="400" spans="1:14" s="6" customFormat="1" hidden="1">
      <c r="B400" s="39" t="s">
        <v>293</v>
      </c>
      <c r="C400"/>
      <c r="D400"/>
      <c r="E400"/>
      <c r="F400" s="1687"/>
      <c r="G400" s="1687"/>
      <c r="H400" s="1687"/>
      <c r="I400" s="1687"/>
      <c r="J400" s="1687"/>
      <c r="K400" s="1687"/>
      <c r="L400" s="984"/>
      <c r="M400" s="984"/>
      <c r="N400" s="984"/>
    </row>
    <row r="401" spans="1:17" s="6" customFormat="1" hidden="1">
      <c r="B401"/>
      <c r="C401" t="s">
        <v>168</v>
      </c>
      <c r="D401"/>
      <c r="E401" s="373" t="s">
        <v>2767</v>
      </c>
      <c r="F401" s="1687">
        <f t="shared" ref="F401:N401" si="52">SUM(F358:F361)</f>
        <v>0</v>
      </c>
      <c r="G401" s="1687">
        <f t="shared" si="52"/>
        <v>0</v>
      </c>
      <c r="H401" s="1687">
        <f t="shared" si="52"/>
        <v>0</v>
      </c>
      <c r="I401" s="1687">
        <f t="shared" si="52"/>
        <v>0</v>
      </c>
      <c r="J401" s="1687">
        <f t="shared" si="52"/>
        <v>0</v>
      </c>
      <c r="K401" s="1687">
        <f t="shared" si="52"/>
        <v>0</v>
      </c>
      <c r="L401" s="984">
        <f t="shared" si="52"/>
        <v>0</v>
      </c>
      <c r="M401" s="984">
        <f t="shared" si="52"/>
        <v>0</v>
      </c>
      <c r="N401" s="984">
        <f t="shared" si="52"/>
        <v>0</v>
      </c>
    </row>
    <row r="402" spans="1:17" s="6" customFormat="1" hidden="1">
      <c r="B402"/>
      <c r="C402" t="s">
        <v>172</v>
      </c>
      <c r="D402"/>
      <c r="E402" s="373" t="s">
        <v>2767</v>
      </c>
      <c r="F402" s="1687">
        <f t="shared" ref="F402:N402" si="53">SUM(F385:F388)</f>
        <v>0</v>
      </c>
      <c r="G402" s="1687">
        <f t="shared" si="53"/>
        <v>0</v>
      </c>
      <c r="H402" s="1687">
        <f t="shared" si="53"/>
        <v>0</v>
      </c>
      <c r="I402" s="1687">
        <f t="shared" si="53"/>
        <v>0</v>
      </c>
      <c r="J402" s="1687">
        <f t="shared" si="53"/>
        <v>0</v>
      </c>
      <c r="K402" s="1687">
        <f t="shared" si="53"/>
        <v>0</v>
      </c>
      <c r="L402" s="984">
        <f t="shared" si="53"/>
        <v>0</v>
      </c>
      <c r="M402" s="984">
        <f t="shared" si="53"/>
        <v>0</v>
      </c>
      <c r="N402" s="984">
        <f t="shared" si="53"/>
        <v>0</v>
      </c>
    </row>
    <row r="403" spans="1:17" s="6" customFormat="1" hidden="1">
      <c r="B403"/>
      <c r="C403" t="s">
        <v>291</v>
      </c>
      <c r="D403"/>
      <c r="E403" s="373" t="s">
        <v>2767</v>
      </c>
      <c r="F403" s="1687">
        <f>SUM(F401:F402)</f>
        <v>0</v>
      </c>
      <c r="G403" s="1687">
        <f t="shared" ref="G403:N403" si="54">SUM(G401:G402)</f>
        <v>0</v>
      </c>
      <c r="H403" s="1687">
        <f t="shared" si="54"/>
        <v>0</v>
      </c>
      <c r="I403" s="1687">
        <f t="shared" si="54"/>
        <v>0</v>
      </c>
      <c r="J403" s="1687">
        <f t="shared" si="54"/>
        <v>0</v>
      </c>
      <c r="K403" s="1687">
        <f t="shared" si="54"/>
        <v>0</v>
      </c>
      <c r="L403" s="984">
        <f t="shared" si="54"/>
        <v>0</v>
      </c>
      <c r="M403" s="984">
        <f t="shared" si="54"/>
        <v>0</v>
      </c>
      <c r="N403" s="984">
        <f t="shared" si="54"/>
        <v>0</v>
      </c>
    </row>
    <row r="404" spans="1:17" s="6" customFormat="1">
      <c r="B404" s="354"/>
      <c r="C404"/>
      <c r="F404" s="983"/>
      <c r="G404" s="983"/>
      <c r="H404" s="983"/>
      <c r="I404" s="983"/>
      <c r="J404" s="983"/>
      <c r="K404" s="983"/>
      <c r="L404" s="983"/>
      <c r="M404" s="983"/>
      <c r="N404" s="983"/>
    </row>
    <row r="405" spans="1:17" ht="23.5">
      <c r="A405" s="7"/>
      <c r="B405" s="502" t="s">
        <v>296</v>
      </c>
      <c r="C405" s="503"/>
      <c r="D405" s="503"/>
      <c r="E405" s="503"/>
      <c r="F405" s="503"/>
      <c r="G405" s="503"/>
      <c r="H405" s="503"/>
      <c r="I405" s="503"/>
      <c r="J405" s="503"/>
      <c r="K405" s="503"/>
      <c r="L405" s="503"/>
      <c r="M405" s="503"/>
      <c r="N405" s="503"/>
      <c r="O405" s="857"/>
    </row>
    <row r="406" spans="1:17">
      <c r="B406" s="505"/>
      <c r="C406" s="506"/>
      <c r="D406" s="506"/>
      <c r="E406" s="506"/>
      <c r="F406" s="506"/>
      <c r="G406" s="506"/>
      <c r="H406" s="506"/>
      <c r="I406" s="506"/>
      <c r="J406" s="506"/>
      <c r="K406" s="506"/>
      <c r="L406" s="506"/>
      <c r="M406" s="506"/>
      <c r="N406" s="506"/>
      <c r="O406" s="858"/>
    </row>
    <row r="407" spans="1:17">
      <c r="B407" s="505"/>
      <c r="C407" s="34" t="s">
        <v>1287</v>
      </c>
      <c r="D407" s="506"/>
      <c r="E407" s="507"/>
      <c r="F407" s="506"/>
      <c r="G407" s="506"/>
      <c r="H407" s="506"/>
      <c r="I407" s="506"/>
      <c r="J407" s="506"/>
      <c r="K407" s="506"/>
      <c r="L407" s="506"/>
      <c r="M407" s="506"/>
      <c r="N407" s="507" t="str">
        <f>Preferences.EnergyUnits</f>
        <v>TWh</v>
      </c>
      <c r="O407" s="858"/>
    </row>
    <row r="408" spans="1:17">
      <c r="B408" s="505"/>
      <c r="C408" s="506"/>
      <c r="D408" s="506"/>
      <c r="E408" s="506"/>
      <c r="F408" s="506"/>
      <c r="G408" s="506"/>
      <c r="H408" s="506"/>
      <c r="I408" s="506"/>
      <c r="J408" s="506"/>
      <c r="K408" s="506"/>
      <c r="L408" s="506"/>
      <c r="M408" s="506"/>
      <c r="N408" s="506"/>
      <c r="O408" s="858"/>
      <c r="P408" t="s">
        <v>5</v>
      </c>
    </row>
    <row r="409" spans="1:17" ht="15.5">
      <c r="A409" s="434"/>
      <c r="B409" s="15"/>
      <c r="C409" s="1712" t="s">
        <v>28</v>
      </c>
      <c r="D409" s="1712" t="s">
        <v>29</v>
      </c>
      <c r="E409" s="1712" t="s">
        <v>30</v>
      </c>
      <c r="F409" s="1712" t="s">
        <v>588</v>
      </c>
      <c r="G409" s="1712" t="s">
        <v>132</v>
      </c>
      <c r="H409" s="1712" t="s">
        <v>133</v>
      </c>
      <c r="I409" s="1712" t="s">
        <v>134</v>
      </c>
      <c r="J409" s="1712" t="s">
        <v>135</v>
      </c>
      <c r="K409" s="1712" t="s">
        <v>136</v>
      </c>
      <c r="L409" s="1712" t="s">
        <v>137</v>
      </c>
      <c r="M409" s="1712" t="s">
        <v>138</v>
      </c>
      <c r="N409" s="1712" t="s">
        <v>139</v>
      </c>
      <c r="O409" s="858"/>
    </row>
    <row r="410" spans="1:17" ht="15.5">
      <c r="A410" s="434"/>
      <c r="B410" s="15"/>
      <c r="C410" s="716" t="s">
        <v>409</v>
      </c>
      <c r="D410" s="1716" t="str">
        <f>INDEX(Vectors[Description], MATCH(XII.b.Outputs[Vector], Vectors[Code], 0))</f>
        <v>Road transport</v>
      </c>
      <c r="E410" s="716"/>
      <c r="F410" s="717">
        <f>F$266+F$271+F$276+F$281+F$283</f>
        <v>15.592464250700001</v>
      </c>
      <c r="G410" s="717">
        <f t="shared" ref="G410:N410" si="55">G$266+G$271+G$276+G$281+G$283</f>
        <v>16.039345115970029</v>
      </c>
      <c r="H410" s="717">
        <f t="shared" si="55"/>
        <v>17.218361704435271</v>
      </c>
      <c r="I410" s="717">
        <f t="shared" si="55"/>
        <v>18.475152389785752</v>
      </c>
      <c r="J410" s="717">
        <f t="shared" si="55"/>
        <v>19.831145853568326</v>
      </c>
      <c r="K410" s="717">
        <f t="shared" si="55"/>
        <v>21.29454185847861</v>
      </c>
      <c r="L410" s="717">
        <f t="shared" si="55"/>
        <v>22.874234771261563</v>
      </c>
      <c r="M410" s="717">
        <f t="shared" si="55"/>
        <v>24.579873131285559</v>
      </c>
      <c r="N410" s="717">
        <f t="shared" si="55"/>
        <v>26.421924357985812</v>
      </c>
      <c r="O410" s="858"/>
    </row>
    <row r="411" spans="1:17" ht="15.5">
      <c r="A411" s="434"/>
      <c r="B411" s="15"/>
      <c r="C411" s="716" t="s">
        <v>410</v>
      </c>
      <c r="D411" s="1716" t="str">
        <f>INDEX(Vectors[Description], MATCH(XII.b.Outputs[Vector], Vectors[Code], 0))</f>
        <v>Rail transport</v>
      </c>
      <c r="E411" s="716"/>
      <c r="F411" s="1714">
        <f>F$290+F$288</f>
        <v>4.932677048691326E-3</v>
      </c>
      <c r="G411" s="1714">
        <f t="shared" ref="G411:N411" si="56">G$290+G$288</f>
        <v>5.1361499769498426E-3</v>
      </c>
      <c r="H411" s="1714">
        <f t="shared" si="56"/>
        <v>5.339622905208361E-3</v>
      </c>
      <c r="I411" s="1714">
        <f t="shared" si="56"/>
        <v>5.5430958334668776E-3</v>
      </c>
      <c r="J411" s="1714">
        <f t="shared" si="56"/>
        <v>5.7465687617253951E-3</v>
      </c>
      <c r="K411" s="1714">
        <f t="shared" si="56"/>
        <v>5.9500416899839117E-3</v>
      </c>
      <c r="L411" s="1714">
        <f t="shared" si="56"/>
        <v>6.15351461824243E-3</v>
      </c>
      <c r="M411" s="1714">
        <f t="shared" si="56"/>
        <v>6.3569875465009466E-3</v>
      </c>
      <c r="N411" s="1714">
        <f t="shared" si="56"/>
        <v>6.5604604747594641E-3</v>
      </c>
      <c r="O411" s="858"/>
    </row>
    <row r="412" spans="1:17" ht="15.5">
      <c r="A412" s="434"/>
      <c r="B412" s="15"/>
      <c r="C412" s="716" t="s">
        <v>412</v>
      </c>
      <c r="D412" s="1716" t="str">
        <f>INDEX(Vectors[Description], MATCH(XII.b.Outputs[Vector], Vectors[Code], 0))</f>
        <v>National navigation</v>
      </c>
      <c r="E412" s="716"/>
      <c r="F412" s="717">
        <f>F$293</f>
        <v>0.66</v>
      </c>
      <c r="G412" s="717">
        <f t="shared" ref="G412:N412" si="57">G$293</f>
        <v>0.66</v>
      </c>
      <c r="H412" s="717">
        <f t="shared" si="57"/>
        <v>0.66</v>
      </c>
      <c r="I412" s="717">
        <f t="shared" si="57"/>
        <v>0.66</v>
      </c>
      <c r="J412" s="717">
        <f t="shared" si="57"/>
        <v>0.66</v>
      </c>
      <c r="K412" s="717">
        <f t="shared" si="57"/>
        <v>0.66</v>
      </c>
      <c r="L412" s="717">
        <f t="shared" si="57"/>
        <v>0.66</v>
      </c>
      <c r="M412" s="717">
        <f t="shared" si="57"/>
        <v>0.66</v>
      </c>
      <c r="N412" s="717">
        <f t="shared" si="57"/>
        <v>0.66</v>
      </c>
      <c r="O412" s="858"/>
      <c r="Q412" s="2416" t="s">
        <v>5</v>
      </c>
    </row>
    <row r="413" spans="1:17" ht="15.5">
      <c r="A413" s="434"/>
      <c r="B413" s="15"/>
      <c r="C413" s="716" t="s">
        <v>95</v>
      </c>
      <c r="D413" s="1716" t="str">
        <f>INDEX(Vectors[Description], MATCH(XII.b.Outputs[Vector], Vectors[Code], 0))</f>
        <v>Electricity (delivered to end user)</v>
      </c>
      <c r="E413" s="716"/>
      <c r="F413" s="4161">
        <f>-F290-F281</f>
        <v>0</v>
      </c>
      <c r="G413" s="4161">
        <f t="shared" ref="G413:N413" si="58">-G290-G281</f>
        <v>0</v>
      </c>
      <c r="H413" s="4161">
        <f t="shared" si="58"/>
        <v>2.3659767727210967E-17</v>
      </c>
      <c r="I413" s="4161">
        <f t="shared" si="58"/>
        <v>-6.1844962632768369E-2</v>
      </c>
      <c r="J413" s="4161">
        <f t="shared" si="58"/>
        <v>-0.13460763047622651</v>
      </c>
      <c r="K413" s="4161">
        <f t="shared" si="58"/>
        <v>-0.21973350873395048</v>
      </c>
      <c r="L413" s="4161">
        <f t="shared" si="58"/>
        <v>-0.31883822263246137</v>
      </c>
      <c r="M413" s="4161">
        <f t="shared" si="58"/>
        <v>-0.43372628734384555</v>
      </c>
      <c r="N413" s="4161">
        <f t="shared" si="58"/>
        <v>-0.56641186602000015</v>
      </c>
      <c r="O413" s="858"/>
    </row>
    <row r="414" spans="1:17" ht="15.5">
      <c r="A414" s="434"/>
      <c r="B414" s="15"/>
      <c r="C414" s="716" t="s">
        <v>98</v>
      </c>
      <c r="D414" s="1716" t="str">
        <f>INDEX(Vectors[Description], MATCH(XII.b.Outputs[Vector], Vectors[Code], 0))</f>
        <v>Liquid hydrocarbons</v>
      </c>
      <c r="E414" s="716"/>
      <c r="F414" s="717">
        <f>-(F$288+F$266+F$293+F$276+F$283)</f>
        <v>-16.25739692774869</v>
      </c>
      <c r="G414" s="717">
        <f t="shared" ref="G414:N414" si="59">-(G$288+G$266+G$293+G$276+G$283)</f>
        <v>-16.704481265946978</v>
      </c>
      <c r="H414" s="717">
        <f t="shared" si="59"/>
        <v>-17.883701327340479</v>
      </c>
      <c r="I414" s="717">
        <f t="shared" si="59"/>
        <v>-19.07885052298645</v>
      </c>
      <c r="J414" s="717">
        <f t="shared" si="59"/>
        <v>-20.362284791853824</v>
      </c>
      <c r="K414" s="717">
        <f t="shared" si="59"/>
        <v>-21.740758391434643</v>
      </c>
      <c r="L414" s="717">
        <f t="shared" si="59"/>
        <v>-23.221550063247342</v>
      </c>
      <c r="M414" s="717">
        <f t="shared" si="59"/>
        <v>-24.812503831488218</v>
      </c>
      <c r="N414" s="717">
        <f t="shared" si="59"/>
        <v>-26.522072952440571</v>
      </c>
      <c r="O414" s="858"/>
    </row>
    <row r="415" spans="1:17" s="4150" customFormat="1" ht="15.5">
      <c r="A415" s="434"/>
      <c r="B415" s="15"/>
      <c r="C415" s="716" t="s">
        <v>99</v>
      </c>
      <c r="D415" s="1716" t="str">
        <f>INDEX(Vectors[Description], MATCH(XII.b.Outputs[Vector], Vectors[Code], 0))</f>
        <v>Gaseous hydrocarbons</v>
      </c>
      <c r="E415" s="716"/>
      <c r="F415" s="717">
        <f>-F$271</f>
        <v>0</v>
      </c>
      <c r="G415" s="717">
        <f t="shared" ref="G415:N415" si="60">-G$271</f>
        <v>0</v>
      </c>
      <c r="H415" s="717">
        <f t="shared" si="60"/>
        <v>0</v>
      </c>
      <c r="I415" s="717">
        <f t="shared" si="60"/>
        <v>0</v>
      </c>
      <c r="J415" s="717">
        <f t="shared" si="60"/>
        <v>0</v>
      </c>
      <c r="K415" s="717">
        <f t="shared" si="60"/>
        <v>0</v>
      </c>
      <c r="L415" s="717">
        <f t="shared" si="60"/>
        <v>0</v>
      </c>
      <c r="M415" s="717">
        <f t="shared" si="60"/>
        <v>0</v>
      </c>
      <c r="N415" s="717">
        <f t="shared" si="60"/>
        <v>0</v>
      </c>
      <c r="O415" s="858"/>
    </row>
    <row r="416" spans="1:17" ht="15.5">
      <c r="A416" s="434"/>
      <c r="B416" s="15"/>
      <c r="C416" s="2433" t="s">
        <v>58</v>
      </c>
      <c r="D416" s="2433"/>
      <c r="E416" s="2433"/>
      <c r="F416" s="2434">
        <f>SUBTOTAL(109,XII.b.Outputs[2013])</f>
        <v>0</v>
      </c>
      <c r="G416" s="2434">
        <f>SUBTOTAL(109,XII.b.Outputs[2015])</f>
        <v>0</v>
      </c>
      <c r="H416" s="2434">
        <f>SUBTOTAL(109,XII.b.Outputs[2020])</f>
        <v>0</v>
      </c>
      <c r="I416" s="2434">
        <f>SUBTOTAL(109,XII.b.Outputs[2025])</f>
        <v>0</v>
      </c>
      <c r="J416" s="2434">
        <f>SUBTOTAL(109,XII.b.Outputs[2030])</f>
        <v>3.5527136788005009E-15</v>
      </c>
      <c r="K416" s="2434">
        <f>SUBTOTAL(109,XII.b.Outputs[2035])</f>
        <v>3.5527136788005009E-15</v>
      </c>
      <c r="L416" s="2434">
        <f>SUBTOTAL(109,XII.b.Outputs[2040])</f>
        <v>0</v>
      </c>
      <c r="M416" s="2434">
        <f>SUBTOTAL(109,XII.b.Outputs[2045])</f>
        <v>-3.5527136788005009E-15</v>
      </c>
      <c r="N416" s="2434">
        <f>SUBTOTAL(109,XII.b.Outputs[2050])</f>
        <v>0</v>
      </c>
      <c r="O416" s="858"/>
    </row>
    <row r="417" spans="1:15" ht="15.5">
      <c r="A417" s="434"/>
      <c r="B417" s="15"/>
      <c r="C417" s="17"/>
      <c r="D417" s="17"/>
      <c r="E417" s="17"/>
      <c r="F417" s="440"/>
      <c r="G417" s="440"/>
      <c r="H417" s="440"/>
      <c r="I417" s="440"/>
      <c r="J417" s="440"/>
      <c r="K417" s="440"/>
      <c r="L417" s="440"/>
      <c r="M417" s="440"/>
      <c r="N417" s="440"/>
      <c r="O417" s="858"/>
    </row>
    <row r="418" spans="1:15" ht="15.5">
      <c r="A418" s="434"/>
      <c r="B418" s="15"/>
      <c r="C418" s="34" t="s">
        <v>1288</v>
      </c>
      <c r="D418" s="506"/>
      <c r="E418" s="507"/>
      <c r="F418" s="506"/>
      <c r="G418" s="506"/>
      <c r="H418" s="506"/>
      <c r="I418" s="506"/>
      <c r="J418" s="506"/>
      <c r="K418" s="506"/>
      <c r="L418" s="506"/>
      <c r="M418" s="506"/>
      <c r="N418" s="507" t="str">
        <f>Preferences.EnergyUnits</f>
        <v>TWh</v>
      </c>
      <c r="O418" s="858"/>
    </row>
    <row r="419" spans="1:15" ht="15.5">
      <c r="A419" s="434"/>
      <c r="B419" s="15"/>
      <c r="C419" s="506"/>
      <c r="D419" s="506"/>
      <c r="E419" s="506"/>
      <c r="F419" s="506"/>
      <c r="G419" s="506"/>
      <c r="H419" s="506"/>
      <c r="I419" s="506"/>
      <c r="J419" s="506"/>
      <c r="K419" s="506"/>
      <c r="L419" s="506"/>
      <c r="M419" s="506"/>
      <c r="N419" s="506"/>
      <c r="O419" s="858"/>
    </row>
    <row r="420" spans="1:15" ht="15.5">
      <c r="A420" s="434"/>
      <c r="B420" s="15"/>
      <c r="C420" s="1712" t="s">
        <v>28</v>
      </c>
      <c r="D420" s="1712" t="s">
        <v>29</v>
      </c>
      <c r="E420" s="1712" t="s">
        <v>30</v>
      </c>
      <c r="F420" s="1712" t="s">
        <v>588</v>
      </c>
      <c r="G420" s="1712" t="s">
        <v>132</v>
      </c>
      <c r="H420" s="1712" t="s">
        <v>133</v>
      </c>
      <c r="I420" s="1712" t="s">
        <v>134</v>
      </c>
      <c r="J420" s="1712" t="s">
        <v>135</v>
      </c>
      <c r="K420" s="1712" t="s">
        <v>136</v>
      </c>
      <c r="L420" s="1712" t="s">
        <v>137</v>
      </c>
      <c r="M420" s="1712" t="s">
        <v>138</v>
      </c>
      <c r="N420" s="1712" t="s">
        <v>139</v>
      </c>
      <c r="O420" s="858"/>
    </row>
    <row r="421" spans="1:15" ht="15.5">
      <c r="A421" s="434"/>
      <c r="B421" s="15"/>
      <c r="C421" s="716" t="s">
        <v>409</v>
      </c>
      <c r="D421" s="1716" t="str">
        <f>INDEX(Vectors[Description], MATCH(XII.b.road.Outputs[Vector], Vectors[Code], 0))</f>
        <v>Road transport</v>
      </c>
      <c r="E421" s="716"/>
      <c r="F421" s="717">
        <f>F410</f>
        <v>15.592464250700001</v>
      </c>
      <c r="G421" s="717">
        <f t="shared" ref="G421:N421" si="61">G410</f>
        <v>16.039345115970029</v>
      </c>
      <c r="H421" s="717">
        <f t="shared" si="61"/>
        <v>17.218361704435271</v>
      </c>
      <c r="I421" s="717">
        <f t="shared" si="61"/>
        <v>18.475152389785752</v>
      </c>
      <c r="J421" s="717">
        <f t="shared" si="61"/>
        <v>19.831145853568326</v>
      </c>
      <c r="K421" s="717">
        <f t="shared" si="61"/>
        <v>21.29454185847861</v>
      </c>
      <c r="L421" s="717">
        <f t="shared" si="61"/>
        <v>22.874234771261563</v>
      </c>
      <c r="M421" s="717">
        <f t="shared" si="61"/>
        <v>24.579873131285559</v>
      </c>
      <c r="N421" s="717">
        <f t="shared" si="61"/>
        <v>26.421924357985812</v>
      </c>
      <c r="O421" s="858"/>
    </row>
    <row r="422" spans="1:15" ht="15.5">
      <c r="A422" s="434"/>
      <c r="B422" s="15"/>
      <c r="C422" s="716" t="s">
        <v>95</v>
      </c>
      <c r="D422" s="1716" t="str">
        <f>INDEX(Vectors[Description], MATCH(XII.b.road.Outputs[Vector], Vectors[Code], 0))</f>
        <v>Electricity (delivered to end user)</v>
      </c>
      <c r="E422" s="716"/>
      <c r="F422" s="717">
        <f>-F$281</f>
        <v>0</v>
      </c>
      <c r="G422" s="717">
        <f t="shared" ref="G422:N422" si="62">-G$281</f>
        <v>0</v>
      </c>
      <c r="H422" s="717">
        <f t="shared" si="62"/>
        <v>2.3659767727210967E-17</v>
      </c>
      <c r="I422" s="717">
        <f t="shared" si="62"/>
        <v>-6.1844962632768369E-2</v>
      </c>
      <c r="J422" s="717">
        <f t="shared" si="62"/>
        <v>-0.13460763047622651</v>
      </c>
      <c r="K422" s="717">
        <f t="shared" si="62"/>
        <v>-0.21973350873395048</v>
      </c>
      <c r="L422" s="717">
        <f t="shared" si="62"/>
        <v>-0.31883822263246137</v>
      </c>
      <c r="M422" s="717">
        <f t="shared" si="62"/>
        <v>-0.43372628734384555</v>
      </c>
      <c r="N422" s="717">
        <f t="shared" si="62"/>
        <v>-0.56641186602000015</v>
      </c>
      <c r="O422" s="858"/>
    </row>
    <row r="423" spans="1:15" ht="15.5">
      <c r="A423" s="434"/>
      <c r="B423" s="15"/>
      <c r="C423" s="716" t="s">
        <v>98</v>
      </c>
      <c r="D423" s="1716" t="str">
        <f>INDEX(Vectors[Description], MATCH(XII.b.road.Outputs[Vector], Vectors[Code], 0))</f>
        <v>Liquid hydrocarbons</v>
      </c>
      <c r="E423" s="716"/>
      <c r="F423" s="717">
        <f>-F$266-F$276-F$283</f>
        <v>-15.592464250700001</v>
      </c>
      <c r="G423" s="717">
        <f t="shared" ref="G423:N423" si="63">-G$266-G$276-G$283</f>
        <v>-16.039345115970029</v>
      </c>
      <c r="H423" s="717">
        <f t="shared" si="63"/>
        <v>-17.218361704435271</v>
      </c>
      <c r="I423" s="717">
        <f t="shared" si="63"/>
        <v>-18.413307427152983</v>
      </c>
      <c r="J423" s="717">
        <f t="shared" si="63"/>
        <v>-19.696538223092098</v>
      </c>
      <c r="K423" s="717">
        <f t="shared" si="63"/>
        <v>-21.074808349744661</v>
      </c>
      <c r="L423" s="717">
        <f t="shared" si="63"/>
        <v>-22.555396548629098</v>
      </c>
      <c r="M423" s="717">
        <f t="shared" si="63"/>
        <v>-24.146146843941715</v>
      </c>
      <c r="N423" s="717">
        <f t="shared" si="63"/>
        <v>-25.855512491965811</v>
      </c>
      <c r="O423" s="858"/>
    </row>
    <row r="424" spans="1:15" s="4158" customFormat="1" ht="15.5">
      <c r="A424" s="434"/>
      <c r="B424" s="15"/>
      <c r="C424" s="716" t="s">
        <v>99</v>
      </c>
      <c r="D424" s="1716" t="str">
        <f>INDEX(Vectors[Description], MATCH(XII.b.road.Outputs[Vector], Vectors[Code], 0))</f>
        <v>Gaseous hydrocarbons</v>
      </c>
      <c r="E424" s="716"/>
      <c r="F424" s="717">
        <f>-F$271</f>
        <v>0</v>
      </c>
      <c r="G424" s="717">
        <f t="shared" ref="G424:N424" si="64">-G$271</f>
        <v>0</v>
      </c>
      <c r="H424" s="717">
        <f t="shared" si="64"/>
        <v>0</v>
      </c>
      <c r="I424" s="717">
        <f t="shared" si="64"/>
        <v>0</v>
      </c>
      <c r="J424" s="717">
        <f t="shared" si="64"/>
        <v>0</v>
      </c>
      <c r="K424" s="717">
        <f t="shared" si="64"/>
        <v>0</v>
      </c>
      <c r="L424" s="717">
        <f t="shared" si="64"/>
        <v>0</v>
      </c>
      <c r="M424" s="717">
        <f t="shared" si="64"/>
        <v>0</v>
      </c>
      <c r="N424" s="717">
        <f t="shared" si="64"/>
        <v>0</v>
      </c>
      <c r="O424" s="858"/>
    </row>
    <row r="425" spans="1:15" ht="15.5">
      <c r="A425" s="434"/>
      <c r="B425" s="15"/>
      <c r="C425" s="2433" t="s">
        <v>58</v>
      </c>
      <c r="D425" s="2433"/>
      <c r="E425" s="2433"/>
      <c r="F425" s="2434">
        <f>SUBTOTAL(109,XII.b.road.Outputs[2013])</f>
        <v>0</v>
      </c>
      <c r="G425" s="2434">
        <f>SUBTOTAL(109,XII.b.road.Outputs[2015])</f>
        <v>0</v>
      </c>
      <c r="H425" s="2434">
        <f>SUBTOTAL(109,XII.b.road.Outputs[2020])</f>
        <v>0</v>
      </c>
      <c r="I425" s="2434">
        <f>SUBTOTAL(109,XII.b.road.Outputs[2025])</f>
        <v>0</v>
      </c>
      <c r="J425" s="2434">
        <f>SUBTOTAL(109,XII.b.road.Outputs[2030])</f>
        <v>3.5527136788005009E-15</v>
      </c>
      <c r="K425" s="2434">
        <f>SUBTOTAL(109,XII.b.road.Outputs[2035])</f>
        <v>0</v>
      </c>
      <c r="L425" s="2434">
        <f>SUBTOTAL(109,XII.b.road.Outputs[2040])</f>
        <v>3.5527136788005009E-15</v>
      </c>
      <c r="M425" s="2434">
        <f>SUBTOTAL(109,XII.b.road.Outputs[2045])</f>
        <v>0</v>
      </c>
      <c r="N425" s="2434">
        <f>SUBTOTAL(109,XII.b.road.Outputs[2050])</f>
        <v>0</v>
      </c>
      <c r="O425" s="858"/>
    </row>
    <row r="426" spans="1:15" ht="15.5">
      <c r="A426" s="434"/>
      <c r="B426" s="15"/>
      <c r="C426" s="17"/>
      <c r="D426" s="17"/>
      <c r="E426" s="17"/>
      <c r="F426" s="440"/>
      <c r="G426" s="440"/>
      <c r="H426" s="440"/>
      <c r="I426" s="440"/>
      <c r="J426" s="440"/>
      <c r="K426" s="440"/>
      <c r="L426" s="440"/>
      <c r="M426" s="440"/>
      <c r="N426" s="440"/>
      <c r="O426" s="858"/>
    </row>
    <row r="427" spans="1:15" ht="15.5">
      <c r="A427" s="434"/>
      <c r="B427" s="15"/>
      <c r="C427" s="34" t="s">
        <v>1289</v>
      </c>
      <c r="D427" s="506"/>
      <c r="E427" s="507"/>
      <c r="F427" s="506"/>
      <c r="G427" s="506"/>
      <c r="H427" s="506"/>
      <c r="I427" s="506"/>
      <c r="J427" s="506"/>
      <c r="K427" s="506"/>
      <c r="L427" s="506"/>
      <c r="M427" s="506"/>
      <c r="N427" s="507" t="str">
        <f>Preferences.EnergyUnits</f>
        <v>TWh</v>
      </c>
      <c r="O427" s="858"/>
    </row>
    <row r="428" spans="1:15" ht="15.5">
      <c r="A428" s="434"/>
      <c r="B428" s="15"/>
      <c r="C428" s="506"/>
      <c r="D428" s="506"/>
      <c r="E428" s="506"/>
      <c r="F428" s="506"/>
      <c r="G428" s="506"/>
      <c r="H428" s="506"/>
      <c r="I428" s="506"/>
      <c r="J428" s="506"/>
      <c r="K428" s="506"/>
      <c r="L428" s="506"/>
      <c r="M428" s="506"/>
      <c r="N428" s="506"/>
      <c r="O428" s="858"/>
    </row>
    <row r="429" spans="1:15" ht="15.5">
      <c r="A429" s="434"/>
      <c r="B429" s="15"/>
      <c r="C429" s="1712" t="s">
        <v>28</v>
      </c>
      <c r="D429" s="1712" t="s">
        <v>29</v>
      </c>
      <c r="E429" s="1712" t="s">
        <v>30</v>
      </c>
      <c r="F429" s="1712" t="s">
        <v>588</v>
      </c>
      <c r="G429" s="1712" t="s">
        <v>132</v>
      </c>
      <c r="H429" s="1712" t="s">
        <v>133</v>
      </c>
      <c r="I429" s="1712" t="s">
        <v>134</v>
      </c>
      <c r="J429" s="1712" t="s">
        <v>135</v>
      </c>
      <c r="K429" s="1712" t="s">
        <v>136</v>
      </c>
      <c r="L429" s="1712" t="s">
        <v>137</v>
      </c>
      <c r="M429" s="1712" t="s">
        <v>138</v>
      </c>
      <c r="N429" s="1712" t="s">
        <v>139</v>
      </c>
      <c r="O429" s="858"/>
    </row>
    <row r="430" spans="1:15" ht="15.5">
      <c r="A430" s="434"/>
      <c r="B430" s="15"/>
      <c r="C430" s="716" t="s">
        <v>410</v>
      </c>
      <c r="D430" s="1716" t="str">
        <f>INDEX(Vectors[Description], MATCH(XII.b.Rail.Outputs[Vector], Vectors[Code], 0))</f>
        <v>Rail transport</v>
      </c>
      <c r="E430" s="716"/>
      <c r="F430" s="717">
        <f>F411</f>
        <v>4.932677048691326E-3</v>
      </c>
      <c r="G430" s="717">
        <f t="shared" ref="G430:N430" si="65">G411</f>
        <v>5.1361499769498426E-3</v>
      </c>
      <c r="H430" s="717">
        <f t="shared" si="65"/>
        <v>5.339622905208361E-3</v>
      </c>
      <c r="I430" s="717">
        <f t="shared" si="65"/>
        <v>5.5430958334668776E-3</v>
      </c>
      <c r="J430" s="717">
        <f t="shared" si="65"/>
        <v>5.7465687617253951E-3</v>
      </c>
      <c r="K430" s="717">
        <f t="shared" si="65"/>
        <v>5.9500416899839117E-3</v>
      </c>
      <c r="L430" s="717">
        <f t="shared" si="65"/>
        <v>6.15351461824243E-3</v>
      </c>
      <c r="M430" s="717">
        <f t="shared" si="65"/>
        <v>6.3569875465009466E-3</v>
      </c>
      <c r="N430" s="717">
        <f t="shared" si="65"/>
        <v>6.5604604747594641E-3</v>
      </c>
      <c r="O430" s="858"/>
    </row>
    <row r="431" spans="1:15" ht="15.5">
      <c r="A431" s="434"/>
      <c r="B431" s="15"/>
      <c r="C431" s="716" t="s">
        <v>95</v>
      </c>
      <c r="D431" s="1716" t="str">
        <f>INDEX(Vectors[Description], MATCH(XII.b.Rail.Outputs[Vector], Vectors[Code], 0))</f>
        <v>Electricity (delivered to end user)</v>
      </c>
      <c r="E431" s="716"/>
      <c r="F431" s="717">
        <f>-F$290</f>
        <v>0</v>
      </c>
      <c r="G431" s="717">
        <f t="shared" ref="G431:N431" si="66">-G$290</f>
        <v>0</v>
      </c>
      <c r="H431" s="717">
        <f t="shared" si="66"/>
        <v>0</v>
      </c>
      <c r="I431" s="717">
        <f t="shared" si="66"/>
        <v>0</v>
      </c>
      <c r="J431" s="717">
        <f t="shared" si="66"/>
        <v>0</v>
      </c>
      <c r="K431" s="717">
        <f t="shared" si="66"/>
        <v>0</v>
      </c>
      <c r="L431" s="717">
        <f t="shared" si="66"/>
        <v>0</v>
      </c>
      <c r="M431" s="717">
        <f t="shared" si="66"/>
        <v>0</v>
      </c>
      <c r="N431" s="717">
        <f t="shared" si="66"/>
        <v>0</v>
      </c>
      <c r="O431" s="858"/>
    </row>
    <row r="432" spans="1:15" ht="15.5">
      <c r="A432" s="434"/>
      <c r="B432" s="15"/>
      <c r="C432" s="716" t="s">
        <v>98</v>
      </c>
      <c r="D432" s="1716" t="str">
        <f>INDEX(Vectors[Description], MATCH(XII.b.Rail.Outputs[Vector], Vectors[Code], 0))</f>
        <v>Liquid hydrocarbons</v>
      </c>
      <c r="E432" s="716"/>
      <c r="F432" s="717">
        <f>-F288</f>
        <v>-4.932677048691326E-3</v>
      </c>
      <c r="G432" s="717">
        <f t="shared" ref="G432:N432" si="67">-G288</f>
        <v>-5.1361499769498426E-3</v>
      </c>
      <c r="H432" s="717">
        <f t="shared" si="67"/>
        <v>-5.339622905208361E-3</v>
      </c>
      <c r="I432" s="717">
        <f t="shared" si="67"/>
        <v>-5.5430958334668776E-3</v>
      </c>
      <c r="J432" s="717">
        <f t="shared" si="67"/>
        <v>-5.7465687617253951E-3</v>
      </c>
      <c r="K432" s="717">
        <f t="shared" si="67"/>
        <v>-5.9500416899839117E-3</v>
      </c>
      <c r="L432" s="717">
        <f t="shared" si="67"/>
        <v>-6.15351461824243E-3</v>
      </c>
      <c r="M432" s="717">
        <f t="shared" si="67"/>
        <v>-6.3569875465009466E-3</v>
      </c>
      <c r="N432" s="717">
        <f t="shared" si="67"/>
        <v>-6.5604604747594641E-3</v>
      </c>
      <c r="O432" s="858"/>
    </row>
    <row r="433" spans="1:15" ht="15.5">
      <c r="A433" s="434"/>
      <c r="B433" s="15"/>
      <c r="C433" s="2433" t="s">
        <v>58</v>
      </c>
      <c r="D433" s="2433"/>
      <c r="E433" s="2433"/>
      <c r="F433" s="2434">
        <f>SUBTOTAL(109,XII.b.Rail.Outputs[2013])</f>
        <v>0</v>
      </c>
      <c r="G433" s="2434">
        <f>SUBTOTAL(109,XII.b.Rail.Outputs[2015])</f>
        <v>0</v>
      </c>
      <c r="H433" s="2434">
        <f>SUBTOTAL(109,XII.b.Rail.Outputs[2020])</f>
        <v>0</v>
      </c>
      <c r="I433" s="2434">
        <f>SUBTOTAL(109,XII.b.Rail.Outputs[2025])</f>
        <v>0</v>
      </c>
      <c r="J433" s="2434">
        <f>SUBTOTAL(109,XII.b.Rail.Outputs[2030])</f>
        <v>0</v>
      </c>
      <c r="K433" s="2434">
        <f>SUBTOTAL(109,XII.b.Rail.Outputs[2035])</f>
        <v>0</v>
      </c>
      <c r="L433" s="2434">
        <f>SUBTOTAL(109,XII.b.Rail.Outputs[2040])</f>
        <v>0</v>
      </c>
      <c r="M433" s="2434">
        <f>SUBTOTAL(109,XII.b.Rail.Outputs[2045])</f>
        <v>0</v>
      </c>
      <c r="N433" s="2434">
        <f>SUBTOTAL(109,XII.b.Rail.Outputs[2050])</f>
        <v>0</v>
      </c>
      <c r="O433" s="858"/>
    </row>
    <row r="434" spans="1:15" ht="15.5">
      <c r="A434" s="434"/>
      <c r="B434" s="15"/>
      <c r="C434" s="17"/>
      <c r="D434" s="17"/>
      <c r="E434" s="17"/>
      <c r="F434" s="440"/>
      <c r="G434" s="440"/>
      <c r="H434" s="440"/>
      <c r="I434" s="440"/>
      <c r="J434" s="440"/>
      <c r="K434" s="440"/>
      <c r="L434" s="440"/>
      <c r="M434" s="440"/>
      <c r="N434" s="440"/>
      <c r="O434" s="858"/>
    </row>
    <row r="435" spans="1:15" ht="15.5">
      <c r="A435" s="434"/>
      <c r="B435" s="15"/>
      <c r="C435" s="34" t="s">
        <v>1290</v>
      </c>
      <c r="D435" s="506"/>
      <c r="E435" s="507"/>
      <c r="F435" s="506"/>
      <c r="G435" s="506"/>
      <c r="H435" s="506"/>
      <c r="I435" s="506"/>
      <c r="J435" s="506"/>
      <c r="K435" s="506"/>
      <c r="L435" s="506"/>
      <c r="M435" s="506"/>
      <c r="N435" s="507" t="str">
        <f>Preferences.EnergyUnits</f>
        <v>TWh</v>
      </c>
      <c r="O435" s="858"/>
    </row>
    <row r="436" spans="1:15" ht="15.5">
      <c r="A436" s="434"/>
      <c r="B436" s="15"/>
      <c r="C436" s="506"/>
      <c r="D436" s="506"/>
      <c r="E436" s="506"/>
      <c r="F436" s="506"/>
      <c r="G436" s="506"/>
      <c r="H436" s="506"/>
      <c r="I436" s="506"/>
      <c r="J436" s="506"/>
      <c r="K436" s="506"/>
      <c r="L436" s="506"/>
      <c r="M436" s="506"/>
      <c r="N436" s="506"/>
      <c r="O436" s="858"/>
    </row>
    <row r="437" spans="1:15" ht="15.5">
      <c r="A437" s="434"/>
      <c r="B437" s="15"/>
      <c r="C437" s="1712" t="s">
        <v>28</v>
      </c>
      <c r="D437" s="1712" t="s">
        <v>29</v>
      </c>
      <c r="E437" s="1712" t="s">
        <v>30</v>
      </c>
      <c r="F437" s="1712" t="s">
        <v>588</v>
      </c>
      <c r="G437" s="1712" t="s">
        <v>132</v>
      </c>
      <c r="H437" s="1712" t="s">
        <v>133</v>
      </c>
      <c r="I437" s="1712" t="s">
        <v>134</v>
      </c>
      <c r="J437" s="1712" t="s">
        <v>135</v>
      </c>
      <c r="K437" s="1712" t="s">
        <v>136</v>
      </c>
      <c r="L437" s="1712" t="s">
        <v>137</v>
      </c>
      <c r="M437" s="1712" t="s">
        <v>138</v>
      </c>
      <c r="N437" s="1712" t="s">
        <v>139</v>
      </c>
      <c r="O437" s="858"/>
    </row>
    <row r="438" spans="1:15" ht="15.5">
      <c r="A438" s="434"/>
      <c r="B438" s="15"/>
      <c r="C438" s="716" t="s">
        <v>412</v>
      </c>
      <c r="D438" s="1716" t="str">
        <f>INDEX(Vectors[Description], MATCH(XII.b.nationalnavigation.Outputs[Vector], Vectors[Code], 0))</f>
        <v>National navigation</v>
      </c>
      <c r="E438" s="716"/>
      <c r="F438" s="717">
        <f>F$293</f>
        <v>0.66</v>
      </c>
      <c r="G438" s="717">
        <f t="shared" ref="G438:N438" si="68">G$293</f>
        <v>0.66</v>
      </c>
      <c r="H438" s="717">
        <f t="shared" si="68"/>
        <v>0.66</v>
      </c>
      <c r="I438" s="717">
        <f t="shared" si="68"/>
        <v>0.66</v>
      </c>
      <c r="J438" s="717">
        <f t="shared" si="68"/>
        <v>0.66</v>
      </c>
      <c r="K438" s="717">
        <f t="shared" si="68"/>
        <v>0.66</v>
      </c>
      <c r="L438" s="717">
        <f t="shared" si="68"/>
        <v>0.66</v>
      </c>
      <c r="M438" s="717">
        <f t="shared" si="68"/>
        <v>0.66</v>
      </c>
      <c r="N438" s="717">
        <f t="shared" si="68"/>
        <v>0.66</v>
      </c>
      <c r="O438" s="858"/>
    </row>
    <row r="439" spans="1:15" ht="15.5">
      <c r="A439" s="434"/>
      <c r="B439" s="15"/>
      <c r="C439" s="716" t="s">
        <v>98</v>
      </c>
      <c r="D439" s="1716" t="str">
        <f>INDEX(Vectors[Description], MATCH(XII.b.nationalnavigation.Outputs[Vector], Vectors[Code], 0))</f>
        <v>Liquid hydrocarbons</v>
      </c>
      <c r="E439" s="716"/>
      <c r="F439" s="717">
        <f>-F293</f>
        <v>-0.66</v>
      </c>
      <c r="G439" s="717">
        <f t="shared" ref="G439:N439" si="69">-G293</f>
        <v>-0.66</v>
      </c>
      <c r="H439" s="717">
        <f t="shared" si="69"/>
        <v>-0.66</v>
      </c>
      <c r="I439" s="717">
        <f t="shared" si="69"/>
        <v>-0.66</v>
      </c>
      <c r="J439" s="717">
        <f t="shared" si="69"/>
        <v>-0.66</v>
      </c>
      <c r="K439" s="717">
        <f t="shared" si="69"/>
        <v>-0.66</v>
      </c>
      <c r="L439" s="717">
        <f t="shared" si="69"/>
        <v>-0.66</v>
      </c>
      <c r="M439" s="717">
        <f t="shared" si="69"/>
        <v>-0.66</v>
      </c>
      <c r="N439" s="717">
        <f t="shared" si="69"/>
        <v>-0.66</v>
      </c>
      <c r="O439" s="858"/>
    </row>
    <row r="440" spans="1:15" ht="15.5">
      <c r="B440" s="35"/>
      <c r="C440" s="2433" t="s">
        <v>58</v>
      </c>
      <c r="D440" s="2433"/>
      <c r="E440" s="2433"/>
      <c r="F440" s="2434">
        <f>SUBTOTAL(109,XII.b.nationalnavigation.Outputs[2013])</f>
        <v>0</v>
      </c>
      <c r="G440" s="2434">
        <f>SUBTOTAL(109,XII.b.nationalnavigation.Outputs[2015])</f>
        <v>0</v>
      </c>
      <c r="H440" s="2434">
        <f>SUBTOTAL(109,XII.b.nationalnavigation.Outputs[2020])</f>
        <v>0</v>
      </c>
      <c r="I440" s="2434">
        <f>SUBTOTAL(109,XII.b.nationalnavigation.Outputs[2025])</f>
        <v>0</v>
      </c>
      <c r="J440" s="2434">
        <f>SUBTOTAL(109,XII.b.nationalnavigation.Outputs[2030])</f>
        <v>0</v>
      </c>
      <c r="K440" s="2434">
        <f>SUBTOTAL(109,XII.b.nationalnavigation.Outputs[2035])</f>
        <v>0</v>
      </c>
      <c r="L440" s="2434">
        <f>SUBTOTAL(109,XII.b.nationalnavigation.Outputs[2040])</f>
        <v>0</v>
      </c>
      <c r="M440" s="2434">
        <f>SUBTOTAL(109,XII.b.nationalnavigation.Outputs[2045])</f>
        <v>0</v>
      </c>
      <c r="N440" s="2434">
        <f>SUBTOTAL(109,XII.b.nationalnavigation.Outputs[2050])</f>
        <v>0</v>
      </c>
      <c r="O440" s="506"/>
    </row>
    <row r="441" spans="1:15" ht="15.5">
      <c r="B441" s="35"/>
      <c r="C441" s="17"/>
      <c r="D441" s="17"/>
      <c r="E441" s="17"/>
      <c r="F441" s="440"/>
      <c r="G441" s="440"/>
      <c r="H441" s="440"/>
      <c r="I441" s="440"/>
      <c r="J441" s="440"/>
      <c r="K441" s="440"/>
      <c r="L441" s="440"/>
      <c r="M441" s="440"/>
      <c r="N441" s="440"/>
      <c r="O441" s="506"/>
    </row>
    <row r="442" spans="1:15" ht="15.5">
      <c r="B442" s="35"/>
      <c r="C442" s="443"/>
      <c r="D442" s="443"/>
      <c r="E442" s="443"/>
      <c r="F442" s="443"/>
      <c r="G442" s="443"/>
      <c r="H442" s="443"/>
      <c r="I442" s="443"/>
      <c r="J442" s="443"/>
      <c r="K442" s="443"/>
      <c r="L442" s="443"/>
      <c r="M442" s="443"/>
      <c r="N442" s="443"/>
      <c r="O442" s="506"/>
    </row>
    <row r="444" spans="1:15" ht="15">
      <c r="B444" s="1118" t="s">
        <v>300</v>
      </c>
      <c r="C444" s="1119"/>
      <c r="D444" s="1120"/>
      <c r="E444" s="1120"/>
      <c r="F444" s="1120"/>
      <c r="G444" s="1120"/>
      <c r="H444" s="1120"/>
      <c r="I444" s="1120"/>
      <c r="J444" s="1120"/>
      <c r="K444" s="1120"/>
      <c r="L444" s="1120"/>
      <c r="M444" s="1120"/>
      <c r="N444" s="1120"/>
      <c r="O444" s="1121"/>
    </row>
    <row r="445" spans="1:15">
      <c r="B445" s="1125"/>
      <c r="C445" s="1123"/>
      <c r="D445" s="1123"/>
      <c r="E445" s="1123"/>
      <c r="F445" s="1123"/>
      <c r="G445" s="1123"/>
      <c r="H445" s="1123"/>
      <c r="I445" s="1123"/>
      <c r="J445" s="1123"/>
      <c r="K445" s="1123"/>
      <c r="L445" s="1123"/>
      <c r="M445" s="1123"/>
      <c r="N445" s="1123"/>
      <c r="O445" s="1124"/>
    </row>
    <row r="446" spans="1:15" ht="15.5">
      <c r="B446" s="458"/>
      <c r="C446" s="453" t="s">
        <v>1291</v>
      </c>
      <c r="D446" s="1126"/>
      <c r="E446" s="1127"/>
      <c r="F446" s="1126"/>
      <c r="G446" s="1126"/>
      <c r="H446" s="1126"/>
      <c r="I446" s="1126"/>
      <c r="J446" s="1126"/>
      <c r="K446" s="1126"/>
      <c r="L446" s="1126"/>
      <c r="M446" s="1126"/>
      <c r="N446" s="1127" t="s">
        <v>251</v>
      </c>
      <c r="O446" s="1129"/>
    </row>
    <row r="447" spans="1:15" ht="15.5">
      <c r="B447" s="458"/>
      <c r="C447" s="1126"/>
      <c r="D447" s="1126"/>
      <c r="E447" s="1126"/>
      <c r="F447" s="1126"/>
      <c r="G447" s="1126"/>
      <c r="H447" s="1126"/>
      <c r="I447" s="1126"/>
      <c r="J447" s="1126"/>
      <c r="K447" s="1126"/>
      <c r="L447" s="1126"/>
      <c r="M447" s="1126"/>
      <c r="N447" s="1126"/>
      <c r="O447" s="1129"/>
    </row>
    <row r="448" spans="1:15" ht="15.5">
      <c r="B448" s="458"/>
      <c r="C448" s="1327" t="s">
        <v>302</v>
      </c>
      <c r="D448" s="1327" t="s">
        <v>303</v>
      </c>
      <c r="E448" s="1327" t="s">
        <v>30</v>
      </c>
      <c r="F448" s="1327" t="s">
        <v>588</v>
      </c>
      <c r="G448" s="1327" t="s">
        <v>132</v>
      </c>
      <c r="H448" s="1327" t="s">
        <v>133</v>
      </c>
      <c r="I448" s="1327" t="s">
        <v>134</v>
      </c>
      <c r="J448" s="1327" t="s">
        <v>135</v>
      </c>
      <c r="K448" s="1327" t="s">
        <v>136</v>
      </c>
      <c r="L448" s="1327" t="s">
        <v>137</v>
      </c>
      <c r="M448" s="1327" t="s">
        <v>138</v>
      </c>
      <c r="N448" s="1327" t="s">
        <v>139</v>
      </c>
      <c r="O448" s="1129"/>
    </row>
    <row r="449" spans="2:15" ht="15.5">
      <c r="B449" s="458"/>
      <c r="C449" s="1131" t="s">
        <v>250</v>
      </c>
      <c r="D449" s="1132" t="s">
        <v>304</v>
      </c>
      <c r="E449" s="1131" t="s">
        <v>305</v>
      </c>
      <c r="F449" s="461">
        <f t="shared" ref="F449:N451" si="70">F298</f>
        <v>2.9706019012943239</v>
      </c>
      <c r="G449" s="461">
        <f t="shared" si="70"/>
        <v>3.066845866529706</v>
      </c>
      <c r="H449" s="461">
        <f t="shared" si="70"/>
        <v>3.3221077797853287</v>
      </c>
      <c r="I449" s="461">
        <f t="shared" si="70"/>
        <v>3.579242204559324</v>
      </c>
      <c r="J449" s="461">
        <f t="shared" si="70"/>
        <v>3.8572452541096531</v>
      </c>
      <c r="K449" s="461">
        <f t="shared" si="70"/>
        <v>4.1577980189717971</v>
      </c>
      <c r="L449" s="461">
        <f t="shared" si="70"/>
        <v>4.482715770628416</v>
      </c>
      <c r="M449" s="461">
        <f t="shared" si="70"/>
        <v>4.833958551533577</v>
      </c>
      <c r="N449" s="461">
        <f>N298</f>
        <v>5.2136425892247686</v>
      </c>
      <c r="O449" s="1129"/>
    </row>
    <row r="450" spans="2:15" ht="15.5">
      <c r="B450" s="458"/>
      <c r="C450" s="1131" t="s">
        <v>252</v>
      </c>
      <c r="D450" s="1132" t="s">
        <v>304</v>
      </c>
      <c r="E450" s="1131" t="s">
        <v>305</v>
      </c>
      <c r="F450" s="461">
        <f t="shared" si="70"/>
        <v>2.553177623213403E-3</v>
      </c>
      <c r="G450" s="461">
        <f t="shared" si="70"/>
        <v>2.6358975387635953E-3</v>
      </c>
      <c r="H450" s="461">
        <f t="shared" si="70"/>
        <v>2.8552904519300922E-3</v>
      </c>
      <c r="I450" s="461">
        <f t="shared" si="70"/>
        <v>3.0762927542597198E-3</v>
      </c>
      <c r="J450" s="461">
        <f t="shared" si="70"/>
        <v>3.3152312552374927E-3</v>
      </c>
      <c r="K450" s="461">
        <f t="shared" si="70"/>
        <v>3.5735508212172348E-3</v>
      </c>
      <c r="L450" s="461">
        <f t="shared" si="70"/>
        <v>3.852811644605597E-3</v>
      </c>
      <c r="M450" s="461">
        <f t="shared" si="70"/>
        <v>4.1546983457928432E-3</v>
      </c>
      <c r="N450" s="461">
        <f t="shared" si="70"/>
        <v>4.481029783371903E-3</v>
      </c>
      <c r="O450" s="1129"/>
    </row>
    <row r="451" spans="2:15" ht="15.5">
      <c r="B451" s="458"/>
      <c r="C451" s="1131" t="s">
        <v>253</v>
      </c>
      <c r="D451" s="1132" t="s">
        <v>304</v>
      </c>
      <c r="E451" s="1131" t="s">
        <v>305</v>
      </c>
      <c r="F451" s="461">
        <f t="shared" si="70"/>
        <v>7.5379529828205234E-3</v>
      </c>
      <c r="G451" s="461">
        <f t="shared" si="70"/>
        <v>7.7821736858734716E-3</v>
      </c>
      <c r="H451" s="461">
        <f t="shared" si="70"/>
        <v>8.4299051437936052E-3</v>
      </c>
      <c r="I451" s="461">
        <f t="shared" si="70"/>
        <v>9.0823881316239342E-3</v>
      </c>
      <c r="J451" s="461">
        <f t="shared" si="70"/>
        <v>9.7878256107011685E-3</v>
      </c>
      <c r="K451" s="461">
        <f t="shared" si="70"/>
        <v>1.0550483376927074E-2</v>
      </c>
      <c r="L451" s="461">
        <f t="shared" si="70"/>
        <v>1.1374967712645095E-2</v>
      </c>
      <c r="M451" s="461">
        <f t="shared" si="70"/>
        <v>1.2266252259007441E-2</v>
      </c>
      <c r="N451" s="461">
        <f t="shared" si="70"/>
        <v>1.3229706979478952E-2</v>
      </c>
      <c r="O451" s="1129"/>
    </row>
    <row r="452" spans="2:15" ht="15.5">
      <c r="B452" s="458"/>
      <c r="C452" s="2436" t="s">
        <v>58</v>
      </c>
      <c r="D452" s="2436"/>
      <c r="E452" s="2436"/>
      <c r="F452" s="2437">
        <f>SUBTOTAL(109,XII.b.Emissions[2013])</f>
        <v>2.9806930319003575</v>
      </c>
      <c r="G452" s="2437">
        <f>SUBTOTAL(109,XII.b.Emissions[2015])</f>
        <v>3.0772639377543429</v>
      </c>
      <c r="H452" s="2437">
        <f>SUBTOTAL(109,XII.b.Emissions[2020])</f>
        <v>3.3333929753810523</v>
      </c>
      <c r="I452" s="2437">
        <f>SUBTOTAL(109,XII.b.Emissions[2025])</f>
        <v>3.5914008854452075</v>
      </c>
      <c r="J452" s="2437">
        <f>SUBTOTAL(109,XII.b.Emissions[2030])</f>
        <v>3.8703483109755918</v>
      </c>
      <c r="K452" s="2437">
        <f>SUBTOTAL(109,XII.b.Emissions[2035])</f>
        <v>4.1719220531699417</v>
      </c>
      <c r="L452" s="2437">
        <f>SUBTOTAL(109,XII.b.Emissions[2040])</f>
        <v>4.497943549985667</v>
      </c>
      <c r="M452" s="2437">
        <f>SUBTOTAL(109,XII.b.Emissions[2045])</f>
        <v>4.8503795021383773</v>
      </c>
      <c r="N452" s="2437">
        <f>SUBTOTAL(109,XII.b.Emissions[2050])</f>
        <v>5.2313533259876195</v>
      </c>
      <c r="O452" s="1129"/>
    </row>
    <row r="453" spans="2:15" ht="15.5">
      <c r="B453" s="458"/>
      <c r="C453" s="1131"/>
      <c r="D453" s="1131"/>
      <c r="E453" s="1131"/>
      <c r="F453" s="462"/>
      <c r="G453" s="462"/>
      <c r="H453" s="462"/>
      <c r="I453" s="462"/>
      <c r="J453" s="462"/>
      <c r="K453" s="462"/>
      <c r="L453" s="462"/>
      <c r="M453" s="462"/>
      <c r="N453" s="462"/>
      <c r="O453" s="1129"/>
    </row>
    <row r="454" spans="2:15" ht="15.5">
      <c r="B454" s="458"/>
      <c r="C454" s="453" t="s">
        <v>1229</v>
      </c>
      <c r="D454" s="1126"/>
      <c r="E454" s="1127"/>
      <c r="F454" s="1126"/>
      <c r="G454" s="1126"/>
      <c r="H454" s="1126"/>
      <c r="I454" s="1126"/>
      <c r="J454" s="1126"/>
      <c r="K454" s="1126"/>
      <c r="L454" s="1126"/>
      <c r="M454" s="1126"/>
      <c r="N454" s="1127" t="s">
        <v>251</v>
      </c>
      <c r="O454" s="1129"/>
    </row>
    <row r="455" spans="2:15" ht="15.5">
      <c r="B455" s="458"/>
      <c r="C455" s="1126"/>
      <c r="D455" s="1126"/>
      <c r="E455" s="1126"/>
      <c r="F455" s="1126"/>
      <c r="G455" s="1126"/>
      <c r="H455" s="1126"/>
      <c r="I455" s="1126"/>
      <c r="J455" s="1126"/>
      <c r="K455" s="1126"/>
      <c r="L455" s="1126"/>
      <c r="M455" s="1126"/>
      <c r="N455" s="1126"/>
      <c r="O455" s="1129"/>
    </row>
    <row r="456" spans="2:15" ht="15.5">
      <c r="B456" s="458"/>
      <c r="C456" s="1327" t="s">
        <v>302</v>
      </c>
      <c r="D456" s="1327" t="s">
        <v>303</v>
      </c>
      <c r="E456" s="1327" t="s">
        <v>30</v>
      </c>
      <c r="F456" s="1327" t="s">
        <v>588</v>
      </c>
      <c r="G456" s="1327" t="s">
        <v>132</v>
      </c>
      <c r="H456" s="1327" t="s">
        <v>133</v>
      </c>
      <c r="I456" s="1327" t="s">
        <v>134</v>
      </c>
      <c r="J456" s="1327" t="s">
        <v>135</v>
      </c>
      <c r="K456" s="1327" t="s">
        <v>136</v>
      </c>
      <c r="L456" s="1327" t="s">
        <v>137</v>
      </c>
      <c r="M456" s="1327" t="s">
        <v>138</v>
      </c>
      <c r="N456" s="1327" t="s">
        <v>139</v>
      </c>
      <c r="O456" s="1129"/>
    </row>
    <row r="457" spans="2:15" ht="15.5">
      <c r="B457" s="458"/>
      <c r="C457" s="1131" t="s">
        <v>250</v>
      </c>
      <c r="D457" s="1132" t="s">
        <v>304</v>
      </c>
      <c r="E457" s="1131" t="s">
        <v>305</v>
      </c>
      <c r="F457" s="461">
        <f t="shared" ref="F457:N457" si="71">(F298*(F$266/(F$288+F$266+F$293)))</f>
        <v>2.7045397708440588</v>
      </c>
      <c r="G457" s="461">
        <f t="shared" si="71"/>
        <v>2.8004338858676716</v>
      </c>
      <c r="H457" s="461">
        <f t="shared" si="71"/>
        <v>3.0549713868966095</v>
      </c>
      <c r="I457" s="461">
        <f t="shared" si="71"/>
        <v>3.3129614746583051</v>
      </c>
      <c r="J457" s="461">
        <f t="shared" si="71"/>
        <v>3.5918808439907317</v>
      </c>
      <c r="K457" s="461">
        <f t="shared" si="71"/>
        <v>3.8934063026601029</v>
      </c>
      <c r="L457" s="461">
        <f t="shared" si="71"/>
        <v>4.2193490524710562</v>
      </c>
      <c r="M457" s="461">
        <f t="shared" si="71"/>
        <v>4.5716652838528464</v>
      </c>
      <c r="N457" s="461">
        <f t="shared" si="71"/>
        <v>4.952467591330473</v>
      </c>
      <c r="O457" s="1129"/>
    </row>
    <row r="458" spans="2:15" ht="15.5">
      <c r="B458" s="458"/>
      <c r="C458" s="1131" t="s">
        <v>252</v>
      </c>
      <c r="D458" s="1132" t="s">
        <v>304</v>
      </c>
      <c r="E458" s="1131" t="s">
        <v>305</v>
      </c>
      <c r="F458" s="461">
        <f t="shared" ref="F458:N458" si="72">(F299*(F$266/(F$288+F$266+F$293)))</f>
        <v>2.324502122280706E-3</v>
      </c>
      <c r="G458" s="461">
        <f t="shared" si="72"/>
        <v>2.4069213480172355E-3</v>
      </c>
      <c r="H458" s="461">
        <f t="shared" si="72"/>
        <v>2.6256916422167319E-3</v>
      </c>
      <c r="I458" s="461">
        <f t="shared" si="72"/>
        <v>2.847429371125147E-3</v>
      </c>
      <c r="J458" s="461">
        <f t="shared" si="72"/>
        <v>3.0871554320793474E-3</v>
      </c>
      <c r="K458" s="461">
        <f t="shared" si="72"/>
        <v>3.3463110104718498E-3</v>
      </c>
      <c r="L458" s="461">
        <f t="shared" si="72"/>
        <v>3.6264528008959967E-3</v>
      </c>
      <c r="M458" s="461">
        <f t="shared" si="72"/>
        <v>3.9292621129976722E-3</v>
      </c>
      <c r="N458" s="461">
        <f t="shared" si="72"/>
        <v>4.256554682862481E-3</v>
      </c>
      <c r="O458" s="1129"/>
    </row>
    <row r="459" spans="2:15" ht="15.5">
      <c r="B459" s="458"/>
      <c r="C459" s="1131" t="s">
        <v>253</v>
      </c>
      <c r="D459" s="1132" t="s">
        <v>304</v>
      </c>
      <c r="E459" s="1131" t="s">
        <v>305</v>
      </c>
      <c r="F459" s="461">
        <f t="shared" ref="F459:N459" si="73">(F300*(F$266/(F$288+F$266+F$293)))</f>
        <v>6.8628157895906554E-3</v>
      </c>
      <c r="G459" s="461">
        <f t="shared" si="73"/>
        <v>7.1061487417651715E-3</v>
      </c>
      <c r="H459" s="461">
        <f t="shared" si="73"/>
        <v>7.7520419913065415E-3</v>
      </c>
      <c r="I459" s="461">
        <f t="shared" si="73"/>
        <v>8.4066962385599582E-3</v>
      </c>
      <c r="J459" s="461">
        <f t="shared" si="73"/>
        <v>9.1144588947104539E-3</v>
      </c>
      <c r="K459" s="461">
        <f t="shared" si="73"/>
        <v>9.8795848880597458E-3</v>
      </c>
      <c r="L459" s="461">
        <f t="shared" si="73"/>
        <v>1.0706670174073896E-2</v>
      </c>
      <c r="M459" s="461">
        <f t="shared" si="73"/>
        <v>1.160067861932646E-2</v>
      </c>
      <c r="N459" s="461">
        <f t="shared" si="73"/>
        <v>1.2566970968451135E-2</v>
      </c>
      <c r="O459" s="1129"/>
    </row>
    <row r="460" spans="2:15" ht="15.5">
      <c r="B460" s="458"/>
      <c r="C460" s="2436" t="s">
        <v>58</v>
      </c>
      <c r="D460" s="2436"/>
      <c r="E460" s="2436"/>
      <c r="F460" s="2437">
        <f>SUBTOTAL(109,XII.b.Road.Emissions[2013])</f>
        <v>2.7137270887559302</v>
      </c>
      <c r="G460" s="2437">
        <f>SUBTOTAL(109,XII.b.Road.Emissions[2015])</f>
        <v>2.8099469559574537</v>
      </c>
      <c r="H460" s="2437">
        <f>SUBTOTAL(109,XII.b.Road.Emissions[2020])</f>
        <v>3.0653491205301329</v>
      </c>
      <c r="I460" s="2437">
        <f>SUBTOTAL(109,XII.b.Road.Emissions[2025])</f>
        <v>3.3242156002679906</v>
      </c>
      <c r="J460" s="2437">
        <f>SUBTOTAL(109,XII.b.Road.Emissions[2030])</f>
        <v>3.6040824583175217</v>
      </c>
      <c r="K460" s="2437">
        <f>SUBTOTAL(109,XII.b.Road.Emissions[2035])</f>
        <v>3.9066321985586345</v>
      </c>
      <c r="L460" s="2437">
        <f>SUBTOTAL(109,XII.b.Road.Emissions[2040])</f>
        <v>4.2336821754460257</v>
      </c>
      <c r="M460" s="2437">
        <f>SUBTOTAL(109,XII.b.Road.Emissions[2045])</f>
        <v>4.5871952245851704</v>
      </c>
      <c r="N460" s="2437">
        <f>SUBTOTAL(109,XII.b.Road.Emissions[2050])</f>
        <v>4.9692911169817862</v>
      </c>
      <c r="O460" s="1129"/>
    </row>
    <row r="461" spans="2:15" ht="15.5">
      <c r="B461" s="458"/>
      <c r="C461" s="1131"/>
      <c r="D461" s="1131"/>
      <c r="E461" s="1131"/>
      <c r="F461" s="462"/>
      <c r="G461" s="462"/>
      <c r="H461" s="462"/>
      <c r="I461" s="462"/>
      <c r="J461" s="462"/>
      <c r="K461" s="462"/>
      <c r="L461" s="462"/>
      <c r="M461" s="462"/>
      <c r="N461" s="462"/>
      <c r="O461" s="1129"/>
    </row>
    <row r="462" spans="2:15" ht="15.5">
      <c r="B462" s="458"/>
      <c r="C462" s="453" t="s">
        <v>1230</v>
      </c>
      <c r="D462" s="1126"/>
      <c r="E462" s="1127"/>
      <c r="F462" s="1126"/>
      <c r="G462" s="1126"/>
      <c r="H462" s="1126"/>
      <c r="I462" s="1126"/>
      <c r="J462" s="1126"/>
      <c r="K462" s="1126"/>
      <c r="L462" s="1126"/>
      <c r="M462" s="1126"/>
      <c r="N462" s="1127" t="s">
        <v>251</v>
      </c>
      <c r="O462" s="1129"/>
    </row>
    <row r="463" spans="2:15" ht="15.5">
      <c r="B463" s="458"/>
      <c r="C463" s="1126"/>
      <c r="D463" s="1126"/>
      <c r="E463" s="1126"/>
      <c r="F463" s="1126"/>
      <c r="G463" s="1126"/>
      <c r="H463" s="1126"/>
      <c r="I463" s="1126"/>
      <c r="J463" s="1126"/>
      <c r="K463" s="1126"/>
      <c r="L463" s="1126"/>
      <c r="M463" s="1126"/>
      <c r="N463" s="1126"/>
      <c r="O463" s="1129"/>
    </row>
    <row r="464" spans="2:15" ht="15.5">
      <c r="B464" s="458"/>
      <c r="C464" s="1327" t="s">
        <v>302</v>
      </c>
      <c r="D464" s="1327" t="s">
        <v>303</v>
      </c>
      <c r="E464" s="1327" t="s">
        <v>30</v>
      </c>
      <c r="F464" s="1327" t="s">
        <v>588</v>
      </c>
      <c r="G464" s="1327" t="s">
        <v>132</v>
      </c>
      <c r="H464" s="1327" t="s">
        <v>133</v>
      </c>
      <c r="I464" s="1327" t="s">
        <v>134</v>
      </c>
      <c r="J464" s="1327" t="s">
        <v>135</v>
      </c>
      <c r="K464" s="1327" t="s">
        <v>136</v>
      </c>
      <c r="L464" s="1327" t="s">
        <v>137</v>
      </c>
      <c r="M464" s="1327" t="s">
        <v>138</v>
      </c>
      <c r="N464" s="1327" t="s">
        <v>139</v>
      </c>
      <c r="O464" s="1129"/>
    </row>
    <row r="465" spans="2:15" ht="15.5">
      <c r="B465" s="458"/>
      <c r="C465" s="1131" t="s">
        <v>250</v>
      </c>
      <c r="D465" s="1132" t="s">
        <v>304</v>
      </c>
      <c r="E465" s="1131" t="s">
        <v>305</v>
      </c>
      <c r="F465" s="461">
        <f t="shared" ref="F465:N465" si="74">(F298*(F$288/(F$288+F$266+F$293)))</f>
        <v>1.9737314914692297E-3</v>
      </c>
      <c r="G465" s="461">
        <f t="shared" si="74"/>
        <v>2.0572207485398115E-3</v>
      </c>
      <c r="H465" s="461">
        <f t="shared" si="74"/>
        <v>2.1438789351743877E-3</v>
      </c>
      <c r="I465" s="461">
        <f t="shared" si="74"/>
        <v>2.2177671343707973E-3</v>
      </c>
      <c r="J465" s="461">
        <f t="shared" si="74"/>
        <v>2.2905635585917113E-3</v>
      </c>
      <c r="K465" s="461">
        <f t="shared" si="74"/>
        <v>2.3622518748535729E-3</v>
      </c>
      <c r="L465" s="461">
        <f t="shared" si="74"/>
        <v>2.4328190343161317E-3</v>
      </c>
      <c r="M465" s="461">
        <f t="shared" si="74"/>
        <v>2.5022548984092196E-3</v>
      </c>
      <c r="N465" s="461">
        <f t="shared" si="74"/>
        <v>2.5705518888121857E-3</v>
      </c>
      <c r="O465" s="1129"/>
    </row>
    <row r="466" spans="2:15" ht="15.5">
      <c r="B466" s="458"/>
      <c r="C466" s="1131" t="s">
        <v>252</v>
      </c>
      <c r="D466" s="1132" t="s">
        <v>304</v>
      </c>
      <c r="E466" s="1131" t="s">
        <v>305</v>
      </c>
      <c r="F466" s="461">
        <f t="shared" ref="F466:N466" si="75">(F299*(F$288/(F$288+F$266+F$293)))</f>
        <v>1.6963858657921078E-6</v>
      </c>
      <c r="G466" s="461">
        <f t="shared" si="75"/>
        <v>1.7681433445840133E-6</v>
      </c>
      <c r="H466" s="461">
        <f t="shared" si="75"/>
        <v>1.8426244599725302E-6</v>
      </c>
      <c r="I466" s="461">
        <f t="shared" si="75"/>
        <v>1.9061300063487076E-6</v>
      </c>
      <c r="J466" s="461">
        <f t="shared" si="75"/>
        <v>1.9686971922411713E-6</v>
      </c>
      <c r="K466" s="461">
        <f t="shared" si="75"/>
        <v>2.0303119797513663E-6</v>
      </c>
      <c r="L466" s="461">
        <f t="shared" si="75"/>
        <v>2.0909631536414234E-6</v>
      </c>
      <c r="M466" s="461">
        <f t="shared" si="75"/>
        <v>2.1506419999970105E-6</v>
      </c>
      <c r="N466" s="461">
        <f t="shared" si="75"/>
        <v>2.2093420053911013E-6</v>
      </c>
      <c r="O466" s="1129"/>
    </row>
    <row r="467" spans="2:15" ht="15.5">
      <c r="B467" s="458"/>
      <c r="C467" s="1131" t="s">
        <v>253</v>
      </c>
      <c r="D467" s="1132" t="s">
        <v>304</v>
      </c>
      <c r="E467" s="1131" t="s">
        <v>305</v>
      </c>
      <c r="F467" s="461">
        <f t="shared" ref="F467:N467" si="76">(F300*(F$288/(F$288+F$266+F$293)))</f>
        <v>5.0083773180528899E-6</v>
      </c>
      <c r="G467" s="461">
        <f t="shared" si="76"/>
        <v>5.2202327316289913E-6</v>
      </c>
      <c r="H467" s="461">
        <f t="shared" si="76"/>
        <v>5.4401293580141368E-6</v>
      </c>
      <c r="I467" s="461">
        <f t="shared" si="76"/>
        <v>5.6276219235057076E-6</v>
      </c>
      <c r="J467" s="461">
        <f t="shared" si="76"/>
        <v>5.8123440913786959E-6</v>
      </c>
      <c r="K467" s="461">
        <f t="shared" si="76"/>
        <v>5.9942544164087952E-6</v>
      </c>
      <c r="L467" s="461">
        <f t="shared" si="76"/>
        <v>6.1733197869413452E-6</v>
      </c>
      <c r="M467" s="461">
        <f t="shared" si="76"/>
        <v>6.3495144761816491E-6</v>
      </c>
      <c r="N467" s="461">
        <f t="shared" si="76"/>
        <v>6.5228192540118231E-6</v>
      </c>
      <c r="O467" s="1129"/>
    </row>
    <row r="468" spans="2:15" ht="15.5">
      <c r="B468" s="458"/>
      <c r="C468" s="2436" t="s">
        <v>58</v>
      </c>
      <c r="D468" s="2436"/>
      <c r="E468" s="2436"/>
      <c r="F468" s="2437">
        <f>SUBTOTAL(109,XII.b.Rail.Emissions[2013])</f>
        <v>1.980436254653075E-3</v>
      </c>
      <c r="G468" s="2437">
        <f>SUBTOTAL(109,XII.b.Rail.Emissions[2015])</f>
        <v>2.0642091246160245E-3</v>
      </c>
      <c r="H468" s="2437">
        <f>SUBTOTAL(109,XII.b.Rail.Emissions[2020])</f>
        <v>2.1511616889923744E-3</v>
      </c>
      <c r="I468" s="2437">
        <f>SUBTOTAL(109,XII.b.Rail.Emissions[2025])</f>
        <v>2.2253008863006517E-3</v>
      </c>
      <c r="J468" s="2437">
        <f>SUBTOTAL(109,XII.b.Rail.Emissions[2030])</f>
        <v>2.2983445998753312E-3</v>
      </c>
      <c r="K468" s="2437">
        <f>SUBTOTAL(109,XII.b.Rail.Emissions[2035])</f>
        <v>2.3702764412497335E-3</v>
      </c>
      <c r="L468" s="2437">
        <f>SUBTOTAL(109,XII.b.Rail.Emissions[2040])</f>
        <v>2.4410833172567141E-3</v>
      </c>
      <c r="M468" s="2437">
        <f>SUBTOTAL(109,XII.b.Rail.Emissions[2045])</f>
        <v>2.5107550548853982E-3</v>
      </c>
      <c r="N468" s="2437">
        <f>SUBTOTAL(109,XII.b.Rail.Emissions[2050])</f>
        <v>2.5792840500715886E-3</v>
      </c>
      <c r="O468" s="1129"/>
    </row>
    <row r="469" spans="2:15" ht="15.5">
      <c r="B469" s="458"/>
      <c r="C469" s="1131"/>
      <c r="D469" s="1131"/>
      <c r="E469" s="1131"/>
      <c r="F469" s="462"/>
      <c r="G469" s="462"/>
      <c r="H469" s="462"/>
      <c r="I469" s="462"/>
      <c r="J469" s="462"/>
      <c r="K469" s="462"/>
      <c r="L469" s="462"/>
      <c r="M469" s="462"/>
      <c r="N469" s="462"/>
      <c r="O469" s="1129"/>
    </row>
    <row r="470" spans="2:15" ht="15.5">
      <c r="B470" s="458"/>
      <c r="C470" s="453" t="s">
        <v>1292</v>
      </c>
      <c r="D470" s="1126"/>
      <c r="E470" s="1127"/>
      <c r="F470" s="1126"/>
      <c r="G470" s="1126"/>
      <c r="H470" s="1126"/>
      <c r="I470" s="1126"/>
      <c r="J470" s="1126"/>
      <c r="K470" s="1126"/>
      <c r="L470" s="1126"/>
      <c r="M470" s="1126"/>
      <c r="N470" s="1127" t="s">
        <v>251</v>
      </c>
      <c r="O470" s="1129"/>
    </row>
    <row r="471" spans="2:15" ht="15.5">
      <c r="B471" s="458"/>
      <c r="C471" s="1126"/>
      <c r="D471" s="1126"/>
      <c r="E471" s="1126"/>
      <c r="F471" s="1126"/>
      <c r="G471" s="1126"/>
      <c r="H471" s="1126"/>
      <c r="I471" s="1126"/>
      <c r="J471" s="1126"/>
      <c r="K471" s="1126"/>
      <c r="L471" s="1126"/>
      <c r="M471" s="1126"/>
      <c r="N471" s="1126"/>
      <c r="O471" s="1129"/>
    </row>
    <row r="472" spans="2:15" ht="15.5">
      <c r="B472" s="458"/>
      <c r="C472" s="1327" t="s">
        <v>302</v>
      </c>
      <c r="D472" s="1327" t="s">
        <v>303</v>
      </c>
      <c r="E472" s="1327" t="s">
        <v>30</v>
      </c>
      <c r="F472" s="1327" t="s">
        <v>588</v>
      </c>
      <c r="G472" s="1327" t="s">
        <v>132</v>
      </c>
      <c r="H472" s="1327" t="s">
        <v>133</v>
      </c>
      <c r="I472" s="1327" t="s">
        <v>134</v>
      </c>
      <c r="J472" s="1327" t="s">
        <v>135</v>
      </c>
      <c r="K472" s="1327" t="s">
        <v>136</v>
      </c>
      <c r="L472" s="1327" t="s">
        <v>137</v>
      </c>
      <c r="M472" s="1327" t="s">
        <v>138</v>
      </c>
      <c r="N472" s="1327" t="s">
        <v>139</v>
      </c>
      <c r="O472" s="1129"/>
    </row>
    <row r="473" spans="2:15" ht="15.5">
      <c r="B473" s="458"/>
      <c r="C473" s="1131" t="s">
        <v>250</v>
      </c>
      <c r="D473" s="1132" t="s">
        <v>304</v>
      </c>
      <c r="E473" s="1131" t="s">
        <v>305</v>
      </c>
      <c r="F473" s="461">
        <f t="shared" ref="F473:N473" si="77">(F298*(F$293/(F$288+F$266+F$293)))</f>
        <v>0.2640883989587961</v>
      </c>
      <c r="G473" s="461">
        <f t="shared" si="77"/>
        <v>0.26435475991349444</v>
      </c>
      <c r="H473" s="461">
        <f t="shared" si="77"/>
        <v>0.26499251395354517</v>
      </c>
      <c r="I473" s="461">
        <f t="shared" si="77"/>
        <v>0.26406296276664809</v>
      </c>
      <c r="J473" s="461">
        <f t="shared" si="77"/>
        <v>0.26307384656032956</v>
      </c>
      <c r="K473" s="461">
        <f t="shared" si="77"/>
        <v>0.26202946443684055</v>
      </c>
      <c r="L473" s="461">
        <f t="shared" si="77"/>
        <v>0.26093389912304399</v>
      </c>
      <c r="M473" s="461">
        <f t="shared" si="77"/>
        <v>0.25979101278232131</v>
      </c>
      <c r="N473" s="461">
        <f t="shared" si="77"/>
        <v>0.25860444600548349</v>
      </c>
      <c r="O473" s="1129"/>
    </row>
    <row r="474" spans="2:15" ht="15.5">
      <c r="B474" s="458"/>
      <c r="C474" s="1131" t="s">
        <v>252</v>
      </c>
      <c r="D474" s="1132" t="s">
        <v>304</v>
      </c>
      <c r="E474" s="1131" t="s">
        <v>305</v>
      </c>
      <c r="F474" s="461">
        <f t="shared" ref="F474:N474" si="78">(F299*(F$293/(F$288+F$266+F$293)))</f>
        <v>2.2697911506690529E-4</v>
      </c>
      <c r="G474" s="461">
        <f t="shared" si="78"/>
        <v>2.2720804740177566E-4</v>
      </c>
      <c r="H474" s="461">
        <f t="shared" si="78"/>
        <v>2.2775618525338814E-4</v>
      </c>
      <c r="I474" s="461">
        <f t="shared" si="78"/>
        <v>2.2695725312822418E-4</v>
      </c>
      <c r="J474" s="461">
        <f t="shared" si="78"/>
        <v>2.2610712596590404E-4</v>
      </c>
      <c r="K474" s="461">
        <f t="shared" si="78"/>
        <v>2.2520949876563386E-4</v>
      </c>
      <c r="L474" s="461">
        <f t="shared" si="78"/>
        <v>2.2426788055595874E-4</v>
      </c>
      <c r="M474" s="461">
        <f t="shared" si="78"/>
        <v>2.2328559079517389E-4</v>
      </c>
      <c r="N474" s="461">
        <f t="shared" si="78"/>
        <v>2.2226575850403091E-4</v>
      </c>
      <c r="O474" s="1129"/>
    </row>
    <row r="475" spans="2:15" ht="15.5">
      <c r="B475" s="458"/>
      <c r="C475" s="1131" t="s">
        <v>253</v>
      </c>
      <c r="D475" s="1132" t="s">
        <v>304</v>
      </c>
      <c r="E475" s="1131" t="s">
        <v>305</v>
      </c>
      <c r="F475" s="461">
        <f t="shared" ref="F475:N475" si="79">(F300*(F$293/(F$288+F$266+F$293)))</f>
        <v>6.7012881591181563E-4</v>
      </c>
      <c r="G475" s="461">
        <f t="shared" si="79"/>
        <v>6.70804711376671E-4</v>
      </c>
      <c r="H475" s="461">
        <f t="shared" si="79"/>
        <v>6.7242302312905066E-4</v>
      </c>
      <c r="I475" s="461">
        <f t="shared" si="79"/>
        <v>6.7006427114047135E-4</v>
      </c>
      <c r="J475" s="461">
        <f t="shared" si="79"/>
        <v>6.6755437189933576E-4</v>
      </c>
      <c r="K475" s="461">
        <f t="shared" si="79"/>
        <v>6.6490423445091898E-4</v>
      </c>
      <c r="L475" s="461">
        <f t="shared" si="79"/>
        <v>6.6212421878425909E-4</v>
      </c>
      <c r="M475" s="461">
        <f t="shared" si="79"/>
        <v>6.5922412520479903E-4</v>
      </c>
      <c r="N475" s="461">
        <f t="shared" si="79"/>
        <v>6.5621319177380549E-4</v>
      </c>
      <c r="O475" s="1129"/>
    </row>
    <row r="476" spans="2:15" ht="15.5">
      <c r="B476" s="458"/>
      <c r="C476" s="2436" t="s">
        <v>58</v>
      </c>
      <c r="D476" s="2436"/>
      <c r="E476" s="2436"/>
      <c r="F476" s="2437">
        <f>SUBTOTAL(109,XII.b.NationalNavigation.Emissions[2013])</f>
        <v>0.26498550688977485</v>
      </c>
      <c r="G476" s="2437">
        <f>SUBTOTAL(109,XII.b.NationalNavigation.Emissions[2015])</f>
        <v>0.26525277267227287</v>
      </c>
      <c r="H476" s="2437">
        <f>SUBTOTAL(109,XII.b.NationalNavigation.Emissions[2020])</f>
        <v>0.2658926931619276</v>
      </c>
      <c r="I476" s="2437">
        <f>SUBTOTAL(109,XII.b.NationalNavigation.Emissions[2025])</f>
        <v>0.26495998429091677</v>
      </c>
      <c r="J476" s="2437">
        <f>SUBTOTAL(109,XII.b.NationalNavigation.Emissions[2030])</f>
        <v>0.2639675080581948</v>
      </c>
      <c r="K476" s="2437">
        <f>SUBTOTAL(109,XII.b.NationalNavigation.Emissions[2035])</f>
        <v>0.26291957817005712</v>
      </c>
      <c r="L476" s="2437">
        <f>SUBTOTAL(109,XII.b.NationalNavigation.Emissions[2040])</f>
        <v>0.2618202912223842</v>
      </c>
      <c r="M476" s="2437">
        <f>SUBTOTAL(109,XII.b.NationalNavigation.Emissions[2045])</f>
        <v>0.26067352249832126</v>
      </c>
      <c r="N476" s="2437">
        <f>SUBTOTAL(109,XII.b.NationalNavigation.Emissions[2050])</f>
        <v>0.25948292495576131</v>
      </c>
      <c r="O476" s="1129"/>
    </row>
    <row r="477" spans="2:15" ht="15.5">
      <c r="B477" s="458"/>
      <c r="C477" s="1126"/>
      <c r="D477" s="1126"/>
      <c r="E477" s="1126"/>
      <c r="F477" s="1126"/>
      <c r="G477" s="1126"/>
      <c r="H477" s="1126"/>
      <c r="I477" s="1126"/>
      <c r="J477" s="1126"/>
      <c r="K477" s="1126"/>
      <c r="L477" s="1126"/>
      <c r="M477" s="1126"/>
      <c r="N477" s="1126"/>
      <c r="O477" s="1129"/>
    </row>
    <row r="478" spans="2:15">
      <c r="N478" s="2416" t="s">
        <v>5</v>
      </c>
    </row>
    <row r="480" spans="2:15" ht="15">
      <c r="B480" s="986" t="s">
        <v>310</v>
      </c>
      <c r="C480" s="987"/>
      <c r="D480" s="988"/>
      <c r="E480" s="988"/>
      <c r="F480" s="988"/>
      <c r="G480" s="988"/>
      <c r="H480" s="988"/>
      <c r="I480" s="988"/>
      <c r="J480" s="988"/>
      <c r="K480" s="988"/>
      <c r="L480" s="988"/>
      <c r="M480" s="988"/>
      <c r="N480" s="988"/>
      <c r="O480" s="989"/>
    </row>
    <row r="481" spans="2:15">
      <c r="B481" s="990"/>
      <c r="C481" s="991"/>
      <c r="D481" s="991"/>
      <c r="E481" s="991"/>
      <c r="F481" s="991"/>
      <c r="G481" s="991"/>
      <c r="H481" s="991"/>
      <c r="I481" s="991"/>
      <c r="J481" s="991"/>
      <c r="K481" s="991"/>
      <c r="L481" s="991"/>
      <c r="M481" s="991"/>
      <c r="N481" s="991"/>
      <c r="O481" s="992"/>
    </row>
    <row r="482" spans="2:15">
      <c r="B482" s="993"/>
      <c r="C482" s="479" t="s">
        <v>311</v>
      </c>
      <c r="D482" s="994"/>
      <c r="E482" s="995"/>
      <c r="F482" s="994"/>
      <c r="G482" s="994"/>
      <c r="H482" s="994"/>
      <c r="I482" s="994"/>
      <c r="J482" s="994"/>
      <c r="K482" s="994"/>
      <c r="L482" s="994"/>
      <c r="M482" s="994"/>
      <c r="N482" s="995"/>
      <c r="O482" s="996"/>
    </row>
    <row r="483" spans="2:15">
      <c r="B483" s="993"/>
      <c r="C483" s="994"/>
      <c r="D483" s="994"/>
      <c r="E483" s="994"/>
      <c r="F483" s="994"/>
      <c r="G483" s="994"/>
      <c r="H483" s="994"/>
      <c r="I483" s="994"/>
      <c r="J483" s="994"/>
      <c r="K483" s="994"/>
      <c r="L483" s="994"/>
      <c r="M483" s="994"/>
      <c r="N483" s="994"/>
      <c r="O483" s="996"/>
    </row>
    <row r="484" spans="2:15" ht="15.5">
      <c r="B484" s="483"/>
      <c r="C484" s="997" t="s">
        <v>28</v>
      </c>
      <c r="D484" s="997" t="s">
        <v>312</v>
      </c>
      <c r="E484" s="997" t="s">
        <v>30</v>
      </c>
      <c r="F484" s="997">
        <v>2013</v>
      </c>
      <c r="G484" s="997" t="s">
        <v>132</v>
      </c>
      <c r="H484" s="997" t="s">
        <v>133</v>
      </c>
      <c r="I484" s="997" t="s">
        <v>134</v>
      </c>
      <c r="J484" s="997" t="s">
        <v>135</v>
      </c>
      <c r="K484" s="997" t="s">
        <v>136</v>
      </c>
      <c r="L484" s="997" t="s">
        <v>137</v>
      </c>
      <c r="M484" s="997" t="s">
        <v>138</v>
      </c>
      <c r="N484" s="997" t="s">
        <v>139</v>
      </c>
      <c r="O484" s="996"/>
    </row>
    <row r="485" spans="2:15" ht="15.5">
      <c r="B485" s="483"/>
      <c r="C485" s="998" t="s">
        <v>868</v>
      </c>
      <c r="D485" s="998" t="s">
        <v>2692</v>
      </c>
      <c r="E485" s="485"/>
      <c r="F485" s="999"/>
      <c r="G485" s="999"/>
      <c r="H485" s="999"/>
      <c r="I485" s="999"/>
      <c r="J485" s="999"/>
      <c r="K485" s="999"/>
      <c r="L485" s="999"/>
      <c r="M485" s="999"/>
      <c r="N485" s="999"/>
      <c r="O485" s="996"/>
    </row>
    <row r="486" spans="2:15" ht="15.5">
      <c r="B486" s="483"/>
      <c r="C486" s="998" t="s">
        <v>748</v>
      </c>
      <c r="D486" s="485" t="s">
        <v>749</v>
      </c>
      <c r="E486" s="485"/>
      <c r="F486" s="999"/>
      <c r="G486" s="999"/>
      <c r="H486" s="999"/>
      <c r="I486" s="999"/>
      <c r="J486" s="999"/>
      <c r="K486" s="999"/>
      <c r="L486" s="999"/>
      <c r="M486" s="999"/>
      <c r="N486" s="999"/>
      <c r="O486" s="996"/>
    </row>
    <row r="487" spans="2:15" ht="15.5">
      <c r="B487" s="483"/>
      <c r="C487" s="998" t="s">
        <v>313</v>
      </c>
      <c r="D487" s="485" t="s">
        <v>314</v>
      </c>
      <c r="E487" s="485"/>
      <c r="F487" s="999"/>
      <c r="G487" s="999"/>
      <c r="H487" s="999"/>
      <c r="I487" s="999"/>
      <c r="J487" s="999"/>
      <c r="K487" s="999"/>
      <c r="L487" s="999"/>
      <c r="M487" s="999"/>
      <c r="N487" s="999"/>
      <c r="O487" s="996"/>
    </row>
    <row r="488" spans="2:15" ht="15.5">
      <c r="B488" s="488"/>
      <c r="C488" s="1001"/>
      <c r="D488" s="1001"/>
      <c r="E488" s="1001"/>
      <c r="F488" s="1001"/>
      <c r="G488" s="1001"/>
      <c r="H488" s="1001"/>
      <c r="I488" s="1001"/>
      <c r="J488" s="1001"/>
      <c r="K488" s="1001"/>
      <c r="L488" s="1001"/>
      <c r="M488" s="1001"/>
      <c r="N488" s="1001" t="s">
        <v>5</v>
      </c>
      <c r="O488" s="996"/>
    </row>
    <row r="491" spans="2:15" ht="15">
      <c r="B491" s="986" t="s">
        <v>2720</v>
      </c>
      <c r="C491" s="988"/>
      <c r="D491" s="988"/>
      <c r="E491" s="988"/>
      <c r="F491" s="988"/>
      <c r="G491" s="988"/>
      <c r="H491" s="988"/>
      <c r="I491" s="988"/>
      <c r="J491" s="988"/>
      <c r="K491" s="988"/>
      <c r="L491" s="988"/>
      <c r="M491" s="988"/>
      <c r="N491" s="988"/>
    </row>
    <row r="492" spans="2:15" hidden="1">
      <c r="B492" s="993"/>
      <c r="C492" s="994"/>
      <c r="D492" s="994"/>
      <c r="E492" s="994"/>
      <c r="F492" s="994"/>
      <c r="G492" s="994"/>
      <c r="H492" s="994"/>
      <c r="I492" s="994"/>
      <c r="J492" s="994"/>
      <c r="K492" s="994"/>
      <c r="L492" s="994"/>
      <c r="M492" s="994"/>
      <c r="N492" s="994"/>
      <c r="O492" s="996"/>
    </row>
    <row r="493" spans="2:15" hidden="1">
      <c r="B493" s="993"/>
      <c r="C493" s="491" t="s">
        <v>751</v>
      </c>
      <c r="D493" s="1003"/>
      <c r="E493" s="1003"/>
      <c r="F493" s="1003"/>
      <c r="G493" s="1003"/>
      <c r="H493" s="1003"/>
      <c r="I493" s="1003"/>
      <c r="J493" s="1003"/>
      <c r="K493" s="1003"/>
      <c r="L493" s="1003"/>
      <c r="M493" s="1003"/>
      <c r="N493" s="1003"/>
      <c r="O493" s="996"/>
    </row>
    <row r="494" spans="2:15" hidden="1">
      <c r="B494" s="993"/>
      <c r="C494" s="994"/>
      <c r="D494" s="994"/>
      <c r="E494" s="994"/>
      <c r="F494" s="994"/>
      <c r="G494" s="994"/>
      <c r="H494" s="994"/>
      <c r="I494" s="994"/>
      <c r="J494" s="994"/>
      <c r="K494" s="994"/>
      <c r="L494" s="994"/>
      <c r="M494" s="994"/>
      <c r="N494" s="994"/>
      <c r="O494" s="996"/>
    </row>
    <row r="495" spans="2:15" s="39" customFormat="1" ht="15.5" hidden="1">
      <c r="B495" s="483"/>
      <c r="C495" s="997" t="s">
        <v>28</v>
      </c>
      <c r="D495" s="997" t="s">
        <v>29</v>
      </c>
      <c r="E495" s="997" t="s">
        <v>30</v>
      </c>
      <c r="F495" s="997">
        <v>2013</v>
      </c>
      <c r="G495" s="997" t="s">
        <v>132</v>
      </c>
      <c r="H495" s="997" t="s">
        <v>133</v>
      </c>
      <c r="I495" s="997" t="s">
        <v>134</v>
      </c>
      <c r="J495" s="997" t="s">
        <v>135</v>
      </c>
      <c r="K495" s="997" t="s">
        <v>136</v>
      </c>
      <c r="L495" s="997" t="s">
        <v>137</v>
      </c>
      <c r="M495" s="997" t="s">
        <v>138</v>
      </c>
      <c r="N495" s="997" t="s">
        <v>139</v>
      </c>
      <c r="O495" s="996"/>
    </row>
    <row r="496" spans="2:15" ht="15.5" hidden="1">
      <c r="B496" s="483"/>
      <c r="C496" s="998" t="s">
        <v>321</v>
      </c>
      <c r="D496" s="485" t="s">
        <v>322</v>
      </c>
      <c r="E496" s="485"/>
      <c r="F496" s="486"/>
      <c r="G496" s="486"/>
      <c r="H496" s="486"/>
      <c r="I496" s="486"/>
      <c r="J496" s="486"/>
      <c r="K496" s="486"/>
      <c r="L496" s="486"/>
      <c r="M496" s="486"/>
      <c r="N496" s="486"/>
      <c r="O496" s="996"/>
    </row>
    <row r="497" spans="2:15" ht="15.5" hidden="1">
      <c r="B497" s="483"/>
      <c r="C497" s="998" t="s">
        <v>328</v>
      </c>
      <c r="D497" s="485" t="s">
        <v>329</v>
      </c>
      <c r="E497" s="485"/>
      <c r="F497" s="486"/>
      <c r="G497" s="486"/>
      <c r="H497" s="486"/>
      <c r="I497" s="486"/>
      <c r="J497" s="486"/>
      <c r="K497" s="486"/>
      <c r="L497" s="486"/>
      <c r="M497" s="486"/>
      <c r="N497" s="486"/>
      <c r="O497" s="996"/>
    </row>
    <row r="498" spans="2:15" hidden="1">
      <c r="B498" s="494"/>
      <c r="C498" s="998" t="s">
        <v>323</v>
      </c>
      <c r="D498" s="485" t="s">
        <v>324</v>
      </c>
      <c r="E498" s="485"/>
      <c r="F498" s="486"/>
      <c r="G498" s="486"/>
      <c r="H498" s="486"/>
      <c r="I498" s="486"/>
      <c r="J498" s="486"/>
      <c r="K498" s="486"/>
      <c r="L498" s="486"/>
      <c r="M498" s="486"/>
      <c r="N498" s="486"/>
      <c r="O498" s="996"/>
    </row>
    <row r="499" spans="2:15" hidden="1">
      <c r="B499" s="494"/>
      <c r="C499" s="998" t="s">
        <v>330</v>
      </c>
      <c r="D499" s="485" t="s">
        <v>331</v>
      </c>
      <c r="E499" s="485"/>
      <c r="F499" s="486"/>
      <c r="G499" s="486"/>
      <c r="H499" s="486"/>
      <c r="I499" s="486"/>
      <c r="J499" s="486"/>
      <c r="K499" s="486"/>
      <c r="L499" s="486"/>
      <c r="M499" s="486"/>
      <c r="N499" s="486"/>
      <c r="O499" s="996"/>
    </row>
    <row r="500" spans="2:15" hidden="1">
      <c r="B500" s="1003"/>
      <c r="C500" s="998" t="s">
        <v>325</v>
      </c>
      <c r="D500" s="485" t="s">
        <v>326</v>
      </c>
      <c r="E500" s="485"/>
      <c r="F500" s="486"/>
      <c r="G500" s="486"/>
      <c r="H500" s="486"/>
      <c r="I500" s="486"/>
      <c r="J500" s="486"/>
      <c r="K500" s="486"/>
      <c r="L500" s="486"/>
      <c r="M500" s="486"/>
      <c r="N500" s="486"/>
      <c r="O500" s="996"/>
    </row>
    <row r="501" spans="2:15" hidden="1">
      <c r="B501" s="1003"/>
      <c r="C501" s="998" t="s">
        <v>332</v>
      </c>
      <c r="D501" s="485" t="s">
        <v>333</v>
      </c>
      <c r="E501" s="485"/>
      <c r="F501" s="486"/>
      <c r="G501" s="486"/>
      <c r="H501" s="486"/>
      <c r="I501" s="486"/>
      <c r="J501" s="486"/>
      <c r="K501" s="486"/>
      <c r="L501" s="486"/>
      <c r="M501" s="486"/>
      <c r="N501" s="486"/>
      <c r="O501" s="996"/>
    </row>
    <row r="502" spans="2:15" hidden="1">
      <c r="B502" s="1005"/>
      <c r="C502" s="1001"/>
      <c r="D502" s="1001"/>
      <c r="E502" s="1001"/>
      <c r="F502" s="1001"/>
      <c r="G502" s="1001"/>
      <c r="H502" s="1001"/>
      <c r="I502" s="1001"/>
      <c r="J502" s="1001"/>
      <c r="K502" s="1001"/>
      <c r="L502" s="1001"/>
      <c r="M502" s="1001"/>
      <c r="N502" s="1001"/>
      <c r="O502" s="996"/>
    </row>
    <row r="503" spans="2:15">
      <c r="B503" s="1689"/>
      <c r="C503" s="1068"/>
      <c r="D503" s="1068"/>
      <c r="E503" s="1068"/>
      <c r="F503" s="1068"/>
      <c r="G503" s="1068"/>
      <c r="H503" s="1068"/>
      <c r="I503" s="1068"/>
      <c r="J503" s="1068"/>
      <c r="K503" s="1068"/>
      <c r="L503" s="1068"/>
      <c r="M503" s="1068"/>
      <c r="N503" s="1068"/>
    </row>
    <row r="504" spans="2:15">
      <c r="B504" s="354" t="s">
        <v>1293</v>
      </c>
      <c r="C504" s="354"/>
      <c r="D504" s="354" t="s">
        <v>987</v>
      </c>
      <c r="E504" s="354" t="s">
        <v>44</v>
      </c>
    </row>
    <row r="505" spans="2:15">
      <c r="D505" t="s">
        <v>1117</v>
      </c>
      <c r="E505" t="s">
        <v>1130</v>
      </c>
      <c r="F505" s="1690">
        <f t="shared" ref="F505:N505" si="80">F288</f>
        <v>4.932677048691326E-3</v>
      </c>
      <c r="G505" s="1690">
        <f t="shared" si="80"/>
        <v>5.1361499769498426E-3</v>
      </c>
      <c r="H505" s="1690">
        <f t="shared" si="80"/>
        <v>5.339622905208361E-3</v>
      </c>
      <c r="I505" s="1690">
        <f t="shared" si="80"/>
        <v>5.5430958334668776E-3</v>
      </c>
      <c r="J505" s="1690">
        <f t="shared" si="80"/>
        <v>5.7465687617253951E-3</v>
      </c>
      <c r="K505" s="1690">
        <f t="shared" si="80"/>
        <v>5.9500416899839117E-3</v>
      </c>
      <c r="L505" s="1690">
        <f t="shared" si="80"/>
        <v>6.15351461824243E-3</v>
      </c>
      <c r="M505" s="1690">
        <f t="shared" si="80"/>
        <v>6.3569875465009466E-3</v>
      </c>
      <c r="N505" s="1690">
        <f t="shared" si="80"/>
        <v>6.5604604747594641E-3</v>
      </c>
    </row>
    <row r="506" spans="2:15">
      <c r="C506" t="s">
        <v>5</v>
      </c>
      <c r="D506" t="s">
        <v>1117</v>
      </c>
      <c r="E506" t="s">
        <v>1131</v>
      </c>
      <c r="F506" s="1690">
        <f t="shared" ref="F506:N506" si="81">F290</f>
        <v>0</v>
      </c>
      <c r="G506" s="1690">
        <f t="shared" si="81"/>
        <v>0</v>
      </c>
      <c r="H506" s="1690">
        <f t="shared" si="81"/>
        <v>0</v>
      </c>
      <c r="I506" s="1690">
        <f t="shared" si="81"/>
        <v>0</v>
      </c>
      <c r="J506" s="1690">
        <f t="shared" si="81"/>
        <v>0</v>
      </c>
      <c r="K506" s="1690">
        <f t="shared" si="81"/>
        <v>0</v>
      </c>
      <c r="L506" s="1690">
        <f t="shared" si="81"/>
        <v>0</v>
      </c>
      <c r="M506" s="1690">
        <f t="shared" si="81"/>
        <v>0</v>
      </c>
      <c r="N506" s="1690">
        <f t="shared" si="81"/>
        <v>0</v>
      </c>
    </row>
    <row r="507" spans="2:15">
      <c r="D507" t="s">
        <v>1254</v>
      </c>
      <c r="E507" t="s">
        <v>1130</v>
      </c>
      <c r="F507" s="714">
        <f t="shared" ref="F507:N507" si="82">F266</f>
        <v>6.7590861840000001</v>
      </c>
      <c r="G507" s="714">
        <f t="shared" si="82"/>
        <v>6.9916893695331348</v>
      </c>
      <c r="H507" s="714">
        <f t="shared" si="82"/>
        <v>7.608822925862837</v>
      </c>
      <c r="I507" s="714">
        <f t="shared" si="82"/>
        <v>8.2804288430510997</v>
      </c>
      <c r="J507" s="714">
        <f t="shared" si="82"/>
        <v>9.0113152182546372</v>
      </c>
      <c r="K507" s="714">
        <f t="shared" si="82"/>
        <v>9.8067145436426841</v>
      </c>
      <c r="L507" s="714">
        <f t="shared" si="82"/>
        <v>10.672321166356893</v>
      </c>
      <c r="M507" s="714">
        <f t="shared" si="82"/>
        <v>11.614332054939371</v>
      </c>
      <c r="N507" s="714">
        <f t="shared" si="82"/>
        <v>12.639491164080001</v>
      </c>
    </row>
    <row r="508" spans="2:15">
      <c r="D508" t="s">
        <v>1254</v>
      </c>
      <c r="E508" t="s">
        <v>1131</v>
      </c>
      <c r="F508" s="714">
        <f t="shared" ref="F508:N508" si="83">F271</f>
        <v>0</v>
      </c>
      <c r="G508" s="714">
        <f t="shared" si="83"/>
        <v>0</v>
      </c>
      <c r="H508" s="714">
        <f t="shared" si="83"/>
        <v>0</v>
      </c>
      <c r="I508" s="714">
        <f t="shared" si="83"/>
        <v>0</v>
      </c>
      <c r="J508" s="714">
        <f t="shared" si="83"/>
        <v>0</v>
      </c>
      <c r="K508" s="714">
        <f t="shared" si="83"/>
        <v>0</v>
      </c>
      <c r="L508" s="714">
        <f t="shared" si="83"/>
        <v>0</v>
      </c>
      <c r="M508" s="714">
        <f t="shared" si="83"/>
        <v>0</v>
      </c>
      <c r="N508" s="714">
        <f t="shared" si="83"/>
        <v>0</v>
      </c>
    </row>
    <row r="509" spans="2:15">
      <c r="D509" t="s">
        <v>1255</v>
      </c>
      <c r="E509" t="s">
        <v>1130</v>
      </c>
      <c r="F509" s="714">
        <f t="shared" ref="F509:N509" si="84">F293</f>
        <v>0.66</v>
      </c>
      <c r="G509" s="714">
        <f t="shared" si="84"/>
        <v>0.66</v>
      </c>
      <c r="H509" s="714">
        <f t="shared" si="84"/>
        <v>0.66</v>
      </c>
      <c r="I509" s="714">
        <f t="shared" si="84"/>
        <v>0.66</v>
      </c>
      <c r="J509" s="714">
        <f t="shared" si="84"/>
        <v>0.66</v>
      </c>
      <c r="K509" s="714">
        <f t="shared" si="84"/>
        <v>0.66</v>
      </c>
      <c r="L509" s="714">
        <f t="shared" si="84"/>
        <v>0.66</v>
      </c>
      <c r="M509" s="714">
        <f t="shared" si="84"/>
        <v>0.66</v>
      </c>
      <c r="N509" s="714">
        <f t="shared" si="84"/>
        <v>0.66</v>
      </c>
    </row>
    <row r="728" spans="6:14">
      <c r="F728">
        <v>0</v>
      </c>
      <c r="G728">
        <v>0</v>
      </c>
      <c r="H728">
        <v>0</v>
      </c>
      <c r="I728">
        <v>0</v>
      </c>
      <c r="J728">
        <v>0</v>
      </c>
      <c r="K728">
        <v>0</v>
      </c>
      <c r="L728">
        <v>0</v>
      </c>
      <c r="M728">
        <v>0</v>
      </c>
      <c r="N728">
        <v>0</v>
      </c>
    </row>
    <row r="729" spans="6:14">
      <c r="F729">
        <v>0</v>
      </c>
      <c r="G729">
        <v>0</v>
      </c>
      <c r="H729">
        <v>0</v>
      </c>
      <c r="I729">
        <v>0</v>
      </c>
      <c r="J729">
        <v>0</v>
      </c>
      <c r="K729">
        <v>0</v>
      </c>
      <c r="L729">
        <v>0</v>
      </c>
      <c r="M729">
        <v>0</v>
      </c>
      <c r="N729">
        <v>0</v>
      </c>
    </row>
    <row r="730" spans="6:14">
      <c r="F730">
        <v>0</v>
      </c>
      <c r="G730">
        <v>0</v>
      </c>
      <c r="H730">
        <v>0</v>
      </c>
      <c r="I730">
        <v>0</v>
      </c>
      <c r="J730">
        <v>0</v>
      </c>
      <c r="K730">
        <v>0</v>
      </c>
      <c r="L730">
        <v>0</v>
      </c>
      <c r="M730">
        <v>0</v>
      </c>
      <c r="N730">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sheetPr>
  <dimension ref="A1:BE665"/>
  <sheetViews>
    <sheetView showGridLines="0" zoomScale="80" zoomScaleNormal="80" workbookViewId="0">
      <selection activeCell="H8" sqref="H8"/>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 min="17" max="17" width="18.7265625" bestFit="1" customWidth="1"/>
    <col min="18" max="18" width="9.26953125" bestFit="1" customWidth="1"/>
    <col min="19" max="26" width="11.7265625" bestFit="1" customWidth="1"/>
    <col min="27" max="54" width="9.26953125" bestFit="1" customWidth="1"/>
  </cols>
  <sheetData>
    <row r="1" spans="1:57" ht="20">
      <c r="A1" s="1007" t="s">
        <v>481</v>
      </c>
      <c r="B1" s="1007" t="s">
        <v>482</v>
      </c>
      <c r="C1" s="1007"/>
      <c r="G1" s="3823"/>
    </row>
    <row r="2" spans="1:57" s="6" customFormat="1" ht="15">
      <c r="A2" s="855" t="s">
        <v>473</v>
      </c>
      <c r="B2" s="855" t="s">
        <v>364</v>
      </c>
      <c r="C2" s="855"/>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5">
      <c r="A4" s="7"/>
      <c r="B4" s="502" t="s">
        <v>6</v>
      </c>
      <c r="C4" s="503"/>
      <c r="D4" s="503"/>
      <c r="E4" s="503"/>
      <c r="F4" s="503"/>
      <c r="G4" s="503"/>
      <c r="H4" s="503"/>
      <c r="I4" s="503"/>
      <c r="J4" s="503"/>
      <c r="K4" s="503"/>
      <c r="L4" s="503"/>
      <c r="M4" s="503"/>
      <c r="N4" s="503"/>
      <c r="O4" s="857"/>
    </row>
    <row r="5" spans="1:57">
      <c r="B5" s="505"/>
      <c r="C5" s="506"/>
      <c r="D5" s="506"/>
      <c r="E5" s="506"/>
      <c r="F5" s="506"/>
      <c r="G5" s="506"/>
      <c r="H5" s="506"/>
      <c r="I5" s="506"/>
      <c r="J5" s="506"/>
      <c r="K5" s="506"/>
      <c r="L5" s="506"/>
      <c r="M5" s="506"/>
      <c r="N5" s="506"/>
      <c r="O5" s="858"/>
    </row>
    <row r="6" spans="1:57">
      <c r="B6" s="505"/>
      <c r="C6" s="12"/>
      <c r="D6" s="506"/>
      <c r="E6" s="507"/>
      <c r="F6" s="506"/>
      <c r="G6" s="506"/>
      <c r="H6" s="506"/>
      <c r="I6" s="506"/>
      <c r="J6" s="506"/>
      <c r="K6" s="506"/>
      <c r="L6" s="506"/>
      <c r="M6" s="506"/>
      <c r="N6" s="506"/>
      <c r="O6" s="858"/>
    </row>
    <row r="7" spans="1:57" ht="15.5">
      <c r="B7" s="15"/>
      <c r="C7" s="506"/>
      <c r="D7" s="16" t="s">
        <v>7</v>
      </c>
      <c r="E7" s="16" t="s">
        <v>8</v>
      </c>
      <c r="F7" s="506"/>
      <c r="G7" s="506"/>
      <c r="H7" s="506"/>
      <c r="I7" s="506"/>
      <c r="J7" s="506"/>
      <c r="K7" s="506"/>
      <c r="L7" s="506"/>
      <c r="M7" s="506"/>
      <c r="N7" s="506"/>
      <c r="O7" s="858"/>
    </row>
    <row r="8" spans="1:57" ht="15.5">
      <c r="B8" s="15"/>
      <c r="C8" s="506"/>
      <c r="D8" s="859" t="s">
        <v>1244</v>
      </c>
      <c r="E8" s="859">
        <f>XII.c.Scenario</f>
        <v>1</v>
      </c>
      <c r="F8" s="506"/>
      <c r="G8" s="506"/>
      <c r="H8" s="506"/>
      <c r="I8" s="506"/>
      <c r="J8" s="506"/>
      <c r="K8" s="506"/>
      <c r="L8" s="506"/>
      <c r="M8" s="506"/>
      <c r="N8" s="506"/>
      <c r="O8" s="858"/>
    </row>
    <row r="9" spans="1:57">
      <c r="B9" s="1243"/>
      <c r="C9" s="860"/>
      <c r="D9" s="860"/>
      <c r="E9" s="860"/>
      <c r="F9" s="860"/>
      <c r="G9" s="860"/>
      <c r="H9" s="860"/>
      <c r="I9" s="860"/>
      <c r="J9" s="860"/>
      <c r="K9" s="860"/>
      <c r="L9" s="860"/>
      <c r="M9" s="860"/>
      <c r="N9" s="860"/>
      <c r="O9" s="861"/>
    </row>
    <row r="11" spans="1:57" s="6" customFormat="1" ht="23.5">
      <c r="A11" s="40"/>
      <c r="B11" s="869" t="s">
        <v>33</v>
      </c>
      <c r="C11" s="870"/>
      <c r="D11" s="870"/>
      <c r="E11" s="870"/>
      <c r="F11" s="870"/>
      <c r="G11" s="870"/>
      <c r="H11" s="870"/>
      <c r="I11" s="870"/>
      <c r="J11" s="870"/>
      <c r="K11" s="870"/>
      <c r="L11" s="870"/>
      <c r="M11" s="870"/>
      <c r="N11" s="870"/>
      <c r="O11" s="87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05"/>
      <c r="C12" s="67"/>
      <c r="D12" s="67"/>
      <c r="E12" s="67"/>
      <c r="F12" s="67"/>
      <c r="G12" s="67"/>
      <c r="H12" s="67"/>
      <c r="I12" s="67"/>
      <c r="J12" s="67"/>
      <c r="K12" s="67"/>
      <c r="L12" s="67"/>
      <c r="M12" s="67"/>
      <c r="N12" s="67"/>
      <c r="O12" s="876"/>
    </row>
    <row r="13" spans="1:57" s="3893" customFormat="1">
      <c r="B13" s="105"/>
      <c r="C13" s="49" t="s">
        <v>3142</v>
      </c>
      <c r="D13" s="67"/>
      <c r="E13" s="51"/>
      <c r="F13" s="67"/>
      <c r="G13" s="67"/>
      <c r="H13" s="67"/>
      <c r="I13" s="67"/>
      <c r="J13" s="67"/>
      <c r="K13" s="67"/>
      <c r="L13" s="67"/>
      <c r="M13" s="67"/>
      <c r="N13" s="51"/>
      <c r="O13" s="876"/>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893" customFormat="1">
      <c r="B14" s="105"/>
      <c r="C14" s="67"/>
      <c r="D14" s="67"/>
      <c r="E14" s="67"/>
      <c r="F14" s="67"/>
      <c r="G14" s="67"/>
      <c r="H14" s="67"/>
      <c r="I14" s="67"/>
      <c r="J14" s="67"/>
      <c r="K14" s="67"/>
      <c r="L14" s="67"/>
      <c r="M14" s="67"/>
      <c r="N14" s="67"/>
      <c r="O14" s="876"/>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893" customFormat="1">
      <c r="B15" s="105"/>
      <c r="C15" s="878" t="s">
        <v>8</v>
      </c>
      <c r="D15" s="878" t="s">
        <v>34</v>
      </c>
      <c r="E15" s="878" t="s">
        <v>30</v>
      </c>
      <c r="F15" s="87">
        <v>2013</v>
      </c>
      <c r="G15" s="87">
        <v>2015</v>
      </c>
      <c r="H15" s="87">
        <v>2020</v>
      </c>
      <c r="I15" s="87">
        <v>2025</v>
      </c>
      <c r="J15" s="87">
        <v>2030</v>
      </c>
      <c r="K15" s="87">
        <v>2035</v>
      </c>
      <c r="L15" s="87">
        <v>2040</v>
      </c>
      <c r="M15" s="87">
        <v>2045</v>
      </c>
      <c r="N15" s="87">
        <v>2050</v>
      </c>
      <c r="O15" s="876"/>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893" customFormat="1">
      <c r="B16" s="105"/>
      <c r="C16" s="65">
        <v>1</v>
      </c>
      <c r="D16" s="103" t="s">
        <v>3141</v>
      </c>
      <c r="E16" s="1256"/>
      <c r="F16" s="1214">
        <v>24.5731</v>
      </c>
      <c r="G16" s="1214">
        <v>25.817113187499999</v>
      </c>
      <c r="H16" s="1214">
        <v>29.209693893464351</v>
      </c>
      <c r="I16" s="1214">
        <v>33.048087567086696</v>
      </c>
      <c r="J16" s="1214">
        <v>37.390877693730431</v>
      </c>
      <c r="K16" s="1214">
        <v>42.304346109875468</v>
      </c>
      <c r="L16" s="1214">
        <v>47.863484629680649</v>
      </c>
      <c r="M16" s="1214">
        <v>54.153139607584862</v>
      </c>
      <c r="N16" s="1214">
        <v>61.269306905834092</v>
      </c>
      <c r="O16" s="87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893" customFormat="1">
      <c r="B17" s="105"/>
      <c r="C17" s="65">
        <v>2</v>
      </c>
      <c r="D17" s="103" t="s">
        <v>3141</v>
      </c>
      <c r="E17" s="1256"/>
      <c r="F17" s="1214">
        <v>24.5731</v>
      </c>
      <c r="G17" s="1214">
        <v>25.817113187499999</v>
      </c>
      <c r="H17" s="1214">
        <v>29.209693893464351</v>
      </c>
      <c r="I17" s="1214">
        <v>33.048087567086696</v>
      </c>
      <c r="J17" s="1214">
        <v>37.390877693730431</v>
      </c>
      <c r="K17" s="1214">
        <v>42.304346109875468</v>
      </c>
      <c r="L17" s="1214">
        <v>47.863484629680649</v>
      </c>
      <c r="M17" s="1214">
        <v>54.153139607584862</v>
      </c>
      <c r="N17" s="1214">
        <v>61.269306905834092</v>
      </c>
      <c r="O17" s="876"/>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893" customFormat="1">
      <c r="B18" s="105"/>
      <c r="C18" s="65">
        <v>3</v>
      </c>
      <c r="D18" s="103" t="s">
        <v>3141</v>
      </c>
      <c r="E18" s="1256"/>
      <c r="F18" s="1214">
        <v>24.5731</v>
      </c>
      <c r="G18" s="1214">
        <v>25.817113187499999</v>
      </c>
      <c r="H18" s="1214">
        <v>29.209693893464351</v>
      </c>
      <c r="I18" s="1214">
        <v>33.048087567086696</v>
      </c>
      <c r="J18" s="1214">
        <v>36.13143602503559</v>
      </c>
      <c r="K18" s="1214">
        <v>39.502457338299841</v>
      </c>
      <c r="L18" s="1214">
        <v>43.187991052527281</v>
      </c>
      <c r="M18" s="1214">
        <v>47.217380812022505</v>
      </c>
      <c r="N18" s="1214">
        <v>51.622707989263738</v>
      </c>
      <c r="O18" s="876"/>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893" customFormat="1">
      <c r="B19" s="105"/>
      <c r="C19" s="887">
        <v>4</v>
      </c>
      <c r="D19" s="103" t="s">
        <v>3141</v>
      </c>
      <c r="E19" s="888"/>
      <c r="F19" s="1214">
        <v>24.5731</v>
      </c>
      <c r="G19" s="1214">
        <v>25.817113187499999</v>
      </c>
      <c r="H19" s="1214">
        <v>29.209693893464351</v>
      </c>
      <c r="I19" s="1214">
        <v>30.246446470146743</v>
      </c>
      <c r="J19" s="1214">
        <v>31.319996964300572</v>
      </c>
      <c r="K19" s="1214">
        <v>32.431651460676129</v>
      </c>
      <c r="L19" s="1214">
        <v>33.582762401467072</v>
      </c>
      <c r="M19" s="1214">
        <v>32.916458945405573</v>
      </c>
      <c r="N19" s="1214">
        <v>32.263375375494363</v>
      </c>
      <c r="O19" s="876"/>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893" customFormat="1">
      <c r="B20" s="105"/>
      <c r="C20" s="1015" t="s">
        <v>37</v>
      </c>
      <c r="D20" s="892"/>
      <c r="E20" s="892"/>
      <c r="F20" s="3896">
        <f>(INDEX(F$16:F$19,ROUNDDOWN($E$8,0))*(1-MOD($E$8,1)))+(INDEX(F$16:F$19,ROUNDUP($E$8,0))*MOD($E$8,1))</f>
        <v>24.5731</v>
      </c>
      <c r="G20" s="3896">
        <f t="shared" ref="G20:N20" si="0">(INDEX(G$16:G$19,ROUNDDOWN($E$8,0))*(1-MOD($E$8,1)))+(INDEX(G$16:G$19,ROUNDUP($E$8,0))*MOD($E$8,1))</f>
        <v>25.817113187499999</v>
      </c>
      <c r="H20" s="3896">
        <f t="shared" si="0"/>
        <v>29.209693893464351</v>
      </c>
      <c r="I20" s="3896">
        <f t="shared" si="0"/>
        <v>33.048087567086696</v>
      </c>
      <c r="J20" s="3896">
        <f t="shared" si="0"/>
        <v>37.390877693730431</v>
      </c>
      <c r="K20" s="3896">
        <f t="shared" si="0"/>
        <v>42.304346109875468</v>
      </c>
      <c r="L20" s="3896">
        <f t="shared" si="0"/>
        <v>47.863484629680649</v>
      </c>
      <c r="M20" s="3896">
        <f t="shared" si="0"/>
        <v>54.153139607584862</v>
      </c>
      <c r="N20" s="3896">
        <f t="shared" si="0"/>
        <v>61.269306905834092</v>
      </c>
      <c r="O20" s="876"/>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893" customFormat="1">
      <c r="B21" s="105"/>
      <c r="C21" s="67" t="s">
        <v>5</v>
      </c>
      <c r="D21" s="67"/>
      <c r="E21" s="67"/>
      <c r="F21" s="67"/>
      <c r="G21" s="67"/>
      <c r="H21" s="67"/>
      <c r="I21" s="67"/>
      <c r="J21" s="67"/>
      <c r="K21" s="67" t="s">
        <v>5</v>
      </c>
      <c r="L21" s="67"/>
      <c r="M21" s="67"/>
      <c r="N21" s="67"/>
      <c r="O21" s="876"/>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893" customFormat="1">
      <c r="B22" s="105"/>
      <c r="C22" s="49" t="s">
        <v>3144</v>
      </c>
      <c r="D22" s="67"/>
      <c r="E22" s="51" t="s">
        <v>5</v>
      </c>
      <c r="F22" s="67" t="s">
        <v>5</v>
      </c>
      <c r="G22" s="67"/>
      <c r="H22" s="67"/>
      <c r="I22" s="67"/>
      <c r="J22" s="67"/>
      <c r="K22" s="67"/>
      <c r="L22" s="67"/>
      <c r="M22" s="67"/>
      <c r="N22" s="51"/>
      <c r="O22" s="876"/>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893" customFormat="1">
      <c r="B23" s="105"/>
      <c r="C23" s="67"/>
      <c r="D23" s="67"/>
      <c r="E23" s="67"/>
      <c r="F23" s="67"/>
      <c r="G23" s="67"/>
      <c r="H23" s="67"/>
      <c r="I23" s="67"/>
      <c r="J23" s="67"/>
      <c r="K23" s="67"/>
      <c r="L23" s="67"/>
      <c r="M23" s="67"/>
      <c r="N23" s="67"/>
      <c r="O23" s="876"/>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893" customFormat="1">
      <c r="B24" s="105"/>
      <c r="C24" s="878" t="s">
        <v>8</v>
      </c>
      <c r="D24" s="878" t="s">
        <v>34</v>
      </c>
      <c r="E24" s="878" t="s">
        <v>30</v>
      </c>
      <c r="F24" s="87">
        <v>2013</v>
      </c>
      <c r="G24" s="87">
        <v>2015</v>
      </c>
      <c r="H24" s="87">
        <v>2020</v>
      </c>
      <c r="I24" s="87">
        <v>2025</v>
      </c>
      <c r="J24" s="87">
        <v>2030</v>
      </c>
      <c r="K24" s="87">
        <v>2035</v>
      </c>
      <c r="L24" s="87">
        <v>2040</v>
      </c>
      <c r="M24" s="87">
        <v>2045</v>
      </c>
      <c r="N24" s="87">
        <v>2050</v>
      </c>
      <c r="O24" s="876"/>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893" customFormat="1">
      <c r="B25" s="105"/>
      <c r="C25" s="65">
        <v>1</v>
      </c>
      <c r="D25" s="103" t="s">
        <v>3147</v>
      </c>
      <c r="E25" s="1256"/>
      <c r="F25" s="59">
        <v>0</v>
      </c>
      <c r="G25" s="296">
        <v>8.9999999999999993E-3</v>
      </c>
      <c r="H25" s="296">
        <v>8.9999999999999993E-3</v>
      </c>
      <c r="I25" s="296">
        <v>8.9999999999999993E-3</v>
      </c>
      <c r="J25" s="296">
        <v>8.9999999999999993E-3</v>
      </c>
      <c r="K25" s="296">
        <v>8.9999999999999993E-3</v>
      </c>
      <c r="L25" s="296">
        <v>8.9999999999999993E-3</v>
      </c>
      <c r="M25" s="296">
        <v>8.9999999999999993E-3</v>
      </c>
      <c r="N25" s="296">
        <v>8.9999999999999993E-3</v>
      </c>
      <c r="O25" s="876"/>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893" customFormat="1">
      <c r="B26" s="105"/>
      <c r="C26" s="65">
        <v>2</v>
      </c>
      <c r="D26" s="103" t="s">
        <v>3147</v>
      </c>
      <c r="E26" s="1256"/>
      <c r="F26" s="59">
        <v>0</v>
      </c>
      <c r="G26" s="296">
        <v>1.2E-2</v>
      </c>
      <c r="H26" s="296">
        <v>1.2E-2</v>
      </c>
      <c r="I26" s="296">
        <v>1.2E-2</v>
      </c>
      <c r="J26" s="296">
        <v>1.2E-2</v>
      </c>
      <c r="K26" s="296">
        <v>1.2E-2</v>
      </c>
      <c r="L26" s="296">
        <v>1.2E-2</v>
      </c>
      <c r="M26" s="296">
        <v>1.2E-2</v>
      </c>
      <c r="N26" s="296">
        <v>1.2E-2</v>
      </c>
      <c r="O26" s="87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893" customFormat="1">
      <c r="B27" s="105"/>
      <c r="C27" s="65">
        <v>3</v>
      </c>
      <c r="D27" s="103" t="s">
        <v>3147</v>
      </c>
      <c r="E27" s="1256"/>
      <c r="F27" s="59">
        <v>0</v>
      </c>
      <c r="G27" s="296">
        <v>1.2E-2</v>
      </c>
      <c r="H27" s="296">
        <v>1.2E-2</v>
      </c>
      <c r="I27" s="296">
        <v>1.2E-2</v>
      </c>
      <c r="J27" s="296">
        <v>1.2E-2</v>
      </c>
      <c r="K27" s="296">
        <v>1.2E-2</v>
      </c>
      <c r="L27" s="296">
        <v>1.2E-2</v>
      </c>
      <c r="M27" s="296">
        <v>1.2E-2</v>
      </c>
      <c r="N27" s="296">
        <v>1.2E-2</v>
      </c>
      <c r="O27" s="876"/>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893" customFormat="1">
      <c r="B28" s="105"/>
      <c r="C28" s="917">
        <v>4</v>
      </c>
      <c r="D28" s="194" t="s">
        <v>3147</v>
      </c>
      <c r="E28" s="194"/>
      <c r="F28" s="1178">
        <v>0</v>
      </c>
      <c r="G28" s="1151">
        <v>1.2E-2</v>
      </c>
      <c r="H28" s="1151">
        <v>1.2E-2</v>
      </c>
      <c r="I28" s="1151">
        <v>1.2E-2</v>
      </c>
      <c r="J28" s="1151">
        <v>1.2E-2</v>
      </c>
      <c r="K28" s="1151">
        <v>1.2E-2</v>
      </c>
      <c r="L28" s="1151">
        <v>1.2E-2</v>
      </c>
      <c r="M28" s="1151">
        <v>1.2E-2</v>
      </c>
      <c r="N28" s="1151">
        <v>1.2E-2</v>
      </c>
      <c r="O28" s="876"/>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893" customFormat="1" ht="15.5">
      <c r="B29" s="252"/>
      <c r="C29" s="937"/>
      <c r="D29" s="103"/>
      <c r="E29" s="103"/>
      <c r="F29" s="167" t="s">
        <v>5</v>
      </c>
      <c r="G29" s="167"/>
      <c r="H29" s="167"/>
      <c r="I29" s="167"/>
      <c r="J29" s="167"/>
      <c r="K29" s="167"/>
      <c r="L29" s="167"/>
      <c r="M29" s="167"/>
      <c r="N29" s="160"/>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893" customFormat="1" ht="15.5">
      <c r="B30" s="252"/>
      <c r="C30" s="3835" t="s">
        <v>63</v>
      </c>
      <c r="D30" s="103"/>
      <c r="E30" s="103"/>
      <c r="F30" s="167"/>
      <c r="G30" s="167"/>
      <c r="H30" s="167"/>
      <c r="I30" s="167"/>
      <c r="J30" s="167"/>
      <c r="K30" s="167"/>
      <c r="L30" s="167"/>
      <c r="M30" s="167"/>
      <c r="N30" s="160"/>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893" customFormat="1" ht="15.5">
      <c r="B31" s="252"/>
      <c r="C31" s="3834" t="s">
        <v>64</v>
      </c>
      <c r="D31" s="2248" t="s">
        <v>3143</v>
      </c>
      <c r="E31" s="103"/>
      <c r="F31" s="167"/>
      <c r="G31" s="167"/>
      <c r="H31" s="167"/>
      <c r="I31" s="167"/>
      <c r="J31" s="167"/>
      <c r="K31" s="167"/>
      <c r="L31" s="167"/>
      <c r="M31" s="167"/>
      <c r="N31" s="160"/>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893" customFormat="1" ht="15.5">
      <c r="B32" s="252"/>
      <c r="C32" s="104"/>
      <c r="D32" s="2248" t="s">
        <v>3145</v>
      </c>
      <c r="E32" s="103"/>
      <c r="F32" s="167"/>
      <c r="G32" s="167"/>
      <c r="H32" s="167"/>
      <c r="I32" s="167"/>
      <c r="J32" s="167"/>
      <c r="K32" s="167"/>
      <c r="L32" s="167"/>
      <c r="M32" s="167"/>
      <c r="N32" s="160"/>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893" customFormat="1" ht="15.5">
      <c r="B33" s="252"/>
      <c r="C33" s="104"/>
      <c r="D33" s="2248" t="s">
        <v>3140</v>
      </c>
      <c r="E33" s="103"/>
      <c r="F33" s="167"/>
      <c r="G33" s="167"/>
      <c r="H33" s="167"/>
      <c r="I33" s="167"/>
      <c r="J33" s="167"/>
      <c r="K33" s="167"/>
      <c r="L33" s="167"/>
      <c r="M33" s="167"/>
      <c r="N33" s="160"/>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893" customFormat="1" ht="15.5">
      <c r="B34" s="252"/>
      <c r="C34" s="104" t="s">
        <v>66</v>
      </c>
      <c r="D34" s="2248" t="s">
        <v>3175</v>
      </c>
      <c r="E34" s="103"/>
      <c r="F34" s="167"/>
      <c r="G34" s="167"/>
      <c r="H34" s="167"/>
      <c r="I34" s="167"/>
      <c r="J34" s="167"/>
      <c r="K34" s="167"/>
      <c r="L34" s="167"/>
      <c r="M34" s="167"/>
      <c r="N34" s="160"/>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5">
      <c r="B35" s="252"/>
      <c r="C35" s="65" t="s">
        <v>5</v>
      </c>
      <c r="D35" s="103"/>
      <c r="E35" s="103"/>
      <c r="F35" s="59"/>
      <c r="G35" s="1217"/>
      <c r="H35" s="1217"/>
      <c r="I35" s="1217"/>
      <c r="J35" s="1217"/>
      <c r="K35" s="1217"/>
      <c r="L35" s="1217"/>
      <c r="M35" s="1217"/>
      <c r="N35" s="1217"/>
      <c r="O35" s="67"/>
    </row>
    <row r="36" spans="1:57">
      <c r="N36" t="s">
        <v>5</v>
      </c>
    </row>
    <row r="37" spans="1:57" s="6" customFormat="1" ht="23.5">
      <c r="A37" s="40"/>
      <c r="B37" s="869" t="s">
        <v>69</v>
      </c>
      <c r="C37" s="870"/>
      <c r="D37" s="870"/>
      <c r="E37" s="870"/>
      <c r="F37" s="870"/>
      <c r="G37" s="870"/>
      <c r="H37" s="870" t="s">
        <v>5</v>
      </c>
      <c r="I37" s="870"/>
      <c r="J37" s="870"/>
      <c r="K37" s="870"/>
      <c r="L37" s="870"/>
      <c r="M37" s="870"/>
      <c r="N37" s="870"/>
      <c r="O37" s="871"/>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05"/>
      <c r="C38" s="67"/>
      <c r="D38" s="67"/>
      <c r="E38" s="67"/>
      <c r="F38" s="67"/>
      <c r="G38" s="67"/>
      <c r="H38" s="67"/>
      <c r="I38" s="67"/>
      <c r="J38" s="67"/>
      <c r="K38" s="67"/>
      <c r="L38" s="67"/>
      <c r="M38" s="67"/>
      <c r="N38" s="67"/>
      <c r="O38" s="876"/>
    </row>
    <row r="39" spans="1:57">
      <c r="B39" s="105"/>
      <c r="C39" s="49" t="s">
        <v>1295</v>
      </c>
      <c r="D39" s="67"/>
      <c r="E39" s="51"/>
      <c r="F39" s="51" t="str">
        <f>Preferences.EnergyUnits</f>
        <v>TWh</v>
      </c>
      <c r="G39" s="67"/>
      <c r="H39" s="67"/>
      <c r="I39" s="67"/>
      <c r="J39" s="67"/>
      <c r="K39" s="67"/>
      <c r="L39" s="67"/>
      <c r="M39" s="67"/>
      <c r="N39" s="51"/>
      <c r="O39" s="876"/>
    </row>
    <row r="40" spans="1:57">
      <c r="B40" s="105"/>
      <c r="C40" s="67"/>
      <c r="D40" s="67"/>
      <c r="E40" s="67"/>
      <c r="F40" s="67"/>
      <c r="G40" s="67"/>
      <c r="H40" s="67"/>
      <c r="I40" s="67"/>
      <c r="J40" s="67"/>
      <c r="K40" s="67"/>
      <c r="L40" s="67"/>
      <c r="M40" s="67"/>
      <c r="N40" s="67"/>
      <c r="O40" s="876"/>
    </row>
    <row r="41" spans="1:57" ht="15.5">
      <c r="B41" s="55"/>
      <c r="C41" s="878" t="s">
        <v>28</v>
      </c>
      <c r="D41" s="878" t="s">
        <v>34</v>
      </c>
      <c r="E41" s="878" t="s">
        <v>30</v>
      </c>
      <c r="F41" s="87">
        <v>2013</v>
      </c>
      <c r="G41" s="911"/>
      <c r="H41" s="911"/>
      <c r="I41" s="911"/>
      <c r="J41" s="911"/>
      <c r="K41" s="911"/>
      <c r="L41" s="911"/>
      <c r="M41" s="911"/>
      <c r="N41" s="911"/>
      <c r="O41" s="876"/>
    </row>
    <row r="42" spans="1:57" ht="15.5">
      <c r="A42" s="39"/>
      <c r="B42" s="55"/>
      <c r="C42" s="907" t="s">
        <v>98</v>
      </c>
      <c r="D42" s="908" t="s">
        <v>1294</v>
      </c>
      <c r="E42" s="1499" t="s">
        <v>64</v>
      </c>
      <c r="F42" s="912">
        <f>Unit.TWh*7.02</f>
        <v>7.02</v>
      </c>
      <c r="G42" s="1693"/>
      <c r="H42" s="1693"/>
      <c r="I42" s="74"/>
      <c r="J42" s="74"/>
      <c r="K42" s="74"/>
      <c r="L42" s="74"/>
      <c r="M42" s="74"/>
      <c r="N42" s="74"/>
      <c r="O42" s="876"/>
    </row>
    <row r="43" spans="1:57">
      <c r="B43" s="105"/>
      <c r="C43" s="67"/>
      <c r="D43" s="67"/>
      <c r="E43" s="67"/>
      <c r="F43" s="67"/>
      <c r="G43" s="67"/>
      <c r="H43" s="67"/>
      <c r="I43" s="67"/>
      <c r="J43" s="67"/>
      <c r="K43" s="67"/>
      <c r="L43" s="67"/>
      <c r="M43" s="67"/>
      <c r="N43" s="67"/>
      <c r="O43" s="876"/>
    </row>
    <row r="44" spans="1:57">
      <c r="B44" s="105"/>
      <c r="C44" s="49" t="s">
        <v>779</v>
      </c>
      <c r="D44" s="67"/>
      <c r="E44" s="67"/>
      <c r="F44" s="67"/>
      <c r="G44" s="67"/>
      <c r="H44" s="67"/>
      <c r="I44" s="67"/>
      <c r="J44" s="67"/>
      <c r="K44" s="67"/>
      <c r="L44" s="67"/>
      <c r="M44" s="67"/>
      <c r="N44" s="51" t="str">
        <f>"kt per "&amp;Preferences.EnergyUnits</f>
        <v>kt per TWh</v>
      </c>
      <c r="O44" s="876"/>
    </row>
    <row r="45" spans="1:57">
      <c r="B45" s="105"/>
      <c r="C45" s="67"/>
      <c r="D45" s="67"/>
      <c r="E45" s="1352"/>
      <c r="F45" s="67"/>
      <c r="G45" s="67"/>
      <c r="H45" s="67"/>
      <c r="I45" s="67"/>
      <c r="J45" s="67"/>
      <c r="K45" s="67"/>
      <c r="L45" s="67"/>
      <c r="M45" s="67"/>
      <c r="N45" s="67"/>
      <c r="O45" s="876"/>
    </row>
    <row r="46" spans="1:57">
      <c r="B46" s="105"/>
      <c r="C46" s="1659" t="s">
        <v>43</v>
      </c>
      <c r="D46" s="1659" t="s">
        <v>987</v>
      </c>
      <c r="E46" s="1355" t="s">
        <v>44</v>
      </c>
      <c r="F46" s="1357">
        <v>2013</v>
      </c>
      <c r="G46" s="1357" t="s">
        <v>132</v>
      </c>
      <c r="H46" s="1357" t="s">
        <v>133</v>
      </c>
      <c r="I46" s="1357" t="s">
        <v>134</v>
      </c>
      <c r="J46" s="1357" t="s">
        <v>135</v>
      </c>
      <c r="K46" s="1357" t="s">
        <v>136</v>
      </c>
      <c r="L46" s="1357" t="s">
        <v>137</v>
      </c>
      <c r="M46" s="1357" t="s">
        <v>138</v>
      </c>
      <c r="N46" s="1357" t="s">
        <v>139</v>
      </c>
      <c r="O46" s="876"/>
    </row>
    <row r="47" spans="1:57">
      <c r="A47" s="39"/>
      <c r="B47" s="105"/>
      <c r="C47" s="1694" t="s">
        <v>473</v>
      </c>
      <c r="D47" s="1695" t="s">
        <v>1119</v>
      </c>
      <c r="E47" s="1360" t="s">
        <v>1296</v>
      </c>
      <c r="F47" s="2427">
        <f t="shared" ref="F47:N47" si="1">(7.38307948117895E-06*(1/Unit.GWh))</f>
        <v>7.3830794811789498E-3</v>
      </c>
      <c r="G47" s="2427">
        <f t="shared" si="1"/>
        <v>7.3830794811789498E-3</v>
      </c>
      <c r="H47" s="2427">
        <f t="shared" si="1"/>
        <v>7.3830794811789498E-3</v>
      </c>
      <c r="I47" s="2427">
        <f t="shared" si="1"/>
        <v>7.3830794811789498E-3</v>
      </c>
      <c r="J47" s="2427">
        <f t="shared" si="1"/>
        <v>7.3830794811789498E-3</v>
      </c>
      <c r="K47" s="2427">
        <f t="shared" si="1"/>
        <v>7.3830794811789498E-3</v>
      </c>
      <c r="L47" s="2427">
        <f t="shared" si="1"/>
        <v>7.3830794811789498E-3</v>
      </c>
      <c r="M47" s="2427">
        <f t="shared" si="1"/>
        <v>7.3830794811789498E-3</v>
      </c>
      <c r="N47" s="2427">
        <f t="shared" si="1"/>
        <v>7.3830794811789498E-3</v>
      </c>
      <c r="O47" s="876"/>
    </row>
    <row r="48" spans="1:57">
      <c r="B48" s="105"/>
      <c r="C48" s="67"/>
      <c r="D48" s="67"/>
      <c r="E48" s="67"/>
      <c r="F48" s="67"/>
      <c r="G48" s="67"/>
      <c r="H48" s="67"/>
      <c r="I48" s="67"/>
      <c r="J48" s="67"/>
      <c r="K48" s="67"/>
      <c r="L48" s="67"/>
      <c r="M48" s="67"/>
      <c r="N48" s="67"/>
      <c r="O48" s="876"/>
    </row>
    <row r="49" spans="2:15">
      <c r="B49" s="105"/>
      <c r="C49" s="49" t="s">
        <v>781</v>
      </c>
      <c r="D49" s="67"/>
      <c r="E49" s="67"/>
      <c r="F49" s="67"/>
      <c r="G49" s="67"/>
      <c r="H49" s="67"/>
      <c r="I49" s="67"/>
      <c r="J49" s="67"/>
      <c r="K49" s="67"/>
      <c r="L49" s="67"/>
      <c r="M49" s="67"/>
      <c r="N49" s="51" t="str">
        <f>"kt per "&amp;Preferences.EnergyUnits</f>
        <v>kt per TWh</v>
      </c>
      <c r="O49" s="876"/>
    </row>
    <row r="50" spans="2:15">
      <c r="B50" s="105"/>
      <c r="C50" s="67"/>
      <c r="D50" s="67"/>
      <c r="E50" s="1352"/>
      <c r="F50" s="67"/>
      <c r="G50" s="67"/>
      <c r="H50" s="67"/>
      <c r="I50" s="67"/>
      <c r="J50" s="67"/>
      <c r="K50" s="67"/>
      <c r="L50" s="67"/>
      <c r="M50" s="67"/>
      <c r="N50" s="67"/>
      <c r="O50" s="876"/>
    </row>
    <row r="51" spans="2:15">
      <c r="B51" s="105"/>
      <c r="C51" s="1659" t="s">
        <v>43</v>
      </c>
      <c r="D51" s="1659" t="s">
        <v>987</v>
      </c>
      <c r="E51" s="1355" t="s">
        <v>44</v>
      </c>
      <c r="F51" s="1357">
        <v>2013</v>
      </c>
      <c r="G51" s="1357" t="s">
        <v>132</v>
      </c>
      <c r="H51" s="1357" t="s">
        <v>133</v>
      </c>
      <c r="I51" s="1357" t="s">
        <v>134</v>
      </c>
      <c r="J51" s="1357" t="s">
        <v>135</v>
      </c>
      <c r="K51" s="1357" t="s">
        <v>136</v>
      </c>
      <c r="L51" s="1357" t="s">
        <v>137</v>
      </c>
      <c r="M51" s="1357" t="s">
        <v>138</v>
      </c>
      <c r="N51" s="1357" t="s">
        <v>139</v>
      </c>
      <c r="O51" s="876"/>
    </row>
    <row r="52" spans="2:15">
      <c r="B52" s="105"/>
      <c r="C52" s="1694" t="s">
        <v>473</v>
      </c>
      <c r="D52" s="1695" t="s">
        <v>1119</v>
      </c>
      <c r="E52" s="1360" t="s">
        <v>1296</v>
      </c>
      <c r="F52" s="2427">
        <f t="shared" ref="F52:N52" si="2">(0.00107792216077182*(1/Unit.GWh))</f>
        <v>1.0779221607718199</v>
      </c>
      <c r="G52" s="2427">
        <f t="shared" si="2"/>
        <v>1.0779221607718199</v>
      </c>
      <c r="H52" s="2427">
        <f t="shared" si="2"/>
        <v>1.0779221607718199</v>
      </c>
      <c r="I52" s="2427">
        <f t="shared" si="2"/>
        <v>1.0779221607718199</v>
      </c>
      <c r="J52" s="2427">
        <f t="shared" si="2"/>
        <v>1.0779221607718199</v>
      </c>
      <c r="K52" s="2427">
        <f t="shared" si="2"/>
        <v>1.0779221607718199</v>
      </c>
      <c r="L52" s="2427">
        <f t="shared" si="2"/>
        <v>1.0779221607718199</v>
      </c>
      <c r="M52" s="2427">
        <f t="shared" si="2"/>
        <v>1.0779221607718199</v>
      </c>
      <c r="N52" s="2427">
        <f t="shared" si="2"/>
        <v>1.0779221607718199</v>
      </c>
      <c r="O52" s="876"/>
    </row>
    <row r="53" spans="2:15">
      <c r="B53" s="105"/>
      <c r="C53" s="67"/>
      <c r="D53" s="67"/>
      <c r="E53" s="67"/>
      <c r="F53" s="67"/>
      <c r="G53" s="67"/>
      <c r="H53" s="67"/>
      <c r="I53" s="67"/>
      <c r="J53" s="67"/>
      <c r="K53" s="67"/>
      <c r="L53" s="67"/>
      <c r="M53" s="67"/>
      <c r="N53" s="67"/>
      <c r="O53" s="876"/>
    </row>
    <row r="54" spans="2:15">
      <c r="B54" s="105"/>
      <c r="C54" s="49" t="s">
        <v>782</v>
      </c>
      <c r="D54" s="67"/>
      <c r="E54" s="67"/>
      <c r="F54" s="67"/>
      <c r="G54" s="67"/>
      <c r="H54" s="67"/>
      <c r="I54" s="67"/>
      <c r="J54" s="67"/>
      <c r="K54" s="67"/>
      <c r="L54" s="67"/>
      <c r="M54" s="67"/>
      <c r="N54" s="51" t="str">
        <f>"kt per "&amp;Preferences.EnergyUnits</f>
        <v>kt per TWh</v>
      </c>
      <c r="O54" s="876"/>
    </row>
    <row r="55" spans="2:15">
      <c r="B55" s="105"/>
      <c r="C55" s="67"/>
      <c r="D55" s="67"/>
      <c r="E55" s="1352"/>
      <c r="F55" s="67"/>
      <c r="G55" s="67"/>
      <c r="H55" s="67"/>
      <c r="I55" s="67"/>
      <c r="J55" s="67"/>
      <c r="K55" s="67"/>
      <c r="L55" s="67"/>
      <c r="M55" s="67"/>
      <c r="N55" s="67"/>
      <c r="O55" s="876"/>
    </row>
    <row r="56" spans="2:15">
      <c r="B56" s="105"/>
      <c r="C56" s="1659" t="s">
        <v>43</v>
      </c>
      <c r="D56" s="1659" t="s">
        <v>987</v>
      </c>
      <c r="E56" s="1355" t="s">
        <v>44</v>
      </c>
      <c r="F56" s="1357">
        <v>2013</v>
      </c>
      <c r="G56" s="1357" t="s">
        <v>132</v>
      </c>
      <c r="H56" s="1357" t="s">
        <v>133</v>
      </c>
      <c r="I56" s="1357" t="s">
        <v>134</v>
      </c>
      <c r="J56" s="1357" t="s">
        <v>135</v>
      </c>
      <c r="K56" s="1357" t="s">
        <v>136</v>
      </c>
      <c r="L56" s="1357" t="s">
        <v>137</v>
      </c>
      <c r="M56" s="1357" t="s">
        <v>138</v>
      </c>
      <c r="N56" s="1357" t="s">
        <v>139</v>
      </c>
      <c r="O56" s="876"/>
    </row>
    <row r="57" spans="2:15">
      <c r="B57" s="105"/>
      <c r="C57" s="1694" t="s">
        <v>473</v>
      </c>
      <c r="D57" s="1695" t="s">
        <v>1119</v>
      </c>
      <c r="E57" s="1360" t="s">
        <v>1296</v>
      </c>
      <c r="F57" s="2427">
        <f t="shared" ref="F57:N57" si="3">(0.0000638960072850081*(1/Unit.GWh))</f>
        <v>6.3896007285008105E-2</v>
      </c>
      <c r="G57" s="2427">
        <f t="shared" si="3"/>
        <v>6.3896007285008105E-2</v>
      </c>
      <c r="H57" s="2427">
        <f t="shared" si="3"/>
        <v>6.3896007285008105E-2</v>
      </c>
      <c r="I57" s="2427">
        <f t="shared" si="3"/>
        <v>6.3896007285008105E-2</v>
      </c>
      <c r="J57" s="2427">
        <f t="shared" si="3"/>
        <v>6.3896007285008105E-2</v>
      </c>
      <c r="K57" s="2427">
        <f t="shared" si="3"/>
        <v>6.3896007285008105E-2</v>
      </c>
      <c r="L57" s="2427">
        <f t="shared" si="3"/>
        <v>6.3896007285008105E-2</v>
      </c>
      <c r="M57" s="2427">
        <f t="shared" si="3"/>
        <v>6.3896007285008105E-2</v>
      </c>
      <c r="N57" s="2427">
        <f t="shared" si="3"/>
        <v>6.3896007285008105E-2</v>
      </c>
      <c r="O57" s="876"/>
    </row>
    <row r="58" spans="2:15">
      <c r="B58" s="105"/>
      <c r="C58" s="67"/>
      <c r="D58" s="67"/>
      <c r="E58" s="67"/>
      <c r="F58" s="67"/>
      <c r="G58" s="67"/>
      <c r="H58" s="67"/>
      <c r="I58" s="67"/>
      <c r="J58" s="67"/>
      <c r="K58" s="67"/>
      <c r="L58" s="67"/>
      <c r="M58" s="67"/>
      <c r="N58" s="67"/>
      <c r="O58" s="876"/>
    </row>
    <row r="59" spans="2:15">
      <c r="B59" s="105"/>
      <c r="C59" s="49" t="s">
        <v>783</v>
      </c>
      <c r="D59" s="67"/>
      <c r="E59" s="67"/>
      <c r="F59" s="67"/>
      <c r="G59" s="67"/>
      <c r="H59" s="67"/>
      <c r="I59" s="67"/>
      <c r="J59" s="67"/>
      <c r="K59" s="67"/>
      <c r="L59" s="67"/>
      <c r="M59" s="67"/>
      <c r="N59" s="51" t="str">
        <f>"kt per "&amp;Preferences.EnergyUnits</f>
        <v>kt per TWh</v>
      </c>
      <c r="O59" s="876"/>
    </row>
    <row r="60" spans="2:15">
      <c r="B60" s="105"/>
      <c r="C60" s="67"/>
      <c r="D60" s="67"/>
      <c r="E60" s="1352"/>
      <c r="F60" s="67"/>
      <c r="G60" s="67"/>
      <c r="H60" s="67"/>
      <c r="I60" s="67"/>
      <c r="J60" s="67"/>
      <c r="K60" s="67"/>
      <c r="L60" s="67"/>
      <c r="M60" s="67"/>
      <c r="N60" s="67"/>
      <c r="O60" s="876"/>
    </row>
    <row r="61" spans="2:15">
      <c r="B61" s="105"/>
      <c r="C61" s="1659" t="s">
        <v>43</v>
      </c>
      <c r="D61" s="1659" t="s">
        <v>987</v>
      </c>
      <c r="E61" s="1355" t="s">
        <v>44</v>
      </c>
      <c r="F61" s="1357">
        <v>2013</v>
      </c>
      <c r="G61" s="1357" t="s">
        <v>132</v>
      </c>
      <c r="H61" s="1357" t="s">
        <v>133</v>
      </c>
      <c r="I61" s="1357" t="s">
        <v>134</v>
      </c>
      <c r="J61" s="1357" t="s">
        <v>135</v>
      </c>
      <c r="K61" s="1357" t="s">
        <v>136</v>
      </c>
      <c r="L61" s="1357" t="s">
        <v>137</v>
      </c>
      <c r="M61" s="1357" t="s">
        <v>138</v>
      </c>
      <c r="N61" s="1357" t="s">
        <v>139</v>
      </c>
      <c r="O61" s="876"/>
    </row>
    <row r="62" spans="2:15">
      <c r="B62" s="105"/>
      <c r="C62" s="1694" t="s">
        <v>473</v>
      </c>
      <c r="D62" s="1695" t="s">
        <v>1119</v>
      </c>
      <c r="E62" s="1360" t="s">
        <v>1296</v>
      </c>
      <c r="F62" s="2427">
        <f t="shared" ref="F62:N62" si="4">(0.0000995128057609398*(1/Unit.GWh))</f>
        <v>9.9512805760939807E-2</v>
      </c>
      <c r="G62" s="2427">
        <f t="shared" si="4"/>
        <v>9.9512805760939807E-2</v>
      </c>
      <c r="H62" s="2427">
        <f t="shared" si="4"/>
        <v>9.9512805760939807E-2</v>
      </c>
      <c r="I62" s="2427">
        <f t="shared" si="4"/>
        <v>9.9512805760939807E-2</v>
      </c>
      <c r="J62" s="2427">
        <f t="shared" si="4"/>
        <v>9.9512805760939807E-2</v>
      </c>
      <c r="K62" s="2427">
        <f t="shared" si="4"/>
        <v>9.9512805760939807E-2</v>
      </c>
      <c r="L62" s="2427">
        <f t="shared" si="4"/>
        <v>9.9512805760939807E-2</v>
      </c>
      <c r="M62" s="2427">
        <f t="shared" si="4"/>
        <v>9.9512805760939807E-2</v>
      </c>
      <c r="N62" s="2427">
        <f t="shared" si="4"/>
        <v>9.9512805760939807E-2</v>
      </c>
      <c r="O62" s="876"/>
    </row>
    <row r="63" spans="2:15">
      <c r="B63" s="105"/>
      <c r="C63" s="67"/>
      <c r="D63" s="67"/>
      <c r="E63" s="67"/>
      <c r="F63" s="67"/>
      <c r="G63" s="67"/>
      <c r="H63" s="67"/>
      <c r="I63" s="67"/>
      <c r="J63" s="67"/>
      <c r="K63" s="67"/>
      <c r="L63" s="67"/>
      <c r="M63" s="67"/>
      <c r="N63" s="67"/>
      <c r="O63" s="876"/>
    </row>
    <row r="64" spans="2:15">
      <c r="B64" s="105"/>
      <c r="C64" s="49" t="s">
        <v>1144</v>
      </c>
      <c r="D64" s="67"/>
      <c r="E64" s="67"/>
      <c r="F64" s="67"/>
      <c r="G64" s="67"/>
      <c r="H64" s="67"/>
      <c r="I64" s="67"/>
      <c r="J64" s="67"/>
      <c r="K64" s="67"/>
      <c r="L64" s="67"/>
      <c r="M64" s="67"/>
      <c r="N64" s="51" t="s">
        <v>1145</v>
      </c>
      <c r="O64" s="876"/>
    </row>
    <row r="65" spans="1:57" ht="5.25" customHeight="1">
      <c r="B65" s="105"/>
      <c r="C65" s="67"/>
      <c r="D65" s="67"/>
      <c r="E65" s="1352"/>
      <c r="F65" s="1353"/>
      <c r="G65" s="67"/>
      <c r="H65" s="67"/>
      <c r="I65" s="67"/>
      <c r="J65" s="67"/>
      <c r="K65" s="67"/>
      <c r="L65" s="67"/>
      <c r="M65" s="67"/>
      <c r="N65" s="67"/>
      <c r="O65" s="876"/>
    </row>
    <row r="66" spans="1:57">
      <c r="B66" s="105"/>
      <c r="C66" s="1354" t="s">
        <v>43</v>
      </c>
      <c r="D66" s="1354" t="s">
        <v>987</v>
      </c>
      <c r="E66" s="1355" t="s">
        <v>44</v>
      </c>
      <c r="F66" s="1356">
        <v>2013</v>
      </c>
      <c r="G66" s="1356" t="s">
        <v>132</v>
      </c>
      <c r="H66" s="1356" t="s">
        <v>133</v>
      </c>
      <c r="I66" s="1356" t="s">
        <v>134</v>
      </c>
      <c r="J66" s="1356" t="s">
        <v>135</v>
      </c>
      <c r="K66" s="1356" t="s">
        <v>136</v>
      </c>
      <c r="L66" s="1356" t="s">
        <v>137</v>
      </c>
      <c r="M66" s="1356" t="s">
        <v>138</v>
      </c>
      <c r="N66" s="1357" t="s">
        <v>139</v>
      </c>
      <c r="O66" s="876"/>
    </row>
    <row r="67" spans="1:57">
      <c r="B67" s="105"/>
      <c r="C67" s="1358" t="s">
        <v>469</v>
      </c>
      <c r="D67" s="1524" t="s">
        <v>1119</v>
      </c>
      <c r="E67" s="1524" t="s">
        <v>1119</v>
      </c>
      <c r="F67" s="1525">
        <v>6.9559999999999997E-2</v>
      </c>
      <c r="G67" s="1525">
        <v>6.9559999999999997E-2</v>
      </c>
      <c r="H67" s="1525">
        <v>6.9559999999999997E-2</v>
      </c>
      <c r="I67" s="1525">
        <v>6.9559999999999997E-2</v>
      </c>
      <c r="J67" s="1525">
        <v>6.9559999999999997E-2</v>
      </c>
      <c r="K67" s="1525">
        <v>6.9559999999999997E-2</v>
      </c>
      <c r="L67" s="1525">
        <v>6.9559999999999997E-2</v>
      </c>
      <c r="M67" s="1525">
        <v>6.9559999999999997E-2</v>
      </c>
      <c r="N67" s="1525">
        <v>6.9559999999999997E-2</v>
      </c>
      <c r="O67" s="876"/>
    </row>
    <row r="68" spans="1:57">
      <c r="B68" s="105"/>
      <c r="C68" s="3826" t="s">
        <v>63</v>
      </c>
      <c r="D68" s="67"/>
      <c r="E68" s="80"/>
      <c r="F68" s="1062"/>
      <c r="G68" s="190"/>
      <c r="H68" s="190"/>
      <c r="I68" s="190"/>
      <c r="J68" s="190"/>
      <c r="K68" s="190"/>
      <c r="L68" s="190"/>
      <c r="M68" s="190"/>
      <c r="N68" s="190"/>
      <c r="O68" s="876"/>
    </row>
    <row r="69" spans="1:57">
      <c r="B69" s="105"/>
      <c r="C69" s="3827" t="s">
        <v>64</v>
      </c>
      <c r="D69" s="3828" t="s">
        <v>3149</v>
      </c>
      <c r="E69" s="67"/>
      <c r="F69" s="67"/>
      <c r="G69" s="67"/>
      <c r="H69" s="67"/>
      <c r="I69" s="67"/>
      <c r="J69" s="67"/>
      <c r="K69" s="67"/>
      <c r="L69" s="67"/>
      <c r="M69" s="67"/>
      <c r="N69" s="67"/>
      <c r="O69" s="876"/>
    </row>
    <row r="70" spans="1:57">
      <c r="B70" s="105"/>
      <c r="C70" s="3827"/>
      <c r="D70" s="3830" t="s">
        <v>3148</v>
      </c>
      <c r="E70" s="67"/>
      <c r="F70" s="67"/>
      <c r="G70" s="67"/>
      <c r="H70" s="67"/>
      <c r="I70" s="67"/>
      <c r="J70" s="67"/>
      <c r="K70" s="67"/>
      <c r="L70" s="67"/>
      <c r="M70" s="67"/>
      <c r="N70" s="67"/>
      <c r="O70" s="876"/>
    </row>
    <row r="71" spans="1:57" s="918" customFormat="1">
      <c r="B71" s="1268"/>
      <c r="C71" s="3827"/>
      <c r="D71" s="3830"/>
      <c r="E71" s="922"/>
      <c r="F71" s="922"/>
      <c r="G71" s="922"/>
      <c r="H71" s="1270"/>
      <c r="I71" s="1270" t="s">
        <v>5</v>
      </c>
      <c r="J71" s="1270"/>
      <c r="K71" s="1270"/>
      <c r="L71" s="1270"/>
      <c r="M71" s="1270"/>
      <c r="N71" s="1270"/>
      <c r="O71" s="12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68"/>
    </row>
    <row r="73" spans="1:57" ht="23.5" hidden="1">
      <c r="A73" s="40"/>
      <c r="B73" s="869" t="s">
        <v>791</v>
      </c>
      <c r="C73" s="1698"/>
      <c r="D73" s="1698"/>
      <c r="E73" s="1698"/>
      <c r="F73" s="1698"/>
      <c r="G73" s="1698"/>
      <c r="H73" s="1698"/>
      <c r="I73" s="1698"/>
      <c r="J73" s="1698"/>
      <c r="K73" s="1698"/>
      <c r="L73" s="1698"/>
      <c r="M73" s="1698"/>
      <c r="N73" s="1698"/>
      <c r="O73" s="871"/>
    </row>
    <row r="74" spans="1:57" hidden="1">
      <c r="B74" s="105"/>
      <c r="C74" s="1031"/>
      <c r="D74" s="1031"/>
      <c r="E74" s="1031"/>
      <c r="F74" s="1031"/>
      <c r="G74" s="1031"/>
      <c r="H74" s="1031"/>
      <c r="I74" s="1031"/>
      <c r="J74" s="1031"/>
      <c r="K74" s="1031"/>
      <c r="L74" s="1031"/>
      <c r="M74" s="1031"/>
      <c r="N74" s="1031"/>
      <c r="O74" s="876"/>
    </row>
    <row r="75" spans="1:57" hidden="1">
      <c r="B75" s="105"/>
      <c r="C75" s="49" t="s">
        <v>1297</v>
      </c>
      <c r="D75" s="195"/>
      <c r="E75" s="67"/>
      <c r="F75" s="1699"/>
      <c r="G75" s="1699"/>
      <c r="H75" s="4334"/>
      <c r="I75" s="4334"/>
      <c r="J75" s="46"/>
      <c r="K75" s="46"/>
      <c r="L75" s="46"/>
      <c r="M75" s="46"/>
      <c r="N75" s="99" t="s">
        <v>2747</v>
      </c>
      <c r="O75" s="876"/>
    </row>
    <row r="76" spans="1:57" ht="4.5" hidden="1" customHeight="1">
      <c r="B76" s="105"/>
      <c r="C76" s="67"/>
      <c r="D76" s="195"/>
      <c r="E76" s="67"/>
      <c r="F76" s="67"/>
      <c r="G76" s="67"/>
      <c r="H76" s="67"/>
      <c r="I76" s="67"/>
      <c r="J76" s="46"/>
      <c r="K76" s="46"/>
      <c r="L76" s="46"/>
      <c r="M76" s="46"/>
      <c r="N76" s="46"/>
      <c r="O76" s="876"/>
    </row>
    <row r="77" spans="1:57" hidden="1">
      <c r="B77" s="105"/>
      <c r="C77" s="878"/>
      <c r="D77" s="878"/>
      <c r="E77" s="878"/>
      <c r="F77" s="1357">
        <v>2013</v>
      </c>
      <c r="G77" s="1357" t="s">
        <v>132</v>
      </c>
      <c r="H77" s="1357" t="s">
        <v>133</v>
      </c>
      <c r="I77" s="1357" t="s">
        <v>134</v>
      </c>
      <c r="J77" s="1357" t="s">
        <v>135</v>
      </c>
      <c r="K77" s="1357" t="s">
        <v>136</v>
      </c>
      <c r="L77" s="1357" t="s">
        <v>137</v>
      </c>
      <c r="M77" s="1357" t="s">
        <v>138</v>
      </c>
      <c r="N77" s="1357" t="s">
        <v>139</v>
      </c>
      <c r="O77" s="876"/>
    </row>
    <row r="78" spans="1:57" hidden="1">
      <c r="B78" s="105"/>
      <c r="C78" s="1700" t="s">
        <v>20</v>
      </c>
      <c r="D78" s="881"/>
      <c r="E78" s="881"/>
      <c r="F78" s="348">
        <v>0</v>
      </c>
      <c r="G78" s="348">
        <v>0</v>
      </c>
      <c r="H78" s="348">
        <v>0</v>
      </c>
      <c r="I78" s="348">
        <v>0</v>
      </c>
      <c r="J78" s="348">
        <v>0</v>
      </c>
      <c r="K78" s="348">
        <v>0</v>
      </c>
      <c r="L78" s="348">
        <v>0</v>
      </c>
      <c r="M78" s="348">
        <v>0</v>
      </c>
      <c r="N78" s="348">
        <v>0</v>
      </c>
      <c r="O78" s="876"/>
    </row>
    <row r="79" spans="1:57" hidden="1">
      <c r="B79" s="105"/>
      <c r="C79" s="943" t="s">
        <v>160</v>
      </c>
      <c r="D79" s="103"/>
      <c r="E79" s="103"/>
      <c r="F79" s="1553">
        <v>0</v>
      </c>
      <c r="G79" s="350">
        <v>0</v>
      </c>
      <c r="H79" s="350">
        <v>0</v>
      </c>
      <c r="I79" s="350">
        <v>0</v>
      </c>
      <c r="J79" s="350">
        <v>0</v>
      </c>
      <c r="K79" s="350">
        <v>0</v>
      </c>
      <c r="L79" s="350">
        <v>0</v>
      </c>
      <c r="M79" s="350">
        <v>0</v>
      </c>
      <c r="N79" s="350">
        <v>0</v>
      </c>
      <c r="O79" s="876"/>
    </row>
    <row r="80" spans="1:57" hidden="1">
      <c r="B80" s="105"/>
      <c r="C80" s="947" t="s">
        <v>22</v>
      </c>
      <c r="D80" s="194"/>
      <c r="E80" s="194"/>
      <c r="F80" s="352">
        <v>0</v>
      </c>
      <c r="G80" s="352">
        <v>0</v>
      </c>
      <c r="H80" s="352">
        <v>0</v>
      </c>
      <c r="I80" s="352">
        <v>0</v>
      </c>
      <c r="J80" s="352">
        <v>0</v>
      </c>
      <c r="K80" s="352">
        <v>0</v>
      </c>
      <c r="L80" s="352">
        <v>0</v>
      </c>
      <c r="M80" s="352">
        <v>0</v>
      </c>
      <c r="N80" s="352">
        <v>0</v>
      </c>
      <c r="O80" s="876"/>
    </row>
    <row r="81" spans="1:57" hidden="1">
      <c r="B81" s="67"/>
      <c r="C81" s="943"/>
      <c r="D81" s="103"/>
      <c r="E81" s="103"/>
      <c r="F81" s="350"/>
      <c r="G81" s="350"/>
      <c r="H81" s="350"/>
      <c r="I81" s="350"/>
      <c r="J81" s="350"/>
      <c r="K81" s="350"/>
      <c r="L81" s="350"/>
      <c r="M81" s="350"/>
      <c r="N81" s="350"/>
      <c r="O81" s="67"/>
    </row>
    <row r="82" spans="1:57">
      <c r="B82" s="868"/>
    </row>
    <row r="83" spans="1:57" ht="15">
      <c r="B83" s="869" t="s">
        <v>177</v>
      </c>
      <c r="C83" s="1272"/>
      <c r="D83" s="1272"/>
      <c r="E83" s="1272"/>
      <c r="F83" s="1272"/>
      <c r="G83" s="1272"/>
      <c r="H83" s="1272"/>
      <c r="I83" s="1272"/>
      <c r="J83" s="1272"/>
      <c r="K83" s="1272"/>
      <c r="L83" s="1272"/>
      <c r="M83" s="1272"/>
      <c r="N83" s="1272"/>
      <c r="O83" s="1273"/>
    </row>
    <row r="84" spans="1:57">
      <c r="B84" s="105"/>
      <c r="C84" s="67"/>
      <c r="D84" s="67"/>
      <c r="E84" s="67"/>
      <c r="F84" s="67"/>
      <c r="G84" s="67"/>
      <c r="H84" s="67"/>
      <c r="I84" s="67"/>
      <c r="J84" s="67"/>
      <c r="K84" s="67"/>
      <c r="L84" s="67"/>
      <c r="M84" s="67"/>
      <c r="N84" s="67"/>
      <c r="O84" s="876"/>
    </row>
    <row r="85" spans="1:57" s="3893" customFormat="1">
      <c r="B85" s="105"/>
      <c r="C85" s="49" t="s">
        <v>3146</v>
      </c>
      <c r="D85" s="67"/>
      <c r="E85" s="67"/>
      <c r="F85" s="67"/>
      <c r="G85" s="67"/>
      <c r="H85" s="67"/>
      <c r="I85" s="67"/>
      <c r="J85" s="67"/>
      <c r="K85" s="67"/>
      <c r="L85" s="67"/>
      <c r="M85" s="67"/>
      <c r="N85" s="51" t="str">
        <f>Preferences.EnergyUnits</f>
        <v>TWh</v>
      </c>
      <c r="O85" s="87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893" customFormat="1">
      <c r="B86" s="105"/>
      <c r="C86" s="67"/>
      <c r="D86" s="67"/>
      <c r="E86" s="67"/>
      <c r="F86" s="67"/>
      <c r="G86" s="67"/>
      <c r="H86" s="67"/>
      <c r="I86" s="67"/>
      <c r="J86" s="67"/>
      <c r="K86" s="67"/>
      <c r="L86" s="67"/>
      <c r="M86" s="67"/>
      <c r="N86" s="67"/>
      <c r="O86" s="87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893" customFormat="1">
      <c r="B87" s="105"/>
      <c r="C87" s="878" t="s">
        <v>8</v>
      </c>
      <c r="D87" s="878" t="s">
        <v>34</v>
      </c>
      <c r="E87" s="878" t="s">
        <v>30</v>
      </c>
      <c r="F87" s="87">
        <v>2013</v>
      </c>
      <c r="G87" s="87">
        <v>2015</v>
      </c>
      <c r="H87" s="87">
        <v>2020</v>
      </c>
      <c r="I87" s="87">
        <v>2025</v>
      </c>
      <c r="J87" s="87">
        <v>2030</v>
      </c>
      <c r="K87" s="87">
        <v>2035</v>
      </c>
      <c r="L87" s="87">
        <v>2040</v>
      </c>
      <c r="M87" s="87">
        <v>2045</v>
      </c>
      <c r="N87" s="87">
        <v>2050</v>
      </c>
      <c r="O87" s="87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893" customFormat="1" ht="15.5">
      <c r="B88" s="55"/>
      <c r="C88" s="65">
        <v>1</v>
      </c>
      <c r="D88" s="103" t="s">
        <v>1294</v>
      </c>
      <c r="E88" s="1256"/>
      <c r="F88" s="167">
        <f>($F$42/$F16)*F16</f>
        <v>7.02</v>
      </c>
      <c r="G88" s="167">
        <f>($F$42/$G16)*G16*((1-G25)^(G$24-F$24))</f>
        <v>6.8942086199999997</v>
      </c>
      <c r="H88" s="167">
        <f t="shared" ref="H88:N88" si="5">($F$42/$G16)*H16*((1-H25)^(H$24-$F$24))</f>
        <v>7.4554183878892841</v>
      </c>
      <c r="I88" s="167">
        <f t="shared" si="5"/>
        <v>8.0623123555082739</v>
      </c>
      <c r="J88" s="167">
        <f t="shared" si="5"/>
        <v>8.7186093571046239</v>
      </c>
      <c r="K88" s="167">
        <f t="shared" si="5"/>
        <v>9.4283309514618914</v>
      </c>
      <c r="L88" s="167">
        <f t="shared" si="5"/>
        <v>10.195826064607054</v>
      </c>
      <c r="M88" s="167">
        <f t="shared" si="5"/>
        <v>11.025797638510145</v>
      </c>
      <c r="N88" s="167">
        <f t="shared" si="5"/>
        <v>11.923331449069897</v>
      </c>
      <c r="O88" s="87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893" customFormat="1" ht="15.5">
      <c r="B89" s="55"/>
      <c r="C89" s="65">
        <v>2</v>
      </c>
      <c r="D89" s="103" t="s">
        <v>1294</v>
      </c>
      <c r="E89" s="1256"/>
      <c r="F89" s="167">
        <f>($F$42/$F17)*F17</f>
        <v>7.02</v>
      </c>
      <c r="G89" s="167">
        <f t="shared" ref="G89:N89" si="6">($F$42/$G17)*G17*((1-G26)^(G$24-$F$24))</f>
        <v>6.8525308799999998</v>
      </c>
      <c r="H89" s="167">
        <f t="shared" si="6"/>
        <v>7.2988602976025234</v>
      </c>
      <c r="I89" s="167">
        <f t="shared" si="6"/>
        <v>7.7742607186789359</v>
      </c>
      <c r="J89" s="167">
        <f t="shared" si="6"/>
        <v>8.2806256398477611</v>
      </c>
      <c r="K89" s="167">
        <f t="shared" si="6"/>
        <v>8.8199718878164788</v>
      </c>
      <c r="L89" s="167">
        <f t="shared" si="6"/>
        <v>9.3944476523036204</v>
      </c>
      <c r="M89" s="167">
        <f t="shared" si="6"/>
        <v>10.006341042173331</v>
      </c>
      <c r="N89" s="167">
        <f t="shared" si="6"/>
        <v>10.658089198861015</v>
      </c>
      <c r="O89" s="87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893" customFormat="1" ht="15.5">
      <c r="B90" s="55"/>
      <c r="C90" s="65">
        <v>3</v>
      </c>
      <c r="D90" s="103" t="s">
        <v>1294</v>
      </c>
      <c r="E90" s="1256"/>
      <c r="F90" s="167">
        <f>($F$42/$F18)*F18</f>
        <v>7.02</v>
      </c>
      <c r="G90" s="167">
        <f t="shared" ref="G90:N90" si="7">($F$42/$G18)*G18*((1-G27)^(G$24-$F$24))</f>
        <v>6.8525308799999998</v>
      </c>
      <c r="H90" s="167">
        <f t="shared" si="7"/>
        <v>7.2988602976025234</v>
      </c>
      <c r="I90" s="167">
        <f t="shared" si="7"/>
        <v>7.7742607186789359</v>
      </c>
      <c r="J90" s="167">
        <f t="shared" si="7"/>
        <v>8.0017082777277526</v>
      </c>
      <c r="K90" s="167">
        <f t="shared" si="7"/>
        <v>8.2358101533719701</v>
      </c>
      <c r="L90" s="167">
        <f t="shared" si="7"/>
        <v>8.4767610275397498</v>
      </c>
      <c r="M90" s="167">
        <f t="shared" si="7"/>
        <v>8.7247612778685912</v>
      </c>
      <c r="N90" s="167">
        <f t="shared" si="7"/>
        <v>8.980017144341776</v>
      </c>
      <c r="O90" s="87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893" customFormat="1" ht="15.5">
      <c r="B91" s="55"/>
      <c r="C91" s="887">
        <v>4</v>
      </c>
      <c r="D91" s="888" t="s">
        <v>1294</v>
      </c>
      <c r="E91" s="888"/>
      <c r="F91" s="167">
        <f>($F$42/$F19)*F19</f>
        <v>7.02</v>
      </c>
      <c r="G91" s="167">
        <f t="shared" ref="G91:N91" si="8">($F$42/$G19)*G19*((1-G28)^(G$24-$F$24))</f>
        <v>6.8525308799999998</v>
      </c>
      <c r="H91" s="167">
        <f t="shared" si="8"/>
        <v>7.2988602976025234</v>
      </c>
      <c r="I91" s="167">
        <f t="shared" si="8"/>
        <v>7.115200242529971</v>
      </c>
      <c r="J91" s="167">
        <f t="shared" si="8"/>
        <v>6.9361615960683398</v>
      </c>
      <c r="K91" s="167">
        <f t="shared" si="8"/>
        <v>6.7616280704514065</v>
      </c>
      <c r="L91" s="167">
        <f t="shared" si="8"/>
        <v>6.5914863040434186</v>
      </c>
      <c r="M91" s="167">
        <f t="shared" si="8"/>
        <v>6.0822570306208465</v>
      </c>
      <c r="N91" s="167">
        <f t="shared" si="8"/>
        <v>5.6123685736619917</v>
      </c>
      <c r="O91" s="876"/>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893" customFormat="1" ht="15.5">
      <c r="B92" s="55"/>
      <c r="C92" s="1015" t="s">
        <v>37</v>
      </c>
      <c r="D92" s="892"/>
      <c r="E92" s="892"/>
      <c r="F92" s="1692">
        <f t="shared" ref="F92:N92" si="9">(INDEX(F$88:F$91,ROUNDDOWN($E$8,0))*(1-MOD($E$8,1)))+(INDEX(F$88:F$91,ROUNDUP($E$8,0))*MOD($E$8,1))</f>
        <v>7.02</v>
      </c>
      <c r="G92" s="1692">
        <f t="shared" si="9"/>
        <v>6.8942086199999997</v>
      </c>
      <c r="H92" s="1692">
        <f t="shared" si="9"/>
        <v>7.4554183878892841</v>
      </c>
      <c r="I92" s="1692">
        <f t="shared" si="9"/>
        <v>8.0623123555082739</v>
      </c>
      <c r="J92" s="1692">
        <f t="shared" si="9"/>
        <v>8.7186093571046239</v>
      </c>
      <c r="K92" s="1692">
        <f t="shared" si="9"/>
        <v>9.4283309514618914</v>
      </c>
      <c r="L92" s="1692">
        <f t="shared" si="9"/>
        <v>10.195826064607054</v>
      </c>
      <c r="M92" s="1692">
        <f t="shared" si="9"/>
        <v>11.025797638510145</v>
      </c>
      <c r="N92" s="1692">
        <f t="shared" si="9"/>
        <v>11.923331449069897</v>
      </c>
      <c r="O92" s="876"/>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0"/>
      <c r="C93" s="350"/>
      <c r="D93" s="350" t="s">
        <v>5</v>
      </c>
      <c r="E93" s="350"/>
      <c r="F93" s="1553"/>
      <c r="G93" s="350"/>
      <c r="H93" s="1553"/>
      <c r="I93" s="350"/>
      <c r="J93" s="350"/>
      <c r="K93" s="350"/>
      <c r="L93" s="350"/>
      <c r="M93" s="350"/>
      <c r="N93" s="350"/>
      <c r="O93" s="876"/>
    </row>
    <row r="95" spans="1:57" ht="18.5">
      <c r="A95" s="346"/>
      <c r="B95" s="1101" t="s">
        <v>206</v>
      </c>
    </row>
    <row r="96" spans="1:57" s="2" customFormat="1">
      <c r="B96" s="354">
        <v>1</v>
      </c>
      <c r="C96" t="s">
        <v>1298</v>
      </c>
      <c r="K96" s="4238" t="s">
        <v>5</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54">
        <v>2</v>
      </c>
      <c r="C97" t="s">
        <v>1055</v>
      </c>
    </row>
    <row r="98" spans="2:57">
      <c r="B98" s="354"/>
    </row>
    <row r="99" spans="2:57">
      <c r="F99" s="1313">
        <v>2013</v>
      </c>
      <c r="G99" s="1313">
        <v>2015</v>
      </c>
      <c r="H99" s="1313">
        <v>2020</v>
      </c>
      <c r="I99" s="1313">
        <v>2025</v>
      </c>
      <c r="J99" s="1313">
        <v>2030</v>
      </c>
      <c r="K99" s="1313">
        <v>2035</v>
      </c>
      <c r="L99" s="1313">
        <v>2040</v>
      </c>
      <c r="M99" s="1313">
        <v>2045</v>
      </c>
      <c r="N99" s="1313">
        <v>2050</v>
      </c>
    </row>
    <row r="100" spans="2:57">
      <c r="B100" s="354" t="s">
        <v>1299</v>
      </c>
      <c r="F100" s="1313"/>
      <c r="G100" s="1313"/>
      <c r="H100" s="1313"/>
      <c r="I100" s="1313"/>
      <c r="J100" s="1313"/>
      <c r="K100" s="1313"/>
      <c r="L100" s="1313"/>
      <c r="M100" s="1313"/>
      <c r="N100" s="1313"/>
    </row>
    <row r="101" spans="2:57" s="354" customFormat="1">
      <c r="B101" s="979" t="s">
        <v>220</v>
      </c>
      <c r="C101" s="354" t="s">
        <v>1271</v>
      </c>
      <c r="E101" s="354" t="str">
        <f>Preferences.EnergyUnits</f>
        <v>TWh</v>
      </c>
      <c r="F101" s="1315">
        <f>F92</f>
        <v>7.02</v>
      </c>
      <c r="G101" s="1315">
        <f t="shared" ref="G101:N101" si="10">G92</f>
        <v>6.8942086199999997</v>
      </c>
      <c r="H101" s="1315">
        <f t="shared" si="10"/>
        <v>7.4554183878892841</v>
      </c>
      <c r="I101" s="1315">
        <f t="shared" si="10"/>
        <v>8.0623123555082739</v>
      </c>
      <c r="J101" s="1315">
        <f t="shared" si="10"/>
        <v>8.7186093571046239</v>
      </c>
      <c r="K101" s="1315">
        <f t="shared" si="10"/>
        <v>9.4283309514618914</v>
      </c>
      <c r="L101" s="1315">
        <f t="shared" si="10"/>
        <v>10.195826064607054</v>
      </c>
      <c r="M101" s="1315">
        <f t="shared" si="10"/>
        <v>11.025797638510145</v>
      </c>
      <c r="N101" s="1315">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54" customFormat="1">
      <c r="F102" s="1701"/>
      <c r="G102" s="1701"/>
      <c r="H102" s="1701"/>
      <c r="I102" s="1701"/>
      <c r="J102" s="1701"/>
      <c r="K102" s="1701"/>
      <c r="L102" s="1701"/>
      <c r="M102" s="1701"/>
      <c r="N102" s="1701"/>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54" customFormat="1">
      <c r="B103" s="354" t="s">
        <v>1300</v>
      </c>
      <c r="C103"/>
      <c r="D103" s="6"/>
      <c r="E103" s="6"/>
      <c r="F103" s="357"/>
      <c r="G103" s="357"/>
      <c r="H103" s="357"/>
      <c r="I103" s="357"/>
      <c r="J103" s="357"/>
      <c r="K103" s="357"/>
      <c r="L103" s="357"/>
      <c r="M103" s="357"/>
      <c r="N103" s="357"/>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54" customFormat="1">
      <c r="C104" t="s">
        <v>250</v>
      </c>
      <c r="D104" s="6"/>
      <c r="E104" s="6" t="s">
        <v>251</v>
      </c>
      <c r="F104" s="2384">
        <f>F$101*INDEX(EF[CO2], MATCH("V.04", EF[Vector], 0))</f>
        <v>1.8524375999999996</v>
      </c>
      <c r="G104" s="2384">
        <f>G$101*INDEX(EF[CO2], MATCH("V.04", EF[Vector], 0))</f>
        <v>1.8192437706455995</v>
      </c>
      <c r="H104" s="2384">
        <f>H$101*INDEX(EF[CO2], MATCH("V.04", EF[Vector], 0))</f>
        <v>1.9673358041962239</v>
      </c>
      <c r="I104" s="2384">
        <f>I$101*INDEX(EF[CO2], MATCH("V.04", EF[Vector], 0))</f>
        <v>2.1274829843715231</v>
      </c>
      <c r="J104" s="2384">
        <f>J$101*INDEX(EF[CO2], MATCH("V.04", EF[Vector], 0))</f>
        <v>2.3006666371527675</v>
      </c>
      <c r="K104" s="2384">
        <f>K$101*INDEX(EF[CO2], MATCH("V.04", EF[Vector], 0))</f>
        <v>2.4879479714717636</v>
      </c>
      <c r="L104" s="2384">
        <f>L$101*INDEX(EF[CO2], MATCH("V.04", EF[Vector], 0))</f>
        <v>2.690474581928509</v>
      </c>
      <c r="M104" s="2384">
        <f>M$101*INDEX(EF[CO2], MATCH("V.04", EF[Vector], 0))</f>
        <v>2.9094874808500566</v>
      </c>
      <c r="N104" s="2384">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54" customFormat="1">
      <c r="C105" t="s">
        <v>252</v>
      </c>
      <c r="D105" s="6"/>
      <c r="E105" s="6" t="s">
        <v>251</v>
      </c>
      <c r="F105" s="2384">
        <f>F$101*INDEX(EF[CH4], MATCH("V.04", EF[Vector], 0))</f>
        <v>1.5921360000000001E-3</v>
      </c>
      <c r="G105" s="2384">
        <f>G$101*INDEX(EF[CH4], MATCH("V.04", EF[Vector], 0))</f>
        <v>1.5636065150160001E-3</v>
      </c>
      <c r="H105" s="2384">
        <f>H$101*INDEX(EF[CH4], MATCH("V.04", EF[Vector], 0))</f>
        <v>1.6908888903732896E-3</v>
      </c>
      <c r="I105" s="2384">
        <f>I$101*INDEX(EF[CH4], MATCH("V.04", EF[Vector], 0))</f>
        <v>1.8285324422292765E-3</v>
      </c>
      <c r="J105" s="2384">
        <f>J$101*INDEX(EF[CH4], MATCH("V.04", EF[Vector], 0))</f>
        <v>1.9773806021913289E-3</v>
      </c>
      <c r="K105" s="2384">
        <f>K$101*INDEX(EF[CH4], MATCH("V.04", EF[Vector], 0))</f>
        <v>2.1383454597915571E-3</v>
      </c>
      <c r="L105" s="2384">
        <f>L$101*INDEX(EF[CH4], MATCH("V.04", EF[Vector], 0))</f>
        <v>2.31241335145288E-3</v>
      </c>
      <c r="M105" s="2384">
        <f>M$101*INDEX(EF[CH4], MATCH("V.04", EF[Vector], 0))</f>
        <v>2.500650904414101E-3</v>
      </c>
      <c r="N105" s="2384">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54" customFormat="1">
      <c r="C106" t="s">
        <v>253</v>
      </c>
      <c r="D106" s="6"/>
      <c r="E106" s="6" t="s">
        <v>251</v>
      </c>
      <c r="F106" s="2384">
        <f>F$101*INDEX(EF[N2O], MATCH("V.04", EF[Vector], 0))</f>
        <v>4.700592E-3</v>
      </c>
      <c r="G106" s="2384">
        <f>G$101*INDEX(EF[N2O], MATCH("V.04", EF[Vector], 0))</f>
        <v>4.6163620919519996E-3</v>
      </c>
      <c r="H106" s="2384">
        <f>H$101*INDEX(EF[N2O], MATCH("V.04", EF[Vector], 0))</f>
        <v>4.9921481525306644E-3</v>
      </c>
      <c r="I106" s="2384">
        <f>I$101*INDEX(EF[N2O], MATCH("V.04", EF[Vector], 0))</f>
        <v>5.3985243532483403E-3</v>
      </c>
      <c r="J106" s="2384">
        <f>J$101*INDEX(EF[N2O], MATCH("V.04", EF[Vector], 0))</f>
        <v>5.8379808255172565E-3</v>
      </c>
      <c r="K106" s="2384">
        <f>K$101*INDEX(EF[N2O], MATCH("V.04", EF[Vector], 0))</f>
        <v>6.3132104050988829E-3</v>
      </c>
      <c r="L106" s="2384">
        <f>L$101*INDEX(EF[N2O], MATCH("V.04", EF[Vector], 0))</f>
        <v>6.8271251328608836E-3</v>
      </c>
      <c r="M106" s="2384">
        <f>M$101*INDEX(EF[N2O], MATCH("V.04", EF[Vector], 0))</f>
        <v>7.3828740987463932E-3</v>
      </c>
      <c r="N106" s="2384">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73"/>
      <c r="F107" s="1314"/>
      <c r="G107" s="1314"/>
      <c r="H107" s="1314"/>
      <c r="I107" s="1314"/>
      <c r="J107" s="1314"/>
      <c r="K107" s="1314"/>
      <c r="L107" s="1314"/>
      <c r="M107" s="1314"/>
      <c r="N107" s="1314"/>
    </row>
    <row r="108" spans="2:57">
      <c r="B108" s="403">
        <v>3</v>
      </c>
      <c r="C108" s="354" t="s">
        <v>2730</v>
      </c>
      <c r="E108" s="6"/>
      <c r="F108" s="1313">
        <v>2013</v>
      </c>
      <c r="G108" s="1313">
        <v>2015</v>
      </c>
      <c r="H108" s="1313">
        <v>2020</v>
      </c>
      <c r="I108" s="1313">
        <v>2025</v>
      </c>
      <c r="J108" s="1313">
        <v>2030</v>
      </c>
      <c r="K108" s="1313">
        <v>2035</v>
      </c>
      <c r="L108" s="1313">
        <v>2040</v>
      </c>
      <c r="M108" s="1313">
        <v>2045</v>
      </c>
      <c r="N108" s="1313">
        <v>2050</v>
      </c>
    </row>
    <row r="109" spans="2:57" hidden="1">
      <c r="B109" s="403"/>
      <c r="C109" t="s">
        <v>1301</v>
      </c>
      <c r="E109" s="6"/>
      <c r="F109" s="983" t="e">
        <f>#REF!</f>
        <v>#REF!</v>
      </c>
      <c r="G109" s="983" t="e">
        <f>#REF!</f>
        <v>#REF!</v>
      </c>
      <c r="H109" s="983" t="e">
        <f>#REF!</f>
        <v>#REF!</v>
      </c>
      <c r="I109" s="983" t="e">
        <f>#REF!</f>
        <v>#REF!</v>
      </c>
      <c r="J109" s="983" t="e">
        <f>#REF!</f>
        <v>#REF!</v>
      </c>
      <c r="K109" s="983" t="e">
        <f>#REF!</f>
        <v>#REF!</v>
      </c>
      <c r="L109" s="983" t="e">
        <f>#REF!</f>
        <v>#REF!</v>
      </c>
      <c r="M109" s="983" t="e">
        <f>#REF!</f>
        <v>#REF!</v>
      </c>
      <c r="N109" s="983" t="e">
        <f>#REF!</f>
        <v>#REF!</v>
      </c>
    </row>
    <row r="110" spans="2:57" hidden="1">
      <c r="B110" s="403"/>
      <c r="C110" t="s">
        <v>1302</v>
      </c>
      <c r="E110" s="6"/>
      <c r="F110" s="983" t="e">
        <f>F109-F101</f>
        <v>#REF!</v>
      </c>
      <c r="G110" s="983" t="e">
        <f t="shared" ref="G110:N110" si="11">G109-G101</f>
        <v>#REF!</v>
      </c>
      <c r="H110" s="983" t="e">
        <f t="shared" si="11"/>
        <v>#REF!</v>
      </c>
      <c r="I110" s="983" t="e">
        <f t="shared" si="11"/>
        <v>#REF!</v>
      </c>
      <c r="J110" s="983" t="e">
        <f t="shared" si="11"/>
        <v>#REF!</v>
      </c>
      <c r="K110" s="983" t="e">
        <f t="shared" si="11"/>
        <v>#REF!</v>
      </c>
      <c r="L110" s="983" t="e">
        <f t="shared" si="11"/>
        <v>#REF!</v>
      </c>
      <c r="M110" s="983" t="e">
        <f t="shared" si="11"/>
        <v>#REF!</v>
      </c>
      <c r="N110" s="983" t="e">
        <f t="shared" si="11"/>
        <v>#REF!</v>
      </c>
    </row>
    <row r="111" spans="2:57" hidden="1">
      <c r="B111" s="403"/>
      <c r="C111" t="s">
        <v>1303</v>
      </c>
      <c r="E111" s="6"/>
      <c r="F111" s="983"/>
      <c r="G111" s="983"/>
      <c r="H111" s="983"/>
      <c r="I111" s="983"/>
      <c r="J111" s="983"/>
      <c r="K111" s="983"/>
      <c r="L111" s="983"/>
      <c r="M111" s="983"/>
      <c r="N111" s="983"/>
    </row>
    <row r="112" spans="2:57" hidden="1">
      <c r="B112" s="403"/>
      <c r="C112" s="354"/>
      <c r="E112" s="6"/>
      <c r="F112" s="983"/>
      <c r="G112" s="983"/>
      <c r="H112" s="983"/>
      <c r="I112" s="983"/>
      <c r="J112" s="983"/>
      <c r="K112" s="983"/>
      <c r="L112" s="983"/>
      <c r="M112" s="983"/>
      <c r="N112" s="983"/>
    </row>
    <row r="113" spans="1:15" hidden="1">
      <c r="C113" t="s">
        <v>1304</v>
      </c>
      <c r="E113" s="6" t="s">
        <v>1305</v>
      </c>
      <c r="F113" s="983" t="e">
        <f>#REF!*INDEX(EF[CO2], MATCH("V.04", EF[Vector], 0))</f>
        <v>#REF!</v>
      </c>
      <c r="G113" s="983" t="e">
        <f>#REF!*INDEX(EF[CO2], MATCH("V.04", EF[Vector], 0))</f>
        <v>#REF!</v>
      </c>
      <c r="H113" s="983" t="e">
        <f>#REF!*INDEX(EF[CO2], MATCH("V.04", EF[Vector], 0))</f>
        <v>#REF!</v>
      </c>
      <c r="I113" s="983" t="e">
        <f>#REF!*INDEX(EF[CO2], MATCH("V.04", EF[Vector], 0))</f>
        <v>#REF!</v>
      </c>
      <c r="J113" s="983" t="e">
        <f>#REF!*INDEX(EF[CO2], MATCH("V.04", EF[Vector], 0))</f>
        <v>#REF!</v>
      </c>
      <c r="K113" s="983" t="e">
        <f>#REF!*INDEX(EF[CO2], MATCH("V.04", EF[Vector], 0))</f>
        <v>#REF!</v>
      </c>
      <c r="L113" s="983" t="e">
        <f>#REF!*INDEX(EF[CO2], MATCH("V.04", EF[Vector], 0))</f>
        <v>#REF!</v>
      </c>
      <c r="M113" s="983" t="e">
        <f>#REF!*INDEX(EF[CO2], MATCH("V.04", EF[Vector], 0))</f>
        <v>#REF!</v>
      </c>
      <c r="N113" s="983" t="e">
        <f>#REF!*INDEX(EF[CO2], MATCH("V.04", EF[Vector], 0))</f>
        <v>#REF!</v>
      </c>
    </row>
    <row r="114" spans="1:15" hidden="1">
      <c r="C114" t="s">
        <v>1306</v>
      </c>
      <c r="E114" s="6" t="s">
        <v>1305</v>
      </c>
      <c r="F114" s="983" t="e">
        <f t="shared" ref="F114:N114" si="12">F113-F104</f>
        <v>#REF!</v>
      </c>
      <c r="G114" s="983" t="e">
        <f t="shared" si="12"/>
        <v>#REF!</v>
      </c>
      <c r="H114" s="983" t="e">
        <f t="shared" si="12"/>
        <v>#REF!</v>
      </c>
      <c r="I114" s="983" t="e">
        <f t="shared" si="12"/>
        <v>#REF!</v>
      </c>
      <c r="J114" s="983" t="e">
        <f t="shared" si="12"/>
        <v>#REF!</v>
      </c>
      <c r="K114" s="983" t="e">
        <f t="shared" si="12"/>
        <v>#REF!</v>
      </c>
      <c r="L114" s="983" t="e">
        <f t="shared" si="12"/>
        <v>#REF!</v>
      </c>
      <c r="M114" s="983" t="e">
        <f t="shared" si="12"/>
        <v>#REF!</v>
      </c>
      <c r="N114" s="983" t="e">
        <f t="shared" si="12"/>
        <v>#REF!</v>
      </c>
    </row>
    <row r="115" spans="1:15" hidden="1">
      <c r="E115" s="6"/>
      <c r="F115" s="983"/>
      <c r="G115" s="983"/>
      <c r="H115" s="983"/>
      <c r="I115" s="983"/>
      <c r="J115" s="983"/>
      <c r="K115" s="983"/>
      <c r="L115" s="983"/>
      <c r="M115" s="983"/>
      <c r="N115" s="983"/>
    </row>
    <row r="116" spans="1:15" hidden="1">
      <c r="C116" t="s">
        <v>1307</v>
      </c>
      <c r="E116" s="6"/>
      <c r="F116" s="983"/>
      <c r="G116" s="983"/>
      <c r="H116" s="983"/>
      <c r="I116" s="983"/>
      <c r="J116" s="983"/>
      <c r="K116" s="983"/>
      <c r="L116" s="983"/>
      <c r="M116" s="983"/>
      <c r="N116" s="983"/>
    </row>
    <row r="117" spans="1:15" hidden="1">
      <c r="C117" t="s">
        <v>333</v>
      </c>
      <c r="E117" s="6" t="s">
        <v>2736</v>
      </c>
      <c r="F117" s="983" t="e">
        <f t="shared" ref="F117:N117" si="13">(F$114*F78)+F111</f>
        <v>#REF!</v>
      </c>
      <c r="G117" s="983" t="e">
        <f t="shared" si="13"/>
        <v>#REF!</v>
      </c>
      <c r="H117" s="983" t="e">
        <f t="shared" si="13"/>
        <v>#REF!</v>
      </c>
      <c r="I117" s="983" t="e">
        <f t="shared" si="13"/>
        <v>#REF!</v>
      </c>
      <c r="J117" s="983" t="e">
        <f t="shared" si="13"/>
        <v>#REF!</v>
      </c>
      <c r="K117" s="983" t="e">
        <f t="shared" si="13"/>
        <v>#REF!</v>
      </c>
      <c r="L117" s="983" t="e">
        <f t="shared" si="13"/>
        <v>#REF!</v>
      </c>
      <c r="M117" s="983" t="e">
        <f t="shared" si="13"/>
        <v>#REF!</v>
      </c>
      <c r="N117" s="983" t="e">
        <f t="shared" si="13"/>
        <v>#REF!</v>
      </c>
    </row>
    <row r="118" spans="1:15" hidden="1">
      <c r="C118" t="s">
        <v>331</v>
      </c>
      <c r="E118" s="6" t="s">
        <v>2736</v>
      </c>
      <c r="F118" s="983" t="e">
        <f t="shared" ref="F118:N118" si="14">(F$114*F79)+F111</f>
        <v>#REF!</v>
      </c>
      <c r="G118" s="983" t="e">
        <f t="shared" si="14"/>
        <v>#REF!</v>
      </c>
      <c r="H118" s="983" t="e">
        <f t="shared" si="14"/>
        <v>#REF!</v>
      </c>
      <c r="I118" s="983" t="e">
        <f t="shared" si="14"/>
        <v>#REF!</v>
      </c>
      <c r="J118" s="983" t="e">
        <f t="shared" si="14"/>
        <v>#REF!</v>
      </c>
      <c r="K118" s="983" t="e">
        <f t="shared" si="14"/>
        <v>#REF!</v>
      </c>
      <c r="L118" s="983" t="e">
        <f t="shared" si="14"/>
        <v>#REF!</v>
      </c>
      <c r="M118" s="983" t="e">
        <f t="shared" si="14"/>
        <v>#REF!</v>
      </c>
      <c r="N118" s="983" t="e">
        <f t="shared" si="14"/>
        <v>#REF!</v>
      </c>
      <c r="O118" s="983"/>
    </row>
    <row r="119" spans="1:15" hidden="1">
      <c r="C119" t="s">
        <v>329</v>
      </c>
      <c r="E119" s="6" t="s">
        <v>2736</v>
      </c>
      <c r="F119" s="983" t="e">
        <f t="shared" ref="F119:N119" si="15">(F$114*F80)+F111</f>
        <v>#REF!</v>
      </c>
      <c r="G119" s="983" t="e">
        <f t="shared" si="15"/>
        <v>#REF!</v>
      </c>
      <c r="H119" s="983" t="e">
        <f t="shared" si="15"/>
        <v>#REF!</v>
      </c>
      <c r="I119" s="983" t="e">
        <f t="shared" si="15"/>
        <v>#REF!</v>
      </c>
      <c r="J119" s="983" t="e">
        <f t="shared" si="15"/>
        <v>#REF!</v>
      </c>
      <c r="K119" s="983" t="e">
        <f t="shared" si="15"/>
        <v>#REF!</v>
      </c>
      <c r="L119" s="983" t="e">
        <f t="shared" si="15"/>
        <v>#REF!</v>
      </c>
      <c r="M119" s="983" t="e">
        <f t="shared" si="15"/>
        <v>#REF!</v>
      </c>
      <c r="N119" s="983" t="e">
        <f t="shared" si="15"/>
        <v>#REF!</v>
      </c>
    </row>
    <row r="120" spans="1:15">
      <c r="E120" s="373"/>
      <c r="F120" s="1314"/>
      <c r="G120" s="1314"/>
      <c r="H120" s="1314"/>
      <c r="I120" s="1314"/>
      <c r="J120" s="1314"/>
      <c r="K120" s="1314"/>
      <c r="L120" s="1314"/>
      <c r="M120" s="1314"/>
      <c r="N120" s="1314"/>
    </row>
    <row r="121" spans="1:15" ht="23.5">
      <c r="A121" s="7"/>
      <c r="B121" s="502" t="s">
        <v>296</v>
      </c>
      <c r="C121" s="503"/>
      <c r="D121" s="503"/>
      <c r="E121" s="503"/>
      <c r="F121" s="503"/>
      <c r="G121" s="503"/>
      <c r="H121" s="503"/>
      <c r="I121" s="503"/>
      <c r="J121" s="503"/>
      <c r="K121" s="503"/>
      <c r="L121" s="503"/>
      <c r="M121" s="503"/>
      <c r="N121" s="503"/>
      <c r="O121" s="857"/>
    </row>
    <row r="122" spans="1:15">
      <c r="B122" s="505"/>
      <c r="C122" s="506"/>
      <c r="D122" s="506"/>
      <c r="E122" s="506"/>
      <c r="F122" s="506"/>
      <c r="G122" s="506"/>
      <c r="H122" s="506"/>
      <c r="I122" s="506"/>
      <c r="J122" s="506"/>
      <c r="K122" s="506"/>
      <c r="L122" s="506"/>
      <c r="M122" s="506"/>
      <c r="N122" s="506"/>
      <c r="O122" s="858"/>
    </row>
    <row r="123" spans="1:15">
      <c r="B123" s="505"/>
      <c r="C123" s="34" t="s">
        <v>746</v>
      </c>
      <c r="D123" s="506"/>
      <c r="E123" s="507"/>
      <c r="F123" s="506"/>
      <c r="G123" s="506"/>
      <c r="H123" s="506"/>
      <c r="I123" s="506"/>
      <c r="J123" s="506"/>
      <c r="K123" s="506"/>
      <c r="L123" s="506"/>
      <c r="M123" s="506"/>
      <c r="N123" s="507" t="str">
        <f>Preferences.EnergyUnits</f>
        <v>TWh</v>
      </c>
      <c r="O123" s="858"/>
    </row>
    <row r="124" spans="1:15">
      <c r="B124" s="505"/>
      <c r="C124" s="506"/>
      <c r="D124" s="506"/>
      <c r="E124" s="506"/>
      <c r="F124" s="506"/>
      <c r="G124" s="506"/>
      <c r="H124" s="506"/>
      <c r="I124" s="506"/>
      <c r="J124" s="506"/>
      <c r="K124" s="506"/>
      <c r="L124" s="506"/>
      <c r="M124" s="506"/>
      <c r="N124" s="506"/>
      <c r="O124" s="858"/>
    </row>
    <row r="125" spans="1:15" ht="15.5">
      <c r="A125" s="434"/>
      <c r="B125" s="15"/>
      <c r="C125" s="1712" t="s">
        <v>28</v>
      </c>
      <c r="D125" s="1712" t="s">
        <v>29</v>
      </c>
      <c r="E125" s="1712" t="s">
        <v>30</v>
      </c>
      <c r="F125" s="1712" t="s">
        <v>588</v>
      </c>
      <c r="G125" s="1712" t="s">
        <v>132</v>
      </c>
      <c r="H125" s="1712" t="s">
        <v>133</v>
      </c>
      <c r="I125" s="1712" t="s">
        <v>134</v>
      </c>
      <c r="J125" s="1712" t="s">
        <v>135</v>
      </c>
      <c r="K125" s="1712" t="s">
        <v>136</v>
      </c>
      <c r="L125" s="1712" t="s">
        <v>137</v>
      </c>
      <c r="M125" s="1712" t="s">
        <v>138</v>
      </c>
      <c r="N125" s="1712" t="s">
        <v>139</v>
      </c>
      <c r="O125" s="858"/>
    </row>
    <row r="126" spans="1:15" ht="15.5">
      <c r="A126" s="434"/>
      <c r="B126" s="15"/>
      <c r="C126" s="716" t="s">
        <v>413</v>
      </c>
      <c r="D126" s="1716" t="str">
        <f>INDEX(Vectors[Description], MATCH(XII.c.Outputs[Vector], Vectors[Code], 0))</f>
        <v>International aviation</v>
      </c>
      <c r="E126" s="716"/>
      <c r="F126" s="1714">
        <f>F$101</f>
        <v>7.02</v>
      </c>
      <c r="G126" s="717">
        <f t="shared" ref="G126:N126" si="16">G$101</f>
        <v>6.8942086199999997</v>
      </c>
      <c r="H126" s="717">
        <f t="shared" si="16"/>
        <v>7.4554183878892841</v>
      </c>
      <c r="I126" s="717">
        <f t="shared" si="16"/>
        <v>8.0623123555082739</v>
      </c>
      <c r="J126" s="717">
        <f t="shared" si="16"/>
        <v>8.7186093571046239</v>
      </c>
      <c r="K126" s="717">
        <f t="shared" si="16"/>
        <v>9.4283309514618914</v>
      </c>
      <c r="L126" s="717">
        <f t="shared" si="16"/>
        <v>10.195826064607054</v>
      </c>
      <c r="M126" s="717">
        <f t="shared" si="16"/>
        <v>11.025797638510145</v>
      </c>
      <c r="N126" s="717">
        <f t="shared" si="16"/>
        <v>11.923331449069897</v>
      </c>
      <c r="O126" s="858"/>
    </row>
    <row r="127" spans="1:15" ht="15.5">
      <c r="A127" s="434"/>
      <c r="B127" s="15"/>
      <c r="C127" s="716" t="s">
        <v>98</v>
      </c>
      <c r="D127" s="1716" t="str">
        <f>INDEX(Vectors[Description], MATCH(XII.c.Outputs[Vector], Vectors[Code], 0))</f>
        <v>Liquid hydrocarbons</v>
      </c>
      <c r="E127" s="716"/>
      <c r="F127" s="717">
        <f>-F$101</f>
        <v>-7.02</v>
      </c>
      <c r="G127" s="717">
        <f t="shared" ref="G127:N127" si="17">-G$101</f>
        <v>-6.8942086199999997</v>
      </c>
      <c r="H127" s="717">
        <f t="shared" si="17"/>
        <v>-7.4554183878892841</v>
      </c>
      <c r="I127" s="717">
        <f t="shared" si="17"/>
        <v>-8.0623123555082739</v>
      </c>
      <c r="J127" s="717">
        <f t="shared" si="17"/>
        <v>-8.7186093571046239</v>
      </c>
      <c r="K127" s="717">
        <f t="shared" si="17"/>
        <v>-9.4283309514618914</v>
      </c>
      <c r="L127" s="717">
        <f t="shared" si="17"/>
        <v>-10.195826064607054</v>
      </c>
      <c r="M127" s="717">
        <f t="shared" si="17"/>
        <v>-11.025797638510145</v>
      </c>
      <c r="N127" s="717">
        <f t="shared" si="17"/>
        <v>-11.923331449069897</v>
      </c>
      <c r="O127" s="858"/>
    </row>
    <row r="128" spans="1:15" ht="15.5">
      <c r="A128" s="434"/>
      <c r="B128" s="15"/>
      <c r="C128" s="2433" t="s">
        <v>58</v>
      </c>
      <c r="D128" s="2433"/>
      <c r="E128" s="2433"/>
      <c r="F128" s="2442">
        <f>SUBTOTAL(109,XII.c.Outputs[2013])</f>
        <v>0</v>
      </c>
      <c r="G128" s="2442">
        <f>SUBTOTAL(109,XII.c.Outputs[2015])</f>
        <v>0</v>
      </c>
      <c r="H128" s="2442">
        <f>SUBTOTAL(109,XII.c.Outputs[2020])</f>
        <v>0</v>
      </c>
      <c r="I128" s="2442">
        <f>SUBTOTAL(109,XII.c.Outputs[2025])</f>
        <v>0</v>
      </c>
      <c r="J128" s="2442">
        <f>SUBTOTAL(109,XII.c.Outputs[2030])</f>
        <v>0</v>
      </c>
      <c r="K128" s="2442">
        <f>SUBTOTAL(109,XII.c.Outputs[2035])</f>
        <v>0</v>
      </c>
      <c r="L128" s="2442">
        <f>SUBTOTAL(109,XII.c.Outputs[2040])</f>
        <v>0</v>
      </c>
      <c r="M128" s="2442">
        <f>SUBTOTAL(109,XII.c.Outputs[2045])</f>
        <v>0</v>
      </c>
      <c r="N128" s="2442">
        <f>SUBTOTAL(109,XII.c.Outputs[2050])</f>
        <v>0</v>
      </c>
      <c r="O128" s="858"/>
    </row>
    <row r="129" spans="1:15" ht="15.5">
      <c r="B129" s="15"/>
      <c r="C129" s="443"/>
      <c r="D129" s="443"/>
      <c r="E129" s="443" t="s">
        <v>5</v>
      </c>
      <c r="F129" s="443"/>
      <c r="G129" s="443"/>
      <c r="H129" s="443"/>
      <c r="I129" s="443"/>
      <c r="J129" s="443"/>
      <c r="K129" s="443"/>
      <c r="L129" s="443"/>
      <c r="M129" s="443"/>
      <c r="N129" s="443"/>
      <c r="O129" s="858"/>
    </row>
    <row r="130" spans="1:15" ht="23.5">
      <c r="A130" s="7"/>
    </row>
    <row r="131" spans="1:15" ht="15">
      <c r="B131" s="1118" t="s">
        <v>300</v>
      </c>
      <c r="C131" s="1119"/>
      <c r="D131" s="1120"/>
      <c r="E131" s="1120"/>
      <c r="F131" s="1120"/>
      <c r="G131" s="1120"/>
      <c r="H131" s="1120"/>
      <c r="I131" s="1120"/>
      <c r="J131" s="1120"/>
      <c r="K131" s="1120"/>
      <c r="L131" s="1120"/>
      <c r="M131" s="1120"/>
      <c r="N131" s="1120"/>
      <c r="O131" s="1121"/>
    </row>
    <row r="132" spans="1:15">
      <c r="B132" s="1122"/>
      <c r="C132" s="1123"/>
      <c r="D132" s="1123"/>
      <c r="E132" s="1123"/>
      <c r="F132" s="1123"/>
      <c r="G132" s="1123"/>
      <c r="H132" s="1123"/>
      <c r="I132" s="1123"/>
      <c r="J132" s="1123"/>
      <c r="K132" s="1123"/>
      <c r="L132" s="1123"/>
      <c r="M132" s="1123"/>
      <c r="N132" s="1123"/>
      <c r="O132" s="1124"/>
    </row>
    <row r="133" spans="1:15">
      <c r="B133" s="1125"/>
      <c r="C133" s="453" t="s">
        <v>1308</v>
      </c>
      <c r="D133" s="1126"/>
      <c r="E133" s="1127"/>
      <c r="F133" s="1126"/>
      <c r="G133" s="1126"/>
      <c r="H133" s="1126"/>
      <c r="I133" s="1126"/>
      <c r="J133" s="1126"/>
      <c r="K133" s="1126"/>
      <c r="L133" s="1126"/>
      <c r="M133" s="1126"/>
      <c r="N133" s="1127" t="s">
        <v>251</v>
      </c>
      <c r="O133" s="1129"/>
    </row>
    <row r="134" spans="1:15" ht="15.5">
      <c r="B134" s="458"/>
      <c r="C134" s="1126"/>
      <c r="D134" s="1126"/>
      <c r="E134" s="1126"/>
      <c r="F134" s="1126"/>
      <c r="G134" s="1126"/>
      <c r="H134" s="1126"/>
      <c r="I134" s="1126"/>
      <c r="J134" s="1126"/>
      <c r="K134" s="1126"/>
      <c r="L134" s="1126"/>
      <c r="M134" s="1126"/>
      <c r="N134" s="1126"/>
      <c r="O134" s="1129"/>
    </row>
    <row r="135" spans="1:15" ht="15.5">
      <c r="B135" s="458"/>
      <c r="C135" s="1327" t="s">
        <v>302</v>
      </c>
      <c r="D135" s="1327" t="s">
        <v>303</v>
      </c>
      <c r="E135" s="1327" t="s">
        <v>30</v>
      </c>
      <c r="F135" s="1327" t="s">
        <v>588</v>
      </c>
      <c r="G135" s="1327" t="s">
        <v>132</v>
      </c>
      <c r="H135" s="1327" t="s">
        <v>133</v>
      </c>
      <c r="I135" s="1327" t="s">
        <v>134</v>
      </c>
      <c r="J135" s="1327" t="s">
        <v>135</v>
      </c>
      <c r="K135" s="1327" t="s">
        <v>136</v>
      </c>
      <c r="L135" s="1327" t="s">
        <v>137</v>
      </c>
      <c r="M135" s="1327" t="s">
        <v>138</v>
      </c>
      <c r="N135" s="1327" t="s">
        <v>139</v>
      </c>
      <c r="O135" s="1129"/>
    </row>
    <row r="136" spans="1:15" ht="15.5">
      <c r="B136" s="458"/>
      <c r="C136" s="1131" t="s">
        <v>250</v>
      </c>
      <c r="D136" s="1132" t="s">
        <v>448</v>
      </c>
      <c r="E136" s="1131" t="s">
        <v>403</v>
      </c>
      <c r="F136" s="2443">
        <f>F$104</f>
        <v>1.8524375999999996</v>
      </c>
      <c r="G136" s="2443">
        <f t="shared" ref="G136:N136" si="18">G$104</f>
        <v>1.8192437706455995</v>
      </c>
      <c r="H136" s="2443">
        <f t="shared" si="18"/>
        <v>1.9673358041962239</v>
      </c>
      <c r="I136" s="2443">
        <f t="shared" si="18"/>
        <v>2.1274829843715231</v>
      </c>
      <c r="J136" s="2443">
        <f t="shared" si="18"/>
        <v>2.3006666371527675</v>
      </c>
      <c r="K136" s="2443">
        <f t="shared" si="18"/>
        <v>2.4879479714717636</v>
      </c>
      <c r="L136" s="2443">
        <f t="shared" si="18"/>
        <v>2.690474581928509</v>
      </c>
      <c r="M136" s="2443">
        <f t="shared" si="18"/>
        <v>2.9094874808500566</v>
      </c>
      <c r="N136" s="2443">
        <f t="shared" si="18"/>
        <v>3.146328702780564</v>
      </c>
      <c r="O136" s="1129"/>
    </row>
    <row r="137" spans="1:15" ht="15.5">
      <c r="B137" s="458"/>
      <c r="C137" s="1131" t="s">
        <v>252</v>
      </c>
      <c r="D137" s="1132" t="s">
        <v>448</v>
      </c>
      <c r="E137" s="1131" t="s">
        <v>403</v>
      </c>
      <c r="F137" s="2443">
        <f>F$105</f>
        <v>1.5921360000000001E-3</v>
      </c>
      <c r="G137" s="2443">
        <f t="shared" ref="G137:N137" si="19">G$105</f>
        <v>1.5636065150160001E-3</v>
      </c>
      <c r="H137" s="2443">
        <f t="shared" si="19"/>
        <v>1.6908888903732896E-3</v>
      </c>
      <c r="I137" s="2443">
        <f t="shared" si="19"/>
        <v>1.8285324422292765E-3</v>
      </c>
      <c r="J137" s="2443">
        <f t="shared" si="19"/>
        <v>1.9773806021913289E-3</v>
      </c>
      <c r="K137" s="2443">
        <f t="shared" si="19"/>
        <v>2.1383454597915571E-3</v>
      </c>
      <c r="L137" s="2443">
        <f t="shared" si="19"/>
        <v>2.31241335145288E-3</v>
      </c>
      <c r="M137" s="2443">
        <f t="shared" si="19"/>
        <v>2.500650904414101E-3</v>
      </c>
      <c r="N137" s="2443">
        <f t="shared" si="19"/>
        <v>2.7042115726490529E-3</v>
      </c>
      <c r="O137" s="1129"/>
    </row>
    <row r="138" spans="1:15" ht="15.5">
      <c r="B138" s="458"/>
      <c r="C138" s="1131" t="s">
        <v>253</v>
      </c>
      <c r="D138" s="1132" t="s">
        <v>448</v>
      </c>
      <c r="E138" s="1131" t="s">
        <v>403</v>
      </c>
      <c r="F138" s="2443">
        <f>F$106</f>
        <v>4.700592E-3</v>
      </c>
      <c r="G138" s="2443">
        <f t="shared" ref="G138:N138" si="20">G$106</f>
        <v>4.6163620919519996E-3</v>
      </c>
      <c r="H138" s="2443">
        <f t="shared" si="20"/>
        <v>4.9921481525306644E-3</v>
      </c>
      <c r="I138" s="2443">
        <f t="shared" si="20"/>
        <v>5.3985243532483403E-3</v>
      </c>
      <c r="J138" s="2443">
        <f t="shared" si="20"/>
        <v>5.8379808255172565E-3</v>
      </c>
      <c r="K138" s="2443">
        <f t="shared" si="20"/>
        <v>6.3132104050988829E-3</v>
      </c>
      <c r="L138" s="2443">
        <f t="shared" si="20"/>
        <v>6.8271251328608836E-3</v>
      </c>
      <c r="M138" s="2443">
        <f t="shared" si="20"/>
        <v>7.3828740987463932E-3</v>
      </c>
      <c r="N138" s="2443">
        <f t="shared" si="20"/>
        <v>7.9838627382972024E-3</v>
      </c>
      <c r="O138" s="1129"/>
    </row>
    <row r="139" spans="1:15" ht="15.5">
      <c r="B139" s="458"/>
      <c r="C139" s="2436" t="s">
        <v>58</v>
      </c>
      <c r="D139" s="2436"/>
      <c r="E139" s="2436"/>
      <c r="F139" s="2437">
        <f>SUBTOTAL(109,XII.c.Emissions[2013])</f>
        <v>1.8587303279999996</v>
      </c>
      <c r="G139" s="2437">
        <f>SUBTOTAL(109,XII.c.Emissions[2015])</f>
        <v>1.8254237392525674</v>
      </c>
      <c r="H139" s="2437">
        <f>SUBTOTAL(109,XII.c.Emissions[2020])</f>
        <v>1.9740188412391277</v>
      </c>
      <c r="I139" s="2437">
        <f>SUBTOTAL(109,XII.c.Emissions[2025])</f>
        <v>2.1347100411670006</v>
      </c>
      <c r="J139" s="2437">
        <f>SUBTOTAL(109,XII.c.Emissions[2030])</f>
        <v>2.3084819985804761</v>
      </c>
      <c r="K139" s="2437">
        <f>SUBTOTAL(109,XII.c.Emissions[2035])</f>
        <v>2.4963995273366537</v>
      </c>
      <c r="L139" s="2437">
        <f>SUBTOTAL(109,XII.c.Emissions[2040])</f>
        <v>2.6996141204128228</v>
      </c>
      <c r="M139" s="2437">
        <f>SUBTOTAL(109,XII.c.Emissions[2045])</f>
        <v>2.9193710058532174</v>
      </c>
      <c r="N139" s="2437">
        <f>SUBTOTAL(109,XII.c.Emissions[2050])</f>
        <v>3.1570167770915103</v>
      </c>
      <c r="O139" s="1129"/>
    </row>
    <row r="140" spans="1:15" ht="15.5">
      <c r="B140" s="458"/>
      <c r="C140" s="1126"/>
      <c r="D140" s="1126"/>
      <c r="E140" s="1126"/>
      <c r="F140" s="1126"/>
      <c r="G140" s="1126"/>
      <c r="H140" s="1126"/>
      <c r="I140" s="1126"/>
      <c r="J140" s="1126"/>
      <c r="K140" s="1126"/>
      <c r="L140" s="1126"/>
      <c r="M140" s="1126"/>
      <c r="N140" s="1126"/>
      <c r="O140" s="1129"/>
    </row>
    <row r="143" spans="1:15" ht="15">
      <c r="B143" s="986" t="s">
        <v>310</v>
      </c>
      <c r="C143" s="987"/>
      <c r="D143" s="988"/>
      <c r="E143" s="988"/>
      <c r="F143" s="988"/>
      <c r="G143" s="988"/>
      <c r="H143" s="988"/>
      <c r="I143" s="988"/>
      <c r="J143" s="988"/>
      <c r="K143" s="988"/>
      <c r="L143" s="988"/>
      <c r="M143" s="988"/>
      <c r="N143" s="988"/>
      <c r="O143" s="989"/>
    </row>
    <row r="144" spans="1:15">
      <c r="B144" s="990"/>
      <c r="C144" s="991"/>
      <c r="D144" s="991"/>
      <c r="E144" s="991"/>
      <c r="F144" s="991"/>
      <c r="G144" s="991"/>
      <c r="H144" s="991"/>
      <c r="I144" s="991"/>
      <c r="J144" s="991"/>
      <c r="K144" s="991"/>
      <c r="L144" s="991"/>
      <c r="M144" s="991"/>
      <c r="N144" s="991"/>
      <c r="O144" s="992"/>
    </row>
    <row r="145" spans="2:15">
      <c r="B145" s="993"/>
      <c r="C145" s="479" t="s">
        <v>311</v>
      </c>
      <c r="D145" s="994"/>
      <c r="E145" s="995"/>
      <c r="F145" s="994"/>
      <c r="G145" s="994"/>
      <c r="H145" s="994"/>
      <c r="I145" s="994"/>
      <c r="J145" s="994"/>
      <c r="K145" s="994"/>
      <c r="L145" s="994"/>
      <c r="M145" s="994"/>
      <c r="N145" s="995"/>
      <c r="O145" s="996"/>
    </row>
    <row r="146" spans="2:15">
      <c r="B146" s="993"/>
      <c r="C146" s="994"/>
      <c r="D146" s="994"/>
      <c r="E146" s="994"/>
      <c r="F146" s="994"/>
      <c r="G146" s="994"/>
      <c r="H146" s="994"/>
      <c r="I146" s="994"/>
      <c r="J146" s="994"/>
      <c r="K146" s="994"/>
      <c r="L146" s="994"/>
      <c r="M146" s="994"/>
      <c r="N146" s="994"/>
      <c r="O146" s="996"/>
    </row>
    <row r="147" spans="2:15" ht="15.5">
      <c r="B147" s="483"/>
      <c r="C147" s="997" t="s">
        <v>28</v>
      </c>
      <c r="D147" s="997" t="s">
        <v>312</v>
      </c>
      <c r="E147" s="997" t="s">
        <v>30</v>
      </c>
      <c r="F147" s="997" t="s">
        <v>588</v>
      </c>
      <c r="G147" s="997" t="s">
        <v>132</v>
      </c>
      <c r="H147" s="997" t="s">
        <v>133</v>
      </c>
      <c r="I147" s="997" t="s">
        <v>134</v>
      </c>
      <c r="J147" s="997" t="s">
        <v>135</v>
      </c>
      <c r="K147" s="997" t="s">
        <v>136</v>
      </c>
      <c r="L147" s="997" t="s">
        <v>137</v>
      </c>
      <c r="M147" s="997" t="s">
        <v>138</v>
      </c>
      <c r="N147" s="997" t="s">
        <v>139</v>
      </c>
      <c r="O147" s="996"/>
    </row>
    <row r="148" spans="2:15" ht="15.5">
      <c r="B148" s="483"/>
      <c r="C148" s="998" t="s">
        <v>868</v>
      </c>
      <c r="D148" s="485" t="s">
        <v>1236</v>
      </c>
      <c r="E148" s="485"/>
      <c r="F148" s="999"/>
      <c r="G148" s="999"/>
      <c r="H148" s="999"/>
      <c r="I148" s="999"/>
      <c r="J148" s="999"/>
      <c r="K148" s="999"/>
      <c r="L148" s="999"/>
      <c r="M148" s="999"/>
      <c r="N148" s="999"/>
      <c r="O148" s="996"/>
    </row>
    <row r="149" spans="2:15" ht="15.5">
      <c r="B149" s="483"/>
      <c r="C149" s="998" t="s">
        <v>313</v>
      </c>
      <c r="D149" s="485" t="s">
        <v>314</v>
      </c>
      <c r="E149" s="485"/>
      <c r="F149" s="999"/>
      <c r="G149" s="999"/>
      <c r="H149" s="999"/>
      <c r="I149" s="999"/>
      <c r="J149" s="999"/>
      <c r="K149" s="999"/>
      <c r="L149" s="999"/>
      <c r="M149" s="999"/>
      <c r="N149" s="999"/>
      <c r="O149" s="996"/>
    </row>
    <row r="150" spans="2:15" ht="15.5">
      <c r="B150" s="488"/>
      <c r="C150" s="1001"/>
      <c r="D150" s="1001"/>
      <c r="E150" s="1001"/>
      <c r="F150" s="1001"/>
      <c r="G150" s="1001"/>
      <c r="H150" s="1001"/>
      <c r="I150" s="1001"/>
      <c r="J150" s="1001"/>
      <c r="K150" s="1001"/>
      <c r="L150" s="1001"/>
      <c r="M150" s="1001"/>
      <c r="N150" s="1001"/>
      <c r="O150" s="1002"/>
    </row>
    <row r="153" spans="2:15" ht="15">
      <c r="B153" s="986" t="s">
        <v>2720</v>
      </c>
      <c r="C153" s="988"/>
      <c r="D153" s="988"/>
      <c r="E153" s="988"/>
      <c r="F153" s="988"/>
      <c r="G153" s="988"/>
      <c r="H153" s="988"/>
      <c r="I153" s="988"/>
      <c r="J153" s="988"/>
      <c r="K153" s="988"/>
      <c r="L153" s="988"/>
      <c r="M153" s="988"/>
      <c r="N153" s="988"/>
      <c r="O153" s="989"/>
    </row>
    <row r="154" spans="2:15" hidden="1">
      <c r="B154" s="993"/>
      <c r="C154" s="994"/>
      <c r="D154" s="994"/>
      <c r="E154" s="994"/>
      <c r="F154" s="994"/>
      <c r="G154" s="994"/>
      <c r="H154" s="994"/>
      <c r="I154" s="994"/>
      <c r="J154" s="994"/>
      <c r="K154" s="994"/>
      <c r="L154" s="994"/>
      <c r="M154" s="994"/>
      <c r="N154" s="994"/>
      <c r="O154" s="996"/>
    </row>
    <row r="155" spans="2:15" hidden="1">
      <c r="B155" s="993"/>
      <c r="C155" s="491" t="s">
        <v>751</v>
      </c>
      <c r="D155" s="1003"/>
      <c r="E155" s="1003"/>
      <c r="F155" s="1003"/>
      <c r="G155" s="1003"/>
      <c r="H155" s="1003"/>
      <c r="I155" s="1003"/>
      <c r="J155" s="1003"/>
      <c r="K155" s="1003"/>
      <c r="L155" s="1003"/>
      <c r="M155" s="1003"/>
      <c r="N155" s="1003"/>
      <c r="O155" s="996"/>
    </row>
    <row r="156" spans="2:15" hidden="1">
      <c r="B156" s="993"/>
      <c r="C156" s="994"/>
      <c r="D156" s="994"/>
      <c r="E156" s="994"/>
      <c r="F156" s="994"/>
      <c r="G156" s="994"/>
      <c r="H156" s="994"/>
      <c r="I156" s="994"/>
      <c r="J156" s="994"/>
      <c r="K156" s="994"/>
      <c r="L156" s="994"/>
      <c r="M156" s="994"/>
      <c r="N156" s="994"/>
      <c r="O156" s="996"/>
    </row>
    <row r="157" spans="2:15" ht="15.5" hidden="1">
      <c r="B157" s="483"/>
      <c r="C157" s="997" t="s">
        <v>28</v>
      </c>
      <c r="D157" s="997" t="s">
        <v>29</v>
      </c>
      <c r="E157" s="997" t="s">
        <v>30</v>
      </c>
      <c r="F157" s="997">
        <v>2013</v>
      </c>
      <c r="G157" s="997" t="s">
        <v>132</v>
      </c>
      <c r="H157" s="997" t="s">
        <v>133</v>
      </c>
      <c r="I157" s="997" t="s">
        <v>134</v>
      </c>
      <c r="J157" s="997" t="s">
        <v>135</v>
      </c>
      <c r="K157" s="997" t="s">
        <v>136</v>
      </c>
      <c r="L157" s="997" t="s">
        <v>137</v>
      </c>
      <c r="M157" s="997" t="s">
        <v>138</v>
      </c>
      <c r="N157" s="997" t="s">
        <v>139</v>
      </c>
      <c r="O157" s="1141"/>
    </row>
    <row r="158" spans="2:15" ht="15.5" hidden="1">
      <c r="B158" s="483"/>
      <c r="C158" s="998" t="s">
        <v>332</v>
      </c>
      <c r="D158" s="485" t="s">
        <v>333</v>
      </c>
      <c r="E158" s="485"/>
      <c r="F158" s="486"/>
      <c r="G158" s="486"/>
      <c r="H158" s="486"/>
      <c r="I158" s="486"/>
      <c r="J158" s="486"/>
      <c r="K158" s="486"/>
      <c r="L158" s="486"/>
      <c r="M158" s="486"/>
      <c r="N158" s="486"/>
      <c r="O158" s="1141"/>
    </row>
    <row r="159" spans="2:15" ht="15.5" hidden="1">
      <c r="B159" s="483"/>
      <c r="C159" s="998" t="s">
        <v>330</v>
      </c>
      <c r="D159" s="485" t="s">
        <v>331</v>
      </c>
      <c r="E159" s="485"/>
      <c r="F159" s="486"/>
      <c r="G159" s="486"/>
      <c r="H159" s="486"/>
      <c r="I159" s="486"/>
      <c r="J159" s="486"/>
      <c r="K159" s="486"/>
      <c r="L159" s="486"/>
      <c r="M159" s="486"/>
      <c r="N159" s="486"/>
      <c r="O159" s="1141"/>
    </row>
    <row r="160" spans="2:15" ht="15.5" hidden="1">
      <c r="B160" s="483"/>
      <c r="C160" s="998" t="s">
        <v>328</v>
      </c>
      <c r="D160" s="485" t="s">
        <v>329</v>
      </c>
      <c r="E160" s="485"/>
      <c r="F160" s="1702"/>
      <c r="G160" s="1702"/>
      <c r="H160" s="1702"/>
      <c r="I160" s="1702"/>
      <c r="J160" s="1702"/>
      <c r="K160" s="1702"/>
      <c r="L160" s="1702"/>
      <c r="M160" s="1702"/>
      <c r="N160" s="1702"/>
      <c r="O160" s="1141"/>
    </row>
    <row r="161" spans="2:15" hidden="1">
      <c r="B161" s="1005"/>
      <c r="C161" s="1001"/>
      <c r="D161" s="1001"/>
      <c r="E161" s="1001"/>
      <c r="F161" s="1001"/>
      <c r="G161" s="1001"/>
      <c r="H161" s="1001"/>
      <c r="I161" s="1001"/>
      <c r="J161" s="1001"/>
      <c r="K161" s="1001"/>
      <c r="L161" s="1001"/>
      <c r="M161" s="1001"/>
      <c r="N161" s="1001"/>
      <c r="O161" s="1006"/>
    </row>
    <row r="163" spans="2:15" ht="15.5">
      <c r="B163" s="1345" t="s">
        <v>1309</v>
      </c>
      <c r="C163" s="1622"/>
      <c r="D163" s="1622"/>
      <c r="E163" s="1622"/>
      <c r="F163" s="1622"/>
      <c r="G163" s="1622"/>
      <c r="H163" s="1622"/>
      <c r="I163" s="1622"/>
      <c r="J163" s="1622"/>
      <c r="K163" s="1622"/>
      <c r="L163" s="1622"/>
      <c r="M163" s="1622"/>
      <c r="N163" s="1622"/>
      <c r="O163" s="1622"/>
    </row>
    <row r="164" spans="2:15">
      <c r="B164" s="1346"/>
      <c r="C164" s="1346"/>
      <c r="D164" s="1346"/>
      <c r="E164" s="1346"/>
      <c r="F164" s="1346"/>
      <c r="G164" s="1346"/>
      <c r="H164" s="1346"/>
      <c r="I164" s="1346"/>
      <c r="J164" s="1346"/>
      <c r="K164" s="1346"/>
      <c r="L164" s="1346"/>
      <c r="M164" s="1346"/>
      <c r="N164" s="1346"/>
      <c r="O164" s="1346"/>
    </row>
    <row r="165" spans="2:15">
      <c r="B165" s="1346"/>
      <c r="C165" s="1623" t="s">
        <v>1308</v>
      </c>
      <c r="D165" s="1346"/>
      <c r="E165" s="1346"/>
      <c r="F165" s="1346"/>
      <c r="G165" s="1346"/>
      <c r="H165" s="1346"/>
      <c r="I165" s="1346"/>
      <c r="J165" s="1346"/>
      <c r="K165" s="1346"/>
      <c r="L165" s="1346"/>
      <c r="M165" s="1346"/>
      <c r="N165" s="1703" t="s">
        <v>972</v>
      </c>
      <c r="O165" s="1346"/>
    </row>
    <row r="166" spans="2:15">
      <c r="B166" s="1346"/>
      <c r="C166" s="1346"/>
      <c r="D166" s="1346"/>
      <c r="E166" s="1346"/>
      <c r="F166" s="1346"/>
      <c r="G166" s="1346"/>
      <c r="H166" s="1346"/>
      <c r="I166" s="1346"/>
      <c r="J166" s="1346"/>
      <c r="K166" s="1346"/>
      <c r="L166" s="1346"/>
      <c r="M166" s="1346"/>
      <c r="N166" s="1346"/>
      <c r="O166" s="1346"/>
    </row>
    <row r="167" spans="2:15">
      <c r="B167" s="1346"/>
      <c r="C167" s="1624" t="s">
        <v>28</v>
      </c>
      <c r="D167" s="1625" t="s">
        <v>29</v>
      </c>
      <c r="E167" s="1625" t="s">
        <v>1310</v>
      </c>
      <c r="F167" s="1704" t="s">
        <v>588</v>
      </c>
      <c r="G167" s="1705" t="s">
        <v>132</v>
      </c>
      <c r="H167" s="1705" t="s">
        <v>133</v>
      </c>
      <c r="I167" s="1705" t="s">
        <v>134</v>
      </c>
      <c r="J167" s="1705" t="s">
        <v>135</v>
      </c>
      <c r="K167" s="1705" t="s">
        <v>136</v>
      </c>
      <c r="L167" s="1705" t="s">
        <v>137</v>
      </c>
      <c r="M167" s="1705" t="s">
        <v>138</v>
      </c>
      <c r="N167" s="1706" t="s">
        <v>139</v>
      </c>
      <c r="O167" s="1346"/>
    </row>
    <row r="168" spans="2:15" ht="15.5">
      <c r="B168" s="1707"/>
      <c r="C168" s="1626" t="s">
        <v>257</v>
      </c>
      <c r="D168" s="1627" t="s">
        <v>258</v>
      </c>
      <c r="E168" s="1708" t="s">
        <v>304</v>
      </c>
      <c r="F168" s="1709">
        <f t="shared" ref="F168:N168" si="21">F$101*F47*F$67</f>
        <v>3.6052404011498703E-3</v>
      </c>
      <c r="G168" s="1709">
        <f t="shared" si="21"/>
        <v>3.5406380984016653E-3</v>
      </c>
      <c r="H168" s="1709">
        <f t="shared" si="21"/>
        <v>3.828856920155852E-3</v>
      </c>
      <c r="I168" s="1709">
        <f t="shared" si="21"/>
        <v>4.1405376397105707E-3</v>
      </c>
      <c r="J168" s="1709">
        <f t="shared" si="21"/>
        <v>4.4775901276462799E-3</v>
      </c>
      <c r="K168" s="1709">
        <f t="shared" si="21"/>
        <v>4.8420797238778075E-3</v>
      </c>
      <c r="L168" s="1709">
        <f t="shared" si="21"/>
        <v>5.2362398933359314E-3</v>
      </c>
      <c r="M168" s="1709">
        <f t="shared" si="21"/>
        <v>5.6624859118603425E-3</v>
      </c>
      <c r="N168" s="1709">
        <f t="shared" si="21"/>
        <v>6.1234296661663275E-3</v>
      </c>
      <c r="O168" s="1710"/>
    </row>
    <row r="169" spans="2:15" ht="15.5">
      <c r="B169" s="1707"/>
      <c r="C169" s="1626" t="s">
        <v>259</v>
      </c>
      <c r="D169" s="1627" t="s">
        <v>260</v>
      </c>
      <c r="E169" s="1708" t="s">
        <v>304</v>
      </c>
      <c r="F169" s="1709">
        <f t="shared" ref="F169:N169" si="22">F$101*F52*F$67</f>
        <v>0.52636146383308025</v>
      </c>
      <c r="G169" s="1709">
        <f t="shared" si="22"/>
        <v>0.51692959276265527</v>
      </c>
      <c r="H169" s="1709">
        <f t="shared" si="22"/>
        <v>0.5590092501620324</v>
      </c>
      <c r="I169" s="1709">
        <f t="shared" si="22"/>
        <v>0.60451432098644797</v>
      </c>
      <c r="J169" s="1709">
        <f t="shared" si="22"/>
        <v>0.65372364441515396</v>
      </c>
      <c r="K169" s="1709">
        <f t="shared" si="22"/>
        <v>0.70693875799347861</v>
      </c>
      <c r="L169" s="1709">
        <f t="shared" si="22"/>
        <v>0.7644857453495788</v>
      </c>
      <c r="M169" s="1709">
        <f t="shared" si="22"/>
        <v>0.82671723432101429</v>
      </c>
      <c r="N169" s="1709">
        <f t="shared" si="22"/>
        <v>0.89401455773496208</v>
      </c>
      <c r="O169" s="1710"/>
    </row>
    <row r="170" spans="2:15" ht="15.5">
      <c r="B170" s="1707"/>
      <c r="C170" s="1626" t="s">
        <v>261</v>
      </c>
      <c r="D170" s="1627" t="s">
        <v>262</v>
      </c>
      <c r="E170" s="1708" t="s">
        <v>304</v>
      </c>
      <c r="F170" s="1709">
        <f t="shared" ref="F170:N170" si="23">F$101*F57*F$67</f>
        <v>3.120113599255105E-2</v>
      </c>
      <c r="G170" s="1709">
        <f t="shared" si="23"/>
        <v>3.0642042836700526E-2</v>
      </c>
      <c r="H170" s="1709">
        <f t="shared" si="23"/>
        <v>3.3136399288019841E-2</v>
      </c>
      <c r="I170" s="1709">
        <f t="shared" si="23"/>
        <v>3.5833804019749033E-2</v>
      </c>
      <c r="J170" s="1709">
        <f t="shared" si="23"/>
        <v>3.8750785785890231E-2</v>
      </c>
      <c r="K170" s="1709">
        <f t="shared" si="23"/>
        <v>4.190521883181491E-2</v>
      </c>
      <c r="L170" s="1709">
        <f t="shared" si="23"/>
        <v>4.5316432421396192E-2</v>
      </c>
      <c r="M170" s="1709">
        <f t="shared" si="23"/>
        <v>4.9005329279986215E-2</v>
      </c>
      <c r="N170" s="1709">
        <f t="shared" si="23"/>
        <v>5.2994513679015753E-2</v>
      </c>
      <c r="O170" s="1710"/>
    </row>
    <row r="171" spans="2:15" ht="15.5">
      <c r="B171" s="1707"/>
      <c r="C171" s="1630" t="s">
        <v>263</v>
      </c>
      <c r="D171" s="1631" t="s">
        <v>264</v>
      </c>
      <c r="E171" s="1708" t="s">
        <v>304</v>
      </c>
      <c r="F171" s="1709">
        <f t="shared" ref="F171:N171" si="24">F$101*F62*F$67</f>
        <v>4.8593217596491427E-2</v>
      </c>
      <c r="G171" s="1709">
        <f t="shared" si="24"/>
        <v>4.7722475730379889E-2</v>
      </c>
      <c r="H171" s="1709">
        <f t="shared" si="24"/>
        <v>5.1607231908203322E-2</v>
      </c>
      <c r="I171" s="1709">
        <f t="shared" si="24"/>
        <v>5.5808219176936597E-2</v>
      </c>
      <c r="J171" s="1709">
        <f t="shared" si="24"/>
        <v>6.0351179719172539E-2</v>
      </c>
      <c r="K171" s="1709">
        <f t="shared" si="24"/>
        <v>6.5263951210273896E-2</v>
      </c>
      <c r="L171" s="1709">
        <f t="shared" si="24"/>
        <v>7.0576637397924427E-2</v>
      </c>
      <c r="M171" s="1709">
        <f t="shared" si="24"/>
        <v>7.6321792567379601E-2</v>
      </c>
      <c r="N171" s="1709">
        <f t="shared" si="24"/>
        <v>8.2534621022755397E-2</v>
      </c>
      <c r="O171" s="1710"/>
    </row>
    <row r="172" spans="2:15" ht="15.5">
      <c r="B172" s="1707"/>
      <c r="C172" s="2444" t="s">
        <v>58</v>
      </c>
      <c r="D172" s="2445"/>
      <c r="E172" s="2446"/>
      <c r="F172" s="2447">
        <f>SUBTOTAL(109,XII.c.AQ[2013])</f>
        <v>0.6097610578232725</v>
      </c>
      <c r="G172" s="2447">
        <f>SUBTOTAL(109,XII.c.AQ[2015])</f>
        <v>0.59883474942813741</v>
      </c>
      <c r="H172" s="2447">
        <f>SUBTOTAL(109,XII.c.AQ[2020])</f>
        <v>0.64758173827841148</v>
      </c>
      <c r="I172" s="2447">
        <f>SUBTOTAL(109,XII.c.AQ[2025])</f>
        <v>0.70029688182284411</v>
      </c>
      <c r="J172" s="2447">
        <f>SUBTOTAL(109,XII.c.AQ[2030])</f>
        <v>0.757303200047863</v>
      </c>
      <c r="K172" s="2447">
        <f>SUBTOTAL(109,XII.c.AQ[2035])</f>
        <v>0.81895000775944515</v>
      </c>
      <c r="L172" s="2447">
        <f>SUBTOTAL(109,XII.c.AQ[2040])</f>
        <v>0.88561505506223526</v>
      </c>
      <c r="M172" s="2447">
        <f>SUBTOTAL(109,XII.c.AQ[2045])</f>
        <v>0.95770684208024048</v>
      </c>
      <c r="N172" s="2447">
        <f>SUBTOTAL(109,XII.c.AQ[2050])</f>
        <v>1.0356671221028995</v>
      </c>
      <c r="O172" s="1710"/>
    </row>
    <row r="173" spans="2:15" ht="15.5">
      <c r="B173" s="1707"/>
      <c r="C173" s="1708"/>
      <c r="D173" s="1708"/>
      <c r="E173" s="1708"/>
      <c r="F173" s="1711"/>
      <c r="G173" s="1711"/>
      <c r="H173" s="1711"/>
      <c r="I173" s="1711"/>
      <c r="J173" s="1711"/>
      <c r="K173" s="1711"/>
      <c r="L173" s="1711"/>
      <c r="M173" s="1711"/>
      <c r="N173" s="1711"/>
      <c r="O173" s="1710"/>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9"/>
  </sheetPr>
  <dimension ref="A1:DI728"/>
  <sheetViews>
    <sheetView showGridLines="0" zoomScale="80" zoomScaleNormal="80" workbookViewId="0">
      <selection activeCell="E8" sqref="E8"/>
    </sheetView>
  </sheetViews>
  <sheetFormatPr defaultColWidth="8.81640625" defaultRowHeight="14.5"/>
  <cols>
    <col min="1" max="1" width="7.7265625" style="3726" customWidth="1"/>
    <col min="2" max="2" width="5.81640625" style="3726" customWidth="1"/>
    <col min="3" max="3" width="20.453125" style="3726" customWidth="1"/>
    <col min="4" max="4" width="30.7265625" style="3726" customWidth="1"/>
    <col min="5" max="5" width="20.7265625" style="3726" customWidth="1"/>
    <col min="6" max="14" width="17.7265625" style="3726" customWidth="1"/>
    <col min="15" max="15" width="2" style="3726" customWidth="1"/>
    <col min="16" max="16" width="10.81640625" style="3726" customWidth="1"/>
    <col min="17" max="16384" width="8.81640625" style="3726"/>
  </cols>
  <sheetData>
    <row r="1" spans="1:15" ht="20">
      <c r="A1" s="1007" t="s">
        <v>487</v>
      </c>
      <c r="B1" s="1007" t="s">
        <v>486</v>
      </c>
      <c r="C1" s="1007"/>
    </row>
    <row r="2" spans="1:15" s="6" customFormat="1" ht="15">
      <c r="A2" s="855" t="s">
        <v>485</v>
      </c>
      <c r="B2" s="855" t="s">
        <v>486</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XIV.a.Scenario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s="6" customFormat="1" ht="23.5">
      <c r="A11" s="40"/>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2920</v>
      </c>
      <c r="D13" s="67"/>
      <c r="E13" s="50"/>
      <c r="F13" s="67"/>
      <c r="G13" s="67"/>
      <c r="H13" s="67"/>
      <c r="I13" s="67"/>
      <c r="J13" s="67"/>
      <c r="K13" s="67"/>
      <c r="L13" s="67"/>
      <c r="M13" s="67"/>
      <c r="N13" s="51" t="s">
        <v>2921</v>
      </c>
      <c r="O13" s="876"/>
    </row>
    <row r="14" spans="1:15">
      <c r="B14" s="105"/>
      <c r="C14" s="67"/>
      <c r="D14" s="67"/>
      <c r="E14" s="67"/>
      <c r="F14" s="67"/>
      <c r="G14" s="67"/>
      <c r="H14" s="67"/>
      <c r="I14" s="67"/>
      <c r="J14" s="67"/>
      <c r="K14" s="67"/>
      <c r="L14" s="67"/>
      <c r="M14" s="67"/>
      <c r="N14" s="67"/>
      <c r="O14" s="876"/>
    </row>
    <row r="15" spans="1:15" ht="15.5">
      <c r="B15" s="55"/>
      <c r="C15" s="878" t="s">
        <v>8</v>
      </c>
      <c r="D15" s="878" t="s">
        <v>34</v>
      </c>
      <c r="E15" s="878" t="s">
        <v>30</v>
      </c>
      <c r="F15" s="87">
        <v>2013</v>
      </c>
      <c r="G15" s="87">
        <v>2015</v>
      </c>
      <c r="H15" s="87">
        <v>2020</v>
      </c>
      <c r="I15" s="87">
        <v>2025</v>
      </c>
      <c r="J15" s="87">
        <v>2030</v>
      </c>
      <c r="K15" s="87">
        <v>2035</v>
      </c>
      <c r="L15" s="87">
        <v>2040</v>
      </c>
      <c r="M15" s="87">
        <v>2045</v>
      </c>
      <c r="N15" s="87">
        <v>2050</v>
      </c>
      <c r="O15" s="876"/>
    </row>
    <row r="16" spans="1:15" ht="15.5">
      <c r="B16" s="55"/>
      <c r="C16" s="65">
        <v>1</v>
      </c>
      <c r="D16" s="103" t="s">
        <v>250</v>
      </c>
      <c r="E16" s="1256"/>
      <c r="F16" s="2639">
        <v>0</v>
      </c>
      <c r="G16" s="2639">
        <v>0</v>
      </c>
      <c r="H16" s="2639">
        <v>0</v>
      </c>
      <c r="I16" s="2639">
        <v>0</v>
      </c>
      <c r="J16" s="2639">
        <v>0</v>
      </c>
      <c r="K16" s="2639">
        <v>0</v>
      </c>
      <c r="L16" s="2639">
        <v>0</v>
      </c>
      <c r="M16" s="2639">
        <v>0</v>
      </c>
      <c r="N16" s="2639">
        <v>0</v>
      </c>
      <c r="O16" s="876"/>
    </row>
    <row r="17" spans="2:15" ht="15.5">
      <c r="B17" s="55"/>
      <c r="C17" s="65">
        <v>2</v>
      </c>
      <c r="D17" s="103" t="s">
        <v>250</v>
      </c>
      <c r="E17" s="103"/>
      <c r="F17" s="2639">
        <v>0</v>
      </c>
      <c r="G17" s="2918">
        <v>0</v>
      </c>
      <c r="H17" s="2918">
        <v>0</v>
      </c>
      <c r="I17" s="2918">
        <v>0</v>
      </c>
      <c r="J17" s="2918"/>
      <c r="K17" s="2918">
        <v>0.1</v>
      </c>
      <c r="L17" s="2918">
        <v>0.1</v>
      </c>
      <c r="M17" s="2918">
        <v>0.2</v>
      </c>
      <c r="N17" s="2918">
        <v>0.3</v>
      </c>
      <c r="O17" s="876"/>
    </row>
    <row r="18" spans="2:15" ht="15.5">
      <c r="B18" s="55"/>
      <c r="C18" s="65">
        <v>3</v>
      </c>
      <c r="D18" s="103" t="s">
        <v>250</v>
      </c>
      <c r="E18" s="103"/>
      <c r="F18" s="2639">
        <v>0</v>
      </c>
      <c r="G18" s="2918">
        <v>0</v>
      </c>
      <c r="H18" s="2918">
        <v>0</v>
      </c>
      <c r="I18" s="2918">
        <v>0</v>
      </c>
      <c r="J18" s="2918">
        <v>0.1</v>
      </c>
      <c r="K18" s="2918">
        <v>0.1</v>
      </c>
      <c r="L18" s="2918">
        <v>0.2</v>
      </c>
      <c r="M18" s="2918">
        <v>0.3</v>
      </c>
      <c r="N18" s="2918">
        <v>0.4</v>
      </c>
      <c r="O18" s="876"/>
    </row>
    <row r="19" spans="2:15" ht="15.5">
      <c r="B19" s="55"/>
      <c r="C19" s="887">
        <v>4</v>
      </c>
      <c r="D19" s="888" t="s">
        <v>250</v>
      </c>
      <c r="E19" s="888"/>
      <c r="F19" s="2640">
        <v>0</v>
      </c>
      <c r="G19" s="3477">
        <v>0</v>
      </c>
      <c r="H19" s="3477">
        <v>0</v>
      </c>
      <c r="I19" s="3477">
        <v>0</v>
      </c>
      <c r="J19" s="3778">
        <v>0.1</v>
      </c>
      <c r="K19" s="3778">
        <v>0.1</v>
      </c>
      <c r="L19" s="3778">
        <v>0.2</v>
      </c>
      <c r="M19" s="3778">
        <v>0.3</v>
      </c>
      <c r="N19" s="3778">
        <v>0.4</v>
      </c>
      <c r="O19" s="876"/>
    </row>
    <row r="20" spans="2:15">
      <c r="B20" s="105"/>
      <c r="C20" s="67"/>
      <c r="D20" s="67"/>
      <c r="E20" s="67"/>
      <c r="F20" s="67"/>
      <c r="G20" s="67"/>
      <c r="H20" s="67"/>
      <c r="I20" s="67"/>
      <c r="J20" s="67"/>
      <c r="K20" s="67"/>
      <c r="L20" s="67"/>
      <c r="M20" s="67"/>
      <c r="N20" s="67"/>
      <c r="O20" s="876"/>
    </row>
    <row r="21" spans="2:15" ht="15.5">
      <c r="B21" s="55"/>
      <c r="C21" s="49" t="s">
        <v>2922</v>
      </c>
      <c r="D21" s="67"/>
      <c r="E21" s="50"/>
      <c r="F21" s="67"/>
      <c r="G21" s="67"/>
      <c r="H21" s="67"/>
      <c r="I21" s="67"/>
      <c r="J21" s="67"/>
      <c r="K21" s="67"/>
      <c r="L21" s="67"/>
      <c r="M21" s="67"/>
      <c r="N21" s="51" t="s">
        <v>2921</v>
      </c>
      <c r="O21" s="876"/>
    </row>
    <row r="22" spans="2:15" ht="15.5">
      <c r="B22" s="55"/>
      <c r="C22" s="67"/>
      <c r="D22" s="67"/>
      <c r="E22" s="67"/>
      <c r="F22" s="67"/>
      <c r="G22" s="67"/>
      <c r="H22" s="67"/>
      <c r="I22" s="67"/>
      <c r="J22" s="67"/>
      <c r="K22" s="67"/>
      <c r="L22" s="67"/>
      <c r="M22" s="67"/>
      <c r="N22" s="67"/>
      <c r="O22" s="876"/>
    </row>
    <row r="23" spans="2:15" ht="15.5">
      <c r="B23" s="55"/>
      <c r="C23" s="878" t="s">
        <v>8</v>
      </c>
      <c r="D23" s="878" t="s">
        <v>34</v>
      </c>
      <c r="E23" s="878" t="s">
        <v>30</v>
      </c>
      <c r="F23" s="87">
        <v>2013</v>
      </c>
      <c r="G23" s="87">
        <v>2015</v>
      </c>
      <c r="H23" s="87">
        <v>2020</v>
      </c>
      <c r="I23" s="87">
        <v>2025</v>
      </c>
      <c r="J23" s="87">
        <v>2030</v>
      </c>
      <c r="K23" s="87">
        <v>2035</v>
      </c>
      <c r="L23" s="87">
        <v>2040</v>
      </c>
      <c r="M23" s="87">
        <v>2045</v>
      </c>
      <c r="N23" s="87">
        <v>2050</v>
      </c>
      <c r="O23" s="876"/>
    </row>
    <row r="24" spans="2:15" ht="15.5">
      <c r="B24" s="55"/>
      <c r="C24" s="65">
        <v>1</v>
      </c>
      <c r="D24" s="103" t="s">
        <v>250</v>
      </c>
      <c r="E24" s="1256"/>
      <c r="F24" s="2639">
        <v>0</v>
      </c>
      <c r="G24" s="2639">
        <v>0</v>
      </c>
      <c r="H24" s="2639">
        <v>0</v>
      </c>
      <c r="I24" s="2639">
        <v>0</v>
      </c>
      <c r="J24" s="2639">
        <v>0</v>
      </c>
      <c r="K24" s="2639">
        <v>0</v>
      </c>
      <c r="L24" s="2639">
        <v>0</v>
      </c>
      <c r="M24" s="2639">
        <v>0</v>
      </c>
      <c r="N24" s="2639">
        <v>0</v>
      </c>
      <c r="O24" s="876"/>
    </row>
    <row r="25" spans="2:15" ht="15.5">
      <c r="B25" s="55"/>
      <c r="C25" s="65">
        <v>2</v>
      </c>
      <c r="D25" s="103" t="s">
        <v>250</v>
      </c>
      <c r="E25" s="103"/>
      <c r="F25" s="2639">
        <v>0</v>
      </c>
      <c r="G25" s="2918">
        <v>0</v>
      </c>
      <c r="H25" s="2918">
        <v>0</v>
      </c>
      <c r="I25" s="2918">
        <v>0</v>
      </c>
      <c r="J25" s="2918">
        <v>0</v>
      </c>
      <c r="K25" s="2918">
        <v>0</v>
      </c>
      <c r="L25" s="2918">
        <v>0</v>
      </c>
      <c r="M25" s="2918">
        <v>0</v>
      </c>
      <c r="N25" s="2918">
        <v>0</v>
      </c>
      <c r="O25" s="876"/>
    </row>
    <row r="26" spans="2:15" ht="15.5">
      <c r="B26" s="55"/>
      <c r="C26" s="65">
        <v>3</v>
      </c>
      <c r="D26" s="103" t="s">
        <v>250</v>
      </c>
      <c r="E26" s="103"/>
      <c r="F26" s="2639">
        <v>0</v>
      </c>
      <c r="G26" s="2918">
        <v>0</v>
      </c>
      <c r="H26" s="2918">
        <v>0</v>
      </c>
      <c r="I26" s="2918">
        <v>0</v>
      </c>
      <c r="J26" s="2918">
        <v>0</v>
      </c>
      <c r="K26" s="2918">
        <v>0</v>
      </c>
      <c r="L26" s="2918">
        <v>0</v>
      </c>
      <c r="M26" s="2918">
        <v>0</v>
      </c>
      <c r="N26" s="2918">
        <v>0</v>
      </c>
      <c r="O26" s="876"/>
    </row>
    <row r="27" spans="2:15" ht="15.5">
      <c r="B27" s="55"/>
      <c r="C27" s="887">
        <v>4</v>
      </c>
      <c r="D27" s="888" t="s">
        <v>250</v>
      </c>
      <c r="E27" s="888"/>
      <c r="F27" s="2640">
        <v>0</v>
      </c>
      <c r="G27" s="3477">
        <v>0</v>
      </c>
      <c r="H27" s="3477">
        <v>0</v>
      </c>
      <c r="I27" s="3477">
        <v>0</v>
      </c>
      <c r="J27" s="3477">
        <v>1</v>
      </c>
      <c r="K27" s="3477">
        <v>2</v>
      </c>
      <c r="L27" s="3477">
        <v>3</v>
      </c>
      <c r="M27" s="3477">
        <v>4</v>
      </c>
      <c r="N27" s="3477">
        <v>5</v>
      </c>
      <c r="O27" s="876"/>
    </row>
    <row r="28" spans="2:15" ht="15.5">
      <c r="B28" s="55"/>
      <c r="C28" s="65"/>
      <c r="D28" s="103"/>
      <c r="E28" s="103"/>
      <c r="F28" s="2639"/>
      <c r="G28" s="1217"/>
      <c r="H28" s="1217"/>
      <c r="I28" s="1217"/>
      <c r="J28" s="1217"/>
      <c r="K28" s="1217"/>
      <c r="L28" s="1217"/>
      <c r="M28" s="1217"/>
      <c r="N28" s="1217"/>
      <c r="O28" s="876"/>
    </row>
    <row r="29" spans="2:15" ht="15.5">
      <c r="B29" s="55"/>
      <c r="C29" s="49" t="s">
        <v>2923</v>
      </c>
      <c r="D29" s="67"/>
      <c r="E29" s="50"/>
      <c r="F29" s="67"/>
      <c r="G29" s="67"/>
      <c r="H29" s="67"/>
      <c r="I29" s="67"/>
      <c r="J29" s="67"/>
      <c r="K29" s="67"/>
      <c r="L29" s="67"/>
      <c r="M29" s="67"/>
      <c r="N29" s="51" t="s">
        <v>2921</v>
      </c>
      <c r="O29" s="876"/>
    </row>
    <row r="30" spans="2:15" ht="15.5">
      <c r="B30" s="55"/>
      <c r="C30" s="67"/>
      <c r="D30" s="67"/>
      <c r="E30" s="67"/>
      <c r="F30" s="67"/>
      <c r="G30" s="67"/>
      <c r="H30" s="67"/>
      <c r="I30" s="67"/>
      <c r="J30" s="67"/>
      <c r="K30" s="67"/>
      <c r="L30" s="67"/>
      <c r="M30" s="67"/>
      <c r="N30" s="67"/>
      <c r="O30" s="876"/>
    </row>
    <row r="31" spans="2:15" ht="15.5">
      <c r="B31" s="55"/>
      <c r="C31" s="878" t="s">
        <v>8</v>
      </c>
      <c r="D31" s="878" t="s">
        <v>34</v>
      </c>
      <c r="E31" s="878" t="s">
        <v>30</v>
      </c>
      <c r="F31" s="87">
        <v>2013</v>
      </c>
      <c r="G31" s="87">
        <v>2015</v>
      </c>
      <c r="H31" s="87">
        <v>2020</v>
      </c>
      <c r="I31" s="87">
        <v>2025</v>
      </c>
      <c r="J31" s="87">
        <v>2030</v>
      </c>
      <c r="K31" s="87">
        <v>2035</v>
      </c>
      <c r="L31" s="87">
        <v>2040</v>
      </c>
      <c r="M31" s="87">
        <v>2045</v>
      </c>
      <c r="N31" s="87">
        <v>2050</v>
      </c>
      <c r="O31" s="876"/>
    </row>
    <row r="32" spans="2:15" ht="15.5">
      <c r="B32" s="55"/>
      <c r="C32" s="65">
        <v>1</v>
      </c>
      <c r="D32" s="103" t="s">
        <v>250</v>
      </c>
      <c r="E32" s="1256"/>
      <c r="F32" s="2639">
        <v>0</v>
      </c>
      <c r="G32" s="2639">
        <v>0</v>
      </c>
      <c r="H32" s="2639">
        <v>0</v>
      </c>
      <c r="I32" s="2639">
        <v>0</v>
      </c>
      <c r="J32" s="2639">
        <v>0</v>
      </c>
      <c r="K32" s="2639">
        <v>0</v>
      </c>
      <c r="L32" s="2639">
        <v>0</v>
      </c>
      <c r="M32" s="2639">
        <v>0</v>
      </c>
      <c r="N32" s="2639">
        <v>0</v>
      </c>
      <c r="O32" s="876"/>
    </row>
    <row r="33" spans="1:17" ht="15.5">
      <c r="B33" s="55"/>
      <c r="C33" s="65">
        <v>2</v>
      </c>
      <c r="D33" s="103" t="s">
        <v>250</v>
      </c>
      <c r="E33" s="103"/>
      <c r="F33" s="2639">
        <v>0</v>
      </c>
      <c r="G33" s="2918">
        <v>0</v>
      </c>
      <c r="H33" s="2918">
        <v>0</v>
      </c>
      <c r="I33" s="2918">
        <v>0</v>
      </c>
      <c r="J33" s="2918">
        <v>0</v>
      </c>
      <c r="K33" s="2918">
        <v>0</v>
      </c>
      <c r="L33" s="2918">
        <v>0</v>
      </c>
      <c r="M33" s="2918">
        <v>0</v>
      </c>
      <c r="N33" s="2918">
        <v>0</v>
      </c>
      <c r="O33" s="876"/>
    </row>
    <row r="34" spans="1:17" ht="15.5">
      <c r="B34" s="55"/>
      <c r="C34" s="65">
        <v>3</v>
      </c>
      <c r="D34" s="103" t="s">
        <v>250</v>
      </c>
      <c r="E34" s="103"/>
      <c r="F34" s="2639">
        <v>0</v>
      </c>
      <c r="G34" s="2918">
        <v>0</v>
      </c>
      <c r="H34" s="2918">
        <v>0</v>
      </c>
      <c r="I34" s="2918">
        <v>0</v>
      </c>
      <c r="J34" s="2918">
        <v>0</v>
      </c>
      <c r="K34" s="2918">
        <v>0</v>
      </c>
      <c r="L34" s="2918">
        <v>0</v>
      </c>
      <c r="M34" s="2918">
        <v>0</v>
      </c>
      <c r="N34" s="2918">
        <v>0</v>
      </c>
      <c r="O34" s="876"/>
    </row>
    <row r="35" spans="1:17" ht="15.5">
      <c r="B35" s="55"/>
      <c r="C35" s="887">
        <v>4</v>
      </c>
      <c r="D35" s="888" t="s">
        <v>250</v>
      </c>
      <c r="E35" s="888"/>
      <c r="F35" s="2640">
        <v>0</v>
      </c>
      <c r="G35" s="3477">
        <v>0</v>
      </c>
      <c r="H35" s="3477">
        <v>0</v>
      </c>
      <c r="I35" s="3477">
        <v>0</v>
      </c>
      <c r="J35" s="3477">
        <v>0</v>
      </c>
      <c r="K35" s="3477">
        <v>0</v>
      </c>
      <c r="L35" s="3477">
        <v>0</v>
      </c>
      <c r="M35" s="3477">
        <v>0</v>
      </c>
      <c r="N35" s="3477">
        <v>0</v>
      </c>
      <c r="O35" s="876"/>
    </row>
    <row r="36" spans="1:17" ht="15.5">
      <c r="B36" s="55"/>
      <c r="C36" s="65"/>
      <c r="D36" s="103"/>
      <c r="E36" s="103"/>
      <c r="F36" s="2639"/>
      <c r="G36" s="1217"/>
      <c r="H36" s="1217"/>
      <c r="I36" s="1217"/>
      <c r="J36" s="1217"/>
      <c r="K36" s="1217"/>
      <c r="L36" s="1217"/>
      <c r="M36" s="1217"/>
      <c r="N36" s="1217"/>
      <c r="O36" s="876"/>
    </row>
    <row r="37" spans="1:17">
      <c r="B37" s="45"/>
      <c r="C37" s="3850" t="s">
        <v>63</v>
      </c>
      <c r="D37" s="195"/>
      <c r="E37" s="67"/>
      <c r="F37" s="67"/>
      <c r="G37" s="67"/>
      <c r="H37" s="67"/>
      <c r="I37" s="67"/>
      <c r="J37" s="67"/>
      <c r="K37" s="67"/>
      <c r="L37" s="67"/>
      <c r="M37" s="67"/>
      <c r="N37" s="67"/>
      <c r="O37" s="876"/>
      <c r="Q37" s="2977"/>
    </row>
    <row r="38" spans="1:17">
      <c r="B38" s="45"/>
      <c r="C38" s="920" t="s">
        <v>64</v>
      </c>
      <c r="D38" s="3848" t="s">
        <v>3048</v>
      </c>
      <c r="E38" s="67"/>
      <c r="F38" s="67"/>
      <c r="G38" s="67"/>
      <c r="H38" s="67"/>
      <c r="I38" s="67"/>
      <c r="J38" s="67"/>
      <c r="K38" s="67"/>
      <c r="L38" s="67"/>
      <c r="M38" s="67"/>
      <c r="N38" s="67"/>
      <c r="O38" s="876"/>
      <c r="Q38" s="2977"/>
    </row>
    <row r="39" spans="1:17">
      <c r="B39" s="45"/>
      <c r="C39" s="921"/>
      <c r="D39" s="195"/>
      <c r="E39" s="67"/>
      <c r="F39" s="67"/>
      <c r="G39" s="67"/>
      <c r="H39" s="67"/>
      <c r="I39" s="67"/>
      <c r="J39" s="67"/>
      <c r="K39" s="67"/>
      <c r="L39" s="67"/>
      <c r="M39" s="67"/>
      <c r="N39" s="67"/>
      <c r="O39" s="876"/>
    </row>
    <row r="41" spans="1:17" s="6" customFormat="1" ht="23.5">
      <c r="A41" s="40"/>
      <c r="B41" s="869" t="s">
        <v>69</v>
      </c>
      <c r="C41" s="870"/>
      <c r="D41" s="870"/>
      <c r="E41" s="870"/>
      <c r="F41" s="870"/>
      <c r="G41" s="870"/>
      <c r="H41" s="870"/>
      <c r="I41" s="870"/>
      <c r="J41" s="870"/>
      <c r="K41" s="870"/>
      <c r="L41" s="870"/>
      <c r="M41" s="870"/>
      <c r="N41" s="870"/>
      <c r="O41" s="871"/>
    </row>
    <row r="42" spans="1:17">
      <c r="B42" s="105"/>
      <c r="C42" s="67"/>
      <c r="D42" s="67"/>
      <c r="E42" s="67"/>
      <c r="F42" s="67"/>
      <c r="G42" s="67"/>
      <c r="H42" s="67"/>
      <c r="I42" s="67"/>
      <c r="J42" s="67"/>
      <c r="K42" s="67"/>
      <c r="L42" s="67"/>
      <c r="M42" s="67"/>
      <c r="N42" s="67"/>
      <c r="O42" s="876"/>
    </row>
    <row r="43" spans="1:17">
      <c r="B43" s="105"/>
      <c r="C43" s="49" t="s">
        <v>2924</v>
      </c>
      <c r="D43" s="67"/>
      <c r="E43" s="50"/>
      <c r="F43" s="67"/>
      <c r="G43" s="67"/>
      <c r="H43" s="67"/>
      <c r="I43" s="67"/>
      <c r="J43" s="67"/>
      <c r="K43" s="67"/>
      <c r="L43" s="67"/>
      <c r="M43" s="67"/>
      <c r="N43" s="1217" t="str">
        <f>Preferences.EnergyUnits &amp; " / Mt CO2"</f>
        <v>TWh / Mt CO2</v>
      </c>
      <c r="O43" s="876"/>
    </row>
    <row r="44" spans="1:17">
      <c r="B44" s="105"/>
      <c r="C44" s="67"/>
      <c r="D44" s="67"/>
      <c r="E44" s="67"/>
      <c r="F44" s="67"/>
      <c r="G44" s="67"/>
      <c r="H44" s="67"/>
      <c r="I44" s="67"/>
      <c r="J44" s="67"/>
      <c r="K44" s="67"/>
      <c r="L44" s="67"/>
      <c r="M44" s="67"/>
      <c r="N44" s="67"/>
      <c r="O44" s="876"/>
    </row>
    <row r="45" spans="1:17" ht="15.5">
      <c r="B45" s="55"/>
      <c r="C45" s="878" t="s">
        <v>8</v>
      </c>
      <c r="D45" s="878" t="s">
        <v>34</v>
      </c>
      <c r="E45" s="878" t="s">
        <v>30</v>
      </c>
      <c r="F45" s="87">
        <v>2013</v>
      </c>
      <c r="G45" s="87">
        <v>2015</v>
      </c>
      <c r="H45" s="87">
        <v>2020</v>
      </c>
      <c r="I45" s="87">
        <v>2025</v>
      </c>
      <c r="J45" s="87">
        <v>2030</v>
      </c>
      <c r="K45" s="87">
        <v>2035</v>
      </c>
      <c r="L45" s="87">
        <v>2040</v>
      </c>
      <c r="M45" s="87">
        <v>2045</v>
      </c>
      <c r="N45" s="87">
        <v>2050</v>
      </c>
      <c r="O45" s="876"/>
    </row>
    <row r="46" spans="1:17" ht="15.5">
      <c r="B46" s="55"/>
      <c r="C46" s="917" t="s">
        <v>250</v>
      </c>
      <c r="D46" s="194" t="s">
        <v>2924</v>
      </c>
      <c r="E46" s="1310"/>
      <c r="F46" s="2645">
        <f t="shared" ref="F46:N46" si="0">3.3*Unit.TWh</f>
        <v>3.3</v>
      </c>
      <c r="G46" s="2646">
        <f t="shared" si="0"/>
        <v>3.3</v>
      </c>
      <c r="H46" s="2645">
        <f t="shared" si="0"/>
        <v>3.3</v>
      </c>
      <c r="I46" s="2645">
        <f t="shared" si="0"/>
        <v>3.3</v>
      </c>
      <c r="J46" s="2645">
        <f t="shared" si="0"/>
        <v>3.3</v>
      </c>
      <c r="K46" s="2645">
        <f t="shared" si="0"/>
        <v>3.3</v>
      </c>
      <c r="L46" s="2645">
        <f t="shared" si="0"/>
        <v>3.3</v>
      </c>
      <c r="M46" s="2645">
        <f t="shared" si="0"/>
        <v>3.3</v>
      </c>
      <c r="N46" s="2645">
        <f t="shared" si="0"/>
        <v>3.3</v>
      </c>
      <c r="O46" s="876"/>
    </row>
    <row r="47" spans="1:17">
      <c r="B47" s="105"/>
      <c r="C47" s="67"/>
      <c r="D47" s="67"/>
      <c r="E47" s="67"/>
      <c r="F47" s="67"/>
      <c r="G47" s="67"/>
      <c r="H47" s="67"/>
      <c r="I47" s="67"/>
      <c r="J47" s="67"/>
      <c r="K47" s="67"/>
      <c r="L47" s="67"/>
      <c r="M47" s="67"/>
      <c r="N47" s="67"/>
      <c r="O47" s="876"/>
    </row>
    <row r="48" spans="1:17" s="918" customFormat="1" ht="12.5">
      <c r="B48" s="922"/>
      <c r="C48" s="953"/>
      <c r="D48" s="953"/>
      <c r="E48" s="953" t="s">
        <v>2925</v>
      </c>
      <c r="F48" s="3737"/>
      <c r="G48" s="922"/>
      <c r="H48" s="922"/>
      <c r="I48" s="922"/>
      <c r="J48" s="922"/>
      <c r="K48" s="922"/>
      <c r="L48" s="922"/>
      <c r="M48" s="922"/>
      <c r="N48" s="922"/>
      <c r="O48" s="922"/>
    </row>
    <row r="49" spans="1:113" s="918" customFormat="1" ht="12.5">
      <c r="B49" s="922"/>
      <c r="C49" s="953" t="s">
        <v>2926</v>
      </c>
      <c r="D49" s="953"/>
      <c r="E49" s="953">
        <f>0.1/8</f>
        <v>1.2500000000000001E-2</v>
      </c>
      <c r="F49" s="3737"/>
      <c r="G49" s="922"/>
      <c r="H49" s="922"/>
      <c r="I49" s="922"/>
      <c r="J49" s="922"/>
      <c r="K49" s="922"/>
      <c r="L49" s="922"/>
      <c r="M49" s="922"/>
      <c r="N49" s="922"/>
      <c r="O49" s="922"/>
    </row>
    <row r="50" spans="1:113" s="918" customFormat="1" ht="12.5">
      <c r="B50" s="922"/>
      <c r="C50" s="915"/>
      <c r="D50" s="915"/>
      <c r="E50" s="915"/>
      <c r="F50" s="922"/>
      <c r="G50" s="922"/>
      <c r="H50" s="922"/>
      <c r="I50" s="922"/>
      <c r="J50" s="922"/>
      <c r="K50" s="922"/>
      <c r="L50" s="922"/>
      <c r="M50" s="922"/>
      <c r="N50" s="922"/>
      <c r="O50" s="922"/>
    </row>
    <row r="51" spans="1:113" s="918" customFormat="1">
      <c r="B51" s="922"/>
      <c r="C51" s="1464" t="s">
        <v>2927</v>
      </c>
      <c r="D51" s="195"/>
      <c r="E51" s="922"/>
      <c r="F51" s="922"/>
      <c r="G51" s="922"/>
      <c r="H51" s="922"/>
      <c r="I51" s="922"/>
      <c r="J51" s="922"/>
      <c r="K51" s="922"/>
      <c r="L51" s="922"/>
      <c r="M51" s="922"/>
      <c r="N51" s="922"/>
      <c r="O51" s="922"/>
    </row>
    <row r="52" spans="1:113" s="918" customFormat="1">
      <c r="B52" s="922"/>
      <c r="C52" s="51"/>
      <c r="D52" s="195"/>
      <c r="E52" s="922"/>
      <c r="F52" s="922"/>
      <c r="G52" s="922"/>
      <c r="H52" s="922"/>
      <c r="I52" s="922"/>
      <c r="J52" s="922"/>
      <c r="K52" s="922"/>
      <c r="L52" s="922"/>
      <c r="M52" s="922"/>
      <c r="N52" s="922"/>
      <c r="O52" s="922"/>
    </row>
    <row r="53" spans="1:113">
      <c r="R53" s="918"/>
    </row>
    <row r="54" spans="1:113" s="6" customFormat="1" ht="23.5">
      <c r="A54" s="40"/>
      <c r="B54" s="869" t="s">
        <v>2719</v>
      </c>
      <c r="C54" s="870"/>
      <c r="D54" s="870"/>
      <c r="E54" s="870"/>
      <c r="F54" s="870"/>
      <c r="G54" s="2157"/>
      <c r="H54" s="2157"/>
      <c r="I54" s="2157"/>
      <c r="J54" s="870"/>
      <c r="K54" s="870"/>
      <c r="L54" s="870"/>
      <c r="M54" s="870"/>
      <c r="N54" s="870"/>
      <c r="O54" s="870"/>
      <c r="P54" s="647"/>
      <c r="Q54" s="647"/>
      <c r="R54" s="647"/>
      <c r="S54" s="647"/>
      <c r="T54" s="647"/>
      <c r="U54" s="647"/>
      <c r="V54" s="647"/>
      <c r="W54" s="647"/>
      <c r="X54" s="647"/>
      <c r="Y54" s="647"/>
      <c r="Z54" s="647"/>
      <c r="AA54" s="647"/>
      <c r="AB54" s="647"/>
      <c r="AC54" s="647"/>
      <c r="AD54" s="647"/>
    </row>
    <row r="55" spans="1:113" s="850" customFormat="1" ht="15.75" customHeight="1">
      <c r="A55" s="1066"/>
      <c r="B55" s="3738"/>
      <c r="C55" s="103"/>
      <c r="D55" s="103"/>
      <c r="E55" s="103"/>
      <c r="F55" s="103"/>
      <c r="G55" s="103"/>
      <c r="H55" s="103"/>
      <c r="I55" s="103"/>
      <c r="J55" s="103"/>
      <c r="K55" s="103"/>
      <c r="L55" s="103"/>
      <c r="M55" s="103"/>
      <c r="N55" s="103"/>
      <c r="O55" s="103"/>
      <c r="P55" s="647"/>
      <c r="Q55" s="647"/>
      <c r="R55" s="647"/>
      <c r="S55" s="647"/>
      <c r="T55" s="647"/>
      <c r="U55" s="647"/>
      <c r="V55" s="647"/>
      <c r="W55" s="647"/>
      <c r="X55" s="647"/>
      <c r="Y55" s="647"/>
      <c r="Z55" s="3739"/>
      <c r="AA55" s="647"/>
      <c r="AB55" s="647"/>
      <c r="AC55" s="647"/>
      <c r="AD55" s="647"/>
    </row>
    <row r="56" spans="1:113" s="6" customFormat="1" ht="15.75" hidden="1" customHeight="1">
      <c r="A56" s="40"/>
      <c r="B56" s="3738"/>
      <c r="C56" s="3740" t="s">
        <v>168</v>
      </c>
      <c r="D56" s="103"/>
      <c r="E56" s="103"/>
      <c r="F56" s="103"/>
      <c r="G56" s="103"/>
      <c r="H56" s="103"/>
      <c r="I56" s="103"/>
      <c r="J56" s="103"/>
      <c r="K56" s="103"/>
      <c r="L56" s="103"/>
      <c r="M56" s="103"/>
      <c r="N56" s="103"/>
      <c r="O56" s="103"/>
      <c r="P56" s="647"/>
      <c r="Q56" s="647"/>
      <c r="R56" s="647"/>
      <c r="S56" s="647"/>
      <c r="T56" s="647"/>
      <c r="U56" s="647"/>
      <c r="V56" s="647"/>
      <c r="W56" s="647"/>
      <c r="X56" s="647"/>
      <c r="Y56" s="647"/>
      <c r="Z56" s="3739"/>
      <c r="AA56" s="647"/>
      <c r="AB56" s="647"/>
      <c r="AC56" s="647"/>
      <c r="AD56" s="647"/>
    </row>
    <row r="57" spans="1:113" s="6" customFormat="1" hidden="1">
      <c r="A57" s="3726"/>
      <c r="B57" s="3741"/>
      <c r="C57" s="49" t="s">
        <v>719</v>
      </c>
      <c r="D57" s="915"/>
      <c r="E57" s="932"/>
      <c r="F57" s="2489"/>
      <c r="G57" s="934"/>
      <c r="H57" s="934"/>
      <c r="I57" s="934"/>
      <c r="J57" s="934"/>
      <c r="K57" s="934"/>
      <c r="L57" s="934"/>
      <c r="M57" s="934"/>
      <c r="N57" s="935" t="s">
        <v>2736</v>
      </c>
      <c r="O57" s="3742"/>
      <c r="P57" s="1164"/>
      <c r="Q57" s="647"/>
      <c r="R57" s="647"/>
      <c r="S57" s="647"/>
      <c r="T57" s="647"/>
      <c r="U57" s="647"/>
      <c r="V57" s="647"/>
      <c r="W57" s="647"/>
      <c r="X57" s="647"/>
      <c r="Y57" s="647"/>
      <c r="Z57" s="3739"/>
      <c r="AA57" s="647"/>
      <c r="AB57" s="647"/>
      <c r="AC57" s="647"/>
      <c r="AD57" s="1164"/>
      <c r="AE57" s="3726"/>
      <c r="AF57" s="3726"/>
      <c r="AG57" s="3726"/>
      <c r="AH57" s="3726"/>
      <c r="AI57" s="3726"/>
      <c r="AJ57" s="3726"/>
      <c r="AK57" s="3726"/>
      <c r="AL57" s="3726"/>
      <c r="AM57" s="3726"/>
      <c r="AN57" s="3726"/>
      <c r="AO57" s="3726"/>
      <c r="AP57" s="3726"/>
      <c r="AQ57" s="3726"/>
      <c r="AR57" s="3726"/>
      <c r="AS57" s="3726"/>
      <c r="AT57" s="3726"/>
      <c r="AU57" s="3726"/>
      <c r="AV57" s="3726"/>
      <c r="AW57" s="3726"/>
      <c r="AX57" s="3726"/>
      <c r="AY57" s="3726"/>
      <c r="AZ57" s="3726"/>
      <c r="BA57" s="3726"/>
      <c r="BB57" s="3726"/>
      <c r="BC57" s="3726"/>
      <c r="BD57" s="3726"/>
      <c r="BE57" s="3726"/>
      <c r="BF57" s="3726"/>
      <c r="BG57" s="3726"/>
      <c r="BH57" s="3726"/>
      <c r="BI57" s="3726"/>
      <c r="BJ57" s="3726"/>
      <c r="BK57" s="3726"/>
      <c r="BL57" s="3726"/>
      <c r="BM57" s="3726"/>
      <c r="BN57" s="3726"/>
      <c r="BO57" s="3726"/>
      <c r="BP57" s="3726"/>
      <c r="BQ57" s="3726"/>
      <c r="BR57" s="3726"/>
      <c r="BS57" s="3726"/>
      <c r="BT57" s="3726"/>
      <c r="BU57" s="3726"/>
      <c r="BV57" s="3726"/>
      <c r="BW57" s="3726"/>
      <c r="BX57" s="3726"/>
      <c r="BY57" s="3726"/>
      <c r="BZ57" s="3726"/>
      <c r="CA57" s="3726"/>
      <c r="CB57" s="3726"/>
      <c r="CC57" s="3726"/>
      <c r="CD57" s="3726"/>
      <c r="CE57" s="3726"/>
      <c r="CF57" s="3726"/>
      <c r="CG57" s="3726"/>
      <c r="CH57" s="3726"/>
      <c r="CI57" s="3726"/>
      <c r="CJ57" s="3726"/>
      <c r="CK57" s="3726"/>
      <c r="CL57" s="3726"/>
      <c r="CM57" s="3726"/>
      <c r="CN57" s="3726"/>
      <c r="CO57" s="3726"/>
      <c r="CP57" s="3726"/>
      <c r="CQ57" s="3726"/>
      <c r="CR57" s="3726"/>
      <c r="CS57" s="3726"/>
      <c r="CT57" s="3726"/>
      <c r="CU57" s="3726"/>
      <c r="CV57" s="3726"/>
      <c r="CW57" s="3726"/>
      <c r="CX57" s="3726"/>
      <c r="CY57" s="3726"/>
      <c r="CZ57" s="3726"/>
      <c r="DA57" s="3726"/>
      <c r="DB57" s="3726"/>
      <c r="DC57" s="3726"/>
      <c r="DD57" s="3726"/>
      <c r="DE57" s="3726"/>
      <c r="DF57" s="3726"/>
      <c r="DG57" s="3726"/>
      <c r="DH57" s="3726"/>
      <c r="DI57" s="3726"/>
    </row>
    <row r="58" spans="1:113" s="6" customFormat="1" ht="4.5" hidden="1" customHeight="1">
      <c r="A58" s="3726"/>
      <c r="B58" s="3741"/>
      <c r="C58" s="937"/>
      <c r="D58" s="915"/>
      <c r="E58" s="932"/>
      <c r="F58" s="2489"/>
      <c r="G58" s="934"/>
      <c r="H58" s="934"/>
      <c r="I58" s="934"/>
      <c r="J58" s="934"/>
      <c r="K58" s="934"/>
      <c r="L58" s="934"/>
      <c r="M58" s="934"/>
      <c r="N58" s="67"/>
      <c r="O58" s="3742"/>
      <c r="P58" s="1164"/>
      <c r="Q58" s="647"/>
      <c r="R58" s="647"/>
      <c r="S58" s="647"/>
      <c r="T58" s="647"/>
      <c r="U58" s="647"/>
      <c r="V58" s="647"/>
      <c r="W58" s="647"/>
      <c r="X58" s="647"/>
      <c r="Y58" s="647"/>
      <c r="Z58" s="647"/>
      <c r="AA58" s="647"/>
      <c r="AB58" s="647"/>
      <c r="AC58" s="647"/>
      <c r="AD58" s="1164"/>
      <c r="AE58" s="3726"/>
      <c r="AF58" s="3726"/>
      <c r="AG58" s="3726"/>
      <c r="AH58" s="3726"/>
      <c r="AI58" s="3726"/>
      <c r="AJ58" s="3726"/>
      <c r="AK58" s="3726"/>
      <c r="AL58" s="3726"/>
      <c r="AM58" s="3726"/>
      <c r="AN58" s="3726"/>
      <c r="AO58" s="3726"/>
      <c r="AP58" s="3726"/>
      <c r="AQ58" s="3726"/>
      <c r="AR58" s="3726"/>
      <c r="AS58" s="3726"/>
      <c r="AT58" s="3726"/>
      <c r="AU58" s="3726"/>
      <c r="AV58" s="3726"/>
      <c r="AW58" s="3726"/>
      <c r="AX58" s="3726"/>
      <c r="AY58" s="3726"/>
      <c r="AZ58" s="3726"/>
      <c r="BA58" s="3726"/>
      <c r="BB58" s="3726"/>
      <c r="BC58" s="3726"/>
      <c r="BD58" s="3726"/>
      <c r="BE58" s="3726"/>
      <c r="BF58" s="3726"/>
      <c r="BG58" s="3726"/>
      <c r="BH58" s="3726"/>
      <c r="BI58" s="3726"/>
      <c r="BJ58" s="3726"/>
      <c r="BK58" s="3726"/>
      <c r="BL58" s="3726"/>
      <c r="BM58" s="3726"/>
      <c r="BN58" s="3726"/>
      <c r="BO58" s="3726"/>
      <c r="BP58" s="3726"/>
      <c r="BQ58" s="3726"/>
      <c r="BR58" s="3726"/>
      <c r="BS58" s="3726"/>
      <c r="BT58" s="3726"/>
      <c r="BU58" s="3726"/>
      <c r="BV58" s="3726"/>
      <c r="BW58" s="3726"/>
      <c r="BX58" s="3726"/>
      <c r="BY58" s="3726"/>
      <c r="BZ58" s="3726"/>
      <c r="CA58" s="3726"/>
      <c r="CB58" s="3726"/>
      <c r="CC58" s="3726"/>
      <c r="CD58" s="3726"/>
      <c r="CE58" s="3726"/>
      <c r="CF58" s="3726"/>
      <c r="CG58" s="3726"/>
      <c r="CH58" s="3726"/>
      <c r="CI58" s="3726"/>
      <c r="CJ58" s="3726"/>
      <c r="CK58" s="3726"/>
      <c r="CL58" s="3726"/>
      <c r="CM58" s="3726"/>
      <c r="CN58" s="3726"/>
      <c r="CO58" s="3726"/>
      <c r="CP58" s="3726"/>
      <c r="CQ58" s="3726"/>
      <c r="CR58" s="3726"/>
      <c r="CS58" s="3726"/>
      <c r="CT58" s="3726"/>
      <c r="CU58" s="3726"/>
      <c r="CV58" s="3726"/>
      <c r="CW58" s="3726"/>
      <c r="CX58" s="3726"/>
      <c r="CY58" s="3726"/>
      <c r="CZ58" s="3726"/>
      <c r="DA58" s="3726"/>
      <c r="DB58" s="3726"/>
      <c r="DC58" s="3726"/>
      <c r="DD58" s="3726"/>
      <c r="DE58" s="3726"/>
      <c r="DF58" s="3726"/>
      <c r="DG58" s="3726"/>
      <c r="DH58" s="3726"/>
      <c r="DI58" s="3726"/>
    </row>
    <row r="59" spans="1:113" s="6" customFormat="1" hidden="1">
      <c r="A59" s="3726"/>
      <c r="B59" s="3741"/>
      <c r="C59" s="1170"/>
      <c r="D59" s="971" t="s">
        <v>1447</v>
      </c>
      <c r="E59" s="971" t="s">
        <v>159</v>
      </c>
      <c r="F59" s="2908">
        <v>2013</v>
      </c>
      <c r="G59" s="965">
        <v>2015</v>
      </c>
      <c r="H59" s="965">
        <v>2020</v>
      </c>
      <c r="I59" s="965">
        <v>2025</v>
      </c>
      <c r="J59" s="965">
        <v>2030</v>
      </c>
      <c r="K59" s="965">
        <v>2035</v>
      </c>
      <c r="L59" s="965">
        <v>2040</v>
      </c>
      <c r="M59" s="965">
        <v>2045</v>
      </c>
      <c r="N59" s="965">
        <v>2050</v>
      </c>
      <c r="O59" s="3742"/>
      <c r="P59" s="1164"/>
      <c r="Q59" s="3396"/>
      <c r="R59" s="3739"/>
      <c r="S59" s="3739"/>
      <c r="T59" s="3739"/>
      <c r="U59" s="3739"/>
      <c r="V59" s="3739"/>
      <c r="W59" s="3739"/>
      <c r="X59" s="3739"/>
      <c r="Y59" s="3739"/>
      <c r="Z59" s="3739"/>
      <c r="AA59" s="3739"/>
      <c r="AB59" s="3739"/>
      <c r="AC59" s="3739"/>
      <c r="AD59" s="1164"/>
      <c r="AE59" s="3726"/>
      <c r="AF59" s="3726"/>
      <c r="AG59" s="3726"/>
      <c r="AH59" s="3726"/>
      <c r="AI59" s="3726"/>
      <c r="AJ59" s="3726"/>
      <c r="AK59" s="3726"/>
      <c r="AL59" s="3726"/>
      <c r="AM59" s="3726"/>
      <c r="AN59" s="3726"/>
      <c r="AO59" s="3726"/>
      <c r="AP59" s="3726"/>
      <c r="AQ59" s="3726"/>
      <c r="AR59" s="3726"/>
      <c r="AS59" s="3726"/>
      <c r="AT59" s="3726"/>
      <c r="AU59" s="3726"/>
      <c r="AV59" s="3726"/>
      <c r="AW59" s="3726"/>
      <c r="AX59" s="3726"/>
      <c r="AY59" s="3726"/>
      <c r="AZ59" s="3726"/>
      <c r="BA59" s="3726"/>
      <c r="BB59" s="3726"/>
      <c r="BC59" s="3726"/>
      <c r="BD59" s="3726"/>
      <c r="BE59" s="3726"/>
      <c r="BF59" s="3726"/>
      <c r="BG59" s="3726"/>
      <c r="BH59" s="3726"/>
      <c r="BI59" s="3726"/>
      <c r="BJ59" s="3726"/>
      <c r="BK59" s="3726"/>
      <c r="BL59" s="3726"/>
      <c r="BM59" s="3726"/>
      <c r="BN59" s="3726"/>
      <c r="BO59" s="3726"/>
      <c r="BP59" s="3726"/>
      <c r="BQ59" s="3726"/>
      <c r="BR59" s="3726"/>
      <c r="BS59" s="3726"/>
      <c r="BT59" s="3726"/>
      <c r="BU59" s="3726"/>
      <c r="BV59" s="3726"/>
      <c r="BW59" s="3726"/>
      <c r="BX59" s="3726"/>
      <c r="BY59" s="3726"/>
      <c r="BZ59" s="3726"/>
      <c r="CA59" s="3726"/>
      <c r="CB59" s="3726"/>
      <c r="CC59" s="3726"/>
      <c r="CD59" s="3726"/>
      <c r="CE59" s="3726"/>
      <c r="CF59" s="3726"/>
      <c r="CG59" s="3726"/>
      <c r="CH59" s="3726"/>
      <c r="CI59" s="3726"/>
      <c r="CJ59" s="3726"/>
      <c r="CK59" s="3726"/>
      <c r="CL59" s="3726"/>
      <c r="CM59" s="3726"/>
      <c r="CN59" s="3726"/>
      <c r="CO59" s="3726"/>
      <c r="CP59" s="3726"/>
      <c r="CQ59" s="3726"/>
      <c r="CR59" s="3726"/>
      <c r="CS59" s="3726"/>
      <c r="CT59" s="3726"/>
      <c r="CU59" s="3726"/>
      <c r="CV59" s="3726"/>
      <c r="CW59" s="3726"/>
      <c r="CX59" s="3726"/>
      <c r="CY59" s="3726"/>
      <c r="CZ59" s="3726"/>
      <c r="DA59" s="3726"/>
      <c r="DB59" s="3726"/>
      <c r="DC59" s="3726"/>
      <c r="DD59" s="3726"/>
      <c r="DE59" s="3726"/>
      <c r="DF59" s="3726"/>
      <c r="DG59" s="3726"/>
      <c r="DH59" s="3726"/>
      <c r="DI59" s="3726"/>
    </row>
    <row r="60" spans="1:113" s="6" customFormat="1" hidden="1">
      <c r="A60" s="3726"/>
      <c r="B60" s="3741"/>
      <c r="C60" s="1070" t="s">
        <v>2926</v>
      </c>
      <c r="D60" s="971" t="s">
        <v>2928</v>
      </c>
      <c r="E60" s="3373"/>
      <c r="F60" s="3743"/>
      <c r="G60" s="3373"/>
      <c r="H60" s="3373"/>
      <c r="I60" s="3373"/>
      <c r="J60" s="3373"/>
      <c r="K60" s="3373"/>
      <c r="L60" s="3373"/>
      <c r="M60" s="3373"/>
      <c r="N60" s="3373"/>
      <c r="O60" s="3742"/>
      <c r="P60" s="1164"/>
      <c r="Q60" s="3739"/>
      <c r="R60" s="3739"/>
      <c r="S60" s="3739"/>
      <c r="T60" s="3739"/>
      <c r="U60" s="3739"/>
      <c r="V60" s="3739"/>
      <c r="W60" s="3739"/>
      <c r="X60" s="3739"/>
      <c r="Y60" s="3739"/>
      <c r="Z60" s="3739"/>
      <c r="AA60" s="3739"/>
      <c r="AB60" s="3739"/>
      <c r="AC60" s="3739"/>
      <c r="AD60" s="1164"/>
      <c r="AE60" s="3726"/>
      <c r="AF60" s="3726"/>
      <c r="AG60" s="3726"/>
      <c r="AH60" s="3726"/>
      <c r="AI60" s="3726"/>
      <c r="AJ60" s="3726"/>
      <c r="AK60" s="3726"/>
      <c r="AL60" s="3726"/>
      <c r="AM60" s="3726"/>
      <c r="AN60" s="3726"/>
      <c r="AO60" s="3726"/>
      <c r="AP60" s="3726"/>
      <c r="AQ60" s="3726"/>
      <c r="AR60" s="3726"/>
      <c r="AS60" s="3726"/>
      <c r="AT60" s="3726"/>
      <c r="AU60" s="3726"/>
      <c r="AV60" s="3726"/>
      <c r="AW60" s="3726"/>
      <c r="AX60" s="3726"/>
      <c r="AY60" s="3726"/>
      <c r="AZ60" s="3726"/>
      <c r="BA60" s="3726"/>
      <c r="BB60" s="3726"/>
      <c r="BC60" s="3726"/>
      <c r="BD60" s="3726"/>
      <c r="BE60" s="3726"/>
      <c r="BF60" s="3726"/>
      <c r="BG60" s="3726"/>
      <c r="BH60" s="3726"/>
      <c r="BI60" s="3726"/>
      <c r="BJ60" s="3726"/>
      <c r="BK60" s="3726"/>
      <c r="BL60" s="3726"/>
      <c r="BM60" s="3726"/>
      <c r="BN60" s="3726"/>
      <c r="BO60" s="3726"/>
      <c r="BP60" s="3726"/>
      <c r="BQ60" s="3726"/>
      <c r="BR60" s="3726"/>
      <c r="BS60" s="3726"/>
      <c r="BT60" s="3726"/>
      <c r="BU60" s="3726"/>
      <c r="BV60" s="3726"/>
      <c r="BW60" s="3726"/>
      <c r="BX60" s="3726"/>
      <c r="BY60" s="3726"/>
      <c r="BZ60" s="3726"/>
      <c r="CA60" s="3726"/>
      <c r="CB60" s="3726"/>
      <c r="CC60" s="3726"/>
      <c r="CD60" s="3726"/>
      <c r="CE60" s="3726"/>
      <c r="CF60" s="3726"/>
      <c r="CG60" s="3726"/>
      <c r="CH60" s="3726"/>
      <c r="CI60" s="3726"/>
      <c r="CJ60" s="3726"/>
      <c r="CK60" s="3726"/>
      <c r="CL60" s="3726"/>
      <c r="CM60" s="3726"/>
      <c r="CN60" s="3726"/>
      <c r="CO60" s="3726"/>
      <c r="CP60" s="3726"/>
      <c r="CQ60" s="3726"/>
      <c r="CR60" s="3726"/>
      <c r="CS60" s="3726"/>
      <c r="CT60" s="3726"/>
      <c r="CU60" s="3726"/>
      <c r="CV60" s="3726"/>
      <c r="CW60" s="3726"/>
      <c r="CX60" s="3726"/>
      <c r="CY60" s="3726"/>
      <c r="CZ60" s="3726"/>
      <c r="DA60" s="3726"/>
      <c r="DB60" s="3726"/>
      <c r="DC60" s="3726"/>
      <c r="DD60" s="3726"/>
      <c r="DE60" s="3726"/>
      <c r="DF60" s="3726"/>
      <c r="DG60" s="3726"/>
      <c r="DH60" s="3726"/>
      <c r="DI60" s="3726"/>
    </row>
    <row r="61" spans="1:113" s="6" customFormat="1" hidden="1">
      <c r="A61" s="3726"/>
      <c r="B61" s="3741"/>
      <c r="C61" s="915" t="s">
        <v>2929</v>
      </c>
      <c r="D61" s="932" t="s">
        <v>2930</v>
      </c>
      <c r="E61" s="3744"/>
      <c r="F61" s="3745"/>
      <c r="G61" s="3746"/>
      <c r="H61" s="3746"/>
      <c r="I61" s="3746"/>
      <c r="J61" s="3746"/>
      <c r="K61" s="3746"/>
      <c r="L61" s="3746"/>
      <c r="M61" s="3746"/>
      <c r="N61" s="3746"/>
      <c r="O61" s="3742"/>
      <c r="P61" s="3747"/>
      <c r="Q61" s="3739"/>
      <c r="R61" s="3739"/>
      <c r="S61" s="3739"/>
      <c r="T61" s="3739"/>
      <c r="U61" s="3739"/>
      <c r="V61" s="3739"/>
      <c r="W61" s="3739"/>
      <c r="X61" s="3739"/>
      <c r="Y61" s="3739"/>
      <c r="Z61" s="3739"/>
      <c r="AA61" s="3739"/>
      <c r="AB61" s="3739"/>
      <c r="AC61" s="3739"/>
      <c r="AD61" s="1164"/>
      <c r="AE61" s="3726"/>
      <c r="AF61" s="3726"/>
      <c r="AG61" s="3726"/>
      <c r="AH61" s="3726"/>
      <c r="AI61" s="3726"/>
      <c r="AJ61" s="3726"/>
      <c r="AK61" s="3726"/>
      <c r="AL61" s="3726"/>
      <c r="AM61" s="3726"/>
      <c r="AN61" s="3726"/>
      <c r="AO61" s="3726"/>
      <c r="AP61" s="3726"/>
      <c r="AQ61" s="3726"/>
      <c r="AR61" s="3726"/>
      <c r="AS61" s="3726"/>
      <c r="AT61" s="3726"/>
      <c r="AU61" s="3726"/>
      <c r="AV61" s="3726"/>
      <c r="AW61" s="3726"/>
      <c r="AX61" s="3726"/>
      <c r="AY61" s="3726"/>
      <c r="AZ61" s="3726"/>
      <c r="BA61" s="3726"/>
      <c r="BB61" s="3726"/>
      <c r="BC61" s="3726"/>
      <c r="BD61" s="3726"/>
      <c r="BE61" s="3726"/>
      <c r="BF61" s="3726"/>
      <c r="BG61" s="3726"/>
      <c r="BH61" s="3726"/>
      <c r="BI61" s="3726"/>
      <c r="BJ61" s="3726"/>
      <c r="BK61" s="3726"/>
      <c r="BL61" s="3726"/>
      <c r="BM61" s="3726"/>
      <c r="BN61" s="3726"/>
      <c r="BO61" s="3726"/>
      <c r="BP61" s="3726"/>
      <c r="BQ61" s="3726"/>
      <c r="BR61" s="3726"/>
      <c r="BS61" s="3726"/>
      <c r="BT61" s="3726"/>
      <c r="BU61" s="3726"/>
      <c r="BV61" s="3726"/>
      <c r="BW61" s="3726"/>
      <c r="BX61" s="3726"/>
      <c r="BY61" s="3726"/>
      <c r="BZ61" s="3726"/>
      <c r="CA61" s="3726"/>
      <c r="CB61" s="3726"/>
      <c r="CC61" s="3726"/>
      <c r="CD61" s="3726"/>
      <c r="CE61" s="3726"/>
      <c r="CF61" s="3726"/>
      <c r="CG61" s="3726"/>
      <c r="CH61" s="3726"/>
      <c r="CI61" s="3726"/>
      <c r="CJ61" s="3726"/>
      <c r="CK61" s="3726"/>
      <c r="CL61" s="3726"/>
      <c r="CM61" s="3726"/>
      <c r="CN61" s="3726"/>
      <c r="CO61" s="3726"/>
      <c r="CP61" s="3726"/>
      <c r="CQ61" s="3726"/>
      <c r="CR61" s="3726"/>
      <c r="CS61" s="3726"/>
      <c r="CT61" s="3726"/>
      <c r="CU61" s="3726"/>
      <c r="CV61" s="3726"/>
      <c r="CW61" s="3726"/>
      <c r="CX61" s="3726"/>
      <c r="CY61" s="3726"/>
      <c r="CZ61" s="3726"/>
      <c r="DA61" s="3726"/>
      <c r="DB61" s="3726"/>
      <c r="DC61" s="3726"/>
      <c r="DD61" s="3726"/>
      <c r="DE61" s="3726"/>
      <c r="DF61" s="3726"/>
      <c r="DG61" s="3726"/>
      <c r="DH61" s="3726"/>
      <c r="DI61" s="3726"/>
    </row>
    <row r="62" spans="1:113" s="6" customFormat="1" ht="15.75" hidden="1" customHeight="1">
      <c r="A62" s="40"/>
      <c r="B62" s="3738"/>
      <c r="C62" s="3748" t="s">
        <v>2931</v>
      </c>
      <c r="D62" s="1427" t="s">
        <v>2932</v>
      </c>
      <c r="E62" s="3375"/>
      <c r="F62" s="3749"/>
      <c r="G62" s="3375"/>
      <c r="H62" s="3375"/>
      <c r="I62" s="3375"/>
      <c r="J62" s="3375"/>
      <c r="K62" s="3375"/>
      <c r="L62" s="3375"/>
      <c r="M62" s="3375"/>
      <c r="N62" s="3375"/>
      <c r="O62" s="103"/>
      <c r="P62" s="3747"/>
      <c r="Q62" s="3739"/>
      <c r="R62" s="3739"/>
      <c r="S62" s="3739"/>
      <c r="T62" s="3739"/>
      <c r="U62" s="3739"/>
      <c r="V62" s="3739"/>
      <c r="W62" s="3739"/>
      <c r="X62" s="3739"/>
      <c r="Y62" s="3739"/>
      <c r="Z62" s="3739"/>
      <c r="AA62" s="3739"/>
      <c r="AB62" s="3739"/>
      <c r="AC62" s="3739"/>
      <c r="AD62" s="647"/>
    </row>
    <row r="63" spans="1:113" s="6" customFormat="1" ht="15.75" hidden="1" customHeight="1">
      <c r="A63" s="40"/>
      <c r="B63" s="3738"/>
      <c r="C63" s="937"/>
      <c r="D63" s="915"/>
      <c r="E63" s="932"/>
      <c r="F63" s="2489"/>
      <c r="G63" s="934"/>
      <c r="H63" s="934"/>
      <c r="I63" s="934"/>
      <c r="J63" s="934"/>
      <c r="K63" s="934"/>
      <c r="L63" s="934"/>
      <c r="M63" s="934"/>
      <c r="N63" s="67"/>
      <c r="O63" s="103"/>
      <c r="P63" s="3747"/>
      <c r="Q63" s="3396"/>
      <c r="R63" s="647"/>
      <c r="S63" s="647"/>
      <c r="T63" s="647"/>
      <c r="U63" s="647"/>
      <c r="V63" s="647"/>
      <c r="W63" s="647"/>
      <c r="X63" s="647"/>
      <c r="Y63" s="647"/>
      <c r="Z63" s="647"/>
      <c r="AA63" s="647"/>
      <c r="AB63" s="647"/>
      <c r="AC63" s="647"/>
      <c r="AD63" s="647"/>
    </row>
    <row r="64" spans="1:113" hidden="1">
      <c r="B64" s="2162"/>
      <c r="C64" s="49" t="s">
        <v>720</v>
      </c>
      <c r="D64" s="915"/>
      <c r="E64" s="932"/>
      <c r="F64" s="2489"/>
      <c r="G64" s="934"/>
      <c r="H64" s="934"/>
      <c r="I64" s="934"/>
      <c r="J64" s="934"/>
      <c r="K64" s="934"/>
      <c r="L64" s="934"/>
      <c r="M64" s="934"/>
      <c r="N64" s="935" t="s">
        <v>2736</v>
      </c>
      <c r="O64" s="67"/>
      <c r="P64" s="3747"/>
      <c r="Q64" s="647"/>
      <c r="R64" s="647"/>
      <c r="S64" s="647"/>
      <c r="T64" s="647"/>
      <c r="U64" s="647"/>
      <c r="V64" s="647"/>
      <c r="W64" s="647"/>
      <c r="X64" s="647"/>
      <c r="Y64" s="647"/>
      <c r="Z64" s="647"/>
      <c r="AA64" s="647"/>
      <c r="AB64" s="647"/>
      <c r="AC64" s="647"/>
      <c r="AD64" s="1164"/>
    </row>
    <row r="65" spans="2:30" hidden="1">
      <c r="B65" s="2162"/>
      <c r="C65" s="937"/>
      <c r="D65" s="915"/>
      <c r="E65" s="932"/>
      <c r="F65" s="2489"/>
      <c r="G65" s="934"/>
      <c r="H65" s="934"/>
      <c r="I65" s="934"/>
      <c r="J65" s="934"/>
      <c r="K65" s="934"/>
      <c r="L65" s="934"/>
      <c r="M65" s="934"/>
      <c r="N65" s="67"/>
      <c r="O65" s="67"/>
      <c r="P65" s="3747"/>
      <c r="Q65" s="1164"/>
      <c r="R65" s="1164"/>
      <c r="S65" s="1164"/>
      <c r="T65" s="1164"/>
      <c r="U65" s="1164"/>
      <c r="V65" s="1164"/>
      <c r="W65" s="1164"/>
      <c r="X65" s="1164"/>
      <c r="Y65" s="1164"/>
      <c r="Z65" s="1164"/>
      <c r="AA65" s="1164"/>
      <c r="AB65" s="3750"/>
      <c r="AC65" s="3750"/>
      <c r="AD65" s="1164"/>
    </row>
    <row r="66" spans="2:30" hidden="1">
      <c r="B66" s="2162"/>
      <c r="C66" s="1170"/>
      <c r="D66" s="971" t="s">
        <v>1447</v>
      </c>
      <c r="E66" s="971" t="s">
        <v>159</v>
      </c>
      <c r="F66" s="2908">
        <v>2013</v>
      </c>
      <c r="G66" s="965">
        <v>2015</v>
      </c>
      <c r="H66" s="965">
        <v>2020</v>
      </c>
      <c r="I66" s="965">
        <v>2025</v>
      </c>
      <c r="J66" s="965">
        <v>2030</v>
      </c>
      <c r="K66" s="965">
        <v>2035</v>
      </c>
      <c r="L66" s="965">
        <v>2040</v>
      </c>
      <c r="M66" s="965">
        <v>2045</v>
      </c>
      <c r="N66" s="965">
        <v>2050</v>
      </c>
      <c r="O66" s="67"/>
      <c r="P66" s="3747"/>
      <c r="Q66" s="3750"/>
      <c r="R66" s="3750"/>
      <c r="S66" s="3750"/>
      <c r="T66" s="3750"/>
      <c r="U66" s="3751"/>
      <c r="V66" s="3751"/>
      <c r="W66" s="3751"/>
      <c r="X66" s="3751"/>
      <c r="Y66" s="3750"/>
      <c r="Z66" s="3750"/>
      <c r="AA66" s="3750"/>
      <c r="AB66" s="3750"/>
      <c r="AC66" s="3750"/>
      <c r="AD66" s="1164"/>
    </row>
    <row r="67" spans="2:30" hidden="1">
      <c r="B67" s="2162"/>
      <c r="C67" s="1070" t="s">
        <v>2926</v>
      </c>
      <c r="D67" s="971" t="s">
        <v>2928</v>
      </c>
      <c r="E67" s="3373"/>
      <c r="F67" s="3752"/>
      <c r="G67" s="3373"/>
      <c r="H67" s="3373"/>
      <c r="I67" s="3373"/>
      <c r="J67" s="3373"/>
      <c r="K67" s="3373"/>
      <c r="L67" s="3373"/>
      <c r="M67" s="3373"/>
      <c r="N67" s="3372"/>
      <c r="O67" s="67"/>
      <c r="P67" s="3747"/>
      <c r="Q67" s="3753"/>
      <c r="R67" s="3754"/>
      <c r="S67" s="3750"/>
      <c r="T67" s="3755"/>
      <c r="U67" s="3755"/>
      <c r="V67" s="3755"/>
      <c r="W67" s="3755"/>
      <c r="X67" s="3755"/>
      <c r="Y67" s="3753"/>
      <c r="Z67" s="3750"/>
      <c r="AA67" s="3750"/>
      <c r="AB67" s="3750"/>
      <c r="AC67" s="3750"/>
      <c r="AD67" s="1164"/>
    </row>
    <row r="68" spans="2:30" hidden="1">
      <c r="B68" s="2162"/>
      <c r="C68" s="915" t="s">
        <v>2929</v>
      </c>
      <c r="D68" s="932" t="s">
        <v>2930</v>
      </c>
      <c r="E68" s="3744"/>
      <c r="F68" s="3756"/>
      <c r="G68" s="3744"/>
      <c r="H68" s="3744"/>
      <c r="I68" s="3744"/>
      <c r="J68" s="3744"/>
      <c r="K68" s="3744"/>
      <c r="L68" s="3744"/>
      <c r="M68" s="3744"/>
      <c r="N68" s="3744"/>
      <c r="O68" s="67"/>
      <c r="P68" s="3747"/>
      <c r="Q68" s="3750"/>
      <c r="R68" s="3754"/>
      <c r="S68" s="3750"/>
      <c r="T68" s="3750"/>
      <c r="U68" s="3755"/>
      <c r="V68" s="3755"/>
      <c r="W68" s="3755"/>
      <c r="X68" s="3755"/>
      <c r="Y68" s="3750"/>
      <c r="Z68" s="3750"/>
      <c r="AA68" s="3750"/>
      <c r="AB68" s="2824"/>
      <c r="AC68" s="3750"/>
      <c r="AD68" s="1164"/>
    </row>
    <row r="69" spans="2:30" hidden="1">
      <c r="B69" s="2162"/>
      <c r="C69" s="3748" t="s">
        <v>2931</v>
      </c>
      <c r="D69" s="1427" t="s">
        <v>2932</v>
      </c>
      <c r="E69" s="3375"/>
      <c r="F69" s="3757"/>
      <c r="G69" s="3375"/>
      <c r="H69" s="3375"/>
      <c r="I69" s="3375"/>
      <c r="J69" s="3375"/>
      <c r="K69" s="3375"/>
      <c r="L69" s="3375"/>
      <c r="M69" s="3375"/>
      <c r="N69" s="3374"/>
      <c r="O69" s="67"/>
      <c r="P69" s="3747"/>
      <c r="Q69" s="2542"/>
      <c r="R69" s="2542"/>
      <c r="S69" s="2542"/>
      <c r="T69" s="2824"/>
      <c r="U69" s="2824"/>
      <c r="V69" s="2824"/>
      <c r="W69" s="2824"/>
      <c r="X69" s="2824"/>
      <c r="Y69" s="2824"/>
      <c r="Z69" s="2824"/>
      <c r="AA69" s="2824"/>
      <c r="AB69" s="3758"/>
      <c r="AC69" s="3750"/>
      <c r="AD69" s="1164"/>
    </row>
    <row r="70" spans="2:30" hidden="1">
      <c r="B70" s="2162"/>
      <c r="C70" s="47"/>
      <c r="D70" s="47"/>
      <c r="E70" s="47"/>
      <c r="F70" s="47"/>
      <c r="G70" s="47"/>
      <c r="H70" s="47"/>
      <c r="I70" s="47"/>
      <c r="J70" s="47"/>
      <c r="K70" s="47"/>
      <c r="L70" s="47"/>
      <c r="M70" s="47"/>
      <c r="N70" s="47"/>
      <c r="O70" s="67"/>
      <c r="P70" s="3747"/>
      <c r="Q70" s="512"/>
      <c r="R70" s="512"/>
      <c r="S70" s="512"/>
      <c r="T70" s="3758"/>
      <c r="U70" s="3759"/>
      <c r="V70" s="3759"/>
      <c r="W70" s="3759"/>
      <c r="X70" s="3759"/>
      <c r="Y70" s="3758"/>
      <c r="Z70" s="3758"/>
      <c r="AA70" s="3758"/>
      <c r="AB70" s="3758"/>
      <c r="AC70" s="3750"/>
      <c r="AD70" s="1164"/>
    </row>
    <row r="71" spans="2:30" hidden="1">
      <c r="B71" s="2162"/>
      <c r="C71" s="49" t="s">
        <v>721</v>
      </c>
      <c r="D71" s="915"/>
      <c r="E71" s="932"/>
      <c r="F71" s="2489"/>
      <c r="G71" s="934"/>
      <c r="H71" s="934"/>
      <c r="I71" s="934"/>
      <c r="J71" s="934"/>
      <c r="K71" s="934"/>
      <c r="L71" s="934"/>
      <c r="M71" s="934"/>
      <c r="N71" s="935" t="s">
        <v>2736</v>
      </c>
      <c r="O71" s="67"/>
      <c r="P71" s="3747"/>
      <c r="Q71" s="512"/>
      <c r="R71" s="512"/>
      <c r="S71" s="512"/>
      <c r="T71" s="3758"/>
      <c r="U71" s="3759"/>
      <c r="V71" s="3758"/>
      <c r="W71" s="3759"/>
      <c r="X71" s="3759"/>
      <c r="Y71" s="1164"/>
      <c r="Z71" s="1164"/>
      <c r="AA71" s="3758"/>
      <c r="AB71" s="3758"/>
      <c r="AC71" s="3750"/>
      <c r="AD71" s="1164"/>
    </row>
    <row r="72" spans="2:30" hidden="1">
      <c r="B72" s="2162"/>
      <c r="C72" s="937"/>
      <c r="D72" s="915"/>
      <c r="E72" s="932"/>
      <c r="F72" s="2489"/>
      <c r="G72" s="934"/>
      <c r="H72" s="934"/>
      <c r="I72" s="934"/>
      <c r="J72" s="934"/>
      <c r="K72" s="934"/>
      <c r="L72" s="934"/>
      <c r="M72" s="934"/>
      <c r="N72" s="67"/>
      <c r="O72" s="67"/>
      <c r="P72" s="3747"/>
      <c r="Q72" s="1164"/>
      <c r="R72" s="1164"/>
      <c r="S72" s="1164"/>
      <c r="T72" s="3758"/>
      <c r="U72" s="3759"/>
      <c r="V72" s="3758"/>
      <c r="W72" s="3759"/>
      <c r="X72" s="3759"/>
      <c r="Y72" s="3758"/>
      <c r="Z72" s="3758"/>
      <c r="AA72" s="3758"/>
      <c r="AB72" s="3758"/>
      <c r="AC72" s="3750"/>
      <c r="AD72" s="1164"/>
    </row>
    <row r="73" spans="2:30" hidden="1">
      <c r="B73" s="2162"/>
      <c r="C73" s="1170"/>
      <c r="D73" s="971" t="s">
        <v>1447</v>
      </c>
      <c r="E73" s="971" t="s">
        <v>159</v>
      </c>
      <c r="F73" s="2908">
        <v>2013</v>
      </c>
      <c r="G73" s="965">
        <v>2015</v>
      </c>
      <c r="H73" s="965">
        <v>2020</v>
      </c>
      <c r="I73" s="965">
        <v>2025</v>
      </c>
      <c r="J73" s="965">
        <v>2030</v>
      </c>
      <c r="K73" s="965">
        <v>2035</v>
      </c>
      <c r="L73" s="965">
        <v>2040</v>
      </c>
      <c r="M73" s="965">
        <v>2045</v>
      </c>
      <c r="N73" s="965">
        <v>2050</v>
      </c>
      <c r="O73" s="67"/>
      <c r="P73" s="3747"/>
      <c r="Q73" s="1164"/>
      <c r="R73" s="1164"/>
      <c r="S73" s="1164"/>
      <c r="T73" s="3758"/>
      <c r="U73" s="3759"/>
      <c r="V73" s="3758"/>
      <c r="W73" s="3759"/>
      <c r="X73" s="3759"/>
      <c r="Y73" s="3758"/>
      <c r="Z73" s="3758"/>
      <c r="AA73" s="3758"/>
      <c r="AB73" s="3758"/>
      <c r="AC73" s="3750"/>
      <c r="AD73" s="1164"/>
    </row>
    <row r="74" spans="2:30" hidden="1">
      <c r="B74" s="2162"/>
      <c r="C74" s="1070" t="s">
        <v>2926</v>
      </c>
      <c r="D74" s="971" t="s">
        <v>2928</v>
      </c>
      <c r="E74" s="3373"/>
      <c r="F74" s="3743"/>
      <c r="G74" s="3373"/>
      <c r="H74" s="3373"/>
      <c r="I74" s="3373"/>
      <c r="J74" s="3373"/>
      <c r="K74" s="3373"/>
      <c r="L74" s="3373"/>
      <c r="M74" s="3373"/>
      <c r="N74" s="3373"/>
      <c r="O74" s="67"/>
      <c r="P74" s="3747"/>
      <c r="Q74" s="512"/>
      <c r="R74" s="512"/>
      <c r="S74" s="512"/>
      <c r="T74" s="3758"/>
      <c r="U74" s="3759"/>
      <c r="V74" s="3758"/>
      <c r="W74" s="3759"/>
      <c r="X74" s="3759"/>
      <c r="Y74" s="3758"/>
      <c r="Z74" s="3758"/>
      <c r="AA74" s="3758"/>
      <c r="AB74" s="3758"/>
      <c r="AC74" s="3750"/>
      <c r="AD74" s="1164"/>
    </row>
    <row r="75" spans="2:30" hidden="1">
      <c r="B75" s="2162"/>
      <c r="C75" s="915" t="s">
        <v>2929</v>
      </c>
      <c r="D75" s="932" t="s">
        <v>2930</v>
      </c>
      <c r="E75" s="3744"/>
      <c r="F75" s="3760"/>
      <c r="G75" s="3746"/>
      <c r="H75" s="3746"/>
      <c r="I75" s="3746"/>
      <c r="J75" s="3746"/>
      <c r="K75" s="3746"/>
      <c r="L75" s="3746"/>
      <c r="M75" s="3746"/>
      <c r="N75" s="3746"/>
      <c r="O75" s="67"/>
      <c r="P75" s="3747"/>
      <c r="Q75" s="2542"/>
      <c r="R75" s="512"/>
      <c r="S75" s="512"/>
      <c r="T75" s="3758"/>
      <c r="U75" s="3759"/>
      <c r="V75" s="3758"/>
      <c r="W75" s="3759"/>
      <c r="X75" s="3759"/>
      <c r="Y75" s="3758"/>
      <c r="Z75" s="3758"/>
      <c r="AA75" s="3758"/>
      <c r="AB75" s="3758"/>
      <c r="AC75" s="3750"/>
      <c r="AD75" s="1164"/>
    </row>
    <row r="76" spans="2:30" hidden="1">
      <c r="B76" s="105"/>
      <c r="C76" s="3748" t="s">
        <v>2931</v>
      </c>
      <c r="D76" s="1427" t="s">
        <v>2932</v>
      </c>
      <c r="E76" s="3375"/>
      <c r="F76" s="3749"/>
      <c r="G76" s="3375"/>
      <c r="H76" s="3375"/>
      <c r="I76" s="3375"/>
      <c r="J76" s="3375"/>
      <c r="K76" s="3375"/>
      <c r="L76" s="3375"/>
      <c r="M76" s="3375"/>
      <c r="N76" s="3375"/>
      <c r="O76" s="67"/>
      <c r="P76" s="3747"/>
      <c r="Q76" s="512"/>
      <c r="R76" s="512"/>
      <c r="S76" s="512"/>
      <c r="T76" s="3758"/>
      <c r="U76" s="3759"/>
      <c r="V76" s="3758"/>
      <c r="W76" s="3759"/>
      <c r="X76" s="3759"/>
      <c r="Y76" s="3758"/>
      <c r="Z76" s="3758"/>
      <c r="AA76" s="3758"/>
      <c r="AB76" s="3758"/>
      <c r="AC76" s="3750"/>
      <c r="AD76" s="1164"/>
    </row>
    <row r="77" spans="2:30" hidden="1">
      <c r="B77" s="105"/>
      <c r="C77" s="47"/>
      <c r="D77" s="47"/>
      <c r="E77" s="47"/>
      <c r="F77" s="47"/>
      <c r="G77" s="47"/>
      <c r="H77" s="47"/>
      <c r="I77" s="47"/>
      <c r="J77" s="47"/>
      <c r="K77" s="47"/>
      <c r="L77" s="47"/>
      <c r="M77" s="47"/>
      <c r="N77" s="47"/>
      <c r="O77" s="67"/>
      <c r="P77" s="3747"/>
      <c r="Q77" s="3761"/>
      <c r="R77" s="1169"/>
      <c r="S77" s="3762"/>
      <c r="T77" s="1169"/>
      <c r="U77" s="1169"/>
      <c r="V77" s="3762"/>
      <c r="W77" s="1164"/>
      <c r="X77" s="1164"/>
      <c r="Y77" s="1164"/>
      <c r="Z77" s="1164"/>
      <c r="AA77" s="1164"/>
      <c r="AB77" s="1164"/>
      <c r="AC77" s="1164"/>
      <c r="AD77" s="1164"/>
    </row>
    <row r="78" spans="2:30" ht="18.5" hidden="1">
      <c r="B78" s="105"/>
      <c r="C78" s="3740" t="s">
        <v>172</v>
      </c>
      <c r="D78" s="103"/>
      <c r="E78" s="103"/>
      <c r="F78" s="103"/>
      <c r="G78" s="103"/>
      <c r="H78" s="103"/>
      <c r="I78" s="103"/>
      <c r="J78" s="103"/>
      <c r="K78" s="103"/>
      <c r="L78" s="103"/>
      <c r="M78" s="103"/>
      <c r="N78" s="103"/>
      <c r="O78" s="67"/>
      <c r="P78" s="3747"/>
      <c r="Q78" s="1169"/>
      <c r="R78" s="1169"/>
      <c r="S78" s="1169"/>
      <c r="T78" s="1169"/>
      <c r="U78" s="1169"/>
      <c r="V78" s="1169"/>
      <c r="W78" s="1164"/>
      <c r="X78" s="1164"/>
      <c r="Y78" s="1164"/>
      <c r="Z78" s="1164"/>
      <c r="AA78" s="1164"/>
      <c r="AB78" s="1164"/>
      <c r="AC78" s="1164"/>
      <c r="AD78" s="1164"/>
    </row>
    <row r="79" spans="2:30" hidden="1">
      <c r="B79" s="105"/>
      <c r="C79" s="49" t="s">
        <v>719</v>
      </c>
      <c r="D79" s="915"/>
      <c r="E79" s="932"/>
      <c r="F79" s="2489"/>
      <c r="G79" s="934"/>
      <c r="H79" s="934"/>
      <c r="I79" s="934"/>
      <c r="J79" s="934"/>
      <c r="K79" s="934"/>
      <c r="L79" s="934"/>
      <c r="M79" s="934"/>
      <c r="N79" s="935" t="s">
        <v>2736</v>
      </c>
      <c r="O79" s="67"/>
      <c r="P79" s="3747"/>
      <c r="Q79" s="608"/>
      <c r="R79" s="607"/>
      <c r="S79" s="207"/>
      <c r="T79" s="207"/>
      <c r="U79" s="2509"/>
      <c r="V79" s="2509"/>
      <c r="W79" s="1164"/>
      <c r="X79" s="1164"/>
      <c r="Y79" s="1164"/>
      <c r="Z79" s="1164"/>
      <c r="AA79" s="1164"/>
      <c r="AB79" s="1164"/>
      <c r="AC79" s="1164"/>
      <c r="AD79" s="1164"/>
    </row>
    <row r="80" spans="2:30" hidden="1">
      <c r="B80" s="105"/>
      <c r="C80" s="937"/>
      <c r="D80" s="915"/>
      <c r="E80" s="932"/>
      <c r="F80" s="2489"/>
      <c r="G80" s="934"/>
      <c r="H80" s="934"/>
      <c r="I80" s="934"/>
      <c r="J80" s="934"/>
      <c r="K80" s="934"/>
      <c r="L80" s="934"/>
      <c r="M80" s="934"/>
      <c r="N80" s="67"/>
      <c r="O80" s="67"/>
      <c r="P80" s="3747"/>
      <c r="Q80" s="510"/>
      <c r="R80" s="1076"/>
      <c r="S80" s="3763"/>
      <c r="T80" s="3763"/>
      <c r="U80" s="2509"/>
      <c r="V80" s="2509"/>
      <c r="W80" s="1164"/>
      <c r="X80" s="1164"/>
      <c r="Y80" s="1164"/>
      <c r="Z80" s="1164"/>
      <c r="AA80" s="1164"/>
      <c r="AB80" s="1164"/>
      <c r="AC80" s="1164"/>
      <c r="AD80" s="1164"/>
    </row>
    <row r="81" spans="2:30" hidden="1">
      <c r="B81" s="105"/>
      <c r="C81" s="1170"/>
      <c r="D81" s="971" t="s">
        <v>1447</v>
      </c>
      <c r="E81" s="971" t="s">
        <v>159</v>
      </c>
      <c r="F81" s="2908">
        <v>2013</v>
      </c>
      <c r="G81" s="965">
        <v>2015</v>
      </c>
      <c r="H81" s="965">
        <v>2020</v>
      </c>
      <c r="I81" s="965">
        <v>2025</v>
      </c>
      <c r="J81" s="965">
        <v>2030</v>
      </c>
      <c r="K81" s="965">
        <v>2035</v>
      </c>
      <c r="L81" s="965">
        <v>2040</v>
      </c>
      <c r="M81" s="965">
        <v>2045</v>
      </c>
      <c r="N81" s="965">
        <v>2050</v>
      </c>
      <c r="O81" s="67"/>
      <c r="P81" s="3747"/>
      <c r="Q81" s="510"/>
      <c r="R81" s="1076"/>
      <c r="S81" s="3763"/>
      <c r="T81" s="3763"/>
      <c r="U81" s="1078"/>
      <c r="V81" s="1078"/>
      <c r="W81" s="1164"/>
      <c r="X81" s="1164"/>
      <c r="Y81" s="1164"/>
      <c r="Z81" s="1164"/>
      <c r="AA81" s="1164"/>
      <c r="AB81" s="1164"/>
      <c r="AC81" s="1164"/>
      <c r="AD81" s="1164"/>
    </row>
    <row r="82" spans="2:30" hidden="1">
      <c r="B82" s="2162"/>
      <c r="C82" s="1070" t="s">
        <v>2926</v>
      </c>
      <c r="D82" s="971" t="s">
        <v>2928</v>
      </c>
      <c r="E82" s="3373"/>
      <c r="F82" s="3743"/>
      <c r="G82" s="3373"/>
      <c r="H82" s="3373"/>
      <c r="I82" s="3373"/>
      <c r="J82" s="3373"/>
      <c r="K82" s="3373"/>
      <c r="L82" s="3373"/>
      <c r="M82" s="3373"/>
      <c r="N82" s="3373"/>
      <c r="O82" s="67"/>
      <c r="P82" s="3747"/>
      <c r="Q82" s="2542"/>
      <c r="R82" s="2542"/>
      <c r="S82" s="2526"/>
      <c r="T82" s="2526"/>
      <c r="U82" s="3764"/>
      <c r="V82" s="3764"/>
      <c r="W82" s="1164"/>
      <c r="X82" s="1164"/>
      <c r="Y82" s="1164"/>
      <c r="Z82" s="1164"/>
      <c r="AA82" s="1164"/>
      <c r="AB82" s="1164"/>
      <c r="AC82" s="1164"/>
      <c r="AD82" s="1164"/>
    </row>
    <row r="83" spans="2:30" hidden="1">
      <c r="B83" s="2162"/>
      <c r="C83" s="915" t="s">
        <v>2929</v>
      </c>
      <c r="D83" s="932" t="s">
        <v>2930</v>
      </c>
      <c r="E83" s="3744"/>
      <c r="F83" s="3760"/>
      <c r="G83" s="3744"/>
      <c r="H83" s="3744"/>
      <c r="I83" s="3744"/>
      <c r="J83" s="3744"/>
      <c r="K83" s="3744"/>
      <c r="L83" s="3744"/>
      <c r="M83" s="3744"/>
      <c r="N83" s="3746"/>
      <c r="O83" s="67"/>
      <c r="P83" s="3747"/>
      <c r="Q83" s="3396"/>
      <c r="R83" s="3759"/>
      <c r="S83" s="3759"/>
      <c r="T83" s="3759"/>
      <c r="U83" s="3759"/>
      <c r="V83" s="3758"/>
      <c r="W83" s="3759"/>
      <c r="X83" s="3759"/>
      <c r="Y83" s="3758"/>
      <c r="Z83" s="3758"/>
      <c r="AA83" s="3758"/>
      <c r="AB83" s="3758"/>
      <c r="AC83" s="3750"/>
      <c r="AD83" s="1164"/>
    </row>
    <row r="84" spans="2:30" hidden="1">
      <c r="B84" s="2162"/>
      <c r="C84" s="3748" t="s">
        <v>2931</v>
      </c>
      <c r="D84" s="1427" t="s">
        <v>2932</v>
      </c>
      <c r="E84" s="3375"/>
      <c r="F84" s="3749"/>
      <c r="G84" s="3375"/>
      <c r="H84" s="3375"/>
      <c r="I84" s="3375"/>
      <c r="J84" s="3375"/>
      <c r="K84" s="3375"/>
      <c r="L84" s="3375"/>
      <c r="M84" s="3375"/>
      <c r="N84" s="3375"/>
      <c r="O84" s="67"/>
      <c r="P84" s="3747"/>
      <c r="Q84" s="512"/>
      <c r="R84" s="512"/>
      <c r="S84" s="512"/>
      <c r="T84" s="3758"/>
      <c r="U84" s="3759"/>
      <c r="V84" s="3758"/>
      <c r="W84" s="3759"/>
      <c r="X84" s="3759"/>
      <c r="Y84" s="3758"/>
      <c r="Z84" s="3758"/>
      <c r="AA84" s="3758"/>
      <c r="AB84" s="3758"/>
      <c r="AC84" s="3750"/>
      <c r="AD84" s="1164"/>
    </row>
    <row r="85" spans="2:30" hidden="1">
      <c r="B85" s="2162"/>
      <c r="C85" s="937"/>
      <c r="D85" s="915"/>
      <c r="E85" s="932"/>
      <c r="F85" s="3369"/>
      <c r="G85" s="934"/>
      <c r="H85" s="934"/>
      <c r="I85" s="934"/>
      <c r="J85" s="934"/>
      <c r="K85" s="934"/>
      <c r="L85" s="934"/>
      <c r="M85" s="934"/>
      <c r="N85" s="67"/>
      <c r="O85" s="67"/>
      <c r="P85" s="3747"/>
      <c r="Q85" s="3753"/>
      <c r="R85" s="3765"/>
      <c r="S85" s="3765"/>
      <c r="T85" s="3765"/>
      <c r="U85" s="3766"/>
      <c r="V85" s="3766"/>
      <c r="W85" s="3766"/>
      <c r="X85" s="3766"/>
      <c r="Y85" s="3766"/>
      <c r="Z85" s="3766"/>
      <c r="AA85" s="3766"/>
      <c r="AB85" s="3766"/>
      <c r="AC85" s="3766"/>
      <c r="AD85" s="1164"/>
    </row>
    <row r="86" spans="2:30" hidden="1">
      <c r="B86" s="2162"/>
      <c r="C86" s="49" t="s">
        <v>720</v>
      </c>
      <c r="D86" s="915"/>
      <c r="E86" s="932"/>
      <c r="F86" s="2489"/>
      <c r="G86" s="934"/>
      <c r="H86" s="934"/>
      <c r="I86" s="934"/>
      <c r="J86" s="934"/>
      <c r="K86" s="934"/>
      <c r="L86" s="934"/>
      <c r="M86" s="934"/>
      <c r="N86" s="935" t="s">
        <v>2736</v>
      </c>
      <c r="O86" s="67"/>
      <c r="P86" s="3747"/>
      <c r="Q86" s="3767"/>
      <c r="R86" s="512"/>
      <c r="S86" s="2522"/>
      <c r="T86" s="3768"/>
      <c r="U86" s="3768"/>
      <c r="V86" s="3769"/>
      <c r="W86" s="3769"/>
      <c r="X86" s="3769"/>
      <c r="Y86" s="3769"/>
      <c r="Z86" s="3769"/>
      <c r="AA86" s="3769"/>
      <c r="AB86" s="3769"/>
      <c r="AC86" s="3769"/>
      <c r="AD86" s="1164"/>
    </row>
    <row r="87" spans="2:30" hidden="1">
      <c r="B87" s="2162"/>
      <c r="C87" s="937"/>
      <c r="D87" s="915"/>
      <c r="E87" s="932"/>
      <c r="F87" s="2489"/>
      <c r="G87" s="934"/>
      <c r="H87" s="934"/>
      <c r="I87" s="934"/>
      <c r="J87" s="934"/>
      <c r="K87" s="934"/>
      <c r="L87" s="934"/>
      <c r="M87" s="934"/>
      <c r="N87" s="67"/>
      <c r="O87" s="67"/>
      <c r="P87" s="3747"/>
      <c r="Q87" s="3767"/>
      <c r="R87" s="512"/>
      <c r="S87" s="2522"/>
      <c r="T87" s="3768"/>
      <c r="U87" s="3768"/>
      <c r="V87" s="3769"/>
      <c r="W87" s="3769"/>
      <c r="X87" s="3769"/>
      <c r="Y87" s="3769"/>
      <c r="Z87" s="3769"/>
      <c r="AA87" s="3769"/>
      <c r="AB87" s="3769"/>
      <c r="AC87" s="3769"/>
      <c r="AD87" s="1164"/>
    </row>
    <row r="88" spans="2:30" hidden="1">
      <c r="B88" s="2162"/>
      <c r="C88" s="1170"/>
      <c r="D88" s="971" t="s">
        <v>1447</v>
      </c>
      <c r="E88" s="971" t="s">
        <v>159</v>
      </c>
      <c r="F88" s="2908">
        <v>2013</v>
      </c>
      <c r="G88" s="965">
        <v>2015</v>
      </c>
      <c r="H88" s="965">
        <v>2020</v>
      </c>
      <c r="I88" s="965">
        <v>2025</v>
      </c>
      <c r="J88" s="965">
        <v>2030</v>
      </c>
      <c r="K88" s="965">
        <v>2035</v>
      </c>
      <c r="L88" s="965">
        <v>2040</v>
      </c>
      <c r="M88" s="965">
        <v>2045</v>
      </c>
      <c r="N88" s="965">
        <v>2050</v>
      </c>
      <c r="O88" s="67"/>
      <c r="P88" s="3747"/>
      <c r="Q88" s="3767"/>
      <c r="R88" s="512"/>
      <c r="S88" s="2522"/>
      <c r="T88" s="3768"/>
      <c r="U88" s="3768"/>
      <c r="V88" s="3769"/>
      <c r="W88" s="3769"/>
      <c r="X88" s="3769"/>
      <c r="Y88" s="3769"/>
      <c r="Z88" s="3769"/>
      <c r="AA88" s="3769"/>
      <c r="AB88" s="3769"/>
      <c r="AC88" s="3769"/>
      <c r="AD88" s="1164"/>
    </row>
    <row r="89" spans="2:30" hidden="1">
      <c r="B89" s="2162"/>
      <c r="C89" s="1070" t="s">
        <v>2926</v>
      </c>
      <c r="D89" s="971" t="s">
        <v>2928</v>
      </c>
      <c r="E89" s="3373"/>
      <c r="F89" s="3752"/>
      <c r="G89" s="3373"/>
      <c r="H89" s="3373"/>
      <c r="I89" s="3373"/>
      <c r="J89" s="3373"/>
      <c r="K89" s="3373"/>
      <c r="L89" s="3373"/>
      <c r="M89" s="3373"/>
      <c r="N89" s="3372"/>
      <c r="O89" s="67"/>
      <c r="P89" s="3747"/>
      <c r="Q89" s="3767"/>
      <c r="R89" s="512"/>
      <c r="S89" s="2522"/>
      <c r="T89" s="3768"/>
      <c r="U89" s="3768"/>
      <c r="V89" s="3769"/>
      <c r="W89" s="3769"/>
      <c r="X89" s="3769"/>
      <c r="Y89" s="3769"/>
      <c r="Z89" s="3769"/>
      <c r="AA89" s="3769"/>
      <c r="AB89" s="3769"/>
      <c r="AC89" s="3769"/>
      <c r="AD89" s="1164"/>
    </row>
    <row r="90" spans="2:30" hidden="1">
      <c r="B90" s="2162"/>
      <c r="C90" s="915" t="s">
        <v>2929</v>
      </c>
      <c r="D90" s="932" t="s">
        <v>2930</v>
      </c>
      <c r="E90" s="3744"/>
      <c r="F90" s="2938"/>
      <c r="G90" s="3744"/>
      <c r="H90" s="3744"/>
      <c r="I90" s="3744"/>
      <c r="J90" s="3744"/>
      <c r="K90" s="3744"/>
      <c r="L90" s="3744"/>
      <c r="M90" s="3744"/>
      <c r="N90" s="2939"/>
      <c r="O90" s="67"/>
      <c r="P90" s="3747"/>
      <c r="Q90" s="3767"/>
      <c r="R90" s="512"/>
      <c r="S90" s="2522"/>
      <c r="T90" s="3768"/>
      <c r="U90" s="3768"/>
      <c r="V90" s="3769"/>
      <c r="W90" s="3769"/>
      <c r="X90" s="3769"/>
      <c r="Y90" s="3769"/>
      <c r="Z90" s="3769"/>
      <c r="AA90" s="3769"/>
      <c r="AB90" s="3769"/>
      <c r="AC90" s="3769"/>
      <c r="AD90" s="1164"/>
    </row>
    <row r="91" spans="2:30" hidden="1">
      <c r="B91" s="2162"/>
      <c r="C91" s="3748" t="s">
        <v>2931</v>
      </c>
      <c r="D91" s="1427" t="s">
        <v>2932</v>
      </c>
      <c r="E91" s="3375"/>
      <c r="F91" s="3757"/>
      <c r="G91" s="3375"/>
      <c r="H91" s="3375"/>
      <c r="I91" s="3375"/>
      <c r="J91" s="3375"/>
      <c r="K91" s="3375"/>
      <c r="L91" s="3375"/>
      <c r="M91" s="3375"/>
      <c r="N91" s="3374"/>
      <c r="O91" s="67"/>
      <c r="P91" s="3747"/>
      <c r="Q91" s="3767"/>
      <c r="R91" s="512"/>
      <c r="S91" s="2522"/>
      <c r="T91" s="3768"/>
      <c r="U91" s="3768"/>
      <c r="V91" s="3769"/>
      <c r="W91" s="3769"/>
      <c r="X91" s="3769"/>
      <c r="Y91" s="3769"/>
      <c r="Z91" s="3769"/>
      <c r="AA91" s="3769"/>
      <c r="AB91" s="3769"/>
      <c r="AC91" s="3769"/>
      <c r="AD91" s="1164"/>
    </row>
    <row r="92" spans="2:30" hidden="1">
      <c r="B92" s="2162"/>
      <c r="C92" s="47"/>
      <c r="D92" s="47"/>
      <c r="E92" s="47"/>
      <c r="F92" s="47"/>
      <c r="G92" s="47"/>
      <c r="H92" s="47"/>
      <c r="I92" s="47"/>
      <c r="J92" s="47"/>
      <c r="K92" s="47"/>
      <c r="L92" s="47"/>
      <c r="M92" s="47"/>
      <c r="N92" s="47"/>
      <c r="O92" s="67"/>
      <c r="P92" s="3747"/>
      <c r="Q92" s="3767"/>
      <c r="R92" s="512"/>
      <c r="S92" s="2522"/>
      <c r="T92" s="3768"/>
      <c r="U92" s="3768"/>
      <c r="V92" s="3769"/>
      <c r="W92" s="3769"/>
      <c r="X92" s="3769"/>
      <c r="Y92" s="3769"/>
      <c r="Z92" s="3769"/>
      <c r="AA92" s="3769"/>
      <c r="AB92" s="3769"/>
      <c r="AC92" s="3769"/>
      <c r="AD92" s="1164"/>
    </row>
    <row r="93" spans="2:30" hidden="1">
      <c r="B93" s="2162"/>
      <c r="C93" s="49" t="s">
        <v>721</v>
      </c>
      <c r="D93" s="915"/>
      <c r="E93" s="932"/>
      <c r="F93" s="2489"/>
      <c r="G93" s="934"/>
      <c r="H93" s="934"/>
      <c r="I93" s="934"/>
      <c r="J93" s="934"/>
      <c r="K93" s="934"/>
      <c r="L93" s="934"/>
      <c r="M93" s="934"/>
      <c r="N93" s="935" t="s">
        <v>2736</v>
      </c>
      <c r="O93" s="67"/>
      <c r="P93" s="3747"/>
      <c r="Q93" s="3770"/>
      <c r="R93" s="512"/>
      <c r="S93" s="2522"/>
      <c r="T93" s="3768"/>
      <c r="U93" s="3768"/>
      <c r="V93" s="3769"/>
      <c r="W93" s="3769"/>
      <c r="X93" s="3769"/>
      <c r="Y93" s="3769"/>
      <c r="Z93" s="3769"/>
      <c r="AA93" s="3769"/>
      <c r="AB93" s="3769"/>
      <c r="AC93" s="3769"/>
      <c r="AD93" s="1164"/>
    </row>
    <row r="94" spans="2:30" hidden="1">
      <c r="B94" s="105"/>
      <c r="C94" s="937"/>
      <c r="D94" s="915"/>
      <c r="E94" s="932"/>
      <c r="F94" s="2489"/>
      <c r="G94" s="934"/>
      <c r="H94" s="934"/>
      <c r="I94" s="934"/>
      <c r="J94" s="934"/>
      <c r="K94" s="934"/>
      <c r="L94" s="934"/>
      <c r="M94" s="934"/>
      <c r="N94" s="67"/>
      <c r="O94" s="67"/>
      <c r="P94" s="3747"/>
      <c r="Q94" s="512"/>
      <c r="R94" s="512"/>
      <c r="S94" s="512"/>
      <c r="T94" s="3758"/>
      <c r="U94" s="3759"/>
      <c r="V94" s="3758"/>
      <c r="W94" s="3759"/>
      <c r="X94" s="3759"/>
      <c r="Y94" s="3758"/>
      <c r="Z94" s="3758"/>
      <c r="AA94" s="3758"/>
      <c r="AB94" s="3758"/>
      <c r="AC94" s="3750"/>
      <c r="AD94" s="1164"/>
    </row>
    <row r="95" spans="2:30" hidden="1">
      <c r="B95" s="45"/>
      <c r="C95" s="1170"/>
      <c r="D95" s="971" t="s">
        <v>1447</v>
      </c>
      <c r="E95" s="971" t="s">
        <v>159</v>
      </c>
      <c r="F95" s="2908">
        <v>2013</v>
      </c>
      <c r="G95" s="965">
        <v>2015</v>
      </c>
      <c r="H95" s="965">
        <v>2020</v>
      </c>
      <c r="I95" s="965">
        <v>2025</v>
      </c>
      <c r="J95" s="965">
        <v>2030</v>
      </c>
      <c r="K95" s="965">
        <v>2035</v>
      </c>
      <c r="L95" s="965">
        <v>2040</v>
      </c>
      <c r="M95" s="965">
        <v>2045</v>
      </c>
      <c r="N95" s="965">
        <v>2050</v>
      </c>
      <c r="O95" s="67"/>
      <c r="P95" s="3747"/>
      <c r="Q95" s="1164"/>
      <c r="R95" s="1164"/>
      <c r="S95" s="1164"/>
      <c r="T95" s="1164"/>
      <c r="U95" s="1164"/>
      <c r="V95" s="1164"/>
      <c r="W95" s="1164"/>
      <c r="X95" s="1164"/>
      <c r="Y95" s="1164"/>
      <c r="Z95" s="1164"/>
      <c r="AA95" s="1164"/>
      <c r="AB95" s="1164"/>
      <c r="AC95" s="1164"/>
      <c r="AD95" s="1164"/>
    </row>
    <row r="96" spans="2:30" hidden="1">
      <c r="B96" s="105"/>
      <c r="C96" s="1070" t="s">
        <v>2926</v>
      </c>
      <c r="D96" s="971" t="s">
        <v>2928</v>
      </c>
      <c r="E96" s="3373"/>
      <c r="F96" s="3743"/>
      <c r="G96" s="3373"/>
      <c r="H96" s="3373"/>
      <c r="I96" s="3373"/>
      <c r="J96" s="3373"/>
      <c r="K96" s="3373"/>
      <c r="L96" s="3373"/>
      <c r="M96" s="3373"/>
      <c r="N96" s="3373"/>
      <c r="O96" s="67"/>
      <c r="P96" s="3747"/>
      <c r="Q96" s="203"/>
      <c r="R96" s="2519"/>
      <c r="S96" s="1164"/>
      <c r="T96" s="1164"/>
      <c r="U96" s="1164"/>
      <c r="V96" s="1164"/>
      <c r="W96" s="1164"/>
      <c r="X96" s="1164"/>
      <c r="Y96" s="1164"/>
      <c r="Z96" s="1164"/>
      <c r="AA96" s="1164"/>
      <c r="AB96" s="1164"/>
      <c r="AC96" s="1164"/>
      <c r="AD96" s="1164"/>
    </row>
    <row r="97" spans="1:30" hidden="1">
      <c r="B97" s="47"/>
      <c r="C97" s="915" t="s">
        <v>2929</v>
      </c>
      <c r="D97" s="932" t="s">
        <v>2930</v>
      </c>
      <c r="E97" s="3744"/>
      <c r="F97" s="3760"/>
      <c r="G97" s="3744"/>
      <c r="H97" s="3744"/>
      <c r="I97" s="3744"/>
      <c r="J97" s="3744"/>
      <c r="K97" s="3744"/>
      <c r="L97" s="3744"/>
      <c r="M97" s="3744"/>
      <c r="N97" s="3746"/>
      <c r="O97" s="67"/>
      <c r="P97" s="3747"/>
      <c r="Q97" s="1164"/>
      <c r="R97" s="1164"/>
      <c r="S97" s="1164"/>
      <c r="T97" s="1164"/>
      <c r="U97" s="1164"/>
      <c r="V97" s="1164"/>
      <c r="W97" s="1164"/>
      <c r="X97" s="1164"/>
      <c r="Y97" s="1164"/>
      <c r="Z97" s="1164"/>
      <c r="AA97" s="1164"/>
      <c r="AB97" s="1164"/>
      <c r="AC97" s="1164"/>
      <c r="AD97" s="1164"/>
    </row>
    <row r="98" spans="1:30" ht="18.5" hidden="1">
      <c r="A98" s="346"/>
      <c r="B98" s="47"/>
      <c r="C98" s="3748" t="s">
        <v>2931</v>
      </c>
      <c r="D98" s="1427" t="s">
        <v>2932</v>
      </c>
      <c r="E98" s="3375"/>
      <c r="F98" s="3749"/>
      <c r="G98" s="3375"/>
      <c r="H98" s="3375"/>
      <c r="I98" s="3375"/>
      <c r="J98" s="3375"/>
      <c r="K98" s="3375"/>
      <c r="L98" s="3375"/>
      <c r="M98" s="3375"/>
      <c r="N98" s="3375"/>
      <c r="O98" s="67"/>
      <c r="P98" s="3747"/>
      <c r="Q98" s="1164"/>
      <c r="R98" s="1164"/>
      <c r="S98" s="1164"/>
      <c r="T98" s="1164"/>
      <c r="U98" s="1164"/>
      <c r="V98" s="1164"/>
      <c r="W98" s="1164"/>
      <c r="X98" s="1164"/>
      <c r="Y98" s="1164"/>
      <c r="Z98" s="1164"/>
      <c r="AA98" s="1164"/>
      <c r="AB98" s="1164"/>
      <c r="AC98" s="1164"/>
      <c r="AD98" s="1164"/>
    </row>
    <row r="99" spans="1:30" ht="18.5" hidden="1">
      <c r="A99" s="346"/>
      <c r="B99" s="47"/>
      <c r="C99" s="943"/>
      <c r="D99" s="932"/>
      <c r="E99" s="2395"/>
      <c r="F99" s="2398"/>
      <c r="G99" s="2398"/>
      <c r="H99" s="2398"/>
      <c r="I99" s="2398"/>
      <c r="J99" s="2398"/>
      <c r="K99" s="2398"/>
      <c r="L99" s="2398"/>
      <c r="M99" s="2398"/>
      <c r="N99" s="2398"/>
      <c r="O99" s="67"/>
      <c r="P99" s="1164"/>
      <c r="Q99" s="1164"/>
      <c r="R99" s="1164"/>
      <c r="S99" s="1164"/>
      <c r="T99" s="1164"/>
      <c r="U99" s="1164"/>
      <c r="V99" s="1164"/>
      <c r="W99" s="1164"/>
      <c r="X99" s="1164"/>
      <c r="Y99" s="1164"/>
      <c r="Z99" s="1164"/>
      <c r="AA99" s="1164"/>
      <c r="AB99" s="1164"/>
      <c r="AC99" s="1164"/>
      <c r="AD99" s="1164"/>
    </row>
    <row r="100" spans="1:30" ht="18.5">
      <c r="A100" s="3771"/>
      <c r="B100" s="39"/>
      <c r="C100" s="2527"/>
      <c r="D100" s="2522"/>
      <c r="E100" s="3327"/>
      <c r="F100" s="3367"/>
      <c r="G100" s="3367"/>
      <c r="H100" s="3367"/>
      <c r="I100" s="3367"/>
      <c r="J100" s="3367"/>
      <c r="K100" s="3367"/>
      <c r="L100" s="3367"/>
      <c r="M100" s="3367"/>
      <c r="N100" s="3367"/>
      <c r="O100" s="39"/>
      <c r="P100" s="39"/>
    </row>
    <row r="101" spans="1:30" s="2" customFormat="1" ht="15.5">
      <c r="B101" s="1101" t="s">
        <v>206</v>
      </c>
      <c r="C101" s="3726"/>
    </row>
    <row r="103" spans="1:30">
      <c r="B103" s="354" t="s">
        <v>2933</v>
      </c>
      <c r="F103" s="1313">
        <v>2013</v>
      </c>
      <c r="G103" s="1313">
        <v>2015</v>
      </c>
      <c r="H103" s="1313">
        <v>2020</v>
      </c>
      <c r="I103" s="1313">
        <v>2025</v>
      </c>
      <c r="J103" s="1313">
        <v>2030</v>
      </c>
      <c r="K103" s="1313">
        <v>2035</v>
      </c>
      <c r="L103" s="1313">
        <v>2040</v>
      </c>
      <c r="M103" s="1313">
        <v>2045</v>
      </c>
      <c r="N103" s="1313">
        <v>2050</v>
      </c>
    </row>
    <row r="104" spans="1:30">
      <c r="B104" s="354"/>
      <c r="C104" s="3726" t="s">
        <v>2926</v>
      </c>
      <c r="E104" s="3772" t="s">
        <v>1305</v>
      </c>
      <c r="F104" s="3773">
        <f>INDEX(F$16:F$19, MATCH($E$8, $C$16:$C$19, 0))</f>
        <v>0</v>
      </c>
      <c r="G104" s="3773">
        <f t="shared" ref="G104:N104" si="1">INDEX(G$16:G$19, MATCH($E$8, $C$16:$C$19, 0))</f>
        <v>0</v>
      </c>
      <c r="H104" s="3773">
        <f t="shared" si="1"/>
        <v>0</v>
      </c>
      <c r="I104" s="3773">
        <f t="shared" si="1"/>
        <v>0</v>
      </c>
      <c r="J104" s="3773">
        <f t="shared" si="1"/>
        <v>0</v>
      </c>
      <c r="K104" s="3773">
        <f t="shared" si="1"/>
        <v>0</v>
      </c>
      <c r="L104" s="3773">
        <f t="shared" si="1"/>
        <v>0</v>
      </c>
      <c r="M104" s="3773">
        <f t="shared" si="1"/>
        <v>0</v>
      </c>
      <c r="N104" s="3773">
        <f t="shared" si="1"/>
        <v>0</v>
      </c>
    </row>
    <row r="105" spans="1:30">
      <c r="B105" s="354"/>
      <c r="C105" s="3726" t="s">
        <v>2934</v>
      </c>
      <c r="E105" s="3772" t="s">
        <v>1305</v>
      </c>
      <c r="F105" s="3773">
        <f>INDEX(F$24:F$27, MATCH($E$8, $C$24:$C$27, 0))</f>
        <v>0</v>
      </c>
      <c r="G105" s="3773">
        <f t="shared" ref="G105:N105" si="2">INDEX(G$24:G$27, MATCH($E$8, $C$24:$C$27, 0))</f>
        <v>0</v>
      </c>
      <c r="H105" s="3773">
        <f t="shared" si="2"/>
        <v>0</v>
      </c>
      <c r="I105" s="3773">
        <f t="shared" si="2"/>
        <v>0</v>
      </c>
      <c r="J105" s="3773">
        <f t="shared" si="2"/>
        <v>0</v>
      </c>
      <c r="K105" s="3773">
        <f t="shared" si="2"/>
        <v>0</v>
      </c>
      <c r="L105" s="3773">
        <f t="shared" si="2"/>
        <v>0</v>
      </c>
      <c r="M105" s="3773">
        <f t="shared" si="2"/>
        <v>0</v>
      </c>
      <c r="N105" s="3773">
        <f t="shared" si="2"/>
        <v>0</v>
      </c>
    </row>
    <row r="106" spans="1:30">
      <c r="B106" s="354"/>
      <c r="C106" s="3726" t="s">
        <v>2929</v>
      </c>
      <c r="E106" s="3772" t="s">
        <v>1305</v>
      </c>
      <c r="F106" s="3773">
        <f t="shared" ref="F106:N106" si="3">INDEX(F$32:F$35, MATCH($E$8, $C$32:$C$35, 0))</f>
        <v>0</v>
      </c>
      <c r="G106" s="3773">
        <f t="shared" si="3"/>
        <v>0</v>
      </c>
      <c r="H106" s="3773">
        <f t="shared" si="3"/>
        <v>0</v>
      </c>
      <c r="I106" s="3773">
        <f t="shared" si="3"/>
        <v>0</v>
      </c>
      <c r="J106" s="3773">
        <f t="shared" si="3"/>
        <v>0</v>
      </c>
      <c r="K106" s="3773">
        <f t="shared" si="3"/>
        <v>0</v>
      </c>
      <c r="L106" s="3773">
        <f t="shared" si="3"/>
        <v>0</v>
      </c>
      <c r="M106" s="3773">
        <f t="shared" si="3"/>
        <v>0</v>
      </c>
      <c r="N106" s="3773">
        <f t="shared" si="3"/>
        <v>0</v>
      </c>
    </row>
    <row r="107" spans="1:30">
      <c r="B107" s="354"/>
      <c r="C107" s="354" t="s">
        <v>58</v>
      </c>
      <c r="E107" s="3772"/>
      <c r="F107" s="3774">
        <f>SUM(F104:F106)</f>
        <v>0</v>
      </c>
      <c r="G107" s="3774">
        <f t="shared" ref="G107:N107" si="4">SUM(G104:G106)</f>
        <v>0</v>
      </c>
      <c r="H107" s="3774">
        <f t="shared" si="4"/>
        <v>0</v>
      </c>
      <c r="I107" s="3774">
        <f t="shared" si="4"/>
        <v>0</v>
      </c>
      <c r="J107" s="3774">
        <f t="shared" si="4"/>
        <v>0</v>
      </c>
      <c r="K107" s="3774">
        <f t="shared" si="4"/>
        <v>0</v>
      </c>
      <c r="L107" s="3774">
        <f t="shared" si="4"/>
        <v>0</v>
      </c>
      <c r="M107" s="3774">
        <f t="shared" si="4"/>
        <v>0</v>
      </c>
      <c r="N107" s="3774">
        <f t="shared" si="4"/>
        <v>0</v>
      </c>
    </row>
    <row r="108" spans="1:30">
      <c r="E108" s="3772"/>
    </row>
    <row r="109" spans="1:30">
      <c r="B109" s="354" t="s">
        <v>2935</v>
      </c>
      <c r="E109" s="1439" t="str">
        <f>Preferences.EnergyUnits</f>
        <v>TWh</v>
      </c>
      <c r="F109" s="3585">
        <f>F105*F$46</f>
        <v>0</v>
      </c>
      <c r="G109" s="3585">
        <f>G105*G$46</f>
        <v>0</v>
      </c>
      <c r="H109" s="3585">
        <f t="shared" ref="H109:N109" si="5">H105*H$46</f>
        <v>0</v>
      </c>
      <c r="I109" s="3585">
        <f t="shared" si="5"/>
        <v>0</v>
      </c>
      <c r="J109" s="3585">
        <f t="shared" si="5"/>
        <v>0</v>
      </c>
      <c r="K109" s="3585">
        <f t="shared" si="5"/>
        <v>0</v>
      </c>
      <c r="L109" s="3585">
        <f t="shared" si="5"/>
        <v>0</v>
      </c>
      <c r="M109" s="3585">
        <f t="shared" si="5"/>
        <v>0</v>
      </c>
      <c r="N109" s="3585">
        <f t="shared" si="5"/>
        <v>0</v>
      </c>
    </row>
    <row r="110" spans="1:30">
      <c r="B110" s="354"/>
      <c r="E110" s="1439"/>
      <c r="F110" s="3585"/>
      <c r="G110" s="3585"/>
      <c r="H110" s="3585"/>
      <c r="I110" s="3585"/>
      <c r="J110" s="3585"/>
      <c r="K110" s="3585"/>
      <c r="L110" s="3585"/>
      <c r="M110" s="3585"/>
      <c r="N110" s="3585"/>
    </row>
    <row r="111" spans="1:30">
      <c r="B111" s="354" t="s">
        <v>2936</v>
      </c>
      <c r="E111" s="1439"/>
      <c r="F111" s="3585"/>
      <c r="G111" s="3585"/>
      <c r="H111" s="3585"/>
      <c r="I111" s="3585"/>
      <c r="J111" s="3585"/>
      <c r="K111" s="3585"/>
      <c r="L111" s="3585"/>
      <c r="M111" s="3585"/>
      <c r="N111" s="3585"/>
    </row>
    <row r="112" spans="1:30">
      <c r="B112" s="354"/>
      <c r="C112" s="3726" t="s">
        <v>967</v>
      </c>
      <c r="E112" s="390" t="s">
        <v>2807</v>
      </c>
      <c r="F112" s="3585"/>
      <c r="G112" s="3775"/>
      <c r="H112" s="3775">
        <f>H104-G104</f>
        <v>0</v>
      </c>
      <c r="I112" s="3775">
        <f t="shared" ref="I112:N112" si="6">I104-H104</f>
        <v>0</v>
      </c>
      <c r="J112" s="3775">
        <f t="shared" si="6"/>
        <v>0</v>
      </c>
      <c r="K112" s="3775">
        <f t="shared" si="6"/>
        <v>0</v>
      </c>
      <c r="L112" s="3775">
        <f t="shared" si="6"/>
        <v>0</v>
      </c>
      <c r="M112" s="3775">
        <f t="shared" si="6"/>
        <v>0</v>
      </c>
      <c r="N112" s="3775">
        <f t="shared" si="6"/>
        <v>0</v>
      </c>
    </row>
    <row r="113" spans="2:16">
      <c r="B113" s="358"/>
      <c r="C113" s="3726" t="s">
        <v>819</v>
      </c>
      <c r="E113" s="390" t="s">
        <v>2807</v>
      </c>
      <c r="F113" s="380"/>
      <c r="G113" s="409"/>
      <c r="H113" s="409"/>
      <c r="I113" s="409"/>
      <c r="J113" s="409"/>
      <c r="K113" s="409"/>
      <c r="L113" s="409">
        <f>H112</f>
        <v>0</v>
      </c>
      <c r="M113" s="409">
        <f>I112</f>
        <v>0</v>
      </c>
      <c r="N113" s="409">
        <f>J112</f>
        <v>0</v>
      </c>
    </row>
    <row r="114" spans="2:16">
      <c r="B114" s="358"/>
      <c r="C114" s="3726" t="s">
        <v>2937</v>
      </c>
      <c r="E114" s="390" t="s">
        <v>2807</v>
      </c>
      <c r="F114" s="380"/>
      <c r="G114" s="409"/>
      <c r="H114" s="409">
        <f t="shared" ref="H114:M114" si="7">H112+H113</f>
        <v>0</v>
      </c>
      <c r="I114" s="409">
        <f>I112+I113</f>
        <v>0</v>
      </c>
      <c r="J114" s="409">
        <f t="shared" si="7"/>
        <v>0</v>
      </c>
      <c r="K114" s="409">
        <f t="shared" si="7"/>
        <v>0</v>
      </c>
      <c r="L114" s="409">
        <f t="shared" si="7"/>
        <v>0</v>
      </c>
      <c r="M114" s="409">
        <f t="shared" si="7"/>
        <v>0</v>
      </c>
      <c r="N114" s="409">
        <f>N112+N113</f>
        <v>0</v>
      </c>
    </row>
    <row r="115" spans="2:16">
      <c r="B115" s="358"/>
      <c r="E115" s="1439"/>
      <c r="F115" s="380"/>
      <c r="G115" s="409"/>
      <c r="H115" s="409"/>
      <c r="I115" s="409"/>
      <c r="J115" s="409"/>
      <c r="K115" s="409"/>
      <c r="L115" s="409"/>
      <c r="M115" s="409"/>
      <c r="N115" s="409"/>
    </row>
    <row r="116" spans="2:16">
      <c r="B116" s="354" t="s">
        <v>2938</v>
      </c>
      <c r="E116" s="1439"/>
      <c r="F116" s="3585"/>
      <c r="G116" s="3776"/>
      <c r="H116" s="3776"/>
      <c r="I116" s="3776"/>
      <c r="J116" s="3776"/>
      <c r="K116" s="3776"/>
      <c r="L116" s="3776"/>
      <c r="M116" s="3776"/>
      <c r="N116" s="3776"/>
    </row>
    <row r="117" spans="2:16">
      <c r="B117" s="354"/>
      <c r="C117" s="3726" t="s">
        <v>967</v>
      </c>
      <c r="E117" s="390" t="s">
        <v>2807</v>
      </c>
      <c r="F117" s="3585"/>
      <c r="G117" s="3775"/>
      <c r="H117" s="3775">
        <f t="shared" ref="H117:N117" si="8">H105-G105</f>
        <v>0</v>
      </c>
      <c r="I117" s="3775">
        <f t="shared" si="8"/>
        <v>0</v>
      </c>
      <c r="J117" s="3775">
        <f t="shared" si="8"/>
        <v>0</v>
      </c>
      <c r="K117" s="3775">
        <f t="shared" si="8"/>
        <v>0</v>
      </c>
      <c r="L117" s="3775">
        <f t="shared" si="8"/>
        <v>0</v>
      </c>
      <c r="M117" s="3775">
        <f t="shared" si="8"/>
        <v>0</v>
      </c>
      <c r="N117" s="3775">
        <f t="shared" si="8"/>
        <v>0</v>
      </c>
    </row>
    <row r="118" spans="2:16">
      <c r="B118" s="358"/>
      <c r="C118" s="3726" t="s">
        <v>819</v>
      </c>
      <c r="E118" s="390" t="s">
        <v>2807</v>
      </c>
      <c r="F118" s="380"/>
      <c r="G118" s="409"/>
      <c r="H118" s="409"/>
      <c r="I118" s="409"/>
      <c r="J118" s="409"/>
      <c r="K118" s="409"/>
      <c r="L118" s="409">
        <f>H117</f>
        <v>0</v>
      </c>
      <c r="M118" s="409">
        <f>I117</f>
        <v>0</v>
      </c>
      <c r="N118" s="409">
        <f>J117</f>
        <v>0</v>
      </c>
    </row>
    <row r="119" spans="2:16">
      <c r="B119" s="358"/>
      <c r="C119" s="3726" t="s">
        <v>2937</v>
      </c>
      <c r="E119" s="390" t="s">
        <v>2807</v>
      </c>
      <c r="F119" s="380"/>
      <c r="G119" s="409"/>
      <c r="H119" s="409">
        <f t="shared" ref="H119:N119" si="9">H117+H118</f>
        <v>0</v>
      </c>
      <c r="I119" s="409">
        <f t="shared" si="9"/>
        <v>0</v>
      </c>
      <c r="J119" s="409">
        <f t="shared" si="9"/>
        <v>0</v>
      </c>
      <c r="K119" s="409">
        <f t="shared" si="9"/>
        <v>0</v>
      </c>
      <c r="L119" s="409">
        <f t="shared" si="9"/>
        <v>0</v>
      </c>
      <c r="M119" s="409">
        <f t="shared" si="9"/>
        <v>0</v>
      </c>
      <c r="N119" s="409">
        <f t="shared" si="9"/>
        <v>0</v>
      </c>
    </row>
    <row r="120" spans="2:16">
      <c r="B120" s="358"/>
      <c r="E120" s="390"/>
      <c r="F120" s="380"/>
      <c r="G120" s="409"/>
      <c r="H120" s="409"/>
      <c r="I120" s="409"/>
      <c r="J120" s="409"/>
      <c r="K120" s="409"/>
      <c r="L120" s="409"/>
      <c r="M120" s="409"/>
      <c r="N120" s="409"/>
    </row>
    <row r="121" spans="2:16">
      <c r="B121" s="354" t="s">
        <v>2939</v>
      </c>
      <c r="E121" s="390"/>
      <c r="F121" s="3585"/>
      <c r="G121" s="3776"/>
      <c r="H121" s="3776"/>
      <c r="I121" s="3776"/>
      <c r="J121" s="3776"/>
      <c r="K121" s="3776"/>
      <c r="L121" s="3776"/>
      <c r="M121" s="3776"/>
      <c r="N121" s="3776"/>
    </row>
    <row r="122" spans="2:16">
      <c r="B122" s="354"/>
      <c r="C122" s="3726" t="s">
        <v>967</v>
      </c>
      <c r="E122" s="390" t="s">
        <v>2807</v>
      </c>
      <c r="F122" s="3585"/>
      <c r="G122" s="3775"/>
      <c r="H122" s="3775">
        <f>H114-G114</f>
        <v>0</v>
      </c>
      <c r="I122" s="3775">
        <f t="shared" ref="I122:N122" si="10">I114-H114</f>
        <v>0</v>
      </c>
      <c r="J122" s="3775">
        <f t="shared" si="10"/>
        <v>0</v>
      </c>
      <c r="K122" s="3775">
        <f t="shared" si="10"/>
        <v>0</v>
      </c>
      <c r="L122" s="3775">
        <f t="shared" si="10"/>
        <v>0</v>
      </c>
      <c r="M122" s="3775">
        <f t="shared" si="10"/>
        <v>0</v>
      </c>
      <c r="N122" s="3775">
        <f t="shared" si="10"/>
        <v>0</v>
      </c>
    </row>
    <row r="123" spans="2:16">
      <c r="B123" s="358"/>
      <c r="C123" s="3726" t="s">
        <v>819</v>
      </c>
      <c r="E123" s="390" t="s">
        <v>2807</v>
      </c>
      <c r="F123" s="380"/>
      <c r="G123" s="409"/>
      <c r="H123" s="409"/>
      <c r="I123" s="409"/>
      <c r="J123" s="409"/>
      <c r="K123" s="409"/>
      <c r="L123" s="409">
        <f>G122</f>
        <v>0</v>
      </c>
      <c r="M123" s="409">
        <f>H122</f>
        <v>0</v>
      </c>
      <c r="N123" s="409">
        <f>I122</f>
        <v>0</v>
      </c>
    </row>
    <row r="124" spans="2:16">
      <c r="B124" s="358"/>
      <c r="C124" s="3726" t="s">
        <v>2937</v>
      </c>
      <c r="E124" s="390" t="s">
        <v>2807</v>
      </c>
      <c r="F124" s="380"/>
      <c r="G124" s="409"/>
      <c r="H124" s="409">
        <f t="shared" ref="H124:N124" si="11">H122+H123</f>
        <v>0</v>
      </c>
      <c r="I124" s="409">
        <f t="shared" si="11"/>
        <v>0</v>
      </c>
      <c r="J124" s="409">
        <f t="shared" si="11"/>
        <v>0</v>
      </c>
      <c r="K124" s="409">
        <f t="shared" si="11"/>
        <v>0</v>
      </c>
      <c r="L124" s="409">
        <f t="shared" si="11"/>
        <v>0</v>
      </c>
      <c r="M124" s="409">
        <f t="shared" si="11"/>
        <v>0</v>
      </c>
      <c r="N124" s="409">
        <f t="shared" si="11"/>
        <v>0</v>
      </c>
    </row>
    <row r="125" spans="2:16">
      <c r="B125" s="358"/>
      <c r="E125" s="1439"/>
      <c r="F125" s="380"/>
      <c r="G125" s="380"/>
      <c r="H125" s="380"/>
      <c r="I125" s="380"/>
      <c r="J125" s="380"/>
      <c r="K125" s="380"/>
      <c r="L125" s="380"/>
      <c r="M125" s="380"/>
      <c r="N125" s="380"/>
    </row>
    <row r="126" spans="2:16">
      <c r="B126" s="403" t="s">
        <v>2720</v>
      </c>
      <c r="F126" s="380"/>
      <c r="G126" s="380"/>
      <c r="H126" s="380"/>
      <c r="I126" s="380"/>
      <c r="J126" s="380"/>
      <c r="K126" s="380"/>
      <c r="L126" s="380"/>
      <c r="M126" s="380"/>
      <c r="N126" s="380"/>
    </row>
    <row r="127" spans="2:16" hidden="1">
      <c r="B127" s="358"/>
      <c r="C127" s="354" t="s">
        <v>2840</v>
      </c>
      <c r="E127" s="355" t="s">
        <v>2736</v>
      </c>
      <c r="F127" s="1313">
        <v>2013</v>
      </c>
      <c r="G127" s="1313">
        <v>2015</v>
      </c>
      <c r="H127" s="1313">
        <v>2020</v>
      </c>
      <c r="I127" s="1313">
        <v>2025</v>
      </c>
      <c r="J127" s="1313">
        <v>2030</v>
      </c>
      <c r="K127" s="1313">
        <v>2035</v>
      </c>
      <c r="L127" s="1313">
        <v>2040</v>
      </c>
      <c r="M127" s="1313">
        <v>2045</v>
      </c>
      <c r="N127" s="1313">
        <v>2050</v>
      </c>
      <c r="P127" s="358"/>
    </row>
    <row r="128" spans="2:16" hidden="1">
      <c r="B128" s="358"/>
      <c r="C128" s="3726" t="s">
        <v>2926</v>
      </c>
      <c r="F128" s="2480"/>
      <c r="G128" s="2480">
        <v>0</v>
      </c>
      <c r="H128" s="2480">
        <v>0</v>
      </c>
      <c r="I128" s="2480">
        <v>0</v>
      </c>
      <c r="J128" s="2480">
        <v>0</v>
      </c>
      <c r="K128" s="2480">
        <v>0</v>
      </c>
      <c r="L128" s="2480">
        <v>0</v>
      </c>
      <c r="M128" s="2480">
        <v>0</v>
      </c>
      <c r="N128" s="2480">
        <v>0</v>
      </c>
      <c r="P128" s="358"/>
    </row>
    <row r="129" spans="2:16" hidden="1">
      <c r="B129" s="358"/>
      <c r="C129" s="3726" t="s">
        <v>2934</v>
      </c>
      <c r="F129" s="2480"/>
      <c r="G129" s="2480">
        <v>0</v>
      </c>
      <c r="H129" s="2480">
        <v>0</v>
      </c>
      <c r="I129" s="2480">
        <v>0</v>
      </c>
      <c r="J129" s="2480">
        <v>0</v>
      </c>
      <c r="K129" s="2480">
        <v>0</v>
      </c>
      <c r="L129" s="2480">
        <v>0</v>
      </c>
      <c r="M129" s="2480">
        <v>0</v>
      </c>
      <c r="N129" s="2480">
        <v>0</v>
      </c>
      <c r="P129" s="358"/>
    </row>
    <row r="130" spans="2:16" hidden="1">
      <c r="B130" s="358"/>
      <c r="C130" s="3726" t="s">
        <v>2929</v>
      </c>
      <c r="F130" s="2480"/>
      <c r="G130" s="2480">
        <v>0</v>
      </c>
      <c r="H130" s="2480">
        <v>0</v>
      </c>
      <c r="I130" s="2480">
        <v>0</v>
      </c>
      <c r="J130" s="2480">
        <v>0</v>
      </c>
      <c r="K130" s="2480">
        <v>0</v>
      </c>
      <c r="L130" s="2480">
        <v>0</v>
      </c>
      <c r="M130" s="2480">
        <v>0</v>
      </c>
      <c r="N130" s="2480">
        <v>0</v>
      </c>
      <c r="P130" s="358"/>
    </row>
    <row r="131" spans="2:16" hidden="1">
      <c r="B131" s="358"/>
      <c r="C131" s="3726" t="s">
        <v>58</v>
      </c>
      <c r="F131" s="2091"/>
      <c r="G131" s="2091">
        <v>0</v>
      </c>
      <c r="H131" s="2091">
        <v>0</v>
      </c>
      <c r="I131" s="2091">
        <v>0</v>
      </c>
      <c r="J131" s="2091">
        <v>0</v>
      </c>
      <c r="K131" s="2091">
        <v>0</v>
      </c>
      <c r="L131" s="2091">
        <v>0</v>
      </c>
      <c r="M131" s="2091">
        <v>0</v>
      </c>
      <c r="N131" s="2091">
        <v>0</v>
      </c>
      <c r="P131" s="358"/>
    </row>
    <row r="132" spans="2:16" hidden="1">
      <c r="B132" s="358"/>
      <c r="F132" s="380"/>
      <c r="G132" s="380"/>
      <c r="H132" s="380"/>
      <c r="I132" s="380"/>
      <c r="J132" s="380"/>
      <c r="K132" s="380"/>
      <c r="L132" s="380"/>
      <c r="M132" s="380"/>
      <c r="N132" s="380"/>
      <c r="P132" s="358"/>
    </row>
    <row r="133" spans="2:16" hidden="1">
      <c r="B133" s="358"/>
      <c r="C133" s="354" t="s">
        <v>2841</v>
      </c>
      <c r="E133" s="355" t="s">
        <v>2736</v>
      </c>
      <c r="F133" s="1313">
        <v>2013</v>
      </c>
      <c r="G133" s="1313">
        <v>2015</v>
      </c>
      <c r="H133" s="1313">
        <v>2020</v>
      </c>
      <c r="I133" s="1313">
        <v>2025</v>
      </c>
      <c r="J133" s="1313">
        <v>2030</v>
      </c>
      <c r="K133" s="1313">
        <v>2035</v>
      </c>
      <c r="L133" s="1313">
        <v>2040</v>
      </c>
      <c r="M133" s="1313">
        <v>2045</v>
      </c>
      <c r="N133" s="1313">
        <v>2050</v>
      </c>
    </row>
    <row r="134" spans="2:16" hidden="1">
      <c r="B134" s="358"/>
      <c r="C134" s="3726" t="s">
        <v>2926</v>
      </c>
      <c r="F134" s="2480"/>
      <c r="G134" s="2480">
        <v>0</v>
      </c>
      <c r="H134" s="2480">
        <v>0</v>
      </c>
      <c r="I134" s="2480">
        <v>0</v>
      </c>
      <c r="J134" s="2480">
        <v>0</v>
      </c>
      <c r="K134" s="2480">
        <v>0</v>
      </c>
      <c r="L134" s="2480">
        <v>0</v>
      </c>
      <c r="M134" s="2480">
        <v>0</v>
      </c>
      <c r="N134" s="2480">
        <v>0</v>
      </c>
    </row>
    <row r="135" spans="2:16" hidden="1">
      <c r="B135" s="358"/>
      <c r="C135" s="3726" t="s">
        <v>2934</v>
      </c>
      <c r="F135" s="2480"/>
      <c r="G135" s="2480">
        <v>0</v>
      </c>
      <c r="H135" s="2480">
        <v>0</v>
      </c>
      <c r="I135" s="2480">
        <v>0</v>
      </c>
      <c r="J135" s="2480">
        <v>0</v>
      </c>
      <c r="K135" s="2480">
        <v>0</v>
      </c>
      <c r="L135" s="2480">
        <v>0</v>
      </c>
      <c r="M135" s="2480">
        <v>0</v>
      </c>
      <c r="N135" s="2480">
        <v>0</v>
      </c>
    </row>
    <row r="136" spans="2:16" hidden="1">
      <c r="B136" s="358"/>
      <c r="C136" s="3726" t="s">
        <v>2929</v>
      </c>
      <c r="F136" s="2480"/>
      <c r="G136" s="2480">
        <v>0</v>
      </c>
      <c r="H136" s="2480">
        <v>0</v>
      </c>
      <c r="I136" s="2480">
        <v>0</v>
      </c>
      <c r="J136" s="2480">
        <v>0</v>
      </c>
      <c r="K136" s="2480">
        <v>0</v>
      </c>
      <c r="L136" s="2480">
        <v>0</v>
      </c>
      <c r="M136" s="2480">
        <v>0</v>
      </c>
      <c r="N136" s="2480">
        <v>0</v>
      </c>
    </row>
    <row r="137" spans="2:16" hidden="1">
      <c r="B137" s="358"/>
      <c r="C137" s="3726" t="s">
        <v>58</v>
      </c>
      <c r="F137" s="2091"/>
      <c r="G137" s="2091">
        <v>0</v>
      </c>
      <c r="H137" s="2091">
        <v>0</v>
      </c>
      <c r="I137" s="2091">
        <v>0</v>
      </c>
      <c r="J137" s="2091">
        <v>0</v>
      </c>
      <c r="K137" s="2091">
        <v>0</v>
      </c>
      <c r="L137" s="2091">
        <v>0</v>
      </c>
      <c r="M137" s="2091">
        <v>0</v>
      </c>
      <c r="N137" s="2091">
        <v>0</v>
      </c>
    </row>
    <row r="138" spans="2:16" hidden="1">
      <c r="B138" s="358"/>
    </row>
    <row r="139" spans="2:16" hidden="1">
      <c r="B139" s="358"/>
      <c r="C139" s="354" t="s">
        <v>2245</v>
      </c>
      <c r="E139" s="355" t="s">
        <v>2736</v>
      </c>
      <c r="F139" s="1313">
        <v>2013</v>
      </c>
      <c r="G139" s="1313">
        <v>2015</v>
      </c>
      <c r="H139" s="1313">
        <v>2020</v>
      </c>
      <c r="I139" s="1313">
        <v>2025</v>
      </c>
      <c r="J139" s="1313">
        <v>2030</v>
      </c>
      <c r="K139" s="1313">
        <v>2035</v>
      </c>
      <c r="L139" s="1313">
        <v>2040</v>
      </c>
      <c r="M139" s="1313">
        <v>2045</v>
      </c>
      <c r="N139" s="1313">
        <v>2050</v>
      </c>
    </row>
    <row r="140" spans="2:16" hidden="1">
      <c r="C140" s="3726" t="s">
        <v>2926</v>
      </c>
      <c r="F140" s="2480"/>
      <c r="G140" s="2480">
        <v>0</v>
      </c>
      <c r="H140" s="2480">
        <v>0</v>
      </c>
      <c r="I140" s="2480">
        <v>0</v>
      </c>
      <c r="J140" s="2480">
        <v>0</v>
      </c>
      <c r="K140" s="2480">
        <v>0</v>
      </c>
      <c r="L140" s="2480">
        <v>0</v>
      </c>
      <c r="M140" s="2480">
        <v>0</v>
      </c>
      <c r="N140" s="2480">
        <v>0</v>
      </c>
    </row>
    <row r="141" spans="2:16" hidden="1">
      <c r="C141" s="3726" t="s">
        <v>2934</v>
      </c>
      <c r="F141" s="2480"/>
      <c r="G141" s="2480">
        <v>0</v>
      </c>
      <c r="H141" s="2480">
        <v>0</v>
      </c>
      <c r="I141" s="2480">
        <v>0</v>
      </c>
      <c r="J141" s="2480">
        <v>0</v>
      </c>
      <c r="K141" s="2480">
        <v>0</v>
      </c>
      <c r="L141" s="2480">
        <v>0</v>
      </c>
      <c r="M141" s="2480">
        <v>0</v>
      </c>
      <c r="N141" s="2480">
        <v>0</v>
      </c>
    </row>
    <row r="142" spans="2:16" hidden="1">
      <c r="C142" s="3726" t="s">
        <v>2929</v>
      </c>
      <c r="F142" s="2480"/>
      <c r="G142" s="2480">
        <v>0</v>
      </c>
      <c r="H142" s="2480">
        <v>0</v>
      </c>
      <c r="I142" s="2480">
        <v>0</v>
      </c>
      <c r="J142" s="2480">
        <v>0</v>
      </c>
      <c r="K142" s="2480">
        <v>0</v>
      </c>
      <c r="L142" s="2480">
        <v>0</v>
      </c>
      <c r="M142" s="2480">
        <v>0</v>
      </c>
      <c r="N142" s="2480">
        <v>0</v>
      </c>
    </row>
    <row r="143" spans="2:16" hidden="1">
      <c r="C143" s="3726" t="s">
        <v>58</v>
      </c>
      <c r="F143" s="2091"/>
      <c r="G143" s="2091">
        <v>0</v>
      </c>
      <c r="H143" s="2091">
        <v>0</v>
      </c>
      <c r="I143" s="2091">
        <v>0</v>
      </c>
      <c r="J143" s="2091">
        <v>0</v>
      </c>
      <c r="K143" s="2091">
        <v>0</v>
      </c>
      <c r="L143" s="2091">
        <v>0</v>
      </c>
      <c r="M143" s="2091">
        <v>0</v>
      </c>
      <c r="N143" s="2091">
        <v>0</v>
      </c>
    </row>
    <row r="144" spans="2:16" hidden="1">
      <c r="F144" s="2091"/>
      <c r="G144" s="2091"/>
      <c r="H144" s="2091"/>
      <c r="I144" s="2091"/>
      <c r="J144" s="2091"/>
      <c r="K144" s="2091"/>
      <c r="L144" s="2091"/>
      <c r="M144" s="2091"/>
      <c r="N144" s="2091"/>
    </row>
    <row r="145" spans="2:14" hidden="1">
      <c r="C145" s="354" t="s">
        <v>2246</v>
      </c>
      <c r="E145" s="355" t="s">
        <v>2736</v>
      </c>
      <c r="F145" s="1313">
        <v>2013</v>
      </c>
      <c r="G145" s="1313">
        <v>2015</v>
      </c>
      <c r="H145" s="1313">
        <v>2020</v>
      </c>
      <c r="I145" s="1313">
        <v>2025</v>
      </c>
      <c r="J145" s="1313">
        <v>2030</v>
      </c>
      <c r="K145" s="1313">
        <v>2035</v>
      </c>
      <c r="L145" s="1313">
        <v>2040</v>
      </c>
      <c r="M145" s="1313">
        <v>2045</v>
      </c>
      <c r="N145" s="1313">
        <v>2050</v>
      </c>
    </row>
    <row r="146" spans="2:14" hidden="1">
      <c r="C146" s="3726" t="s">
        <v>2926</v>
      </c>
      <c r="F146" s="2480">
        <v>0</v>
      </c>
      <c r="G146" s="2480">
        <v>0</v>
      </c>
      <c r="H146" s="2480">
        <v>0</v>
      </c>
      <c r="I146" s="2480">
        <v>0</v>
      </c>
      <c r="J146" s="2480">
        <v>0</v>
      </c>
      <c r="K146" s="2480">
        <v>0</v>
      </c>
      <c r="L146" s="2480">
        <v>0</v>
      </c>
      <c r="M146" s="2480">
        <v>0</v>
      </c>
      <c r="N146" s="2480">
        <v>0</v>
      </c>
    </row>
    <row r="147" spans="2:14" hidden="1">
      <c r="C147" s="3726" t="s">
        <v>2934</v>
      </c>
      <c r="F147" s="2480">
        <v>0</v>
      </c>
      <c r="G147" s="2480">
        <v>0</v>
      </c>
      <c r="H147" s="2480">
        <v>0</v>
      </c>
      <c r="I147" s="2480">
        <v>0</v>
      </c>
      <c r="J147" s="2480">
        <v>0</v>
      </c>
      <c r="K147" s="2480">
        <v>0</v>
      </c>
      <c r="L147" s="2480">
        <v>0</v>
      </c>
      <c r="M147" s="2480">
        <v>0</v>
      </c>
      <c r="N147" s="2480">
        <v>0</v>
      </c>
    </row>
    <row r="148" spans="2:14" hidden="1">
      <c r="C148" s="3726" t="s">
        <v>2929</v>
      </c>
      <c r="F148" s="2480">
        <v>0</v>
      </c>
      <c r="G148" s="2480">
        <v>0</v>
      </c>
      <c r="H148" s="2480">
        <v>0</v>
      </c>
      <c r="I148" s="2480">
        <v>0</v>
      </c>
      <c r="J148" s="2480">
        <v>0</v>
      </c>
      <c r="K148" s="2480">
        <v>0</v>
      </c>
      <c r="L148" s="2480">
        <v>0</v>
      </c>
      <c r="M148" s="2480">
        <v>0</v>
      </c>
      <c r="N148" s="2480">
        <v>0</v>
      </c>
    </row>
    <row r="149" spans="2:14" hidden="1">
      <c r="C149" s="3726" t="s">
        <v>58</v>
      </c>
      <c r="F149" s="2091">
        <v>0</v>
      </c>
      <c r="G149" s="2091">
        <v>0</v>
      </c>
      <c r="H149" s="2091">
        <v>0</v>
      </c>
      <c r="I149" s="2091">
        <v>0</v>
      </c>
      <c r="J149" s="2091">
        <v>0</v>
      </c>
      <c r="K149" s="2091">
        <v>0</v>
      </c>
      <c r="L149" s="2091">
        <v>0</v>
      </c>
      <c r="M149" s="2091">
        <v>0</v>
      </c>
      <c r="N149" s="2091">
        <v>0</v>
      </c>
    </row>
    <row r="150" spans="2:14" hidden="1">
      <c r="F150" s="380"/>
      <c r="G150" s="380"/>
      <c r="H150" s="380"/>
      <c r="I150" s="380"/>
      <c r="J150" s="380"/>
      <c r="K150" s="380"/>
      <c r="L150" s="380"/>
      <c r="M150" s="380"/>
      <c r="N150" s="380"/>
    </row>
    <row r="151" spans="2:14" hidden="1">
      <c r="B151" s="358"/>
      <c r="C151" s="354" t="s">
        <v>2842</v>
      </c>
      <c r="E151" s="355" t="s">
        <v>2736</v>
      </c>
      <c r="F151" s="1313">
        <v>2013</v>
      </c>
      <c r="G151" s="1313">
        <v>2015</v>
      </c>
      <c r="H151" s="1313">
        <v>2020</v>
      </c>
      <c r="I151" s="1313">
        <v>2025</v>
      </c>
      <c r="J151" s="1313">
        <v>2030</v>
      </c>
      <c r="K151" s="1313">
        <v>2035</v>
      </c>
      <c r="L151" s="1313">
        <v>2040</v>
      </c>
      <c r="M151" s="1313">
        <v>2045</v>
      </c>
      <c r="N151" s="1313">
        <v>2050</v>
      </c>
    </row>
    <row r="152" spans="2:14" hidden="1">
      <c r="B152" s="358"/>
      <c r="C152" s="3726" t="s">
        <v>2926</v>
      </c>
      <c r="F152" s="2480">
        <v>0</v>
      </c>
      <c r="G152" s="2480">
        <v>0</v>
      </c>
      <c r="H152" s="2480">
        <v>0</v>
      </c>
      <c r="I152" s="2480">
        <v>0</v>
      </c>
      <c r="J152" s="2480">
        <v>0</v>
      </c>
      <c r="K152" s="2480">
        <v>0</v>
      </c>
      <c r="L152" s="2480">
        <v>0</v>
      </c>
      <c r="M152" s="2480">
        <v>0</v>
      </c>
      <c r="N152" s="2480">
        <v>0</v>
      </c>
    </row>
    <row r="153" spans="2:14" hidden="1">
      <c r="B153" s="358"/>
      <c r="C153" s="3726" t="s">
        <v>2934</v>
      </c>
      <c r="F153" s="2480">
        <v>0</v>
      </c>
      <c r="G153" s="2480">
        <v>0</v>
      </c>
      <c r="H153" s="2480">
        <v>0</v>
      </c>
      <c r="I153" s="2480">
        <v>0</v>
      </c>
      <c r="J153" s="2480">
        <v>0</v>
      </c>
      <c r="K153" s="2480">
        <v>0</v>
      </c>
      <c r="L153" s="2480">
        <v>0</v>
      </c>
      <c r="M153" s="2480">
        <v>0</v>
      </c>
      <c r="N153" s="2480">
        <v>0</v>
      </c>
    </row>
    <row r="154" spans="2:14" hidden="1">
      <c r="B154" s="358"/>
      <c r="C154" s="3726" t="s">
        <v>2929</v>
      </c>
      <c r="F154" s="2480">
        <v>0</v>
      </c>
      <c r="G154" s="2480">
        <v>0</v>
      </c>
      <c r="H154" s="2480">
        <v>0</v>
      </c>
      <c r="I154" s="2480">
        <v>0</v>
      </c>
      <c r="J154" s="2480">
        <v>0</v>
      </c>
      <c r="K154" s="2480">
        <v>0</v>
      </c>
      <c r="L154" s="2480">
        <v>0</v>
      </c>
      <c r="M154" s="2480">
        <v>0</v>
      </c>
      <c r="N154" s="2480">
        <v>0</v>
      </c>
    </row>
    <row r="155" spans="2:14" hidden="1">
      <c r="B155" s="358"/>
      <c r="C155" s="3726" t="s">
        <v>58</v>
      </c>
      <c r="F155" s="2091">
        <v>0</v>
      </c>
      <c r="G155" s="2091">
        <v>0</v>
      </c>
      <c r="H155" s="2091">
        <v>0</v>
      </c>
      <c r="I155" s="2091">
        <v>0</v>
      </c>
      <c r="J155" s="2091">
        <v>0</v>
      </c>
      <c r="K155" s="2091">
        <v>0</v>
      </c>
      <c r="L155" s="2091">
        <v>0</v>
      </c>
      <c r="M155" s="2091">
        <v>0</v>
      </c>
      <c r="N155" s="2091">
        <v>0</v>
      </c>
    </row>
    <row r="156" spans="2:14" hidden="1">
      <c r="B156" s="358"/>
      <c r="F156" s="380"/>
      <c r="G156" s="380"/>
      <c r="H156" s="380"/>
      <c r="I156" s="380"/>
      <c r="J156" s="380"/>
      <c r="K156" s="380"/>
      <c r="L156" s="380"/>
      <c r="M156" s="380"/>
      <c r="N156" s="380"/>
    </row>
    <row r="157" spans="2:14" hidden="1">
      <c r="B157" s="358"/>
      <c r="C157" s="354" t="s">
        <v>2843</v>
      </c>
      <c r="E157" s="355" t="s">
        <v>2736</v>
      </c>
      <c r="F157" s="1313">
        <v>2013</v>
      </c>
      <c r="G157" s="1313">
        <v>2015</v>
      </c>
      <c r="H157" s="1313">
        <v>2020</v>
      </c>
      <c r="I157" s="1313">
        <v>2025</v>
      </c>
      <c r="J157" s="1313">
        <v>2030</v>
      </c>
      <c r="K157" s="1313">
        <v>2035</v>
      </c>
      <c r="L157" s="1313">
        <v>2040</v>
      </c>
      <c r="M157" s="1313">
        <v>2045</v>
      </c>
      <c r="N157" s="1313">
        <v>2050</v>
      </c>
    </row>
    <row r="158" spans="2:14" hidden="1">
      <c r="B158" s="358"/>
      <c r="C158" s="3726" t="s">
        <v>2926</v>
      </c>
      <c r="F158" s="2480">
        <v>0</v>
      </c>
      <c r="G158" s="2480">
        <v>0</v>
      </c>
      <c r="H158" s="2480">
        <v>0</v>
      </c>
      <c r="I158" s="2480">
        <v>0</v>
      </c>
      <c r="J158" s="2480">
        <v>0</v>
      </c>
      <c r="K158" s="2480">
        <v>0</v>
      </c>
      <c r="L158" s="2480">
        <v>0</v>
      </c>
      <c r="M158" s="2480">
        <v>0</v>
      </c>
      <c r="N158" s="2480">
        <v>0</v>
      </c>
    </row>
    <row r="159" spans="2:14" hidden="1">
      <c r="B159" s="358"/>
      <c r="C159" s="3726" t="s">
        <v>2934</v>
      </c>
      <c r="F159" s="2480">
        <v>0</v>
      </c>
      <c r="G159" s="2480">
        <v>0</v>
      </c>
      <c r="H159" s="2480">
        <v>0</v>
      </c>
      <c r="I159" s="2480">
        <v>0</v>
      </c>
      <c r="J159" s="2480">
        <v>0</v>
      </c>
      <c r="K159" s="2480">
        <v>0</v>
      </c>
      <c r="L159" s="2480">
        <v>0</v>
      </c>
      <c r="M159" s="2480">
        <v>0</v>
      </c>
      <c r="N159" s="2480">
        <v>0</v>
      </c>
    </row>
    <row r="160" spans="2:14" hidden="1">
      <c r="B160" s="358"/>
      <c r="C160" s="3726" t="s">
        <v>2929</v>
      </c>
      <c r="F160" s="2480">
        <v>0</v>
      </c>
      <c r="G160" s="2480">
        <v>0</v>
      </c>
      <c r="H160" s="2480">
        <v>0</v>
      </c>
      <c r="I160" s="2480">
        <v>0</v>
      </c>
      <c r="J160" s="2480">
        <v>0</v>
      </c>
      <c r="K160" s="2480">
        <v>0</v>
      </c>
      <c r="L160" s="2480">
        <v>0</v>
      </c>
      <c r="M160" s="2480">
        <v>0</v>
      </c>
      <c r="N160" s="2480">
        <v>0</v>
      </c>
    </row>
    <row r="161" spans="1:18" hidden="1">
      <c r="B161" s="358"/>
      <c r="C161" s="3726" t="s">
        <v>58</v>
      </c>
      <c r="F161" s="2091">
        <v>0</v>
      </c>
      <c r="G161" s="2091">
        <v>0</v>
      </c>
      <c r="H161" s="2091">
        <v>0</v>
      </c>
      <c r="I161" s="2091">
        <v>0</v>
      </c>
      <c r="J161" s="2091">
        <v>0</v>
      </c>
      <c r="K161" s="2091">
        <v>0</v>
      </c>
      <c r="L161" s="2091">
        <v>0</v>
      </c>
      <c r="M161" s="2091">
        <v>0</v>
      </c>
      <c r="N161" s="2091">
        <v>0</v>
      </c>
    </row>
    <row r="162" spans="1:18">
      <c r="B162" s="358"/>
      <c r="F162" s="380"/>
      <c r="G162" s="380"/>
      <c r="H162" s="380"/>
      <c r="I162" s="380"/>
      <c r="J162" s="380"/>
      <c r="K162" s="380"/>
      <c r="L162" s="380"/>
      <c r="M162" s="380"/>
      <c r="N162" s="380"/>
    </row>
    <row r="163" spans="1:18" ht="23.5">
      <c r="A163" s="7"/>
      <c r="B163" s="502" t="s">
        <v>296</v>
      </c>
      <c r="C163" s="503"/>
      <c r="D163" s="503"/>
      <c r="E163" s="503"/>
      <c r="F163" s="503"/>
      <c r="G163" s="503"/>
      <c r="H163" s="503"/>
      <c r="I163" s="503"/>
      <c r="J163" s="503"/>
      <c r="K163" s="503"/>
      <c r="L163" s="503"/>
      <c r="M163" s="503"/>
      <c r="N163" s="503"/>
      <c r="O163" s="857"/>
      <c r="R163" s="2480"/>
    </row>
    <row r="164" spans="1:18">
      <c r="B164" s="505"/>
      <c r="C164" s="506"/>
      <c r="D164" s="506"/>
      <c r="E164" s="506"/>
      <c r="F164" s="506"/>
      <c r="G164" s="506"/>
      <c r="H164" s="506"/>
      <c r="I164" s="506"/>
      <c r="J164" s="506"/>
      <c r="K164" s="506"/>
      <c r="L164" s="506"/>
      <c r="M164" s="506"/>
      <c r="N164" s="506"/>
      <c r="O164" s="858"/>
      <c r="R164" s="2480"/>
    </row>
    <row r="165" spans="1:18">
      <c r="B165" s="505"/>
      <c r="C165" s="34" t="s">
        <v>746</v>
      </c>
      <c r="D165" s="506"/>
      <c r="E165" s="507"/>
      <c r="F165" s="506"/>
      <c r="G165" s="506"/>
      <c r="H165" s="506"/>
      <c r="I165" s="506"/>
      <c r="J165" s="506"/>
      <c r="K165" s="506"/>
      <c r="L165" s="506"/>
      <c r="M165" s="506"/>
      <c r="N165" s="507" t="str">
        <f>Preferences.EnergyUnits</f>
        <v>TWh</v>
      </c>
      <c r="O165" s="858"/>
      <c r="R165" s="2480"/>
    </row>
    <row r="166" spans="1:18">
      <c r="B166" s="505"/>
      <c r="C166" s="506"/>
      <c r="D166" s="506"/>
      <c r="E166" s="506"/>
      <c r="F166" s="506"/>
      <c r="G166" s="506"/>
      <c r="H166" s="506"/>
      <c r="I166" s="506"/>
      <c r="J166" s="506"/>
      <c r="K166" s="506"/>
      <c r="L166" s="506"/>
      <c r="M166" s="506"/>
      <c r="N166" s="506"/>
      <c r="O166" s="858"/>
      <c r="R166" s="2480"/>
    </row>
    <row r="167" spans="1:18" ht="15.5">
      <c r="A167" s="434"/>
      <c r="B167" s="15"/>
      <c r="C167" s="864" t="s">
        <v>28</v>
      </c>
      <c r="D167" s="864" t="s">
        <v>29</v>
      </c>
      <c r="E167" s="864" t="s">
        <v>30</v>
      </c>
      <c r="F167" s="864" t="s">
        <v>588</v>
      </c>
      <c r="G167" s="864" t="s">
        <v>132</v>
      </c>
      <c r="H167" s="864" t="s">
        <v>133</v>
      </c>
      <c r="I167" s="864" t="s">
        <v>134</v>
      </c>
      <c r="J167" s="864" t="s">
        <v>135</v>
      </c>
      <c r="K167" s="864" t="s">
        <v>136</v>
      </c>
      <c r="L167" s="864" t="s">
        <v>137</v>
      </c>
      <c r="M167" s="864" t="s">
        <v>138</v>
      </c>
      <c r="N167" s="864" t="s">
        <v>139</v>
      </c>
      <c r="O167" s="858"/>
    </row>
    <row r="168" spans="1:18" ht="15.5">
      <c r="A168" s="434"/>
      <c r="B168" s="15"/>
      <c r="C168" s="17" t="s">
        <v>95</v>
      </c>
      <c r="D168" s="2457" t="str">
        <f>INDEX(Vectors[Description], MATCH(XIV.a.Outputs[Vector], Vectors[Code], 0))</f>
        <v>Electricity (delivered to end user)</v>
      </c>
      <c r="E168" s="17"/>
      <c r="F168" s="3777">
        <f>-F109</f>
        <v>0</v>
      </c>
      <c r="G168" s="3777">
        <f t="shared" ref="G168:N168" si="12">-G109</f>
        <v>0</v>
      </c>
      <c r="H168" s="3777">
        <f t="shared" si="12"/>
        <v>0</v>
      </c>
      <c r="I168" s="3777">
        <f t="shared" si="12"/>
        <v>0</v>
      </c>
      <c r="J168" s="3777">
        <f t="shared" si="12"/>
        <v>0</v>
      </c>
      <c r="K168" s="3777">
        <f t="shared" si="12"/>
        <v>0</v>
      </c>
      <c r="L168" s="3777">
        <f t="shared" si="12"/>
        <v>0</v>
      </c>
      <c r="M168" s="3777">
        <f t="shared" si="12"/>
        <v>0</v>
      </c>
      <c r="N168" s="3777">
        <f t="shared" si="12"/>
        <v>0</v>
      </c>
      <c r="O168" s="858"/>
    </row>
    <row r="169" spans="1:18" ht="15.5">
      <c r="A169" s="434"/>
      <c r="B169" s="15"/>
      <c r="C169" s="17" t="s">
        <v>103</v>
      </c>
      <c r="D169" s="2457" t="str">
        <f>INDEX(Vectors[Description], MATCH(XIV.a.Outputs[Vector], Vectors[Code], 0))</f>
        <v>Conversion losses</v>
      </c>
      <c r="E169" s="17"/>
      <c r="F169" s="3777">
        <f>F109</f>
        <v>0</v>
      </c>
      <c r="G169" s="3777">
        <f t="shared" ref="G169:N169" si="13">G109</f>
        <v>0</v>
      </c>
      <c r="H169" s="3777">
        <f t="shared" si="13"/>
        <v>0</v>
      </c>
      <c r="I169" s="3777">
        <f t="shared" si="13"/>
        <v>0</v>
      </c>
      <c r="J169" s="3777">
        <f t="shared" si="13"/>
        <v>0</v>
      </c>
      <c r="K169" s="3777">
        <f t="shared" si="13"/>
        <v>0</v>
      </c>
      <c r="L169" s="3777">
        <f t="shared" si="13"/>
        <v>0</v>
      </c>
      <c r="M169" s="3777">
        <f t="shared" si="13"/>
        <v>0</v>
      </c>
      <c r="N169" s="3777">
        <f t="shared" si="13"/>
        <v>0</v>
      </c>
      <c r="O169" s="858"/>
    </row>
    <row r="170" spans="1:18" ht="15.5">
      <c r="A170" s="434"/>
      <c r="B170" s="15"/>
      <c r="C170" s="2432" t="s">
        <v>58</v>
      </c>
      <c r="D170" s="2432"/>
      <c r="E170" s="2432"/>
      <c r="F170" s="3779">
        <f>SUBTOTAL(109,XIV.a.Outputs[2013])</f>
        <v>0</v>
      </c>
      <c r="G170" s="3779">
        <f>SUBTOTAL(109,XIV.a.Outputs[2015])</f>
        <v>0</v>
      </c>
      <c r="H170" s="3779">
        <f>SUBTOTAL(109,XIV.a.Outputs[2020])</f>
        <v>0</v>
      </c>
      <c r="I170" s="3779">
        <f>SUBTOTAL(109,XIV.a.Outputs[2025])</f>
        <v>0</v>
      </c>
      <c r="J170" s="3779">
        <f>SUBTOTAL(109,XIV.a.Outputs[2030])</f>
        <v>0</v>
      </c>
      <c r="K170" s="3779">
        <f>SUBTOTAL(109,XIV.a.Outputs[2035])</f>
        <v>0</v>
      </c>
      <c r="L170" s="3779">
        <f>SUBTOTAL(109,XIV.a.Outputs[2040])</f>
        <v>0</v>
      </c>
      <c r="M170" s="3779">
        <f>SUBTOTAL(109,XIV.a.Outputs[2045])</f>
        <v>0</v>
      </c>
      <c r="N170" s="3779">
        <f>SUBTOTAL(109,XIV.a.Outputs[2050])</f>
        <v>0</v>
      </c>
      <c r="O170" s="858"/>
    </row>
    <row r="171" spans="1:18" ht="15.5">
      <c r="B171" s="15"/>
      <c r="C171" s="443"/>
      <c r="D171" s="443"/>
      <c r="E171" s="443"/>
      <c r="F171" s="443"/>
      <c r="G171" s="443"/>
      <c r="H171" s="443"/>
      <c r="I171" s="443"/>
      <c r="J171" s="443"/>
      <c r="K171" s="443"/>
      <c r="L171" s="443"/>
      <c r="M171" s="443"/>
      <c r="N171" s="443"/>
      <c r="O171" s="35"/>
    </row>
    <row r="172" spans="1:18" ht="23.5">
      <c r="A172" s="7"/>
    </row>
    <row r="173" spans="1:18" ht="15">
      <c r="B173" s="1118" t="s">
        <v>300</v>
      </c>
      <c r="C173" s="1119"/>
      <c r="D173" s="1120"/>
      <c r="E173" s="1120"/>
      <c r="F173" s="1120"/>
      <c r="G173" s="1120"/>
      <c r="H173" s="1120"/>
      <c r="I173" s="1120"/>
      <c r="J173" s="1120"/>
      <c r="K173" s="1120"/>
      <c r="L173" s="1120"/>
      <c r="M173" s="1120"/>
      <c r="N173" s="1120"/>
      <c r="O173" s="1121"/>
    </row>
    <row r="174" spans="1:18">
      <c r="B174" s="1122"/>
      <c r="C174" s="1123"/>
      <c r="D174" s="1123"/>
      <c r="E174" s="1123"/>
      <c r="F174" s="1123"/>
      <c r="G174" s="1123"/>
      <c r="H174" s="1123"/>
      <c r="I174" s="1123"/>
      <c r="J174" s="1123"/>
      <c r="K174" s="1123"/>
      <c r="L174" s="1123"/>
      <c r="M174" s="1123"/>
      <c r="N174" s="1123"/>
      <c r="O174" s="1124"/>
    </row>
    <row r="175" spans="1:18">
      <c r="B175" s="1125"/>
      <c r="C175" s="453" t="s">
        <v>1308</v>
      </c>
      <c r="D175" s="1126"/>
      <c r="E175" s="1127"/>
      <c r="F175" s="1126"/>
      <c r="G175" s="1126"/>
      <c r="H175" s="1126"/>
      <c r="I175" s="1126"/>
      <c r="J175" s="1126"/>
      <c r="K175" s="1126"/>
      <c r="L175" s="1126"/>
      <c r="M175" s="1126"/>
      <c r="N175" s="1127" t="s">
        <v>251</v>
      </c>
      <c r="O175" s="1129"/>
    </row>
    <row r="176" spans="1:18">
      <c r="B176" s="1125"/>
      <c r="C176" s="1126"/>
      <c r="D176" s="1126"/>
      <c r="E176" s="1126"/>
      <c r="F176" s="1126"/>
      <c r="G176" s="1126"/>
      <c r="H176" s="1126"/>
      <c r="I176" s="1126"/>
      <c r="J176" s="1126"/>
      <c r="K176" s="1126"/>
      <c r="L176" s="1126"/>
      <c r="M176" s="1126"/>
      <c r="N176" s="1126"/>
      <c r="O176" s="1129"/>
    </row>
    <row r="177" spans="2:21" ht="15.5">
      <c r="B177" s="458"/>
      <c r="C177" s="1327" t="s">
        <v>302</v>
      </c>
      <c r="D177" s="1327" t="s">
        <v>303</v>
      </c>
      <c r="E177" s="1327" t="s">
        <v>30</v>
      </c>
      <c r="F177" s="1327" t="s">
        <v>588</v>
      </c>
      <c r="G177" s="1327" t="s">
        <v>132</v>
      </c>
      <c r="H177" s="1327" t="s">
        <v>133</v>
      </c>
      <c r="I177" s="1327" t="s">
        <v>134</v>
      </c>
      <c r="J177" s="1327" t="s">
        <v>135</v>
      </c>
      <c r="K177" s="1327" t="s">
        <v>136</v>
      </c>
      <c r="L177" s="1327" t="s">
        <v>137</v>
      </c>
      <c r="M177" s="1327" t="s">
        <v>138</v>
      </c>
      <c r="N177" s="1327" t="s">
        <v>139</v>
      </c>
      <c r="O177" s="1129"/>
    </row>
    <row r="178" spans="2:21" ht="15.5">
      <c r="B178" s="458"/>
      <c r="C178" s="1131" t="s">
        <v>250</v>
      </c>
      <c r="D178" s="1132" t="s">
        <v>450</v>
      </c>
      <c r="E178" s="1131" t="str">
        <f>INDEX(IPCC[Sector_description], MATCH(XIV.a.Emissions[IPCC Sector], IPCC[Sector_code], 0))</f>
        <v>Carbon capture</v>
      </c>
      <c r="F178" s="2768">
        <f>-F107</f>
        <v>0</v>
      </c>
      <c r="G178" s="2768">
        <f t="shared" ref="G178:N178" si="14">-G107</f>
        <v>0</v>
      </c>
      <c r="H178" s="2768">
        <f t="shared" si="14"/>
        <v>0</v>
      </c>
      <c r="I178" s="2768">
        <f t="shared" si="14"/>
        <v>0</v>
      </c>
      <c r="J178" s="2768">
        <f t="shared" si="14"/>
        <v>0</v>
      </c>
      <c r="K178" s="2768">
        <f t="shared" si="14"/>
        <v>0</v>
      </c>
      <c r="L178" s="2768">
        <f t="shared" si="14"/>
        <v>0</v>
      </c>
      <c r="M178" s="2768">
        <f t="shared" si="14"/>
        <v>0</v>
      </c>
      <c r="N178" s="2768">
        <f t="shared" si="14"/>
        <v>0</v>
      </c>
      <c r="O178" s="1129"/>
    </row>
    <row r="179" spans="2:21" ht="15.5">
      <c r="B179" s="458"/>
      <c r="C179" s="2436" t="s">
        <v>58</v>
      </c>
      <c r="D179" s="2436"/>
      <c r="E179" s="2436"/>
      <c r="F179" s="2437">
        <f>SUBTOTAL(109,XIV.a.Emissions[2013])</f>
        <v>0</v>
      </c>
      <c r="G179" s="2437">
        <f>SUBTOTAL(109,XIV.a.Emissions[2015])</f>
        <v>0</v>
      </c>
      <c r="H179" s="2437">
        <f>SUBTOTAL(109,XIV.a.Emissions[2020])</f>
        <v>0</v>
      </c>
      <c r="I179" s="2437">
        <f>SUBTOTAL(109,XIV.a.Emissions[2025])</f>
        <v>0</v>
      </c>
      <c r="J179" s="2437">
        <f>SUBTOTAL(109,XIV.a.Emissions[2030])</f>
        <v>0</v>
      </c>
      <c r="K179" s="2437">
        <f>SUBTOTAL(109,XIV.a.Emissions[2035])</f>
        <v>0</v>
      </c>
      <c r="L179" s="2437">
        <f>SUBTOTAL(109,XIV.a.Emissions[2040])</f>
        <v>0</v>
      </c>
      <c r="M179" s="2437">
        <f>SUBTOTAL(109,XIV.a.Emissions[2045])</f>
        <v>0</v>
      </c>
      <c r="N179" s="2437">
        <f>SUBTOTAL(109,XIV.a.Emissions[2050])</f>
        <v>0</v>
      </c>
      <c r="O179" s="1129"/>
    </row>
    <row r="180" spans="2:21" ht="15.5">
      <c r="B180" s="469"/>
      <c r="C180" s="1140"/>
      <c r="D180" s="1140"/>
      <c r="E180" s="1140"/>
      <c r="F180" s="1140"/>
      <c r="G180" s="1140"/>
      <c r="H180" s="1140"/>
      <c r="I180" s="1140"/>
      <c r="J180" s="1140"/>
      <c r="K180" s="1140"/>
      <c r="L180" s="1140"/>
      <c r="M180" s="1140"/>
      <c r="N180" s="1140"/>
      <c r="O180" s="465"/>
      <c r="R180" s="1143"/>
      <c r="S180" s="1144"/>
      <c r="T180" s="1143"/>
      <c r="U180" s="1143"/>
    </row>
    <row r="181" spans="2:21">
      <c r="S181" s="6"/>
    </row>
    <row r="182" spans="2:21" ht="15">
      <c r="B182" s="986" t="s">
        <v>310</v>
      </c>
      <c r="C182" s="987"/>
      <c r="D182" s="988"/>
      <c r="E182" s="988"/>
      <c r="F182" s="988"/>
      <c r="G182" s="988"/>
      <c r="H182" s="988"/>
      <c r="I182" s="988"/>
      <c r="J182" s="988"/>
      <c r="K182" s="988"/>
      <c r="L182" s="988"/>
      <c r="M182" s="988"/>
      <c r="N182" s="988"/>
      <c r="O182" s="989"/>
      <c r="S182" s="6"/>
    </row>
    <row r="183" spans="2:21">
      <c r="B183" s="990"/>
      <c r="C183" s="991"/>
      <c r="D183" s="991"/>
      <c r="E183" s="991"/>
      <c r="F183" s="991"/>
      <c r="G183" s="991"/>
      <c r="H183" s="991"/>
      <c r="I183" s="991"/>
      <c r="J183" s="991"/>
      <c r="K183" s="991"/>
      <c r="L183" s="991"/>
      <c r="M183" s="991"/>
      <c r="N183" s="991"/>
      <c r="O183" s="992"/>
      <c r="S183" s="6"/>
    </row>
    <row r="184" spans="2:21">
      <c r="B184" s="993"/>
      <c r="C184" s="479" t="s">
        <v>311</v>
      </c>
      <c r="D184" s="994"/>
      <c r="E184" s="995"/>
      <c r="F184" s="994"/>
      <c r="G184" s="994"/>
      <c r="H184" s="994"/>
      <c r="I184" s="994"/>
      <c r="J184" s="994"/>
      <c r="K184" s="994"/>
      <c r="L184" s="994"/>
      <c r="M184" s="994"/>
      <c r="N184" s="995"/>
      <c r="O184" s="996"/>
    </row>
    <row r="185" spans="2:21">
      <c r="B185" s="993"/>
      <c r="C185" s="994"/>
      <c r="D185" s="994"/>
      <c r="E185" s="994"/>
      <c r="F185" s="994"/>
      <c r="G185" s="994"/>
      <c r="H185" s="994"/>
      <c r="I185" s="994"/>
      <c r="J185" s="994"/>
      <c r="K185" s="994"/>
      <c r="L185" s="994"/>
      <c r="M185" s="994"/>
      <c r="N185" s="994"/>
      <c r="O185" s="996"/>
    </row>
    <row r="186" spans="2:21" ht="15.5">
      <c r="B186" s="483"/>
      <c r="C186" s="997" t="s">
        <v>28</v>
      </c>
      <c r="D186" s="997" t="s">
        <v>312</v>
      </c>
      <c r="E186" s="997" t="s">
        <v>30</v>
      </c>
      <c r="F186" s="997">
        <v>2013</v>
      </c>
      <c r="G186" s="997" t="s">
        <v>132</v>
      </c>
      <c r="H186" s="997" t="s">
        <v>133</v>
      </c>
      <c r="I186" s="997" t="s">
        <v>134</v>
      </c>
      <c r="J186" s="997" t="s">
        <v>135</v>
      </c>
      <c r="K186" s="997" t="s">
        <v>136</v>
      </c>
      <c r="L186" s="997" t="s">
        <v>137</v>
      </c>
      <c r="M186" s="997" t="s">
        <v>138</v>
      </c>
      <c r="N186" s="997" t="s">
        <v>139</v>
      </c>
      <c r="O186" s="996"/>
    </row>
    <row r="187" spans="2:21" ht="15.5">
      <c r="B187" s="483"/>
      <c r="C187" s="998" t="s">
        <v>868</v>
      </c>
      <c r="D187" s="485" t="s">
        <v>1236</v>
      </c>
      <c r="E187" s="485">
        <v>0</v>
      </c>
      <c r="F187" s="2408"/>
      <c r="G187" s="2408"/>
      <c r="H187" s="2408"/>
      <c r="I187" s="2408"/>
      <c r="J187" s="2408"/>
      <c r="K187" s="2408"/>
      <c r="L187" s="2408"/>
      <c r="M187" s="2408"/>
      <c r="N187" s="2408"/>
      <c r="O187" s="996"/>
    </row>
    <row r="188" spans="2:21" ht="15.5">
      <c r="B188" s="483"/>
      <c r="C188" s="998" t="s">
        <v>313</v>
      </c>
      <c r="D188" s="485" t="s">
        <v>314</v>
      </c>
      <c r="E188" s="485"/>
      <c r="F188" s="2408"/>
      <c r="G188" s="2408"/>
      <c r="H188" s="2408"/>
      <c r="I188" s="2408"/>
      <c r="J188" s="2408"/>
      <c r="K188" s="2408"/>
      <c r="L188" s="2408"/>
      <c r="M188" s="2408"/>
      <c r="N188" s="2408"/>
      <c r="O188" s="996"/>
    </row>
    <row r="189" spans="2:21" ht="15.5">
      <c r="B189" s="488"/>
      <c r="C189" s="1001"/>
      <c r="D189" s="1001"/>
      <c r="E189" s="1001"/>
      <c r="F189" s="1001"/>
      <c r="G189" s="1001"/>
      <c r="H189" s="1001"/>
      <c r="I189" s="1001"/>
      <c r="J189" s="1001"/>
      <c r="K189" s="1001"/>
      <c r="L189" s="1001"/>
      <c r="M189" s="1001"/>
      <c r="N189" s="1001"/>
      <c r="O189" s="1002"/>
      <c r="P189" s="39"/>
    </row>
    <row r="190" spans="2:21">
      <c r="P190" s="39"/>
    </row>
    <row r="191" spans="2:21" ht="15">
      <c r="B191" s="986" t="s">
        <v>2720</v>
      </c>
      <c r="C191" s="988"/>
      <c r="D191" s="988"/>
      <c r="E191" s="988"/>
      <c r="F191" s="988"/>
      <c r="G191" s="988"/>
      <c r="H191" s="988"/>
      <c r="I191" s="988"/>
      <c r="J191" s="988"/>
      <c r="K191" s="988"/>
      <c r="L191" s="988"/>
      <c r="M191" s="988"/>
      <c r="N191" s="988"/>
      <c r="O191" s="989"/>
      <c r="P191" s="39"/>
    </row>
    <row r="192" spans="2:21" hidden="1">
      <c r="B192" s="993"/>
      <c r="C192" s="994"/>
      <c r="D192" s="994"/>
      <c r="E192" s="994"/>
      <c r="F192" s="994"/>
      <c r="G192" s="994"/>
      <c r="H192" s="994"/>
      <c r="I192" s="994"/>
      <c r="J192" s="994"/>
      <c r="K192" s="994"/>
      <c r="L192" s="994"/>
      <c r="M192" s="994"/>
      <c r="N192" s="994"/>
      <c r="O192" s="996"/>
      <c r="P192" s="39"/>
    </row>
    <row r="193" spans="2:16" hidden="1">
      <c r="B193" s="993"/>
      <c r="C193" s="491" t="s">
        <v>751</v>
      </c>
      <c r="D193" s="1003"/>
      <c r="E193" s="1003"/>
      <c r="F193" s="1003"/>
      <c r="G193" s="1003"/>
      <c r="H193" s="1003"/>
      <c r="I193" s="1003"/>
      <c r="J193" s="1003"/>
      <c r="K193" s="1003"/>
      <c r="L193" s="1003"/>
      <c r="M193" s="1003"/>
      <c r="N193" s="1003"/>
      <c r="O193" s="996"/>
      <c r="P193" s="39"/>
    </row>
    <row r="194" spans="2:16" hidden="1">
      <c r="B194" s="993"/>
      <c r="C194" s="994" t="s">
        <v>2736</v>
      </c>
      <c r="D194" s="994"/>
      <c r="E194" s="994"/>
      <c r="F194" s="994"/>
      <c r="G194" s="994"/>
      <c r="H194" s="994"/>
      <c r="I194" s="994"/>
      <c r="J194" s="994"/>
      <c r="K194" s="994"/>
      <c r="L194" s="994"/>
      <c r="M194" s="994"/>
      <c r="N194" s="994"/>
      <c r="O194" s="996"/>
      <c r="P194" s="39"/>
    </row>
    <row r="195" spans="2:16" ht="15.5" hidden="1">
      <c r="B195" s="483"/>
      <c r="C195" s="997" t="s">
        <v>28</v>
      </c>
      <c r="D195" s="997" t="s">
        <v>29</v>
      </c>
      <c r="E195" s="997" t="s">
        <v>30</v>
      </c>
      <c r="F195" s="997">
        <v>2013</v>
      </c>
      <c r="G195" s="997" t="s">
        <v>132</v>
      </c>
      <c r="H195" s="997" t="s">
        <v>133</v>
      </c>
      <c r="I195" s="997" t="s">
        <v>134</v>
      </c>
      <c r="J195" s="997" t="s">
        <v>135</v>
      </c>
      <c r="K195" s="997" t="s">
        <v>136</v>
      </c>
      <c r="L195" s="997" t="s">
        <v>137</v>
      </c>
      <c r="M195" s="997" t="s">
        <v>138</v>
      </c>
      <c r="N195" s="997" t="s">
        <v>139</v>
      </c>
      <c r="O195" s="1141"/>
      <c r="P195" s="39"/>
    </row>
    <row r="196" spans="2:16" ht="15.5" hidden="1">
      <c r="B196" s="483"/>
      <c r="C196" s="998" t="s">
        <v>321</v>
      </c>
      <c r="D196" s="485" t="s">
        <v>322</v>
      </c>
      <c r="E196" s="485"/>
      <c r="F196" s="3424">
        <v>0</v>
      </c>
      <c r="G196" s="2410">
        <v>0</v>
      </c>
      <c r="H196" s="2410">
        <v>0</v>
      </c>
      <c r="I196" s="2410">
        <v>0</v>
      </c>
      <c r="J196" s="2410">
        <v>0</v>
      </c>
      <c r="K196" s="2410">
        <v>0</v>
      </c>
      <c r="L196" s="2410">
        <v>0</v>
      </c>
      <c r="M196" s="2410">
        <v>0</v>
      </c>
      <c r="N196" s="2410">
        <v>0</v>
      </c>
      <c r="O196" s="1141"/>
      <c r="P196" s="39"/>
    </row>
    <row r="197" spans="2:16" ht="15.5" hidden="1">
      <c r="B197" s="483"/>
      <c r="C197" s="998" t="s">
        <v>328</v>
      </c>
      <c r="D197" s="485" t="s">
        <v>329</v>
      </c>
      <c r="E197" s="485"/>
      <c r="F197" s="3424">
        <v>0</v>
      </c>
      <c r="G197" s="2410">
        <v>0</v>
      </c>
      <c r="H197" s="2410">
        <v>0</v>
      </c>
      <c r="I197" s="2410">
        <v>0</v>
      </c>
      <c r="J197" s="2410">
        <v>0</v>
      </c>
      <c r="K197" s="2410">
        <v>0</v>
      </c>
      <c r="L197" s="2410">
        <v>0</v>
      </c>
      <c r="M197" s="2410">
        <v>0</v>
      </c>
      <c r="N197" s="2410">
        <v>0</v>
      </c>
      <c r="O197" s="1141"/>
      <c r="P197" s="39"/>
    </row>
    <row r="198" spans="2:16" ht="15.5" hidden="1">
      <c r="B198" s="483"/>
      <c r="C198" s="998" t="s">
        <v>323</v>
      </c>
      <c r="D198" s="485" t="s">
        <v>324</v>
      </c>
      <c r="E198" s="485"/>
      <c r="F198" s="3424">
        <v>0</v>
      </c>
      <c r="G198" s="3424">
        <v>0</v>
      </c>
      <c r="H198" s="3424">
        <v>0</v>
      </c>
      <c r="I198" s="3424">
        <v>0</v>
      </c>
      <c r="J198" s="3424">
        <v>0</v>
      </c>
      <c r="K198" s="3424">
        <v>0</v>
      </c>
      <c r="L198" s="3424">
        <v>0</v>
      </c>
      <c r="M198" s="3424">
        <v>0</v>
      </c>
      <c r="N198" s="3424">
        <v>0</v>
      </c>
      <c r="O198" s="1141"/>
      <c r="P198" s="39"/>
    </row>
    <row r="199" spans="2:16" ht="15.5" hidden="1">
      <c r="B199" s="483"/>
      <c r="C199" s="998" t="s">
        <v>330</v>
      </c>
      <c r="D199" s="485" t="s">
        <v>331</v>
      </c>
      <c r="E199" s="485"/>
      <c r="F199" s="3424">
        <v>0</v>
      </c>
      <c r="G199" s="3424">
        <v>0</v>
      </c>
      <c r="H199" s="3424">
        <v>0</v>
      </c>
      <c r="I199" s="3424">
        <v>0</v>
      </c>
      <c r="J199" s="3424">
        <v>0</v>
      </c>
      <c r="K199" s="3424">
        <v>0</v>
      </c>
      <c r="L199" s="3424">
        <v>0</v>
      </c>
      <c r="M199" s="3424">
        <v>0</v>
      </c>
      <c r="N199" s="3424">
        <v>0</v>
      </c>
      <c r="O199" s="1141"/>
      <c r="P199" s="39"/>
    </row>
    <row r="200" spans="2:16" hidden="1">
      <c r="B200" s="494"/>
      <c r="C200" s="998" t="s">
        <v>325</v>
      </c>
      <c r="D200" s="485" t="s">
        <v>326</v>
      </c>
      <c r="E200" s="485"/>
      <c r="F200" s="3424">
        <v>0</v>
      </c>
      <c r="G200" s="2410">
        <v>0</v>
      </c>
      <c r="H200" s="2410">
        <v>0</v>
      </c>
      <c r="I200" s="2410">
        <v>0</v>
      </c>
      <c r="J200" s="2410">
        <v>0</v>
      </c>
      <c r="K200" s="2410">
        <v>0</v>
      </c>
      <c r="L200" s="2410">
        <v>0</v>
      </c>
      <c r="M200" s="2410">
        <v>0</v>
      </c>
      <c r="N200" s="2410">
        <v>0</v>
      </c>
      <c r="O200" s="1142"/>
      <c r="P200" s="39"/>
    </row>
    <row r="201" spans="2:16" hidden="1">
      <c r="B201" s="494"/>
      <c r="C201" s="998" t="s">
        <v>332</v>
      </c>
      <c r="D201" s="485" t="s">
        <v>333</v>
      </c>
      <c r="E201" s="485"/>
      <c r="F201" s="3424">
        <v>0</v>
      </c>
      <c r="G201" s="2410">
        <v>0</v>
      </c>
      <c r="H201" s="2410">
        <v>0</v>
      </c>
      <c r="I201" s="2410">
        <v>0</v>
      </c>
      <c r="J201" s="2410">
        <v>0</v>
      </c>
      <c r="K201" s="2410">
        <v>0</v>
      </c>
      <c r="L201" s="2410">
        <v>0</v>
      </c>
      <c r="M201" s="2410">
        <v>0</v>
      </c>
      <c r="N201" s="2410">
        <v>0</v>
      </c>
      <c r="O201" s="1142"/>
    </row>
    <row r="202" spans="2:16" hidden="1">
      <c r="B202" s="1005"/>
      <c r="C202" s="1001"/>
      <c r="D202" s="1001"/>
      <c r="E202" s="1001"/>
      <c r="F202" s="1001"/>
      <c r="G202" s="1001"/>
      <c r="H202" s="1001"/>
      <c r="I202" s="1001"/>
      <c r="J202" s="1001"/>
      <c r="K202" s="1001"/>
      <c r="L202" s="1001"/>
      <c r="M202" s="1001"/>
      <c r="N202" s="1001"/>
      <c r="O202" s="1006"/>
    </row>
    <row r="726" spans="6:14">
      <c r="F726" s="3726">
        <v>0</v>
      </c>
      <c r="G726" s="3726">
        <v>0</v>
      </c>
      <c r="H726" s="3726">
        <v>0</v>
      </c>
      <c r="I726" s="3726">
        <v>0</v>
      </c>
      <c r="J726" s="3726">
        <v>0</v>
      </c>
      <c r="K726" s="3726">
        <v>0</v>
      </c>
      <c r="L726" s="3726">
        <v>0</v>
      </c>
      <c r="M726" s="3726">
        <v>0</v>
      </c>
      <c r="N726" s="3726">
        <v>0</v>
      </c>
    </row>
    <row r="727" spans="6:14">
      <c r="F727" s="3726">
        <v>0</v>
      </c>
      <c r="G727" s="3726">
        <v>0</v>
      </c>
      <c r="H727" s="3726">
        <v>0</v>
      </c>
      <c r="I727" s="3726">
        <v>0</v>
      </c>
      <c r="J727" s="3726">
        <v>0</v>
      </c>
      <c r="K727" s="3726">
        <v>0</v>
      </c>
      <c r="L727" s="3726">
        <v>0</v>
      </c>
      <c r="M727" s="3726">
        <v>0</v>
      </c>
      <c r="N727" s="3726">
        <v>0</v>
      </c>
    </row>
    <row r="728" spans="6:14">
      <c r="F728" s="3726">
        <v>0</v>
      </c>
      <c r="G728" s="3726">
        <v>0</v>
      </c>
      <c r="H728" s="3726">
        <v>0</v>
      </c>
      <c r="I728" s="3726">
        <v>0</v>
      </c>
      <c r="J728" s="3726">
        <v>0</v>
      </c>
      <c r="K728" s="3726">
        <v>0</v>
      </c>
      <c r="L728" s="3726">
        <v>0</v>
      </c>
      <c r="M728" s="3726">
        <v>0</v>
      </c>
      <c r="N728" s="3726">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9"/>
  </sheetPr>
  <dimension ref="A1:W732"/>
  <sheetViews>
    <sheetView showGridLines="0" zoomScale="80" zoomScaleNormal="80" workbookViewId="0">
      <selection activeCell="D71" sqref="D71"/>
    </sheetView>
  </sheetViews>
  <sheetFormatPr defaultColWidth="8.81640625" defaultRowHeight="14.5"/>
  <cols>
    <col min="1" max="1" width="7.7265625" style="3853" customWidth="1"/>
    <col min="2" max="2" width="5.81640625" style="3853" customWidth="1"/>
    <col min="3" max="3" width="20.453125" style="3853" customWidth="1"/>
    <col min="4" max="4" width="30.7265625" style="3853" customWidth="1"/>
    <col min="5" max="5" width="20.7265625" style="3853" customWidth="1"/>
    <col min="6" max="15" width="17.7265625" style="3853" customWidth="1"/>
    <col min="16" max="16" width="2" style="3853" customWidth="1"/>
    <col min="17" max="17" width="10.81640625" style="3853" customWidth="1"/>
    <col min="18" max="18" width="16" style="3853" customWidth="1"/>
    <col min="19" max="19" width="22.453125" style="3853" customWidth="1"/>
    <col min="20" max="20" width="8.81640625" style="3853"/>
    <col min="21" max="21" width="12.26953125" style="3853" customWidth="1"/>
    <col min="22" max="22" width="11.81640625" style="3853" customWidth="1"/>
    <col min="23" max="16384" width="8.81640625" style="3853"/>
  </cols>
  <sheetData>
    <row r="1" spans="1:15" ht="20">
      <c r="A1" s="854" t="s">
        <v>509</v>
      </c>
      <c r="B1" s="854" t="s">
        <v>510</v>
      </c>
      <c r="C1" s="854"/>
    </row>
    <row r="2" spans="1:15" s="6" customFormat="1" ht="15">
      <c r="A2" s="855" t="s">
        <v>505</v>
      </c>
      <c r="B2" s="855" t="s">
        <v>506</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3098</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428</v>
      </c>
      <c r="D9" s="17" t="str">
        <f>INDEX(Vectors[Description], MATCH(XV.a.Inputs[Vector], Vectors[Code], 0))</f>
        <v>Oil reserves</v>
      </c>
      <c r="E9" s="17"/>
      <c r="F9" s="2769">
        <f ca="1">INDEX(INDIRECT("'"&amp;XV.a.Inputs[#Headers]&amp;"'!Year.NetBalance"), MATCH(XV.a.Inputs[Vector], INDIRECT("'"&amp;XV.a.Inputs[#Headers]&amp;"'!Year.Vectors"), 0))</f>
        <v>0</v>
      </c>
      <c r="G9" s="2769">
        <f ca="1">INDEX(INDIRECT("'"&amp;XV.a.Inputs[#Headers]&amp;"'!Year.NetBalance"), MATCH(XV.a.Inputs[Vector], INDIRECT("'"&amp;XV.a.Inputs[#Headers]&amp;"'!Year.Vectors"), 0))</f>
        <v>0</v>
      </c>
      <c r="H9" s="2769">
        <f ca="1">INDEX(INDIRECT("'"&amp;XV.a.Inputs[#Headers]&amp;"'!Year.NetBalance"), MATCH(XV.a.Inputs[Vector], INDIRECT("'"&amp;XV.a.Inputs[#Headers]&amp;"'!Year.Vectors"), 0))</f>
        <v>0</v>
      </c>
      <c r="I9" s="2769">
        <f ca="1">INDEX(INDIRECT("'"&amp;XV.a.Inputs[#Headers]&amp;"'!Year.NetBalance"), MATCH(XV.a.Inputs[Vector], INDIRECT("'"&amp;XV.a.Inputs[#Headers]&amp;"'!Year.Vectors"), 0))</f>
        <v>0</v>
      </c>
      <c r="J9" s="2769">
        <f ca="1">INDEX(INDIRECT("'"&amp;XV.a.Inputs[#Headers]&amp;"'!Year.NetBalance"), MATCH(XV.a.Inputs[Vector], INDIRECT("'"&amp;XV.a.Inputs[#Headers]&amp;"'!Year.Vectors"), 0))</f>
        <v>0</v>
      </c>
      <c r="K9" s="2769">
        <f ca="1">INDEX(INDIRECT("'"&amp;XV.a.Inputs[#Headers]&amp;"'!Year.NetBalance"), MATCH(XV.a.Inputs[Vector], INDIRECT("'"&amp;XV.a.Inputs[#Headers]&amp;"'!Year.Vectors"), 0))</f>
        <v>0</v>
      </c>
      <c r="L9" s="2769">
        <f ca="1">INDEX(INDIRECT("'"&amp;XV.a.Inputs[#Headers]&amp;"'!Year.NetBalance"), MATCH(XV.a.Inputs[Vector], INDIRECT("'"&amp;XV.a.Inputs[#Headers]&amp;"'!Year.Vectors"), 0))</f>
        <v>0</v>
      </c>
      <c r="M9" s="2769">
        <f ca="1">INDEX(INDIRECT("'"&amp;XV.a.Inputs[#Headers]&amp;"'!Year.NetBalance"), MATCH(XV.a.Inputs[Vector], INDIRECT("'"&amp;XV.a.Inputs[#Headers]&amp;"'!Year.Vectors"), 0))</f>
        <v>0</v>
      </c>
      <c r="N9" s="2769">
        <f ca="1">INDEX(INDIRECT("'"&amp;XV.a.Inputs[#Headers]&amp;"'!Year.NetBalance"), MATCH(XV.a.Inputs[Vector], INDIRECT("'"&amp;XV.a.Inputs[#Headers]&amp;"'!Year.Vectors"), 0))</f>
        <v>0</v>
      </c>
      <c r="O9" s="866"/>
    </row>
    <row r="10" spans="1:15">
      <c r="B10" s="1243"/>
      <c r="C10" s="860"/>
      <c r="D10" s="860"/>
      <c r="E10" s="860"/>
      <c r="F10" s="860"/>
      <c r="G10" s="860"/>
      <c r="H10" s="860"/>
      <c r="I10" s="860"/>
      <c r="J10" s="860"/>
      <c r="K10" s="860"/>
      <c r="L10" s="860"/>
      <c r="M10" s="860"/>
      <c r="N10" s="860"/>
      <c r="O10" s="861"/>
    </row>
    <row r="11" spans="1:15" s="39" customFormat="1">
      <c r="B11" s="2928"/>
      <c r="C11" s="2929"/>
      <c r="D11" s="2929"/>
      <c r="E11" s="2929"/>
      <c r="F11" s="2929"/>
      <c r="G11" s="2929"/>
      <c r="H11" s="2929"/>
      <c r="I11" s="2929"/>
      <c r="J11" s="2929"/>
      <c r="K11" s="2929"/>
      <c r="L11" s="2929"/>
      <c r="M11" s="2929"/>
      <c r="N11" s="2929"/>
      <c r="O11" s="2930"/>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3099</v>
      </c>
      <c r="D14" s="67"/>
      <c r="E14" s="51"/>
      <c r="F14" s="67"/>
      <c r="G14" s="67"/>
      <c r="H14" s="67"/>
      <c r="I14" s="67"/>
      <c r="J14" s="67"/>
      <c r="K14" s="67"/>
      <c r="L14" s="67"/>
      <c r="M14" s="67"/>
      <c r="N14" s="51" t="str">
        <f>Preferences.EnergyUnits</f>
        <v>TWh</v>
      </c>
      <c r="O14" s="876"/>
    </row>
    <row r="15" spans="1:15">
      <c r="B15" s="105"/>
      <c r="C15" s="67"/>
      <c r="D15" s="67"/>
      <c r="E15" s="67"/>
      <c r="F15" s="67"/>
      <c r="G15" s="67"/>
      <c r="H15" s="67"/>
      <c r="I15" s="67"/>
      <c r="J15" s="67"/>
      <c r="K15" s="67"/>
      <c r="L15" s="67"/>
      <c r="M15" s="67"/>
      <c r="N15" s="67"/>
      <c r="O15" s="876"/>
    </row>
    <row r="16" spans="1:15" ht="15.5">
      <c r="B16" s="55"/>
      <c r="C16" s="878" t="s">
        <v>28</v>
      </c>
      <c r="D16" s="878" t="s">
        <v>29</v>
      </c>
      <c r="E16" s="878" t="s">
        <v>30</v>
      </c>
      <c r="F16" s="87">
        <v>2013</v>
      </c>
      <c r="G16" s="87">
        <v>2015</v>
      </c>
      <c r="H16" s="87">
        <v>2020</v>
      </c>
      <c r="I16" s="87">
        <v>2025</v>
      </c>
      <c r="J16" s="87">
        <v>2030</v>
      </c>
      <c r="K16" s="87">
        <v>2035</v>
      </c>
      <c r="L16" s="87">
        <v>2040</v>
      </c>
      <c r="M16" s="87">
        <v>2045</v>
      </c>
      <c r="N16" s="87">
        <v>2050</v>
      </c>
      <c r="O16" s="876"/>
    </row>
    <row r="17" spans="2:15" ht="15.5">
      <c r="B17" s="55"/>
      <c r="C17" s="901" t="s">
        <v>417</v>
      </c>
      <c r="D17" s="901" t="s">
        <v>368</v>
      </c>
      <c r="E17" s="901" t="s">
        <v>64</v>
      </c>
      <c r="F17" s="2861">
        <f>'Irl. Energy Balance 2013 (TWh)'!M3*Unit.TWh</f>
        <v>37.50371883684231</v>
      </c>
      <c r="G17" s="2861">
        <f>$F$17</f>
        <v>37.50371883684231</v>
      </c>
      <c r="H17" s="2861">
        <f t="shared" ref="H17:N17" si="0">$F$17</f>
        <v>37.50371883684231</v>
      </c>
      <c r="I17" s="2861">
        <f t="shared" si="0"/>
        <v>37.50371883684231</v>
      </c>
      <c r="J17" s="2861">
        <f t="shared" si="0"/>
        <v>37.50371883684231</v>
      </c>
      <c r="K17" s="2861">
        <f t="shared" si="0"/>
        <v>37.50371883684231</v>
      </c>
      <c r="L17" s="2861">
        <f t="shared" si="0"/>
        <v>37.50371883684231</v>
      </c>
      <c r="M17" s="2861">
        <f t="shared" si="0"/>
        <v>37.50371883684231</v>
      </c>
      <c r="N17" s="2861">
        <f t="shared" si="0"/>
        <v>37.50371883684231</v>
      </c>
      <c r="O17" s="876"/>
    </row>
    <row r="18" spans="2:15">
      <c r="B18" s="105"/>
      <c r="C18" s="67"/>
      <c r="D18" s="67"/>
      <c r="E18" s="67"/>
      <c r="F18" s="67"/>
      <c r="G18" s="67"/>
      <c r="H18" s="67"/>
      <c r="I18" s="67"/>
      <c r="J18" s="67"/>
      <c r="K18" s="67"/>
      <c r="L18" s="67"/>
      <c r="M18" s="67"/>
      <c r="N18" s="67"/>
      <c r="O18" s="876"/>
    </row>
    <row r="19" spans="2:15">
      <c r="B19" s="105"/>
      <c r="C19" s="49" t="s">
        <v>3100</v>
      </c>
      <c r="D19" s="67"/>
      <c r="E19" s="51"/>
      <c r="F19" s="51" t="str">
        <f>Preferences.EnergyUnits</f>
        <v>TWh</v>
      </c>
      <c r="G19" s="67"/>
      <c r="H19" s="67"/>
      <c r="I19" s="67"/>
      <c r="J19" s="67"/>
      <c r="K19" s="67"/>
      <c r="L19" s="67"/>
      <c r="M19" s="67"/>
      <c r="N19" s="51"/>
      <c r="O19" s="67"/>
    </row>
    <row r="20" spans="2:15">
      <c r="B20" s="105"/>
      <c r="C20" s="67"/>
      <c r="D20" s="67"/>
      <c r="E20" s="67"/>
      <c r="F20" s="67"/>
      <c r="G20" s="67"/>
      <c r="H20" s="67"/>
      <c r="I20" s="67"/>
      <c r="J20" s="67"/>
      <c r="K20" s="67"/>
      <c r="L20" s="67"/>
      <c r="M20" s="67"/>
      <c r="N20" s="67"/>
      <c r="O20" s="67"/>
    </row>
    <row r="21" spans="2:15" ht="15.5">
      <c r="B21" s="55"/>
      <c r="C21" s="878" t="s">
        <v>28</v>
      </c>
      <c r="D21" s="878" t="s">
        <v>29</v>
      </c>
      <c r="E21" s="878" t="s">
        <v>30</v>
      </c>
      <c r="F21" s="87">
        <v>2013</v>
      </c>
      <c r="G21" s="911"/>
      <c r="H21" s="911"/>
      <c r="I21" s="911"/>
      <c r="J21" s="911"/>
      <c r="K21" s="911"/>
      <c r="L21" s="911"/>
      <c r="M21" s="911"/>
      <c r="N21" s="911"/>
      <c r="O21" s="67"/>
    </row>
    <row r="22" spans="2:15" ht="15.5">
      <c r="B22" s="55"/>
      <c r="C22" s="901" t="s">
        <v>417</v>
      </c>
      <c r="D22" s="901" t="s">
        <v>368</v>
      </c>
      <c r="E22" s="901" t="s">
        <v>64</v>
      </c>
      <c r="F22" s="2861">
        <f>'Irl. Energy Balance 2013 (TWh)'!M4*Unit.TWh</f>
        <v>2.6430624261587581</v>
      </c>
      <c r="G22" s="2395"/>
      <c r="H22" s="2395"/>
      <c r="I22" s="2395"/>
      <c r="J22" s="2395"/>
      <c r="K22" s="2395"/>
      <c r="L22" s="2395"/>
      <c r="M22" s="2395"/>
      <c r="N22" s="2395"/>
      <c r="O22" s="67"/>
    </row>
    <row r="23" spans="2:15">
      <c r="B23" s="105"/>
      <c r="C23" s="67"/>
      <c r="D23" s="67"/>
      <c r="E23" s="67"/>
      <c r="F23" s="67"/>
      <c r="G23" s="67"/>
      <c r="H23" s="67"/>
      <c r="I23" s="67"/>
      <c r="J23" s="67"/>
      <c r="K23" s="67"/>
      <c r="L23" s="67"/>
      <c r="M23" s="67"/>
      <c r="N23" s="67"/>
      <c r="O23" s="67"/>
    </row>
    <row r="24" spans="2:15">
      <c r="B24" s="105"/>
      <c r="C24" s="49" t="s">
        <v>3101</v>
      </c>
      <c r="D24" s="67"/>
      <c r="E24" s="51"/>
      <c r="F24" s="67"/>
      <c r="G24" s="67"/>
      <c r="H24" s="67"/>
      <c r="I24" s="67"/>
      <c r="J24" s="67"/>
      <c r="K24" s="67"/>
      <c r="L24" s="67"/>
      <c r="M24" s="67"/>
      <c r="N24" s="51" t="s">
        <v>3102</v>
      </c>
      <c r="O24" s="876"/>
    </row>
    <row r="25" spans="2:15">
      <c r="B25" s="105"/>
      <c r="C25" s="67"/>
      <c r="D25" s="67"/>
      <c r="E25" s="67"/>
      <c r="F25" s="67"/>
      <c r="G25" s="67"/>
      <c r="H25" s="67"/>
      <c r="I25" s="67"/>
      <c r="J25" s="67"/>
      <c r="K25" s="67"/>
      <c r="L25" s="67"/>
      <c r="M25" s="67"/>
      <c r="N25" s="67"/>
      <c r="O25" s="876"/>
    </row>
    <row r="26" spans="2:15" ht="15.5">
      <c r="B26" s="55"/>
      <c r="C26" s="878" t="s">
        <v>28</v>
      </c>
      <c r="D26" s="878" t="s">
        <v>29</v>
      </c>
      <c r="E26" s="878" t="s">
        <v>30</v>
      </c>
      <c r="F26" s="87">
        <v>2013</v>
      </c>
      <c r="G26" s="87">
        <v>2015</v>
      </c>
      <c r="H26" s="87">
        <v>2020</v>
      </c>
      <c r="I26" s="87">
        <v>2025</v>
      </c>
      <c r="J26" s="87">
        <v>2030</v>
      </c>
      <c r="K26" s="87">
        <v>2035</v>
      </c>
      <c r="L26" s="87">
        <v>2040</v>
      </c>
      <c r="M26" s="87">
        <v>2045</v>
      </c>
      <c r="N26" s="87">
        <v>2050</v>
      </c>
      <c r="O26" s="876"/>
    </row>
    <row r="27" spans="2:15" s="6" customFormat="1" ht="15.5">
      <c r="B27" s="966"/>
      <c r="C27" s="901" t="s">
        <v>103</v>
      </c>
      <c r="D27" s="901" t="s">
        <v>93</v>
      </c>
      <c r="E27" s="901"/>
      <c r="F27" s="3875">
        <v>0</v>
      </c>
      <c r="G27" s="3875">
        <v>0</v>
      </c>
      <c r="H27" s="3875">
        <v>0</v>
      </c>
      <c r="I27" s="3875">
        <v>0</v>
      </c>
      <c r="J27" s="3875">
        <v>0</v>
      </c>
      <c r="K27" s="3875">
        <v>0</v>
      </c>
      <c r="L27" s="3875">
        <v>0</v>
      </c>
      <c r="M27" s="3875">
        <v>0</v>
      </c>
      <c r="N27" s="3875">
        <v>0</v>
      </c>
      <c r="O27" s="884"/>
    </row>
    <row r="28" spans="2:15">
      <c r="B28" s="45"/>
      <c r="C28" s="67"/>
      <c r="D28" s="195"/>
      <c r="E28" s="67"/>
      <c r="F28" s="67"/>
      <c r="G28" s="67"/>
      <c r="H28" s="67"/>
      <c r="I28" s="67"/>
      <c r="J28" s="67"/>
      <c r="K28" s="67"/>
      <c r="L28" s="67"/>
      <c r="M28" s="67"/>
      <c r="N28" s="67"/>
      <c r="O28" s="876"/>
    </row>
    <row r="29" spans="2:15">
      <c r="B29" s="45"/>
      <c r="C29" s="49" t="s">
        <v>3103</v>
      </c>
      <c r="D29" s="67"/>
      <c r="E29" s="51"/>
      <c r="F29" s="67"/>
      <c r="G29" s="67"/>
      <c r="H29" s="67"/>
      <c r="I29" s="67"/>
      <c r="J29" s="67"/>
      <c r="K29" s="67"/>
      <c r="L29" s="67"/>
      <c r="M29" s="67"/>
      <c r="N29" s="51" t="s">
        <v>3104</v>
      </c>
      <c r="O29" s="876"/>
    </row>
    <row r="30" spans="2:15">
      <c r="B30" s="45"/>
      <c r="C30" s="67"/>
      <c r="D30" s="67"/>
      <c r="E30" s="67"/>
      <c r="F30" s="67"/>
      <c r="G30" s="67"/>
      <c r="H30" s="67"/>
      <c r="I30" s="67"/>
      <c r="J30" s="67"/>
      <c r="K30" s="67"/>
      <c r="L30" s="67"/>
      <c r="M30" s="67"/>
      <c r="N30" s="67"/>
      <c r="O30" s="876"/>
    </row>
    <row r="31" spans="2:15" ht="15.5">
      <c r="B31" s="55"/>
      <c r="C31" s="878" t="s">
        <v>28</v>
      </c>
      <c r="D31" s="878" t="s">
        <v>29</v>
      </c>
      <c r="E31" s="878" t="s">
        <v>30</v>
      </c>
      <c r="F31" s="87">
        <v>2013</v>
      </c>
      <c r="G31" s="87">
        <v>2015</v>
      </c>
      <c r="H31" s="87">
        <v>2020</v>
      </c>
      <c r="I31" s="87">
        <v>2025</v>
      </c>
      <c r="J31" s="87">
        <v>2030</v>
      </c>
      <c r="K31" s="87">
        <v>2035</v>
      </c>
      <c r="L31" s="87">
        <v>2040</v>
      </c>
      <c r="M31" s="87">
        <v>2045</v>
      </c>
      <c r="N31" s="87">
        <v>2050</v>
      </c>
      <c r="O31" s="876"/>
    </row>
    <row r="32" spans="2:15" ht="15.5">
      <c r="B32" s="55"/>
      <c r="C32" s="915" t="s">
        <v>95</v>
      </c>
      <c r="D32" s="915" t="s">
        <v>85</v>
      </c>
      <c r="E32" s="915"/>
      <c r="F32" s="2677">
        <v>6.4826118636814581E-3</v>
      </c>
      <c r="G32" s="2677">
        <v>6.4826118636814581E-3</v>
      </c>
      <c r="H32" s="2677">
        <v>6.4826118636814581E-3</v>
      </c>
      <c r="I32" s="2677">
        <v>6.4826118636814581E-3</v>
      </c>
      <c r="J32" s="2677">
        <v>6.4826118636814581E-3</v>
      </c>
      <c r="K32" s="2677">
        <v>6.4826118636814581E-3</v>
      </c>
      <c r="L32" s="2677">
        <v>6.4826118636814581E-3</v>
      </c>
      <c r="M32" s="2677">
        <v>6.4826118636814581E-3</v>
      </c>
      <c r="N32" s="2677">
        <v>6.4826118636814581E-3</v>
      </c>
      <c r="O32" s="876"/>
    </row>
    <row r="33" spans="2:16" ht="15.5">
      <c r="B33" s="55"/>
      <c r="C33" s="915" t="s">
        <v>98</v>
      </c>
      <c r="D33" s="915" t="s">
        <v>88</v>
      </c>
      <c r="E33" s="915"/>
      <c r="F33" s="2677">
        <v>5.3133991275655136E-2</v>
      </c>
      <c r="G33" s="2677">
        <v>5.3133991275655136E-2</v>
      </c>
      <c r="H33" s="2677">
        <v>5.3133991275655136E-2</v>
      </c>
      <c r="I33" s="2677">
        <v>5.3133991275655136E-2</v>
      </c>
      <c r="J33" s="2677">
        <v>5.3133991275655136E-2</v>
      </c>
      <c r="K33" s="2677">
        <v>5.3133991275655136E-2</v>
      </c>
      <c r="L33" s="2677">
        <v>5.3133991275655136E-2</v>
      </c>
      <c r="M33" s="2677">
        <v>5.3133991275655136E-2</v>
      </c>
      <c r="N33" s="2677">
        <v>5.3133991275655136E-2</v>
      </c>
      <c r="O33" s="876"/>
    </row>
    <row r="34" spans="2:16" ht="15.5">
      <c r="B34" s="55"/>
      <c r="C34" s="915" t="s">
        <v>99</v>
      </c>
      <c r="D34" s="915" t="s">
        <v>89</v>
      </c>
      <c r="E34" s="915"/>
      <c r="F34" s="2677">
        <v>2.3637521989818468E-3</v>
      </c>
      <c r="G34" s="2677">
        <v>2.3637521989818468E-3</v>
      </c>
      <c r="H34" s="2677">
        <v>2.3637521989818468E-3</v>
      </c>
      <c r="I34" s="2677">
        <v>2.3637521989818468E-3</v>
      </c>
      <c r="J34" s="2677">
        <v>2.3637521989818468E-3</v>
      </c>
      <c r="K34" s="2677">
        <v>2.3637521989818468E-3</v>
      </c>
      <c r="L34" s="2677">
        <v>2.3637521989818468E-3</v>
      </c>
      <c r="M34" s="2677">
        <v>2.3637521989818468E-3</v>
      </c>
      <c r="N34" s="2677">
        <v>2.3637521989818468E-3</v>
      </c>
      <c r="O34" s="876"/>
    </row>
    <row r="35" spans="2:16" ht="15.5">
      <c r="B35" s="55"/>
      <c r="C35" s="887" t="s">
        <v>100</v>
      </c>
      <c r="D35" s="888" t="s">
        <v>90</v>
      </c>
      <c r="E35" s="888"/>
      <c r="F35" s="2649">
        <v>7.6125932374258029E-4</v>
      </c>
      <c r="G35" s="2649">
        <v>7.6125932374258029E-4</v>
      </c>
      <c r="H35" s="2649">
        <v>7.6125932374258029E-4</v>
      </c>
      <c r="I35" s="2649">
        <v>7.6125932374258029E-4</v>
      </c>
      <c r="J35" s="2649">
        <v>7.6125932374258029E-4</v>
      </c>
      <c r="K35" s="2649">
        <v>7.6125932374258029E-4</v>
      </c>
      <c r="L35" s="2649">
        <v>7.6125932374258029E-4</v>
      </c>
      <c r="M35" s="2649">
        <v>7.6125932374258029E-4</v>
      </c>
      <c r="N35" s="2649">
        <v>7.6125932374258029E-4</v>
      </c>
      <c r="O35" s="876"/>
    </row>
    <row r="36" spans="2:16">
      <c r="B36" s="45"/>
      <c r="C36" s="67"/>
      <c r="D36" s="195"/>
      <c r="E36" s="67"/>
      <c r="F36" s="67"/>
      <c r="G36" s="67"/>
      <c r="H36" s="67"/>
      <c r="I36" s="67"/>
      <c r="J36" s="67"/>
      <c r="K36" s="67"/>
      <c r="L36" s="67"/>
      <c r="M36" s="67"/>
      <c r="N36" s="67"/>
      <c r="O36" s="67"/>
      <c r="P36"/>
    </row>
    <row r="37" spans="2:16" ht="15.5">
      <c r="B37" s="55"/>
      <c r="C37" s="49" t="s">
        <v>716</v>
      </c>
      <c r="D37" s="67"/>
      <c r="E37" s="67"/>
      <c r="F37" s="67"/>
      <c r="G37" s="51"/>
      <c r="H37" s="67"/>
      <c r="I37" s="67"/>
      <c r="J37" s="67"/>
      <c r="K37" s="67"/>
      <c r="L37" s="67"/>
      <c r="M37" s="67"/>
      <c r="N37" s="67"/>
      <c r="O37" s="67"/>
      <c r="P37"/>
    </row>
    <row r="38" spans="2:16" ht="15.5">
      <c r="B38" s="55"/>
      <c r="C38" s="67"/>
      <c r="D38" s="67"/>
      <c r="E38" s="67"/>
      <c r="F38" s="67"/>
      <c r="G38" s="67"/>
      <c r="H38" s="67"/>
      <c r="I38" s="67"/>
      <c r="J38" s="67"/>
      <c r="K38" s="67"/>
      <c r="L38" s="67"/>
      <c r="M38" s="67"/>
      <c r="N38" s="67"/>
      <c r="O38" s="67"/>
      <c r="P38"/>
    </row>
    <row r="39" spans="2:16" ht="15.5">
      <c r="B39" s="55"/>
      <c r="C39" s="878"/>
      <c r="D39" s="878"/>
      <c r="E39" s="878"/>
      <c r="F39" s="87" t="s">
        <v>1565</v>
      </c>
      <c r="G39" s="87" t="s">
        <v>27</v>
      </c>
      <c r="H39" s="87" t="s">
        <v>277</v>
      </c>
      <c r="I39" s="67"/>
      <c r="J39" s="911"/>
      <c r="K39" s="911"/>
      <c r="L39" s="911"/>
      <c r="M39" s="911"/>
      <c r="N39" s="911"/>
      <c r="O39" s="911"/>
      <c r="P39"/>
    </row>
    <row r="40" spans="2:16" ht="15.5">
      <c r="B40" s="55"/>
      <c r="C40" s="917"/>
      <c r="D40" s="194" t="s">
        <v>3105</v>
      </c>
      <c r="E40" s="194" t="s">
        <v>79</v>
      </c>
      <c r="F40" s="2490">
        <v>3</v>
      </c>
      <c r="G40" s="2877">
        <f>F40*Unit.Mtoe</f>
        <v>34.89</v>
      </c>
      <c r="H40" s="2877">
        <f>F40*Unit.Mtoe.y</f>
        <v>3.9801505817932918</v>
      </c>
      <c r="I40" s="67"/>
      <c r="J40" s="2448"/>
      <c r="K40" s="2448"/>
      <c r="L40" s="2448"/>
      <c r="M40" s="2448"/>
      <c r="N40" s="2448"/>
      <c r="O40" s="2448"/>
      <c r="P40"/>
    </row>
    <row r="41" spans="2:16">
      <c r="B41" s="45"/>
      <c r="C41" s="67"/>
      <c r="D41" s="195"/>
      <c r="E41" s="67"/>
      <c r="F41" s="67"/>
      <c r="G41" s="67"/>
      <c r="H41" s="67"/>
      <c r="I41" s="67"/>
      <c r="J41" s="67"/>
      <c r="K41" s="67"/>
      <c r="L41" s="67"/>
      <c r="M41" s="67"/>
      <c r="N41" s="67"/>
      <c r="O41" s="67"/>
      <c r="P41"/>
    </row>
    <row r="42" spans="2:16">
      <c r="B42" s="105"/>
      <c r="C42" s="49" t="s">
        <v>779</v>
      </c>
      <c r="D42" s="67"/>
      <c r="E42" s="67"/>
      <c r="F42" s="67"/>
      <c r="G42" s="67"/>
      <c r="H42" s="67"/>
      <c r="I42" s="67"/>
      <c r="J42" s="67"/>
      <c r="K42" s="67"/>
      <c r="L42" s="67"/>
      <c r="M42" s="67"/>
      <c r="N42" s="67" t="str">
        <f>"kt per "&amp;Preferences.EnergyUnits</f>
        <v>kt per TWh</v>
      </c>
      <c r="O42" s="876"/>
      <c r="P42"/>
    </row>
    <row r="43" spans="2:16">
      <c r="B43" s="105"/>
      <c r="C43" s="67"/>
      <c r="D43" s="67"/>
      <c r="E43" s="1352"/>
      <c r="F43" s="67"/>
      <c r="G43" s="67"/>
      <c r="H43" s="67"/>
      <c r="I43" s="67"/>
      <c r="J43" s="67"/>
      <c r="K43" s="67"/>
      <c r="L43" s="67"/>
      <c r="M43" s="67"/>
      <c r="N43" s="67"/>
      <c r="O43" s="876"/>
    </row>
    <row r="44" spans="2:16">
      <c r="B44" s="105"/>
      <c r="C44" s="1520" t="s">
        <v>43</v>
      </c>
      <c r="D44" s="1520" t="s">
        <v>987</v>
      </c>
      <c r="E44" s="1521" t="s">
        <v>44</v>
      </c>
      <c r="F44" s="1522">
        <v>2013</v>
      </c>
      <c r="G44" s="1522" t="s">
        <v>132</v>
      </c>
      <c r="H44" s="1522" t="s">
        <v>133</v>
      </c>
      <c r="I44" s="1522" t="s">
        <v>134</v>
      </c>
      <c r="J44" s="1522" t="s">
        <v>135</v>
      </c>
      <c r="K44" s="1522" t="s">
        <v>136</v>
      </c>
      <c r="L44" s="1522" t="s">
        <v>137</v>
      </c>
      <c r="M44" s="1522" t="s">
        <v>138</v>
      </c>
      <c r="N44" s="1522" t="s">
        <v>139</v>
      </c>
      <c r="O44" s="876"/>
    </row>
    <row r="45" spans="2:16">
      <c r="B45" s="105"/>
      <c r="C45" s="1362" t="s">
        <v>505</v>
      </c>
      <c r="D45" s="189" t="s">
        <v>506</v>
      </c>
      <c r="E45" s="1523" t="s">
        <v>88</v>
      </c>
      <c r="F45" s="2430">
        <f>0.0066126989586634*(1/Unit.TWh)</f>
        <v>6.6126989586633997E-3</v>
      </c>
      <c r="G45" s="2430">
        <f>0.00716151223624281*(1/Unit.TWh)</f>
        <v>7.1615122362428101E-3</v>
      </c>
      <c r="H45" s="2430">
        <f>0.00724303744192708*(1/Unit.TWh)</f>
        <v>7.2430374419270799E-3</v>
      </c>
      <c r="I45" s="2430">
        <f t="shared" ref="I45:N45" si="1">0.00802258601976468*(1/Unit.TWh)</f>
        <v>8.0225860197646794E-3</v>
      </c>
      <c r="J45" s="2430">
        <f t="shared" si="1"/>
        <v>8.0225860197646794E-3</v>
      </c>
      <c r="K45" s="2430">
        <f t="shared" si="1"/>
        <v>8.0225860197646794E-3</v>
      </c>
      <c r="L45" s="2430">
        <f t="shared" si="1"/>
        <v>8.0225860197646794E-3</v>
      </c>
      <c r="M45" s="2430">
        <f t="shared" si="1"/>
        <v>8.0225860197646794E-3</v>
      </c>
      <c r="N45" s="2430">
        <f t="shared" si="1"/>
        <v>8.0225860197646794E-3</v>
      </c>
      <c r="O45" s="876"/>
    </row>
    <row r="46" spans="2:16">
      <c r="B46" s="105"/>
      <c r="C46" s="1362" t="s">
        <v>505</v>
      </c>
      <c r="D46" s="189" t="s">
        <v>506</v>
      </c>
      <c r="E46" s="1523" t="s">
        <v>89</v>
      </c>
      <c r="F46" s="2430">
        <f t="shared" ref="F46:N46" si="2">0.0027499086722332*(1/Unit.TWh)</f>
        <v>2.7499086722331998E-3</v>
      </c>
      <c r="G46" s="2430">
        <f t="shared" si="2"/>
        <v>2.7499086722331998E-3</v>
      </c>
      <c r="H46" s="2430">
        <f t="shared" si="2"/>
        <v>2.7499086722331998E-3</v>
      </c>
      <c r="I46" s="2430">
        <f t="shared" si="2"/>
        <v>2.7499086722331998E-3</v>
      </c>
      <c r="J46" s="2430">
        <f t="shared" si="2"/>
        <v>2.7499086722331998E-3</v>
      </c>
      <c r="K46" s="2430">
        <f t="shared" si="2"/>
        <v>2.7499086722331998E-3</v>
      </c>
      <c r="L46" s="2430">
        <f t="shared" si="2"/>
        <v>2.7499086722331998E-3</v>
      </c>
      <c r="M46" s="2430">
        <f t="shared" si="2"/>
        <v>2.7499086722331998E-3</v>
      </c>
      <c r="N46" s="2430">
        <f t="shared" si="2"/>
        <v>2.7499086722331998E-3</v>
      </c>
      <c r="O46" s="876"/>
    </row>
    <row r="47" spans="2:16">
      <c r="B47" s="105"/>
      <c r="C47" s="67"/>
      <c r="D47" s="67"/>
      <c r="E47" s="67"/>
      <c r="F47" s="67"/>
      <c r="G47" s="67"/>
      <c r="H47" s="67"/>
      <c r="I47" s="67"/>
      <c r="J47" s="67"/>
      <c r="K47" s="67"/>
      <c r="L47" s="67"/>
      <c r="M47" s="67"/>
      <c r="N47" s="67"/>
      <c r="O47" s="876"/>
    </row>
    <row r="48" spans="2:16">
      <c r="B48" s="105"/>
      <c r="C48" s="49" t="s">
        <v>781</v>
      </c>
      <c r="D48" s="67"/>
      <c r="E48" s="67"/>
      <c r="F48" s="67"/>
      <c r="G48" s="67"/>
      <c r="H48" s="67"/>
      <c r="I48" s="67"/>
      <c r="J48" s="67"/>
      <c r="K48" s="67"/>
      <c r="L48" s="67"/>
      <c r="M48" s="67"/>
      <c r="N48" s="67" t="str">
        <f>"kt per "&amp;Preferences.EnergyUnits</f>
        <v>kt per TWh</v>
      </c>
      <c r="O48" s="876"/>
    </row>
    <row r="49" spans="2:15">
      <c r="B49" s="105"/>
      <c r="C49" s="67"/>
      <c r="D49" s="67"/>
      <c r="E49" s="1352"/>
      <c r="F49" s="67"/>
      <c r="G49" s="67"/>
      <c r="H49" s="67"/>
      <c r="I49" s="67"/>
      <c r="J49" s="67"/>
      <c r="K49" s="67"/>
      <c r="L49" s="67"/>
      <c r="M49" s="67"/>
      <c r="N49" s="67"/>
      <c r="O49" s="876"/>
    </row>
    <row r="50" spans="2:15">
      <c r="B50" s="105"/>
      <c r="C50" s="1520" t="s">
        <v>43</v>
      </c>
      <c r="D50" s="1520" t="s">
        <v>987</v>
      </c>
      <c r="E50" s="1521" t="s">
        <v>44</v>
      </c>
      <c r="F50" s="1522">
        <v>2013</v>
      </c>
      <c r="G50" s="1522" t="s">
        <v>132</v>
      </c>
      <c r="H50" s="1522" t="s">
        <v>133</v>
      </c>
      <c r="I50" s="1522" t="s">
        <v>134</v>
      </c>
      <c r="J50" s="1522" t="s">
        <v>135</v>
      </c>
      <c r="K50" s="1522" t="s">
        <v>136</v>
      </c>
      <c r="L50" s="1522" t="s">
        <v>137</v>
      </c>
      <c r="M50" s="1522" t="s">
        <v>138</v>
      </c>
      <c r="N50" s="1522" t="s">
        <v>139</v>
      </c>
      <c r="O50" s="876"/>
    </row>
    <row r="51" spans="2:15">
      <c r="B51" s="105"/>
      <c r="C51" s="1362" t="s">
        <v>505</v>
      </c>
      <c r="D51" s="189" t="s">
        <v>506</v>
      </c>
      <c r="E51" s="1523" t="s">
        <v>88</v>
      </c>
      <c r="F51" s="2430">
        <f>0.252637328783166*(1/Unit.TWh)</f>
        <v>0.25263732878316603</v>
      </c>
      <c r="G51" s="2430">
        <f>0.386853299197486*(1/Unit.TWh)</f>
        <v>0.38685329919748601</v>
      </c>
      <c r="H51" s="2430">
        <f>0.379276941246195*(1/Unit.TWh)</f>
        <v>0.37927694124619499</v>
      </c>
      <c r="I51" s="2430">
        <f t="shared" ref="I51:N51" si="3">0.376364736609819*(1/Unit.TWh)</f>
        <v>0.37636473660981901</v>
      </c>
      <c r="J51" s="2430">
        <f t="shared" si="3"/>
        <v>0.37636473660981901</v>
      </c>
      <c r="K51" s="2430">
        <f t="shared" si="3"/>
        <v>0.37636473660981901</v>
      </c>
      <c r="L51" s="2430">
        <f t="shared" si="3"/>
        <v>0.37636473660981901</v>
      </c>
      <c r="M51" s="2430">
        <f t="shared" si="3"/>
        <v>0.37636473660981901</v>
      </c>
      <c r="N51" s="2430">
        <f t="shared" si="3"/>
        <v>0.37636473660981901</v>
      </c>
      <c r="O51" s="876"/>
    </row>
    <row r="52" spans="2:15">
      <c r="B52" s="105"/>
      <c r="C52" s="1362" t="s">
        <v>505</v>
      </c>
      <c r="D52" s="189" t="s">
        <v>506</v>
      </c>
      <c r="E52" s="1523" t="s">
        <v>89</v>
      </c>
      <c r="F52" s="2430">
        <f>0.252014656914339*(1/Unit.TWh)</f>
        <v>0.252014656914339</v>
      </c>
      <c r="G52" s="2430">
        <f>0.23970636067584*(1/Unit.TWh)</f>
        <v>0.23970636067584</v>
      </c>
      <c r="H52" s="2430">
        <f>0.235967791015797*(1/Unit.TWh)</f>
        <v>0.23596779101579701</v>
      </c>
      <c r="I52" s="2430">
        <f>0.204724112238833*(1/Unit.TWh)</f>
        <v>0.20472411223883299</v>
      </c>
      <c r="J52" s="2430">
        <f>0.20245710030239*(1/Unit.TWh)</f>
        <v>0.20245710030239</v>
      </c>
      <c r="K52" s="2430">
        <f>0.20245710030239*(1/Unit.TWh)</f>
        <v>0.20245710030239</v>
      </c>
      <c r="L52" s="2430">
        <f>0.20245710030239*(1/Unit.TWh)</f>
        <v>0.20245710030239</v>
      </c>
      <c r="M52" s="2430">
        <f>0.20245710030239*(1/Unit.TWh)</f>
        <v>0.20245710030239</v>
      </c>
      <c r="N52" s="2430">
        <f>0.20245710030239*(1/Unit.TWh)</f>
        <v>0.20245710030239</v>
      </c>
      <c r="O52" s="876"/>
    </row>
    <row r="53" spans="2:15">
      <c r="B53" s="105"/>
      <c r="C53" s="67"/>
      <c r="D53" s="67"/>
      <c r="E53" s="67"/>
      <c r="F53" s="67"/>
      <c r="G53" s="67"/>
      <c r="H53" s="67"/>
      <c r="I53" s="67"/>
      <c r="J53" s="67"/>
      <c r="K53" s="67"/>
      <c r="L53" s="67"/>
      <c r="M53" s="67"/>
      <c r="N53" s="67"/>
      <c r="O53" s="876"/>
    </row>
    <row r="54" spans="2:15">
      <c r="B54" s="105"/>
      <c r="C54" s="49" t="s">
        <v>782</v>
      </c>
      <c r="D54" s="67"/>
      <c r="E54" s="67"/>
      <c r="F54" s="67"/>
      <c r="G54" s="67"/>
      <c r="H54" s="67"/>
      <c r="I54" s="67"/>
      <c r="J54" s="67"/>
      <c r="K54" s="67"/>
      <c r="L54" s="67"/>
      <c r="M54" s="67"/>
      <c r="N54" s="67" t="str">
        <f>"kt per "&amp;Preferences.EnergyUnits</f>
        <v>kt per TWh</v>
      </c>
      <c r="O54" s="876"/>
    </row>
    <row r="55" spans="2:15">
      <c r="B55" s="105"/>
      <c r="C55" s="67"/>
      <c r="D55" s="67"/>
      <c r="E55" s="1352"/>
      <c r="F55" s="67"/>
      <c r="G55" s="67"/>
      <c r="H55" s="67"/>
      <c r="I55" s="67"/>
      <c r="J55" s="67"/>
      <c r="K55" s="67"/>
      <c r="L55" s="67"/>
      <c r="M55" s="67"/>
      <c r="N55" s="67"/>
      <c r="O55" s="876"/>
    </row>
    <row r="56" spans="2:15">
      <c r="B56" s="105"/>
      <c r="C56" s="1520" t="s">
        <v>43</v>
      </c>
      <c r="D56" s="1520" t="s">
        <v>987</v>
      </c>
      <c r="E56" s="1521" t="s">
        <v>44</v>
      </c>
      <c r="F56" s="1522">
        <v>2013</v>
      </c>
      <c r="G56" s="1522" t="s">
        <v>132</v>
      </c>
      <c r="H56" s="1522" t="s">
        <v>133</v>
      </c>
      <c r="I56" s="1522" t="s">
        <v>134</v>
      </c>
      <c r="J56" s="1522" t="s">
        <v>135</v>
      </c>
      <c r="K56" s="1522" t="s">
        <v>136</v>
      </c>
      <c r="L56" s="1522" t="s">
        <v>137</v>
      </c>
      <c r="M56" s="1522" t="s">
        <v>138</v>
      </c>
      <c r="N56" s="1522" t="s">
        <v>139</v>
      </c>
      <c r="O56" s="876"/>
    </row>
    <row r="57" spans="2:15">
      <c r="B57" s="105"/>
      <c r="C57" s="1362" t="s">
        <v>505</v>
      </c>
      <c r="D57" s="189" t="s">
        <v>506</v>
      </c>
      <c r="E57" s="1523" t="s">
        <v>88</v>
      </c>
      <c r="F57" s="2430">
        <f>0.346443436605897*(1/Unit.TWh)</f>
        <v>0.34644343660589699</v>
      </c>
      <c r="G57" s="2430">
        <f>0.337456947070651*(1/Unit.TWh)</f>
        <v>0.33745694707065099</v>
      </c>
      <c r="H57" s="2430">
        <f>0.342062741773662*(1/Unit.TWh)</f>
        <v>0.34206274177366203</v>
      </c>
      <c r="I57" s="2430">
        <f t="shared" ref="I57:N57" si="4">0.386103608403904*(1/Unit.TWh)</f>
        <v>0.38610360840390401</v>
      </c>
      <c r="J57" s="2430">
        <f t="shared" si="4"/>
        <v>0.38610360840390401</v>
      </c>
      <c r="K57" s="2430">
        <f t="shared" si="4"/>
        <v>0.38610360840390401</v>
      </c>
      <c r="L57" s="2430">
        <f t="shared" si="4"/>
        <v>0.38610360840390401</v>
      </c>
      <c r="M57" s="2430">
        <f t="shared" si="4"/>
        <v>0.38610360840390401</v>
      </c>
      <c r="N57" s="2430">
        <f t="shared" si="4"/>
        <v>0.38610360840390401</v>
      </c>
      <c r="O57" s="876"/>
    </row>
    <row r="58" spans="2:15">
      <c r="B58" s="105"/>
      <c r="C58" s="1362" t="s">
        <v>505</v>
      </c>
      <c r="D58" s="189" t="s">
        <v>506</v>
      </c>
      <c r="E58" s="1523" t="s">
        <v>89</v>
      </c>
      <c r="F58" s="2430">
        <f t="shared" ref="F58:N58" si="5">0*(1/Unit.TWh)</f>
        <v>0</v>
      </c>
      <c r="G58" s="2430">
        <f t="shared" si="5"/>
        <v>0</v>
      </c>
      <c r="H58" s="2430">
        <f t="shared" si="5"/>
        <v>0</v>
      </c>
      <c r="I58" s="2430">
        <f t="shared" si="5"/>
        <v>0</v>
      </c>
      <c r="J58" s="2430">
        <f t="shared" si="5"/>
        <v>0</v>
      </c>
      <c r="K58" s="2430">
        <f t="shared" si="5"/>
        <v>0</v>
      </c>
      <c r="L58" s="2430">
        <f t="shared" si="5"/>
        <v>0</v>
      </c>
      <c r="M58" s="2430">
        <f t="shared" si="5"/>
        <v>0</v>
      </c>
      <c r="N58" s="2430">
        <f t="shared" si="5"/>
        <v>0</v>
      </c>
      <c r="O58" s="876"/>
    </row>
    <row r="59" spans="2:15">
      <c r="B59" s="105"/>
      <c r="C59" s="67"/>
      <c r="D59" s="67"/>
      <c r="E59" s="67"/>
      <c r="F59" s="67"/>
      <c r="G59" s="67"/>
      <c r="H59" s="67"/>
      <c r="I59" s="67"/>
      <c r="J59" s="67"/>
      <c r="K59" s="67"/>
      <c r="L59" s="67"/>
      <c r="M59" s="67"/>
      <c r="N59" s="67"/>
      <c r="O59" s="876"/>
    </row>
    <row r="60" spans="2:15">
      <c r="B60" s="105"/>
      <c r="C60" s="49" t="s">
        <v>783</v>
      </c>
      <c r="D60" s="67"/>
      <c r="E60" s="67"/>
      <c r="F60" s="67"/>
      <c r="G60" s="67"/>
      <c r="H60" s="67"/>
      <c r="I60" s="67"/>
      <c r="J60" s="67"/>
      <c r="K60" s="67"/>
      <c r="L60" s="67"/>
      <c r="M60" s="67"/>
      <c r="N60" s="67" t="str">
        <f>"kt per "&amp;Preferences.EnergyUnits</f>
        <v>kt per TWh</v>
      </c>
      <c r="O60" s="876"/>
    </row>
    <row r="61" spans="2:15">
      <c r="B61" s="105"/>
      <c r="C61" s="67"/>
      <c r="D61" s="67"/>
      <c r="E61" s="1352"/>
      <c r="F61" s="67"/>
      <c r="G61" s="67"/>
      <c r="H61" s="67"/>
      <c r="I61" s="67"/>
      <c r="J61" s="67"/>
      <c r="K61" s="67"/>
      <c r="L61" s="67"/>
      <c r="M61" s="67"/>
      <c r="N61" s="67"/>
      <c r="O61" s="876"/>
    </row>
    <row r="62" spans="2:15">
      <c r="B62" s="105"/>
      <c r="C62" s="1520" t="s">
        <v>43</v>
      </c>
      <c r="D62" s="1520" t="s">
        <v>987</v>
      </c>
      <c r="E62" s="1521" t="s">
        <v>44</v>
      </c>
      <c r="F62" s="1522">
        <v>2013</v>
      </c>
      <c r="G62" s="1522" t="s">
        <v>132</v>
      </c>
      <c r="H62" s="1522" t="s">
        <v>133</v>
      </c>
      <c r="I62" s="1522" t="s">
        <v>134</v>
      </c>
      <c r="J62" s="1522" t="s">
        <v>135</v>
      </c>
      <c r="K62" s="1522" t="s">
        <v>136</v>
      </c>
      <c r="L62" s="1522" t="s">
        <v>137</v>
      </c>
      <c r="M62" s="1522" t="s">
        <v>138</v>
      </c>
      <c r="N62" s="1522" t="s">
        <v>139</v>
      </c>
      <c r="O62" s="876"/>
    </row>
    <row r="63" spans="2:15">
      <c r="B63" s="105"/>
      <c r="C63" s="1362" t="s">
        <v>505</v>
      </c>
      <c r="D63" s="189" t="s">
        <v>506</v>
      </c>
      <c r="E63" s="1523" t="s">
        <v>88</v>
      </c>
      <c r="F63" s="2430">
        <f>0.012112329171065*(1/Unit.TWh)</f>
        <v>1.2112329171065001E-2</v>
      </c>
      <c r="G63" s="2430">
        <f>0.0121292383251863*(1/Unit.TWh)</f>
        <v>1.21292383251863E-2</v>
      </c>
      <c r="H63" s="2430">
        <f>0.0121091404628352*(1/Unit.TWh)</f>
        <v>1.21091404628352E-2</v>
      </c>
      <c r="I63" s="2430">
        <f>0.0119169635786204*(1/Unit.TWh)</f>
        <v>1.1916963578620401E-2</v>
      </c>
      <c r="J63" s="2430">
        <f>0.00294858550518024*(1/Unit.TWh)</f>
        <v>2.9485855051802402E-3</v>
      </c>
      <c r="K63" s="2430">
        <f>0.00294858550518024*(1/Unit.TWh)</f>
        <v>2.9485855051802402E-3</v>
      </c>
      <c r="L63" s="2430">
        <f>0.00294858550518024*(1/Unit.TWh)</f>
        <v>2.9485855051802402E-3</v>
      </c>
      <c r="M63" s="2430">
        <f>0.00294858550518024*(1/Unit.TWh)</f>
        <v>2.9485855051802402E-3</v>
      </c>
      <c r="N63" s="2430">
        <f>0.00294858550518024*(1/Unit.TWh)</f>
        <v>2.9485855051802402E-3</v>
      </c>
      <c r="O63" s="876"/>
    </row>
    <row r="64" spans="2:15">
      <c r="B64" s="105"/>
      <c r="C64" s="1362" t="s">
        <v>505</v>
      </c>
      <c r="D64" s="189" t="s">
        <v>506</v>
      </c>
      <c r="E64" s="1523" t="s">
        <v>89</v>
      </c>
      <c r="F64" s="2430">
        <f>0.00802071964139669*(1/Unit.TWh)</f>
        <v>8.02071964139669E-3</v>
      </c>
      <c r="G64" s="2430">
        <f t="shared" ref="G64:N64" si="6">0.00802071964139672*(1/Unit.TWh)</f>
        <v>8.0207196413967195E-3</v>
      </c>
      <c r="H64" s="2430">
        <f t="shared" si="6"/>
        <v>8.0207196413967195E-3</v>
      </c>
      <c r="I64" s="2430">
        <f t="shared" si="6"/>
        <v>8.0207196413967195E-3</v>
      </c>
      <c r="J64" s="2430">
        <f t="shared" si="6"/>
        <v>8.0207196413967195E-3</v>
      </c>
      <c r="K64" s="2430">
        <f t="shared" si="6"/>
        <v>8.0207196413967195E-3</v>
      </c>
      <c r="L64" s="2430">
        <f t="shared" si="6"/>
        <v>8.0207196413967195E-3</v>
      </c>
      <c r="M64" s="2430">
        <f t="shared" si="6"/>
        <v>8.0207196413967195E-3</v>
      </c>
      <c r="N64" s="2430">
        <f t="shared" si="6"/>
        <v>8.0207196413967195E-3</v>
      </c>
      <c r="O64" s="876"/>
    </row>
    <row r="65" spans="2:17">
      <c r="B65" s="105"/>
      <c r="C65" s="1362"/>
      <c r="D65" s="189"/>
      <c r="E65" s="2441"/>
      <c r="F65" s="2430"/>
      <c r="G65" s="2430"/>
      <c r="H65" s="2430"/>
      <c r="I65" s="2430"/>
      <c r="J65" s="2430"/>
      <c r="K65" s="2430"/>
      <c r="L65" s="2430"/>
      <c r="M65" s="2430"/>
      <c r="N65" s="2430"/>
      <c r="O65" s="876"/>
    </row>
    <row r="66" spans="2:17">
      <c r="B66" s="105"/>
      <c r="C66" s="49" t="s">
        <v>1147</v>
      </c>
      <c r="D66" s="49">
        <v>30</v>
      </c>
      <c r="E66" s="3876" t="s">
        <v>2306</v>
      </c>
      <c r="F66" s="2430"/>
      <c r="G66" s="2430"/>
      <c r="H66" s="2430"/>
      <c r="I66" s="2430"/>
      <c r="J66" s="2430"/>
      <c r="K66" s="2430"/>
      <c r="L66" s="2430"/>
      <c r="M66" s="2430"/>
      <c r="N66" s="2430"/>
      <c r="O66" s="876"/>
    </row>
    <row r="67" spans="2:17">
      <c r="B67" s="105"/>
      <c r="C67" s="1362"/>
      <c r="D67" s="189"/>
      <c r="E67" s="2441"/>
      <c r="F67" s="2430"/>
      <c r="G67" s="2430"/>
      <c r="H67" s="2430"/>
      <c r="I67" s="2430"/>
      <c r="J67" s="2430"/>
      <c r="K67" s="2430"/>
      <c r="L67" s="2430"/>
      <c r="M67" s="2430"/>
      <c r="N67" s="2430"/>
      <c r="O67" s="876"/>
    </row>
    <row r="68" spans="2:17">
      <c r="B68" s="45"/>
      <c r="C68" s="3826" t="s">
        <v>63</v>
      </c>
      <c r="D68" s="195"/>
      <c r="E68" s="67"/>
      <c r="F68" s="67"/>
      <c r="G68" s="67"/>
      <c r="H68" s="67"/>
      <c r="I68" s="67"/>
      <c r="J68" s="67"/>
      <c r="K68" s="67"/>
      <c r="L68" s="67"/>
      <c r="M68" s="67"/>
      <c r="N68" s="67"/>
      <c r="O68" s="876"/>
    </row>
    <row r="69" spans="2:17">
      <c r="B69" s="45"/>
      <c r="C69" s="920" t="s">
        <v>64</v>
      </c>
      <c r="D69" s="921" t="s">
        <v>3127</v>
      </c>
      <c r="E69" s="67"/>
      <c r="F69" s="67"/>
      <c r="G69" s="67"/>
      <c r="H69" s="67"/>
      <c r="I69" s="67"/>
      <c r="J69" s="67"/>
      <c r="K69" s="67"/>
      <c r="L69" s="67"/>
      <c r="M69" s="67"/>
      <c r="N69" s="67"/>
      <c r="O69" s="876"/>
    </row>
    <row r="70" spans="2:17" s="918" customFormat="1" ht="13">
      <c r="B70" s="1160"/>
      <c r="C70" s="920" t="s">
        <v>66</v>
      </c>
      <c r="D70" s="921" t="s">
        <v>3128</v>
      </c>
      <c r="E70" s="922"/>
      <c r="F70" s="922"/>
      <c r="G70" s="922"/>
      <c r="H70" s="922"/>
      <c r="I70" s="922"/>
      <c r="J70" s="922"/>
      <c r="K70" s="922"/>
      <c r="L70" s="922"/>
      <c r="M70" s="922"/>
      <c r="N70" s="922"/>
      <c r="O70" s="923"/>
    </row>
    <row r="71" spans="2:17" s="918" customFormat="1" ht="13">
      <c r="B71" s="1160"/>
      <c r="C71" s="920" t="s">
        <v>105</v>
      </c>
      <c r="D71" s="921" t="s">
        <v>3129</v>
      </c>
      <c r="E71" s="922"/>
      <c r="F71" s="922"/>
      <c r="G71" s="922"/>
      <c r="H71" s="922"/>
      <c r="I71" s="922"/>
      <c r="J71" s="922"/>
      <c r="K71" s="922"/>
      <c r="L71" s="922"/>
      <c r="M71" s="922"/>
      <c r="N71" s="922"/>
      <c r="O71" s="923"/>
    </row>
    <row r="72" spans="2:17">
      <c r="B72" s="1163"/>
      <c r="C72" s="3854" t="s">
        <v>79</v>
      </c>
      <c r="D72" s="3840" t="s">
        <v>3131</v>
      </c>
      <c r="E72" s="1065"/>
      <c r="F72" s="1065"/>
      <c r="G72" s="1065"/>
      <c r="H72" s="1065"/>
      <c r="I72" s="1065"/>
      <c r="J72" s="1065"/>
      <c r="K72" s="1065"/>
      <c r="L72" s="1065"/>
      <c r="M72" s="1065"/>
      <c r="N72" s="1065"/>
      <c r="O72" s="1100"/>
    </row>
    <row r="73" spans="2:17">
      <c r="B73" s="1068"/>
      <c r="C73" s="1068"/>
      <c r="D73" s="1068"/>
      <c r="E73" s="1068"/>
      <c r="F73" s="1068"/>
      <c r="G73" s="1068"/>
      <c r="H73" s="1068"/>
      <c r="I73" s="1068"/>
      <c r="J73" s="1068"/>
      <c r="K73" s="1068"/>
      <c r="L73" s="1068"/>
      <c r="M73" s="1068"/>
      <c r="N73" s="1068"/>
      <c r="O73" s="1068"/>
    </row>
    <row r="74" spans="2:17" ht="15">
      <c r="B74" s="869" t="s">
        <v>2719</v>
      </c>
      <c r="C74" s="870"/>
      <c r="D74" s="870"/>
      <c r="E74" s="870"/>
      <c r="F74" s="870"/>
      <c r="G74" s="870"/>
      <c r="H74" s="870"/>
      <c r="I74" s="870"/>
      <c r="J74" s="870"/>
      <c r="K74" s="870"/>
      <c r="L74" s="870"/>
      <c r="M74" s="870"/>
      <c r="N74" s="870"/>
      <c r="O74" s="871"/>
    </row>
    <row r="75" spans="2:17" hidden="1">
      <c r="B75" s="105"/>
      <c r="C75" s="67"/>
      <c r="D75" s="67"/>
      <c r="E75" s="67"/>
      <c r="F75" s="67"/>
      <c r="G75" s="67"/>
      <c r="H75" s="67"/>
      <c r="I75" s="67"/>
      <c r="J75" s="67"/>
      <c r="K75" s="67"/>
      <c r="L75" s="67"/>
      <c r="M75" s="67"/>
      <c r="N75" s="67"/>
      <c r="O75" s="876"/>
    </row>
    <row r="76" spans="2:17" hidden="1">
      <c r="B76" s="105"/>
      <c r="C76" s="49" t="s">
        <v>3106</v>
      </c>
      <c r="D76" s="915"/>
      <c r="E76" s="932"/>
      <c r="F76" s="2489"/>
      <c r="G76" s="934"/>
      <c r="H76" s="934"/>
      <c r="I76" s="934"/>
      <c r="J76" s="934"/>
      <c r="K76" s="934"/>
      <c r="L76" s="934"/>
      <c r="M76" s="934"/>
      <c r="N76" s="935" t="s">
        <v>2741</v>
      </c>
      <c r="O76" s="876"/>
    </row>
    <row r="77" spans="2:17" hidden="1">
      <c r="B77" s="105"/>
      <c r="C77" s="937"/>
      <c r="D77" s="915"/>
      <c r="E77" s="932"/>
      <c r="F77" s="2489"/>
      <c r="G77" s="934"/>
      <c r="H77" s="934"/>
      <c r="I77" s="934"/>
      <c r="J77" s="934"/>
      <c r="K77" s="934"/>
      <c r="L77" s="934"/>
      <c r="M77" s="934"/>
      <c r="N77" s="67"/>
      <c r="O77" s="876"/>
    </row>
    <row r="78" spans="2:17" hidden="1">
      <c r="B78" s="105"/>
      <c r="C78" s="952"/>
      <c r="D78" s="953"/>
      <c r="E78" s="971" t="s">
        <v>159</v>
      </c>
      <c r="F78" s="972">
        <v>2013</v>
      </c>
      <c r="G78" s="965">
        <v>2015</v>
      </c>
      <c r="H78" s="965">
        <v>2020</v>
      </c>
      <c r="I78" s="965">
        <v>2025</v>
      </c>
      <c r="J78" s="965">
        <v>2030</v>
      </c>
      <c r="K78" s="965">
        <v>2035</v>
      </c>
      <c r="L78" s="965">
        <v>2040</v>
      </c>
      <c r="M78" s="965">
        <v>2045</v>
      </c>
      <c r="N78" s="965">
        <v>2050</v>
      </c>
      <c r="O78" s="876"/>
      <c r="Q78" s="3877"/>
    </row>
    <row r="79" spans="2:17" hidden="1">
      <c r="B79" s="105"/>
      <c r="C79" s="943" t="s">
        <v>719</v>
      </c>
      <c r="D79" s="915"/>
      <c r="E79" s="3358"/>
      <c r="F79" s="3878"/>
      <c r="G79" s="3373"/>
      <c r="H79" s="3373"/>
      <c r="I79" s="3373"/>
      <c r="J79" s="3373"/>
      <c r="K79" s="3373"/>
      <c r="L79" s="3373"/>
      <c r="M79" s="3373"/>
      <c r="N79" s="3878"/>
      <c r="O79" s="876"/>
      <c r="Q79" s="3877"/>
    </row>
    <row r="80" spans="2:17" hidden="1">
      <c r="B80" s="105"/>
      <c r="C80" s="943" t="s">
        <v>720</v>
      </c>
      <c r="D80" s="915"/>
      <c r="E80" s="3464"/>
      <c r="F80" s="1586"/>
      <c r="G80" s="3744"/>
      <c r="H80" s="3744"/>
      <c r="I80" s="3744"/>
      <c r="J80" s="3744"/>
      <c r="K80" s="3744"/>
      <c r="L80" s="3744"/>
      <c r="M80" s="3744"/>
      <c r="N80" s="1586"/>
      <c r="O80" s="876"/>
      <c r="Q80" s="3877"/>
    </row>
    <row r="81" spans="1:17" hidden="1">
      <c r="B81" s="105"/>
      <c r="C81" s="947" t="s">
        <v>721</v>
      </c>
      <c r="D81" s="948"/>
      <c r="E81" s="3466"/>
      <c r="F81" s="970"/>
      <c r="G81" s="3375"/>
      <c r="H81" s="3375"/>
      <c r="I81" s="3375"/>
      <c r="J81" s="3375"/>
      <c r="K81" s="3375"/>
      <c r="L81" s="3375"/>
      <c r="M81" s="3375"/>
      <c r="N81" s="970"/>
      <c r="O81" s="876"/>
      <c r="Q81" s="3877"/>
    </row>
    <row r="82" spans="1:17" hidden="1">
      <c r="B82" s="105"/>
      <c r="C82" s="937"/>
      <c r="D82" s="915"/>
      <c r="E82" s="932"/>
      <c r="F82" s="2489"/>
      <c r="G82" s="934"/>
      <c r="H82" s="934"/>
      <c r="I82" s="934"/>
      <c r="J82" s="934"/>
      <c r="K82" s="934"/>
      <c r="L82" s="934"/>
      <c r="M82" s="934"/>
      <c r="N82" s="67"/>
      <c r="O82" s="876"/>
      <c r="Q82" s="3877"/>
    </row>
    <row r="83" spans="1:17" ht="15.5" hidden="1">
      <c r="B83" s="55"/>
      <c r="C83" s="49" t="s">
        <v>3107</v>
      </c>
      <c r="D83" s="915"/>
      <c r="E83" s="932"/>
      <c r="F83" s="2489"/>
      <c r="G83" s="934"/>
      <c r="H83" s="934"/>
      <c r="I83" s="934"/>
      <c r="J83" s="934"/>
      <c r="K83" s="934"/>
      <c r="L83" s="934"/>
      <c r="M83" s="934"/>
      <c r="N83" s="935" t="s">
        <v>2741</v>
      </c>
      <c r="O83" s="876"/>
      <c r="Q83" s="3877"/>
    </row>
    <row r="84" spans="1:17" ht="15.5" hidden="1">
      <c r="B84" s="966"/>
      <c r="C84" s="937"/>
      <c r="D84" s="915"/>
      <c r="E84" s="932"/>
      <c r="F84" s="2489"/>
      <c r="G84" s="934"/>
      <c r="H84" s="934"/>
      <c r="I84" s="934"/>
      <c r="J84" s="934"/>
      <c r="K84" s="934"/>
      <c r="L84" s="934"/>
      <c r="M84" s="934"/>
      <c r="N84" s="67"/>
      <c r="O84" s="884"/>
      <c r="Q84" s="3877"/>
    </row>
    <row r="85" spans="1:17" hidden="1">
      <c r="B85" s="45"/>
      <c r="C85" s="952"/>
      <c r="D85" s="953"/>
      <c r="E85" s="971" t="s">
        <v>159</v>
      </c>
      <c r="F85" s="972">
        <v>2013</v>
      </c>
      <c r="G85" s="965">
        <v>2015</v>
      </c>
      <c r="H85" s="965">
        <v>2020</v>
      </c>
      <c r="I85" s="965">
        <v>2025</v>
      </c>
      <c r="J85" s="965">
        <v>2030</v>
      </c>
      <c r="K85" s="965">
        <v>2035</v>
      </c>
      <c r="L85" s="965">
        <v>2040</v>
      </c>
      <c r="M85" s="965">
        <v>2045</v>
      </c>
      <c r="N85" s="965">
        <v>2050</v>
      </c>
      <c r="O85" s="876"/>
      <c r="Q85" s="3877"/>
    </row>
    <row r="86" spans="1:17" hidden="1">
      <c r="B86" s="105"/>
      <c r="C86" s="943" t="s">
        <v>719</v>
      </c>
      <c r="D86" s="915"/>
      <c r="E86" s="2394"/>
      <c r="F86" s="3369"/>
      <c r="G86" s="3369"/>
      <c r="H86" s="3369"/>
      <c r="I86" s="3369"/>
      <c r="J86" s="3369"/>
      <c r="K86" s="3369"/>
      <c r="L86" s="3369"/>
      <c r="M86" s="3369"/>
      <c r="N86" s="3369"/>
      <c r="O86" s="876"/>
      <c r="Q86" s="3877"/>
    </row>
    <row r="87" spans="1:17" hidden="1">
      <c r="B87" s="47"/>
      <c r="C87" s="943" t="s">
        <v>720</v>
      </c>
      <c r="D87" s="915"/>
      <c r="E87" s="2395"/>
      <c r="F87" s="1586"/>
      <c r="G87" s="2489"/>
      <c r="H87" s="2489"/>
      <c r="I87" s="2489"/>
      <c r="J87" s="2489"/>
      <c r="K87" s="2489"/>
      <c r="L87" s="2489"/>
      <c r="M87" s="2489"/>
      <c r="N87" s="1586"/>
      <c r="O87" s="47"/>
      <c r="Q87" s="3877"/>
    </row>
    <row r="88" spans="1:17" hidden="1">
      <c r="B88" s="47"/>
      <c r="C88" s="947" t="s">
        <v>721</v>
      </c>
      <c r="D88" s="948"/>
      <c r="E88" s="2396"/>
      <c r="F88" s="3371"/>
      <c r="G88" s="3371"/>
      <c r="H88" s="3371"/>
      <c r="I88" s="3371"/>
      <c r="J88" s="3371"/>
      <c r="K88" s="3371"/>
      <c r="L88" s="3371"/>
      <c r="M88" s="3371"/>
      <c r="N88" s="3371"/>
      <c r="O88" s="47"/>
      <c r="Q88" s="3877"/>
    </row>
    <row r="89" spans="1:17" hidden="1">
      <c r="B89" s="105"/>
      <c r="C89" s="67" t="s">
        <v>63</v>
      </c>
      <c r="D89" s="1597"/>
      <c r="E89" s="67"/>
      <c r="F89" s="67"/>
      <c r="G89" s="67"/>
      <c r="H89" s="67"/>
      <c r="I89" s="67"/>
      <c r="J89" s="67"/>
      <c r="K89" s="67"/>
      <c r="L89" s="67"/>
      <c r="M89" s="67"/>
      <c r="N89" s="67"/>
      <c r="O89" s="876"/>
    </row>
    <row r="90" spans="1:17" hidden="1">
      <c r="B90" s="1163"/>
      <c r="C90" s="1065"/>
      <c r="D90" s="1065"/>
      <c r="E90" s="1065"/>
      <c r="F90" s="1065"/>
      <c r="G90" s="1065"/>
      <c r="H90" s="1065"/>
      <c r="I90" s="1065"/>
      <c r="J90" s="1065"/>
      <c r="K90" s="1065"/>
      <c r="L90" s="1065"/>
      <c r="M90" s="1065"/>
      <c r="N90" s="1065"/>
      <c r="O90" s="1100"/>
    </row>
    <row r="91" spans="1:17">
      <c r="B91" s="1068"/>
      <c r="C91" s="1068"/>
      <c r="D91" s="1068"/>
      <c r="E91" s="1068"/>
      <c r="F91" s="1068"/>
      <c r="G91" s="1068"/>
      <c r="H91" s="1068"/>
      <c r="I91" s="1068"/>
      <c r="J91" s="1068"/>
      <c r="K91" s="1068"/>
      <c r="L91" s="1068"/>
      <c r="M91" s="1068"/>
      <c r="N91" s="1068"/>
      <c r="O91" s="1068"/>
    </row>
    <row r="93" spans="1:17" s="6" customFormat="1" ht="23.5">
      <c r="A93" s="40"/>
      <c r="B93" s="869" t="s">
        <v>177</v>
      </c>
      <c r="C93" s="870"/>
      <c r="D93" s="870"/>
      <c r="E93" s="870"/>
      <c r="F93" s="870"/>
      <c r="G93" s="870"/>
      <c r="H93" s="870"/>
      <c r="I93" s="870"/>
      <c r="J93" s="870"/>
      <c r="K93" s="870"/>
      <c r="L93" s="870"/>
      <c r="M93" s="870"/>
      <c r="N93" s="870"/>
      <c r="O93" s="871"/>
    </row>
    <row r="94" spans="1:17">
      <c r="B94" s="105"/>
      <c r="C94" s="67"/>
      <c r="D94" s="67"/>
      <c r="E94" s="67"/>
      <c r="F94" s="67"/>
      <c r="G94" s="67"/>
      <c r="H94" s="67"/>
      <c r="I94" s="67"/>
      <c r="J94" s="67"/>
      <c r="K94" s="67"/>
      <c r="L94" s="67"/>
      <c r="M94" s="67"/>
      <c r="N94" s="67"/>
      <c r="O94" s="876"/>
    </row>
    <row r="95" spans="1:17">
      <c r="B95" s="105"/>
      <c r="C95" s="49" t="s">
        <v>3099</v>
      </c>
      <c r="D95" s="67"/>
      <c r="E95" s="51"/>
      <c r="F95" s="67"/>
      <c r="G95" s="67"/>
      <c r="H95" s="67"/>
      <c r="I95" s="67"/>
      <c r="J95" s="67"/>
      <c r="K95" s="67"/>
      <c r="L95" s="67"/>
      <c r="M95" s="67"/>
      <c r="N95" s="51" t="s">
        <v>27</v>
      </c>
      <c r="O95" s="876"/>
    </row>
    <row r="96" spans="1:17">
      <c r="B96" s="105"/>
      <c r="C96" s="67"/>
      <c r="D96" s="67"/>
      <c r="E96" s="67"/>
      <c r="F96" s="67"/>
      <c r="G96" s="67"/>
      <c r="H96" s="67"/>
      <c r="I96" s="67"/>
      <c r="J96" s="67"/>
      <c r="K96" s="67"/>
      <c r="L96" s="67"/>
      <c r="M96" s="67"/>
      <c r="N96" s="67"/>
      <c r="O96" s="876"/>
    </row>
    <row r="97" spans="2:15" ht="15.5">
      <c r="B97" s="55"/>
      <c r="C97" s="878" t="s">
        <v>28</v>
      </c>
      <c r="D97" s="878" t="s">
        <v>29</v>
      </c>
      <c r="E97" s="878" t="s">
        <v>30</v>
      </c>
      <c r="F97" s="87">
        <v>2013</v>
      </c>
      <c r="G97" s="87">
        <v>2015</v>
      </c>
      <c r="H97" s="87">
        <v>2020</v>
      </c>
      <c r="I97" s="87">
        <v>2025</v>
      </c>
      <c r="J97" s="87">
        <v>2030</v>
      </c>
      <c r="K97" s="87">
        <v>2035</v>
      </c>
      <c r="L97" s="87">
        <v>2040</v>
      </c>
      <c r="M97" s="87">
        <v>2045</v>
      </c>
      <c r="N97" s="87">
        <v>2050</v>
      </c>
      <c r="O97" s="876"/>
    </row>
    <row r="98" spans="2:15" ht="15.5">
      <c r="B98" s="55"/>
      <c r="C98" s="901" t="s">
        <v>417</v>
      </c>
      <c r="D98" s="901" t="s">
        <v>368</v>
      </c>
      <c r="E98" s="901"/>
      <c r="F98" s="2861">
        <f>F17</f>
        <v>37.50371883684231</v>
      </c>
      <c r="G98" s="2861">
        <f t="shared" ref="G98:N98" si="7">G17</f>
        <v>37.50371883684231</v>
      </c>
      <c r="H98" s="2861">
        <f t="shared" si="7"/>
        <v>37.50371883684231</v>
      </c>
      <c r="I98" s="2861">
        <f t="shared" si="7"/>
        <v>37.50371883684231</v>
      </c>
      <c r="J98" s="2861">
        <f t="shared" si="7"/>
        <v>37.50371883684231</v>
      </c>
      <c r="K98" s="2861">
        <f t="shared" si="7"/>
        <v>37.50371883684231</v>
      </c>
      <c r="L98" s="2861">
        <f t="shared" si="7"/>
        <v>37.50371883684231</v>
      </c>
      <c r="M98" s="2861">
        <f t="shared" si="7"/>
        <v>37.50371883684231</v>
      </c>
      <c r="N98" s="2861">
        <f t="shared" si="7"/>
        <v>37.50371883684231</v>
      </c>
      <c r="O98" s="876"/>
    </row>
    <row r="99" spans="2:15">
      <c r="B99" s="105"/>
      <c r="C99" s="67"/>
      <c r="D99" s="67"/>
      <c r="E99" s="67"/>
      <c r="F99" s="67"/>
      <c r="G99" s="67"/>
      <c r="H99" s="67"/>
      <c r="I99" s="67"/>
      <c r="J99" s="67"/>
      <c r="K99" s="67"/>
      <c r="L99" s="67"/>
      <c r="M99" s="67"/>
      <c r="N99" s="67"/>
      <c r="O99" s="876"/>
    </row>
    <row r="100" spans="2:15">
      <c r="B100" s="105"/>
      <c r="C100" s="49" t="s">
        <v>3109</v>
      </c>
      <c r="D100" s="67"/>
      <c r="E100" s="51"/>
      <c r="F100" s="67"/>
      <c r="G100" s="67"/>
      <c r="H100" s="67"/>
      <c r="I100" s="67"/>
      <c r="J100" s="67"/>
      <c r="K100" s="67"/>
      <c r="L100" s="67"/>
      <c r="M100" s="67"/>
      <c r="N100" s="51" t="s">
        <v>27</v>
      </c>
      <c r="O100" s="876"/>
    </row>
    <row r="101" spans="2:15">
      <c r="B101" s="105"/>
      <c r="C101" s="67"/>
      <c r="D101" s="67"/>
      <c r="E101" s="67"/>
      <c r="F101" s="67"/>
      <c r="G101" s="67"/>
      <c r="H101" s="67"/>
      <c r="I101" s="67"/>
      <c r="J101" s="67"/>
      <c r="K101" s="67"/>
      <c r="L101" s="67"/>
      <c r="M101" s="67"/>
      <c r="N101" s="67"/>
      <c r="O101" s="876"/>
    </row>
    <row r="102" spans="2:15" ht="15.5">
      <c r="B102" s="55"/>
      <c r="C102" s="878" t="s">
        <v>28</v>
      </c>
      <c r="D102" s="878" t="s">
        <v>29</v>
      </c>
      <c r="E102" s="878" t="s">
        <v>30</v>
      </c>
      <c r="F102" s="87">
        <v>2013</v>
      </c>
      <c r="G102" s="87">
        <v>2015</v>
      </c>
      <c r="H102" s="87">
        <v>2020</v>
      </c>
      <c r="I102" s="87">
        <v>2025</v>
      </c>
      <c r="J102" s="87">
        <v>2030</v>
      </c>
      <c r="K102" s="87">
        <v>2035</v>
      </c>
      <c r="L102" s="87">
        <v>2040</v>
      </c>
      <c r="M102" s="87">
        <v>2045</v>
      </c>
      <c r="N102" s="87">
        <v>2050</v>
      </c>
      <c r="O102" s="876"/>
    </row>
    <row r="103" spans="2:15" ht="15.5">
      <c r="B103" s="55"/>
      <c r="C103" s="901" t="s">
        <v>417</v>
      </c>
      <c r="D103" s="901" t="s">
        <v>368</v>
      </c>
      <c r="E103" s="901"/>
      <c r="F103" s="2861">
        <f>$F$22/$F$98*F$98</f>
        <v>2.6430624261587581</v>
      </c>
      <c r="G103" s="2861">
        <f t="shared" ref="G103:N103" si="8">$F$22/$F$98*G$98</f>
        <v>2.6430624261587581</v>
      </c>
      <c r="H103" s="2861">
        <f t="shared" si="8"/>
        <v>2.6430624261587581</v>
      </c>
      <c r="I103" s="2861">
        <f t="shared" si="8"/>
        <v>2.6430624261587581</v>
      </c>
      <c r="J103" s="2861">
        <f t="shared" si="8"/>
        <v>2.6430624261587581</v>
      </c>
      <c r="K103" s="2861">
        <f t="shared" si="8"/>
        <v>2.6430624261587581</v>
      </c>
      <c r="L103" s="2861">
        <f t="shared" si="8"/>
        <v>2.6430624261587581</v>
      </c>
      <c r="M103" s="2861">
        <f t="shared" si="8"/>
        <v>2.6430624261587581</v>
      </c>
      <c r="N103" s="2861">
        <f t="shared" si="8"/>
        <v>2.6430624261587581</v>
      </c>
      <c r="O103" s="876"/>
    </row>
    <row r="104" spans="2:15" ht="15.5">
      <c r="B104" s="55"/>
      <c r="C104" s="915"/>
      <c r="D104" s="915"/>
      <c r="E104" s="915"/>
      <c r="F104" s="2395"/>
      <c r="G104" s="2395"/>
      <c r="H104" s="2395"/>
      <c r="I104" s="2395"/>
      <c r="J104" s="2395"/>
      <c r="K104" s="2395"/>
      <c r="L104" s="2395"/>
      <c r="M104" s="2395"/>
      <c r="N104" s="2395"/>
      <c r="O104" s="876"/>
    </row>
    <row r="105" spans="2:15" ht="15.5">
      <c r="B105" s="55"/>
      <c r="C105" s="915" t="s">
        <v>30</v>
      </c>
      <c r="D105" s="915"/>
      <c r="E105" s="915"/>
      <c r="F105" s="2395"/>
      <c r="G105" s="2395"/>
      <c r="H105" s="2395"/>
      <c r="I105" s="2395"/>
      <c r="J105" s="2395"/>
      <c r="K105" s="2395"/>
      <c r="L105" s="2395"/>
      <c r="M105" s="2395"/>
      <c r="N105" s="2395"/>
      <c r="O105" s="876"/>
    </row>
    <row r="106" spans="2:15" ht="15.5">
      <c r="B106" s="55"/>
      <c r="C106" s="932" t="s">
        <v>64</v>
      </c>
      <c r="D106" s="915" t="s">
        <v>3130</v>
      </c>
      <c r="E106" s="915"/>
      <c r="F106" s="2395"/>
      <c r="G106" s="2395"/>
      <c r="H106" s="2395"/>
      <c r="I106" s="2395"/>
      <c r="J106" s="2395"/>
      <c r="K106" s="2395"/>
      <c r="L106" s="2395"/>
      <c r="M106" s="2395"/>
      <c r="N106" s="2395"/>
      <c r="O106" s="876"/>
    </row>
    <row r="107" spans="2:15">
      <c r="B107" s="105"/>
      <c r="C107" s="67"/>
      <c r="D107" s="67"/>
      <c r="E107" s="67"/>
      <c r="F107" s="67"/>
      <c r="G107" s="67"/>
      <c r="H107" s="67"/>
      <c r="I107" s="67"/>
      <c r="J107" s="67"/>
      <c r="K107" s="67"/>
      <c r="L107" s="67"/>
      <c r="M107" s="67"/>
      <c r="N107" s="67"/>
      <c r="O107" s="876"/>
    </row>
    <row r="109" spans="2:15" ht="15.5">
      <c r="B109" s="1101" t="s">
        <v>206</v>
      </c>
    </row>
    <row r="110" spans="2:15">
      <c r="B110" s="2881"/>
      <c r="C110" s="3853" t="s">
        <v>3110</v>
      </c>
    </row>
    <row r="111" spans="2:15">
      <c r="B111" s="2881"/>
      <c r="C111" s="3853" t="s">
        <v>3111</v>
      </c>
    </row>
    <row r="112" spans="2:15">
      <c r="B112" s="2881"/>
      <c r="C112" s="3853" t="s">
        <v>3112</v>
      </c>
    </row>
    <row r="113" spans="2:14">
      <c r="B113" s="2881"/>
      <c r="C113" s="3853" t="s">
        <v>3113</v>
      </c>
    </row>
    <row r="114" spans="2:14">
      <c r="B114" s="2881"/>
    </row>
    <row r="115" spans="2:14">
      <c r="B115" s="354">
        <v>1</v>
      </c>
      <c r="C115" s="3853" t="s">
        <v>3114</v>
      </c>
    </row>
    <row r="116" spans="2:14">
      <c r="B116" s="354">
        <v>2</v>
      </c>
      <c r="C116" s="3853" t="s">
        <v>3115</v>
      </c>
    </row>
    <row r="117" spans="2:14">
      <c r="B117" s="354">
        <v>3</v>
      </c>
      <c r="C117" s="3853" t="s">
        <v>213</v>
      </c>
    </row>
    <row r="119" spans="2:14">
      <c r="B119" s="354">
        <v>1</v>
      </c>
      <c r="C119" s="354" t="s">
        <v>3116</v>
      </c>
      <c r="F119" s="545">
        <v>2013</v>
      </c>
      <c r="G119" s="545">
        <v>2015</v>
      </c>
      <c r="H119" s="545">
        <v>2020</v>
      </c>
      <c r="I119" s="545">
        <v>2025</v>
      </c>
      <c r="J119" s="545">
        <v>2030</v>
      </c>
      <c r="K119" s="545">
        <v>2035</v>
      </c>
      <c r="L119" s="545">
        <v>2040</v>
      </c>
      <c r="M119" s="545">
        <v>2045</v>
      </c>
      <c r="N119" s="545">
        <v>2050</v>
      </c>
    </row>
    <row r="121" spans="2:14">
      <c r="C121" s="3853" t="s">
        <v>3108</v>
      </c>
      <c r="F121" s="714">
        <f ca="1">XV.a.Inputs[2013]</f>
        <v>0</v>
      </c>
      <c r="G121" s="714">
        <f ca="1">XV.a.Inputs[2013]</f>
        <v>0</v>
      </c>
      <c r="H121" s="714">
        <f ca="1">XV.a.Inputs[2013]</f>
        <v>0</v>
      </c>
      <c r="I121" s="714">
        <f ca="1">XV.a.Inputs[2013]</f>
        <v>0</v>
      </c>
      <c r="J121" s="714">
        <f ca="1">XV.a.Inputs[2013]</f>
        <v>0</v>
      </c>
      <c r="K121" s="714">
        <f ca="1">XV.a.Inputs[2013]</f>
        <v>0</v>
      </c>
      <c r="L121" s="714">
        <f ca="1">XV.a.Inputs[2013]</f>
        <v>0</v>
      </c>
      <c r="M121" s="714">
        <f ca="1">XV.a.Inputs[2013]</f>
        <v>0</v>
      </c>
      <c r="N121" s="714">
        <f ca="1">XV.a.Inputs[2013]</f>
        <v>0</v>
      </c>
    </row>
    <row r="122" spans="2:14">
      <c r="C122" s="3853" t="s">
        <v>1371</v>
      </c>
      <c r="F122" s="714">
        <f>F$17</f>
        <v>37.50371883684231</v>
      </c>
      <c r="G122" s="714">
        <f t="shared" ref="G122:N122" si="9">G$17</f>
        <v>37.50371883684231</v>
      </c>
      <c r="H122" s="714">
        <f t="shared" si="9"/>
        <v>37.50371883684231</v>
      </c>
      <c r="I122" s="714">
        <f t="shared" si="9"/>
        <v>37.50371883684231</v>
      </c>
      <c r="J122" s="714">
        <f t="shared" si="9"/>
        <v>37.50371883684231</v>
      </c>
      <c r="K122" s="714">
        <f t="shared" si="9"/>
        <v>37.50371883684231</v>
      </c>
      <c r="L122" s="714">
        <f t="shared" si="9"/>
        <v>37.50371883684231</v>
      </c>
      <c r="M122" s="714">
        <f t="shared" si="9"/>
        <v>37.50371883684231</v>
      </c>
      <c r="N122" s="714">
        <f t="shared" si="9"/>
        <v>37.50371883684231</v>
      </c>
    </row>
    <row r="123" spans="2:14">
      <c r="C123" s="3853" t="s">
        <v>1372</v>
      </c>
      <c r="F123" s="714">
        <f>-F103</f>
        <v>-2.6430624261587581</v>
      </c>
      <c r="G123" s="714">
        <f t="shared" ref="G123:N123" si="10">-G103</f>
        <v>-2.6430624261587581</v>
      </c>
      <c r="H123" s="714">
        <f t="shared" si="10"/>
        <v>-2.6430624261587581</v>
      </c>
      <c r="I123" s="714">
        <f t="shared" si="10"/>
        <v>-2.6430624261587581</v>
      </c>
      <c r="J123" s="714">
        <f t="shared" si="10"/>
        <v>-2.6430624261587581</v>
      </c>
      <c r="K123" s="714">
        <f t="shared" si="10"/>
        <v>-2.6430624261587581</v>
      </c>
      <c r="L123" s="714">
        <f t="shared" si="10"/>
        <v>-2.6430624261587581</v>
      </c>
      <c r="M123" s="714">
        <f t="shared" si="10"/>
        <v>-2.6430624261587581</v>
      </c>
      <c r="N123" s="714">
        <f t="shared" si="10"/>
        <v>-2.6430624261587581</v>
      </c>
    </row>
    <row r="124" spans="2:14">
      <c r="C124" s="354" t="s">
        <v>3117</v>
      </c>
      <c r="F124" s="2840">
        <f ca="1">SUM(F121:F123)</f>
        <v>34.860656410683553</v>
      </c>
      <c r="G124" s="2840">
        <f t="shared" ref="G124:N124" ca="1" si="11">SUM(G121:G123)</f>
        <v>34.860656410683553</v>
      </c>
      <c r="H124" s="2840">
        <f t="shared" ca="1" si="11"/>
        <v>34.860656410683553</v>
      </c>
      <c r="I124" s="2840">
        <f t="shared" ca="1" si="11"/>
        <v>34.860656410683553</v>
      </c>
      <c r="J124" s="2840">
        <f t="shared" ca="1" si="11"/>
        <v>34.860656410683553</v>
      </c>
      <c r="K124" s="2840">
        <f t="shared" ca="1" si="11"/>
        <v>34.860656410683553</v>
      </c>
      <c r="L124" s="2840">
        <f t="shared" ca="1" si="11"/>
        <v>34.860656410683553</v>
      </c>
      <c r="M124" s="2840">
        <f t="shared" ca="1" si="11"/>
        <v>34.860656410683553</v>
      </c>
      <c r="N124" s="2840">
        <f t="shared" ca="1" si="11"/>
        <v>34.860656410683553</v>
      </c>
    </row>
    <row r="126" spans="2:14">
      <c r="B126" s="354">
        <v>2</v>
      </c>
      <c r="C126" s="354" t="s">
        <v>3118</v>
      </c>
    </row>
    <row r="127" spans="2:14">
      <c r="C127" s="354" t="s">
        <v>3119</v>
      </c>
      <c r="E127" s="3853" t="str">
        <f>Preferences.EnergyUnits</f>
        <v>TWh</v>
      </c>
      <c r="F127" s="2460">
        <f ca="1">F$124</f>
        <v>34.860656410683553</v>
      </c>
      <c r="G127" s="2460">
        <f t="shared" ref="G127:N127" ca="1" si="12">G$124</f>
        <v>34.860656410683553</v>
      </c>
      <c r="H127" s="2460">
        <f t="shared" ca="1" si="12"/>
        <v>34.860656410683553</v>
      </c>
      <c r="I127" s="2460">
        <f t="shared" ca="1" si="12"/>
        <v>34.860656410683553</v>
      </c>
      <c r="J127" s="2460">
        <f t="shared" ca="1" si="12"/>
        <v>34.860656410683553</v>
      </c>
      <c r="K127" s="2460">
        <f t="shared" ca="1" si="12"/>
        <v>34.860656410683553</v>
      </c>
      <c r="L127" s="2460">
        <f t="shared" ca="1" si="12"/>
        <v>34.860656410683553</v>
      </c>
      <c r="M127" s="2460">
        <f t="shared" ca="1" si="12"/>
        <v>34.860656410683553</v>
      </c>
      <c r="N127" s="2460">
        <f t="shared" ca="1" si="12"/>
        <v>34.860656410683553</v>
      </c>
    </row>
    <row r="128" spans="2:14">
      <c r="B128" s="2" t="s">
        <v>222</v>
      </c>
      <c r="C128" s="3853" t="s">
        <v>93</v>
      </c>
      <c r="F128" s="2384">
        <f ca="1">F$27*F127</f>
        <v>0</v>
      </c>
      <c r="G128" s="2384">
        <f t="shared" ref="G128:N128" ca="1" si="13">G$27*G127</f>
        <v>0</v>
      </c>
      <c r="H128" s="2384">
        <f t="shared" ca="1" si="13"/>
        <v>0</v>
      </c>
      <c r="I128" s="2384">
        <f t="shared" ca="1" si="13"/>
        <v>0</v>
      </c>
      <c r="J128" s="2384">
        <f t="shared" ca="1" si="13"/>
        <v>0</v>
      </c>
      <c r="K128" s="2384">
        <f t="shared" ca="1" si="13"/>
        <v>0</v>
      </c>
      <c r="L128" s="2384">
        <f t="shared" ca="1" si="13"/>
        <v>0</v>
      </c>
      <c r="M128" s="2384">
        <f t="shared" ca="1" si="13"/>
        <v>0</v>
      </c>
      <c r="N128" s="2384">
        <f t="shared" ca="1" si="13"/>
        <v>0</v>
      </c>
    </row>
    <row r="129" spans="2:15">
      <c r="B129" s="1603" t="s">
        <v>220</v>
      </c>
      <c r="C129" s="354" t="s">
        <v>3120</v>
      </c>
      <c r="F129" s="2460">
        <f ca="1">F127-F128</f>
        <v>34.860656410683553</v>
      </c>
      <c r="G129" s="2460">
        <f t="shared" ref="G129:N129" ca="1" si="14">G127-G128</f>
        <v>34.860656410683553</v>
      </c>
      <c r="H129" s="2460">
        <f t="shared" ca="1" si="14"/>
        <v>34.860656410683553</v>
      </c>
      <c r="I129" s="2460">
        <f t="shared" ca="1" si="14"/>
        <v>34.860656410683553</v>
      </c>
      <c r="J129" s="2460">
        <f t="shared" ca="1" si="14"/>
        <v>34.860656410683553</v>
      </c>
      <c r="K129" s="2460">
        <f t="shared" ca="1" si="14"/>
        <v>34.860656410683553</v>
      </c>
      <c r="L129" s="2460">
        <f t="shared" ca="1" si="14"/>
        <v>34.860656410683553</v>
      </c>
      <c r="M129" s="2460">
        <f t="shared" ca="1" si="14"/>
        <v>34.860656410683553</v>
      </c>
      <c r="N129" s="2460">
        <f t="shared" ca="1" si="14"/>
        <v>34.860656410683553</v>
      </c>
    </row>
    <row r="130" spans="2:15">
      <c r="F130" s="3379"/>
      <c r="G130" s="3379"/>
      <c r="H130" s="3379"/>
      <c r="I130" s="3379"/>
      <c r="J130" s="3379"/>
      <c r="K130" s="3379"/>
      <c r="L130" s="3379"/>
      <c r="M130" s="3379"/>
      <c r="N130" s="3379"/>
    </row>
    <row r="131" spans="2:15">
      <c r="C131" s="354" t="s">
        <v>3121</v>
      </c>
      <c r="D131" s="979"/>
      <c r="F131" s="2460"/>
      <c r="G131" s="2460"/>
      <c r="H131" s="2460"/>
      <c r="I131" s="2460"/>
      <c r="J131" s="2460"/>
      <c r="K131" s="2460"/>
      <c r="L131" s="2460"/>
      <c r="M131" s="2460"/>
      <c r="N131" s="2460"/>
    </row>
    <row r="132" spans="2:15">
      <c r="D132" s="2" t="s">
        <v>2836</v>
      </c>
      <c r="F132" s="2384">
        <f t="shared" ref="F132:N132" ca="1" si="15">F$129*F$32</f>
        <v>0.22598810482362028</v>
      </c>
      <c r="G132" s="2384">
        <f t="shared" ca="1" si="15"/>
        <v>0.22598810482362028</v>
      </c>
      <c r="H132" s="2384">
        <f t="shared" ca="1" si="15"/>
        <v>0.22598810482362028</v>
      </c>
      <c r="I132" s="2384">
        <f t="shared" ca="1" si="15"/>
        <v>0.22598810482362028</v>
      </c>
      <c r="J132" s="2384">
        <f t="shared" ca="1" si="15"/>
        <v>0.22598810482362028</v>
      </c>
      <c r="K132" s="2384">
        <f t="shared" ca="1" si="15"/>
        <v>0.22598810482362028</v>
      </c>
      <c r="L132" s="2384">
        <f t="shared" ca="1" si="15"/>
        <v>0.22598810482362028</v>
      </c>
      <c r="M132" s="2384">
        <f t="shared" ca="1" si="15"/>
        <v>0.22598810482362028</v>
      </c>
      <c r="N132" s="2384">
        <f t="shared" ca="1" si="15"/>
        <v>0.22598810482362028</v>
      </c>
    </row>
    <row r="133" spans="2:15">
      <c r="D133" s="3853" t="s">
        <v>3122</v>
      </c>
      <c r="F133" s="2384">
        <f t="shared" ref="F133:N133" ca="1" si="16">F$129*F$33</f>
        <v>1.8522858135888711</v>
      </c>
      <c r="G133" s="2384">
        <f t="shared" ca="1" si="16"/>
        <v>1.8522858135888711</v>
      </c>
      <c r="H133" s="2384">
        <f t="shared" ca="1" si="16"/>
        <v>1.8522858135888711</v>
      </c>
      <c r="I133" s="2384">
        <f t="shared" ca="1" si="16"/>
        <v>1.8522858135888711</v>
      </c>
      <c r="J133" s="2384">
        <f t="shared" ca="1" si="16"/>
        <v>1.8522858135888711</v>
      </c>
      <c r="K133" s="2384">
        <f t="shared" ca="1" si="16"/>
        <v>1.8522858135888711</v>
      </c>
      <c r="L133" s="2384">
        <f t="shared" ca="1" si="16"/>
        <v>1.8522858135888711</v>
      </c>
      <c r="M133" s="2384">
        <f t="shared" ca="1" si="16"/>
        <v>1.8522858135888711</v>
      </c>
      <c r="N133" s="2384">
        <f t="shared" ca="1" si="16"/>
        <v>1.8522858135888711</v>
      </c>
    </row>
    <row r="134" spans="2:15">
      <c r="D134" s="3853" t="s">
        <v>3123</v>
      </c>
      <c r="F134" s="2384">
        <f t="shared" ref="F134:N134" ca="1" si="17">F$129*F$34</f>
        <v>8.2401953248703863E-2</v>
      </c>
      <c r="G134" s="2384">
        <f t="shared" ca="1" si="17"/>
        <v>8.2401953248703863E-2</v>
      </c>
      <c r="H134" s="2384">
        <f t="shared" ca="1" si="17"/>
        <v>8.2401953248703863E-2</v>
      </c>
      <c r="I134" s="2384">
        <f t="shared" ca="1" si="17"/>
        <v>8.2401953248703863E-2</v>
      </c>
      <c r="J134" s="2384">
        <f t="shared" ca="1" si="17"/>
        <v>8.2401953248703863E-2</v>
      </c>
      <c r="K134" s="2384">
        <f t="shared" ca="1" si="17"/>
        <v>8.2401953248703863E-2</v>
      </c>
      <c r="L134" s="2384">
        <f t="shared" ca="1" si="17"/>
        <v>8.2401953248703863E-2</v>
      </c>
      <c r="M134" s="2384">
        <f t="shared" ca="1" si="17"/>
        <v>8.2401953248703863E-2</v>
      </c>
      <c r="N134" s="2384">
        <f t="shared" ca="1" si="17"/>
        <v>8.2401953248703863E-2</v>
      </c>
    </row>
    <row r="135" spans="2:15">
      <c r="D135" s="3853" t="s">
        <v>3097</v>
      </c>
      <c r="F135" s="2384">
        <f t="shared" ref="F135:N135" ca="1" si="18">F$129*F$35</f>
        <v>2.6537999724419409E-2</v>
      </c>
      <c r="G135" s="2384">
        <f t="shared" ca="1" si="18"/>
        <v>2.6537999724419409E-2</v>
      </c>
      <c r="H135" s="2384">
        <f t="shared" ca="1" si="18"/>
        <v>2.6537999724419409E-2</v>
      </c>
      <c r="I135" s="2384">
        <f t="shared" ca="1" si="18"/>
        <v>2.6537999724419409E-2</v>
      </c>
      <c r="J135" s="2384">
        <f t="shared" ca="1" si="18"/>
        <v>2.6537999724419409E-2</v>
      </c>
      <c r="K135" s="2384">
        <f t="shared" ca="1" si="18"/>
        <v>2.6537999724419409E-2</v>
      </c>
      <c r="L135" s="2384">
        <f t="shared" ca="1" si="18"/>
        <v>2.6537999724419409E-2</v>
      </c>
      <c r="M135" s="2384">
        <f t="shared" ca="1" si="18"/>
        <v>2.6537999724419409E-2</v>
      </c>
      <c r="N135" s="2384">
        <f t="shared" ca="1" si="18"/>
        <v>2.6537999724419409E-2</v>
      </c>
    </row>
    <row r="136" spans="2:15">
      <c r="F136" s="2384"/>
      <c r="G136" s="2384"/>
      <c r="H136" s="2384"/>
      <c r="I136" s="2384"/>
      <c r="J136" s="2384"/>
      <c r="K136" s="2384"/>
      <c r="L136" s="2384"/>
      <c r="M136" s="2384"/>
      <c r="N136" s="2384"/>
    </row>
    <row r="137" spans="2:15">
      <c r="B137" s="354">
        <v>3</v>
      </c>
      <c r="C137" s="354" t="s">
        <v>249</v>
      </c>
      <c r="F137" s="2384"/>
      <c r="G137" s="2384"/>
      <c r="H137" s="2384"/>
      <c r="I137" s="2384"/>
      <c r="J137" s="2384"/>
      <c r="K137" s="2384"/>
      <c r="L137" s="2384"/>
      <c r="M137" s="2384"/>
      <c r="N137" s="2384"/>
    </row>
    <row r="138" spans="2:15">
      <c r="C138" s="3853" t="s">
        <v>3124</v>
      </c>
      <c r="F138" s="2384"/>
      <c r="G138" s="2384"/>
      <c r="H138" s="2384"/>
      <c r="I138" s="2384"/>
      <c r="J138" s="2384"/>
      <c r="K138" s="2384"/>
      <c r="L138" s="2384"/>
      <c r="M138" s="2384"/>
      <c r="N138" s="2384"/>
    </row>
    <row r="139" spans="2:15" ht="15">
      <c r="C139" s="3853" t="s">
        <v>250</v>
      </c>
      <c r="E139" s="6" t="s">
        <v>2048</v>
      </c>
      <c r="F139" s="2384">
        <f ca="1">F$133*INDEX(EF[CO2], MATCH("V.04", EF[Vector], 0))+F$134*INDEX(EF[CO2], MATCH("V.05", EF[Vector], 0))</f>
        <v>0.50565060724124977</v>
      </c>
      <c r="G139" s="2384">
        <f ca="1">G$133*INDEX(EF[CO2], MATCH("V.04", EF[Vector], 0))+G$134*INDEX(EF[CO2], MATCH("V.05", EF[Vector], 0))</f>
        <v>0.50565060724124977</v>
      </c>
      <c r="H139" s="2384">
        <f ca="1">H$133*INDEX(EF[CO2], MATCH("V.04", EF[Vector], 0))+H$134*INDEX(EF[CO2], MATCH("V.05", EF[Vector], 0))</f>
        <v>0.50565060724124977</v>
      </c>
      <c r="I139" s="2384">
        <f ca="1">I$133*INDEX(EF[CO2], MATCH("V.04", EF[Vector], 0))+I$134*INDEX(EF[CO2], MATCH("V.05", EF[Vector], 0))</f>
        <v>0.50565060724124977</v>
      </c>
      <c r="J139" s="2384">
        <f ca="1">J$133*INDEX(EF[CO2], MATCH("V.04", EF[Vector], 0))+J$134*INDEX(EF[CO2], MATCH("V.05", EF[Vector], 0))</f>
        <v>0.50565060724124977</v>
      </c>
      <c r="K139" s="2384">
        <f ca="1">K$133*INDEX(EF[CO2], MATCH("V.04", EF[Vector], 0))+K$134*INDEX(EF[CO2], MATCH("V.05", EF[Vector], 0))</f>
        <v>0.50565060724124977</v>
      </c>
      <c r="L139" s="2384">
        <f ca="1">L$133*INDEX(EF[CO2], MATCH("V.04", EF[Vector], 0))+L$134*INDEX(EF[CO2], MATCH("V.05", EF[Vector], 0))</f>
        <v>0.50565060724124977</v>
      </c>
      <c r="M139" s="2384">
        <f ca="1">M$133*INDEX(EF[CO2], MATCH("V.04", EF[Vector], 0))+M$134*INDEX(EF[CO2], MATCH("V.05", EF[Vector], 0))</f>
        <v>0.50565060724124977</v>
      </c>
      <c r="N139" s="2384">
        <f ca="1">N$133*INDEX(EF[CO2], MATCH("V.04", EF[Vector], 0))+N$134*INDEX(EF[CO2], MATCH("V.05", EF[Vector], 0))</f>
        <v>0.50565060724124977</v>
      </c>
      <c r="O139"/>
    </row>
    <row r="140" spans="2:15" ht="15">
      <c r="C140" s="3853" t="s">
        <v>252</v>
      </c>
      <c r="E140" s="6" t="s">
        <v>2048</v>
      </c>
      <c r="F140" s="2384">
        <f ca="1">F$133*INDEX(EF[CH4], MATCH("V.04", EF[Vector], 0))+F$134*INDEX(EF[CH4], MATCH("V.05", EF[Vector], 0))</f>
        <v>4.2632801018755801E-4</v>
      </c>
      <c r="G140" s="2384">
        <f ca="1">G$133*INDEX(EF[CH4], MATCH("V.04", EF[Vector], 0))+G$134*INDEX(EF[CH4], MATCH("V.05", EF[Vector], 0))</f>
        <v>4.2632801018755801E-4</v>
      </c>
      <c r="H140" s="2384">
        <f ca="1">H$133*INDEX(EF[CH4], MATCH("V.04", EF[Vector], 0))+H$134*INDEX(EF[CH4], MATCH("V.05", EF[Vector], 0))</f>
        <v>4.2632801018755801E-4</v>
      </c>
      <c r="I140" s="2384">
        <f ca="1">I$133*INDEX(EF[CH4], MATCH("V.04", EF[Vector], 0))+I$134*INDEX(EF[CH4], MATCH("V.05", EF[Vector], 0))</f>
        <v>4.2632801018755801E-4</v>
      </c>
      <c r="J140" s="2384">
        <f ca="1">J$133*INDEX(EF[CH4], MATCH("V.04", EF[Vector], 0))+J$134*INDEX(EF[CH4], MATCH("V.05", EF[Vector], 0))</f>
        <v>4.2632801018755801E-4</v>
      </c>
      <c r="K140" s="2384">
        <f ca="1">K$133*INDEX(EF[CH4], MATCH("V.04", EF[Vector], 0))+K$134*INDEX(EF[CH4], MATCH("V.05", EF[Vector], 0))</f>
        <v>4.2632801018755801E-4</v>
      </c>
      <c r="L140" s="2384">
        <f ca="1">L$133*INDEX(EF[CH4], MATCH("V.04", EF[Vector], 0))+L$134*INDEX(EF[CH4], MATCH("V.05", EF[Vector], 0))</f>
        <v>4.2632801018755801E-4</v>
      </c>
      <c r="M140" s="2384">
        <f ca="1">M$133*INDEX(EF[CH4], MATCH("V.04", EF[Vector], 0))+M$134*INDEX(EF[CH4], MATCH("V.05", EF[Vector], 0))</f>
        <v>4.2632801018755801E-4</v>
      </c>
      <c r="N140" s="2384">
        <f ca="1">N$133*INDEX(EF[CH4], MATCH("V.04", EF[Vector], 0))+N$134*INDEX(EF[CH4], MATCH("V.05", EF[Vector], 0))</f>
        <v>4.2632801018755801E-4</v>
      </c>
      <c r="O140"/>
    </row>
    <row r="141" spans="2:15" ht="15">
      <c r="C141" s="3853" t="s">
        <v>253</v>
      </c>
      <c r="E141" s="6" t="s">
        <v>2048</v>
      </c>
      <c r="F141" s="2384">
        <f ca="1">F$133*INDEX(EF[N2O], MATCH("V.04", EF[Vector], 0))+F$134*INDEX(EF[N2O], MATCH("V.05", EF[Vector], 0))</f>
        <v>1.5069762622732133E-3</v>
      </c>
      <c r="G141" s="2384">
        <f ca="1">G$133*INDEX(EF[N2O], MATCH("V.04", EF[Vector], 0))+G$134*INDEX(EF[N2O], MATCH("V.05", EF[Vector], 0))</f>
        <v>1.5069762622732133E-3</v>
      </c>
      <c r="H141" s="2384">
        <f ca="1">H$133*INDEX(EF[N2O], MATCH("V.04", EF[Vector], 0))+H$134*INDEX(EF[N2O], MATCH("V.05", EF[Vector], 0))</f>
        <v>1.5069762622732133E-3</v>
      </c>
      <c r="I141" s="2384">
        <f ca="1">I$133*INDEX(EF[N2O], MATCH("V.04", EF[Vector], 0))+I$134*INDEX(EF[N2O], MATCH("V.05", EF[Vector], 0))</f>
        <v>1.5069762622732133E-3</v>
      </c>
      <c r="J141" s="2384">
        <f ca="1">J$133*INDEX(EF[N2O], MATCH("V.04", EF[Vector], 0))+J$134*INDEX(EF[N2O], MATCH("V.05", EF[Vector], 0))</f>
        <v>1.5069762622732133E-3</v>
      </c>
      <c r="K141" s="2384">
        <f ca="1">K$133*INDEX(EF[N2O], MATCH("V.04", EF[Vector], 0))+K$134*INDEX(EF[N2O], MATCH("V.05", EF[Vector], 0))</f>
        <v>1.5069762622732133E-3</v>
      </c>
      <c r="L141" s="2384">
        <f ca="1">L$133*INDEX(EF[N2O], MATCH("V.04", EF[Vector], 0))+L$134*INDEX(EF[N2O], MATCH("V.05", EF[Vector], 0))</f>
        <v>1.5069762622732133E-3</v>
      </c>
      <c r="M141" s="2384">
        <f ca="1">M$133*INDEX(EF[N2O], MATCH("V.04", EF[Vector], 0))+M$134*INDEX(EF[N2O], MATCH("V.05", EF[Vector], 0))</f>
        <v>1.5069762622732133E-3</v>
      </c>
      <c r="N141" s="2384">
        <f ca="1">N$133*INDEX(EF[N2O], MATCH("V.04", EF[Vector], 0))+N$134*INDEX(EF[N2O], MATCH("V.05", EF[Vector], 0))</f>
        <v>1.5069762622732133E-3</v>
      </c>
      <c r="O141"/>
    </row>
    <row r="142" spans="2:15">
      <c r="E142" s="6"/>
      <c r="F142" s="2384"/>
      <c r="G142" s="2384"/>
      <c r="H142" s="2384"/>
      <c r="I142" s="2384"/>
      <c r="J142" s="2384"/>
      <c r="K142" s="2384"/>
      <c r="L142" s="2384"/>
      <c r="M142" s="2384"/>
      <c r="N142" s="2384"/>
      <c r="O142" s="2384"/>
    </row>
    <row r="143" spans="2:15">
      <c r="E143" s="6"/>
      <c r="F143" s="2384"/>
      <c r="G143" s="2384"/>
      <c r="H143" s="2384"/>
      <c r="I143" s="2384"/>
      <c r="J143" s="2384"/>
      <c r="K143" s="2384"/>
      <c r="L143" s="2384"/>
      <c r="M143" s="2384"/>
      <c r="N143" s="2384"/>
      <c r="O143" s="2384"/>
    </row>
    <row r="144" spans="2:15">
      <c r="B144" s="354">
        <v>4</v>
      </c>
      <c r="C144" s="354" t="s">
        <v>3125</v>
      </c>
      <c r="F144" s="2384"/>
      <c r="G144" s="2384"/>
      <c r="H144" s="2384"/>
      <c r="I144" s="2384"/>
      <c r="J144" s="2384"/>
      <c r="K144" s="2384"/>
      <c r="L144" s="2384"/>
      <c r="M144" s="2384"/>
      <c r="N144" s="2384"/>
      <c r="O144" s="2384"/>
    </row>
    <row r="145" spans="2:15">
      <c r="B145" s="354"/>
      <c r="C145" s="354"/>
      <c r="E145" s="354" t="s">
        <v>741</v>
      </c>
      <c r="F145" s="545">
        <v>2013</v>
      </c>
      <c r="G145" s="545">
        <v>2015</v>
      </c>
      <c r="H145" s="545">
        <v>2020</v>
      </c>
      <c r="I145" s="545">
        <v>2025</v>
      </c>
      <c r="J145" s="545">
        <v>2030</v>
      </c>
      <c r="K145" s="545">
        <v>2035</v>
      </c>
      <c r="L145" s="545">
        <v>2040</v>
      </c>
      <c r="M145" s="545">
        <v>2045</v>
      </c>
      <c r="N145" s="545">
        <v>2050</v>
      </c>
      <c r="O145" s="2384"/>
    </row>
    <row r="146" spans="2:15">
      <c r="C146" s="3853" t="s">
        <v>3126</v>
      </c>
      <c r="F146" s="2485">
        <f ca="1" xml:space="preserve"> (F129*0.1141) / 13</f>
        <v>0.30596929972761483</v>
      </c>
      <c r="G146" s="2485">
        <f t="shared" ref="G146:N146" ca="1" si="19" xml:space="preserve"> (G129*0.1141) / 13</f>
        <v>0.30596929972761483</v>
      </c>
      <c r="H146" s="2485">
        <f t="shared" ca="1" si="19"/>
        <v>0.30596929972761483</v>
      </c>
      <c r="I146" s="2485">
        <f t="shared" ca="1" si="19"/>
        <v>0.30596929972761483</v>
      </c>
      <c r="J146" s="2485">
        <f t="shared" ca="1" si="19"/>
        <v>0.30596929972761483</v>
      </c>
      <c r="K146" s="2485">
        <f t="shared" ca="1" si="19"/>
        <v>0.30596929972761483</v>
      </c>
      <c r="L146" s="2485">
        <f t="shared" ca="1" si="19"/>
        <v>0.30596929972761483</v>
      </c>
      <c r="M146" s="2485">
        <f t="shared" ca="1" si="19"/>
        <v>0.30596929972761483</v>
      </c>
      <c r="N146" s="2485">
        <f t="shared" ca="1" si="19"/>
        <v>0.30596929972761483</v>
      </c>
      <c r="O146" s="2384"/>
    </row>
    <row r="147" spans="2:15">
      <c r="C147" s="3853" t="s">
        <v>2319</v>
      </c>
      <c r="E147" s="3853" t="s">
        <v>2320</v>
      </c>
      <c r="F147" s="2384"/>
      <c r="G147" s="2485">
        <f ca="1">F146*(1/$D$66)</f>
        <v>1.019897665758716E-2</v>
      </c>
      <c r="H147" s="2485">
        <f t="shared" ref="H147:N147" ca="1" si="20">G146*(1/$D$66)</f>
        <v>1.019897665758716E-2</v>
      </c>
      <c r="I147" s="2485">
        <f t="shared" ca="1" si="20"/>
        <v>1.019897665758716E-2</v>
      </c>
      <c r="J147" s="2485">
        <f t="shared" ca="1" si="20"/>
        <v>1.019897665758716E-2</v>
      </c>
      <c r="K147" s="2485">
        <f t="shared" ca="1" si="20"/>
        <v>1.019897665758716E-2</v>
      </c>
      <c r="L147" s="2485">
        <f t="shared" ca="1" si="20"/>
        <v>1.019897665758716E-2</v>
      </c>
      <c r="M147" s="2485">
        <f t="shared" ca="1" si="20"/>
        <v>1.019897665758716E-2</v>
      </c>
      <c r="N147" s="2485">
        <f t="shared" ca="1" si="20"/>
        <v>1.019897665758716E-2</v>
      </c>
    </row>
    <row r="148" spans="2:15">
      <c r="C148" s="3853" t="s">
        <v>2321</v>
      </c>
      <c r="E148" s="3853" t="s">
        <v>2320</v>
      </c>
      <c r="F148" s="2384"/>
      <c r="G148" s="2485">
        <f ca="1">MAX((G146-F146)/(G145-F145),0)</f>
        <v>0</v>
      </c>
      <c r="H148" s="2485">
        <f t="shared" ref="H148:N148" ca="1" si="21">MAX((H146-G146)/(H145-G145),0)</f>
        <v>0</v>
      </c>
      <c r="I148" s="2485">
        <f t="shared" ca="1" si="21"/>
        <v>0</v>
      </c>
      <c r="J148" s="2485">
        <f t="shared" ca="1" si="21"/>
        <v>0</v>
      </c>
      <c r="K148" s="2485">
        <f t="shared" ca="1" si="21"/>
        <v>0</v>
      </c>
      <c r="L148" s="2485">
        <f t="shared" ca="1" si="21"/>
        <v>0</v>
      </c>
      <c r="M148" s="2485">
        <f t="shared" ca="1" si="21"/>
        <v>0</v>
      </c>
      <c r="N148" s="2485">
        <f t="shared" ca="1" si="21"/>
        <v>0</v>
      </c>
    </row>
    <row r="149" spans="2:15">
      <c r="C149" s="3853" t="s">
        <v>2322</v>
      </c>
      <c r="E149" s="3853" t="s">
        <v>2320</v>
      </c>
      <c r="F149" s="2384"/>
      <c r="G149" s="2485">
        <f ca="1">SUM(G147:G148)</f>
        <v>1.019897665758716E-2</v>
      </c>
      <c r="H149" s="2485">
        <f ca="1">SUM(H147:H148)</f>
        <v>1.019897665758716E-2</v>
      </c>
      <c r="I149" s="2485">
        <f t="shared" ref="I149:N149" ca="1" si="22">SUM(I147:I148)</f>
        <v>1.019897665758716E-2</v>
      </c>
      <c r="J149" s="2485">
        <f t="shared" ca="1" si="22"/>
        <v>1.019897665758716E-2</v>
      </c>
      <c r="K149" s="2485">
        <f t="shared" ca="1" si="22"/>
        <v>1.019897665758716E-2</v>
      </c>
      <c r="L149" s="2485">
        <f t="shared" ca="1" si="22"/>
        <v>1.019897665758716E-2</v>
      </c>
      <c r="M149" s="2485">
        <f t="shared" ca="1" si="22"/>
        <v>1.019897665758716E-2</v>
      </c>
      <c r="N149" s="2485">
        <f t="shared" ca="1" si="22"/>
        <v>1.019897665758716E-2</v>
      </c>
    </row>
    <row r="150" spans="2:15">
      <c r="E150" s="6"/>
      <c r="F150" s="2384"/>
      <c r="G150" s="2384"/>
      <c r="H150" s="2384"/>
      <c r="I150" s="2384"/>
      <c r="J150" s="2384"/>
      <c r="K150" s="2384"/>
      <c r="L150" s="2384"/>
      <c r="M150" s="2384"/>
      <c r="N150" s="2384"/>
      <c r="O150" s="2384"/>
    </row>
    <row r="151" spans="2:15">
      <c r="B151" s="354">
        <v>5</v>
      </c>
      <c r="C151" s="354" t="s">
        <v>2718</v>
      </c>
      <c r="E151" s="6"/>
      <c r="F151" s="2384"/>
      <c r="G151" s="2384"/>
      <c r="H151" s="2384"/>
      <c r="I151" s="2384"/>
      <c r="J151" s="2384"/>
      <c r="K151" s="2384"/>
      <c r="L151" s="2384"/>
      <c r="M151" s="2384"/>
      <c r="N151" s="2384"/>
      <c r="O151" s="2384"/>
    </row>
    <row r="152" spans="2:15" hidden="1">
      <c r="E152" s="6"/>
      <c r="F152" s="2384"/>
      <c r="G152" s="2384"/>
      <c r="H152" s="2384"/>
      <c r="I152" s="2384"/>
      <c r="J152" s="2384"/>
      <c r="K152" s="2384"/>
      <c r="L152" s="2384"/>
      <c r="M152" s="2384"/>
      <c r="N152" s="2384"/>
      <c r="O152" s="2384"/>
    </row>
    <row r="153" spans="2:15" hidden="1">
      <c r="C153" s="3853" t="s">
        <v>290</v>
      </c>
      <c r="E153" s="354" t="s">
        <v>2736</v>
      </c>
      <c r="F153" s="545">
        <v>2013</v>
      </c>
      <c r="G153" s="545">
        <v>2015</v>
      </c>
      <c r="H153" s="545">
        <v>2020</v>
      </c>
      <c r="I153" s="545">
        <v>2025</v>
      </c>
      <c r="J153" s="545">
        <v>2030</v>
      </c>
      <c r="K153" s="545">
        <v>2035</v>
      </c>
      <c r="L153" s="545">
        <v>2040</v>
      </c>
      <c r="M153" s="545">
        <v>2045</v>
      </c>
      <c r="N153" s="545">
        <v>2050</v>
      </c>
      <c r="O153" s="2384"/>
    </row>
    <row r="154" spans="2:15" hidden="1">
      <c r="C154" s="3853" t="s">
        <v>168</v>
      </c>
      <c r="F154" s="2384"/>
      <c r="G154" s="2384"/>
      <c r="H154" s="2384"/>
      <c r="I154" s="2384"/>
      <c r="J154" s="2384"/>
      <c r="K154" s="2384"/>
      <c r="L154" s="2384"/>
      <c r="M154" s="2384"/>
      <c r="N154" s="2384"/>
      <c r="O154" s="2384"/>
    </row>
    <row r="155" spans="2:15" hidden="1">
      <c r="C155" s="3853" t="s">
        <v>172</v>
      </c>
      <c r="F155" s="2384"/>
      <c r="G155" s="2384"/>
      <c r="H155" s="2384"/>
      <c r="I155" s="2384"/>
      <c r="J155" s="2384"/>
      <c r="K155" s="2384"/>
      <c r="L155" s="2384"/>
      <c r="M155" s="2384"/>
      <c r="N155" s="2384"/>
      <c r="O155" s="2384"/>
    </row>
    <row r="156" spans="2:15" hidden="1">
      <c r="C156" s="3853" t="s">
        <v>291</v>
      </c>
      <c r="F156" s="2384"/>
      <c r="G156" s="2384"/>
      <c r="H156" s="2384"/>
      <c r="I156" s="2384"/>
      <c r="J156" s="2384"/>
      <c r="K156" s="2384"/>
      <c r="L156" s="2384"/>
      <c r="M156" s="2384"/>
      <c r="N156" s="2384"/>
      <c r="O156" s="2384"/>
    </row>
    <row r="157" spans="2:15" hidden="1">
      <c r="F157" s="2384"/>
      <c r="G157" s="2384"/>
      <c r="H157" s="2384"/>
      <c r="I157" s="2384"/>
      <c r="J157" s="2384"/>
      <c r="K157" s="2384"/>
      <c r="L157" s="2384"/>
      <c r="M157" s="2384"/>
      <c r="N157" s="2384"/>
      <c r="O157" s="2384"/>
    </row>
    <row r="158" spans="2:15" hidden="1">
      <c r="C158" s="3853" t="s">
        <v>292</v>
      </c>
      <c r="E158" s="354" t="s">
        <v>2736</v>
      </c>
      <c r="F158" s="545">
        <v>2013</v>
      </c>
      <c r="G158" s="545">
        <v>2015</v>
      </c>
      <c r="H158" s="545">
        <v>2020</v>
      </c>
      <c r="I158" s="545">
        <v>2025</v>
      </c>
      <c r="J158" s="545">
        <v>2030</v>
      </c>
      <c r="K158" s="545">
        <v>2035</v>
      </c>
      <c r="L158" s="545">
        <v>2040</v>
      </c>
      <c r="M158" s="545">
        <v>2045</v>
      </c>
      <c r="N158" s="545">
        <v>2050</v>
      </c>
      <c r="O158" s="2384"/>
    </row>
    <row r="159" spans="2:15" hidden="1">
      <c r="C159" s="3853" t="s">
        <v>168</v>
      </c>
      <c r="F159" s="2384"/>
      <c r="G159" s="2384"/>
      <c r="H159" s="2384"/>
      <c r="I159" s="2384"/>
      <c r="J159" s="2384"/>
      <c r="K159" s="2384"/>
      <c r="L159" s="2384"/>
      <c r="M159" s="2384"/>
      <c r="N159" s="2384"/>
      <c r="O159" s="2384"/>
    </row>
    <row r="160" spans="2:15" hidden="1">
      <c r="C160" s="3853" t="s">
        <v>172</v>
      </c>
      <c r="F160" s="2384"/>
      <c r="G160" s="2384"/>
      <c r="H160" s="2384"/>
      <c r="I160" s="2384"/>
      <c r="J160" s="2384"/>
      <c r="K160" s="2384"/>
      <c r="L160" s="2384"/>
      <c r="M160" s="2384"/>
      <c r="N160" s="2384"/>
      <c r="O160" s="2384"/>
    </row>
    <row r="161" spans="1:15" hidden="1">
      <c r="C161" s="3853" t="s">
        <v>291</v>
      </c>
      <c r="F161" s="2384"/>
      <c r="G161" s="2384"/>
      <c r="H161" s="2384"/>
      <c r="I161" s="2384"/>
      <c r="J161" s="2384"/>
      <c r="K161" s="2384"/>
      <c r="L161" s="2384"/>
      <c r="M161" s="2384"/>
      <c r="N161" s="2384"/>
      <c r="O161" s="2384"/>
    </row>
    <row r="162" spans="1:15" hidden="1">
      <c r="F162" s="2384"/>
      <c r="G162" s="2384"/>
      <c r="H162" s="2384"/>
      <c r="I162" s="2384"/>
      <c r="J162" s="2384"/>
      <c r="K162" s="2384"/>
      <c r="L162" s="2384"/>
      <c r="M162" s="2384"/>
      <c r="N162" s="2384"/>
      <c r="O162" s="2384"/>
    </row>
    <row r="163" spans="1:15" hidden="1">
      <c r="C163" s="3853" t="s">
        <v>293</v>
      </c>
      <c r="E163" s="354" t="s">
        <v>2736</v>
      </c>
      <c r="F163" s="545">
        <v>2013</v>
      </c>
      <c r="G163" s="545">
        <v>2015</v>
      </c>
      <c r="H163" s="545">
        <v>2020</v>
      </c>
      <c r="I163" s="545">
        <v>2025</v>
      </c>
      <c r="J163" s="545">
        <v>2030</v>
      </c>
      <c r="K163" s="545">
        <v>2035</v>
      </c>
      <c r="L163" s="545">
        <v>2040</v>
      </c>
      <c r="M163" s="545">
        <v>2045</v>
      </c>
      <c r="N163" s="545">
        <v>2050</v>
      </c>
      <c r="O163" s="2384"/>
    </row>
    <row r="164" spans="1:15" hidden="1">
      <c r="C164" s="3853" t="s">
        <v>168</v>
      </c>
      <c r="F164" s="2384"/>
      <c r="G164" s="2384"/>
      <c r="H164" s="2384"/>
      <c r="I164" s="2384"/>
      <c r="J164" s="2384"/>
      <c r="K164" s="2384"/>
      <c r="L164" s="2384"/>
      <c r="M164" s="2384"/>
      <c r="N164" s="2384"/>
      <c r="O164" s="2384"/>
    </row>
    <row r="165" spans="1:15" hidden="1">
      <c r="C165" s="3853" t="s">
        <v>172</v>
      </c>
      <c r="F165" s="2384"/>
      <c r="G165" s="2384"/>
      <c r="H165" s="2384"/>
      <c r="I165" s="2384"/>
      <c r="J165" s="2384"/>
      <c r="K165" s="2384"/>
      <c r="L165" s="2384"/>
      <c r="M165" s="2384"/>
      <c r="N165" s="2384"/>
      <c r="O165" s="2384"/>
    </row>
    <row r="166" spans="1:15" hidden="1">
      <c r="C166" s="3853" t="s">
        <v>291</v>
      </c>
      <c r="F166" s="2384"/>
      <c r="G166" s="2384"/>
      <c r="H166" s="2384"/>
      <c r="I166" s="2384"/>
      <c r="J166" s="2384"/>
      <c r="K166" s="2384"/>
      <c r="L166" s="2384"/>
      <c r="M166" s="2384"/>
      <c r="N166" s="2384"/>
      <c r="O166" s="2384"/>
    </row>
    <row r="167" spans="1:15">
      <c r="E167" s="6"/>
      <c r="F167" s="2384"/>
      <c r="G167" s="2384"/>
      <c r="H167" s="2384"/>
      <c r="I167" s="2384"/>
      <c r="J167" s="2384"/>
      <c r="K167" s="2384"/>
      <c r="L167" s="2384"/>
      <c r="M167" s="2384"/>
      <c r="N167" s="2384"/>
      <c r="O167" s="2384"/>
    </row>
    <row r="168" spans="1:15" ht="23.5">
      <c r="A168" s="7"/>
      <c r="B168" s="502" t="s">
        <v>296</v>
      </c>
      <c r="C168" s="503"/>
      <c r="D168" s="503"/>
      <c r="E168" s="503"/>
      <c r="F168" s="503"/>
      <c r="G168" s="503"/>
      <c r="H168" s="503"/>
      <c r="I168" s="503"/>
      <c r="J168" s="503"/>
      <c r="K168" s="503"/>
      <c r="L168" s="503"/>
      <c r="M168" s="503"/>
      <c r="N168" s="503"/>
      <c r="O168" s="857"/>
    </row>
    <row r="169" spans="1:15">
      <c r="B169" s="505"/>
      <c r="C169" s="506"/>
      <c r="D169" s="506"/>
      <c r="E169" s="506"/>
      <c r="F169" s="506"/>
      <c r="G169" s="506"/>
      <c r="H169" s="506"/>
      <c r="I169" s="506"/>
      <c r="J169" s="506"/>
      <c r="K169" s="506"/>
      <c r="L169" s="506"/>
      <c r="M169" s="506"/>
      <c r="N169" s="506"/>
      <c r="O169" s="858"/>
    </row>
    <row r="170" spans="1:15">
      <c r="B170" s="505"/>
      <c r="C170" s="506"/>
      <c r="D170" s="506"/>
      <c r="E170" s="506"/>
      <c r="F170" s="506"/>
      <c r="G170" s="506"/>
      <c r="H170" s="506"/>
      <c r="I170" s="506"/>
      <c r="J170" s="506"/>
      <c r="K170" s="506"/>
      <c r="L170" s="506"/>
      <c r="M170" s="506"/>
      <c r="N170" s="506"/>
      <c r="O170" s="858"/>
    </row>
    <row r="171" spans="1:15" ht="15.5">
      <c r="A171" s="434"/>
      <c r="B171" s="15"/>
      <c r="C171" s="864" t="s">
        <v>28</v>
      </c>
      <c r="D171" s="864" t="s">
        <v>29</v>
      </c>
      <c r="E171" s="864" t="s">
        <v>30</v>
      </c>
      <c r="F171" s="864" t="s">
        <v>588</v>
      </c>
      <c r="G171" s="864" t="s">
        <v>132</v>
      </c>
      <c r="H171" s="864" t="s">
        <v>133</v>
      </c>
      <c r="I171" s="864" t="s">
        <v>134</v>
      </c>
      <c r="J171" s="864" t="s">
        <v>135</v>
      </c>
      <c r="K171" s="864" t="s">
        <v>136</v>
      </c>
      <c r="L171" s="864" t="s">
        <v>137</v>
      </c>
      <c r="M171" s="864" t="s">
        <v>138</v>
      </c>
      <c r="N171" s="864" t="s">
        <v>139</v>
      </c>
      <c r="O171" s="858"/>
    </row>
    <row r="172" spans="1:15" ht="15.5">
      <c r="A172" s="434"/>
      <c r="B172" s="15"/>
      <c r="C172" s="17" t="s">
        <v>95</v>
      </c>
      <c r="D172" s="2457" t="str">
        <f>INDEX(Vectors[Description], MATCH(XV.a.Outputs[Vector], Vectors[Code], 0))</f>
        <v>Electricity (delivered to end user)</v>
      </c>
      <c r="E172" s="17"/>
      <c r="F172" s="2491">
        <f ca="1">-F$132</f>
        <v>-0.22598810482362028</v>
      </c>
      <c r="G172" s="2491">
        <f t="shared" ref="G172:N172" ca="1" si="23">-G$132</f>
        <v>-0.22598810482362028</v>
      </c>
      <c r="H172" s="2491">
        <f t="shared" ca="1" si="23"/>
        <v>-0.22598810482362028</v>
      </c>
      <c r="I172" s="2491">
        <f t="shared" ca="1" si="23"/>
        <v>-0.22598810482362028</v>
      </c>
      <c r="J172" s="2491">
        <f t="shared" ca="1" si="23"/>
        <v>-0.22598810482362028</v>
      </c>
      <c r="K172" s="2491">
        <f t="shared" ca="1" si="23"/>
        <v>-0.22598810482362028</v>
      </c>
      <c r="L172" s="2491">
        <f t="shared" ca="1" si="23"/>
        <v>-0.22598810482362028</v>
      </c>
      <c r="M172" s="2491">
        <f t="shared" ca="1" si="23"/>
        <v>-0.22598810482362028</v>
      </c>
      <c r="N172" s="2491">
        <f t="shared" ca="1" si="23"/>
        <v>-0.22598810482362028</v>
      </c>
      <c r="O172" s="858"/>
    </row>
    <row r="173" spans="1:15" ht="15.5">
      <c r="A173" s="434"/>
      <c r="B173" s="15"/>
      <c r="C173" s="17" t="s">
        <v>98</v>
      </c>
      <c r="D173" s="2457" t="str">
        <f>INDEX(Vectors[Description], MATCH(XV.a.Outputs[Vector], Vectors[Code], 0))</f>
        <v>Liquid hydrocarbons</v>
      </c>
      <c r="E173" s="17"/>
      <c r="F173" s="2491">
        <f ca="1">-F$133</f>
        <v>-1.8522858135888711</v>
      </c>
      <c r="G173" s="2491">
        <f t="shared" ref="G173:N173" ca="1" si="24">-G$133</f>
        <v>-1.8522858135888711</v>
      </c>
      <c r="H173" s="2491">
        <f t="shared" ca="1" si="24"/>
        <v>-1.8522858135888711</v>
      </c>
      <c r="I173" s="2491">
        <f t="shared" ca="1" si="24"/>
        <v>-1.8522858135888711</v>
      </c>
      <c r="J173" s="2491">
        <f t="shared" ca="1" si="24"/>
        <v>-1.8522858135888711</v>
      </c>
      <c r="K173" s="2491">
        <f t="shared" ca="1" si="24"/>
        <v>-1.8522858135888711</v>
      </c>
      <c r="L173" s="2491">
        <f t="shared" ca="1" si="24"/>
        <v>-1.8522858135888711</v>
      </c>
      <c r="M173" s="2491">
        <f t="shared" ca="1" si="24"/>
        <v>-1.8522858135888711</v>
      </c>
      <c r="N173" s="2491">
        <f t="shared" ca="1" si="24"/>
        <v>-1.8522858135888711</v>
      </c>
      <c r="O173" s="858"/>
    </row>
    <row r="174" spans="1:15" ht="15.5">
      <c r="A174" s="434"/>
      <c r="B174" s="15"/>
      <c r="C174" s="17" t="s">
        <v>99</v>
      </c>
      <c r="D174" s="2457" t="str">
        <f>INDEX(Vectors[Description], MATCH(XV.a.Outputs[Vector], Vectors[Code], 0))</f>
        <v>Gaseous hydrocarbons</v>
      </c>
      <c r="E174" s="17"/>
      <c r="F174" s="2491">
        <f ca="1">-F$134</f>
        <v>-8.2401953248703863E-2</v>
      </c>
      <c r="G174" s="2491">
        <f t="shared" ref="G174:N174" ca="1" si="25">-G$134</f>
        <v>-8.2401953248703863E-2</v>
      </c>
      <c r="H174" s="2491">
        <f t="shared" ca="1" si="25"/>
        <v>-8.2401953248703863E-2</v>
      </c>
      <c r="I174" s="2491">
        <f t="shared" ca="1" si="25"/>
        <v>-8.2401953248703863E-2</v>
      </c>
      <c r="J174" s="2491">
        <f t="shared" ca="1" si="25"/>
        <v>-8.2401953248703863E-2</v>
      </c>
      <c r="K174" s="2491">
        <f t="shared" ca="1" si="25"/>
        <v>-8.2401953248703863E-2</v>
      </c>
      <c r="L174" s="2491">
        <f t="shared" ca="1" si="25"/>
        <v>-8.2401953248703863E-2</v>
      </c>
      <c r="M174" s="2491">
        <f t="shared" ca="1" si="25"/>
        <v>-8.2401953248703863E-2</v>
      </c>
      <c r="N174" s="2491">
        <f t="shared" ca="1" si="25"/>
        <v>-8.2401953248703863E-2</v>
      </c>
      <c r="O174" s="858"/>
    </row>
    <row r="175" spans="1:15" ht="15.5">
      <c r="A175" s="434"/>
      <c r="B175" s="15"/>
      <c r="C175" s="17" t="s">
        <v>100</v>
      </c>
      <c r="D175" s="2457" t="str">
        <f>INDEX(Vectors[Description], MATCH(XV.a.Outputs[Vector], Vectors[Code], 0))</f>
        <v>Heat transport</v>
      </c>
      <c r="E175" s="17"/>
      <c r="F175" s="2491">
        <f ca="1">-F135</f>
        <v>-2.6537999724419409E-2</v>
      </c>
      <c r="G175" s="2491">
        <f t="shared" ref="G175:N175" ca="1" si="26">-G135</f>
        <v>-2.6537999724419409E-2</v>
      </c>
      <c r="H175" s="2491">
        <f t="shared" ca="1" si="26"/>
        <v>-2.6537999724419409E-2</v>
      </c>
      <c r="I175" s="2491">
        <f t="shared" ca="1" si="26"/>
        <v>-2.6537999724419409E-2</v>
      </c>
      <c r="J175" s="2491">
        <f t="shared" ca="1" si="26"/>
        <v>-2.6537999724419409E-2</v>
      </c>
      <c r="K175" s="2491">
        <f t="shared" ca="1" si="26"/>
        <v>-2.6537999724419409E-2</v>
      </c>
      <c r="L175" s="2491">
        <f t="shared" ca="1" si="26"/>
        <v>-2.6537999724419409E-2</v>
      </c>
      <c r="M175" s="2491">
        <f t="shared" ca="1" si="26"/>
        <v>-2.6537999724419409E-2</v>
      </c>
      <c r="N175" s="2491">
        <f t="shared" ca="1" si="26"/>
        <v>-2.6537999724419409E-2</v>
      </c>
      <c r="O175" s="858"/>
    </row>
    <row r="176" spans="1:15" ht="15.5">
      <c r="A176" s="434"/>
      <c r="B176" s="15"/>
      <c r="C176" s="17" t="s">
        <v>417</v>
      </c>
      <c r="D176" s="2457" t="str">
        <f>INDEX(Vectors[Description], MATCH(XV.a.Outputs[Vector], Vectors[Code], 0))</f>
        <v>Oil and petroleum products</v>
      </c>
      <c r="E176" s="17"/>
      <c r="F176" s="2491">
        <f ca="1">-F$127+F$129</f>
        <v>0</v>
      </c>
      <c r="G176" s="2491">
        <f t="shared" ref="G176:N176" ca="1" si="27">-G$127+G$129</f>
        <v>0</v>
      </c>
      <c r="H176" s="2491">
        <f t="shared" ca="1" si="27"/>
        <v>0</v>
      </c>
      <c r="I176" s="2491">
        <f t="shared" ca="1" si="27"/>
        <v>0</v>
      </c>
      <c r="J176" s="2491">
        <f t="shared" ca="1" si="27"/>
        <v>0</v>
      </c>
      <c r="K176" s="2491">
        <f t="shared" ca="1" si="27"/>
        <v>0</v>
      </c>
      <c r="L176" s="2491">
        <f t="shared" ca="1" si="27"/>
        <v>0</v>
      </c>
      <c r="M176" s="2491">
        <f t="shared" ca="1" si="27"/>
        <v>0</v>
      </c>
      <c r="N176" s="2491">
        <f t="shared" ca="1" si="27"/>
        <v>0</v>
      </c>
      <c r="O176" s="858"/>
    </row>
    <row r="177" spans="1:23" ht="15.5">
      <c r="A177" s="434"/>
      <c r="B177" s="15"/>
      <c r="C177" s="17" t="s">
        <v>103</v>
      </c>
      <c r="D177" s="2457" t="str">
        <f>INDEX(Vectors[Description], MATCH(XV.a.Outputs[Vector], Vectors[Code], 0))</f>
        <v>Conversion losses</v>
      </c>
      <c r="E177" s="17"/>
      <c r="F177" s="2491">
        <f ca="1">F$128</f>
        <v>0</v>
      </c>
      <c r="G177" s="2491">
        <f t="shared" ref="G177:N177" ca="1" si="28">G$128</f>
        <v>0</v>
      </c>
      <c r="H177" s="2491">
        <f t="shared" ca="1" si="28"/>
        <v>0</v>
      </c>
      <c r="I177" s="2491">
        <f t="shared" ca="1" si="28"/>
        <v>0</v>
      </c>
      <c r="J177" s="2491">
        <f t="shared" ca="1" si="28"/>
        <v>0</v>
      </c>
      <c r="K177" s="2491">
        <f t="shared" ca="1" si="28"/>
        <v>0</v>
      </c>
      <c r="L177" s="2491">
        <f t="shared" ca="1" si="28"/>
        <v>0</v>
      </c>
      <c r="M177" s="2491">
        <f t="shared" ca="1" si="28"/>
        <v>0</v>
      </c>
      <c r="N177" s="2491">
        <f t="shared" ca="1" si="28"/>
        <v>0</v>
      </c>
      <c r="O177" s="858"/>
    </row>
    <row r="178" spans="1:23" ht="15.5">
      <c r="A178" s="434"/>
      <c r="B178" s="15"/>
      <c r="C178" s="17" t="s">
        <v>445</v>
      </c>
      <c r="D178" s="2457" t="str">
        <f>INDEX(Vectors[Description], MATCH(XV.a.Outputs[Vector], Vectors[Code], 0))</f>
        <v>Distribution losses and own use</v>
      </c>
      <c r="E178" s="17"/>
      <c r="F178" s="2491">
        <f ca="1">F$132+F$133+F$134+F$135</f>
        <v>2.1872138713856146</v>
      </c>
      <c r="G178" s="2491">
        <f t="shared" ref="G178:N178" ca="1" si="29">G$132+G$133+G$134+G$135</f>
        <v>2.1872138713856146</v>
      </c>
      <c r="H178" s="2491">
        <f t="shared" ca="1" si="29"/>
        <v>2.1872138713856146</v>
      </c>
      <c r="I178" s="2491">
        <f t="shared" ca="1" si="29"/>
        <v>2.1872138713856146</v>
      </c>
      <c r="J178" s="2491">
        <f t="shared" ca="1" si="29"/>
        <v>2.1872138713856146</v>
      </c>
      <c r="K178" s="2491">
        <f t="shared" ca="1" si="29"/>
        <v>2.1872138713856146</v>
      </c>
      <c r="L178" s="2491">
        <f t="shared" ca="1" si="29"/>
        <v>2.1872138713856146</v>
      </c>
      <c r="M178" s="2491">
        <f t="shared" ca="1" si="29"/>
        <v>2.1872138713856146</v>
      </c>
      <c r="N178" s="2491">
        <f t="shared" ca="1" si="29"/>
        <v>2.1872138713856146</v>
      </c>
      <c r="O178" s="858"/>
    </row>
    <row r="179" spans="1:23" ht="15.5">
      <c r="A179" s="434"/>
      <c r="B179" s="15"/>
      <c r="C179" s="2432" t="s">
        <v>58</v>
      </c>
      <c r="D179" s="2432"/>
      <c r="E179" s="2432"/>
      <c r="F179" s="2435">
        <f ca="1">SUBTOTAL(109,XV.a.Outputs[2013])</f>
        <v>0</v>
      </c>
      <c r="G179" s="2435">
        <f ca="1">SUBTOTAL(109,XV.a.Outputs[2015])</f>
        <v>0</v>
      </c>
      <c r="H179" s="2435">
        <f ca="1">SUBTOTAL(109,XV.a.Outputs[2020])</f>
        <v>0</v>
      </c>
      <c r="I179" s="2435">
        <f ca="1">SUBTOTAL(109,XV.a.Outputs[2025])</f>
        <v>0</v>
      </c>
      <c r="J179" s="2435">
        <f ca="1">SUBTOTAL(109,XV.a.Outputs[2030])</f>
        <v>0</v>
      </c>
      <c r="K179" s="2435">
        <f ca="1">SUBTOTAL(109,XV.a.Outputs[2035])</f>
        <v>0</v>
      </c>
      <c r="L179" s="2435">
        <f ca="1">SUBTOTAL(109,XV.a.Outputs[2040])</f>
        <v>0</v>
      </c>
      <c r="M179" s="2435">
        <f ca="1">SUBTOTAL(109,XV.a.Outputs[2045])</f>
        <v>0</v>
      </c>
      <c r="N179" s="2435">
        <f ca="1">SUBTOTAL(109,XV.a.Outputs[2050])</f>
        <v>0</v>
      </c>
      <c r="O179" s="858"/>
    </row>
    <row r="180" spans="1:23" ht="15.5">
      <c r="B180" s="15"/>
      <c r="C180" s="2888"/>
      <c r="D180" s="2889"/>
      <c r="E180" s="2889"/>
      <c r="F180" s="2889"/>
      <c r="G180" s="2889"/>
      <c r="H180" s="2889"/>
      <c r="I180" s="2889"/>
      <c r="J180" s="2889"/>
      <c r="K180" s="2889"/>
      <c r="L180" s="2889"/>
      <c r="M180" s="2889"/>
      <c r="N180" s="2889"/>
      <c r="O180" s="35"/>
    </row>
    <row r="181" spans="1:23" ht="23.5">
      <c r="A181" s="7"/>
    </row>
    <row r="182" spans="1:23" ht="22.5" customHeight="1">
      <c r="B182" s="1118" t="s">
        <v>300</v>
      </c>
      <c r="C182" s="1119"/>
      <c r="D182" s="1120"/>
      <c r="E182" s="1120"/>
      <c r="F182" s="1120"/>
      <c r="G182" s="1120"/>
      <c r="H182" s="1120"/>
      <c r="I182" s="1120"/>
      <c r="J182" s="1120"/>
      <c r="K182" s="1120"/>
      <c r="L182" s="1120"/>
      <c r="M182" s="1120"/>
      <c r="N182" s="1120"/>
      <c r="O182" s="1121"/>
    </row>
    <row r="183" spans="1:23" ht="9.75" customHeight="1">
      <c r="B183" s="1122"/>
      <c r="C183" s="1123"/>
      <c r="D183" s="1123"/>
      <c r="E183" s="1123"/>
      <c r="F183" s="1123"/>
      <c r="G183" s="1123"/>
      <c r="H183" s="1123"/>
      <c r="I183" s="1123"/>
      <c r="J183" s="1123"/>
      <c r="K183" s="1123"/>
      <c r="L183" s="1123"/>
      <c r="M183" s="1123"/>
      <c r="N183" s="1123"/>
      <c r="O183" s="1124"/>
    </row>
    <row r="184" spans="1:23" ht="21" customHeight="1">
      <c r="B184" s="1125"/>
      <c r="C184" s="453" t="s">
        <v>1308</v>
      </c>
      <c r="D184" s="1126"/>
      <c r="E184" s="1127"/>
      <c r="F184" s="1126"/>
      <c r="G184" s="1126"/>
      <c r="H184" s="1126"/>
      <c r="I184" s="1126"/>
      <c r="J184" s="1126"/>
      <c r="K184" s="1126"/>
      <c r="L184" s="1126"/>
      <c r="M184" s="1126"/>
      <c r="N184" s="1127" t="s">
        <v>251</v>
      </c>
      <c r="O184" s="1129"/>
    </row>
    <row r="185" spans="1:23">
      <c r="B185" s="1125"/>
      <c r="C185" s="1126"/>
      <c r="D185" s="1126"/>
      <c r="E185" s="1126"/>
      <c r="F185" s="1126"/>
      <c r="G185" s="1126"/>
      <c r="H185" s="1126"/>
      <c r="I185" s="1126"/>
      <c r="J185" s="1126"/>
      <c r="K185" s="1126"/>
      <c r="L185" s="1126"/>
      <c r="M185" s="1126"/>
      <c r="N185" s="1126"/>
      <c r="O185" s="1129"/>
    </row>
    <row r="186" spans="1:23" ht="15.5">
      <c r="B186" s="458"/>
      <c r="C186" s="1327" t="s">
        <v>302</v>
      </c>
      <c r="D186" s="1327" t="s">
        <v>303</v>
      </c>
      <c r="E186" s="1327" t="s">
        <v>30</v>
      </c>
      <c r="F186" s="1327" t="s">
        <v>588</v>
      </c>
      <c r="G186" s="1327" t="s">
        <v>132</v>
      </c>
      <c r="H186" s="1327" t="s">
        <v>133</v>
      </c>
      <c r="I186" s="1327" t="s">
        <v>134</v>
      </c>
      <c r="J186" s="1327" t="s">
        <v>135</v>
      </c>
      <c r="K186" s="1327" t="s">
        <v>136</v>
      </c>
      <c r="L186" s="1327" t="s">
        <v>137</v>
      </c>
      <c r="M186" s="1327" t="s">
        <v>138</v>
      </c>
      <c r="N186" s="1327" t="s">
        <v>139</v>
      </c>
      <c r="O186" s="1129"/>
    </row>
    <row r="187" spans="1:23" ht="15.5">
      <c r="B187" s="458"/>
      <c r="C187" s="1131" t="s">
        <v>250</v>
      </c>
      <c r="D187" s="1132" t="s">
        <v>304</v>
      </c>
      <c r="E187" s="1131" t="s">
        <v>305</v>
      </c>
      <c r="F187" s="2443">
        <f ca="1">F$139</f>
        <v>0.50565060724124977</v>
      </c>
      <c r="G187" s="2443">
        <f t="shared" ref="G187:N187" ca="1" si="30">G$139</f>
        <v>0.50565060724124977</v>
      </c>
      <c r="H187" s="2443">
        <f t="shared" ca="1" si="30"/>
        <v>0.50565060724124977</v>
      </c>
      <c r="I187" s="2443">
        <f t="shared" ca="1" si="30"/>
        <v>0.50565060724124977</v>
      </c>
      <c r="J187" s="2443">
        <f t="shared" ca="1" si="30"/>
        <v>0.50565060724124977</v>
      </c>
      <c r="K187" s="2443">
        <f t="shared" ca="1" si="30"/>
        <v>0.50565060724124977</v>
      </c>
      <c r="L187" s="2443">
        <f t="shared" ca="1" si="30"/>
        <v>0.50565060724124977</v>
      </c>
      <c r="M187" s="2443">
        <f t="shared" ca="1" si="30"/>
        <v>0.50565060724124977</v>
      </c>
      <c r="N187" s="2443">
        <f t="shared" ca="1" si="30"/>
        <v>0.50565060724124977</v>
      </c>
      <c r="O187" s="1129"/>
      <c r="R187" s="39"/>
      <c r="S187" s="39"/>
      <c r="T187" s="39"/>
      <c r="U187" s="39"/>
      <c r="V187" s="39"/>
      <c r="W187" s="39"/>
    </row>
    <row r="188" spans="1:23" ht="15.5">
      <c r="B188" s="458"/>
      <c r="C188" s="1131" t="s">
        <v>252</v>
      </c>
      <c r="D188" s="1132" t="s">
        <v>304</v>
      </c>
      <c r="E188" s="1131" t="s">
        <v>305</v>
      </c>
      <c r="F188" s="2443">
        <f ca="1">F$140</f>
        <v>4.2632801018755801E-4</v>
      </c>
      <c r="G188" s="2443">
        <f t="shared" ref="G188:N188" ca="1" si="31">G$140</f>
        <v>4.2632801018755801E-4</v>
      </c>
      <c r="H188" s="2443">
        <f t="shared" ca="1" si="31"/>
        <v>4.2632801018755801E-4</v>
      </c>
      <c r="I188" s="2443">
        <f t="shared" ca="1" si="31"/>
        <v>4.2632801018755801E-4</v>
      </c>
      <c r="J188" s="2443">
        <f t="shared" ca="1" si="31"/>
        <v>4.2632801018755801E-4</v>
      </c>
      <c r="K188" s="2443">
        <f t="shared" ca="1" si="31"/>
        <v>4.2632801018755801E-4</v>
      </c>
      <c r="L188" s="2443">
        <f t="shared" ca="1" si="31"/>
        <v>4.2632801018755801E-4</v>
      </c>
      <c r="M188" s="2443">
        <f t="shared" ca="1" si="31"/>
        <v>4.2632801018755801E-4</v>
      </c>
      <c r="N188" s="2443">
        <f t="shared" ca="1" si="31"/>
        <v>4.2632801018755801E-4</v>
      </c>
      <c r="O188" s="1129"/>
      <c r="R188" s="39"/>
      <c r="S188" s="39"/>
      <c r="T188" s="39"/>
      <c r="U188" s="39"/>
      <c r="V188" s="39"/>
      <c r="W188" s="39"/>
    </row>
    <row r="189" spans="1:23" ht="15.5">
      <c r="B189" s="458"/>
      <c r="C189" s="1131" t="s">
        <v>253</v>
      </c>
      <c r="D189" s="1132" t="s">
        <v>304</v>
      </c>
      <c r="E189" s="1131" t="s">
        <v>305</v>
      </c>
      <c r="F189" s="2443">
        <f ca="1">F$141</f>
        <v>1.5069762622732133E-3</v>
      </c>
      <c r="G189" s="2443">
        <f t="shared" ref="G189:N189" ca="1" si="32">G$141</f>
        <v>1.5069762622732133E-3</v>
      </c>
      <c r="H189" s="2443">
        <f t="shared" ca="1" si="32"/>
        <v>1.5069762622732133E-3</v>
      </c>
      <c r="I189" s="2443">
        <f t="shared" ca="1" si="32"/>
        <v>1.5069762622732133E-3</v>
      </c>
      <c r="J189" s="2443">
        <f t="shared" ca="1" si="32"/>
        <v>1.5069762622732133E-3</v>
      </c>
      <c r="K189" s="2443">
        <f t="shared" ca="1" si="32"/>
        <v>1.5069762622732133E-3</v>
      </c>
      <c r="L189" s="2443">
        <f t="shared" ca="1" si="32"/>
        <v>1.5069762622732133E-3</v>
      </c>
      <c r="M189" s="2443">
        <f t="shared" ca="1" si="32"/>
        <v>1.5069762622732133E-3</v>
      </c>
      <c r="N189" s="2443">
        <f t="shared" ca="1" si="32"/>
        <v>1.5069762622732133E-3</v>
      </c>
      <c r="O189" s="1129"/>
      <c r="R189" s="39"/>
      <c r="S189" s="39"/>
      <c r="T189" s="39"/>
      <c r="U189" s="39"/>
      <c r="V189" s="39"/>
      <c r="W189" s="39"/>
    </row>
    <row r="190" spans="1:23" ht="15.5">
      <c r="B190" s="458"/>
      <c r="C190" s="2436" t="s">
        <v>58</v>
      </c>
      <c r="D190" s="2436"/>
      <c r="E190" s="2436"/>
      <c r="F190" s="2437">
        <f ca="1">SUBTOTAL(109,XV.a.Emissions[2013])</f>
        <v>0.50758391151371063</v>
      </c>
      <c r="G190" s="2437">
        <f ca="1">SUBTOTAL(109,XV.a.Emissions[2015])</f>
        <v>0.50758391151371063</v>
      </c>
      <c r="H190" s="2437">
        <f ca="1">SUBTOTAL(109,XV.a.Emissions[2020])</f>
        <v>0.50758391151371063</v>
      </c>
      <c r="I190" s="2437">
        <f ca="1">SUBTOTAL(109,XV.a.Emissions[2025])</f>
        <v>0.50758391151371063</v>
      </c>
      <c r="J190" s="2437">
        <f ca="1">SUBTOTAL(109,XV.a.Emissions[2030])</f>
        <v>0.50758391151371063</v>
      </c>
      <c r="K190" s="2437">
        <f ca="1">SUBTOTAL(109,XV.a.Emissions[2035])</f>
        <v>0.50758391151371063</v>
      </c>
      <c r="L190" s="2437">
        <f ca="1">SUBTOTAL(109,XV.a.Emissions[2040])</f>
        <v>0.50758391151371063</v>
      </c>
      <c r="M190" s="2437">
        <f ca="1">SUBTOTAL(109,XV.a.Emissions[2045])</f>
        <v>0.50758391151371063</v>
      </c>
      <c r="N190" s="2437">
        <f ca="1">SUBTOTAL(109,XV.a.Emissions[2050])</f>
        <v>0.50758391151371063</v>
      </c>
      <c r="O190" s="1129"/>
      <c r="R190" s="39"/>
      <c r="S190" s="39"/>
      <c r="T190" s="39"/>
      <c r="U190" s="39"/>
      <c r="V190" s="39"/>
      <c r="W190" s="39"/>
    </row>
    <row r="191" spans="1:23" ht="15.5">
      <c r="B191" s="458"/>
      <c r="C191" s="1126"/>
      <c r="D191" s="1126"/>
      <c r="E191" s="1126"/>
      <c r="F191" s="1126"/>
      <c r="G191" s="1126"/>
      <c r="H191" s="1126"/>
      <c r="I191" s="1126"/>
      <c r="J191" s="1126"/>
      <c r="K191" s="1126"/>
      <c r="L191" s="1126"/>
      <c r="M191" s="1126"/>
      <c r="N191" s="1126"/>
      <c r="O191" s="465"/>
      <c r="R191" s="39"/>
      <c r="S191" s="39"/>
      <c r="T191" s="39"/>
      <c r="U191" s="39"/>
      <c r="V191" s="39"/>
      <c r="W191" s="39"/>
    </row>
    <row r="192" spans="1:23" ht="21.75" customHeight="1" collapsed="1">
      <c r="R192" s="39"/>
      <c r="S192" s="39"/>
      <c r="T192" s="850"/>
      <c r="U192" s="39"/>
      <c r="V192" s="39"/>
      <c r="W192" s="39"/>
    </row>
    <row r="193" spans="2:23">
      <c r="R193" s="39"/>
      <c r="S193" s="39"/>
      <c r="T193" s="850"/>
      <c r="U193" s="39"/>
      <c r="V193" s="39"/>
      <c r="W193" s="39"/>
    </row>
    <row r="194" spans="2:23" ht="15">
      <c r="B194" s="986" t="s">
        <v>310</v>
      </c>
      <c r="C194" s="987"/>
      <c r="D194" s="988"/>
      <c r="E194" s="988"/>
      <c r="F194" s="988"/>
      <c r="G194" s="988"/>
      <c r="H194" s="988"/>
      <c r="I194" s="988"/>
      <c r="J194" s="988"/>
      <c r="K194" s="988"/>
      <c r="L194" s="988"/>
      <c r="M194" s="988"/>
      <c r="N194" s="988"/>
      <c r="O194" s="989"/>
      <c r="R194" s="39"/>
      <c r="S194" s="39"/>
      <c r="T194" s="850"/>
      <c r="U194" s="39"/>
      <c r="V194" s="39"/>
      <c r="W194" s="39"/>
    </row>
    <row r="195" spans="2:23" ht="6" customHeight="1">
      <c r="B195" s="990"/>
      <c r="C195" s="991"/>
      <c r="D195" s="991"/>
      <c r="E195" s="991"/>
      <c r="F195" s="991"/>
      <c r="G195" s="991"/>
      <c r="H195" s="991"/>
      <c r="I195" s="991"/>
      <c r="J195" s="991"/>
      <c r="K195" s="991"/>
      <c r="L195" s="991"/>
      <c r="M195" s="991"/>
      <c r="N195" s="991"/>
      <c r="O195" s="992"/>
      <c r="R195" s="39"/>
      <c r="S195" s="39"/>
      <c r="T195" s="850"/>
      <c r="U195" s="39"/>
      <c r="V195" s="39"/>
      <c r="W195" s="39"/>
    </row>
    <row r="196" spans="2:23">
      <c r="B196" s="993"/>
      <c r="C196" s="479" t="s">
        <v>311</v>
      </c>
      <c r="D196" s="994"/>
      <c r="E196" s="995"/>
      <c r="F196" s="994"/>
      <c r="G196" s="994"/>
      <c r="H196" s="994"/>
      <c r="I196" s="994"/>
      <c r="J196" s="994"/>
      <c r="K196" s="994"/>
      <c r="L196" s="994"/>
      <c r="M196" s="994"/>
      <c r="N196" s="995"/>
      <c r="O196" s="996"/>
      <c r="R196" s="39"/>
      <c r="S196" s="39"/>
      <c r="T196" s="39"/>
      <c r="U196" s="39"/>
      <c r="V196" s="39"/>
      <c r="W196" s="39"/>
    </row>
    <row r="197" spans="2:23">
      <c r="B197" s="993"/>
      <c r="C197" s="994"/>
      <c r="D197" s="994"/>
      <c r="E197" s="994"/>
      <c r="F197" s="994"/>
      <c r="G197" s="994"/>
      <c r="H197" s="994"/>
      <c r="I197" s="994"/>
      <c r="J197" s="994"/>
      <c r="K197" s="994"/>
      <c r="L197" s="994"/>
      <c r="M197" s="994"/>
      <c r="N197" s="994"/>
      <c r="O197" s="996"/>
      <c r="R197" s="39"/>
      <c r="S197" s="39"/>
      <c r="T197" s="39"/>
      <c r="U197" s="39"/>
      <c r="V197" s="39"/>
      <c r="W197" s="39"/>
    </row>
    <row r="198" spans="2:23" ht="15.5">
      <c r="B198" s="483"/>
      <c r="C198" s="997" t="s">
        <v>28</v>
      </c>
      <c r="D198" s="997" t="s">
        <v>312</v>
      </c>
      <c r="E198" s="997" t="s">
        <v>30</v>
      </c>
      <c r="F198" s="997">
        <v>2013</v>
      </c>
      <c r="G198" s="997" t="s">
        <v>132</v>
      </c>
      <c r="H198" s="997" t="s">
        <v>133</v>
      </c>
      <c r="I198" s="997" t="s">
        <v>134</v>
      </c>
      <c r="J198" s="997" t="s">
        <v>135</v>
      </c>
      <c r="K198" s="997" t="s">
        <v>136</v>
      </c>
      <c r="L198" s="997" t="s">
        <v>137</v>
      </c>
      <c r="M198" s="997" t="s">
        <v>138</v>
      </c>
      <c r="N198" s="997" t="s">
        <v>139</v>
      </c>
      <c r="O198" s="996"/>
    </row>
    <row r="199" spans="2:23" ht="15.5">
      <c r="B199" s="483"/>
      <c r="C199" s="998" t="s">
        <v>868</v>
      </c>
      <c r="D199" s="485" t="s">
        <v>1236</v>
      </c>
      <c r="E199" s="485"/>
      <c r="F199" s="2408"/>
      <c r="G199" s="2408"/>
      <c r="H199" s="2408"/>
      <c r="I199" s="2408"/>
      <c r="J199" s="2408"/>
      <c r="K199" s="2408"/>
      <c r="L199" s="2408"/>
      <c r="M199" s="2408"/>
      <c r="N199" s="2408"/>
      <c r="O199" s="996"/>
    </row>
    <row r="200" spans="2:23" ht="15.5">
      <c r="B200" s="483"/>
      <c r="C200" s="998" t="s">
        <v>748</v>
      </c>
      <c r="D200" s="485" t="s">
        <v>749</v>
      </c>
      <c r="E200" s="485"/>
      <c r="F200" s="2408"/>
      <c r="G200" s="2408"/>
      <c r="H200" s="2408"/>
      <c r="I200" s="2408"/>
      <c r="J200" s="2408"/>
      <c r="K200" s="2408"/>
      <c r="L200" s="2408"/>
      <c r="M200" s="2408"/>
      <c r="N200" s="2408"/>
      <c r="O200" s="996"/>
    </row>
    <row r="201" spans="2:23" ht="15.5">
      <c r="B201" s="483"/>
      <c r="C201" s="998" t="s">
        <v>313</v>
      </c>
      <c r="D201" s="485" t="s">
        <v>314</v>
      </c>
      <c r="E201" s="485"/>
      <c r="F201" s="2408"/>
      <c r="G201" s="2408"/>
      <c r="H201" s="2408"/>
      <c r="I201" s="2408"/>
      <c r="J201" s="2408"/>
      <c r="K201" s="2408"/>
      <c r="L201" s="2408"/>
      <c r="M201" s="2408"/>
      <c r="N201" s="2408"/>
      <c r="O201" s="996"/>
    </row>
    <row r="202" spans="2:23" ht="15.5">
      <c r="B202" s="488"/>
      <c r="C202" s="1001"/>
      <c r="D202" s="1001"/>
      <c r="E202" s="1001"/>
      <c r="F202" s="1001"/>
      <c r="G202" s="1001"/>
      <c r="H202" s="1001"/>
      <c r="I202" s="1001"/>
      <c r="J202" s="1001"/>
      <c r="K202" s="1001"/>
      <c r="L202" s="1001"/>
      <c r="M202" s="1001"/>
      <c r="N202" s="1001"/>
      <c r="O202" s="1002"/>
    </row>
    <row r="205" spans="2:23" ht="15">
      <c r="B205" s="986" t="s">
        <v>2720</v>
      </c>
      <c r="C205" s="988"/>
      <c r="D205" s="988"/>
      <c r="E205" s="988"/>
      <c r="F205" s="988"/>
      <c r="G205" s="988"/>
      <c r="H205" s="988"/>
      <c r="I205" s="988"/>
      <c r="J205" s="988"/>
      <c r="K205" s="988"/>
      <c r="L205" s="988"/>
      <c r="M205" s="988"/>
      <c r="N205" s="988"/>
      <c r="O205" s="989"/>
    </row>
    <row r="206" spans="2:23" ht="4.5" customHeight="1">
      <c r="B206" s="993"/>
      <c r="C206" s="994"/>
      <c r="D206" s="994"/>
      <c r="E206" s="994"/>
      <c r="F206" s="994"/>
      <c r="G206" s="994"/>
      <c r="H206" s="994"/>
      <c r="I206" s="994"/>
      <c r="J206" s="994"/>
      <c r="K206" s="994"/>
      <c r="L206" s="994"/>
      <c r="M206" s="994"/>
      <c r="N206" s="994"/>
      <c r="O206" s="996"/>
    </row>
    <row r="207" spans="2:23" hidden="1">
      <c r="B207" s="993"/>
      <c r="C207" s="491" t="s">
        <v>751</v>
      </c>
      <c r="D207" s="1003"/>
      <c r="E207" s="1003"/>
      <c r="F207" s="1003"/>
      <c r="G207" s="1003"/>
      <c r="H207" s="1003"/>
      <c r="I207" s="1003"/>
      <c r="J207" s="1003"/>
      <c r="K207" s="1003"/>
      <c r="L207" s="1003"/>
      <c r="M207" s="1003"/>
      <c r="N207" s="1004" t="s">
        <v>2736</v>
      </c>
      <c r="O207" s="996"/>
    </row>
    <row r="208" spans="2:23" hidden="1">
      <c r="B208" s="993"/>
      <c r="C208" s="994"/>
      <c r="D208" s="994"/>
      <c r="E208" s="994"/>
      <c r="F208" s="994"/>
      <c r="G208" s="994"/>
      <c r="H208" s="994"/>
      <c r="I208" s="994"/>
      <c r="J208" s="994"/>
      <c r="K208" s="994"/>
      <c r="L208" s="994"/>
      <c r="M208" s="994"/>
      <c r="N208" s="994"/>
      <c r="O208" s="996"/>
    </row>
    <row r="209" spans="2:15" ht="15.5" hidden="1">
      <c r="B209" s="483"/>
      <c r="C209" s="997" t="s">
        <v>28</v>
      </c>
      <c r="D209" s="997" t="s">
        <v>29</v>
      </c>
      <c r="E209" s="997" t="s">
        <v>30</v>
      </c>
      <c r="F209" s="997">
        <v>2013</v>
      </c>
      <c r="G209" s="997" t="s">
        <v>132</v>
      </c>
      <c r="H209" s="997" t="s">
        <v>133</v>
      </c>
      <c r="I209" s="997" t="s">
        <v>134</v>
      </c>
      <c r="J209" s="997" t="s">
        <v>135</v>
      </c>
      <c r="K209" s="997" t="s">
        <v>136</v>
      </c>
      <c r="L209" s="997" t="s">
        <v>137</v>
      </c>
      <c r="M209" s="997" t="s">
        <v>138</v>
      </c>
      <c r="N209" s="997" t="s">
        <v>139</v>
      </c>
      <c r="O209" s="1141"/>
    </row>
    <row r="210" spans="2:15" ht="15.5" hidden="1">
      <c r="B210" s="483"/>
      <c r="C210" s="998" t="s">
        <v>321</v>
      </c>
      <c r="D210" s="485" t="s">
        <v>322</v>
      </c>
      <c r="E210" s="485"/>
      <c r="F210" s="2410"/>
      <c r="G210" s="2410"/>
      <c r="H210" s="2410"/>
      <c r="I210" s="2410"/>
      <c r="J210" s="2410"/>
      <c r="K210" s="2410"/>
      <c r="L210" s="2410"/>
      <c r="M210" s="2410"/>
      <c r="N210" s="2410"/>
      <c r="O210" s="1141"/>
    </row>
    <row r="211" spans="2:15" ht="15.5" hidden="1">
      <c r="B211" s="483"/>
      <c r="C211" s="998" t="s">
        <v>328</v>
      </c>
      <c r="D211" s="485" t="s">
        <v>329</v>
      </c>
      <c r="E211" s="485"/>
      <c r="F211" s="2410"/>
      <c r="G211" s="2410"/>
      <c r="H211" s="2410"/>
      <c r="I211" s="2410"/>
      <c r="J211" s="2410"/>
      <c r="K211" s="2410"/>
      <c r="L211" s="2410"/>
      <c r="M211" s="2410"/>
      <c r="N211" s="2410"/>
      <c r="O211" s="1141"/>
    </row>
    <row r="212" spans="2:15" ht="15.5" hidden="1">
      <c r="B212" s="483"/>
      <c r="C212" s="998" t="s">
        <v>323</v>
      </c>
      <c r="D212" s="485" t="s">
        <v>324</v>
      </c>
      <c r="E212" s="485"/>
      <c r="F212" s="2410"/>
      <c r="G212" s="2410"/>
      <c r="H212" s="2410"/>
      <c r="I212" s="2410"/>
      <c r="J212" s="2410"/>
      <c r="K212" s="2410"/>
      <c r="L212" s="2410"/>
      <c r="M212" s="2410"/>
      <c r="N212" s="2410"/>
      <c r="O212" s="1141"/>
    </row>
    <row r="213" spans="2:15" hidden="1">
      <c r="B213" s="494"/>
      <c r="C213" s="998" t="s">
        <v>330</v>
      </c>
      <c r="D213" s="485" t="s">
        <v>331</v>
      </c>
      <c r="E213" s="485"/>
      <c r="F213" s="2410"/>
      <c r="G213" s="2410"/>
      <c r="H213" s="2410"/>
      <c r="I213" s="2410"/>
      <c r="J213" s="2410"/>
      <c r="K213" s="2410"/>
      <c r="L213" s="2410"/>
      <c r="M213" s="2410"/>
      <c r="N213" s="2410"/>
      <c r="O213" s="1142"/>
    </row>
    <row r="214" spans="2:15" hidden="1">
      <c r="B214" s="494"/>
      <c r="C214" s="998" t="s">
        <v>325</v>
      </c>
      <c r="D214" s="485" t="s">
        <v>326</v>
      </c>
      <c r="E214" s="485"/>
      <c r="F214" s="2410"/>
      <c r="G214" s="2410"/>
      <c r="H214" s="2410"/>
      <c r="I214" s="2410"/>
      <c r="J214" s="2410"/>
      <c r="K214" s="2410"/>
      <c r="L214" s="2410"/>
      <c r="M214" s="2410"/>
      <c r="N214" s="2410"/>
      <c r="O214" s="1142"/>
    </row>
    <row r="215" spans="2:15" hidden="1">
      <c r="B215" s="494"/>
      <c r="C215" s="998" t="s">
        <v>332</v>
      </c>
      <c r="D215" s="485" t="s">
        <v>333</v>
      </c>
      <c r="E215" s="485"/>
      <c r="F215" s="2410"/>
      <c r="G215" s="2410"/>
      <c r="H215" s="2410"/>
      <c r="I215" s="2410"/>
      <c r="J215" s="2410"/>
      <c r="K215" s="2410"/>
      <c r="L215" s="2410"/>
      <c r="M215" s="2410"/>
      <c r="N215" s="2410"/>
      <c r="O215" s="1142"/>
    </row>
    <row r="216" spans="2:15" hidden="1">
      <c r="B216" s="1005"/>
      <c r="C216" s="1001"/>
      <c r="D216" s="1001"/>
      <c r="E216" s="1001"/>
      <c r="F216" s="1001"/>
      <c r="G216" s="1001"/>
      <c r="H216" s="1001"/>
      <c r="I216" s="1001"/>
      <c r="J216" s="1001"/>
      <c r="K216" s="1001"/>
      <c r="L216" s="1001"/>
      <c r="M216" s="1001"/>
      <c r="N216" s="1001"/>
      <c r="O216" s="1006"/>
    </row>
    <row r="218" spans="2:15">
      <c r="C218" s="3853" t="s">
        <v>28</v>
      </c>
      <c r="D218" s="3853" t="s">
        <v>29</v>
      </c>
      <c r="E218" s="3853" t="s">
        <v>303</v>
      </c>
      <c r="F218" s="3853">
        <v>2013</v>
      </c>
      <c r="G218" s="3853" t="s">
        <v>132</v>
      </c>
      <c r="H218" s="3853" t="s">
        <v>133</v>
      </c>
      <c r="I218" s="3853" t="s">
        <v>134</v>
      </c>
      <c r="J218" s="3853" t="s">
        <v>135</v>
      </c>
      <c r="K218" s="3853" t="s">
        <v>136</v>
      </c>
      <c r="L218" s="3853" t="s">
        <v>137</v>
      </c>
      <c r="M218" s="3853" t="s">
        <v>138</v>
      </c>
      <c r="N218" s="3853" t="s">
        <v>139</v>
      </c>
    </row>
    <row r="219" spans="2:15">
      <c r="C219" s="3853" t="s">
        <v>257</v>
      </c>
      <c r="D219" s="3853" t="s">
        <v>258</v>
      </c>
      <c r="E219" s="3853" t="s">
        <v>304</v>
      </c>
      <c r="F219" s="2887">
        <f t="shared" ref="F219:N219" ca="1" si="33">SUMPRODUCT(F$45:F$46,F$133:F$134)</f>
        <v>1.2475206316513682E-2</v>
      </c>
      <c r="G219" s="2887">
        <f t="shared" ca="1" si="33"/>
        <v>1.3491765364883236E-2</v>
      </c>
      <c r="H219" s="2887">
        <f t="shared" ca="1" si="33"/>
        <v>1.3642773346822124E-2</v>
      </c>
      <c r="I219" s="2887">
        <f t="shared" ca="1" si="33"/>
        <v>1.5086720118554088E-2</v>
      </c>
      <c r="J219" s="2887">
        <f t="shared" ca="1" si="33"/>
        <v>1.5086720118554088E-2</v>
      </c>
      <c r="K219" s="2887">
        <f t="shared" ca="1" si="33"/>
        <v>1.5086720118554088E-2</v>
      </c>
      <c r="L219" s="2887">
        <f t="shared" ca="1" si="33"/>
        <v>1.5086720118554088E-2</v>
      </c>
      <c r="M219" s="2887">
        <f t="shared" ca="1" si="33"/>
        <v>1.5086720118554088E-2</v>
      </c>
      <c r="N219" s="2887">
        <f t="shared" ca="1" si="33"/>
        <v>1.5086720118554088E-2</v>
      </c>
    </row>
    <row r="220" spans="2:15">
      <c r="C220" s="3853" t="s">
        <v>259</v>
      </c>
      <c r="D220" s="3853" t="s">
        <v>260</v>
      </c>
      <c r="E220" s="3853" t="s">
        <v>304</v>
      </c>
      <c r="F220" s="2887">
        <f t="shared" ref="F220:N220" ca="1" si="34">SUMPRODUCT(F$51:F$52,F$133:F$134)</f>
        <v>0.48872304006508932</v>
      </c>
      <c r="G220" s="2887">
        <f t="shared" ca="1" si="34"/>
        <v>0.73631515036938189</v>
      </c>
      <c r="H220" s="2887">
        <f t="shared" ca="1" si="34"/>
        <v>0.72197350457519038</v>
      </c>
      <c r="I220" s="2887">
        <f t="shared" ca="1" si="34"/>
        <v>0.71400472908306656</v>
      </c>
      <c r="J220" s="2887">
        <f t="shared" ca="1" si="34"/>
        <v>0.7138179228714655</v>
      </c>
      <c r="K220" s="2887">
        <f t="shared" ca="1" si="34"/>
        <v>0.7138179228714655</v>
      </c>
      <c r="L220" s="2887">
        <f t="shared" ca="1" si="34"/>
        <v>0.7138179228714655</v>
      </c>
      <c r="M220" s="2887">
        <f t="shared" ca="1" si="34"/>
        <v>0.7138179228714655</v>
      </c>
      <c r="N220" s="2887">
        <f t="shared" ca="1" si="34"/>
        <v>0.7138179228714655</v>
      </c>
    </row>
    <row r="221" spans="2:15">
      <c r="C221" s="3853" t="s">
        <v>261</v>
      </c>
      <c r="D221" s="3853" t="s">
        <v>262</v>
      </c>
      <c r="E221" s="3853" t="s">
        <v>304</v>
      </c>
      <c r="F221" s="2887">
        <f t="shared" ref="F221:N221" ca="1" si="35">SUMPRODUCT(F$57:F$58,F$133:F$134)</f>
        <v>0.64171226283607841</v>
      </c>
      <c r="G221" s="2887">
        <f t="shared" ca="1" si="35"/>
        <v>0.62506671575597739</v>
      </c>
      <c r="H221" s="2887">
        <f t="shared" ca="1" si="35"/>
        <v>0.6335979639446675</v>
      </c>
      <c r="I221" s="2887">
        <f t="shared" ca="1" si="35"/>
        <v>0.71517423642202427</v>
      </c>
      <c r="J221" s="2887">
        <f t="shared" ca="1" si="35"/>
        <v>0.71517423642202427</v>
      </c>
      <c r="K221" s="2887">
        <f t="shared" ca="1" si="35"/>
        <v>0.71517423642202427</v>
      </c>
      <c r="L221" s="2887">
        <f t="shared" ca="1" si="35"/>
        <v>0.71517423642202427</v>
      </c>
      <c r="M221" s="2887">
        <f t="shared" ca="1" si="35"/>
        <v>0.71517423642202427</v>
      </c>
      <c r="N221" s="2887">
        <f t="shared" ca="1" si="35"/>
        <v>0.71517423642202427</v>
      </c>
    </row>
    <row r="222" spans="2:15">
      <c r="C222" s="3853" t="s">
        <v>263</v>
      </c>
      <c r="D222" s="3853" t="s">
        <v>264</v>
      </c>
      <c r="E222" s="3853" t="s">
        <v>304</v>
      </c>
      <c r="F222" s="2887">
        <f t="shared" ref="F222:N222" ca="1" si="36">SUMPRODUCT(F$63:F$64,F$133:F$134)</f>
        <v>2.3096418457993682E-2</v>
      </c>
      <c r="G222" s="2887">
        <f t="shared" ca="1" si="36"/>
        <v>2.3127739044292356E-2</v>
      </c>
      <c r="H222" s="2887">
        <f t="shared" ca="1" si="36"/>
        <v>2.309051205897595E-2</v>
      </c>
      <c r="I222" s="2887">
        <f t="shared" ca="1" si="36"/>
        <v>2.2734545542645167E-2</v>
      </c>
      <c r="J222" s="2887">
        <f t="shared" ca="1" si="36"/>
        <v>6.1225460663104671E-3</v>
      </c>
      <c r="K222" s="2887">
        <f t="shared" ca="1" si="36"/>
        <v>6.1225460663104671E-3</v>
      </c>
      <c r="L222" s="2887">
        <f t="shared" ca="1" si="36"/>
        <v>6.1225460663104671E-3</v>
      </c>
      <c r="M222" s="2887">
        <f t="shared" ca="1" si="36"/>
        <v>6.1225460663104671E-3</v>
      </c>
      <c r="N222" s="2887">
        <f t="shared" ca="1" si="36"/>
        <v>6.1225460663104671E-3</v>
      </c>
    </row>
    <row r="224" spans="2:15" ht="15.5">
      <c r="B224" s="1345" t="s">
        <v>973</v>
      </c>
      <c r="C224" s="1622"/>
      <c r="D224" s="1622"/>
      <c r="E224" s="1622"/>
      <c r="F224" s="1622"/>
      <c r="G224" s="1622"/>
      <c r="H224" s="1622"/>
      <c r="I224" s="1622"/>
      <c r="J224" s="1622"/>
      <c r="K224" s="1622"/>
      <c r="L224" s="1622"/>
      <c r="M224" s="1622"/>
      <c r="N224" s="1622"/>
      <c r="O224" s="1622"/>
    </row>
    <row r="225" spans="2:15">
      <c r="B225" s="1346"/>
      <c r="C225" s="1346"/>
      <c r="D225" s="1346"/>
      <c r="E225" s="1346"/>
      <c r="F225" s="1346"/>
      <c r="G225" s="1346"/>
      <c r="H225" s="1346"/>
      <c r="I225" s="1346"/>
      <c r="J225" s="1346"/>
      <c r="K225" s="1346"/>
      <c r="L225" s="1346"/>
      <c r="M225" s="1346"/>
      <c r="N225" s="1346"/>
      <c r="O225" s="1346"/>
    </row>
    <row r="226" spans="2:15">
      <c r="B226" s="1346"/>
      <c r="C226" s="2894" t="s">
        <v>28</v>
      </c>
      <c r="D226" s="2895" t="s">
        <v>29</v>
      </c>
      <c r="E226" s="2895" t="s">
        <v>303</v>
      </c>
      <c r="F226" s="2895" t="s">
        <v>588</v>
      </c>
      <c r="G226" s="2895" t="s">
        <v>132</v>
      </c>
      <c r="H226" s="2895" t="s">
        <v>133</v>
      </c>
      <c r="I226" s="2895" t="s">
        <v>134</v>
      </c>
      <c r="J226" s="2895" t="s">
        <v>135</v>
      </c>
      <c r="K226" s="2895" t="s">
        <v>136</v>
      </c>
      <c r="L226" s="2895" t="s">
        <v>137</v>
      </c>
      <c r="M226" s="2895" t="s">
        <v>138</v>
      </c>
      <c r="N226" s="2896" t="s">
        <v>139</v>
      </c>
      <c r="O226" s="1346"/>
    </row>
    <row r="227" spans="2:15">
      <c r="B227" s="1346"/>
      <c r="C227" s="1626" t="s">
        <v>257</v>
      </c>
      <c r="D227" s="1627" t="s">
        <v>258</v>
      </c>
      <c r="E227" s="1628" t="s">
        <v>304</v>
      </c>
      <c r="F227" s="2923">
        <f t="shared" ref="F227:N230" ca="1" si="37">F219</f>
        <v>1.2475206316513682E-2</v>
      </c>
      <c r="G227" s="2923">
        <f t="shared" ca="1" si="37"/>
        <v>1.3491765364883236E-2</v>
      </c>
      <c r="H227" s="2923">
        <f t="shared" ca="1" si="37"/>
        <v>1.3642773346822124E-2</v>
      </c>
      <c r="I227" s="2923">
        <f t="shared" ca="1" si="37"/>
        <v>1.5086720118554088E-2</v>
      </c>
      <c r="J227" s="2923">
        <f t="shared" ca="1" si="37"/>
        <v>1.5086720118554088E-2</v>
      </c>
      <c r="K227" s="2923">
        <f t="shared" ca="1" si="37"/>
        <v>1.5086720118554088E-2</v>
      </c>
      <c r="L227" s="2923">
        <f t="shared" ca="1" si="37"/>
        <v>1.5086720118554088E-2</v>
      </c>
      <c r="M227" s="2923">
        <f t="shared" ca="1" si="37"/>
        <v>1.5086720118554088E-2</v>
      </c>
      <c r="N227" s="2923">
        <f t="shared" ca="1" si="37"/>
        <v>1.5086720118554088E-2</v>
      </c>
      <c r="O227" s="1346"/>
    </row>
    <row r="228" spans="2:15">
      <c r="B228" s="1346"/>
      <c r="C228" s="1626" t="s">
        <v>259</v>
      </c>
      <c r="D228" s="1627" t="s">
        <v>260</v>
      </c>
      <c r="E228" s="1628" t="s">
        <v>304</v>
      </c>
      <c r="F228" s="2923">
        <f t="shared" ca="1" si="37"/>
        <v>0.48872304006508932</v>
      </c>
      <c r="G228" s="2923">
        <f t="shared" ca="1" si="37"/>
        <v>0.73631515036938189</v>
      </c>
      <c r="H228" s="2923">
        <f t="shared" ca="1" si="37"/>
        <v>0.72197350457519038</v>
      </c>
      <c r="I228" s="2923">
        <f t="shared" ca="1" si="37"/>
        <v>0.71400472908306656</v>
      </c>
      <c r="J228" s="2923">
        <f t="shared" ca="1" si="37"/>
        <v>0.7138179228714655</v>
      </c>
      <c r="K228" s="2923">
        <f t="shared" ca="1" si="37"/>
        <v>0.7138179228714655</v>
      </c>
      <c r="L228" s="2923">
        <f t="shared" ca="1" si="37"/>
        <v>0.7138179228714655</v>
      </c>
      <c r="M228" s="2923">
        <f t="shared" ca="1" si="37"/>
        <v>0.7138179228714655</v>
      </c>
      <c r="N228" s="2923">
        <f t="shared" ca="1" si="37"/>
        <v>0.7138179228714655</v>
      </c>
      <c r="O228" s="1346"/>
    </row>
    <row r="229" spans="2:15">
      <c r="B229" s="1346"/>
      <c r="C229" s="1626" t="s">
        <v>261</v>
      </c>
      <c r="D229" s="1627" t="s">
        <v>262</v>
      </c>
      <c r="E229" s="1628" t="s">
        <v>304</v>
      </c>
      <c r="F229" s="2923">
        <f t="shared" ca="1" si="37"/>
        <v>0.64171226283607841</v>
      </c>
      <c r="G229" s="2923">
        <f t="shared" ca="1" si="37"/>
        <v>0.62506671575597739</v>
      </c>
      <c r="H229" s="2923">
        <f t="shared" ca="1" si="37"/>
        <v>0.6335979639446675</v>
      </c>
      <c r="I229" s="2923">
        <f t="shared" ca="1" si="37"/>
        <v>0.71517423642202427</v>
      </c>
      <c r="J229" s="2923">
        <f t="shared" ca="1" si="37"/>
        <v>0.71517423642202427</v>
      </c>
      <c r="K229" s="2923">
        <f t="shared" ca="1" si="37"/>
        <v>0.71517423642202427</v>
      </c>
      <c r="L229" s="2923">
        <f t="shared" ca="1" si="37"/>
        <v>0.71517423642202427</v>
      </c>
      <c r="M229" s="2923">
        <f t="shared" ca="1" si="37"/>
        <v>0.71517423642202427</v>
      </c>
      <c r="N229" s="2923">
        <f t="shared" ca="1" si="37"/>
        <v>0.71517423642202427</v>
      </c>
      <c r="O229" s="1346"/>
    </row>
    <row r="230" spans="2:15">
      <c r="B230" s="1346"/>
      <c r="C230" s="1630" t="s">
        <v>263</v>
      </c>
      <c r="D230" s="1627" t="s">
        <v>264</v>
      </c>
      <c r="E230" s="1628" t="s">
        <v>304</v>
      </c>
      <c r="F230" s="2923">
        <f t="shared" ca="1" si="37"/>
        <v>2.3096418457993682E-2</v>
      </c>
      <c r="G230" s="2923">
        <f t="shared" ca="1" si="37"/>
        <v>2.3127739044292356E-2</v>
      </c>
      <c r="H230" s="2923">
        <f t="shared" ca="1" si="37"/>
        <v>2.309051205897595E-2</v>
      </c>
      <c r="I230" s="2923">
        <f t="shared" ca="1" si="37"/>
        <v>2.2734545542645167E-2</v>
      </c>
      <c r="J230" s="2923">
        <f t="shared" ca="1" si="37"/>
        <v>6.1225460663104671E-3</v>
      </c>
      <c r="K230" s="2923">
        <f t="shared" ca="1" si="37"/>
        <v>6.1225460663104671E-3</v>
      </c>
      <c r="L230" s="2923">
        <f t="shared" ca="1" si="37"/>
        <v>6.1225460663104671E-3</v>
      </c>
      <c r="M230" s="2923">
        <f t="shared" ca="1" si="37"/>
        <v>6.1225460663104671E-3</v>
      </c>
      <c r="N230" s="2923">
        <f t="shared" ca="1" si="37"/>
        <v>6.1225460663104671E-3</v>
      </c>
      <c r="O230" s="1346"/>
    </row>
    <row r="231" spans="2:15">
      <c r="B231" s="1346"/>
      <c r="C231" s="1346"/>
      <c r="D231" s="1346"/>
      <c r="E231" s="1346"/>
      <c r="F231" s="1346"/>
      <c r="G231" s="1346"/>
      <c r="H231" s="1346"/>
      <c r="I231" s="1346"/>
      <c r="J231" s="1346"/>
      <c r="K231" s="1346"/>
      <c r="L231" s="1346"/>
      <c r="M231" s="1346"/>
      <c r="N231" s="1346"/>
      <c r="O231" s="1346"/>
    </row>
    <row r="728" spans="6:15">
      <c r="O728" s="3853">
        <v>0</v>
      </c>
    </row>
    <row r="729" spans="6:15">
      <c r="O729" s="3853">
        <v>0</v>
      </c>
    </row>
    <row r="730" spans="6:15">
      <c r="F730" s="3853">
        <v>0</v>
      </c>
      <c r="G730" s="3853">
        <v>0</v>
      </c>
      <c r="H730" s="3853">
        <v>0</v>
      </c>
      <c r="I730" s="3853">
        <v>0</v>
      </c>
      <c r="J730" s="3853">
        <v>0</v>
      </c>
      <c r="K730" s="3853">
        <v>0</v>
      </c>
      <c r="L730" s="3853">
        <v>0</v>
      </c>
      <c r="M730" s="3853">
        <v>0</v>
      </c>
      <c r="N730" s="3853">
        <v>0</v>
      </c>
      <c r="O730" s="3853">
        <v>0</v>
      </c>
    </row>
    <row r="731" spans="6:15">
      <c r="F731" s="3853">
        <v>0</v>
      </c>
      <c r="G731" s="3853">
        <v>0</v>
      </c>
      <c r="H731" s="3853">
        <v>0</v>
      </c>
      <c r="I731" s="3853">
        <v>0</v>
      </c>
      <c r="J731" s="3853">
        <v>0</v>
      </c>
      <c r="K731" s="3853">
        <v>0</v>
      </c>
      <c r="L731" s="3853">
        <v>0</v>
      </c>
      <c r="M731" s="3853">
        <v>0</v>
      </c>
      <c r="N731" s="3853">
        <v>0</v>
      </c>
    </row>
    <row r="732" spans="6:15">
      <c r="F732" s="3853">
        <v>0</v>
      </c>
      <c r="G732" s="3853">
        <v>0</v>
      </c>
      <c r="H732" s="3853">
        <v>0</v>
      </c>
      <c r="I732" s="3853">
        <v>0</v>
      </c>
      <c r="J732" s="3853">
        <v>0</v>
      </c>
      <c r="K732" s="3853">
        <v>0</v>
      </c>
      <c r="L732" s="3853">
        <v>0</v>
      </c>
      <c r="M732" s="3853">
        <v>0</v>
      </c>
      <c r="N732" s="3853">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9"/>
  </sheetPr>
  <dimension ref="A1:AM725"/>
  <sheetViews>
    <sheetView showGridLines="0" zoomScale="80" zoomScaleNormal="80" workbookViewId="0">
      <selection activeCell="E8" sqref="E8"/>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5" width="17.7265625" style="2858" customWidth="1"/>
    <col min="16" max="16" width="2" style="2858" customWidth="1"/>
    <col min="17" max="17" width="10.81640625" style="2858" customWidth="1"/>
    <col min="18" max="16384" width="8.81640625" style="2858"/>
  </cols>
  <sheetData>
    <row r="1" spans="1:39" ht="20">
      <c r="A1" s="854" t="s">
        <v>509</v>
      </c>
      <c r="B1" s="854" t="s">
        <v>510</v>
      </c>
      <c r="C1" s="854"/>
      <c r="F1" s="39" t="s">
        <v>2968</v>
      </c>
      <c r="G1" s="39"/>
      <c r="H1" s="39"/>
      <c r="I1" s="39"/>
    </row>
    <row r="2" spans="1:39" s="6" customFormat="1" ht="15">
      <c r="A2" s="855" t="s">
        <v>507</v>
      </c>
      <c r="B2" s="855" t="s">
        <v>508</v>
      </c>
      <c r="C2" s="855"/>
      <c r="E2" s="5"/>
      <c r="H2"/>
      <c r="I2"/>
      <c r="J2"/>
      <c r="K2"/>
      <c r="P2" s="2858"/>
    </row>
    <row r="4" spans="1:39" ht="23.5">
      <c r="A4" s="7"/>
      <c r="B4" s="502" t="s">
        <v>6</v>
      </c>
      <c r="C4" s="503"/>
      <c r="D4" s="503"/>
      <c r="E4" s="503"/>
      <c r="F4" s="503"/>
      <c r="G4" s="503"/>
      <c r="H4" s="503"/>
      <c r="I4" s="503"/>
      <c r="J4" s="503"/>
      <c r="K4" s="503"/>
      <c r="L4" s="503"/>
      <c r="M4" s="503"/>
      <c r="N4" s="503"/>
      <c r="O4" s="503"/>
    </row>
    <row r="5" spans="1:39">
      <c r="B5" s="505"/>
      <c r="C5" s="506"/>
      <c r="D5" s="506"/>
      <c r="E5" s="506"/>
      <c r="F5" s="506"/>
      <c r="G5" s="506"/>
      <c r="H5" s="506"/>
      <c r="I5" s="506"/>
      <c r="J5" s="506"/>
      <c r="K5" s="506"/>
      <c r="L5" s="506"/>
      <c r="M5" s="506"/>
      <c r="N5" s="506"/>
      <c r="O5" s="506"/>
    </row>
    <row r="6" spans="1:39">
      <c r="B6" s="505"/>
      <c r="C6" s="12"/>
      <c r="D6" s="506"/>
      <c r="E6" s="507"/>
      <c r="F6" s="506"/>
      <c r="G6" s="506"/>
      <c r="H6" s="506"/>
      <c r="I6" s="506"/>
      <c r="J6" s="506"/>
      <c r="K6" s="506"/>
      <c r="L6" s="506"/>
      <c r="M6" s="506"/>
      <c r="N6" s="506"/>
      <c r="O6" s="506"/>
    </row>
    <row r="7" spans="1:39" ht="15.5">
      <c r="B7" s="15"/>
      <c r="C7" s="506"/>
      <c r="D7" s="16" t="s">
        <v>7</v>
      </c>
      <c r="E7" s="16" t="s">
        <v>8</v>
      </c>
      <c r="F7" s="506"/>
      <c r="G7" s="506"/>
      <c r="H7" s="506"/>
      <c r="I7" s="506"/>
      <c r="J7" s="506"/>
      <c r="K7" s="506"/>
      <c r="L7" s="506"/>
      <c r="M7" s="506"/>
      <c r="N7" s="506"/>
      <c r="O7" s="506"/>
    </row>
    <row r="8" spans="1:39" ht="15.5">
      <c r="B8" s="15"/>
      <c r="C8" s="506"/>
      <c r="D8" s="859" t="s">
        <v>1244</v>
      </c>
      <c r="E8" s="859">
        <f>MIN(XV.b.Scenario,3)</f>
        <v>1</v>
      </c>
      <c r="F8" s="506"/>
      <c r="G8" s="506"/>
      <c r="H8" s="506"/>
      <c r="I8" s="506"/>
      <c r="J8" s="506"/>
      <c r="K8" s="506"/>
      <c r="L8" s="506"/>
      <c r="M8" s="506"/>
      <c r="N8" s="506"/>
      <c r="O8" s="506"/>
    </row>
    <row r="9" spans="1:39">
      <c r="B9" s="1243"/>
      <c r="C9" s="860"/>
      <c r="D9" s="860"/>
      <c r="E9" s="860"/>
      <c r="F9" s="860"/>
      <c r="G9" s="860"/>
      <c r="H9" s="860"/>
      <c r="I9" s="860"/>
      <c r="J9" s="860"/>
      <c r="K9" s="860"/>
      <c r="L9" s="860"/>
      <c r="M9" s="860"/>
      <c r="N9" s="860"/>
      <c r="O9" s="860"/>
    </row>
    <row r="11" spans="1:39" s="6" customFormat="1" ht="23.5">
      <c r="A11" s="40"/>
      <c r="B11" s="869" t="s">
        <v>33</v>
      </c>
      <c r="C11" s="870"/>
      <c r="D11" s="870"/>
      <c r="E11" s="870"/>
      <c r="F11" s="870"/>
      <c r="G11" s="870"/>
      <c r="H11" s="870"/>
      <c r="I11" s="870"/>
      <c r="J11" s="870"/>
      <c r="K11" s="870"/>
      <c r="L11" s="870"/>
      <c r="M11" s="870"/>
      <c r="N11" s="870"/>
      <c r="O11" s="871"/>
      <c r="P11" s="2858"/>
    </row>
    <row r="12" spans="1:39">
      <c r="B12" s="105"/>
      <c r="C12" s="67"/>
      <c r="D12" s="67"/>
      <c r="E12" s="67"/>
      <c r="F12" s="67"/>
      <c r="G12" s="67"/>
      <c r="H12" s="67"/>
      <c r="I12" s="67"/>
      <c r="J12" s="67"/>
      <c r="K12" s="67"/>
      <c r="L12" s="67"/>
      <c r="M12" s="67"/>
      <c r="N12" s="67"/>
      <c r="O12" s="876"/>
    </row>
    <row r="13" spans="1:39">
      <c r="B13" s="45"/>
      <c r="C13" s="117" t="s">
        <v>2288</v>
      </c>
      <c r="D13" s="67"/>
      <c r="E13" s="51"/>
      <c r="F13" s="67"/>
      <c r="G13" s="67"/>
      <c r="H13" s="67"/>
      <c r="I13" s="67"/>
      <c r="J13" s="67"/>
      <c r="K13" s="67"/>
      <c r="L13" s="67"/>
      <c r="M13" s="67"/>
      <c r="N13" s="51" t="str">
        <f>Preferences.EnergyUnits</f>
        <v>TWh</v>
      </c>
      <c r="O13" s="876"/>
    </row>
    <row r="14" spans="1:39">
      <c r="B14" s="45"/>
      <c r="C14" s="67"/>
      <c r="D14" s="67"/>
      <c r="E14" s="67"/>
      <c r="F14" s="67"/>
      <c r="G14" s="67"/>
      <c r="H14" s="67"/>
      <c r="I14" s="67"/>
      <c r="J14" s="67"/>
      <c r="K14" s="67"/>
      <c r="L14" s="67"/>
      <c r="M14" s="67"/>
      <c r="N14" s="67"/>
      <c r="O14" s="876"/>
      <c r="T14" s="4102" t="s">
        <v>3386</v>
      </c>
      <c r="U14" s="4104">
        <v>5.0999999999999996</v>
      </c>
      <c r="V14" s="4102" t="s">
        <v>3387</v>
      </c>
      <c r="W14" s="4102" t="s">
        <v>3388</v>
      </c>
      <c r="X14" s="4102" t="s">
        <v>3389</v>
      </c>
      <c r="Y14" s="4102" t="s">
        <v>3390</v>
      </c>
      <c r="Z14" s="4102" t="s">
        <v>490</v>
      </c>
      <c r="AA14" s="4102"/>
      <c r="AB14" s="4102"/>
      <c r="AC14" s="4102"/>
      <c r="AD14" s="4102"/>
      <c r="AE14" s="4102"/>
      <c r="AF14" s="4102"/>
      <c r="AG14" s="4102"/>
      <c r="AH14" s="4102"/>
      <c r="AI14" s="4102"/>
      <c r="AJ14" s="4102"/>
      <c r="AK14" s="4102"/>
      <c r="AL14" s="4102"/>
      <c r="AM14" s="4102"/>
    </row>
    <row r="15" spans="1:39" ht="15.5">
      <c r="B15" s="55"/>
      <c r="C15" s="878" t="s">
        <v>8</v>
      </c>
      <c r="D15" s="878" t="s">
        <v>71</v>
      </c>
      <c r="E15" s="878" t="s">
        <v>30</v>
      </c>
      <c r="F15" s="87">
        <v>2013</v>
      </c>
      <c r="G15" s="87">
        <v>2015</v>
      </c>
      <c r="H15" s="87">
        <v>2020</v>
      </c>
      <c r="I15" s="87">
        <v>2025</v>
      </c>
      <c r="J15" s="87">
        <v>2030</v>
      </c>
      <c r="K15" s="87">
        <v>2035</v>
      </c>
      <c r="L15" s="87">
        <v>2040</v>
      </c>
      <c r="M15" s="87">
        <v>2045</v>
      </c>
      <c r="N15" s="87">
        <v>2050</v>
      </c>
      <c r="O15" s="876"/>
      <c r="T15" s="4102" t="s">
        <v>1442</v>
      </c>
      <c r="U15" s="4102"/>
      <c r="V15" s="4102"/>
      <c r="W15" s="4102">
        <v>2016</v>
      </c>
      <c r="X15" s="4102">
        <v>2017</v>
      </c>
      <c r="Y15" s="4102">
        <v>2018</v>
      </c>
      <c r="Z15" s="4102">
        <v>2019</v>
      </c>
      <c r="AA15" s="4102">
        <v>2020</v>
      </c>
      <c r="AB15" s="4102">
        <v>2021</v>
      </c>
      <c r="AC15" s="4102">
        <v>2022</v>
      </c>
      <c r="AD15" s="4102">
        <v>2023</v>
      </c>
      <c r="AE15" s="4102">
        <v>2024</v>
      </c>
      <c r="AF15" s="4102">
        <v>2025</v>
      </c>
      <c r="AG15" s="4102"/>
      <c r="AH15" s="4102"/>
      <c r="AI15" s="4102"/>
      <c r="AJ15" s="4102"/>
      <c r="AK15" s="4102"/>
      <c r="AL15" s="4102"/>
      <c r="AM15" s="4102"/>
    </row>
    <row r="16" spans="1:39" ht="15.5">
      <c r="B16" s="55"/>
      <c r="C16" s="46" t="s">
        <v>2257</v>
      </c>
      <c r="D16" s="103"/>
      <c r="E16" s="881"/>
      <c r="F16" s="160">
        <f>(Unit.TWh)*8.4</f>
        <v>8.4</v>
      </c>
      <c r="G16" s="160">
        <f>(Unit.TWh)*7</f>
        <v>7</v>
      </c>
      <c r="H16" s="160">
        <f>(Unit.TWh)*2</f>
        <v>2</v>
      </c>
      <c r="I16" s="160">
        <f>(Unit.TWh)*2</f>
        <v>2</v>
      </c>
      <c r="J16" s="160">
        <v>0</v>
      </c>
      <c r="K16" s="160">
        <v>0</v>
      </c>
      <c r="L16" s="160">
        <f>'Irl. Energy Balance 2013 (TWh)'!N2</f>
        <v>0</v>
      </c>
      <c r="M16" s="160">
        <f>'Irl. Energy Balance 2013 (TWh)'!O2</f>
        <v>0</v>
      </c>
      <c r="N16" s="160">
        <f>'Irl. Energy Balance 2013 (TWh)'!P2</f>
        <v>0</v>
      </c>
      <c r="O16" s="876"/>
      <c r="T16" s="4102" t="s">
        <v>3390</v>
      </c>
      <c r="U16" s="4102" t="s">
        <v>490</v>
      </c>
      <c r="V16" s="4102" t="s">
        <v>3391</v>
      </c>
      <c r="W16" s="4102">
        <v>4.2</v>
      </c>
      <c r="X16" s="4102">
        <v>9.91</v>
      </c>
      <c r="Y16" s="4102">
        <v>8.49</v>
      </c>
      <c r="Z16" s="4102">
        <v>7.43</v>
      </c>
      <c r="AA16" s="4102">
        <v>7.28</v>
      </c>
      <c r="AB16" s="4102">
        <v>7.41</v>
      </c>
      <c r="AC16" s="4102">
        <v>6.31</v>
      </c>
      <c r="AD16" s="4102">
        <v>5.8</v>
      </c>
      <c r="AE16" s="4102">
        <v>4.95</v>
      </c>
      <c r="AF16" s="4102">
        <v>4.57</v>
      </c>
      <c r="AG16" s="4102"/>
      <c r="AH16" s="4102"/>
      <c r="AI16" s="4102"/>
      <c r="AJ16" s="4102"/>
      <c r="AK16" s="4102"/>
      <c r="AL16" s="4102"/>
      <c r="AM16" s="4102"/>
    </row>
    <row r="17" spans="2:39" ht="15.5">
      <c r="B17" s="55"/>
      <c r="C17" s="46" t="s">
        <v>2258</v>
      </c>
      <c r="D17" s="103"/>
      <c r="E17" s="103" t="s">
        <v>5</v>
      </c>
      <c r="F17" s="160">
        <f>(Unit.TWh)*8.4</f>
        <v>8.4</v>
      </c>
      <c r="G17" s="160">
        <f>(Unit.TWh)*7</f>
        <v>7</v>
      </c>
      <c r="H17" s="160">
        <f>(Unit.TWh)*2</f>
        <v>2</v>
      </c>
      <c r="I17" s="160">
        <v>0</v>
      </c>
      <c r="J17" s="160">
        <v>0</v>
      </c>
      <c r="K17" s="160">
        <v>0</v>
      </c>
      <c r="L17" s="160">
        <v>0</v>
      </c>
      <c r="M17" s="160">
        <v>0</v>
      </c>
      <c r="N17" s="160">
        <v>0</v>
      </c>
      <c r="O17" s="876"/>
      <c r="T17" s="4102" t="s">
        <v>3390</v>
      </c>
      <c r="U17" s="4102" t="s">
        <v>490</v>
      </c>
      <c r="V17" s="4102" t="s">
        <v>3392</v>
      </c>
      <c r="W17" s="4102">
        <v>44</v>
      </c>
      <c r="X17" s="4102">
        <v>103.8</v>
      </c>
      <c r="Y17" s="4102">
        <v>88.9</v>
      </c>
      <c r="Z17" s="4102">
        <v>77.8</v>
      </c>
      <c r="AA17" s="4102">
        <v>76.2</v>
      </c>
      <c r="AB17" s="4102">
        <v>77.599999999999994</v>
      </c>
      <c r="AC17" s="4102">
        <v>66.099999999999994</v>
      </c>
      <c r="AD17" s="4102">
        <v>60.7</v>
      </c>
      <c r="AE17" s="4102">
        <v>51.8</v>
      </c>
      <c r="AF17" s="4102">
        <v>47.9</v>
      </c>
      <c r="AG17" s="4102"/>
      <c r="AH17" s="4102"/>
      <c r="AI17" s="4102"/>
      <c r="AJ17" s="4102"/>
      <c r="AK17" s="4102"/>
      <c r="AL17" s="4102"/>
      <c r="AM17" s="4102"/>
    </row>
    <row r="18" spans="2:39" ht="15.5">
      <c r="B18" s="55"/>
      <c r="C18" s="176" t="s">
        <v>2259</v>
      </c>
      <c r="D18" s="194"/>
      <c r="E18" s="194"/>
      <c r="F18" s="159">
        <f>(Unit.TWh)*8.4</f>
        <v>8.4</v>
      </c>
      <c r="G18" s="159">
        <f>(Unit.TWh)*7</f>
        <v>7</v>
      </c>
      <c r="H18" s="159">
        <f>(Unit.TWh)*2</f>
        <v>2</v>
      </c>
      <c r="I18" s="159">
        <v>0</v>
      </c>
      <c r="J18" s="159">
        <v>0</v>
      </c>
      <c r="K18" s="159">
        <v>0</v>
      </c>
      <c r="L18" s="159">
        <v>0</v>
      </c>
      <c r="M18" s="159">
        <v>0</v>
      </c>
      <c r="N18" s="159">
        <v>0</v>
      </c>
      <c r="O18" s="876"/>
      <c r="V18" s="4102" t="s">
        <v>3393</v>
      </c>
      <c r="W18" s="2858">
        <f>W17*365</f>
        <v>16060</v>
      </c>
      <c r="X18" s="4102">
        <f t="shared" ref="X18:AF18" si="0">X17*365</f>
        <v>37887</v>
      </c>
      <c r="Y18" s="4102">
        <f t="shared" si="0"/>
        <v>32448.500000000004</v>
      </c>
      <c r="Z18" s="4102">
        <f t="shared" si="0"/>
        <v>28397</v>
      </c>
      <c r="AA18" s="4102">
        <f t="shared" si="0"/>
        <v>27813</v>
      </c>
      <c r="AB18" s="4102">
        <f t="shared" si="0"/>
        <v>28323.999999999996</v>
      </c>
      <c r="AC18" s="4102">
        <f t="shared" si="0"/>
        <v>24126.499999999996</v>
      </c>
      <c r="AD18" s="4102">
        <f t="shared" si="0"/>
        <v>22155.5</v>
      </c>
      <c r="AE18" s="4102">
        <f t="shared" si="0"/>
        <v>18907</v>
      </c>
      <c r="AF18" s="4102">
        <f t="shared" si="0"/>
        <v>17483.5</v>
      </c>
    </row>
    <row r="19" spans="2:39" ht="15.5">
      <c r="B19" s="55"/>
      <c r="C19" s="917" t="s">
        <v>37</v>
      </c>
      <c r="D19" s="194"/>
      <c r="E19" s="194"/>
      <c r="F19" s="343">
        <f t="shared" ref="F19:N19" si="1">(INDEX(F$16:F$18,ROUNDDOWN($E$8,0))*(1-MOD($E$8,1)))+(INDEX(F$16:F$18,ROUNDUP($E$8,0))*MOD($E$8,1))</f>
        <v>8.4</v>
      </c>
      <c r="G19" s="1433">
        <f t="shared" si="1"/>
        <v>7</v>
      </c>
      <c r="H19" s="343">
        <f t="shared" si="1"/>
        <v>2</v>
      </c>
      <c r="I19" s="343">
        <f t="shared" si="1"/>
        <v>2</v>
      </c>
      <c r="J19" s="343">
        <f t="shared" si="1"/>
        <v>0</v>
      </c>
      <c r="K19" s="343">
        <f t="shared" si="1"/>
        <v>0</v>
      </c>
      <c r="L19" s="343">
        <f t="shared" si="1"/>
        <v>0</v>
      </c>
      <c r="M19" s="343">
        <f t="shared" si="1"/>
        <v>0</v>
      </c>
      <c r="N19" s="343">
        <f t="shared" si="1"/>
        <v>0</v>
      </c>
      <c r="O19" s="876"/>
      <c r="V19" s="4102" t="s">
        <v>3394</v>
      </c>
      <c r="W19" s="2176">
        <f>W18/1000</f>
        <v>16.059999999999999</v>
      </c>
      <c r="X19" s="2176">
        <f t="shared" ref="X19:AF19" si="2">X18/1000</f>
        <v>37.887</v>
      </c>
      <c r="Y19" s="2176">
        <f t="shared" si="2"/>
        <v>32.448500000000003</v>
      </c>
      <c r="Z19" s="2176">
        <f t="shared" si="2"/>
        <v>28.396999999999998</v>
      </c>
      <c r="AA19" s="2176">
        <f t="shared" si="2"/>
        <v>27.812999999999999</v>
      </c>
      <c r="AB19" s="2176">
        <f t="shared" si="2"/>
        <v>28.323999999999998</v>
      </c>
      <c r="AC19" s="2176">
        <f t="shared" si="2"/>
        <v>24.126499999999997</v>
      </c>
      <c r="AD19" s="2176">
        <f t="shared" si="2"/>
        <v>22.1555</v>
      </c>
      <c r="AE19" s="2176">
        <f t="shared" si="2"/>
        <v>18.907</v>
      </c>
      <c r="AF19" s="2176">
        <f t="shared" si="2"/>
        <v>17.483499999999999</v>
      </c>
    </row>
    <row r="20" spans="2:39">
      <c r="B20" s="105"/>
      <c r="C20" s="67"/>
      <c r="D20" s="67"/>
      <c r="E20" s="67"/>
      <c r="F20" s="67"/>
      <c r="G20" s="67"/>
      <c r="H20" s="67"/>
      <c r="I20" s="67"/>
      <c r="J20" s="67"/>
      <c r="K20" s="67"/>
      <c r="L20" s="67"/>
      <c r="M20" s="67"/>
      <c r="N20" s="67"/>
      <c r="O20" s="876"/>
    </row>
    <row r="21" spans="2:39">
      <c r="B21" s="45"/>
      <c r="C21" s="117" t="s">
        <v>368</v>
      </c>
      <c r="D21" s="67"/>
      <c r="E21" s="51"/>
      <c r="F21" s="67"/>
      <c r="G21" s="67"/>
      <c r="H21" s="67"/>
      <c r="I21" s="67"/>
      <c r="J21" s="67"/>
      <c r="K21" s="67"/>
      <c r="L21" s="67"/>
      <c r="M21" s="67"/>
      <c r="N21" s="51" t="str">
        <f>Preferences.EnergyUnits</f>
        <v>TWh</v>
      </c>
      <c r="O21" s="876"/>
    </row>
    <row r="22" spans="2:39">
      <c r="B22" s="45"/>
      <c r="C22" s="67"/>
      <c r="D22" s="67"/>
      <c r="E22" s="67"/>
      <c r="F22" s="67"/>
      <c r="G22" s="67"/>
      <c r="H22" s="67"/>
      <c r="I22" s="67"/>
      <c r="J22" s="67"/>
      <c r="K22" s="67"/>
      <c r="L22" s="67"/>
      <c r="M22" s="67"/>
      <c r="N22" s="67"/>
      <c r="O22" s="876"/>
    </row>
    <row r="23" spans="2:39" ht="15.5">
      <c r="B23" s="55"/>
      <c r="C23" s="878" t="s">
        <v>8</v>
      </c>
      <c r="D23" s="878" t="s">
        <v>71</v>
      </c>
      <c r="E23" s="878" t="s">
        <v>30</v>
      </c>
      <c r="F23" s="87">
        <v>2013</v>
      </c>
      <c r="G23" s="87">
        <v>2015</v>
      </c>
      <c r="H23" s="87">
        <v>2020</v>
      </c>
      <c r="I23" s="87">
        <v>2025</v>
      </c>
      <c r="J23" s="87">
        <v>2030</v>
      </c>
      <c r="K23" s="87">
        <v>2035</v>
      </c>
      <c r="L23" s="87">
        <v>2040</v>
      </c>
      <c r="M23" s="87">
        <v>2045</v>
      </c>
      <c r="N23" s="87">
        <v>2050</v>
      </c>
      <c r="O23" s="876"/>
    </row>
    <row r="24" spans="2:39" ht="15.5">
      <c r="B24" s="55"/>
      <c r="C24" s="46" t="s">
        <v>2257</v>
      </c>
      <c r="D24" s="103"/>
      <c r="E24" s="881"/>
      <c r="F24" s="160">
        <v>0</v>
      </c>
      <c r="G24" s="160">
        <v>0</v>
      </c>
      <c r="H24" s="160">
        <v>0</v>
      </c>
      <c r="I24" s="160">
        <v>0</v>
      </c>
      <c r="J24" s="160">
        <v>0</v>
      </c>
      <c r="K24" s="160">
        <v>0</v>
      </c>
      <c r="L24" s="160">
        <v>0</v>
      </c>
      <c r="M24" s="160">
        <v>0</v>
      </c>
      <c r="N24" s="160">
        <v>0</v>
      </c>
      <c r="O24" s="876"/>
    </row>
    <row r="25" spans="2:39" ht="15.5">
      <c r="B25" s="55"/>
      <c r="C25" s="46" t="s">
        <v>2258</v>
      </c>
      <c r="D25" s="103"/>
      <c r="E25" s="103"/>
      <c r="F25" s="160">
        <v>0</v>
      </c>
      <c r="G25" s="160">
        <v>0</v>
      </c>
      <c r="H25" s="160">
        <v>0</v>
      </c>
      <c r="I25" s="160">
        <v>0</v>
      </c>
      <c r="J25" s="160">
        <v>0</v>
      </c>
      <c r="K25" s="160">
        <v>0</v>
      </c>
      <c r="L25" s="160">
        <v>0</v>
      </c>
      <c r="M25" s="160">
        <v>0</v>
      </c>
      <c r="N25" s="160">
        <v>0</v>
      </c>
      <c r="O25" s="876"/>
    </row>
    <row r="26" spans="2:39" ht="15.5">
      <c r="B26" s="55"/>
      <c r="C26" s="176" t="s">
        <v>2259</v>
      </c>
      <c r="D26" s="194"/>
      <c r="E26" s="194"/>
      <c r="F26" s="159">
        <v>0</v>
      </c>
      <c r="G26" s="159">
        <v>0</v>
      </c>
      <c r="H26" s="159">
        <v>0</v>
      </c>
      <c r="I26" s="159">
        <v>0</v>
      </c>
      <c r="J26" s="159">
        <v>0</v>
      </c>
      <c r="K26" s="159">
        <v>0</v>
      </c>
      <c r="L26" s="159">
        <v>0</v>
      </c>
      <c r="M26" s="159">
        <v>0</v>
      </c>
      <c r="N26" s="159">
        <v>0</v>
      </c>
      <c r="O26" s="876"/>
    </row>
    <row r="27" spans="2:39" ht="15.5">
      <c r="B27" s="55"/>
      <c r="C27" s="917" t="s">
        <v>37</v>
      </c>
      <c r="D27" s="194"/>
      <c r="E27" s="194"/>
      <c r="F27" s="343">
        <f>(INDEX(F$24:F$26,ROUNDDOWN($E$8,0))*(1-MOD($E$8,1)))+(INDEX(F$24:F$26,ROUNDUP($E$8,0))*MOD($E$8,1))</f>
        <v>0</v>
      </c>
      <c r="G27" s="1433">
        <f t="shared" ref="G27:N27" si="3">(INDEX(G$24:G$26,ROUNDDOWN($E$8,0))*(1-MOD($E$8,1)))+(INDEX(G$24:G$26,ROUNDUP($E$8,0))*MOD($E$8,1))</f>
        <v>0</v>
      </c>
      <c r="H27" s="343">
        <f t="shared" si="3"/>
        <v>0</v>
      </c>
      <c r="I27" s="343">
        <f t="shared" si="3"/>
        <v>0</v>
      </c>
      <c r="J27" s="343">
        <f t="shared" si="3"/>
        <v>0</v>
      </c>
      <c r="K27" s="343">
        <f t="shared" si="3"/>
        <v>0</v>
      </c>
      <c r="L27" s="343">
        <f t="shared" si="3"/>
        <v>0</v>
      </c>
      <c r="M27" s="343">
        <f t="shared" si="3"/>
        <v>0</v>
      </c>
      <c r="N27" s="343">
        <f t="shared" si="3"/>
        <v>0</v>
      </c>
      <c r="O27" s="876"/>
    </row>
    <row r="28" spans="2:39">
      <c r="B28" s="105"/>
      <c r="C28" s="67"/>
      <c r="D28" s="67"/>
      <c r="E28" s="67"/>
      <c r="F28" s="67"/>
      <c r="G28" s="67"/>
      <c r="H28" s="67"/>
      <c r="I28" s="67"/>
      <c r="J28" s="67"/>
      <c r="K28" s="67"/>
      <c r="L28" s="67"/>
      <c r="M28" s="67"/>
      <c r="N28" s="67"/>
      <c r="O28" s="876"/>
    </row>
    <row r="29" spans="2:39">
      <c r="B29" s="45"/>
      <c r="C29" s="117" t="s">
        <v>2260</v>
      </c>
      <c r="D29" s="67"/>
      <c r="E29" s="51"/>
      <c r="F29" s="67"/>
      <c r="G29" s="67"/>
      <c r="H29" s="67"/>
      <c r="I29" s="67" t="s">
        <v>5</v>
      </c>
      <c r="J29" s="67"/>
      <c r="K29" s="67"/>
      <c r="L29" s="67"/>
      <c r="M29" s="67"/>
      <c r="N29" s="51" t="str">
        <f>Preferences.EnergyUnits</f>
        <v>TWh</v>
      </c>
      <c r="O29" s="876"/>
    </row>
    <row r="30" spans="2:39">
      <c r="B30" s="45"/>
      <c r="C30" s="67"/>
      <c r="D30" s="67"/>
      <c r="E30" s="67"/>
      <c r="F30" s="67"/>
      <c r="G30" s="67"/>
      <c r="H30" s="67"/>
      <c r="I30" s="67"/>
      <c r="J30" s="67"/>
      <c r="K30" s="67"/>
      <c r="L30" s="67"/>
      <c r="M30" s="67"/>
      <c r="N30" s="67"/>
      <c r="O30" s="876"/>
      <c r="R30"/>
      <c r="S30"/>
      <c r="T30"/>
    </row>
    <row r="31" spans="2:39" ht="15.5">
      <c r="B31" s="55"/>
      <c r="C31" s="878" t="s">
        <v>8</v>
      </c>
      <c r="D31" s="878" t="s">
        <v>71</v>
      </c>
      <c r="E31" s="878" t="s">
        <v>30</v>
      </c>
      <c r="F31" s="87">
        <v>2013</v>
      </c>
      <c r="G31" s="87">
        <v>2015</v>
      </c>
      <c r="H31" s="87">
        <v>2020</v>
      </c>
      <c r="I31" s="87">
        <v>2025</v>
      </c>
      <c r="J31" s="87">
        <v>2030</v>
      </c>
      <c r="K31" s="87">
        <v>2035</v>
      </c>
      <c r="L31" s="87">
        <v>2040</v>
      </c>
      <c r="M31" s="87">
        <v>2045</v>
      </c>
      <c r="N31" s="87">
        <v>2050</v>
      </c>
      <c r="O31" s="876"/>
      <c r="R31"/>
      <c r="S31"/>
      <c r="T31"/>
    </row>
    <row r="32" spans="2:39" ht="15.5">
      <c r="B32" s="55"/>
      <c r="C32" s="46" t="s">
        <v>2257</v>
      </c>
      <c r="D32" s="103"/>
      <c r="E32" s="881"/>
      <c r="F32" s="160">
        <v>0</v>
      </c>
      <c r="G32" s="160">
        <f>(Unit.TWh)*1.75552825141302</f>
        <v>1.7555282514130199</v>
      </c>
      <c r="H32" s="160">
        <f>(Unit.TWh)*35</f>
        <v>35</v>
      </c>
      <c r="I32" s="160">
        <f>(Unit.TWh)*10</f>
        <v>10</v>
      </c>
      <c r="J32" s="160">
        <v>0</v>
      </c>
      <c r="K32" s="160">
        <v>0</v>
      </c>
      <c r="L32" s="160">
        <v>0</v>
      </c>
      <c r="M32" s="160">
        <v>0</v>
      </c>
      <c r="N32" s="160">
        <v>0</v>
      </c>
      <c r="O32" s="876"/>
      <c r="R32"/>
      <c r="S32"/>
      <c r="T32"/>
    </row>
    <row r="33" spans="1:18" ht="15.5">
      <c r="B33" s="55"/>
      <c r="C33" s="46" t="s">
        <v>2258</v>
      </c>
      <c r="D33" s="103"/>
      <c r="E33" s="103"/>
      <c r="F33" s="160">
        <v>0</v>
      </c>
      <c r="G33" s="160">
        <f>(Unit.TWh)*1.75552825141302</f>
        <v>1.7555282514130199</v>
      </c>
      <c r="H33" s="160">
        <f>(Unit.TWh)*35</f>
        <v>35</v>
      </c>
      <c r="I33" s="160">
        <f>(Unit.TWh)*10</f>
        <v>10</v>
      </c>
      <c r="J33" s="160">
        <v>0</v>
      </c>
      <c r="K33" s="160">
        <v>0</v>
      </c>
      <c r="L33" s="160">
        <v>0</v>
      </c>
      <c r="M33" s="160">
        <v>0</v>
      </c>
      <c r="N33" s="160">
        <v>0</v>
      </c>
      <c r="O33" s="876"/>
    </row>
    <row r="34" spans="1:18" ht="15.5">
      <c r="B34" s="55"/>
      <c r="C34" s="176" t="s">
        <v>2259</v>
      </c>
      <c r="D34" s="194"/>
      <c r="E34" s="194"/>
      <c r="F34" s="159">
        <v>0</v>
      </c>
      <c r="G34" s="159">
        <f>(Unit.TWh)*1.75552825141302</f>
        <v>1.7555282514130199</v>
      </c>
      <c r="H34" s="159">
        <f>(Unit.TWh)*35</f>
        <v>35</v>
      </c>
      <c r="I34" s="159">
        <f>(Unit.TWh)*10</f>
        <v>10</v>
      </c>
      <c r="J34" s="159">
        <v>0</v>
      </c>
      <c r="K34" s="159">
        <v>0</v>
      </c>
      <c r="L34" s="159">
        <v>0</v>
      </c>
      <c r="M34" s="159">
        <v>0</v>
      </c>
      <c r="N34" s="159">
        <v>0</v>
      </c>
      <c r="O34" s="876"/>
    </row>
    <row r="35" spans="1:18" ht="15.5">
      <c r="B35" s="55"/>
      <c r="C35" s="917" t="s">
        <v>37</v>
      </c>
      <c r="D35" s="194"/>
      <c r="E35" s="194"/>
      <c r="F35" s="343">
        <v>0</v>
      </c>
      <c r="G35" s="343">
        <f>(INDEX(G$32:G$34,ROUNDDOWN($E$8,0))*(1-MOD($E$8,1)))+(INDEX(G$32:G$34,ROUNDUP($E$8,0))*MOD($E$8,1))</f>
        <v>1.7555282514130199</v>
      </c>
      <c r="H35" s="1433">
        <f t="shared" ref="H35:N35" si="4">(INDEX(H$32:H$34,ROUNDDOWN($E$8,0))*(1-MOD($E$8,1)))+(INDEX(H$32:H$34,ROUNDUP($E$8,0))*MOD($E$8,1))</f>
        <v>35</v>
      </c>
      <c r="I35" s="343">
        <f t="shared" si="4"/>
        <v>10</v>
      </c>
      <c r="J35" s="343">
        <f t="shared" si="4"/>
        <v>0</v>
      </c>
      <c r="K35" s="343">
        <f t="shared" si="4"/>
        <v>0</v>
      </c>
      <c r="L35" s="343">
        <f t="shared" si="4"/>
        <v>0</v>
      </c>
      <c r="M35" s="343">
        <f t="shared" si="4"/>
        <v>0</v>
      </c>
      <c r="N35" s="343">
        <f t="shared" si="4"/>
        <v>0</v>
      </c>
      <c r="O35" s="876"/>
    </row>
    <row r="36" spans="1:18">
      <c r="B36" s="105"/>
      <c r="C36" s="67"/>
      <c r="D36" s="67"/>
      <c r="E36" s="67"/>
      <c r="F36" s="67"/>
      <c r="G36" s="67"/>
      <c r="H36" s="67"/>
      <c r="I36" s="67"/>
      <c r="J36" s="67"/>
      <c r="K36" s="67"/>
      <c r="L36" s="67"/>
      <c r="M36" s="67"/>
      <c r="N36" s="67"/>
      <c r="O36" s="876"/>
    </row>
    <row r="37" spans="1:18">
      <c r="B37" s="45"/>
      <c r="C37" s="921"/>
      <c r="D37" s="195"/>
      <c r="E37" s="67"/>
      <c r="F37" s="67"/>
      <c r="G37" s="67"/>
      <c r="H37" s="67"/>
      <c r="I37" s="67"/>
      <c r="J37" s="67"/>
      <c r="K37" s="67"/>
      <c r="L37" s="67"/>
      <c r="M37" s="67"/>
      <c r="N37" s="67"/>
      <c r="O37" s="876"/>
    </row>
    <row r="39" spans="1:18" s="6" customFormat="1" ht="23.5">
      <c r="A39" s="40"/>
      <c r="B39" s="869" t="s">
        <v>177</v>
      </c>
      <c r="C39" s="870"/>
      <c r="D39" s="870"/>
      <c r="E39" s="870"/>
      <c r="F39" s="870"/>
      <c r="G39" s="870"/>
      <c r="H39" s="870"/>
      <c r="I39" s="870"/>
      <c r="J39" s="870"/>
      <c r="K39" s="870"/>
      <c r="L39" s="870"/>
      <c r="M39" s="870"/>
      <c r="N39" s="870"/>
      <c r="O39" s="871"/>
      <c r="P39" s="2858"/>
    </row>
    <row r="40" spans="1:18">
      <c r="B40" s="105"/>
      <c r="C40" s="67"/>
      <c r="D40" s="67"/>
      <c r="E40" s="67"/>
      <c r="F40" s="67"/>
      <c r="G40" s="67"/>
      <c r="H40" s="67"/>
      <c r="I40" s="67"/>
      <c r="J40" s="67"/>
      <c r="K40" s="67"/>
      <c r="L40" s="67"/>
      <c r="M40" s="67"/>
      <c r="N40" s="67"/>
      <c r="O40" s="876"/>
    </row>
    <row r="41" spans="1:18">
      <c r="B41" s="105"/>
      <c r="C41" s="49" t="s">
        <v>3068</v>
      </c>
      <c r="D41" s="67"/>
      <c r="E41" s="51"/>
      <c r="F41" s="67"/>
      <c r="G41" s="67"/>
      <c r="H41" s="67"/>
      <c r="I41" s="67"/>
      <c r="J41" s="67"/>
      <c r="K41" s="67"/>
      <c r="L41" s="67"/>
      <c r="M41" s="67" t="s">
        <v>5</v>
      </c>
      <c r="N41" s="51" t="str">
        <f>Preferences.EnergyUnits</f>
        <v>TWh</v>
      </c>
      <c r="O41" s="876"/>
    </row>
    <row r="42" spans="1:18">
      <c r="B42" s="105"/>
      <c r="C42" s="67"/>
      <c r="D42" s="67"/>
      <c r="E42" s="67"/>
      <c r="F42" s="67"/>
      <c r="G42" s="67"/>
      <c r="H42" s="67"/>
      <c r="I42" s="67"/>
      <c r="J42" s="67"/>
      <c r="K42" s="67"/>
      <c r="L42" s="67"/>
      <c r="M42" s="67"/>
      <c r="N42" s="67"/>
      <c r="O42" s="876"/>
    </row>
    <row r="43" spans="1:18" ht="15.5">
      <c r="B43" s="55"/>
      <c r="C43" s="878" t="s">
        <v>28</v>
      </c>
      <c r="D43" s="878" t="s">
        <v>29</v>
      </c>
      <c r="E43" s="878" t="s">
        <v>30</v>
      </c>
      <c r="F43" s="87">
        <v>2013</v>
      </c>
      <c r="G43" s="87">
        <v>2015</v>
      </c>
      <c r="H43" s="87">
        <v>2020</v>
      </c>
      <c r="I43" s="87">
        <v>2025</v>
      </c>
      <c r="J43" s="87">
        <v>2030</v>
      </c>
      <c r="K43" s="87">
        <v>2035</v>
      </c>
      <c r="L43" s="87">
        <v>2040</v>
      </c>
      <c r="M43" s="87">
        <v>2045</v>
      </c>
      <c r="N43" s="87">
        <v>2050</v>
      </c>
      <c r="O43" s="876"/>
    </row>
    <row r="44" spans="1:18" ht="15.5">
      <c r="B44" s="55"/>
      <c r="C44" s="57" t="s">
        <v>416</v>
      </c>
      <c r="D44" s="103" t="s">
        <v>1412</v>
      </c>
      <c r="E44" s="57"/>
      <c r="F44" s="60">
        <f>F19</f>
        <v>8.4</v>
      </c>
      <c r="G44" s="60">
        <f t="shared" ref="G44:N44" si="5">G19</f>
        <v>7</v>
      </c>
      <c r="H44" s="60">
        <f t="shared" si="5"/>
        <v>2</v>
      </c>
      <c r="I44" s="60">
        <f t="shared" si="5"/>
        <v>2</v>
      </c>
      <c r="J44" s="60">
        <f t="shared" si="5"/>
        <v>0</v>
      </c>
      <c r="K44" s="60">
        <f t="shared" si="5"/>
        <v>0</v>
      </c>
      <c r="L44" s="60">
        <f t="shared" si="5"/>
        <v>0</v>
      </c>
      <c r="M44" s="60">
        <f t="shared" si="5"/>
        <v>0</v>
      </c>
      <c r="N44" s="60">
        <f t="shared" si="5"/>
        <v>0</v>
      </c>
      <c r="O44" s="876"/>
      <c r="R44" s="1107"/>
    </row>
    <row r="45" spans="1:18" ht="15.5">
      <c r="B45" s="55"/>
      <c r="C45" s="57" t="s">
        <v>417</v>
      </c>
      <c r="D45" s="57" t="s">
        <v>368</v>
      </c>
      <c r="E45" s="57"/>
      <c r="F45" s="60">
        <f>F27</f>
        <v>0</v>
      </c>
      <c r="G45" s="60">
        <f t="shared" ref="G45:N45" si="6">G27</f>
        <v>0</v>
      </c>
      <c r="H45" s="60">
        <f t="shared" si="6"/>
        <v>0</v>
      </c>
      <c r="I45" s="60">
        <f t="shared" si="6"/>
        <v>0</v>
      </c>
      <c r="J45" s="60">
        <f t="shared" si="6"/>
        <v>0</v>
      </c>
      <c r="K45" s="60">
        <f t="shared" si="6"/>
        <v>0</v>
      </c>
      <c r="L45" s="60">
        <f t="shared" si="6"/>
        <v>0</v>
      </c>
      <c r="M45" s="60">
        <f t="shared" si="6"/>
        <v>0</v>
      </c>
      <c r="N45" s="60">
        <f t="shared" si="6"/>
        <v>0</v>
      </c>
      <c r="O45" s="876"/>
    </row>
    <row r="46" spans="1:18" ht="15.5">
      <c r="B46" s="55"/>
      <c r="C46" s="61" t="s">
        <v>418</v>
      </c>
      <c r="D46" s="62" t="s">
        <v>141</v>
      </c>
      <c r="E46" s="62"/>
      <c r="F46" s="124">
        <f>F35</f>
        <v>0</v>
      </c>
      <c r="G46" s="124">
        <f t="shared" ref="G46:N46" si="7">G35</f>
        <v>1.7555282514130199</v>
      </c>
      <c r="H46" s="124">
        <f t="shared" si="7"/>
        <v>35</v>
      </c>
      <c r="I46" s="124">
        <f t="shared" si="7"/>
        <v>10</v>
      </c>
      <c r="J46" s="124">
        <f t="shared" si="7"/>
        <v>0</v>
      </c>
      <c r="K46" s="124">
        <f t="shared" si="7"/>
        <v>0</v>
      </c>
      <c r="L46" s="124">
        <f t="shared" si="7"/>
        <v>0</v>
      </c>
      <c r="M46" s="124">
        <f t="shared" si="7"/>
        <v>0</v>
      </c>
      <c r="N46" s="124">
        <f t="shared" si="7"/>
        <v>0</v>
      </c>
      <c r="O46" s="876"/>
    </row>
    <row r="47" spans="1:18" ht="15.5">
      <c r="B47" s="55"/>
      <c r="C47" s="915"/>
      <c r="D47" s="915"/>
      <c r="E47" s="915"/>
      <c r="F47" s="944"/>
      <c r="G47" s="944"/>
      <c r="H47" s="944"/>
      <c r="I47" s="944"/>
      <c r="J47" s="944"/>
      <c r="K47" s="944"/>
      <c r="L47" s="944"/>
      <c r="M47" s="944"/>
      <c r="N47" s="944"/>
      <c r="O47" s="876"/>
    </row>
    <row r="48" spans="1:18">
      <c r="N48" s="3802" t="s">
        <v>5</v>
      </c>
    </row>
    <row r="49" spans="1:16" s="6" customFormat="1" ht="23.5">
      <c r="A49" s="40"/>
      <c r="B49" s="869" t="s">
        <v>69</v>
      </c>
      <c r="C49" s="870"/>
      <c r="D49" s="870"/>
      <c r="E49" s="870"/>
      <c r="F49" s="870"/>
      <c r="G49" s="870"/>
      <c r="H49" s="870"/>
      <c r="I49" s="870"/>
      <c r="J49" s="870"/>
      <c r="K49" s="870"/>
      <c r="L49" s="870"/>
      <c r="M49" s="870"/>
      <c r="N49" s="870"/>
      <c r="O49" s="871"/>
      <c r="P49" s="2858"/>
    </row>
    <row r="50" spans="1:16">
      <c r="B50" s="105"/>
      <c r="C50" s="67"/>
      <c r="D50" s="67"/>
      <c r="E50" s="67"/>
      <c r="F50" s="67"/>
      <c r="G50" s="67"/>
      <c r="H50" s="67"/>
      <c r="I50" s="67"/>
      <c r="J50" s="67"/>
      <c r="K50" s="67"/>
      <c r="L50" s="67"/>
      <c r="M50" s="67"/>
      <c r="N50" s="67"/>
      <c r="O50" s="876"/>
    </row>
    <row r="51" spans="1:16" ht="15.5">
      <c r="B51" s="55"/>
      <c r="C51" s="49" t="s">
        <v>3069</v>
      </c>
      <c r="D51" s="67"/>
      <c r="E51" s="51"/>
      <c r="F51" s="67"/>
      <c r="G51" s="67"/>
      <c r="H51" s="67"/>
      <c r="I51" s="67"/>
      <c r="J51" s="67"/>
      <c r="K51" s="67"/>
      <c r="L51" s="67"/>
      <c r="M51" s="67"/>
      <c r="N51" s="51" t="s">
        <v>2261</v>
      </c>
      <c r="O51" s="876"/>
    </row>
    <row r="52" spans="1:16" ht="15.5">
      <c r="B52" s="55"/>
      <c r="C52" s="67"/>
      <c r="D52" s="67"/>
      <c r="E52" s="67"/>
      <c r="F52" s="67"/>
      <c r="G52" s="67"/>
      <c r="H52" s="67"/>
      <c r="I52" s="67"/>
      <c r="J52" s="67"/>
      <c r="K52" s="67"/>
      <c r="L52" s="67"/>
      <c r="M52" s="67"/>
      <c r="N52" s="67"/>
      <c r="O52" s="876"/>
    </row>
    <row r="53" spans="1:16" ht="15.5">
      <c r="B53" s="55"/>
      <c r="C53" s="878" t="s">
        <v>28</v>
      </c>
      <c r="D53" s="878" t="s">
        <v>29</v>
      </c>
      <c r="E53" s="878" t="s">
        <v>30</v>
      </c>
      <c r="F53" s="87">
        <v>2013</v>
      </c>
      <c r="G53" s="87">
        <v>2015</v>
      </c>
      <c r="H53" s="87">
        <v>2020</v>
      </c>
      <c r="I53" s="87">
        <v>2025</v>
      </c>
      <c r="J53" s="87">
        <v>2030</v>
      </c>
      <c r="K53" s="87">
        <v>2035</v>
      </c>
      <c r="L53" s="87">
        <v>2040</v>
      </c>
      <c r="M53" s="87">
        <v>2045</v>
      </c>
      <c r="N53" s="87">
        <v>2050</v>
      </c>
      <c r="O53" s="876"/>
    </row>
    <row r="54" spans="1:16" ht="15.5">
      <c r="B54" s="55"/>
      <c r="C54" s="57" t="s">
        <v>95</v>
      </c>
      <c r="D54" s="57" t="s">
        <v>85</v>
      </c>
      <c r="E54" s="57"/>
      <c r="F54" s="906">
        <v>7.9024278455408197E-3</v>
      </c>
      <c r="G54" s="906">
        <v>7.9024278455408197E-3</v>
      </c>
      <c r="H54" s="906">
        <v>7.9024278455408197E-3</v>
      </c>
      <c r="I54" s="906">
        <v>7.9024278455408197E-3</v>
      </c>
      <c r="J54" s="906">
        <v>7.9024278455408197E-3</v>
      </c>
      <c r="K54" s="906">
        <v>7.9024278455408197E-3</v>
      </c>
      <c r="L54" s="906">
        <v>7.9024278455408197E-3</v>
      </c>
      <c r="M54" s="906">
        <v>7.9024278455408197E-3</v>
      </c>
      <c r="N54" s="906">
        <v>7.9024278455408197E-3</v>
      </c>
      <c r="O54" s="876"/>
    </row>
    <row r="55" spans="1:16" ht="15.5">
      <c r="B55" s="55"/>
      <c r="C55" s="103" t="s">
        <v>97</v>
      </c>
      <c r="D55" s="57" t="s">
        <v>87</v>
      </c>
      <c r="E55" s="57"/>
      <c r="F55" s="906">
        <v>3.5927666752850644E-4</v>
      </c>
      <c r="G55" s="906">
        <v>3.5927666752850644E-4</v>
      </c>
      <c r="H55" s="906">
        <v>3.5927666752850644E-4</v>
      </c>
      <c r="I55" s="906">
        <v>3.5927666752850644E-4</v>
      </c>
      <c r="J55" s="906">
        <v>3.5927666752850644E-4</v>
      </c>
      <c r="K55" s="906">
        <v>3.5927666752850644E-4</v>
      </c>
      <c r="L55" s="906">
        <v>3.5927666752850644E-4</v>
      </c>
      <c r="M55" s="906">
        <v>3.5927666752850644E-4</v>
      </c>
      <c r="N55" s="906">
        <v>3.5927666752850644E-4</v>
      </c>
      <c r="O55" s="876"/>
    </row>
    <row r="56" spans="1:16" ht="15.5">
      <c r="B56" s="55"/>
      <c r="C56" s="61" t="s">
        <v>99</v>
      </c>
      <c r="D56" s="62" t="s">
        <v>89</v>
      </c>
      <c r="E56" s="62"/>
      <c r="F56" s="1028">
        <v>7.3153653205117761E-4</v>
      </c>
      <c r="G56" s="1028">
        <v>7.3153653205117761E-4</v>
      </c>
      <c r="H56" s="1028">
        <v>7.3153653205117761E-4</v>
      </c>
      <c r="I56" s="1028">
        <v>7.3153653205117761E-4</v>
      </c>
      <c r="J56" s="1028">
        <v>7.3153653205117761E-4</v>
      </c>
      <c r="K56" s="1028">
        <v>7.3153653205117761E-4</v>
      </c>
      <c r="L56" s="1028">
        <v>7.3153653205117761E-4</v>
      </c>
      <c r="M56" s="1028">
        <v>7.3153653205117761E-4</v>
      </c>
      <c r="N56" s="1028">
        <v>7.3153653205117761E-4</v>
      </c>
      <c r="O56" s="876"/>
    </row>
    <row r="57" spans="1:16">
      <c r="B57" s="45"/>
      <c r="C57" s="65"/>
      <c r="D57" s="103"/>
      <c r="E57" s="103"/>
      <c r="F57" s="296"/>
      <c r="G57" s="296"/>
      <c r="H57" s="296"/>
      <c r="I57" s="296"/>
      <c r="J57" s="296"/>
      <c r="K57" s="296"/>
      <c r="L57" s="296"/>
      <c r="M57" s="296"/>
      <c r="N57" s="296"/>
      <c r="O57" s="876"/>
    </row>
    <row r="58" spans="1:16">
      <c r="B58" s="45"/>
      <c r="C58" s="49" t="s">
        <v>3070</v>
      </c>
      <c r="D58" s="67"/>
      <c r="E58" s="51"/>
      <c r="F58" s="67"/>
      <c r="G58" s="67"/>
      <c r="H58" s="67"/>
      <c r="I58" s="67"/>
      <c r="J58" s="67"/>
      <c r="K58" s="67"/>
      <c r="L58" s="67"/>
      <c r="M58" s="67"/>
      <c r="N58" s="51" t="s">
        <v>2261</v>
      </c>
      <c r="O58" s="876"/>
    </row>
    <row r="59" spans="1:16">
      <c r="B59" s="45"/>
      <c r="C59" s="67"/>
      <c r="D59" s="67"/>
      <c r="E59" s="67"/>
      <c r="F59" s="67"/>
      <c r="G59" s="67"/>
      <c r="H59" s="67"/>
      <c r="I59" s="67"/>
      <c r="J59" s="67"/>
      <c r="K59" s="67"/>
      <c r="L59" s="67"/>
      <c r="M59" s="67"/>
      <c r="N59" s="67"/>
      <c r="O59" s="876"/>
    </row>
    <row r="60" spans="1:16" ht="15.5">
      <c r="B60" s="55"/>
      <c r="C60" s="878" t="s">
        <v>28</v>
      </c>
      <c r="D60" s="878" t="s">
        <v>29</v>
      </c>
      <c r="E60" s="878" t="s">
        <v>30</v>
      </c>
      <c r="F60" s="900">
        <v>2013</v>
      </c>
      <c r="G60" s="900" t="s">
        <v>132</v>
      </c>
      <c r="H60" s="900" t="s">
        <v>133</v>
      </c>
      <c r="I60" s="900" t="s">
        <v>134</v>
      </c>
      <c r="J60" s="900" t="s">
        <v>135</v>
      </c>
      <c r="K60" s="900" t="s">
        <v>136</v>
      </c>
      <c r="L60" s="900" t="s">
        <v>137</v>
      </c>
      <c r="M60" s="900" t="s">
        <v>138</v>
      </c>
      <c r="N60" s="900" t="s">
        <v>139</v>
      </c>
      <c r="O60" s="876"/>
    </row>
    <row r="61" spans="1:16" ht="15.5">
      <c r="B61" s="55"/>
      <c r="C61" s="57" t="s">
        <v>95</v>
      </c>
      <c r="D61" s="57" t="s">
        <v>85</v>
      </c>
      <c r="E61" s="57"/>
      <c r="F61" s="906">
        <v>5.7422811010645301E-4</v>
      </c>
      <c r="G61" s="906">
        <v>5.7422811010645301E-4</v>
      </c>
      <c r="H61" s="906">
        <v>5.7422811010645301E-4</v>
      </c>
      <c r="I61" s="906">
        <v>5.7422811010645301E-4</v>
      </c>
      <c r="J61" s="906">
        <v>5.7422811010645301E-4</v>
      </c>
      <c r="K61" s="906">
        <v>5.7422811010645301E-4</v>
      </c>
      <c r="L61" s="906">
        <v>5.7422811010645301E-4</v>
      </c>
      <c r="M61" s="906">
        <v>5.7422811010645301E-4</v>
      </c>
      <c r="N61" s="906">
        <v>5.7422811010645301E-4</v>
      </c>
      <c r="O61" s="876"/>
    </row>
    <row r="62" spans="1:16" ht="15.5">
      <c r="B62" s="55"/>
      <c r="C62" s="61" t="s">
        <v>99</v>
      </c>
      <c r="D62" s="62" t="s">
        <v>89</v>
      </c>
      <c r="E62" s="62"/>
      <c r="F62" s="1028">
        <v>6.5816549762543738E-2</v>
      </c>
      <c r="G62" s="1028">
        <v>6.5816549762543738E-2</v>
      </c>
      <c r="H62" s="1028">
        <v>6.5816549762543738E-2</v>
      </c>
      <c r="I62" s="1028">
        <v>6.5816549762543738E-2</v>
      </c>
      <c r="J62" s="1028">
        <v>6.5816549762543738E-2</v>
      </c>
      <c r="K62" s="1028">
        <v>6.5816549762543738E-2</v>
      </c>
      <c r="L62" s="1028">
        <v>6.5816549762543738E-2</v>
      </c>
      <c r="M62" s="1028">
        <v>6.5816549762543738E-2</v>
      </c>
      <c r="N62" s="1028">
        <v>6.5816549762543738E-2</v>
      </c>
      <c r="O62" s="876"/>
    </row>
    <row r="63" spans="1:16" ht="15.5">
      <c r="B63" s="55"/>
      <c r="C63" s="65"/>
      <c r="D63" s="103"/>
      <c r="E63" s="103"/>
      <c r="F63" s="296"/>
      <c r="G63" s="296"/>
      <c r="H63" s="296"/>
      <c r="I63" s="296"/>
      <c r="J63" s="296"/>
      <c r="K63" s="296"/>
      <c r="L63" s="296"/>
      <c r="M63" s="296"/>
      <c r="N63" s="296"/>
      <c r="O63" s="876"/>
    </row>
    <row r="64" spans="1:16" ht="15.5">
      <c r="B64" s="55"/>
      <c r="C64" s="49" t="s">
        <v>3071</v>
      </c>
      <c r="D64" s="67"/>
      <c r="E64" s="51"/>
      <c r="F64" s="51" t="s">
        <v>2104</v>
      </c>
      <c r="G64" s="296"/>
      <c r="H64" s="296"/>
      <c r="I64" s="296"/>
      <c r="J64" s="296"/>
      <c r="K64" s="296"/>
      <c r="L64" s="296"/>
      <c r="M64" s="296"/>
      <c r="N64" s="296"/>
      <c r="O64" s="876"/>
    </row>
    <row r="65" spans="2:15" ht="15.5">
      <c r="B65" s="55"/>
      <c r="C65" s="67"/>
      <c r="D65" s="67"/>
      <c r="E65" s="67"/>
      <c r="F65" s="67"/>
      <c r="G65" s="296"/>
      <c r="H65" s="296"/>
      <c r="I65" s="296"/>
      <c r="J65" s="296"/>
      <c r="K65" s="296"/>
      <c r="L65" s="296"/>
      <c r="M65" s="296"/>
      <c r="N65" s="296"/>
      <c r="O65" s="876"/>
    </row>
    <row r="66" spans="2:15" ht="15.5">
      <c r="B66" s="55"/>
      <c r="C66" s="878" t="s">
        <v>28</v>
      </c>
      <c r="D66" s="878" t="s">
        <v>29</v>
      </c>
      <c r="E66" s="878" t="s">
        <v>30</v>
      </c>
      <c r="F66" s="87">
        <v>2013</v>
      </c>
      <c r="G66" s="296"/>
      <c r="H66" s="296"/>
      <c r="I66" s="296"/>
      <c r="J66" s="296"/>
      <c r="K66" s="296"/>
      <c r="L66" s="296"/>
      <c r="M66" s="296"/>
      <c r="N66" s="296"/>
      <c r="O66" s="876"/>
    </row>
    <row r="67" spans="2:15" ht="15.5">
      <c r="B67" s="55"/>
      <c r="C67" s="103" t="s">
        <v>1773</v>
      </c>
      <c r="D67" s="103" t="s">
        <v>2296</v>
      </c>
      <c r="E67" s="103"/>
      <c r="F67" s="60">
        <v>0</v>
      </c>
      <c r="G67" s="59"/>
      <c r="H67" s="296"/>
      <c r="I67" s="296"/>
      <c r="J67" s="296"/>
      <c r="K67" s="296"/>
      <c r="L67" s="296"/>
      <c r="M67" s="296"/>
      <c r="N67" s="296"/>
      <c r="O67" s="876"/>
    </row>
    <row r="68" spans="2:15" ht="15.5">
      <c r="B68" s="55"/>
      <c r="C68" s="887" t="s">
        <v>2262</v>
      </c>
      <c r="D68" s="888" t="s">
        <v>2263</v>
      </c>
      <c r="E68" s="888"/>
      <c r="F68" s="1178">
        <v>0</v>
      </c>
      <c r="G68" s="296"/>
      <c r="H68" s="296" t="s">
        <v>5</v>
      </c>
      <c r="I68" s="296"/>
      <c r="J68" s="296"/>
      <c r="K68" s="296"/>
      <c r="L68" s="296"/>
      <c r="M68" s="296"/>
      <c r="N68" s="296"/>
      <c r="O68" s="876"/>
    </row>
    <row r="69" spans="2:15" ht="15.5">
      <c r="B69" s="55"/>
      <c r="C69" s="65"/>
      <c r="D69" s="103"/>
      <c r="E69" s="103"/>
      <c r="F69" s="296"/>
      <c r="G69" s="296"/>
      <c r="H69" s="296"/>
      <c r="I69" s="296"/>
      <c r="J69" s="296"/>
      <c r="K69" s="296"/>
      <c r="L69" s="296"/>
      <c r="M69" s="296"/>
      <c r="N69" s="296"/>
      <c r="O69" s="876"/>
    </row>
    <row r="70" spans="2:15">
      <c r="B70" s="105"/>
      <c r="C70" s="49" t="s">
        <v>779</v>
      </c>
      <c r="D70" s="67"/>
      <c r="E70" s="67"/>
      <c r="F70" s="67"/>
      <c r="G70" s="67"/>
      <c r="H70" s="67"/>
      <c r="I70" s="67"/>
      <c r="J70" s="67"/>
      <c r="K70" s="67"/>
      <c r="L70" s="67"/>
      <c r="M70" s="67"/>
      <c r="N70" s="67" t="str">
        <f>"kt per "&amp;Preferences.EnergyUnits</f>
        <v>kt per TWh</v>
      </c>
      <c r="O70" s="876"/>
    </row>
    <row r="71" spans="2:15">
      <c r="B71" s="105"/>
      <c r="C71" s="67"/>
      <c r="D71" s="67"/>
      <c r="E71" s="1352"/>
      <c r="F71" s="1353"/>
      <c r="G71" s="67"/>
      <c r="H71" s="67"/>
      <c r="I71" s="67"/>
      <c r="J71" s="67"/>
      <c r="K71" s="67"/>
      <c r="L71" s="67"/>
      <c r="M71" s="67"/>
      <c r="N71" s="67"/>
      <c r="O71" s="876"/>
    </row>
    <row r="72" spans="2:15">
      <c r="B72" s="105"/>
      <c r="C72" s="878" t="s">
        <v>43</v>
      </c>
      <c r="D72" s="878" t="s">
        <v>987</v>
      </c>
      <c r="E72" s="878" t="s">
        <v>44</v>
      </c>
      <c r="F72" s="900">
        <v>2013</v>
      </c>
      <c r="G72" s="900" t="s">
        <v>132</v>
      </c>
      <c r="H72" s="900" t="s">
        <v>133</v>
      </c>
      <c r="I72" s="900" t="s">
        <v>134</v>
      </c>
      <c r="J72" s="900" t="s">
        <v>135</v>
      </c>
      <c r="K72" s="900" t="s">
        <v>136</v>
      </c>
      <c r="L72" s="900" t="s">
        <v>137</v>
      </c>
      <c r="M72" s="900" t="s">
        <v>138</v>
      </c>
      <c r="N72" s="900" t="s">
        <v>139</v>
      </c>
      <c r="O72" s="876"/>
    </row>
    <row r="73" spans="2:15">
      <c r="B73" s="105"/>
      <c r="C73" s="57" t="s">
        <v>507</v>
      </c>
      <c r="D73" s="57" t="s">
        <v>508</v>
      </c>
      <c r="E73" s="57" t="s">
        <v>87</v>
      </c>
      <c r="F73" s="2918">
        <f>G73</f>
        <v>0.38088737201365103</v>
      </c>
      <c r="G73" s="2919">
        <f>0.380887372013651*(1/Unit.TWh)</f>
        <v>0.38088737201365103</v>
      </c>
      <c r="H73" s="2918">
        <f t="shared" ref="H73:N73" si="8">0.380887372013652*(1/Unit.TWh)</f>
        <v>0.38088737201365203</v>
      </c>
      <c r="I73" s="2918">
        <f t="shared" si="8"/>
        <v>0.38088737201365203</v>
      </c>
      <c r="J73" s="2918">
        <f t="shared" si="8"/>
        <v>0.38088737201365203</v>
      </c>
      <c r="K73" s="2918">
        <f t="shared" si="8"/>
        <v>0.38088737201365203</v>
      </c>
      <c r="L73" s="2918">
        <f t="shared" si="8"/>
        <v>0.38088737201365203</v>
      </c>
      <c r="M73" s="2918">
        <f t="shared" si="8"/>
        <v>0.38088737201365203</v>
      </c>
      <c r="N73" s="2918">
        <f t="shared" si="8"/>
        <v>0.38088737201365203</v>
      </c>
      <c r="O73" s="876"/>
    </row>
    <row r="74" spans="2:15">
      <c r="B74" s="105"/>
      <c r="C74" s="61" t="s">
        <v>507</v>
      </c>
      <c r="D74" s="62" t="s">
        <v>508</v>
      </c>
      <c r="E74" s="62" t="s">
        <v>89</v>
      </c>
      <c r="F74" s="2640">
        <f>G74</f>
        <v>3.6845933520551701E-3</v>
      </c>
      <c r="G74" s="2920">
        <f>0.00368459335205517*(1/Unit.TWh)</f>
        <v>3.6845933520551701E-3</v>
      </c>
      <c r="H74" s="2640">
        <f>0.00475052581508411*(1/Unit.TWh)</f>
        <v>4.7505258150841098E-3</v>
      </c>
      <c r="I74" s="2640">
        <f>0.00475739707736146*(1/Unit.TWh)</f>
        <v>4.7573970773614601E-3</v>
      </c>
      <c r="J74" s="2640">
        <f>0.00486863881812574*(1/Unit.TWh)</f>
        <v>4.8686388181257397E-3</v>
      </c>
      <c r="K74" s="2640">
        <f>0.00500395493366145*(1/Unit.TWh)</f>
        <v>5.0039549336614499E-3</v>
      </c>
      <c r="L74" s="2640">
        <f>0.00500395493366145*(1/Unit.TWh)</f>
        <v>5.0039549336614499E-3</v>
      </c>
      <c r="M74" s="2640">
        <f>0.00500395493366145*(1/Unit.TWh)</f>
        <v>5.0039549336614499E-3</v>
      </c>
      <c r="N74" s="2640">
        <f>0.00500395493366145*(1/Unit.TWh)</f>
        <v>5.0039549336614499E-3</v>
      </c>
      <c r="O74" s="876"/>
    </row>
    <row r="75" spans="2:15">
      <c r="B75" s="105"/>
      <c r="C75" s="67"/>
      <c r="D75" s="67"/>
      <c r="E75" s="67"/>
      <c r="F75" s="67"/>
      <c r="G75" s="67"/>
      <c r="H75" s="67"/>
      <c r="I75" s="67"/>
      <c r="J75" s="67"/>
      <c r="K75" s="67"/>
      <c r="L75" s="67"/>
      <c r="M75" s="67"/>
      <c r="N75" s="67"/>
      <c r="O75" s="876"/>
    </row>
    <row r="76" spans="2:15">
      <c r="B76" s="105"/>
      <c r="C76" s="49" t="s">
        <v>781</v>
      </c>
      <c r="D76" s="67"/>
      <c r="E76" s="67"/>
      <c r="F76" s="67"/>
      <c r="G76" s="67"/>
      <c r="H76" s="67"/>
      <c r="I76" s="67"/>
      <c r="J76" s="67"/>
      <c r="K76" s="67"/>
      <c r="L76" s="67"/>
      <c r="M76" s="67"/>
      <c r="N76" s="67" t="str">
        <f>"kt per "&amp;Preferences.EnergyUnits</f>
        <v>kt per TWh</v>
      </c>
      <c r="O76" s="876"/>
    </row>
    <row r="77" spans="2:15">
      <c r="B77" s="105"/>
      <c r="C77" s="67"/>
      <c r="D77" s="67"/>
      <c r="E77" s="1352"/>
      <c r="F77" s="1353"/>
      <c r="G77" s="67"/>
      <c r="H77" s="67"/>
      <c r="I77" s="67"/>
      <c r="J77" s="67"/>
      <c r="K77" s="67"/>
      <c r="L77" s="67"/>
      <c r="M77" s="67"/>
      <c r="N77" s="67"/>
      <c r="O77" s="876"/>
    </row>
    <row r="78" spans="2:15">
      <c r="B78" s="105"/>
      <c r="C78" s="878" t="s">
        <v>43</v>
      </c>
      <c r="D78" s="878" t="s">
        <v>987</v>
      </c>
      <c r="E78" s="878" t="s">
        <v>44</v>
      </c>
      <c r="F78" s="900">
        <v>2013</v>
      </c>
      <c r="G78" s="900" t="s">
        <v>132</v>
      </c>
      <c r="H78" s="900" t="s">
        <v>133</v>
      </c>
      <c r="I78" s="900" t="s">
        <v>134</v>
      </c>
      <c r="J78" s="900" t="s">
        <v>135</v>
      </c>
      <c r="K78" s="900" t="s">
        <v>136</v>
      </c>
      <c r="L78" s="900" t="s">
        <v>137</v>
      </c>
      <c r="M78" s="900" t="s">
        <v>138</v>
      </c>
      <c r="N78" s="900" t="s">
        <v>139</v>
      </c>
      <c r="O78" s="876"/>
    </row>
    <row r="79" spans="2:15">
      <c r="B79" s="105"/>
      <c r="C79" s="57" t="s">
        <v>507</v>
      </c>
      <c r="D79" s="57" t="s">
        <v>508</v>
      </c>
      <c r="E79" s="57" t="s">
        <v>87</v>
      </c>
      <c r="F79" s="2918">
        <f>G79</f>
        <v>0.58361774744027295</v>
      </c>
      <c r="G79" s="2919">
        <f t="shared" ref="G79:N79" si="9">0.583617747440273*(1/Unit.TWh)</f>
        <v>0.58361774744027295</v>
      </c>
      <c r="H79" s="2918">
        <f t="shared" si="9"/>
        <v>0.58361774744027295</v>
      </c>
      <c r="I79" s="2918">
        <f t="shared" si="9"/>
        <v>0.58361774744027295</v>
      </c>
      <c r="J79" s="2918">
        <f t="shared" si="9"/>
        <v>0.58361774744027295</v>
      </c>
      <c r="K79" s="2918">
        <f t="shared" si="9"/>
        <v>0.58361774744027295</v>
      </c>
      <c r="L79" s="2918">
        <f t="shared" si="9"/>
        <v>0.58361774744027295</v>
      </c>
      <c r="M79" s="2918">
        <f t="shared" si="9"/>
        <v>0.58361774744027295</v>
      </c>
      <c r="N79" s="2918">
        <f t="shared" si="9"/>
        <v>0.58361774744027295</v>
      </c>
      <c r="O79" s="876"/>
    </row>
    <row r="80" spans="2:15">
      <c r="B80" s="105"/>
      <c r="C80" s="61" t="s">
        <v>507</v>
      </c>
      <c r="D80" s="62" t="s">
        <v>508</v>
      </c>
      <c r="E80" s="62" t="s">
        <v>89</v>
      </c>
      <c r="F80" s="2640">
        <f>G80</f>
        <v>0.60278793292497401</v>
      </c>
      <c r="G80" s="2920">
        <f>0.602787932924974*(1/Unit.TWh)</f>
        <v>0.60278793292497401</v>
      </c>
      <c r="H80" s="2640">
        <f>0.51853607139465*(1/Unit.TWh)</f>
        <v>0.51853607139464997</v>
      </c>
      <c r="I80" s="2640">
        <f>0.518146653987267*(1/Unit.TWh)</f>
        <v>0.518146653987267</v>
      </c>
      <c r="J80" s="2640">
        <f>0.511842212600432*(1/Unit.TWh)</f>
        <v>0.51184221260043195</v>
      </c>
      <c r="K80" s="2640">
        <f>0.50417339590242*(1/Unit.TWh)</f>
        <v>0.50417339590242005</v>
      </c>
      <c r="L80" s="2640">
        <f>0.50417339590242*(1/Unit.TWh)</f>
        <v>0.50417339590242005</v>
      </c>
      <c r="M80" s="2640">
        <f>0.50417339590242*(1/Unit.TWh)</f>
        <v>0.50417339590242005</v>
      </c>
      <c r="N80" s="2640">
        <f>0.50417339590242*(1/Unit.TWh)</f>
        <v>0.50417339590242005</v>
      </c>
      <c r="O80" s="876"/>
    </row>
    <row r="81" spans="2:16">
      <c r="B81" s="105"/>
      <c r="C81" s="67"/>
      <c r="D81" s="67"/>
      <c r="E81" s="67"/>
      <c r="F81" s="67"/>
      <c r="G81" s="67"/>
      <c r="H81" s="67"/>
      <c r="I81" s="67"/>
      <c r="J81" s="67"/>
      <c r="K81" s="67"/>
      <c r="L81" s="67"/>
      <c r="M81" s="67"/>
      <c r="N81" s="67"/>
      <c r="O81" s="876"/>
    </row>
    <row r="82" spans="2:16">
      <c r="B82" s="105"/>
      <c r="C82" s="49" t="s">
        <v>782</v>
      </c>
      <c r="D82" s="67"/>
      <c r="E82" s="67"/>
      <c r="F82" s="67"/>
      <c r="G82" s="67"/>
      <c r="H82" s="67"/>
      <c r="I82" s="67"/>
      <c r="J82" s="67"/>
      <c r="K82" s="67"/>
      <c r="L82" s="67"/>
      <c r="M82" s="67"/>
      <c r="N82" s="67" t="str">
        <f>"kt per "&amp;Preferences.EnergyUnits</f>
        <v>kt per TWh</v>
      </c>
      <c r="O82" s="876"/>
    </row>
    <row r="83" spans="2:16">
      <c r="B83" s="105"/>
      <c r="C83" s="67"/>
      <c r="D83" s="67"/>
      <c r="E83" s="1352"/>
      <c r="F83" s="1353"/>
      <c r="G83" s="67"/>
      <c r="H83" s="67"/>
      <c r="I83" s="67"/>
      <c r="J83" s="67"/>
      <c r="K83" s="67"/>
      <c r="L83" s="67"/>
      <c r="M83" s="67"/>
      <c r="N83" s="67"/>
      <c r="O83" s="876"/>
    </row>
    <row r="84" spans="2:16">
      <c r="B84" s="105"/>
      <c r="C84" s="878" t="s">
        <v>43</v>
      </c>
      <c r="D84" s="878" t="s">
        <v>987</v>
      </c>
      <c r="E84" s="878" t="s">
        <v>44</v>
      </c>
      <c r="F84" s="900">
        <v>2013</v>
      </c>
      <c r="G84" s="900" t="s">
        <v>132</v>
      </c>
      <c r="H84" s="900" t="s">
        <v>133</v>
      </c>
      <c r="I84" s="900" t="s">
        <v>134</v>
      </c>
      <c r="J84" s="900" t="s">
        <v>135</v>
      </c>
      <c r="K84" s="900" t="s">
        <v>136</v>
      </c>
      <c r="L84" s="900" t="s">
        <v>137</v>
      </c>
      <c r="M84" s="900" t="s">
        <v>138</v>
      </c>
      <c r="N84" s="900" t="s">
        <v>139</v>
      </c>
      <c r="O84" s="876"/>
    </row>
    <row r="85" spans="2:16">
      <c r="B85" s="105"/>
      <c r="C85" s="57" t="s">
        <v>507</v>
      </c>
      <c r="D85" s="57" t="s">
        <v>508</v>
      </c>
      <c r="E85" s="57" t="s">
        <v>87</v>
      </c>
      <c r="F85" s="2918">
        <f>G85</f>
        <v>2.6645140583413802</v>
      </c>
      <c r="G85" s="2919">
        <f>2.66451405834138*(1/Unit.TWh)</f>
        <v>2.6645140583413802</v>
      </c>
      <c r="H85" s="2918">
        <f t="shared" ref="H85:N85" si="10">2.82549586272291*(1/Unit.TWh)</f>
        <v>2.8254958627229101</v>
      </c>
      <c r="I85" s="2918">
        <f t="shared" si="10"/>
        <v>2.8254958627229101</v>
      </c>
      <c r="J85" s="2918">
        <f t="shared" si="10"/>
        <v>2.8254958627229101</v>
      </c>
      <c r="K85" s="2918">
        <f t="shared" si="10"/>
        <v>2.8254958627229101</v>
      </c>
      <c r="L85" s="2918">
        <f t="shared" si="10"/>
        <v>2.8254958627229101</v>
      </c>
      <c r="M85" s="2918">
        <f t="shared" si="10"/>
        <v>2.8254958627229101</v>
      </c>
      <c r="N85" s="2918">
        <f t="shared" si="10"/>
        <v>2.8254958627229101</v>
      </c>
      <c r="O85" s="876"/>
    </row>
    <row r="86" spans="2:16">
      <c r="B86" s="105"/>
      <c r="C86" s="61" t="s">
        <v>507</v>
      </c>
      <c r="D86" s="62" t="s">
        <v>508</v>
      </c>
      <c r="E86" s="62" t="s">
        <v>89</v>
      </c>
      <c r="F86" s="2640">
        <f>G86</f>
        <v>2.1573910849866301E-2</v>
      </c>
      <c r="G86" s="2920">
        <f>0.0215739108498663*(1/Unit.TWh)</f>
        <v>2.1573910849866301E-2</v>
      </c>
      <c r="H86" s="2640">
        <f>0.00688042911256356*(1/Unit.TWh)</f>
        <v>6.8804291125635596E-3</v>
      </c>
      <c r="I86" s="2640">
        <f>0.00686976328914796*(1/Unit.TWh)</f>
        <v>6.86976328914796E-3</v>
      </c>
      <c r="J86" s="2640">
        <f>0.00669708981001941*(1/Unit.TWh)</f>
        <v>6.6970898100194099E-3</v>
      </c>
      <c r="K86" s="2640">
        <f>0.00648704721008183*(1/Unit.TWh)</f>
        <v>6.4870472100818297E-3</v>
      </c>
      <c r="L86" s="2640">
        <f>0.00648704721008183*(1/Unit.TWh)</f>
        <v>6.4870472100818297E-3</v>
      </c>
      <c r="M86" s="2640">
        <f>0.00648704721008183*(1/Unit.TWh)</f>
        <v>6.4870472100818297E-3</v>
      </c>
      <c r="N86" s="2640">
        <f>0.00648704721008183*(1/Unit.TWh)</f>
        <v>6.4870472100818297E-3</v>
      </c>
      <c r="O86" s="876"/>
    </row>
    <row r="87" spans="2:16">
      <c r="B87" s="105"/>
      <c r="C87" s="67"/>
      <c r="D87" s="67"/>
      <c r="E87" s="67"/>
      <c r="F87" s="67"/>
      <c r="G87" s="67"/>
      <c r="H87" s="67"/>
      <c r="I87" s="67"/>
      <c r="J87" s="67"/>
      <c r="K87" s="67"/>
      <c r="L87" s="67"/>
      <c r="M87" s="67"/>
      <c r="N87" s="67"/>
      <c r="O87" s="876"/>
    </row>
    <row r="88" spans="2:16">
      <c r="B88" s="105"/>
      <c r="C88" s="49" t="s">
        <v>783</v>
      </c>
      <c r="D88" s="67"/>
      <c r="E88" s="67"/>
      <c r="F88" s="67"/>
      <c r="G88" s="67"/>
      <c r="H88" s="67"/>
      <c r="I88" s="67"/>
      <c r="J88" s="67"/>
      <c r="K88" s="67"/>
      <c r="L88" s="67"/>
      <c r="M88" s="67"/>
      <c r="N88" s="67" t="str">
        <f>"kt per "&amp;Preferences.EnergyUnits</f>
        <v>kt per TWh</v>
      </c>
      <c r="O88" s="876"/>
    </row>
    <row r="89" spans="2:16">
      <c r="B89" s="105"/>
      <c r="C89" s="67"/>
      <c r="D89" s="67"/>
      <c r="E89" s="1352"/>
      <c r="F89" s="1353"/>
      <c r="G89" s="67"/>
      <c r="H89" s="67"/>
      <c r="I89" s="67"/>
      <c r="J89" s="67"/>
      <c r="K89" s="67"/>
      <c r="L89" s="67"/>
      <c r="M89" s="67"/>
      <c r="N89" s="67"/>
      <c r="O89" s="876"/>
    </row>
    <row r="90" spans="2:16">
      <c r="B90" s="105"/>
      <c r="C90" s="878" t="s">
        <v>43</v>
      </c>
      <c r="D90" s="878" t="s">
        <v>987</v>
      </c>
      <c r="E90" s="878" t="s">
        <v>44</v>
      </c>
      <c r="F90" s="900">
        <v>2013</v>
      </c>
      <c r="G90" s="900" t="s">
        <v>132</v>
      </c>
      <c r="H90" s="900" t="s">
        <v>133</v>
      </c>
      <c r="I90" s="900" t="s">
        <v>134</v>
      </c>
      <c r="J90" s="900" t="s">
        <v>135</v>
      </c>
      <c r="K90" s="900" t="s">
        <v>136</v>
      </c>
      <c r="L90" s="900" t="s">
        <v>137</v>
      </c>
      <c r="M90" s="900" t="s">
        <v>138</v>
      </c>
      <c r="N90" s="900" t="s">
        <v>139</v>
      </c>
      <c r="O90" s="876"/>
    </row>
    <row r="91" spans="2:16">
      <c r="B91" s="105"/>
      <c r="C91" s="57" t="s">
        <v>507</v>
      </c>
      <c r="D91" s="57" t="s">
        <v>508</v>
      </c>
      <c r="E91" s="57" t="s">
        <v>87</v>
      </c>
      <c r="F91" s="2918">
        <f>G91</f>
        <v>6.1433447098976097E-3</v>
      </c>
      <c r="G91" s="2919">
        <f t="shared" ref="G91:N91" si="11">0.00614334470989761*(1/Unit.TWh)</f>
        <v>6.1433447098976097E-3</v>
      </c>
      <c r="H91" s="2918">
        <f t="shared" si="11"/>
        <v>6.1433447098976097E-3</v>
      </c>
      <c r="I91" s="2918">
        <f t="shared" si="11"/>
        <v>6.1433447098976097E-3</v>
      </c>
      <c r="J91" s="2918">
        <f t="shared" si="11"/>
        <v>6.1433447098976097E-3</v>
      </c>
      <c r="K91" s="2918">
        <f t="shared" si="11"/>
        <v>6.1433447098976097E-3</v>
      </c>
      <c r="L91" s="2918">
        <f t="shared" si="11"/>
        <v>6.1433447098976097E-3</v>
      </c>
      <c r="M91" s="2918">
        <f t="shared" si="11"/>
        <v>6.1433447098976097E-3</v>
      </c>
      <c r="N91" s="2918">
        <f t="shared" si="11"/>
        <v>6.1433447098976097E-3</v>
      </c>
      <c r="O91" s="876"/>
    </row>
    <row r="92" spans="2:16">
      <c r="B92" s="105"/>
      <c r="C92" s="61" t="s">
        <v>507</v>
      </c>
      <c r="D92" s="62" t="s">
        <v>508</v>
      </c>
      <c r="E92" s="62" t="s">
        <v>89</v>
      </c>
      <c r="F92" s="2640">
        <f>G92</f>
        <v>6.5476141878810902E-3</v>
      </c>
      <c r="G92" s="2920">
        <f>0.00654761418788109*(1/Unit.TWh)</f>
        <v>6.5476141878810902E-3</v>
      </c>
      <c r="H92" s="2640">
        <f>0.00807442584993566*(1/Unit.TWh)</f>
        <v>8.0744258499356597E-3</v>
      </c>
      <c r="I92" s="2640">
        <f>0.00807434259627122*(1/Unit.TWh)</f>
        <v>8.0743425962712199E-3</v>
      </c>
      <c r="J92" s="2640">
        <f>0.0080729947678542*(1/Unit.TWh)</f>
        <v>8.0729947678542004E-3</v>
      </c>
      <c r="K92" s="2640">
        <f>0.00807135524922974*(1/Unit.TWh)</f>
        <v>8.0713552492297398E-3</v>
      </c>
      <c r="L92" s="2640">
        <f>0.00807135524922974*(1/Unit.TWh)</f>
        <v>8.0713552492297398E-3</v>
      </c>
      <c r="M92" s="2640">
        <f>0.00807135524922974*(1/Unit.TWh)</f>
        <v>8.0713552492297398E-3</v>
      </c>
      <c r="N92" s="2640">
        <f>0.00807135524922974*(1/Unit.TWh)</f>
        <v>8.0713552492297398E-3</v>
      </c>
      <c r="O92" s="876"/>
    </row>
    <row r="93" spans="2:16">
      <c r="B93" s="105"/>
      <c r="C93" s="1362"/>
      <c r="D93" s="189"/>
      <c r="E93" s="2441"/>
      <c r="F93" s="190"/>
      <c r="G93" s="190"/>
      <c r="H93" s="190"/>
      <c r="I93" s="190"/>
      <c r="J93" s="190"/>
      <c r="K93" s="190"/>
      <c r="L93" s="190"/>
      <c r="M93" s="190"/>
      <c r="N93" s="190"/>
      <c r="O93" s="876"/>
    </row>
    <row r="94" spans="2:16">
      <c r="B94" s="45"/>
      <c r="C94" s="3826" t="s">
        <v>63</v>
      </c>
      <c r="D94" s="195"/>
      <c r="E94" s="67"/>
      <c r="F94" s="67"/>
      <c r="G94" s="67"/>
      <c r="H94" s="67"/>
      <c r="I94" s="67"/>
      <c r="J94" s="67"/>
      <c r="K94" s="67"/>
      <c r="L94" s="67"/>
      <c r="M94" s="67"/>
      <c r="N94" s="67"/>
      <c r="O94" s="876"/>
    </row>
    <row r="95" spans="2:16" s="918" customFormat="1">
      <c r="B95" s="1160"/>
      <c r="C95" s="1161" t="s">
        <v>64</v>
      </c>
      <c r="D95" s="2866" t="s">
        <v>2852</v>
      </c>
      <c r="E95" s="922"/>
      <c r="F95" s="922"/>
      <c r="G95" s="922"/>
      <c r="H95" s="922"/>
      <c r="I95" s="922"/>
      <c r="J95" s="922"/>
      <c r="K95" s="922"/>
      <c r="L95" s="922"/>
      <c r="M95" s="922"/>
      <c r="N95" s="922"/>
      <c r="O95" s="923"/>
      <c r="P95" s="2858"/>
    </row>
    <row r="96" spans="2:16" s="918" customFormat="1">
      <c r="B96" s="1160"/>
      <c r="C96" s="1161"/>
      <c r="D96" s="2866" t="s">
        <v>2853</v>
      </c>
      <c r="E96" s="922"/>
      <c r="F96" s="922"/>
      <c r="G96" s="922"/>
      <c r="H96" s="922"/>
      <c r="I96" s="922"/>
      <c r="J96" s="922"/>
      <c r="K96" s="922"/>
      <c r="L96" s="922"/>
      <c r="M96" s="922"/>
      <c r="N96" s="922"/>
      <c r="O96" s="923"/>
      <c r="P96" s="2858"/>
    </row>
    <row r="97" spans="1:27" s="918" customFormat="1">
      <c r="B97" s="1160"/>
      <c r="C97" s="1161"/>
      <c r="D97" s="2866" t="s">
        <v>2854</v>
      </c>
      <c r="E97" s="922"/>
      <c r="F97" s="922"/>
      <c r="G97" s="922"/>
      <c r="H97" s="922"/>
      <c r="I97" s="922"/>
      <c r="J97" s="922"/>
      <c r="K97" s="922"/>
      <c r="L97" s="922"/>
      <c r="M97" s="922"/>
      <c r="N97" s="922"/>
      <c r="O97" s="923"/>
      <c r="P97" s="2858"/>
    </row>
    <row r="98" spans="1:27" s="918" customFormat="1">
      <c r="B98" s="1160"/>
      <c r="C98" s="1161" t="s">
        <v>66</v>
      </c>
      <c r="D98" s="2866" t="s">
        <v>3176</v>
      </c>
      <c r="E98" s="922"/>
      <c r="F98" s="922"/>
      <c r="G98" s="922"/>
      <c r="H98" s="922"/>
      <c r="I98" s="922"/>
      <c r="J98" s="922"/>
      <c r="K98" s="922"/>
      <c r="L98" s="922"/>
      <c r="M98" s="922"/>
      <c r="N98" s="922"/>
      <c r="O98" s="923"/>
      <c r="P98" s="2858"/>
    </row>
    <row r="99" spans="1:27" s="918" customFormat="1">
      <c r="B99" s="1160"/>
      <c r="C99" s="1161" t="s">
        <v>105</v>
      </c>
      <c r="D99" s="2866" t="s">
        <v>3176</v>
      </c>
      <c r="E99" s="922"/>
      <c r="F99" s="922"/>
      <c r="G99" s="922"/>
      <c r="H99" s="922"/>
      <c r="I99" s="922"/>
      <c r="J99" s="922"/>
      <c r="K99" s="922"/>
      <c r="L99" s="922"/>
      <c r="M99" s="922"/>
      <c r="N99" s="922"/>
      <c r="O99" s="923"/>
      <c r="P99" s="2858"/>
    </row>
    <row r="100" spans="1:27" s="918" customFormat="1">
      <c r="B100" s="1160"/>
      <c r="C100" s="1161" t="s">
        <v>79</v>
      </c>
      <c r="D100" s="2866" t="s">
        <v>2889</v>
      </c>
      <c r="E100" s="922"/>
      <c r="F100" s="922"/>
      <c r="G100" s="922"/>
      <c r="H100" s="922"/>
      <c r="I100" s="922"/>
      <c r="J100" s="922"/>
      <c r="K100" s="922"/>
      <c r="L100" s="922"/>
      <c r="M100" s="922"/>
      <c r="N100" s="922"/>
      <c r="O100" s="923"/>
      <c r="P100" s="2858"/>
    </row>
    <row r="101" spans="1:27" s="918" customFormat="1">
      <c r="B101" s="1160"/>
      <c r="C101" s="1161"/>
      <c r="D101" s="2866"/>
      <c r="E101" s="922"/>
      <c r="F101" s="922"/>
      <c r="G101" s="922"/>
      <c r="H101" s="922"/>
      <c r="I101" s="922"/>
      <c r="J101" s="922"/>
      <c r="K101" s="922"/>
      <c r="L101" s="922"/>
      <c r="M101" s="922"/>
      <c r="N101" s="922"/>
      <c r="O101" s="923"/>
      <c r="P101" s="2858"/>
    </row>
    <row r="102" spans="1:27" s="918" customFormat="1">
      <c r="B102" s="1160"/>
      <c r="C102" s="1161"/>
      <c r="D102" s="2866"/>
      <c r="E102" s="922"/>
      <c r="F102" s="922"/>
      <c r="G102" s="922"/>
      <c r="H102" s="922"/>
      <c r="I102" s="922"/>
      <c r="J102" s="922"/>
      <c r="K102" s="922"/>
      <c r="L102" s="922"/>
      <c r="M102" s="922"/>
      <c r="N102" s="922"/>
      <c r="O102" s="923"/>
      <c r="P102" s="2858"/>
    </row>
    <row r="103" spans="1:27">
      <c r="B103" s="1163"/>
      <c r="C103" s="1065"/>
      <c r="D103" s="1065"/>
      <c r="E103" s="1065"/>
      <c r="F103" s="1065"/>
      <c r="G103" s="1065"/>
      <c r="H103" s="1065"/>
      <c r="I103" s="1065"/>
      <c r="J103" s="1065"/>
      <c r="K103" s="1065"/>
      <c r="L103" s="1065"/>
      <c r="M103" s="1065"/>
      <c r="N103" s="1065"/>
      <c r="O103" s="1100"/>
    </row>
    <row r="105" spans="1:27" s="6" customFormat="1" ht="23.5">
      <c r="A105" s="40"/>
      <c r="B105" s="869" t="s">
        <v>2719</v>
      </c>
      <c r="C105" s="870"/>
      <c r="D105" s="870"/>
      <c r="E105" s="870"/>
      <c r="F105" s="870"/>
      <c r="G105" s="870"/>
      <c r="H105" s="870"/>
      <c r="I105" s="870"/>
      <c r="J105" s="870"/>
      <c r="K105" s="870"/>
      <c r="L105" s="870"/>
      <c r="M105" s="870"/>
      <c r="N105" s="870"/>
      <c r="O105" s="870"/>
      <c r="P105" s="2858"/>
      <c r="Q105" s="647"/>
      <c r="R105" s="647"/>
      <c r="S105" s="647"/>
      <c r="T105" s="647"/>
      <c r="U105" s="647"/>
      <c r="V105" s="647"/>
      <c r="W105" s="647"/>
      <c r="X105" s="647"/>
      <c r="Y105" s="647"/>
      <c r="Z105" s="647"/>
      <c r="AA105" s="647"/>
    </row>
    <row r="106" spans="1:27" hidden="1">
      <c r="B106" s="105"/>
      <c r="C106" s="67"/>
      <c r="D106" s="67"/>
      <c r="E106" s="67"/>
      <c r="F106" s="67"/>
      <c r="G106" s="67"/>
      <c r="H106" s="67"/>
      <c r="I106" s="67"/>
      <c r="J106" s="67"/>
      <c r="K106" s="67"/>
      <c r="L106" s="67"/>
      <c r="M106" s="67"/>
      <c r="N106" s="67"/>
      <c r="O106" s="67"/>
      <c r="Q106" s="1164"/>
      <c r="R106" s="1164"/>
      <c r="S106" s="1164"/>
      <c r="T106" s="1164"/>
      <c r="U106" s="1164"/>
      <c r="V106" s="1164"/>
      <c r="W106" s="1164"/>
      <c r="X106" s="1164"/>
      <c r="Y106" s="1164"/>
      <c r="Z106" s="1164"/>
      <c r="AA106" s="1164"/>
    </row>
    <row r="107" spans="1:27" hidden="1">
      <c r="B107" s="105"/>
      <c r="C107" s="963" t="s">
        <v>2297</v>
      </c>
      <c r="D107" s="964"/>
      <c r="E107" s="963" t="s">
        <v>159</v>
      </c>
      <c r="F107" s="972">
        <v>2013</v>
      </c>
      <c r="G107" s="972">
        <v>2015</v>
      </c>
      <c r="H107" s="972">
        <v>2020</v>
      </c>
      <c r="I107" s="972">
        <v>2025</v>
      </c>
      <c r="J107" s="972">
        <v>2030</v>
      </c>
      <c r="K107" s="972">
        <v>2035</v>
      </c>
      <c r="L107" s="972">
        <v>2040</v>
      </c>
      <c r="M107" s="972">
        <v>2045</v>
      </c>
      <c r="N107" s="972">
        <v>2050</v>
      </c>
      <c r="O107" s="67"/>
      <c r="Q107" s="2859"/>
      <c r="R107" s="1164"/>
      <c r="S107" s="1164"/>
      <c r="T107" s="1164"/>
      <c r="U107" s="1164"/>
      <c r="V107" s="1164"/>
      <c r="W107" s="1164"/>
      <c r="X107" s="1164"/>
      <c r="Y107" s="1164"/>
      <c r="Z107" s="1164"/>
      <c r="AA107" s="1164"/>
    </row>
    <row r="108" spans="1:27" hidden="1">
      <c r="B108" s="105"/>
      <c r="C108" s="964" t="s">
        <v>22</v>
      </c>
      <c r="D108" s="2867" t="s">
        <v>2298</v>
      </c>
      <c r="E108" s="2867"/>
      <c r="F108" s="2868"/>
      <c r="G108" s="2869"/>
      <c r="H108" s="2869"/>
      <c r="I108" s="2869"/>
      <c r="J108" s="2870"/>
      <c r="K108" s="2870"/>
      <c r="L108" s="2870"/>
      <c r="M108" s="2870"/>
      <c r="N108" s="2870"/>
      <c r="O108" s="67"/>
      <c r="Q108" s="2859"/>
      <c r="R108" s="2466"/>
      <c r="S108" s="2466"/>
      <c r="T108" s="1419"/>
      <c r="U108" s="1419"/>
      <c r="V108" s="1419"/>
      <c r="W108" s="1164"/>
      <c r="X108" s="1164"/>
      <c r="Y108" s="1419"/>
      <c r="Z108" s="1419"/>
      <c r="AA108" s="1164"/>
    </row>
    <row r="109" spans="1:27" hidden="1">
      <c r="B109" s="105"/>
      <c r="C109" s="67" t="s">
        <v>160</v>
      </c>
      <c r="D109" s="934" t="s">
        <v>2298</v>
      </c>
      <c r="E109" s="934"/>
      <c r="F109" s="1569"/>
      <c r="G109" s="2871"/>
      <c r="H109" s="2871"/>
      <c r="I109" s="2871"/>
      <c r="J109" s="51"/>
      <c r="K109" s="51"/>
      <c r="L109" s="51"/>
      <c r="M109" s="51"/>
      <c r="N109" s="51"/>
      <c r="O109" s="67"/>
      <c r="Q109" s="2859"/>
      <c r="R109" s="2466"/>
      <c r="S109" s="1164"/>
      <c r="T109" s="1219"/>
      <c r="U109" s="1672"/>
      <c r="V109" s="1672"/>
      <c r="W109" s="1164"/>
      <c r="X109" s="1164"/>
      <c r="Y109" s="2872"/>
      <c r="Z109" s="2872"/>
      <c r="AA109" s="1164"/>
    </row>
    <row r="110" spans="1:27" hidden="1">
      <c r="B110" s="105"/>
      <c r="C110" s="67" t="s">
        <v>20</v>
      </c>
      <c r="D110" s="934" t="s">
        <v>2298</v>
      </c>
      <c r="E110" s="934"/>
      <c r="F110" s="1569"/>
      <c r="G110" s="2871"/>
      <c r="H110" s="2871"/>
      <c r="I110" s="2871"/>
      <c r="J110" s="51"/>
      <c r="K110" s="51"/>
      <c r="L110" s="51"/>
      <c r="M110" s="51"/>
      <c r="N110" s="51"/>
      <c r="O110" s="67"/>
      <c r="Q110" s="2859"/>
      <c r="R110" s="1164"/>
      <c r="S110" s="1164"/>
      <c r="T110" s="1219"/>
      <c r="U110" s="1419"/>
      <c r="V110" s="1419"/>
      <c r="W110" s="1164"/>
      <c r="X110" s="1164"/>
      <c r="Y110" s="2872"/>
      <c r="Z110" s="2872"/>
      <c r="AA110" s="1164"/>
    </row>
    <row r="111" spans="1:27" hidden="1">
      <c r="B111" s="105"/>
      <c r="C111" s="67"/>
      <c r="D111" s="67"/>
      <c r="E111" s="934"/>
      <c r="F111" s="67"/>
      <c r="G111" s="51"/>
      <c r="H111" s="51"/>
      <c r="I111" s="51"/>
      <c r="J111" s="51"/>
      <c r="K111" s="51"/>
      <c r="L111" s="51"/>
      <c r="M111" s="51"/>
      <c r="N111" s="67"/>
      <c r="O111" s="67"/>
      <c r="Q111" s="2859"/>
      <c r="R111" s="1164"/>
      <c r="S111" s="1164"/>
      <c r="T111" s="1219"/>
      <c r="U111" s="1419"/>
      <c r="V111" s="1419"/>
      <c r="W111" s="1164"/>
      <c r="X111" s="1164"/>
      <c r="Y111" s="2872"/>
      <c r="Z111" s="2872"/>
      <c r="AA111" s="1164"/>
    </row>
    <row r="112" spans="1:27" hidden="1">
      <c r="B112" s="105"/>
      <c r="C112" s="67" t="s">
        <v>22</v>
      </c>
      <c r="D112" s="67" t="s">
        <v>2742</v>
      </c>
      <c r="E112" s="2873"/>
      <c r="F112" s="2874"/>
      <c r="G112" s="2871"/>
      <c r="H112" s="2871"/>
      <c r="I112" s="2871"/>
      <c r="J112" s="2874"/>
      <c r="K112" s="350"/>
      <c r="L112" s="350"/>
      <c r="M112" s="350"/>
      <c r="N112" s="350"/>
      <c r="O112" s="67"/>
      <c r="Q112" s="2859"/>
      <c r="R112" s="1164"/>
      <c r="S112" s="1164"/>
      <c r="T112" s="1164"/>
      <c r="U112" s="1164"/>
      <c r="V112" s="1164"/>
      <c r="W112" s="1164"/>
      <c r="X112" s="1164"/>
      <c r="Y112" s="1164"/>
      <c r="Z112" s="1164"/>
      <c r="AA112" s="1164"/>
    </row>
    <row r="113" spans="2:27" hidden="1">
      <c r="B113" s="105"/>
      <c r="C113" s="67" t="s">
        <v>160</v>
      </c>
      <c r="D113" s="67" t="s">
        <v>2742</v>
      </c>
      <c r="E113" s="2873"/>
      <c r="F113" s="2874"/>
      <c r="G113" s="2871"/>
      <c r="H113" s="2871"/>
      <c r="I113" s="2871"/>
      <c r="J113" s="350"/>
      <c r="K113" s="350"/>
      <c r="L113" s="350"/>
      <c r="M113" s="350"/>
      <c r="N113" s="350"/>
      <c r="O113" s="67"/>
      <c r="Q113" s="2859"/>
      <c r="R113" s="1164"/>
      <c r="S113" s="1164"/>
      <c r="T113" s="1164"/>
      <c r="U113" s="1164"/>
      <c r="V113" s="1164"/>
      <c r="W113" s="1164"/>
      <c r="X113" s="1164"/>
      <c r="Y113" s="1164"/>
      <c r="Z113" s="1164"/>
      <c r="AA113" s="1164"/>
    </row>
    <row r="114" spans="2:27" hidden="1">
      <c r="B114" s="105"/>
      <c r="C114" s="969" t="s">
        <v>20</v>
      </c>
      <c r="D114" s="969" t="s">
        <v>2742</v>
      </c>
      <c r="E114" s="2875"/>
      <c r="F114" s="2876"/>
      <c r="G114" s="2877"/>
      <c r="H114" s="2877"/>
      <c r="I114" s="2877"/>
      <c r="J114" s="2876"/>
      <c r="K114" s="352"/>
      <c r="L114" s="352"/>
      <c r="M114" s="352"/>
      <c r="N114" s="352"/>
      <c r="O114" s="67"/>
      <c r="Q114" s="2859"/>
      <c r="R114" s="1164"/>
      <c r="S114" s="1164"/>
      <c r="T114" s="1164"/>
      <c r="U114" s="1164"/>
      <c r="V114" s="1164"/>
      <c r="W114" s="1164"/>
      <c r="X114" s="1164"/>
      <c r="Y114" s="1164"/>
      <c r="Z114" s="1164"/>
      <c r="AA114" s="1164"/>
    </row>
    <row r="115" spans="2:27" hidden="1">
      <c r="B115" s="47"/>
      <c r="C115" s="47"/>
      <c r="D115" s="47"/>
      <c r="E115" s="2878"/>
      <c r="F115" s="47"/>
      <c r="G115" s="47"/>
      <c r="H115" s="47"/>
      <c r="I115" s="47"/>
      <c r="J115" s="47"/>
      <c r="K115" s="47"/>
      <c r="L115" s="47"/>
      <c r="M115" s="47"/>
      <c r="N115" s="47"/>
      <c r="O115" s="47"/>
      <c r="Q115" s="2859"/>
      <c r="R115" s="2466"/>
      <c r="S115" s="1419"/>
      <c r="T115" s="1419"/>
      <c r="U115" s="1419"/>
      <c r="V115" s="1164"/>
      <c r="W115" s="1164"/>
      <c r="X115" s="1419"/>
      <c r="Y115" s="1419"/>
      <c r="Z115" s="1164"/>
      <c r="AA115" s="1164"/>
    </row>
    <row r="116" spans="2:27" hidden="1">
      <c r="B116" s="47"/>
      <c r="C116" s="963" t="s">
        <v>2266</v>
      </c>
      <c r="D116" s="964"/>
      <c r="E116" s="2879" t="s">
        <v>159</v>
      </c>
      <c r="F116" s="972">
        <v>2013</v>
      </c>
      <c r="G116" s="972">
        <v>2015</v>
      </c>
      <c r="H116" s="972">
        <v>2020</v>
      </c>
      <c r="I116" s="972">
        <v>2025</v>
      </c>
      <c r="J116" s="972">
        <v>2030</v>
      </c>
      <c r="K116" s="972">
        <v>2035</v>
      </c>
      <c r="L116" s="972">
        <v>2040</v>
      </c>
      <c r="M116" s="972">
        <v>2045</v>
      </c>
      <c r="N116" s="972">
        <v>2050</v>
      </c>
      <c r="O116" s="47"/>
      <c r="Q116" s="2859"/>
      <c r="R116" s="1164"/>
      <c r="S116" s="1164"/>
      <c r="T116" s="1164"/>
      <c r="U116" s="1164"/>
      <c r="V116" s="1164"/>
      <c r="W116" s="1164"/>
      <c r="X116" s="1164"/>
      <c r="Y116" s="1164"/>
      <c r="Z116" s="1164"/>
      <c r="AA116" s="1164"/>
    </row>
    <row r="117" spans="2:27" hidden="1">
      <c r="B117" s="105"/>
      <c r="C117" s="964" t="s">
        <v>22</v>
      </c>
      <c r="D117" s="2867" t="s">
        <v>2267</v>
      </c>
      <c r="E117" s="2880"/>
      <c r="F117" s="2869"/>
      <c r="G117" s="2869"/>
      <c r="H117" s="2869"/>
      <c r="I117" s="2869"/>
      <c r="J117" s="2869"/>
      <c r="K117" s="2869"/>
      <c r="L117" s="2870"/>
      <c r="M117" s="2870"/>
      <c r="N117" s="2870"/>
      <c r="O117" s="67"/>
      <c r="Q117" s="2859"/>
      <c r="R117" s="1164"/>
      <c r="S117" s="1164"/>
      <c r="T117" s="1164"/>
      <c r="U117" s="1164"/>
      <c r="V117" s="1164"/>
      <c r="W117" s="1164"/>
      <c r="X117" s="1164"/>
      <c r="Y117" s="1164"/>
      <c r="Z117" s="1164"/>
      <c r="AA117" s="1164"/>
    </row>
    <row r="118" spans="2:27" hidden="1">
      <c r="B118" s="105"/>
      <c r="C118" s="67" t="s">
        <v>160</v>
      </c>
      <c r="D118" s="934" t="s">
        <v>2267</v>
      </c>
      <c r="E118" s="2873"/>
      <c r="F118" s="2871"/>
      <c r="G118" s="2871"/>
      <c r="H118" s="2871"/>
      <c r="I118" s="2871"/>
      <c r="J118" s="2871"/>
      <c r="K118" s="2871"/>
      <c r="L118" s="51"/>
      <c r="M118" s="51"/>
      <c r="N118" s="51"/>
      <c r="O118" s="67"/>
      <c r="Q118" s="2859"/>
      <c r="R118" s="1164"/>
      <c r="S118" s="1164"/>
      <c r="T118" s="1164"/>
      <c r="U118" s="1164"/>
      <c r="V118" s="1164"/>
      <c r="W118" s="1164"/>
      <c r="X118" s="1164"/>
      <c r="Y118" s="1164"/>
      <c r="Z118" s="1164"/>
      <c r="AA118" s="1164"/>
    </row>
    <row r="119" spans="2:27" hidden="1">
      <c r="B119" s="47"/>
      <c r="C119" s="67" t="s">
        <v>20</v>
      </c>
      <c r="D119" s="934" t="s">
        <v>2267</v>
      </c>
      <c r="E119" s="2873"/>
      <c r="F119" s="2871"/>
      <c r="G119" s="2871"/>
      <c r="H119" s="2871"/>
      <c r="I119" s="2871"/>
      <c r="J119" s="2871"/>
      <c r="K119" s="2871"/>
      <c r="L119" s="51"/>
      <c r="M119" s="51"/>
      <c r="N119" s="51"/>
      <c r="O119" s="47"/>
      <c r="Q119" s="2859"/>
      <c r="R119" s="1164"/>
      <c r="S119" s="1164"/>
      <c r="T119" s="1164"/>
      <c r="U119" s="1164"/>
      <c r="V119" s="1164"/>
      <c r="W119" s="1164"/>
      <c r="X119" s="1164"/>
      <c r="Y119" s="1164"/>
      <c r="Z119" s="1164"/>
      <c r="AA119" s="1164"/>
    </row>
    <row r="120" spans="2:27" hidden="1">
      <c r="B120" s="47"/>
      <c r="C120" s="67"/>
      <c r="D120" s="67"/>
      <c r="E120" s="2873"/>
      <c r="F120" s="67"/>
      <c r="G120" s="51"/>
      <c r="H120" s="51"/>
      <c r="I120" s="51"/>
      <c r="J120" s="51"/>
      <c r="K120" s="51"/>
      <c r="L120" s="51"/>
      <c r="M120" s="51"/>
      <c r="N120" s="67"/>
      <c r="O120" s="47"/>
      <c r="Q120" s="2859"/>
      <c r="R120" s="1164"/>
      <c r="S120" s="1164"/>
      <c r="T120" s="1164"/>
      <c r="U120" s="1164"/>
      <c r="V120" s="1164"/>
      <c r="W120" s="1164"/>
      <c r="X120" s="1164"/>
      <c r="Y120" s="1164"/>
      <c r="Z120" s="1164"/>
      <c r="AA120" s="1164"/>
    </row>
    <row r="121" spans="2:27" s="39" customFormat="1" hidden="1">
      <c r="B121" s="47"/>
      <c r="C121" s="67" t="s">
        <v>22</v>
      </c>
      <c r="D121" s="67" t="s">
        <v>2742</v>
      </c>
      <c r="E121" s="2873"/>
      <c r="F121" s="2874"/>
      <c r="G121" s="2871"/>
      <c r="H121" s="2871"/>
      <c r="I121" s="2871"/>
      <c r="J121" s="2874"/>
      <c r="K121" s="2874"/>
      <c r="L121" s="2874"/>
      <c r="M121" s="2874"/>
      <c r="N121" s="2874"/>
      <c r="O121" s="47"/>
      <c r="P121" s="2858"/>
      <c r="Q121" s="2859"/>
      <c r="R121" s="1164"/>
      <c r="S121" s="1164"/>
      <c r="T121" s="1164"/>
      <c r="U121" s="1164"/>
      <c r="V121" s="1164"/>
      <c r="W121" s="1164"/>
      <c r="X121" s="1164"/>
      <c r="Y121" s="1164"/>
      <c r="Z121" s="1164"/>
      <c r="AA121" s="1164"/>
    </row>
    <row r="122" spans="2:27" s="39" customFormat="1" hidden="1">
      <c r="B122" s="47"/>
      <c r="C122" s="67" t="s">
        <v>160</v>
      </c>
      <c r="D122" s="67" t="s">
        <v>2742</v>
      </c>
      <c r="E122" s="2873"/>
      <c r="F122" s="2874"/>
      <c r="G122" s="2871"/>
      <c r="H122" s="2871"/>
      <c r="I122" s="2871"/>
      <c r="J122" s="2874"/>
      <c r="K122" s="2874"/>
      <c r="L122" s="2874"/>
      <c r="M122" s="2874"/>
      <c r="N122" s="2874"/>
      <c r="O122" s="47"/>
      <c r="P122" s="2858"/>
      <c r="Q122" s="2859"/>
      <c r="R122" s="1164"/>
      <c r="S122" s="1164"/>
      <c r="T122" s="1164"/>
      <c r="U122" s="1164"/>
      <c r="V122" s="1164"/>
      <c r="W122" s="1164"/>
      <c r="X122" s="1164"/>
      <c r="Y122" s="1164"/>
      <c r="Z122" s="1164"/>
      <c r="AA122" s="1164"/>
    </row>
    <row r="123" spans="2:27" s="39" customFormat="1" hidden="1">
      <c r="B123" s="47"/>
      <c r="C123" s="969" t="s">
        <v>20</v>
      </c>
      <c r="D123" s="969" t="s">
        <v>2742</v>
      </c>
      <c r="E123" s="2875"/>
      <c r="F123" s="2876"/>
      <c r="G123" s="2877"/>
      <c r="H123" s="2877"/>
      <c r="I123" s="2877"/>
      <c r="J123" s="2876"/>
      <c r="K123" s="2876"/>
      <c r="L123" s="2876"/>
      <c r="M123" s="2876"/>
      <c r="N123" s="2876"/>
      <c r="O123" s="47"/>
      <c r="P123" s="2858"/>
      <c r="Q123" s="2859"/>
      <c r="R123" s="1164"/>
      <c r="S123" s="1164"/>
      <c r="T123" s="1164"/>
      <c r="U123" s="1164"/>
      <c r="V123" s="1164"/>
      <c r="W123" s="1164"/>
      <c r="X123" s="1164"/>
      <c r="Y123" s="1164"/>
      <c r="Z123" s="1164"/>
      <c r="AA123" s="1164"/>
    </row>
    <row r="124" spans="2:27" s="39" customFormat="1" hidden="1">
      <c r="B124" s="47"/>
      <c r="C124" s="47"/>
      <c r="D124" s="47"/>
      <c r="E124" s="2878"/>
      <c r="F124" s="47"/>
      <c r="G124" s="47"/>
      <c r="H124" s="47"/>
      <c r="I124" s="47"/>
      <c r="J124" s="47"/>
      <c r="K124" s="47"/>
      <c r="L124" s="47"/>
      <c r="M124" s="47"/>
      <c r="N124" s="47"/>
      <c r="O124" s="47"/>
      <c r="P124" s="2858"/>
      <c r="Q124" s="2859"/>
      <c r="R124" s="1164"/>
      <c r="S124" s="1164"/>
      <c r="T124" s="1164"/>
      <c r="U124" s="1164"/>
      <c r="V124" s="1164"/>
      <c r="W124" s="1164"/>
      <c r="X124" s="1164"/>
      <c r="Y124" s="1164"/>
      <c r="Z124" s="1164"/>
      <c r="AA124" s="1164"/>
    </row>
    <row r="125" spans="2:27" s="39" customFormat="1" hidden="1">
      <c r="B125" s="47"/>
      <c r="C125" s="963" t="s">
        <v>2268</v>
      </c>
      <c r="D125" s="964"/>
      <c r="E125" s="2879" t="s">
        <v>159</v>
      </c>
      <c r="F125" s="972">
        <v>2013</v>
      </c>
      <c r="G125" s="972">
        <v>2015</v>
      </c>
      <c r="H125" s="972">
        <v>2020</v>
      </c>
      <c r="I125" s="972">
        <v>2025</v>
      </c>
      <c r="J125" s="972">
        <v>2030</v>
      </c>
      <c r="K125" s="972">
        <v>2035</v>
      </c>
      <c r="L125" s="972">
        <v>2040</v>
      </c>
      <c r="M125" s="972">
        <v>2045</v>
      </c>
      <c r="N125" s="972">
        <v>2050</v>
      </c>
      <c r="O125" s="47"/>
      <c r="P125" s="2858"/>
      <c r="Q125" s="2859"/>
      <c r="R125" s="1164"/>
      <c r="S125" s="1164"/>
      <c r="T125" s="1164"/>
      <c r="U125" s="1164"/>
      <c r="V125" s="1164"/>
      <c r="W125" s="1164"/>
      <c r="X125" s="1164"/>
      <c r="Y125" s="1164"/>
      <c r="Z125" s="1164"/>
      <c r="AA125" s="1164"/>
    </row>
    <row r="126" spans="2:27" s="39" customFormat="1" hidden="1">
      <c r="B126" s="47"/>
      <c r="C126" s="964" t="s">
        <v>22</v>
      </c>
      <c r="D126" s="2867" t="s">
        <v>2269</v>
      </c>
      <c r="E126" s="2880"/>
      <c r="F126" s="2869"/>
      <c r="G126" s="2869"/>
      <c r="H126" s="2869"/>
      <c r="I126" s="2869"/>
      <c r="J126" s="2869"/>
      <c r="K126" s="2869"/>
      <c r="L126" s="2869"/>
      <c r="M126" s="2869"/>
      <c r="N126" s="2869"/>
      <c r="O126" s="47"/>
      <c r="P126" s="2858"/>
      <c r="Q126" s="2859"/>
      <c r="R126" s="1164"/>
      <c r="S126" s="1164"/>
      <c r="T126" s="1164"/>
      <c r="U126" s="1164"/>
      <c r="V126" s="1164"/>
      <c r="W126" s="1164"/>
      <c r="X126" s="1164"/>
      <c r="Y126" s="1164"/>
      <c r="Z126" s="1164"/>
      <c r="AA126" s="1164"/>
    </row>
    <row r="127" spans="2:27" s="39" customFormat="1" hidden="1">
      <c r="B127" s="47"/>
      <c r="C127" s="67" t="s">
        <v>160</v>
      </c>
      <c r="D127" s="934" t="s">
        <v>2269</v>
      </c>
      <c r="E127" s="2873"/>
      <c r="F127" s="1586"/>
      <c r="G127" s="2871"/>
      <c r="H127" s="2871"/>
      <c r="I127" s="2871"/>
      <c r="J127" s="1586"/>
      <c r="K127" s="1586"/>
      <c r="L127" s="1586"/>
      <c r="M127" s="1586"/>
      <c r="N127" s="1586"/>
      <c r="O127" s="47"/>
      <c r="P127" s="2858"/>
      <c r="Q127" s="2859"/>
      <c r="R127" s="1164"/>
      <c r="S127" s="1164"/>
      <c r="T127" s="1164"/>
      <c r="U127" s="1164"/>
      <c r="V127" s="1164"/>
      <c r="W127" s="1164"/>
      <c r="X127" s="1164"/>
      <c r="Y127" s="1164"/>
      <c r="Z127" s="1164"/>
      <c r="AA127" s="1164"/>
    </row>
    <row r="128" spans="2:27" s="39" customFormat="1" hidden="1">
      <c r="B128" s="47"/>
      <c r="C128" s="67" t="s">
        <v>20</v>
      </c>
      <c r="D128" s="934" t="s">
        <v>2269</v>
      </c>
      <c r="E128" s="2873"/>
      <c r="F128" s="2871"/>
      <c r="G128" s="2871"/>
      <c r="H128" s="2871"/>
      <c r="I128" s="2871"/>
      <c r="J128" s="2871"/>
      <c r="K128" s="2871"/>
      <c r="L128" s="2871"/>
      <c r="M128" s="2871"/>
      <c r="N128" s="2871"/>
      <c r="O128" s="47"/>
      <c r="P128" s="2858"/>
      <c r="Q128" s="2859"/>
      <c r="R128" s="1164"/>
      <c r="S128" s="1164"/>
      <c r="T128" s="1164"/>
      <c r="U128" s="1164"/>
      <c r="V128" s="1164"/>
      <c r="W128" s="1164"/>
      <c r="X128" s="1164"/>
      <c r="Y128" s="1164"/>
      <c r="Z128" s="1164"/>
      <c r="AA128" s="1164"/>
    </row>
    <row r="129" spans="2:27" s="39" customFormat="1" hidden="1">
      <c r="B129" s="47"/>
      <c r="C129" s="67"/>
      <c r="D129" s="67"/>
      <c r="E129" s="2873"/>
      <c r="F129" s="1586"/>
      <c r="G129" s="2871"/>
      <c r="H129" s="2871"/>
      <c r="I129" s="2871"/>
      <c r="J129" s="2871"/>
      <c r="K129" s="2871"/>
      <c r="L129" s="2871"/>
      <c r="M129" s="2871"/>
      <c r="N129" s="1586"/>
      <c r="O129" s="47"/>
      <c r="P129" s="2858"/>
      <c r="Q129" s="2859"/>
      <c r="R129" s="1164"/>
      <c r="S129" s="1164"/>
      <c r="T129" s="1164"/>
      <c r="U129" s="1164"/>
      <c r="V129" s="1164"/>
      <c r="W129" s="1164"/>
      <c r="X129" s="1164"/>
      <c r="Y129" s="1164"/>
      <c r="Z129" s="1164"/>
      <c r="AA129" s="1164"/>
    </row>
    <row r="130" spans="2:27" s="39" customFormat="1" hidden="1">
      <c r="B130" s="47"/>
      <c r="C130" s="67" t="s">
        <v>22</v>
      </c>
      <c r="D130" s="67" t="s">
        <v>2742</v>
      </c>
      <c r="E130" s="2873"/>
      <c r="F130" s="2874"/>
      <c r="G130" s="2871"/>
      <c r="H130" s="2871"/>
      <c r="I130" s="2871"/>
      <c r="J130" s="2874"/>
      <c r="K130" s="2874"/>
      <c r="L130" s="2874"/>
      <c r="M130" s="2874"/>
      <c r="N130" s="2874"/>
      <c r="O130" s="47"/>
      <c r="P130" s="2858"/>
      <c r="Q130" s="2859"/>
      <c r="R130" s="1164"/>
      <c r="S130" s="1164"/>
      <c r="T130" s="1164"/>
      <c r="U130" s="1164"/>
      <c r="V130" s="1164"/>
      <c r="W130" s="1164"/>
      <c r="X130" s="1164"/>
      <c r="Y130" s="1164"/>
      <c r="Z130" s="1164"/>
      <c r="AA130" s="1164"/>
    </row>
    <row r="131" spans="2:27" s="39" customFormat="1" hidden="1">
      <c r="B131" s="47"/>
      <c r="C131" s="67" t="s">
        <v>160</v>
      </c>
      <c r="D131" s="67" t="s">
        <v>2742</v>
      </c>
      <c r="E131" s="2873"/>
      <c r="F131" s="2874"/>
      <c r="G131" s="2871"/>
      <c r="H131" s="2871"/>
      <c r="I131" s="2871"/>
      <c r="J131" s="2874"/>
      <c r="K131" s="2874"/>
      <c r="L131" s="2874"/>
      <c r="M131" s="2874"/>
      <c r="N131" s="2874"/>
      <c r="O131" s="47"/>
      <c r="P131" s="2858"/>
      <c r="Q131" s="2859"/>
      <c r="R131" s="1164"/>
      <c r="S131" s="1164"/>
      <c r="T131" s="1164"/>
      <c r="U131" s="1164"/>
      <c r="V131" s="1164"/>
      <c r="W131" s="1164"/>
      <c r="X131" s="1164"/>
      <c r="Y131" s="1164"/>
      <c r="Z131" s="1164"/>
      <c r="AA131" s="1164"/>
    </row>
    <row r="132" spans="2:27" s="39" customFormat="1" hidden="1">
      <c r="B132" s="47"/>
      <c r="C132" s="969" t="s">
        <v>20</v>
      </c>
      <c r="D132" s="969" t="s">
        <v>2742</v>
      </c>
      <c r="E132" s="2875"/>
      <c r="F132" s="2876"/>
      <c r="G132" s="2877"/>
      <c r="H132" s="2877"/>
      <c r="I132" s="2877"/>
      <c r="J132" s="2876"/>
      <c r="K132" s="2876"/>
      <c r="L132" s="2876"/>
      <c r="M132" s="2876"/>
      <c r="N132" s="2876"/>
      <c r="O132" s="47"/>
      <c r="P132" s="2858"/>
      <c r="Q132" s="2859"/>
      <c r="R132" s="1164"/>
      <c r="S132" s="1164"/>
      <c r="T132" s="1164"/>
      <c r="U132" s="1164"/>
      <c r="V132" s="1164"/>
      <c r="W132" s="1164"/>
      <c r="X132" s="1164"/>
      <c r="Y132" s="1164"/>
      <c r="Z132" s="1164"/>
      <c r="AA132" s="1164"/>
    </row>
    <row r="133" spans="2:27" s="39" customFormat="1" hidden="1">
      <c r="B133" s="47"/>
      <c r="C133" s="47"/>
      <c r="D133" s="47"/>
      <c r="E133" s="47"/>
      <c r="F133" s="47"/>
      <c r="G133" s="47"/>
      <c r="H133" s="47"/>
      <c r="I133" s="47"/>
      <c r="J133" s="47"/>
      <c r="K133" s="47"/>
      <c r="L133" s="47"/>
      <c r="M133" s="47"/>
      <c r="N133" s="47"/>
      <c r="O133" s="47"/>
      <c r="P133" s="2858"/>
    </row>
    <row r="134" spans="2:27" s="39" customFormat="1">
      <c r="P134" s="2858"/>
    </row>
    <row r="135" spans="2:27" s="39" customFormat="1">
      <c r="P135" s="2858"/>
    </row>
    <row r="136" spans="2:27" s="39" customFormat="1">
      <c r="P136" s="2858"/>
    </row>
    <row r="137" spans="2:27" ht="15.5">
      <c r="B137" s="1101" t="s">
        <v>206</v>
      </c>
    </row>
    <row r="138" spans="2:27">
      <c r="B138" s="2881">
        <v>1</v>
      </c>
      <c r="C138" s="2858" t="s">
        <v>2299</v>
      </c>
    </row>
    <row r="139" spans="2:27">
      <c r="B139" s="2881">
        <v>2</v>
      </c>
      <c r="C139" s="2858" t="s">
        <v>2270</v>
      </c>
    </row>
    <row r="140" spans="2:27">
      <c r="B140" s="2881">
        <v>3</v>
      </c>
      <c r="C140" s="2858" t="s">
        <v>2271</v>
      </c>
      <c r="K140" s="2858" t="s">
        <v>5</v>
      </c>
    </row>
    <row r="141" spans="2:27">
      <c r="B141" s="2881">
        <v>4</v>
      </c>
      <c r="C141" s="2858" t="s">
        <v>2272</v>
      </c>
    </row>
    <row r="143" spans="2:27">
      <c r="B143" s="2858">
        <v>1</v>
      </c>
      <c r="C143" s="2858" t="s">
        <v>2303</v>
      </c>
    </row>
    <row r="144" spans="2:27">
      <c r="C144" s="354" t="s">
        <v>2300</v>
      </c>
      <c r="E144" s="2858" t="str">
        <f>Preferences.EnergyUnits</f>
        <v>TWh</v>
      </c>
      <c r="F144" s="2460">
        <f t="shared" ref="F144:N144" si="12">F$44</f>
        <v>8.4</v>
      </c>
      <c r="G144" s="2460">
        <f t="shared" si="12"/>
        <v>7</v>
      </c>
      <c r="H144" s="2460">
        <f t="shared" si="12"/>
        <v>2</v>
      </c>
      <c r="I144" s="2460">
        <f t="shared" si="12"/>
        <v>2</v>
      </c>
      <c r="J144" s="2460">
        <f t="shared" si="12"/>
        <v>0</v>
      </c>
      <c r="K144" s="2460">
        <f t="shared" si="12"/>
        <v>0</v>
      </c>
      <c r="L144" s="2460">
        <f t="shared" si="12"/>
        <v>0</v>
      </c>
      <c r="M144" s="2460">
        <f t="shared" si="12"/>
        <v>0</v>
      </c>
      <c r="N144" s="2460">
        <f t="shared" si="12"/>
        <v>0</v>
      </c>
    </row>
    <row r="145" spans="2:14">
      <c r="B145" s="2"/>
      <c r="C145" s="2858" t="s">
        <v>1259</v>
      </c>
      <c r="F145" s="2384">
        <f t="shared" ref="F145:N145" si="13">F$144*F$54</f>
        <v>6.6380393902542884E-2</v>
      </c>
      <c r="G145" s="2384">
        <f t="shared" si="13"/>
        <v>5.5316994918785736E-2</v>
      </c>
      <c r="H145" s="2384">
        <f t="shared" si="13"/>
        <v>1.5804855691081639E-2</v>
      </c>
      <c r="I145" s="2384">
        <f t="shared" si="13"/>
        <v>1.5804855691081639E-2</v>
      </c>
      <c r="J145" s="2384">
        <f t="shared" si="13"/>
        <v>0</v>
      </c>
      <c r="K145" s="2384">
        <f t="shared" si="13"/>
        <v>0</v>
      </c>
      <c r="L145" s="2384">
        <f t="shared" si="13"/>
        <v>0</v>
      </c>
      <c r="M145" s="2384">
        <f t="shared" si="13"/>
        <v>0</v>
      </c>
      <c r="N145" s="2384">
        <f t="shared" si="13"/>
        <v>0</v>
      </c>
    </row>
    <row r="146" spans="2:14">
      <c r="B146" s="2"/>
      <c r="C146" s="2858" t="s">
        <v>2273</v>
      </c>
      <c r="F146" s="2384">
        <f t="shared" ref="F146:N146" si="14">F$144*F$55</f>
        <v>3.0179240072394542E-3</v>
      </c>
      <c r="G146" s="2384">
        <f t="shared" si="14"/>
        <v>2.5149366726995451E-3</v>
      </c>
      <c r="H146" s="2384">
        <f t="shared" si="14"/>
        <v>7.1855333505701287E-4</v>
      </c>
      <c r="I146" s="2384">
        <f t="shared" si="14"/>
        <v>7.1855333505701287E-4</v>
      </c>
      <c r="J146" s="2384">
        <f t="shared" si="14"/>
        <v>0</v>
      </c>
      <c r="K146" s="2384">
        <f t="shared" si="14"/>
        <v>0</v>
      </c>
      <c r="L146" s="2384">
        <f t="shared" si="14"/>
        <v>0</v>
      </c>
      <c r="M146" s="2384">
        <f t="shared" si="14"/>
        <v>0</v>
      </c>
      <c r="N146" s="2384">
        <f t="shared" si="14"/>
        <v>0</v>
      </c>
    </row>
    <row r="147" spans="2:14">
      <c r="B147" s="1603"/>
      <c r="C147" s="2858" t="s">
        <v>2274</v>
      </c>
      <c r="F147" s="2384">
        <f t="shared" ref="F147:N147" si="15">F144*F$56</f>
        <v>6.1449068692298924E-3</v>
      </c>
      <c r="G147" s="2384">
        <f t="shared" si="15"/>
        <v>5.1207557243582429E-3</v>
      </c>
      <c r="H147" s="2384">
        <f t="shared" si="15"/>
        <v>1.4630730641023552E-3</v>
      </c>
      <c r="I147" s="2384">
        <f t="shared" si="15"/>
        <v>1.4630730641023552E-3</v>
      </c>
      <c r="J147" s="2384">
        <f t="shared" si="15"/>
        <v>0</v>
      </c>
      <c r="K147" s="2384">
        <f t="shared" si="15"/>
        <v>0</v>
      </c>
      <c r="L147" s="2384">
        <f t="shared" si="15"/>
        <v>0</v>
      </c>
      <c r="M147" s="2384">
        <f t="shared" si="15"/>
        <v>0</v>
      </c>
      <c r="N147" s="2384">
        <f t="shared" si="15"/>
        <v>0</v>
      </c>
    </row>
    <row r="148" spans="2:14">
      <c r="F148" s="2882"/>
      <c r="G148" s="2882"/>
      <c r="H148" s="2882"/>
      <c r="I148" s="2882"/>
      <c r="J148" s="2882"/>
      <c r="K148" s="2882"/>
      <c r="L148" s="2882"/>
      <c r="M148" s="2882"/>
      <c r="N148" s="2882"/>
    </row>
    <row r="149" spans="2:14">
      <c r="B149" s="2858">
        <v>2</v>
      </c>
      <c r="C149" s="2" t="s">
        <v>2275</v>
      </c>
      <c r="F149" s="2883"/>
      <c r="G149" s="2883"/>
      <c r="H149" s="2883"/>
      <c r="I149" s="2883"/>
      <c r="J149" s="2883"/>
      <c r="K149" s="2883"/>
      <c r="L149" s="2883"/>
      <c r="M149" s="2883"/>
      <c r="N149" s="2883"/>
    </row>
    <row r="150" spans="2:14">
      <c r="C150" s="354" t="s">
        <v>2276</v>
      </c>
      <c r="F150" s="2460">
        <f t="shared" ref="F150:N150" si="16">F$45</f>
        <v>0</v>
      </c>
      <c r="G150" s="2460">
        <f t="shared" si="16"/>
        <v>0</v>
      </c>
      <c r="H150" s="2460">
        <f t="shared" si="16"/>
        <v>0</v>
      </c>
      <c r="I150" s="2460">
        <f t="shared" si="16"/>
        <v>0</v>
      </c>
      <c r="J150" s="2460">
        <f t="shared" si="16"/>
        <v>0</v>
      </c>
      <c r="K150" s="2460">
        <f t="shared" si="16"/>
        <v>0</v>
      </c>
      <c r="L150" s="2460">
        <f t="shared" si="16"/>
        <v>0</v>
      </c>
      <c r="M150" s="2460">
        <f t="shared" si="16"/>
        <v>0</v>
      </c>
      <c r="N150" s="2460">
        <f t="shared" si="16"/>
        <v>0</v>
      </c>
    </row>
    <row r="151" spans="2:14">
      <c r="C151" s="354" t="s">
        <v>2277</v>
      </c>
      <c r="F151" s="2460">
        <f t="shared" ref="F151:N151" si="17">F$46</f>
        <v>0</v>
      </c>
      <c r="G151" s="2460">
        <f t="shared" si="17"/>
        <v>1.7555282514130199</v>
      </c>
      <c r="H151" s="2460">
        <f t="shared" si="17"/>
        <v>35</v>
      </c>
      <c r="I151" s="2460">
        <f t="shared" si="17"/>
        <v>10</v>
      </c>
      <c r="J151" s="2460">
        <f t="shared" si="17"/>
        <v>0</v>
      </c>
      <c r="K151" s="2460">
        <f t="shared" si="17"/>
        <v>0</v>
      </c>
      <c r="L151" s="2460">
        <f t="shared" si="17"/>
        <v>0</v>
      </c>
      <c r="M151" s="2460">
        <f t="shared" si="17"/>
        <v>0</v>
      </c>
      <c r="N151" s="2460">
        <f t="shared" si="17"/>
        <v>0</v>
      </c>
    </row>
    <row r="152" spans="2:14">
      <c r="C152" s="2858" t="s">
        <v>1259</v>
      </c>
      <c r="F152" s="2384">
        <f>(F$150+F$151)*F$61</f>
        <v>0</v>
      </c>
      <c r="G152" s="2384">
        <f t="shared" ref="G152:M152" si="18">(G$150+G$151)*G$61</f>
        <v>1.0080736700473845E-3</v>
      </c>
      <c r="H152" s="2384">
        <f t="shared" si="18"/>
        <v>2.0097983853725854E-2</v>
      </c>
      <c r="I152" s="2384">
        <f t="shared" si="18"/>
        <v>5.7422811010645301E-3</v>
      </c>
      <c r="J152" s="2384">
        <f t="shared" si="18"/>
        <v>0</v>
      </c>
      <c r="K152" s="2384">
        <f t="shared" si="18"/>
        <v>0</v>
      </c>
      <c r="L152" s="2384">
        <f t="shared" si="18"/>
        <v>0</v>
      </c>
      <c r="M152" s="2384">
        <f t="shared" si="18"/>
        <v>0</v>
      </c>
      <c r="N152" s="2384">
        <f>N$150*N$61</f>
        <v>0</v>
      </c>
    </row>
    <row r="153" spans="2:14">
      <c r="C153" s="2858" t="s">
        <v>2274</v>
      </c>
      <c r="F153" s="2384">
        <f>(F$150+F$151)*F$62</f>
        <v>0</v>
      </c>
      <c r="G153" s="2384">
        <f t="shared" ref="G153:M153" si="19">(G$150+G$151)*G$62</f>
        <v>0.11554281251867642</v>
      </c>
      <c r="H153" s="2384">
        <f t="shared" si="19"/>
        <v>2.3035792416890311</v>
      </c>
      <c r="I153" s="2384">
        <f t="shared" si="19"/>
        <v>0.65816549762543741</v>
      </c>
      <c r="J153" s="2384">
        <f t="shared" si="19"/>
        <v>0</v>
      </c>
      <c r="K153" s="2384">
        <f t="shared" si="19"/>
        <v>0</v>
      </c>
      <c r="L153" s="2384">
        <f t="shared" si="19"/>
        <v>0</v>
      </c>
      <c r="M153" s="2384">
        <f t="shared" si="19"/>
        <v>0</v>
      </c>
      <c r="N153" s="2384">
        <f>N$150*N$62</f>
        <v>0</v>
      </c>
    </row>
    <row r="154" spans="2:14">
      <c r="F154" s="983"/>
      <c r="G154" s="983"/>
      <c r="H154" s="983"/>
      <c r="I154" s="983"/>
      <c r="J154" s="983"/>
      <c r="K154" s="983"/>
      <c r="L154" s="983"/>
      <c r="M154" s="983"/>
      <c r="N154" s="983"/>
    </row>
    <row r="155" spans="2:14">
      <c r="B155" s="2858" t="s">
        <v>1152</v>
      </c>
      <c r="C155" s="2858" t="s">
        <v>2278</v>
      </c>
      <c r="F155" s="983"/>
      <c r="G155" s="983"/>
      <c r="H155" s="983"/>
      <c r="I155" s="983"/>
      <c r="J155" s="983"/>
      <c r="K155" s="983"/>
      <c r="L155" s="983"/>
      <c r="M155" s="983"/>
      <c r="N155" s="983"/>
    </row>
    <row r="156" spans="2:14">
      <c r="C156" s="2858" t="s">
        <v>2301</v>
      </c>
      <c r="E156" s="2858" t="s">
        <v>251</v>
      </c>
      <c r="F156" s="3690">
        <f t="shared" ref="F156:N156" si="20">$F$67*GWP.CH4</f>
        <v>0</v>
      </c>
      <c r="G156" s="3690">
        <f t="shared" si="20"/>
        <v>0</v>
      </c>
      <c r="H156" s="3690">
        <f t="shared" si="20"/>
        <v>0</v>
      </c>
      <c r="I156" s="3690">
        <f t="shared" si="20"/>
        <v>0</v>
      </c>
      <c r="J156" s="3690">
        <f t="shared" si="20"/>
        <v>0</v>
      </c>
      <c r="K156" s="3690">
        <f t="shared" si="20"/>
        <v>0</v>
      </c>
      <c r="L156" s="3690">
        <f t="shared" si="20"/>
        <v>0</v>
      </c>
      <c r="M156" s="3690">
        <f t="shared" si="20"/>
        <v>0</v>
      </c>
      <c r="N156" s="3690">
        <f t="shared" si="20"/>
        <v>0</v>
      </c>
    </row>
    <row r="157" spans="2:14">
      <c r="C157" s="2858" t="s">
        <v>2279</v>
      </c>
      <c r="E157" s="2858" t="s">
        <v>251</v>
      </c>
      <c r="F157" s="2384">
        <f>F$68</f>
        <v>0</v>
      </c>
      <c r="G157" s="2384">
        <f t="shared" ref="G157:N157" si="21">G$68</f>
        <v>0</v>
      </c>
      <c r="H157" s="2384" t="str">
        <f t="shared" si="21"/>
        <v xml:space="preserve"> </v>
      </c>
      <c r="I157" s="2384">
        <f t="shared" si="21"/>
        <v>0</v>
      </c>
      <c r="J157" s="2384">
        <f t="shared" si="21"/>
        <v>0</v>
      </c>
      <c r="K157" s="2384">
        <f t="shared" si="21"/>
        <v>0</v>
      </c>
      <c r="L157" s="2384">
        <f t="shared" si="21"/>
        <v>0</v>
      </c>
      <c r="M157" s="2384">
        <f t="shared" si="21"/>
        <v>0</v>
      </c>
      <c r="N157" s="2384">
        <f t="shared" si="21"/>
        <v>0</v>
      </c>
    </row>
    <row r="158" spans="2:14">
      <c r="C158" s="2858" t="s">
        <v>2280</v>
      </c>
      <c r="F158" s="983"/>
      <c r="G158" s="983"/>
      <c r="H158" s="983"/>
      <c r="I158" s="983"/>
      <c r="J158" s="983"/>
      <c r="K158" s="983"/>
      <c r="L158" s="983"/>
      <c r="M158" s="983"/>
      <c r="N158" s="983"/>
    </row>
    <row r="159" spans="2:14">
      <c r="D159" s="2858" t="s">
        <v>250</v>
      </c>
      <c r="E159" s="2858" t="s">
        <v>251</v>
      </c>
      <c r="F159" s="983">
        <f>F$153*INDEX(EF[CO2], MATCH("V.05",  EF[Vector], 0))</f>
        <v>0</v>
      </c>
      <c r="G159" s="983">
        <f>G$153*INDEX(EF[CO2], MATCH("V.05",  EF[Vector], 0))</f>
        <v>2.3654063230198457E-2</v>
      </c>
      <c r="H159" s="983">
        <f>H$153*INDEX(EF[CO2], MATCH("V.05",  EF[Vector], 0))</f>
        <v>0.47159150665366845</v>
      </c>
      <c r="I159" s="983">
        <f>I$153*INDEX(EF[CO2], MATCH("V.05",  EF[Vector], 0))</f>
        <v>0.13474043047247669</v>
      </c>
      <c r="J159" s="983">
        <f>J$153*INDEX(EF[CO2], MATCH("V.05",  EF[Vector], 0))</f>
        <v>0</v>
      </c>
      <c r="K159" s="983">
        <f>K$153*INDEX(EF[CO2], MATCH("V.05",  EF[Vector], 0))</f>
        <v>0</v>
      </c>
      <c r="L159" s="983">
        <f>L$153*INDEX(EF[CO2], MATCH("V.05",  EF[Vector], 0))</f>
        <v>0</v>
      </c>
      <c r="M159" s="983">
        <f>M$153*INDEX(EF[CO2], MATCH("V.05",  EF[Vector], 0))</f>
        <v>0</v>
      </c>
      <c r="N159" s="983">
        <f>N$153*INDEX(EF[CO2], MATCH("V.05",  EF[Vector], 0))</f>
        <v>0</v>
      </c>
    </row>
    <row r="160" spans="2:14">
      <c r="D160" s="2858" t="s">
        <v>252</v>
      </c>
      <c r="F160" s="983">
        <f>F$153*INDEX(EF[CH4], MATCH("V.05",  EF[Vector], 0))</f>
        <v>0</v>
      </c>
      <c r="G160" s="983">
        <f>G$153*INDEX(EF[CH4], MATCH("V.05",  EF[Vector], 0))</f>
        <v>8.7350366264119374E-6</v>
      </c>
      <c r="H160" s="983">
        <f>H$153*INDEX(EF[CH4], MATCH("V.05",  EF[Vector], 0))</f>
        <v>1.7415059067169076E-4</v>
      </c>
      <c r="I160" s="983">
        <f>I$153*INDEX(EF[CH4], MATCH("V.05",  EF[Vector], 0))</f>
        <v>4.9757311620483071E-5</v>
      </c>
      <c r="J160" s="983">
        <f>J$153*INDEX(EF[CH4], MATCH("V.05",  EF[Vector], 0))</f>
        <v>0</v>
      </c>
      <c r="K160" s="983">
        <f>K$153*INDEX(EF[CH4], MATCH("V.05",  EF[Vector], 0))</f>
        <v>0</v>
      </c>
      <c r="L160" s="983">
        <f>L$153*INDEX(EF[CH4], MATCH("V.05",  EF[Vector], 0))</f>
        <v>0</v>
      </c>
      <c r="M160" s="983">
        <f>M$153*INDEX(EF[CH4], MATCH("V.05",  EF[Vector], 0))</f>
        <v>0</v>
      </c>
      <c r="N160" s="983">
        <f>N$153*INDEX(EF[CH4], MATCH("V.05",  EF[Vector], 0))</f>
        <v>0</v>
      </c>
    </row>
    <row r="161" spans="2:14">
      <c r="D161" s="2858" t="s">
        <v>253</v>
      </c>
      <c r="F161" s="983">
        <f>F$153*INDEX(EF[N2O], MATCH("V.05",  EF[Vector], 0))</f>
        <v>0</v>
      </c>
      <c r="G161" s="983">
        <f>G$153*INDEX(EF[N2O], MATCH("V.05",  EF[Vector], 0))</f>
        <v>3.7394275843544432E-4</v>
      </c>
      <c r="H161" s="983">
        <f>H$153*INDEX(EF[N2O], MATCH("V.05",  EF[Vector], 0))</f>
        <v>7.4553038578023803E-3</v>
      </c>
      <c r="I161" s="983">
        <f>I$153*INDEX(EF[N2O], MATCH("V.05",  EF[Vector], 0))</f>
        <v>2.1300868165149657E-3</v>
      </c>
      <c r="J161" s="983">
        <f>J$153*INDEX(EF[N2O], MATCH("V.05",  EF[Vector], 0))</f>
        <v>0</v>
      </c>
      <c r="K161" s="983">
        <f>K$153*INDEX(EF[N2O], MATCH("V.05",  EF[Vector], 0))</f>
        <v>0</v>
      </c>
      <c r="L161" s="983">
        <f>L$153*INDEX(EF[N2O], MATCH("V.05",  EF[Vector], 0))</f>
        <v>0</v>
      </c>
      <c r="M161" s="983">
        <f>M$153*INDEX(EF[N2O], MATCH("V.05",  EF[Vector], 0))</f>
        <v>0</v>
      </c>
      <c r="N161" s="983">
        <f>N$153*INDEX(EF[N2O], MATCH("V.05",  EF[Vector], 0))</f>
        <v>0</v>
      </c>
    </row>
    <row r="163" spans="2:14">
      <c r="B163" s="2858" t="s">
        <v>1205</v>
      </c>
      <c r="C163" s="2858" t="s">
        <v>2281</v>
      </c>
    </row>
    <row r="164" spans="2:14">
      <c r="C164" s="2858" t="s">
        <v>1223</v>
      </c>
    </row>
    <row r="165" spans="2:14">
      <c r="G165" s="4348"/>
      <c r="H165" s="4348"/>
      <c r="I165" s="4348"/>
    </row>
    <row r="166" spans="2:14">
      <c r="C166" s="2881" t="s">
        <v>28</v>
      </c>
      <c r="D166" s="2881" t="s">
        <v>130</v>
      </c>
      <c r="F166" s="2884">
        <v>2013</v>
      </c>
      <c r="G166" s="2884">
        <v>2015</v>
      </c>
      <c r="H166" s="2884">
        <v>2020</v>
      </c>
      <c r="I166" s="2884">
        <v>2025</v>
      </c>
      <c r="J166" s="2884">
        <v>2030</v>
      </c>
      <c r="K166" s="2884">
        <v>2035</v>
      </c>
      <c r="L166" s="2884">
        <v>2040</v>
      </c>
      <c r="M166" s="2884">
        <v>2045</v>
      </c>
      <c r="N166" s="2884">
        <v>2050</v>
      </c>
    </row>
    <row r="167" spans="2:14">
      <c r="C167" s="2858" t="s">
        <v>257</v>
      </c>
      <c r="D167" s="2858" t="s">
        <v>258</v>
      </c>
      <c r="E167" s="373" t="s">
        <v>972</v>
      </c>
      <c r="F167" s="2885">
        <f>-SUMPRODUCT(F$209:F$210,F73:F74)</f>
        <v>1.1721306270537051E-3</v>
      </c>
      <c r="G167" s="2885">
        <f t="shared" ref="G167:N167" si="22">-SUMPRODUCT(G$209:G$210,G73:G74)</f>
        <v>1.4025038014288261E-3</v>
      </c>
      <c r="H167" s="2885">
        <f t="shared" si="22"/>
        <v>1.1223850912537504E-2</v>
      </c>
      <c r="I167" s="2885">
        <f t="shared" si="22"/>
        <v>3.4118029257840443E-3</v>
      </c>
      <c r="J167" s="2885">
        <f t="shared" si="22"/>
        <v>0</v>
      </c>
      <c r="K167" s="2885">
        <f t="shared" si="22"/>
        <v>0</v>
      </c>
      <c r="L167" s="2885">
        <f t="shared" si="22"/>
        <v>0</v>
      </c>
      <c r="M167" s="2885">
        <f t="shared" si="22"/>
        <v>0</v>
      </c>
      <c r="N167" s="2885">
        <f t="shared" si="22"/>
        <v>0</v>
      </c>
    </row>
    <row r="168" spans="2:14">
      <c r="C168" s="2858" t="s">
        <v>259</v>
      </c>
      <c r="D168" s="2858" t="s">
        <v>260</v>
      </c>
      <c r="F168" s="2885">
        <f>-SUMPRODUCT(F$209:F$210,F79:F80)</f>
        <v>5.4653897207705728E-3</v>
      </c>
      <c r="G168" s="2885">
        <f t="shared" ref="G168:N168" si="23">-SUMPRODUCT(G$209:G$210,G79:G80)</f>
        <v>7.4202304556446247E-2</v>
      </c>
      <c r="H168" s="2885">
        <f t="shared" si="23"/>
        <v>1.1956669467693417</v>
      </c>
      <c r="I168" s="2885">
        <f t="shared" si="23"/>
        <v>0.34220369725601013</v>
      </c>
      <c r="J168" s="2885">
        <f t="shared" si="23"/>
        <v>0</v>
      </c>
      <c r="K168" s="2885">
        <f t="shared" si="23"/>
        <v>0</v>
      </c>
      <c r="L168" s="2885">
        <f t="shared" si="23"/>
        <v>0</v>
      </c>
      <c r="M168" s="2885">
        <f t="shared" si="23"/>
        <v>0</v>
      </c>
      <c r="N168" s="2885">
        <f t="shared" si="23"/>
        <v>0</v>
      </c>
    </row>
    <row r="169" spans="2:14">
      <c r="C169" s="2858" t="s">
        <v>261</v>
      </c>
      <c r="D169" s="2858" t="s">
        <v>262</v>
      </c>
      <c r="F169" s="2885">
        <f>-SUMPRODUCT(F$209:F$210,F85:F86)</f>
        <v>8.1738706172729773E-3</v>
      </c>
      <c r="G169" s="2885">
        <f t="shared" ref="G169:N169" si="24">-SUMPRODUCT(G$209:G$210,G85:G86)</f>
        <v>9.3042691843482211E-3</v>
      </c>
      <c r="H169" s="2885">
        <f t="shared" si="24"/>
        <v>1.7889949723467694E-2</v>
      </c>
      <c r="I169" s="2885">
        <f t="shared" si="24"/>
        <v>6.5617616147454795E-3</v>
      </c>
      <c r="J169" s="2885">
        <f t="shared" si="24"/>
        <v>0</v>
      </c>
      <c r="K169" s="2885">
        <f t="shared" si="24"/>
        <v>0</v>
      </c>
      <c r="L169" s="2885">
        <f t="shared" si="24"/>
        <v>0</v>
      </c>
      <c r="M169" s="2885">
        <f t="shared" si="24"/>
        <v>0</v>
      </c>
      <c r="N169" s="2885">
        <f t="shared" si="24"/>
        <v>0</v>
      </c>
    </row>
    <row r="170" spans="2:14">
      <c r="C170" s="2858" t="s">
        <v>263</v>
      </c>
      <c r="D170" s="2858" t="s">
        <v>264</v>
      </c>
      <c r="F170" s="2885">
        <f>-SUMPRODUCT(F$209:F$210,F91:F92)</f>
        <v>5.8774626884925118E-5</v>
      </c>
      <c r="G170" s="2885">
        <f t="shared" ref="G170:N170" si="25">-SUMPRODUCT(G$209:G$210,G91:G92)</f>
        <v>8.055086142924082E-4</v>
      </c>
      <c r="H170" s="2885">
        <f t="shared" si="25"/>
        <v>1.8616307572267933E-2</v>
      </c>
      <c r="I170" s="2885">
        <f t="shared" si="25"/>
        <v>5.3304813868657536E-3</v>
      </c>
      <c r="J170" s="2885">
        <f t="shared" si="25"/>
        <v>0</v>
      </c>
      <c r="K170" s="2885">
        <f t="shared" si="25"/>
        <v>0</v>
      </c>
      <c r="L170" s="2885">
        <f t="shared" si="25"/>
        <v>0</v>
      </c>
      <c r="M170" s="2885">
        <f t="shared" si="25"/>
        <v>0</v>
      </c>
      <c r="N170" s="2885">
        <f t="shared" si="25"/>
        <v>0</v>
      </c>
    </row>
    <row r="172" spans="2:14">
      <c r="C172" s="2858" t="s">
        <v>2282</v>
      </c>
      <c r="G172" s="4348" t="s">
        <v>2283</v>
      </c>
      <c r="H172" s="4348"/>
      <c r="I172" s="4348"/>
    </row>
    <row r="173" spans="2:14">
      <c r="F173" s="3608" t="s">
        <v>5</v>
      </c>
      <c r="G173" s="4348"/>
      <c r="H173" s="4348"/>
      <c r="I173" s="4348"/>
    </row>
    <row r="174" spans="2:14">
      <c r="C174" s="2881" t="s">
        <v>28</v>
      </c>
      <c r="D174" s="2881" t="s">
        <v>130</v>
      </c>
      <c r="F174" s="2881">
        <v>2013</v>
      </c>
      <c r="G174" s="2886">
        <v>2015</v>
      </c>
      <c r="H174" s="2886">
        <v>2020</v>
      </c>
      <c r="I174" s="2886">
        <v>2025</v>
      </c>
      <c r="J174" s="2886">
        <v>2030</v>
      </c>
      <c r="K174" s="2881">
        <v>2035</v>
      </c>
      <c r="L174" s="2881">
        <v>2040</v>
      </c>
      <c r="M174" s="2881">
        <v>2045</v>
      </c>
      <c r="N174" s="2881">
        <v>2050</v>
      </c>
    </row>
    <row r="175" spans="2:14">
      <c r="C175" s="2858" t="s">
        <v>257</v>
      </c>
      <c r="D175" s="2858" t="s">
        <v>258</v>
      </c>
      <c r="E175" s="373" t="s">
        <v>972</v>
      </c>
      <c r="F175" s="2887">
        <f>(SUMPRODUCT(F$150:F$151,F73:F74)/SUMPRODUCT($G$150:$G$151,G73:G74))*G175</f>
        <v>0</v>
      </c>
      <c r="G175" s="3559"/>
      <c r="H175" s="3559"/>
      <c r="I175" s="3559"/>
      <c r="J175" s="3559"/>
      <c r="K175" s="2887"/>
      <c r="L175" s="2887"/>
      <c r="M175" s="2887"/>
      <c r="N175" s="2887"/>
    </row>
    <row r="176" spans="2:14">
      <c r="C176" s="2858" t="s">
        <v>259</v>
      </c>
      <c r="D176" s="2858" t="s">
        <v>260</v>
      </c>
      <c r="F176" s="2887">
        <f>(SUMPRODUCT(F$150:F$151,F79:F80)/SUMPRODUCT($G$150:$G$151,G79:G80))*G176</f>
        <v>0</v>
      </c>
      <c r="G176" s="3559"/>
      <c r="H176" s="3559"/>
      <c r="I176" s="3559"/>
      <c r="J176" s="3559"/>
      <c r="K176" s="2887"/>
      <c r="L176" s="2887"/>
      <c r="M176" s="2887"/>
      <c r="N176" s="2887"/>
    </row>
    <row r="177" spans="2:29">
      <c r="C177" s="2858" t="s">
        <v>261</v>
      </c>
      <c r="D177" s="2858" t="s">
        <v>262</v>
      </c>
      <c r="F177" s="2887">
        <f>(SUMPRODUCT(F$150:F$151,F85:F86)/SUMPRODUCT($G$150:$G$151,G85:G86))*G177</f>
        <v>0</v>
      </c>
      <c r="G177" s="3559"/>
      <c r="H177" s="3559"/>
      <c r="I177" s="3559"/>
      <c r="J177" s="3559"/>
      <c r="K177" s="2887"/>
      <c r="L177" s="2887"/>
      <c r="M177" s="2887"/>
      <c r="N177" s="2887"/>
    </row>
    <row r="178" spans="2:29">
      <c r="C178" s="2858" t="s">
        <v>263</v>
      </c>
      <c r="D178" s="2858" t="s">
        <v>264</v>
      </c>
      <c r="F178" s="2887">
        <f>(SUMPRODUCT(F$150:F$151,F91:F92)/SUMPRODUCT($G$150:$G$151,G91:G92))*G178</f>
        <v>0</v>
      </c>
      <c r="G178" s="3559"/>
      <c r="H178" s="3559"/>
      <c r="I178" s="3559"/>
      <c r="J178" s="3559"/>
      <c r="K178" s="2887"/>
      <c r="L178" s="2887"/>
      <c r="M178" s="2887"/>
      <c r="N178" s="2887"/>
    </row>
    <row r="181" spans="2:29">
      <c r="B181" s="2">
        <v>4</v>
      </c>
      <c r="C181" s="3578" t="s">
        <v>2731</v>
      </c>
      <c r="F181" s="983"/>
      <c r="G181" s="983"/>
      <c r="H181" s="983"/>
      <c r="I181" s="983"/>
      <c r="J181" s="983"/>
      <c r="K181" s="983"/>
      <c r="L181" s="983"/>
      <c r="M181" s="983"/>
      <c r="N181" s="983"/>
      <c r="O181" s="983"/>
    </row>
    <row r="182" spans="2:29" hidden="1">
      <c r="F182" s="983"/>
      <c r="G182" s="983"/>
      <c r="H182" s="983"/>
      <c r="I182" s="983"/>
      <c r="J182" s="983"/>
      <c r="K182" s="983"/>
      <c r="L182" s="983"/>
      <c r="M182" s="983"/>
      <c r="N182" s="983"/>
      <c r="O182" s="983"/>
    </row>
    <row r="183" spans="2:29" hidden="1">
      <c r="C183" s="354" t="s">
        <v>22</v>
      </c>
      <c r="F183" s="373">
        <v>2013</v>
      </c>
      <c r="G183" s="373" t="s">
        <v>132</v>
      </c>
      <c r="H183" s="373" t="s">
        <v>133</v>
      </c>
      <c r="I183" s="373" t="s">
        <v>134</v>
      </c>
      <c r="J183" s="373" t="s">
        <v>135</v>
      </c>
      <c r="K183" s="373" t="s">
        <v>136</v>
      </c>
      <c r="L183" s="373" t="s">
        <v>137</v>
      </c>
      <c r="M183" s="373" t="s">
        <v>138</v>
      </c>
      <c r="N183" s="373" t="s">
        <v>139</v>
      </c>
    </row>
    <row r="184" spans="2:29" hidden="1">
      <c r="C184" s="2858" t="s">
        <v>2302</v>
      </c>
      <c r="E184" s="3578" t="s">
        <v>2736</v>
      </c>
      <c r="F184" s="984"/>
      <c r="G184" s="984"/>
      <c r="H184" s="984"/>
      <c r="I184" s="984"/>
      <c r="J184" s="984"/>
      <c r="K184" s="984"/>
      <c r="L184" s="984"/>
      <c r="M184" s="984"/>
      <c r="N184" s="984"/>
    </row>
    <row r="185" spans="2:29" hidden="1">
      <c r="C185" s="2858" t="s">
        <v>144</v>
      </c>
      <c r="E185" s="3578" t="s">
        <v>2736</v>
      </c>
      <c r="F185" s="984"/>
      <c r="G185" s="984"/>
      <c r="H185" s="984"/>
      <c r="I185" s="984"/>
      <c r="J185" s="984"/>
      <c r="K185" s="984"/>
      <c r="L185" s="984"/>
      <c r="M185" s="984"/>
      <c r="N185" s="984"/>
    </row>
    <row r="186" spans="2:29" hidden="1">
      <c r="C186" s="2" t="s">
        <v>15</v>
      </c>
      <c r="E186" s="3578" t="s">
        <v>2736</v>
      </c>
      <c r="F186" s="984"/>
      <c r="G186" s="984"/>
      <c r="H186" s="984"/>
      <c r="I186" s="984"/>
      <c r="J186" s="984"/>
      <c r="K186" s="984"/>
      <c r="L186" s="984"/>
      <c r="M186" s="984"/>
      <c r="N186" s="984"/>
    </row>
    <row r="187" spans="2:29" hidden="1">
      <c r="C187" s="2" t="s">
        <v>58</v>
      </c>
      <c r="E187" s="3578" t="s">
        <v>2736</v>
      </c>
      <c r="F187" s="984"/>
      <c r="G187" s="984"/>
      <c r="H187" s="984"/>
      <c r="I187" s="984"/>
      <c r="J187" s="984"/>
      <c r="K187" s="984"/>
      <c r="L187" s="984"/>
      <c r="M187" s="984"/>
      <c r="N187" s="984"/>
    </row>
    <row r="188" spans="2:29" hidden="1">
      <c r="C188" s="2"/>
      <c r="F188" s="984"/>
      <c r="G188" s="984"/>
      <c r="H188" s="984"/>
      <c r="I188" s="984"/>
      <c r="J188" s="984"/>
      <c r="K188" s="984"/>
      <c r="L188" s="984"/>
      <c r="M188" s="984"/>
      <c r="N188" s="984"/>
      <c r="Q188" s="2"/>
      <c r="T188" s="984"/>
      <c r="U188" s="984"/>
      <c r="V188" s="984"/>
      <c r="W188" s="984"/>
      <c r="X188" s="984"/>
      <c r="Y188" s="984"/>
      <c r="Z188" s="984"/>
      <c r="AA188" s="984"/>
      <c r="AB188" s="984"/>
      <c r="AC188" s="984"/>
    </row>
    <row r="189" spans="2:29" hidden="1">
      <c r="C189" s="354" t="s">
        <v>160</v>
      </c>
      <c r="F189" s="373">
        <v>2013</v>
      </c>
      <c r="G189" s="373" t="s">
        <v>132</v>
      </c>
      <c r="H189" s="373" t="s">
        <v>133</v>
      </c>
      <c r="I189" s="373" t="s">
        <v>134</v>
      </c>
      <c r="J189" s="373" t="s">
        <v>135</v>
      </c>
      <c r="K189" s="373" t="s">
        <v>136</v>
      </c>
      <c r="L189" s="373" t="s">
        <v>137</v>
      </c>
      <c r="M189" s="373" t="s">
        <v>138</v>
      </c>
      <c r="N189" s="373" t="s">
        <v>139</v>
      </c>
      <c r="Q189" s="2"/>
      <c r="T189" s="984"/>
      <c r="U189" s="984"/>
      <c r="V189" s="984"/>
      <c r="W189" s="984"/>
      <c r="X189" s="984"/>
      <c r="Y189" s="984"/>
      <c r="Z189" s="984"/>
      <c r="AA189" s="984"/>
      <c r="AB189" s="984"/>
      <c r="AC189" s="984"/>
    </row>
    <row r="190" spans="2:29" hidden="1">
      <c r="C190" s="2858" t="s">
        <v>2302</v>
      </c>
      <c r="E190" s="3578" t="s">
        <v>2736</v>
      </c>
      <c r="F190" s="984"/>
      <c r="G190" s="984"/>
      <c r="H190" s="984"/>
      <c r="I190" s="984"/>
      <c r="J190" s="984"/>
      <c r="K190" s="984"/>
      <c r="L190" s="984"/>
      <c r="M190" s="984"/>
      <c r="N190" s="984"/>
      <c r="Q190" s="2"/>
      <c r="T190" s="984"/>
      <c r="U190" s="984"/>
      <c r="V190" s="984"/>
      <c r="W190" s="984"/>
      <c r="X190" s="984"/>
      <c r="Y190" s="984"/>
      <c r="Z190" s="984"/>
      <c r="AA190" s="984"/>
      <c r="AB190" s="984"/>
      <c r="AC190" s="984"/>
    </row>
    <row r="191" spans="2:29" hidden="1">
      <c r="C191" s="2858" t="s">
        <v>144</v>
      </c>
      <c r="E191" s="3578" t="s">
        <v>2736</v>
      </c>
      <c r="F191" s="984"/>
      <c r="G191" s="984"/>
      <c r="H191" s="984"/>
      <c r="I191" s="984"/>
      <c r="J191" s="984"/>
      <c r="K191" s="984"/>
      <c r="L191" s="984"/>
      <c r="M191" s="984"/>
      <c r="N191" s="984"/>
      <c r="Q191" s="2"/>
      <c r="T191" s="984"/>
      <c r="U191" s="984"/>
      <c r="V191" s="984"/>
      <c r="W191" s="984"/>
      <c r="X191" s="984"/>
      <c r="Y191" s="984"/>
      <c r="Z191" s="984"/>
      <c r="AA191" s="984"/>
      <c r="AB191" s="984"/>
      <c r="AC191" s="984"/>
    </row>
    <row r="192" spans="2:29" hidden="1">
      <c r="C192" s="2" t="s">
        <v>15</v>
      </c>
      <c r="E192" s="3578" t="s">
        <v>2736</v>
      </c>
      <c r="F192" s="984"/>
      <c r="G192" s="984"/>
      <c r="H192" s="984"/>
      <c r="I192" s="984"/>
      <c r="J192" s="984"/>
      <c r="K192" s="984"/>
      <c r="L192" s="984"/>
      <c r="M192" s="984"/>
      <c r="N192" s="984"/>
      <c r="Q192" s="2"/>
      <c r="T192" s="984"/>
      <c r="U192" s="984"/>
      <c r="V192" s="984"/>
      <c r="W192" s="984"/>
      <c r="X192" s="984"/>
      <c r="Y192" s="984"/>
      <c r="Z192" s="984"/>
      <c r="AA192" s="984"/>
      <c r="AB192" s="984"/>
      <c r="AC192" s="984"/>
    </row>
    <row r="193" spans="1:29" hidden="1">
      <c r="C193" s="2" t="s">
        <v>58</v>
      </c>
      <c r="E193" s="3578" t="s">
        <v>2736</v>
      </c>
      <c r="F193" s="984"/>
      <c r="G193" s="984"/>
      <c r="H193" s="984"/>
      <c r="I193" s="984"/>
      <c r="J193" s="984"/>
      <c r="K193" s="984"/>
      <c r="L193" s="984"/>
      <c r="M193" s="984"/>
      <c r="N193" s="984"/>
      <c r="Q193" s="2"/>
      <c r="T193" s="984"/>
      <c r="U193" s="984"/>
      <c r="V193" s="984"/>
      <c r="W193" s="984"/>
      <c r="X193" s="984"/>
      <c r="Y193" s="984"/>
      <c r="Z193" s="984"/>
      <c r="AA193" s="984"/>
      <c r="AB193" s="984"/>
      <c r="AC193" s="984"/>
    </row>
    <row r="194" spans="1:29" hidden="1">
      <c r="C194" s="2"/>
      <c r="F194" s="983"/>
      <c r="G194" s="983"/>
      <c r="H194" s="983"/>
      <c r="I194" s="983"/>
      <c r="J194" s="983"/>
      <c r="K194" s="983"/>
      <c r="L194" s="983"/>
      <c r="M194" s="983"/>
      <c r="N194" s="983"/>
    </row>
    <row r="195" spans="1:29" hidden="1">
      <c r="C195" s="354" t="s">
        <v>20</v>
      </c>
      <c r="F195" s="373">
        <v>2013</v>
      </c>
      <c r="G195" s="373" t="s">
        <v>132</v>
      </c>
      <c r="H195" s="373" t="s">
        <v>133</v>
      </c>
      <c r="I195" s="373" t="s">
        <v>134</v>
      </c>
      <c r="J195" s="373" t="s">
        <v>135</v>
      </c>
      <c r="K195" s="373" t="s">
        <v>136</v>
      </c>
      <c r="L195" s="373" t="s">
        <v>137</v>
      </c>
      <c r="M195" s="373" t="s">
        <v>138</v>
      </c>
      <c r="N195" s="373" t="s">
        <v>139</v>
      </c>
    </row>
    <row r="196" spans="1:29" hidden="1">
      <c r="C196" s="2858" t="s">
        <v>2302</v>
      </c>
      <c r="E196" s="3578" t="s">
        <v>2736</v>
      </c>
      <c r="F196" s="984"/>
      <c r="G196" s="984"/>
      <c r="H196" s="984"/>
      <c r="I196" s="984"/>
      <c r="J196" s="984"/>
      <c r="K196" s="984"/>
      <c r="L196" s="984"/>
      <c r="M196" s="984"/>
      <c r="N196" s="984"/>
    </row>
    <row r="197" spans="1:29" hidden="1">
      <c r="C197" s="2858" t="s">
        <v>144</v>
      </c>
      <c r="E197" s="3578" t="s">
        <v>2736</v>
      </c>
      <c r="F197" s="984" t="s">
        <v>5</v>
      </c>
      <c r="G197" s="984"/>
      <c r="H197" s="984"/>
      <c r="I197" s="984"/>
      <c r="J197" s="984"/>
      <c r="K197" s="984"/>
      <c r="L197" s="984"/>
      <c r="M197" s="984"/>
      <c r="N197" s="984"/>
    </row>
    <row r="198" spans="1:29" hidden="1">
      <c r="C198" s="2" t="s">
        <v>15</v>
      </c>
      <c r="E198" s="3578" t="s">
        <v>2736</v>
      </c>
      <c r="F198" s="984"/>
      <c r="G198" s="984"/>
      <c r="H198" s="984"/>
      <c r="I198" s="984"/>
      <c r="J198" s="984"/>
      <c r="K198" s="984"/>
      <c r="L198" s="984"/>
      <c r="M198" s="984"/>
      <c r="N198" s="984"/>
    </row>
    <row r="199" spans="1:29" hidden="1">
      <c r="C199" s="2" t="s">
        <v>58</v>
      </c>
      <c r="E199" s="3578" t="s">
        <v>2736</v>
      </c>
      <c r="F199" s="984"/>
      <c r="G199" s="984"/>
      <c r="H199" s="984"/>
      <c r="I199" s="984"/>
      <c r="J199" s="984"/>
      <c r="K199" s="984"/>
      <c r="L199" s="984"/>
      <c r="M199" s="984"/>
      <c r="N199" s="984"/>
    </row>
    <row r="200" spans="1:29" hidden="1">
      <c r="D200" s="2858" t="s">
        <v>2284</v>
      </c>
      <c r="F200" s="357"/>
    </row>
    <row r="202" spans="1:29" ht="23.5">
      <c r="A202" s="7"/>
      <c r="B202" s="502" t="s">
        <v>296</v>
      </c>
      <c r="C202" s="503"/>
      <c r="D202" s="503"/>
      <c r="E202" s="503"/>
      <c r="F202" s="503"/>
      <c r="G202" s="503"/>
      <c r="H202" s="503"/>
      <c r="I202" s="503"/>
      <c r="J202" s="503"/>
      <c r="K202" s="503"/>
      <c r="L202" s="503"/>
      <c r="M202" s="503"/>
      <c r="N202" s="503"/>
      <c r="O202" s="857"/>
    </row>
    <row r="203" spans="1:29">
      <c r="B203" s="505"/>
      <c r="C203" s="506"/>
      <c r="D203" s="506"/>
      <c r="E203" s="506"/>
      <c r="F203" s="506"/>
      <c r="G203" s="506"/>
      <c r="H203" s="506"/>
      <c r="I203" s="506"/>
      <c r="J203" s="506"/>
      <c r="K203" s="506"/>
      <c r="L203" s="506"/>
      <c r="M203" s="506"/>
      <c r="N203" s="506"/>
      <c r="O203" s="858"/>
    </row>
    <row r="204" spans="1:29">
      <c r="B204" s="505"/>
      <c r="C204" s="34" t="s">
        <v>2285</v>
      </c>
      <c r="D204" s="506"/>
      <c r="E204" s="507"/>
      <c r="F204" s="506"/>
      <c r="G204" s="506"/>
      <c r="H204" s="506"/>
      <c r="I204" s="506"/>
      <c r="J204" s="506"/>
      <c r="K204" s="506"/>
      <c r="L204" s="506"/>
      <c r="M204" s="506"/>
      <c r="N204" s="507" t="str">
        <f>Preferences.EnergyUnits</f>
        <v>TWh</v>
      </c>
      <c r="O204" s="858"/>
    </row>
    <row r="205" spans="1:29" ht="6" customHeight="1">
      <c r="B205" s="505"/>
      <c r="C205" s="506"/>
      <c r="D205" s="506"/>
      <c r="E205" s="506"/>
      <c r="F205" s="506"/>
      <c r="G205" s="506"/>
      <c r="H205" s="506"/>
      <c r="I205" s="506"/>
      <c r="J205" s="506"/>
      <c r="K205" s="506"/>
      <c r="L205" s="506"/>
      <c r="M205" s="506"/>
      <c r="N205" s="506"/>
      <c r="O205" s="858"/>
    </row>
    <row r="206" spans="1:29" ht="15.5">
      <c r="A206" s="434"/>
      <c r="B206" s="15"/>
      <c r="C206" s="864" t="s">
        <v>28</v>
      </c>
      <c r="D206" s="864" t="s">
        <v>29</v>
      </c>
      <c r="E206" s="864" t="s">
        <v>30</v>
      </c>
      <c r="F206" s="864" t="s">
        <v>588</v>
      </c>
      <c r="G206" s="864" t="s">
        <v>132</v>
      </c>
      <c r="H206" s="864" t="s">
        <v>133</v>
      </c>
      <c r="I206" s="864" t="s">
        <v>134</v>
      </c>
      <c r="J206" s="864" t="s">
        <v>135</v>
      </c>
      <c r="K206" s="864" t="s">
        <v>136</v>
      </c>
      <c r="L206" s="864" t="s">
        <v>137</v>
      </c>
      <c r="M206" s="864" t="s">
        <v>138</v>
      </c>
      <c r="N206" s="864" t="s">
        <v>139</v>
      </c>
      <c r="O206" s="858"/>
    </row>
    <row r="207" spans="1:29" ht="15.5">
      <c r="A207" s="434"/>
      <c r="B207" s="15"/>
      <c r="C207" s="18" t="s">
        <v>408</v>
      </c>
      <c r="D207" s="2922" t="str">
        <f>INDEX(Vectors[Description], MATCH(XV.b.Outputs[Vector], Vectors[Code], 0))</f>
        <v>Industry</v>
      </c>
      <c r="E207" s="864"/>
      <c r="F207" s="2769">
        <f>F$145+F$146+F$147+F$152+F$153</f>
        <v>7.5543224779012222E-2</v>
      </c>
      <c r="G207" s="2769">
        <f t="shared" ref="G207:N207" si="26">G$145+G$146+G$147+G$152+G$153</f>
        <v>0.17950357350456733</v>
      </c>
      <c r="H207" s="2769">
        <f t="shared" si="26"/>
        <v>2.341663707632998</v>
      </c>
      <c r="I207" s="2769">
        <f t="shared" si="26"/>
        <v>0.68189426081674298</v>
      </c>
      <c r="J207" s="2769">
        <f t="shared" si="26"/>
        <v>0</v>
      </c>
      <c r="K207" s="2769">
        <f t="shared" si="26"/>
        <v>0</v>
      </c>
      <c r="L207" s="2769">
        <f t="shared" si="26"/>
        <v>0</v>
      </c>
      <c r="M207" s="2769">
        <f t="shared" si="26"/>
        <v>0</v>
      </c>
      <c r="N207" s="2769">
        <f t="shared" si="26"/>
        <v>0</v>
      </c>
      <c r="O207" s="858"/>
    </row>
    <row r="208" spans="1:29" ht="15.5">
      <c r="A208" s="434"/>
      <c r="B208" s="15"/>
      <c r="C208" s="17" t="s">
        <v>95</v>
      </c>
      <c r="D208" s="2457" t="str">
        <f>INDEX(Vectors[Description], MATCH(XV.b.Outputs[Vector], Vectors[Code], 0))</f>
        <v>Electricity (delivered to end user)</v>
      </c>
      <c r="E208" s="17"/>
      <c r="F208" s="2491">
        <f t="shared" ref="F208:N208" si="27">-(F$145+F$152)</f>
        <v>-6.6380393902542884E-2</v>
      </c>
      <c r="G208" s="2491">
        <f t="shared" si="27"/>
        <v>-5.632506858883312E-2</v>
      </c>
      <c r="H208" s="2491">
        <f t="shared" si="27"/>
        <v>-3.5902839544807497E-2</v>
      </c>
      <c r="I208" s="2491">
        <f t="shared" si="27"/>
        <v>-2.154713679214617E-2</v>
      </c>
      <c r="J208" s="2491">
        <f t="shared" si="27"/>
        <v>0</v>
      </c>
      <c r="K208" s="2491">
        <f t="shared" si="27"/>
        <v>0</v>
      </c>
      <c r="L208" s="2491">
        <f t="shared" si="27"/>
        <v>0</v>
      </c>
      <c r="M208" s="2491">
        <f t="shared" si="27"/>
        <v>0</v>
      </c>
      <c r="N208" s="2491">
        <f t="shared" si="27"/>
        <v>0</v>
      </c>
      <c r="O208" s="858"/>
    </row>
    <row r="209" spans="1:15" ht="15.5">
      <c r="A209" s="434"/>
      <c r="B209" s="15"/>
      <c r="C209" s="17" t="s">
        <v>97</v>
      </c>
      <c r="D209" s="2457" t="str">
        <f>INDEX(Vectors[Description], MATCH(XV.b.Outputs[Vector], Vectors[Code], 0))</f>
        <v>Solid hydrocarbons</v>
      </c>
      <c r="E209" s="17"/>
      <c r="F209" s="2491">
        <f t="shared" ref="F209:N209" si="28">-F$146</f>
        <v>-3.0179240072394542E-3</v>
      </c>
      <c r="G209" s="2491">
        <f t="shared" si="28"/>
        <v>-2.5149366726995451E-3</v>
      </c>
      <c r="H209" s="2491">
        <f t="shared" si="28"/>
        <v>-7.1855333505701287E-4</v>
      </c>
      <c r="I209" s="2491">
        <f t="shared" si="28"/>
        <v>-7.1855333505701287E-4</v>
      </c>
      <c r="J209" s="2491">
        <f t="shared" si="28"/>
        <v>0</v>
      </c>
      <c r="K209" s="2491">
        <f t="shared" si="28"/>
        <v>0</v>
      </c>
      <c r="L209" s="2491">
        <f t="shared" si="28"/>
        <v>0</v>
      </c>
      <c r="M209" s="2491">
        <f t="shared" si="28"/>
        <v>0</v>
      </c>
      <c r="N209" s="2491">
        <f t="shared" si="28"/>
        <v>0</v>
      </c>
      <c r="O209" s="858"/>
    </row>
    <row r="210" spans="1:15" ht="15.5">
      <c r="A210" s="434"/>
      <c r="B210" s="15"/>
      <c r="C210" s="17" t="s">
        <v>99</v>
      </c>
      <c r="D210" s="2457" t="str">
        <f>INDEX(Vectors[Description], MATCH(XV.b.Outputs[Vector], Vectors[Code], 0))</f>
        <v>Gaseous hydrocarbons</v>
      </c>
      <c r="E210" s="17"/>
      <c r="F210" s="2491">
        <f>-(F$147+F$153)</f>
        <v>-6.1449068692298924E-3</v>
      </c>
      <c r="G210" s="2491">
        <f t="shared" ref="G210:N210" si="29">-(G$147+G$153)</f>
        <v>-0.12066356824303466</v>
      </c>
      <c r="H210" s="2491">
        <f t="shared" si="29"/>
        <v>-2.3050423147531336</v>
      </c>
      <c r="I210" s="2491">
        <f t="shared" si="29"/>
        <v>-0.65962857068953973</v>
      </c>
      <c r="J210" s="2491">
        <f t="shared" si="29"/>
        <v>0</v>
      </c>
      <c r="K210" s="2491">
        <f t="shared" si="29"/>
        <v>0</v>
      </c>
      <c r="L210" s="2491">
        <f t="shared" si="29"/>
        <v>0</v>
      </c>
      <c r="M210" s="2491">
        <f t="shared" si="29"/>
        <v>0</v>
      </c>
      <c r="N210" s="2491">
        <f t="shared" si="29"/>
        <v>0</v>
      </c>
      <c r="O210" s="858"/>
    </row>
    <row r="211" spans="1:15" ht="15.5">
      <c r="A211" s="434"/>
      <c r="B211" s="15"/>
      <c r="C211" s="17" t="s">
        <v>416</v>
      </c>
      <c r="D211" s="2457" t="str">
        <f>INDEX(Vectors[Description], MATCH(XV.b.Outputs[Vector], Vectors[Code], 0))</f>
        <v>Coal, peat and solid fuels</v>
      </c>
      <c r="E211" s="17"/>
      <c r="F211" s="2491">
        <f t="shared" ref="F211:N211" si="30">F$144</f>
        <v>8.4</v>
      </c>
      <c r="G211" s="2491">
        <f t="shared" si="30"/>
        <v>7</v>
      </c>
      <c r="H211" s="2491">
        <f t="shared" si="30"/>
        <v>2</v>
      </c>
      <c r="I211" s="2491">
        <f t="shared" si="30"/>
        <v>2</v>
      </c>
      <c r="J211" s="2491">
        <f t="shared" si="30"/>
        <v>0</v>
      </c>
      <c r="K211" s="2491">
        <f t="shared" si="30"/>
        <v>0</v>
      </c>
      <c r="L211" s="2491">
        <f t="shared" si="30"/>
        <v>0</v>
      </c>
      <c r="M211" s="2491">
        <f t="shared" si="30"/>
        <v>0</v>
      </c>
      <c r="N211" s="2491">
        <f t="shared" si="30"/>
        <v>0</v>
      </c>
      <c r="O211" s="858"/>
    </row>
    <row r="212" spans="1:15" ht="15.5">
      <c r="A212" s="434"/>
      <c r="B212" s="15"/>
      <c r="C212" s="17" t="s">
        <v>418</v>
      </c>
      <c r="D212" s="2457" t="str">
        <f>INDEX(Vectors[Description], MATCH(XV.b.Outputs[Vector], Vectors[Code], 0))</f>
        <v>Natural gas</v>
      </c>
      <c r="E212" s="17"/>
      <c r="F212" s="2491">
        <f>F$151</f>
        <v>0</v>
      </c>
      <c r="G212" s="2491">
        <f t="shared" ref="G212:N212" si="31">G$151</f>
        <v>1.7555282514130199</v>
      </c>
      <c r="H212" s="2491">
        <f t="shared" si="31"/>
        <v>35</v>
      </c>
      <c r="I212" s="2491">
        <f t="shared" si="31"/>
        <v>10</v>
      </c>
      <c r="J212" s="2491">
        <f t="shared" si="31"/>
        <v>0</v>
      </c>
      <c r="K212" s="2491">
        <f t="shared" si="31"/>
        <v>0</v>
      </c>
      <c r="L212" s="2491">
        <f t="shared" si="31"/>
        <v>0</v>
      </c>
      <c r="M212" s="2491">
        <f t="shared" si="31"/>
        <v>0</v>
      </c>
      <c r="N212" s="2491">
        <f t="shared" si="31"/>
        <v>0</v>
      </c>
      <c r="O212" s="858"/>
    </row>
    <row r="213" spans="1:15" ht="15.5">
      <c r="A213" s="434"/>
      <c r="B213" s="15"/>
      <c r="C213" s="17" t="s">
        <v>427</v>
      </c>
      <c r="D213" s="2457" t="str">
        <f>INDEX(Vectors[Description], MATCH(XV.b.Outputs[Vector], Vectors[Code], 0))</f>
        <v>Peat reserves</v>
      </c>
      <c r="E213" s="17"/>
      <c r="F213" s="2491">
        <f t="shared" ref="F213:N213" si="32">-F$144</f>
        <v>-8.4</v>
      </c>
      <c r="G213" s="2491">
        <f t="shared" si="32"/>
        <v>-7</v>
      </c>
      <c r="H213" s="2491">
        <f t="shared" si="32"/>
        <v>-2</v>
      </c>
      <c r="I213" s="2491">
        <f t="shared" si="32"/>
        <v>-2</v>
      </c>
      <c r="J213" s="2491">
        <f t="shared" si="32"/>
        <v>0</v>
      </c>
      <c r="K213" s="2491">
        <f t="shared" si="32"/>
        <v>0</v>
      </c>
      <c r="L213" s="2491">
        <f t="shared" si="32"/>
        <v>0</v>
      </c>
      <c r="M213" s="2491">
        <f t="shared" si="32"/>
        <v>0</v>
      </c>
      <c r="N213" s="2491">
        <f t="shared" si="32"/>
        <v>0</v>
      </c>
      <c r="O213" s="858"/>
    </row>
    <row r="214" spans="1:15" ht="15.5">
      <c r="A214" s="434"/>
      <c r="B214" s="15"/>
      <c r="C214" s="17" t="s">
        <v>428</v>
      </c>
      <c r="D214" s="2457" t="str">
        <f>INDEX(Vectors[Description], MATCH(XV.b.Outputs[Vector], Vectors[Code], 0))</f>
        <v>Oil reserves</v>
      </c>
      <c r="E214" s="17"/>
      <c r="F214" s="2491">
        <f t="shared" ref="F214:N214" si="33">-F$150</f>
        <v>0</v>
      </c>
      <c r="G214" s="2491">
        <f t="shared" si="33"/>
        <v>0</v>
      </c>
      <c r="H214" s="2491">
        <f t="shared" si="33"/>
        <v>0</v>
      </c>
      <c r="I214" s="2491">
        <f t="shared" si="33"/>
        <v>0</v>
      </c>
      <c r="J214" s="2491">
        <f t="shared" si="33"/>
        <v>0</v>
      </c>
      <c r="K214" s="2491">
        <f t="shared" si="33"/>
        <v>0</v>
      </c>
      <c r="L214" s="2491">
        <f t="shared" si="33"/>
        <v>0</v>
      </c>
      <c r="M214" s="2491">
        <f t="shared" si="33"/>
        <v>0</v>
      </c>
      <c r="N214" s="2491">
        <f t="shared" si="33"/>
        <v>0</v>
      </c>
      <c r="O214" s="858"/>
    </row>
    <row r="215" spans="1:15" ht="15.5">
      <c r="A215" s="434"/>
      <c r="B215" s="15"/>
      <c r="C215" s="17" t="s">
        <v>429</v>
      </c>
      <c r="D215" s="2457" t="str">
        <f>INDEX(Vectors[Description], MATCH(XV.b.Outputs[Vector], Vectors[Code], 0))</f>
        <v>Gas reserves</v>
      </c>
      <c r="E215" s="17"/>
      <c r="F215" s="2491">
        <f t="shared" ref="F215:N215" si="34">-F$151</f>
        <v>0</v>
      </c>
      <c r="G215" s="2491">
        <f t="shared" si="34"/>
        <v>-1.7555282514130199</v>
      </c>
      <c r="H215" s="2491">
        <f t="shared" si="34"/>
        <v>-35</v>
      </c>
      <c r="I215" s="2491">
        <f t="shared" si="34"/>
        <v>-10</v>
      </c>
      <c r="J215" s="2491">
        <f t="shared" si="34"/>
        <v>0</v>
      </c>
      <c r="K215" s="2491">
        <f t="shared" si="34"/>
        <v>0</v>
      </c>
      <c r="L215" s="2491">
        <f t="shared" si="34"/>
        <v>0</v>
      </c>
      <c r="M215" s="2491">
        <f t="shared" si="34"/>
        <v>0</v>
      </c>
      <c r="N215" s="2491">
        <f t="shared" si="34"/>
        <v>0</v>
      </c>
      <c r="O215" s="858"/>
    </row>
    <row r="216" spans="1:15" ht="15.5">
      <c r="A216" s="434"/>
      <c r="B216" s="15"/>
      <c r="C216" s="2432" t="s">
        <v>58</v>
      </c>
      <c r="D216" s="2432"/>
      <c r="E216" s="2432"/>
      <c r="F216" s="2435">
        <f>SUBTOTAL(109,XV.b.Outputs[2013])</f>
        <v>0</v>
      </c>
      <c r="G216" s="2435">
        <f>SUBTOTAL(109,XV.b.Outputs[2015])</f>
        <v>0</v>
      </c>
      <c r="H216" s="2435">
        <f>SUBTOTAL(109,XV.b.Outputs[2020])</f>
        <v>0</v>
      </c>
      <c r="I216" s="2435">
        <f>SUBTOTAL(109,XV.b.Outputs[2025])</f>
        <v>0</v>
      </c>
      <c r="J216" s="2435">
        <f>SUBTOTAL(109,XV.b.Outputs[2030])</f>
        <v>0</v>
      </c>
      <c r="K216" s="2435">
        <f>SUBTOTAL(109,XV.b.Outputs[2035])</f>
        <v>0</v>
      </c>
      <c r="L216" s="2435">
        <f>SUBTOTAL(109,XV.b.Outputs[2040])</f>
        <v>0</v>
      </c>
      <c r="M216" s="2435">
        <f>SUBTOTAL(109,XV.b.Outputs[2045])</f>
        <v>0</v>
      </c>
      <c r="N216" s="2435">
        <f>SUBTOTAL(109,XV.b.Outputs[2050])</f>
        <v>0</v>
      </c>
      <c r="O216" s="858"/>
    </row>
    <row r="217" spans="1:15" ht="15.5">
      <c r="B217" s="35"/>
      <c r="C217" s="2888"/>
      <c r="D217" s="2889"/>
      <c r="E217" s="2889"/>
      <c r="F217" s="2889"/>
      <c r="G217" s="2889"/>
      <c r="H217" s="2889"/>
      <c r="I217" s="2889"/>
      <c r="J217" s="2889"/>
      <c r="K217" s="2889"/>
      <c r="L217" s="2889"/>
      <c r="M217" s="2889"/>
      <c r="N217" s="2889"/>
      <c r="O217" s="35"/>
    </row>
    <row r="218" spans="1:15" ht="23.5">
      <c r="A218" s="7"/>
    </row>
    <row r="219" spans="1:15" ht="15">
      <c r="B219" s="1118" t="s">
        <v>300</v>
      </c>
      <c r="C219" s="1119"/>
      <c r="D219" s="1120"/>
      <c r="E219" s="1120"/>
      <c r="F219" s="1120"/>
      <c r="G219" s="1120"/>
      <c r="H219" s="1120"/>
      <c r="I219" s="1120"/>
      <c r="J219" s="1120"/>
      <c r="K219" s="1120"/>
      <c r="L219" s="1120"/>
      <c r="M219" s="1120"/>
      <c r="N219" s="1120"/>
      <c r="O219" s="1121"/>
    </row>
    <row r="220" spans="1:15">
      <c r="B220" s="1122"/>
      <c r="C220" s="1123"/>
      <c r="D220" s="1123"/>
      <c r="E220" s="1123"/>
      <c r="F220" s="1123"/>
      <c r="G220" s="1123"/>
      <c r="H220" s="1123"/>
      <c r="I220" s="1123"/>
      <c r="J220" s="1123"/>
      <c r="K220" s="1123"/>
      <c r="L220" s="1123"/>
      <c r="M220" s="1123"/>
      <c r="N220" s="1123"/>
      <c r="O220" s="1124"/>
    </row>
    <row r="221" spans="1:15">
      <c r="B221" s="1125"/>
      <c r="C221" s="453" t="s">
        <v>1308</v>
      </c>
      <c r="D221" s="1126"/>
      <c r="E221" s="1127"/>
      <c r="F221" s="1126" t="s">
        <v>5</v>
      </c>
      <c r="G221" s="1126"/>
      <c r="H221" s="1126"/>
      <c r="I221" s="1126"/>
      <c r="J221" s="1126"/>
      <c r="K221" s="1126"/>
      <c r="L221" s="1126"/>
      <c r="M221" s="1126"/>
      <c r="N221" s="1127" t="s">
        <v>251</v>
      </c>
      <c r="O221" s="1129"/>
    </row>
    <row r="222" spans="1:15">
      <c r="B222" s="1125"/>
      <c r="C222" s="1126"/>
      <c r="D222" s="1126"/>
      <c r="E222" s="1126"/>
      <c r="F222" s="1126"/>
      <c r="G222" s="1126"/>
      <c r="H222" s="1126"/>
      <c r="I222" s="1126"/>
      <c r="J222" s="1126"/>
      <c r="K222" s="1126"/>
      <c r="L222" s="1126"/>
      <c r="M222" s="1126"/>
      <c r="N222" s="1126"/>
      <c r="O222" s="1129"/>
    </row>
    <row r="223" spans="1:15" ht="15.5">
      <c r="B223" s="458"/>
      <c r="C223" s="1327" t="s">
        <v>302</v>
      </c>
      <c r="D223" s="1327" t="s">
        <v>303</v>
      </c>
      <c r="E223" s="1327" t="s">
        <v>30</v>
      </c>
      <c r="F223" s="1327" t="s">
        <v>588</v>
      </c>
      <c r="G223" s="1327" t="s">
        <v>132</v>
      </c>
      <c r="H223" s="1327" t="s">
        <v>133</v>
      </c>
      <c r="I223" s="1327" t="s">
        <v>134</v>
      </c>
      <c r="J223" s="1327" t="s">
        <v>135</v>
      </c>
      <c r="K223" s="1327" t="s">
        <v>136</v>
      </c>
      <c r="L223" s="1327" t="s">
        <v>137</v>
      </c>
      <c r="M223" s="1327" t="s">
        <v>138</v>
      </c>
      <c r="N223" s="1327" t="s">
        <v>139</v>
      </c>
      <c r="O223" s="1129"/>
    </row>
    <row r="224" spans="1:15" ht="15.5">
      <c r="B224" s="458"/>
      <c r="C224" s="1131" t="s">
        <v>250</v>
      </c>
      <c r="D224" s="1132" t="s">
        <v>447</v>
      </c>
      <c r="E224" s="1131" t="str">
        <f>INDEX(IPCC[Sector_description], MATCH(XV.b.Emissions[IPCC Sector], IPCC[Sector_code], 0))</f>
        <v>Fugitive Emissions from Fuels</v>
      </c>
      <c r="F224" s="2443">
        <f>F$157</f>
        <v>0</v>
      </c>
      <c r="G224" s="2443">
        <f t="shared" ref="G224:N224" si="35">G$157</f>
        <v>0</v>
      </c>
      <c r="H224" s="2443" t="str">
        <f t="shared" si="35"/>
        <v xml:space="preserve"> </v>
      </c>
      <c r="I224" s="2443">
        <f t="shared" si="35"/>
        <v>0</v>
      </c>
      <c r="J224" s="2443">
        <f t="shared" si="35"/>
        <v>0</v>
      </c>
      <c r="K224" s="2443">
        <f t="shared" si="35"/>
        <v>0</v>
      </c>
      <c r="L224" s="2443">
        <f t="shared" si="35"/>
        <v>0</v>
      </c>
      <c r="M224" s="2443">
        <f t="shared" si="35"/>
        <v>0</v>
      </c>
      <c r="N224" s="2443">
        <f t="shared" si="35"/>
        <v>0</v>
      </c>
      <c r="O224" s="1129"/>
    </row>
    <row r="225" spans="2:24" ht="15.5">
      <c r="B225" s="458"/>
      <c r="C225" s="1131" t="s">
        <v>252</v>
      </c>
      <c r="D225" s="1132" t="s">
        <v>447</v>
      </c>
      <c r="E225" s="1131" t="str">
        <f>INDEX(IPCC[Sector_description], MATCH(XV.b.Emissions[IPCC Sector], IPCC[Sector_code], 0))</f>
        <v>Fugitive Emissions from Fuels</v>
      </c>
      <c r="F225" s="2443">
        <f t="shared" ref="F225:N225" si="36">F$156</f>
        <v>0</v>
      </c>
      <c r="G225" s="2443">
        <f t="shared" si="36"/>
        <v>0</v>
      </c>
      <c r="H225" s="2443">
        <f t="shared" si="36"/>
        <v>0</v>
      </c>
      <c r="I225" s="2443">
        <f t="shared" si="36"/>
        <v>0</v>
      </c>
      <c r="J225" s="2443">
        <f t="shared" si="36"/>
        <v>0</v>
      </c>
      <c r="K225" s="2443">
        <f t="shared" si="36"/>
        <v>0</v>
      </c>
      <c r="L225" s="2443">
        <f t="shared" si="36"/>
        <v>0</v>
      </c>
      <c r="M225" s="2443">
        <f t="shared" si="36"/>
        <v>0</v>
      </c>
      <c r="N225" s="2443">
        <f t="shared" si="36"/>
        <v>0</v>
      </c>
      <c r="O225" s="1129"/>
    </row>
    <row r="226" spans="2:24" ht="15.5">
      <c r="B226" s="458"/>
      <c r="C226" s="1131" t="s">
        <v>250</v>
      </c>
      <c r="D226" s="1132" t="s">
        <v>304</v>
      </c>
      <c r="E226" s="1131" t="str">
        <f>INDEX(IPCC[Sector_description], MATCH(XV.b.Emissions[IPCC Sector], IPCC[Sector_code], 0))</f>
        <v>Fuel Combustion</v>
      </c>
      <c r="F226" s="2443">
        <f>F$159</f>
        <v>0</v>
      </c>
      <c r="G226" s="2443">
        <f t="shared" ref="G226:N226" si="37">G$159</f>
        <v>2.3654063230198457E-2</v>
      </c>
      <c r="H226" s="2443">
        <f t="shared" si="37"/>
        <v>0.47159150665366845</v>
      </c>
      <c r="I226" s="2443">
        <f t="shared" si="37"/>
        <v>0.13474043047247669</v>
      </c>
      <c r="J226" s="2443">
        <f t="shared" si="37"/>
        <v>0</v>
      </c>
      <c r="K226" s="2443">
        <f t="shared" si="37"/>
        <v>0</v>
      </c>
      <c r="L226" s="2443">
        <f t="shared" si="37"/>
        <v>0</v>
      </c>
      <c r="M226" s="2443">
        <f t="shared" si="37"/>
        <v>0</v>
      </c>
      <c r="N226" s="2443">
        <f t="shared" si="37"/>
        <v>0</v>
      </c>
      <c r="O226" s="1129"/>
    </row>
    <row r="227" spans="2:24" ht="15.5">
      <c r="B227" s="458"/>
      <c r="C227" s="1131" t="s">
        <v>252</v>
      </c>
      <c r="D227" s="1132" t="s">
        <v>304</v>
      </c>
      <c r="E227" s="1131" t="str">
        <f>INDEX(IPCC[Sector_description], MATCH(XV.b.Emissions[IPCC Sector], IPCC[Sector_code], 0))</f>
        <v>Fuel Combustion</v>
      </c>
      <c r="F227" s="2443">
        <f>F$160</f>
        <v>0</v>
      </c>
      <c r="G227" s="2443">
        <f t="shared" ref="G227:N227" si="38">G$160</f>
        <v>8.7350366264119374E-6</v>
      </c>
      <c r="H227" s="2443">
        <f t="shared" si="38"/>
        <v>1.7415059067169076E-4</v>
      </c>
      <c r="I227" s="2443">
        <f t="shared" si="38"/>
        <v>4.9757311620483071E-5</v>
      </c>
      <c r="J227" s="2443">
        <f t="shared" si="38"/>
        <v>0</v>
      </c>
      <c r="K227" s="2443">
        <f t="shared" si="38"/>
        <v>0</v>
      </c>
      <c r="L227" s="2443">
        <f t="shared" si="38"/>
        <v>0</v>
      </c>
      <c r="M227" s="2443">
        <f t="shared" si="38"/>
        <v>0</v>
      </c>
      <c r="N227" s="2443">
        <f t="shared" si="38"/>
        <v>0</v>
      </c>
      <c r="O227" s="1129"/>
      <c r="R227" s="1068"/>
      <c r="S227" s="1068"/>
      <c r="T227" s="1068"/>
      <c r="U227" s="1068"/>
      <c r="V227" s="1068"/>
      <c r="W227" s="1068"/>
      <c r="X227" s="1068"/>
    </row>
    <row r="228" spans="2:24" ht="15.5">
      <c r="B228" s="458"/>
      <c r="C228" s="1131" t="s">
        <v>253</v>
      </c>
      <c r="D228" s="1132" t="s">
        <v>304</v>
      </c>
      <c r="E228" s="1131" t="str">
        <f>INDEX(IPCC[Sector_description], MATCH(XV.b.Emissions[IPCC Sector], IPCC[Sector_code], 0))</f>
        <v>Fuel Combustion</v>
      </c>
      <c r="F228" s="2443">
        <f>F$161</f>
        <v>0</v>
      </c>
      <c r="G228" s="2443">
        <f t="shared" ref="G228:N228" si="39">G$161</f>
        <v>3.7394275843544432E-4</v>
      </c>
      <c r="H228" s="2443">
        <f t="shared" si="39"/>
        <v>7.4553038578023803E-3</v>
      </c>
      <c r="I228" s="2443">
        <f t="shared" si="39"/>
        <v>2.1300868165149657E-3</v>
      </c>
      <c r="J228" s="2443">
        <f t="shared" si="39"/>
        <v>0</v>
      </c>
      <c r="K228" s="2443">
        <f t="shared" si="39"/>
        <v>0</v>
      </c>
      <c r="L228" s="2443">
        <f t="shared" si="39"/>
        <v>0</v>
      </c>
      <c r="M228" s="2443">
        <f t="shared" si="39"/>
        <v>0</v>
      </c>
      <c r="N228" s="2443">
        <f t="shared" si="39"/>
        <v>0</v>
      </c>
      <c r="O228" s="1129"/>
      <c r="R228" s="1068"/>
      <c r="S228" s="1068"/>
      <c r="T228" s="1068"/>
      <c r="U228" s="1068"/>
      <c r="V228" s="1068"/>
      <c r="W228" s="1068"/>
      <c r="X228" s="1068"/>
    </row>
    <row r="229" spans="2:24" ht="15.5">
      <c r="B229" s="458"/>
      <c r="C229" s="2436" t="s">
        <v>58</v>
      </c>
      <c r="D229" s="2436"/>
      <c r="E229" s="2436"/>
      <c r="F229" s="2437">
        <f>SUBTOTAL(109,XV.b.Emissions[2013])</f>
        <v>0</v>
      </c>
      <c r="G229" s="2437">
        <f>SUBTOTAL(109,XV.b.Emissions[2015])</f>
        <v>2.4036741025260315E-2</v>
      </c>
      <c r="H229" s="2437">
        <f>SUBTOTAL(109,XV.b.Emissions[2020])</f>
        <v>0.47922096110214252</v>
      </c>
      <c r="I229" s="2437">
        <f>SUBTOTAL(109,XV.b.Emissions[2025])</f>
        <v>0.13692027460061215</v>
      </c>
      <c r="J229" s="2437">
        <f>SUBTOTAL(109,XV.b.Emissions[2030])</f>
        <v>0</v>
      </c>
      <c r="K229" s="2437">
        <f>SUBTOTAL(109,XV.b.Emissions[2035])</f>
        <v>0</v>
      </c>
      <c r="L229" s="2437">
        <f>SUBTOTAL(109,XV.b.Emissions[2040])</f>
        <v>0</v>
      </c>
      <c r="M229" s="2437">
        <f>SUBTOTAL(109,XV.b.Emissions[2045])</f>
        <v>0</v>
      </c>
      <c r="N229" s="2437">
        <f>SUBTOTAL(109,XV.b.Emissions[2050])</f>
        <v>0</v>
      </c>
      <c r="O229" s="1129"/>
      <c r="R229" s="1068"/>
      <c r="S229" s="1068"/>
      <c r="T229" s="1068"/>
      <c r="U229" s="1068"/>
      <c r="V229" s="1068"/>
      <c r="W229" s="1068"/>
      <c r="X229" s="1068"/>
    </row>
    <row r="230" spans="2:24" ht="15.5">
      <c r="B230" s="458"/>
      <c r="C230" s="1126"/>
      <c r="D230" s="1126"/>
      <c r="E230" s="1126"/>
      <c r="F230" s="1126"/>
      <c r="G230" s="1126"/>
      <c r="H230" s="1126"/>
      <c r="I230" s="1126"/>
      <c r="J230" s="1126"/>
      <c r="K230" s="1126"/>
      <c r="L230" s="1126"/>
      <c r="M230" s="1126"/>
      <c r="N230" s="1126"/>
      <c r="O230" s="465"/>
      <c r="R230" s="1068"/>
      <c r="S230" s="1068"/>
      <c r="T230" s="1068"/>
      <c r="U230" s="1068"/>
      <c r="V230" s="1068"/>
      <c r="W230" s="1068"/>
      <c r="X230" s="1068"/>
    </row>
    <row r="231" spans="2:24">
      <c r="R231" s="1068"/>
      <c r="S231" s="1068"/>
      <c r="T231" s="647"/>
      <c r="U231" s="1068"/>
      <c r="V231" s="1068"/>
      <c r="W231" s="1068"/>
      <c r="X231" s="1068"/>
    </row>
    <row r="232" spans="2:24">
      <c r="R232" s="1068"/>
      <c r="S232" s="1068"/>
      <c r="T232" s="647"/>
      <c r="U232" s="1068"/>
      <c r="V232" s="1068"/>
      <c r="W232" s="1068"/>
      <c r="X232" s="1068"/>
    </row>
    <row r="233" spans="2:24" ht="15">
      <c r="B233" s="986" t="s">
        <v>310</v>
      </c>
      <c r="C233" s="987"/>
      <c r="D233" s="988"/>
      <c r="E233" s="988"/>
      <c r="F233" s="988"/>
      <c r="G233" s="988"/>
      <c r="H233" s="988"/>
      <c r="I233" s="988"/>
      <c r="J233" s="988"/>
      <c r="K233" s="988"/>
      <c r="L233" s="988"/>
      <c r="M233" s="988"/>
      <c r="N233" s="988"/>
      <c r="O233" s="989"/>
      <c r="R233" s="1068"/>
      <c r="S233" s="1068"/>
      <c r="T233" s="647"/>
      <c r="U233" s="1068"/>
      <c r="V233" s="1068"/>
      <c r="W233" s="1068"/>
      <c r="X233" s="1068"/>
    </row>
    <row r="234" spans="2:24">
      <c r="B234" s="990"/>
      <c r="C234" s="991"/>
      <c r="D234" s="991"/>
      <c r="E234" s="991"/>
      <c r="F234" s="991"/>
      <c r="G234" s="991"/>
      <c r="H234" s="991"/>
      <c r="I234" s="991"/>
      <c r="J234" s="991"/>
      <c r="K234" s="991"/>
      <c r="L234" s="991"/>
      <c r="M234" s="991"/>
      <c r="N234" s="991"/>
      <c r="O234" s="992"/>
      <c r="R234" s="1068"/>
      <c r="S234" s="1068"/>
      <c r="T234" s="647"/>
      <c r="U234" s="1068"/>
      <c r="V234" s="1068"/>
      <c r="W234" s="1068"/>
      <c r="X234" s="1068"/>
    </row>
    <row r="235" spans="2:24">
      <c r="B235" s="993"/>
      <c r="C235" s="479" t="s">
        <v>311</v>
      </c>
      <c r="D235" s="994"/>
      <c r="E235" s="995"/>
      <c r="F235" s="994"/>
      <c r="G235" s="994"/>
      <c r="H235" s="994"/>
      <c r="I235" s="994"/>
      <c r="J235" s="994"/>
      <c r="K235" s="994"/>
      <c r="L235" s="994"/>
      <c r="M235" s="994"/>
      <c r="N235" s="995"/>
      <c r="O235" s="996"/>
      <c r="R235" s="1068"/>
      <c r="S235" s="1068"/>
      <c r="T235" s="1068"/>
      <c r="U235" s="1068"/>
      <c r="V235" s="1068"/>
      <c r="W235" s="1068"/>
      <c r="X235" s="1068"/>
    </row>
    <row r="236" spans="2:24">
      <c r="B236" s="993"/>
      <c r="C236" s="994"/>
      <c r="D236" s="994"/>
      <c r="E236" s="994"/>
      <c r="F236" s="994"/>
      <c r="G236" s="994"/>
      <c r="H236" s="994"/>
      <c r="I236" s="994"/>
      <c r="J236" s="994"/>
      <c r="K236" s="994"/>
      <c r="L236" s="994"/>
      <c r="M236" s="994"/>
      <c r="N236" s="994"/>
      <c r="O236" s="996"/>
      <c r="R236" s="1068"/>
      <c r="S236" s="1068"/>
      <c r="T236" s="1068"/>
      <c r="U236" s="1068"/>
      <c r="V236" s="1068"/>
      <c r="W236" s="1068"/>
      <c r="X236" s="1068"/>
    </row>
    <row r="237" spans="2:24" ht="15.5">
      <c r="B237" s="483"/>
      <c r="C237" s="997" t="s">
        <v>28</v>
      </c>
      <c r="D237" s="997" t="s">
        <v>312</v>
      </c>
      <c r="E237" s="997" t="s">
        <v>30</v>
      </c>
      <c r="F237" s="997">
        <v>2013</v>
      </c>
      <c r="G237" s="997" t="s">
        <v>132</v>
      </c>
      <c r="H237" s="997" t="s">
        <v>133</v>
      </c>
      <c r="I237" s="997" t="s">
        <v>134</v>
      </c>
      <c r="J237" s="997" t="s">
        <v>135</v>
      </c>
      <c r="K237" s="997" t="s">
        <v>136</v>
      </c>
      <c r="L237" s="997" t="s">
        <v>137</v>
      </c>
      <c r="M237" s="997" t="s">
        <v>138</v>
      </c>
      <c r="N237" s="997" t="s">
        <v>139</v>
      </c>
      <c r="O237" s="996"/>
    </row>
    <row r="238" spans="2:24" ht="15.5">
      <c r="B238" s="483"/>
      <c r="C238" s="998"/>
      <c r="D238" s="485"/>
      <c r="E238" s="485"/>
      <c r="F238" s="999"/>
      <c r="G238" s="999"/>
      <c r="H238" s="999"/>
      <c r="I238" s="999"/>
      <c r="J238" s="999"/>
      <c r="K238" s="999"/>
      <c r="L238" s="999"/>
      <c r="M238" s="999"/>
      <c r="N238" s="999"/>
      <c r="O238" s="996"/>
    </row>
    <row r="239" spans="2:24" ht="15.5">
      <c r="B239" s="483"/>
      <c r="C239" s="998"/>
      <c r="D239" s="485"/>
      <c r="E239" s="485"/>
      <c r="F239" s="999"/>
      <c r="G239" s="999"/>
      <c r="H239" s="999"/>
      <c r="I239" s="999"/>
      <c r="J239" s="999"/>
      <c r="K239" s="999"/>
      <c r="L239" s="999"/>
      <c r="M239" s="999"/>
      <c r="N239" s="999"/>
      <c r="O239" s="996"/>
    </row>
    <row r="240" spans="2:24" ht="15.5">
      <c r="B240" s="488"/>
      <c r="C240" s="1001"/>
      <c r="D240" s="1001"/>
      <c r="E240" s="1001"/>
      <c r="F240" s="1001"/>
      <c r="G240" s="1001"/>
      <c r="H240" s="1001"/>
      <c r="I240" s="1001"/>
      <c r="J240" s="1001"/>
      <c r="K240" s="1001"/>
      <c r="L240" s="1001"/>
      <c r="M240" s="1001"/>
      <c r="N240" s="1001"/>
      <c r="O240" s="1002"/>
    </row>
    <row r="242" spans="2:15" ht="15">
      <c r="B242" s="986" t="s">
        <v>2720</v>
      </c>
      <c r="C242" s="988"/>
      <c r="D242" s="988"/>
      <c r="E242" s="988"/>
      <c r="F242" s="988"/>
      <c r="G242" s="988"/>
      <c r="H242" s="988"/>
      <c r="I242" s="988"/>
      <c r="J242" s="988"/>
      <c r="K242" s="988"/>
      <c r="L242" s="988"/>
      <c r="M242" s="988"/>
      <c r="N242" s="988"/>
      <c r="O242" s="989"/>
    </row>
    <row r="243" spans="2:15" hidden="1">
      <c r="B243" s="993"/>
      <c r="C243" s="994"/>
      <c r="D243" s="994"/>
      <c r="E243" s="994"/>
      <c r="F243" s="994"/>
      <c r="G243" s="994"/>
      <c r="H243" s="994"/>
      <c r="I243" s="994"/>
      <c r="J243" s="994"/>
      <c r="K243" s="994"/>
      <c r="L243" s="994"/>
      <c r="M243" s="994"/>
      <c r="N243" s="994"/>
      <c r="O243" s="996"/>
    </row>
    <row r="244" spans="2:15" hidden="1">
      <c r="B244" s="993"/>
      <c r="C244" s="491" t="s">
        <v>2297</v>
      </c>
      <c r="D244" s="1003"/>
      <c r="E244" s="1003"/>
      <c r="F244" s="1003"/>
      <c r="G244" s="1003"/>
      <c r="H244" s="1003"/>
      <c r="I244" s="1003"/>
      <c r="J244" s="1003"/>
      <c r="K244" s="1003"/>
      <c r="L244" s="1003"/>
      <c r="M244" s="1003"/>
      <c r="N244" s="1003"/>
      <c r="O244" s="996"/>
    </row>
    <row r="245" spans="2:15" hidden="1">
      <c r="B245" s="993"/>
      <c r="C245" s="994"/>
      <c r="D245" s="994"/>
      <c r="E245" s="994"/>
      <c r="F245" s="994"/>
      <c r="G245" s="994"/>
      <c r="H245" s="994"/>
      <c r="I245" s="994"/>
      <c r="J245" s="994"/>
      <c r="K245" s="994"/>
      <c r="L245" s="994"/>
      <c r="M245" s="994"/>
      <c r="N245" s="994"/>
      <c r="O245" s="996"/>
    </row>
    <row r="246" spans="2:15" ht="15.5" hidden="1">
      <c r="B246" s="483"/>
      <c r="C246" s="1377" t="s">
        <v>28</v>
      </c>
      <c r="D246" s="1377" t="s">
        <v>29</v>
      </c>
      <c r="E246" s="1377" t="s">
        <v>30</v>
      </c>
      <c r="F246" s="1377">
        <v>2013</v>
      </c>
      <c r="G246" s="1377" t="s">
        <v>132</v>
      </c>
      <c r="H246" s="1377" t="s">
        <v>133</v>
      </c>
      <c r="I246" s="1377" t="s">
        <v>134</v>
      </c>
      <c r="J246" s="1377" t="s">
        <v>135</v>
      </c>
      <c r="K246" s="1377" t="s">
        <v>136</v>
      </c>
      <c r="L246" s="1377" t="s">
        <v>137</v>
      </c>
      <c r="M246" s="1377" t="s">
        <v>138</v>
      </c>
      <c r="N246" s="1377" t="s">
        <v>139</v>
      </c>
      <c r="O246" s="1141"/>
    </row>
    <row r="247" spans="2:15" hidden="1">
      <c r="B247" s="1003"/>
      <c r="C247" s="1340" t="s">
        <v>752</v>
      </c>
      <c r="D247" s="1341" t="s">
        <v>753</v>
      </c>
      <c r="E247" s="1341"/>
      <c r="F247" s="1621"/>
      <c r="G247" s="1621"/>
      <c r="H247" s="1621"/>
      <c r="I247" s="1621"/>
      <c r="J247" s="1621"/>
      <c r="K247" s="1621"/>
      <c r="L247" s="1621"/>
      <c r="M247" s="1621"/>
      <c r="N247" s="1621"/>
      <c r="O247" s="1141"/>
    </row>
    <row r="248" spans="2:15" ht="15.5" hidden="1">
      <c r="B248" s="483"/>
      <c r="C248" s="998" t="s">
        <v>754</v>
      </c>
      <c r="D248" s="485" t="s">
        <v>755</v>
      </c>
      <c r="E248" s="2890"/>
      <c r="F248" s="2891"/>
      <c r="G248" s="2891"/>
      <c r="H248" s="2891"/>
      <c r="I248" s="2891"/>
      <c r="J248" s="2891"/>
      <c r="K248" s="2891"/>
      <c r="L248" s="2891"/>
      <c r="M248" s="2891"/>
      <c r="N248" s="2891"/>
      <c r="O248" s="1141"/>
    </row>
    <row r="249" spans="2:15" hidden="1">
      <c r="B249" s="494"/>
      <c r="C249" s="1343" t="s">
        <v>756</v>
      </c>
      <c r="D249" s="1344" t="s">
        <v>757</v>
      </c>
      <c r="E249" s="2892"/>
      <c r="F249" s="2893"/>
      <c r="G249" s="2893"/>
      <c r="H249" s="2893"/>
      <c r="I249" s="2893"/>
      <c r="J249" s="2893"/>
      <c r="K249" s="2893"/>
      <c r="L249" s="2893"/>
      <c r="M249" s="2893"/>
      <c r="N249" s="2893"/>
      <c r="O249" s="1142"/>
    </row>
    <row r="250" spans="2:15" hidden="1">
      <c r="B250" s="993"/>
      <c r="C250" s="994"/>
      <c r="D250" s="994"/>
      <c r="E250" s="994"/>
      <c r="F250" s="994"/>
      <c r="G250" s="994"/>
      <c r="H250" s="994"/>
      <c r="I250" s="994"/>
      <c r="J250" s="994"/>
      <c r="K250" s="994"/>
      <c r="L250" s="994"/>
      <c r="M250" s="994"/>
      <c r="N250" s="994"/>
      <c r="O250" s="996"/>
    </row>
    <row r="251" spans="2:15" hidden="1">
      <c r="B251" s="993"/>
      <c r="C251" s="491" t="s">
        <v>2286</v>
      </c>
      <c r="D251" s="1003"/>
      <c r="E251" s="1003"/>
      <c r="F251" s="1003"/>
      <c r="G251" s="1003"/>
      <c r="H251" s="1003"/>
      <c r="I251" s="1003"/>
      <c r="J251" s="1003"/>
      <c r="K251" s="1003"/>
      <c r="L251" s="1003"/>
      <c r="M251" s="1003"/>
      <c r="N251" s="1003"/>
      <c r="O251" s="996"/>
    </row>
    <row r="252" spans="2:15" hidden="1">
      <c r="B252" s="993"/>
      <c r="C252" s="994"/>
      <c r="D252" s="994"/>
      <c r="E252" s="994"/>
      <c r="F252" s="994"/>
      <c r="G252" s="994"/>
      <c r="H252" s="994"/>
      <c r="I252" s="994"/>
      <c r="J252" s="994"/>
      <c r="K252" s="994"/>
      <c r="L252" s="994"/>
      <c r="M252" s="994"/>
      <c r="N252" s="994"/>
      <c r="O252" s="996"/>
    </row>
    <row r="253" spans="2:15" ht="15.5" hidden="1">
      <c r="B253" s="483"/>
      <c r="C253" s="997" t="s">
        <v>28</v>
      </c>
      <c r="D253" s="997" t="s">
        <v>29</v>
      </c>
      <c r="E253" s="997" t="s">
        <v>30</v>
      </c>
      <c r="F253" s="997">
        <v>2013</v>
      </c>
      <c r="G253" s="997" t="s">
        <v>132</v>
      </c>
      <c r="H253" s="997" t="s">
        <v>133</v>
      </c>
      <c r="I253" s="997" t="s">
        <v>134</v>
      </c>
      <c r="J253" s="997" t="s">
        <v>135</v>
      </c>
      <c r="K253" s="997" t="s">
        <v>136</v>
      </c>
      <c r="L253" s="997" t="s">
        <v>137</v>
      </c>
      <c r="M253" s="997" t="s">
        <v>138</v>
      </c>
      <c r="N253" s="997" t="s">
        <v>139</v>
      </c>
      <c r="O253" s="1141"/>
    </row>
    <row r="254" spans="2:15" ht="15.5" hidden="1">
      <c r="B254" s="483"/>
      <c r="C254" s="998" t="s">
        <v>752</v>
      </c>
      <c r="D254" s="485" t="s">
        <v>753</v>
      </c>
      <c r="E254" s="2638"/>
      <c r="F254" s="497"/>
      <c r="G254" s="497"/>
      <c r="H254" s="497"/>
      <c r="I254" s="497"/>
      <c r="J254" s="497"/>
      <c r="K254" s="497"/>
      <c r="L254" s="497"/>
      <c r="M254" s="497"/>
      <c r="N254" s="497"/>
      <c r="O254" s="1141"/>
    </row>
    <row r="255" spans="2:15" ht="15.5" hidden="1">
      <c r="B255" s="483"/>
      <c r="C255" s="998" t="s">
        <v>754</v>
      </c>
      <c r="D255" s="485" t="s">
        <v>755</v>
      </c>
      <c r="E255" s="2856"/>
      <c r="F255" s="486"/>
      <c r="G255" s="486"/>
      <c r="H255" s="486"/>
      <c r="I255" s="486"/>
      <c r="J255" s="486"/>
      <c r="K255" s="486"/>
      <c r="L255" s="486"/>
      <c r="M255" s="486"/>
      <c r="N255" s="486"/>
      <c r="O255" s="1141"/>
    </row>
    <row r="256" spans="2:15" hidden="1">
      <c r="B256" s="494"/>
      <c r="C256" s="998" t="s">
        <v>756</v>
      </c>
      <c r="D256" s="485" t="s">
        <v>757</v>
      </c>
      <c r="E256" s="2638"/>
      <c r="F256" s="497"/>
      <c r="G256" s="497"/>
      <c r="H256" s="497"/>
      <c r="I256" s="497"/>
      <c r="J256" s="497"/>
      <c r="K256" s="497"/>
      <c r="L256" s="497"/>
      <c r="M256" s="497"/>
      <c r="N256" s="497"/>
      <c r="O256" s="1142"/>
    </row>
    <row r="257" spans="2:15" hidden="1">
      <c r="B257" s="993"/>
      <c r="C257" s="994"/>
      <c r="D257" s="994"/>
      <c r="E257" s="994"/>
      <c r="F257" s="994"/>
      <c r="G257" s="994"/>
      <c r="H257" s="994"/>
      <c r="I257" s="994"/>
      <c r="J257" s="994"/>
      <c r="K257" s="994"/>
      <c r="L257" s="994"/>
      <c r="M257" s="994"/>
      <c r="N257" s="994"/>
      <c r="O257" s="996"/>
    </row>
    <row r="258" spans="2:15" hidden="1">
      <c r="B258" s="993"/>
      <c r="C258" s="491" t="s">
        <v>2287</v>
      </c>
      <c r="D258" s="1003"/>
      <c r="E258" s="1003"/>
      <c r="F258" s="1003"/>
      <c r="G258" s="1003"/>
      <c r="H258" s="1003"/>
      <c r="I258" s="1003"/>
      <c r="J258" s="1003"/>
      <c r="K258" s="1003"/>
      <c r="L258" s="1003"/>
      <c r="M258" s="1003"/>
      <c r="N258" s="1003"/>
      <c r="O258" s="996"/>
    </row>
    <row r="259" spans="2:15" hidden="1">
      <c r="B259" s="993"/>
      <c r="C259" s="994"/>
      <c r="D259" s="994"/>
      <c r="E259" s="994"/>
      <c r="F259" s="994"/>
      <c r="G259" s="994"/>
      <c r="H259" s="994"/>
      <c r="I259" s="994"/>
      <c r="J259" s="994"/>
      <c r="K259" s="994"/>
      <c r="L259" s="994"/>
      <c r="M259" s="994"/>
      <c r="N259" s="994"/>
      <c r="O259" s="996"/>
    </row>
    <row r="260" spans="2:15" ht="15.5" hidden="1">
      <c r="B260" s="483"/>
      <c r="C260" s="997" t="s">
        <v>28</v>
      </c>
      <c r="D260" s="997" t="s">
        <v>29</v>
      </c>
      <c r="E260" s="997" t="s">
        <v>30</v>
      </c>
      <c r="F260" s="997">
        <v>2013</v>
      </c>
      <c r="G260" s="997" t="s">
        <v>132</v>
      </c>
      <c r="H260" s="997" t="s">
        <v>133</v>
      </c>
      <c r="I260" s="997" t="s">
        <v>134</v>
      </c>
      <c r="J260" s="997" t="s">
        <v>135</v>
      </c>
      <c r="K260" s="997" t="s">
        <v>136</v>
      </c>
      <c r="L260" s="997" t="s">
        <v>137</v>
      </c>
      <c r="M260" s="997" t="s">
        <v>138</v>
      </c>
      <c r="N260" s="997" t="s">
        <v>139</v>
      </c>
      <c r="O260" s="1141"/>
    </row>
    <row r="261" spans="2:15" ht="15.5" hidden="1">
      <c r="B261" s="483"/>
      <c r="C261" s="998" t="s">
        <v>752</v>
      </c>
      <c r="D261" s="485" t="s">
        <v>753</v>
      </c>
      <c r="E261" s="2638"/>
      <c r="F261" s="497"/>
      <c r="G261" s="497"/>
      <c r="H261" s="497"/>
      <c r="I261" s="497"/>
      <c r="J261" s="497"/>
      <c r="K261" s="497"/>
      <c r="L261" s="497"/>
      <c r="M261" s="497"/>
      <c r="N261" s="497"/>
      <c r="O261" s="1141"/>
    </row>
    <row r="262" spans="2:15" ht="15.5" hidden="1">
      <c r="B262" s="483"/>
      <c r="C262" s="998" t="s">
        <v>754</v>
      </c>
      <c r="D262" s="485" t="s">
        <v>755</v>
      </c>
      <c r="E262" s="2856"/>
      <c r="F262" s="486"/>
      <c r="G262" s="486"/>
      <c r="H262" s="486"/>
      <c r="I262" s="486"/>
      <c r="J262" s="486"/>
      <c r="K262" s="486"/>
      <c r="L262" s="486"/>
      <c r="M262" s="486"/>
      <c r="N262" s="486"/>
      <c r="O262" s="1141"/>
    </row>
    <row r="263" spans="2:15" hidden="1">
      <c r="B263" s="494"/>
      <c r="C263" s="998" t="s">
        <v>756</v>
      </c>
      <c r="D263" s="485" t="s">
        <v>757</v>
      </c>
      <c r="E263" s="2638"/>
      <c r="F263" s="497"/>
      <c r="G263" s="497"/>
      <c r="H263" s="497"/>
      <c r="I263" s="497"/>
      <c r="J263" s="497"/>
      <c r="K263" s="497"/>
      <c r="L263" s="497"/>
      <c r="M263" s="497"/>
      <c r="N263" s="497"/>
      <c r="O263" s="1142"/>
    </row>
    <row r="264" spans="2:15" hidden="1">
      <c r="B264" s="1005"/>
      <c r="C264" s="1001"/>
      <c r="D264" s="1001"/>
      <c r="E264" s="1001"/>
      <c r="F264" s="1001"/>
      <c r="G264" s="1001"/>
      <c r="H264" s="1001"/>
      <c r="I264" s="1001"/>
      <c r="J264" s="1001"/>
      <c r="K264" s="1001"/>
      <c r="L264" s="1001"/>
      <c r="M264" s="1001"/>
      <c r="N264" s="1001"/>
      <c r="O264" s="1006"/>
    </row>
    <row r="266" spans="2:15" ht="15.5">
      <c r="B266" s="1345" t="s">
        <v>973</v>
      </c>
      <c r="C266" s="1622"/>
      <c r="D266" s="1622"/>
      <c r="E266" s="1622"/>
      <c r="F266" s="1622"/>
      <c r="G266" s="1622"/>
      <c r="H266" s="1622"/>
      <c r="I266" s="1622"/>
      <c r="J266" s="1622"/>
      <c r="K266" s="1622"/>
      <c r="L266" s="1622"/>
      <c r="M266" s="1622"/>
      <c r="N266" s="1622"/>
      <c r="O266" s="1622"/>
    </row>
    <row r="267" spans="2:15">
      <c r="B267" s="1346"/>
      <c r="C267" s="1346"/>
      <c r="D267" s="1346"/>
      <c r="E267" s="1346"/>
      <c r="F267" s="1346"/>
      <c r="G267" s="1346"/>
      <c r="H267" s="1346"/>
      <c r="I267" s="1346"/>
      <c r="J267" s="1346"/>
      <c r="K267" s="1346"/>
      <c r="L267" s="1346"/>
      <c r="M267" s="1346"/>
      <c r="N267" s="1346"/>
      <c r="O267" s="1346"/>
    </row>
    <row r="268" spans="2:15">
      <c r="B268" s="1346"/>
      <c r="C268" s="2894" t="s">
        <v>28</v>
      </c>
      <c r="D268" s="2895" t="s">
        <v>29</v>
      </c>
      <c r="E268" s="2895" t="s">
        <v>303</v>
      </c>
      <c r="F268" s="2895" t="s">
        <v>588</v>
      </c>
      <c r="G268" s="2895" t="s">
        <v>132</v>
      </c>
      <c r="H268" s="2895" t="s">
        <v>133</v>
      </c>
      <c r="I268" s="2895" t="s">
        <v>134</v>
      </c>
      <c r="J268" s="2895" t="s">
        <v>135</v>
      </c>
      <c r="K268" s="2895" t="s">
        <v>136</v>
      </c>
      <c r="L268" s="2895" t="s">
        <v>137</v>
      </c>
      <c r="M268" s="2895" t="s">
        <v>138</v>
      </c>
      <c r="N268" s="2896" t="s">
        <v>139</v>
      </c>
      <c r="O268" s="1346"/>
    </row>
    <row r="269" spans="2:15">
      <c r="B269" s="1346"/>
      <c r="C269" s="1626" t="s">
        <v>257</v>
      </c>
      <c r="D269" s="1627" t="str">
        <f>INDEX(AirQualityVectors[Description],MATCH(C269,AirQualityVectors[Code],0))</f>
        <v>PM10</v>
      </c>
      <c r="E269" s="1628" t="s">
        <v>304</v>
      </c>
      <c r="F269" s="2923">
        <f t="shared" ref="F269:N272" si="40">F167+F175</f>
        <v>1.1721306270537051E-3</v>
      </c>
      <c r="G269" s="2923">
        <f t="shared" si="40"/>
        <v>1.4025038014288261E-3</v>
      </c>
      <c r="H269" s="2923">
        <f t="shared" si="40"/>
        <v>1.1223850912537504E-2</v>
      </c>
      <c r="I269" s="2923">
        <f t="shared" si="40"/>
        <v>3.4118029257840443E-3</v>
      </c>
      <c r="J269" s="2923">
        <f t="shared" si="40"/>
        <v>0</v>
      </c>
      <c r="K269" s="2923">
        <f t="shared" si="40"/>
        <v>0</v>
      </c>
      <c r="L269" s="2923">
        <f t="shared" si="40"/>
        <v>0</v>
      </c>
      <c r="M269" s="2923">
        <f t="shared" si="40"/>
        <v>0</v>
      </c>
      <c r="N269" s="2923">
        <f t="shared" si="40"/>
        <v>0</v>
      </c>
      <c r="O269" s="1346"/>
    </row>
    <row r="270" spans="2:15">
      <c r="B270" s="1346"/>
      <c r="C270" s="1626" t="s">
        <v>259</v>
      </c>
      <c r="D270" s="1627" t="str">
        <f>INDEX(AirQualityVectors[Description],MATCH(C270,AirQualityVectors[Code],0))</f>
        <v>NOX</v>
      </c>
      <c r="E270" s="1628" t="s">
        <v>304</v>
      </c>
      <c r="F270" s="2923">
        <f t="shared" si="40"/>
        <v>5.4653897207705728E-3</v>
      </c>
      <c r="G270" s="2923">
        <f t="shared" si="40"/>
        <v>7.4202304556446247E-2</v>
      </c>
      <c r="H270" s="2923">
        <f t="shared" si="40"/>
        <v>1.1956669467693417</v>
      </c>
      <c r="I270" s="2923">
        <f t="shared" si="40"/>
        <v>0.34220369725601013</v>
      </c>
      <c r="J270" s="2923">
        <f t="shared" si="40"/>
        <v>0</v>
      </c>
      <c r="K270" s="2923">
        <f t="shared" si="40"/>
        <v>0</v>
      </c>
      <c r="L270" s="2923">
        <f t="shared" si="40"/>
        <v>0</v>
      </c>
      <c r="M270" s="2923">
        <f t="shared" si="40"/>
        <v>0</v>
      </c>
      <c r="N270" s="2923">
        <f t="shared" si="40"/>
        <v>0</v>
      </c>
      <c r="O270" s="1346"/>
    </row>
    <row r="271" spans="2:15">
      <c r="B271" s="1346"/>
      <c r="C271" s="1626" t="s">
        <v>261</v>
      </c>
      <c r="D271" s="1627" t="str">
        <f>INDEX(AirQualityVectors[Description],MATCH(C271,AirQualityVectors[Code],0))</f>
        <v>SO2</v>
      </c>
      <c r="E271" s="1628" t="s">
        <v>304</v>
      </c>
      <c r="F271" s="2923">
        <f t="shared" si="40"/>
        <v>8.1738706172729773E-3</v>
      </c>
      <c r="G271" s="2923">
        <f t="shared" si="40"/>
        <v>9.3042691843482211E-3</v>
      </c>
      <c r="H271" s="2923">
        <f t="shared" si="40"/>
        <v>1.7889949723467694E-2</v>
      </c>
      <c r="I271" s="2923">
        <f t="shared" si="40"/>
        <v>6.5617616147454795E-3</v>
      </c>
      <c r="J271" s="2923">
        <f t="shared" si="40"/>
        <v>0</v>
      </c>
      <c r="K271" s="2923">
        <f t="shared" si="40"/>
        <v>0</v>
      </c>
      <c r="L271" s="2923">
        <f t="shared" si="40"/>
        <v>0</v>
      </c>
      <c r="M271" s="2923">
        <f t="shared" si="40"/>
        <v>0</v>
      </c>
      <c r="N271" s="2923">
        <f t="shared" si="40"/>
        <v>0</v>
      </c>
      <c r="O271" s="1346"/>
    </row>
    <row r="272" spans="2:15">
      <c r="B272" s="1346"/>
      <c r="C272" s="1630" t="s">
        <v>263</v>
      </c>
      <c r="D272" s="1627" t="str">
        <f>INDEX(AirQualityVectors[Description],MATCH(C272,AirQualityVectors[Code],0))</f>
        <v>NMVOC</v>
      </c>
      <c r="E272" s="1628" t="s">
        <v>304</v>
      </c>
      <c r="F272" s="2923">
        <f t="shared" si="40"/>
        <v>5.8774626884925118E-5</v>
      </c>
      <c r="G272" s="2923">
        <f t="shared" si="40"/>
        <v>8.055086142924082E-4</v>
      </c>
      <c r="H272" s="2923">
        <f t="shared" si="40"/>
        <v>1.8616307572267933E-2</v>
      </c>
      <c r="I272" s="2923">
        <f t="shared" si="40"/>
        <v>5.3304813868657536E-3</v>
      </c>
      <c r="J272" s="2923">
        <f t="shared" si="40"/>
        <v>0</v>
      </c>
      <c r="K272" s="2923">
        <f t="shared" si="40"/>
        <v>0</v>
      </c>
      <c r="L272" s="2923">
        <f t="shared" si="40"/>
        <v>0</v>
      </c>
      <c r="M272" s="2923">
        <f t="shared" si="40"/>
        <v>0</v>
      </c>
      <c r="N272" s="2923">
        <f t="shared" si="40"/>
        <v>0</v>
      </c>
      <c r="O272" s="1346"/>
    </row>
    <row r="273" spans="2:15">
      <c r="B273" s="1346"/>
      <c r="C273" s="2897"/>
      <c r="D273" s="2898"/>
      <c r="E273" s="2897"/>
      <c r="F273" s="2899"/>
      <c r="G273" s="2899"/>
      <c r="H273" s="2899"/>
      <c r="I273" s="2899"/>
      <c r="J273" s="2899"/>
      <c r="K273" s="2899"/>
      <c r="L273" s="2899"/>
      <c r="M273" s="2899"/>
      <c r="N273" s="2899"/>
      <c r="O273" s="1346"/>
    </row>
    <row r="721" spans="6:15">
      <c r="O721" s="2858">
        <v>0</v>
      </c>
    </row>
    <row r="722" spans="6:15">
      <c r="O722" s="2858">
        <v>0</v>
      </c>
    </row>
    <row r="723" spans="6:15">
      <c r="F723" s="2858">
        <v>0</v>
      </c>
      <c r="G723" s="2858">
        <v>0</v>
      </c>
      <c r="H723" s="2858">
        <v>0</v>
      </c>
      <c r="I723" s="2858">
        <v>0</v>
      </c>
      <c r="J723" s="2858">
        <v>0</v>
      </c>
      <c r="K723" s="2858">
        <v>0</v>
      </c>
      <c r="L723" s="2858">
        <v>0</v>
      </c>
      <c r="M723" s="2858">
        <v>0</v>
      </c>
      <c r="N723" s="2858">
        <v>0</v>
      </c>
      <c r="O723" s="2858">
        <v>0</v>
      </c>
    </row>
    <row r="724" spans="6:15">
      <c r="F724" s="2858">
        <v>0</v>
      </c>
      <c r="G724" s="2858">
        <v>0</v>
      </c>
      <c r="H724" s="2858">
        <v>0</v>
      </c>
      <c r="I724" s="2858">
        <v>0</v>
      </c>
      <c r="J724" s="2858">
        <v>0</v>
      </c>
      <c r="K724" s="2858">
        <v>0</v>
      </c>
      <c r="L724" s="2858">
        <v>0</v>
      </c>
      <c r="M724" s="2858">
        <v>0</v>
      </c>
      <c r="N724" s="2858">
        <v>0</v>
      </c>
    </row>
    <row r="725" spans="6:15">
      <c r="F725" s="2858">
        <v>0</v>
      </c>
      <c r="G725" s="2858">
        <v>0</v>
      </c>
      <c r="H725" s="2858">
        <v>0</v>
      </c>
      <c r="I725" s="2858">
        <v>0</v>
      </c>
      <c r="J725" s="2858">
        <v>0</v>
      </c>
      <c r="K725" s="2858">
        <v>0</v>
      </c>
      <c r="L725" s="2858">
        <v>0</v>
      </c>
      <c r="M725" s="2858">
        <v>0</v>
      </c>
      <c r="N725" s="2858">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9"/>
  </sheetPr>
  <dimension ref="A1:AC727"/>
  <sheetViews>
    <sheetView showGridLines="0" zoomScale="80" zoomScaleNormal="80" workbookViewId="0">
      <selection activeCell="N10" sqref="N10"/>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4" width="17.7265625" style="2858" customWidth="1"/>
    <col min="15" max="15" width="2" style="2858" customWidth="1"/>
    <col min="16" max="16" width="8.81640625" style="2858"/>
    <col min="17" max="17" width="10.81640625" style="2858" customWidth="1"/>
    <col min="18" max="16384" width="8.81640625" style="2858"/>
  </cols>
  <sheetData>
    <row r="1" spans="1:15" ht="20">
      <c r="A1" s="854" t="s">
        <v>579</v>
      </c>
      <c r="B1" s="854" t="s">
        <v>580</v>
      </c>
      <c r="C1" s="854"/>
    </row>
    <row r="2" spans="1:15" s="6" customFormat="1" ht="15">
      <c r="A2" s="855" t="s">
        <v>574</v>
      </c>
      <c r="B2" s="855" t="s">
        <v>575</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2304</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65"/>
    </row>
    <row r="9" spans="1:15" s="6" customFormat="1" ht="15.5">
      <c r="A9" s="3"/>
      <c r="B9" s="19"/>
      <c r="C9" s="864" t="s">
        <v>97</v>
      </c>
      <c r="D9" s="2457" t="str">
        <f>INDEX(Vectors[Description], MATCH(XVI.a.Inputs[Vector], Vectors[Code], 0))</f>
        <v>Solid hydrocarbons</v>
      </c>
      <c r="E9" s="864"/>
      <c r="F9" s="2924">
        <f ca="1">INDEX(INDIRECT("'"&amp;XVI.a.Inputs[#Headers]&amp;"'!Year.Matrix"), MATCH("Subtotal."&amp;$A$2, INDIRECT("'"&amp;XVI.a.Inputs[#Headers]&amp;"'!Year.Modules"), 0), MATCH(XVI.a.Inputs[Vector], INDIRECT("'"&amp;XVI.a.Inputs[#Headers]&amp;"'!Year.Vectors"), 0))</f>
        <v>-23.375016296063244</v>
      </c>
      <c r="G9" s="2924">
        <f ca="1">INDEX(INDIRECT("'"&amp;XVI.a.Inputs[#Headers]&amp;"'!Year.Matrix"), MATCH("Subtotal."&amp;$A$2, INDIRECT("'"&amp;XVI.a.Inputs[#Headers]&amp;"'!Year.Modules"), 0), MATCH(XVI.a.Inputs[Vector], INDIRECT("'"&amp;XVI.a.Inputs[#Headers]&amp;"'!Year.Vectors"), 0))</f>
        <v>-23.333269324784787</v>
      </c>
      <c r="H9" s="2924">
        <f ca="1">INDEX(INDIRECT("'"&amp;XVI.a.Inputs[#Headers]&amp;"'!Year.Matrix"), MATCH("Subtotal."&amp;$A$2, INDIRECT("'"&amp;XVI.a.Inputs[#Headers]&amp;"'!Year.Modules"), 0), MATCH(XVI.a.Inputs[Vector], INDIRECT("'"&amp;XVI.a.Inputs[#Headers]&amp;"'!Year.Vectors"), 0))</f>
        <v>-20.902350296249832</v>
      </c>
      <c r="I9" s="2924">
        <f ca="1">INDEX(INDIRECT("'"&amp;XVI.a.Inputs[#Headers]&amp;"'!Year.Matrix"), MATCH("Subtotal."&amp;$A$2, INDIRECT("'"&amp;XVI.a.Inputs[#Headers]&amp;"'!Year.Modules"), 0), MATCH(XVI.a.Inputs[Vector], INDIRECT("'"&amp;XVI.a.Inputs[#Headers]&amp;"'!Year.Vectors"), 0))</f>
        <v>-20.656643746927088</v>
      </c>
      <c r="J9" s="2924">
        <f ca="1">INDEX(INDIRECT("'"&amp;XVI.a.Inputs[#Headers]&amp;"'!Year.Matrix"), MATCH("Subtotal."&amp;$A$2, INDIRECT("'"&amp;XVI.a.Inputs[#Headers]&amp;"'!Year.Modules"), 0), MATCH(XVI.a.Inputs[Vector], INDIRECT("'"&amp;XVI.a.Inputs[#Headers]&amp;"'!Year.Vectors"), 0))</f>
        <v>-14.12841125673074</v>
      </c>
      <c r="K9" s="2924">
        <f ca="1">INDEX(INDIRECT("'"&amp;XVI.a.Inputs[#Headers]&amp;"'!Year.Matrix"), MATCH("Subtotal."&amp;$A$2, INDIRECT("'"&amp;XVI.a.Inputs[#Headers]&amp;"'!Year.Modules"), 0), MATCH(XVI.a.Inputs[Vector], INDIRECT("'"&amp;XVI.a.Inputs[#Headers]&amp;"'!Year.Vectors"), 0))</f>
        <v>-1.2698250796151025</v>
      </c>
      <c r="L9" s="2924">
        <f ca="1">INDEX(INDIRECT("'"&amp;XVI.a.Inputs[#Headers]&amp;"'!Year.Matrix"), MATCH("Subtotal."&amp;$A$2, INDIRECT("'"&amp;XVI.a.Inputs[#Headers]&amp;"'!Year.Modules"), 0), MATCH(XVI.a.Inputs[Vector], INDIRECT("'"&amp;XVI.a.Inputs[#Headers]&amp;"'!Year.Vectors"), 0))</f>
        <v>-1.9561743549554169</v>
      </c>
      <c r="M9" s="2924">
        <f ca="1">INDEX(INDIRECT("'"&amp;XVI.a.Inputs[#Headers]&amp;"'!Year.Matrix"), MATCH("Subtotal."&amp;$A$2, INDIRECT("'"&amp;XVI.a.Inputs[#Headers]&amp;"'!Year.Modules"), 0), MATCH(XVI.a.Inputs[Vector], INDIRECT("'"&amp;XVI.a.Inputs[#Headers]&amp;"'!Year.Vectors"), 0))</f>
        <v>-2.6682367388903194</v>
      </c>
      <c r="N9" s="2924">
        <f ca="1">INDEX(INDIRECT("'"&amp;XVI.a.Inputs[#Headers]&amp;"'!Year.Matrix"), MATCH("Subtotal."&amp;$A$2, INDIRECT("'"&amp;XVI.a.Inputs[#Headers]&amp;"'!Year.Modules"), 0), MATCH(XVI.a.Inputs[Vector], INDIRECT("'"&amp;XVI.a.Inputs[#Headers]&amp;"'!Year.Vectors"), 0))</f>
        <v>-2.9094430028180738</v>
      </c>
      <c r="O9" s="865"/>
    </row>
    <row r="10" spans="1:15" s="6" customFormat="1" ht="15.5">
      <c r="A10" s="3"/>
      <c r="B10" s="19"/>
      <c r="C10" s="864" t="s">
        <v>98</v>
      </c>
      <c r="D10" s="2457" t="str">
        <f>INDEX(Vectors[Description], MATCH(XVI.a.Inputs[Vector], Vectors[Code], 0))</f>
        <v>Liquid hydrocarbons</v>
      </c>
      <c r="E10" s="864"/>
      <c r="F10" s="2924">
        <f ca="1">INDEX(INDIRECT("'"&amp;XVI.a.Inputs[#Headers]&amp;"'!Year.Matrix"), MATCH("Subtotal."&amp;$A$2, INDIRECT("'"&amp;XVI.a.Inputs[#Headers]&amp;"'!Year.Modules"), 0), MATCH(XVI.a.Inputs[Vector], INDIRECT("'"&amp;XVI.a.Inputs[#Headers]&amp;"'!Year.Vectors"), 0))</f>
        <v>-76.526836320775942</v>
      </c>
      <c r="G10" s="2924">
        <f ca="1">INDEX(INDIRECT("'"&amp;XVI.a.Inputs[#Headers]&amp;"'!Year.Matrix"), MATCH("Subtotal."&amp;$A$2, INDIRECT("'"&amp;XVI.a.Inputs[#Headers]&amp;"'!Year.Modules"), 0), MATCH(XVI.a.Inputs[Vector], INDIRECT("'"&amp;XVI.a.Inputs[#Headers]&amp;"'!Year.Vectors"), 0))</f>
        <v>-74.08927995898263</v>
      </c>
      <c r="H10" s="2924">
        <f ca="1">INDEX(INDIRECT("'"&amp;XVI.a.Inputs[#Headers]&amp;"'!Year.Matrix"), MATCH("Subtotal."&amp;$A$2, INDIRECT("'"&amp;XVI.a.Inputs[#Headers]&amp;"'!Year.Modules"), 0), MATCH(XVI.a.Inputs[Vector], INDIRECT("'"&amp;XVI.a.Inputs[#Headers]&amp;"'!Year.Vectors"), 0))</f>
        <v>-75.114909897863313</v>
      </c>
      <c r="I10" s="2924">
        <f ca="1">INDEX(INDIRECT("'"&amp;XVI.a.Inputs[#Headers]&amp;"'!Year.Matrix"), MATCH("Subtotal."&amp;$A$2, INDIRECT("'"&amp;XVI.a.Inputs[#Headers]&amp;"'!Year.Modules"), 0), MATCH(XVI.a.Inputs[Vector], INDIRECT("'"&amp;XVI.a.Inputs[#Headers]&amp;"'!Year.Vectors"), 0))</f>
        <v>-75.036510281436605</v>
      </c>
      <c r="J10" s="2924">
        <f ca="1">INDEX(INDIRECT("'"&amp;XVI.a.Inputs[#Headers]&amp;"'!Year.Matrix"), MATCH("Subtotal."&amp;$A$2, INDIRECT("'"&amp;XVI.a.Inputs[#Headers]&amp;"'!Year.Modules"), 0), MATCH(XVI.a.Inputs[Vector], INDIRECT("'"&amp;XVI.a.Inputs[#Headers]&amp;"'!Year.Vectors"), 0))</f>
        <v>-75.220892589846784</v>
      </c>
      <c r="K10" s="2924">
        <f ca="1">INDEX(INDIRECT("'"&amp;XVI.a.Inputs[#Headers]&amp;"'!Year.Matrix"), MATCH("Subtotal."&amp;$A$2, INDIRECT("'"&amp;XVI.a.Inputs[#Headers]&amp;"'!Year.Modules"), 0), MATCH(XVI.a.Inputs[Vector], INDIRECT("'"&amp;XVI.a.Inputs[#Headers]&amp;"'!Year.Vectors"), 0))</f>
        <v>-75.174956561456597</v>
      </c>
      <c r="L10" s="2924">
        <f ca="1">INDEX(INDIRECT("'"&amp;XVI.a.Inputs[#Headers]&amp;"'!Year.Matrix"), MATCH("Subtotal."&amp;$A$2, INDIRECT("'"&amp;XVI.a.Inputs[#Headers]&amp;"'!Year.Modules"), 0), MATCH(XVI.a.Inputs[Vector], INDIRECT("'"&amp;XVI.a.Inputs[#Headers]&amp;"'!Year.Vectors"), 0))</f>
        <v>-75.040093616616304</v>
      </c>
      <c r="M10" s="2924">
        <f ca="1">INDEX(INDIRECT("'"&amp;XVI.a.Inputs[#Headers]&amp;"'!Year.Matrix"), MATCH("Subtotal."&amp;$A$2, INDIRECT("'"&amp;XVI.a.Inputs[#Headers]&amp;"'!Year.Modules"), 0), MATCH(XVI.a.Inputs[Vector], INDIRECT("'"&amp;XVI.a.Inputs[#Headers]&amp;"'!Year.Vectors"), 0))</f>
        <v>-75.04125554596699</v>
      </c>
      <c r="N10" s="2924">
        <f ca="1">INDEX(INDIRECT("'"&amp;XVI.a.Inputs[#Headers]&amp;"'!Year.Matrix"), MATCH("Subtotal."&amp;$A$2, INDIRECT("'"&amp;XVI.a.Inputs[#Headers]&amp;"'!Year.Modules"), 0), MATCH(XVI.a.Inputs[Vector], INDIRECT("'"&amp;XVI.a.Inputs[#Headers]&amp;"'!Year.Vectors"), 0))</f>
        <v>-74.505208807877793</v>
      </c>
      <c r="O10" s="865"/>
    </row>
    <row r="11" spans="1:15" s="6" customFormat="1" ht="15.5">
      <c r="A11" s="3"/>
      <c r="B11" s="19"/>
      <c r="C11" s="17" t="s">
        <v>99</v>
      </c>
      <c r="D11" s="2457" t="str">
        <f>INDEX(Vectors[Description], MATCH(XVI.a.Inputs[Vector], Vectors[Code], 0))</f>
        <v>Gaseous hydrocarbons</v>
      </c>
      <c r="E11" s="17"/>
      <c r="F11" s="2924">
        <f ca="1">INDEX(INDIRECT("'"&amp;XVI.a.Inputs[#Headers]&amp;"'!Year.Matrix"), MATCH("Subtotal."&amp;$A$2, INDIRECT("'"&amp;XVI.a.Inputs[#Headers]&amp;"'!Year.Modules"), 0), MATCH(XVI.a.Inputs[Vector], INDIRECT("'"&amp;XVI.a.Inputs[#Headers]&amp;"'!Year.Vectors"), 0))</f>
        <v>-46.772039222317815</v>
      </c>
      <c r="G11" s="2924">
        <f ca="1">INDEX(INDIRECT("'"&amp;XVI.a.Inputs[#Headers]&amp;"'!Year.Matrix"), MATCH("Subtotal."&amp;$A$2, INDIRECT("'"&amp;XVI.a.Inputs[#Headers]&amp;"'!Year.Modules"), 0), MATCH(XVI.a.Inputs[Vector], INDIRECT("'"&amp;XVI.a.Inputs[#Headers]&amp;"'!Year.Vectors"), 0))</f>
        <v>-48.722656609144629</v>
      </c>
      <c r="H11" s="2924">
        <f ca="1">INDEX(INDIRECT("'"&amp;XVI.a.Inputs[#Headers]&amp;"'!Year.Matrix"), MATCH("Subtotal."&amp;$A$2, INDIRECT("'"&amp;XVI.a.Inputs[#Headers]&amp;"'!Year.Modules"), 0), MATCH(XVI.a.Inputs[Vector], INDIRECT("'"&amp;XVI.a.Inputs[#Headers]&amp;"'!Year.Vectors"), 0))</f>
        <v>-56.888397959696128</v>
      </c>
      <c r="I11" s="2924">
        <f ca="1">INDEX(INDIRECT("'"&amp;XVI.a.Inputs[#Headers]&amp;"'!Year.Matrix"), MATCH("Subtotal."&amp;$A$2, INDIRECT("'"&amp;XVI.a.Inputs[#Headers]&amp;"'!Year.Modules"), 0), MATCH(XVI.a.Inputs[Vector], INDIRECT("'"&amp;XVI.a.Inputs[#Headers]&amp;"'!Year.Vectors"), 0))</f>
        <v>-68.271566963354275</v>
      </c>
      <c r="J11" s="2924">
        <f ca="1">INDEX(INDIRECT("'"&amp;XVI.a.Inputs[#Headers]&amp;"'!Year.Matrix"), MATCH("Subtotal."&amp;$A$2, INDIRECT("'"&amp;XVI.a.Inputs[#Headers]&amp;"'!Year.Modules"), 0), MATCH(XVI.a.Inputs[Vector], INDIRECT("'"&amp;XVI.a.Inputs[#Headers]&amp;"'!Year.Vectors"), 0))</f>
        <v>-84.637781591734282</v>
      </c>
      <c r="K11" s="2924">
        <f ca="1">INDEX(INDIRECT("'"&amp;XVI.a.Inputs[#Headers]&amp;"'!Year.Matrix"), MATCH("Subtotal."&amp;$A$2, INDIRECT("'"&amp;XVI.a.Inputs[#Headers]&amp;"'!Year.Modules"), 0), MATCH(XVI.a.Inputs[Vector], INDIRECT("'"&amp;XVI.a.Inputs[#Headers]&amp;"'!Year.Vectors"), 0))</f>
        <v>-105.33711352998291</v>
      </c>
      <c r="L11" s="2924">
        <f ca="1">INDEX(INDIRECT("'"&amp;XVI.a.Inputs[#Headers]&amp;"'!Year.Matrix"), MATCH("Subtotal."&amp;$A$2, INDIRECT("'"&amp;XVI.a.Inputs[#Headers]&amp;"'!Year.Modules"), 0), MATCH(XVI.a.Inputs[Vector], INDIRECT("'"&amp;XVI.a.Inputs[#Headers]&amp;"'!Year.Vectors"), 0))</f>
        <v>-114.36297881915442</v>
      </c>
      <c r="M11" s="2924">
        <f ca="1">INDEX(INDIRECT("'"&amp;XVI.a.Inputs[#Headers]&amp;"'!Year.Matrix"), MATCH("Subtotal."&amp;$A$2, INDIRECT("'"&amp;XVI.a.Inputs[#Headers]&amp;"'!Year.Modules"), 0), MATCH(XVI.a.Inputs[Vector], INDIRECT("'"&amp;XVI.a.Inputs[#Headers]&amp;"'!Year.Vectors"), 0))</f>
        <v>-123.75492729529913</v>
      </c>
      <c r="N11" s="2924">
        <f ca="1">INDEX(INDIRECT("'"&amp;XVI.a.Inputs[#Headers]&amp;"'!Year.Matrix"), MATCH("Subtotal."&amp;$A$2, INDIRECT("'"&amp;XVI.a.Inputs[#Headers]&amp;"'!Year.Modules"), 0), MATCH(XVI.a.Inputs[Vector], INDIRECT("'"&amp;XVI.a.Inputs[#Headers]&amp;"'!Year.Vectors"), 0))</f>
        <v>-133.7357504056701</v>
      </c>
      <c r="O11" s="866"/>
    </row>
    <row r="12" spans="1:15" s="6" customFormat="1" ht="15.5">
      <c r="A12" s="3"/>
      <c r="B12" s="19"/>
      <c r="C12" s="17"/>
      <c r="D12" s="17"/>
      <c r="E12" s="17"/>
      <c r="F12" s="22"/>
      <c r="G12" s="22"/>
      <c r="H12" s="22"/>
      <c r="I12" s="22"/>
      <c r="J12" s="22"/>
      <c r="K12" s="22"/>
      <c r="L12" s="22"/>
      <c r="M12" s="22"/>
      <c r="N12" s="22"/>
      <c r="O12" s="866"/>
    </row>
    <row r="14" spans="1:15" s="6" customFormat="1" ht="23.5">
      <c r="A14" s="40"/>
      <c r="B14" s="869" t="s">
        <v>69</v>
      </c>
      <c r="C14" s="870"/>
      <c r="D14" s="870"/>
      <c r="E14" s="870"/>
      <c r="F14" s="870"/>
      <c r="G14" s="870"/>
      <c r="H14" s="870"/>
      <c r="I14" s="870"/>
      <c r="J14" s="870"/>
      <c r="K14" s="870"/>
      <c r="L14" s="870"/>
      <c r="M14" s="870"/>
      <c r="N14" s="870"/>
      <c r="O14" s="871"/>
    </row>
    <row r="15" spans="1:15">
      <c r="B15" s="105"/>
      <c r="C15" s="67"/>
      <c r="D15" s="67"/>
      <c r="E15" s="67"/>
      <c r="F15" s="67"/>
      <c r="G15" s="67"/>
      <c r="H15" s="67"/>
      <c r="I15" s="67"/>
      <c r="J15" s="67"/>
      <c r="K15" s="67"/>
      <c r="L15" s="67"/>
      <c r="M15" s="67"/>
      <c r="N15" s="67"/>
      <c r="O15" s="876"/>
    </row>
    <row r="16" spans="1:15">
      <c r="B16" s="105"/>
      <c r="C16" s="49" t="s">
        <v>3072</v>
      </c>
      <c r="D16" s="67"/>
      <c r="E16" s="51"/>
      <c r="F16" s="67"/>
      <c r="G16" s="67"/>
      <c r="H16" s="67"/>
      <c r="I16" s="67"/>
      <c r="J16" s="67"/>
      <c r="K16" s="67"/>
      <c r="L16" s="67"/>
      <c r="M16" s="67"/>
      <c r="N16" s="51" t="s">
        <v>2887</v>
      </c>
      <c r="O16" s="876"/>
    </row>
    <row r="17" spans="2:15">
      <c r="B17" s="105"/>
      <c r="C17" s="67"/>
      <c r="D17" s="67"/>
      <c r="E17" s="67"/>
      <c r="F17" s="67"/>
      <c r="G17" s="67"/>
      <c r="H17" s="67"/>
      <c r="I17" s="67"/>
      <c r="J17" s="67"/>
      <c r="K17" s="67"/>
      <c r="L17" s="67"/>
      <c r="M17" s="67"/>
      <c r="N17" s="67"/>
      <c r="O17" s="876"/>
    </row>
    <row r="18" spans="2:15" ht="15.5">
      <c r="B18" s="55"/>
      <c r="C18" s="878" t="s">
        <v>28</v>
      </c>
      <c r="D18" s="878" t="s">
        <v>29</v>
      </c>
      <c r="E18" s="878" t="s">
        <v>30</v>
      </c>
      <c r="F18" s="879">
        <v>2013</v>
      </c>
      <c r="G18" s="87">
        <v>2015</v>
      </c>
      <c r="H18" s="87">
        <v>2020</v>
      </c>
      <c r="I18" s="87">
        <v>2025</v>
      </c>
      <c r="J18" s="87">
        <v>2030</v>
      </c>
      <c r="K18" s="87">
        <v>2035</v>
      </c>
      <c r="L18" s="87">
        <v>2040</v>
      </c>
      <c r="M18" s="87">
        <v>2045</v>
      </c>
      <c r="N18" s="87">
        <v>2050</v>
      </c>
      <c r="O18" s="876"/>
    </row>
    <row r="19" spans="2:15" s="6" customFormat="1" ht="15.5">
      <c r="B19" s="966"/>
      <c r="C19" s="907" t="s">
        <v>99</v>
      </c>
      <c r="D19" s="908" t="s">
        <v>89</v>
      </c>
      <c r="E19" s="908"/>
      <c r="F19" s="3720">
        <v>1.4999999999999999E-2</v>
      </c>
      <c r="G19" s="2560">
        <f>$F19</f>
        <v>1.4999999999999999E-2</v>
      </c>
      <c r="H19" s="2560">
        <f t="shared" ref="H19:N19" si="0">$F19</f>
        <v>1.4999999999999999E-2</v>
      </c>
      <c r="I19" s="2560">
        <f t="shared" si="0"/>
        <v>1.4999999999999999E-2</v>
      </c>
      <c r="J19" s="2560">
        <f t="shared" si="0"/>
        <v>1.4999999999999999E-2</v>
      </c>
      <c r="K19" s="2560">
        <f t="shared" si="0"/>
        <v>1.4999999999999999E-2</v>
      </c>
      <c r="L19" s="2560">
        <f t="shared" si="0"/>
        <v>1.4999999999999999E-2</v>
      </c>
      <c r="M19" s="2560">
        <f t="shared" si="0"/>
        <v>1.4999999999999999E-2</v>
      </c>
      <c r="N19" s="2560">
        <f t="shared" si="0"/>
        <v>1.4999999999999999E-2</v>
      </c>
      <c r="O19" s="884"/>
    </row>
    <row r="20" spans="2:15">
      <c r="B20" s="45"/>
      <c r="C20" s="67"/>
      <c r="D20" s="195"/>
      <c r="E20" s="67"/>
      <c r="F20" s="67"/>
      <c r="G20" s="67"/>
      <c r="H20" s="67"/>
      <c r="I20" s="67"/>
      <c r="J20" s="67"/>
      <c r="K20" s="67"/>
      <c r="L20" s="67"/>
      <c r="M20" s="67"/>
      <c r="N20" s="67"/>
      <c r="O20" s="876"/>
    </row>
    <row r="21" spans="2:15">
      <c r="B21" s="45"/>
      <c r="C21" s="49" t="s">
        <v>2882</v>
      </c>
      <c r="D21" s="195"/>
      <c r="E21" s="67"/>
      <c r="F21" s="51" t="s">
        <v>251</v>
      </c>
      <c r="G21" s="67"/>
      <c r="H21" s="67"/>
      <c r="I21" s="67"/>
      <c r="J21" s="67"/>
      <c r="K21" s="67"/>
      <c r="L21" s="67"/>
      <c r="M21" s="67"/>
      <c r="N21" s="67"/>
      <c r="O21" s="876"/>
    </row>
    <row r="22" spans="2:15">
      <c r="B22" s="45"/>
      <c r="C22" s="67"/>
      <c r="D22" s="195"/>
      <c r="E22" s="67"/>
      <c r="F22" s="67"/>
      <c r="G22" s="67"/>
      <c r="H22" s="67"/>
      <c r="I22" s="67"/>
      <c r="J22" s="67"/>
      <c r="K22" s="67"/>
      <c r="L22" s="67"/>
      <c r="M22" s="67"/>
      <c r="N22" s="67"/>
      <c r="O22" s="876"/>
    </row>
    <row r="23" spans="2:15" ht="15.5">
      <c r="B23" s="55"/>
      <c r="C23" s="1260" t="s">
        <v>302</v>
      </c>
      <c r="D23" s="1260" t="s">
        <v>303</v>
      </c>
      <c r="E23" s="1260" t="s">
        <v>30</v>
      </c>
      <c r="F23" s="913">
        <v>2013</v>
      </c>
      <c r="G23" s="67"/>
      <c r="H23" s="47"/>
      <c r="I23" s="67"/>
      <c r="J23" s="67"/>
      <c r="K23" s="67"/>
      <c r="L23" s="67"/>
      <c r="M23" s="67"/>
      <c r="N23" s="67"/>
      <c r="O23" s="876"/>
    </row>
    <row r="24" spans="2:15" ht="15.5">
      <c r="B24" s="55"/>
      <c r="C24" s="917" t="s">
        <v>252</v>
      </c>
      <c r="D24" s="194" t="s">
        <v>1789</v>
      </c>
      <c r="E24" s="194" t="s">
        <v>66</v>
      </c>
      <c r="F24" s="1148">
        <v>0.02</v>
      </c>
      <c r="G24" s="67"/>
      <c r="H24" s="47"/>
      <c r="I24" s="67"/>
      <c r="J24" s="67"/>
      <c r="K24" s="67"/>
      <c r="L24" s="67"/>
      <c r="M24" s="67"/>
      <c r="N24" s="67"/>
      <c r="O24" s="876"/>
    </row>
    <row r="25" spans="2:15" ht="15.5">
      <c r="B25" s="55"/>
      <c r="C25" s="65"/>
      <c r="D25" s="103"/>
      <c r="E25" s="103"/>
      <c r="F25" s="59"/>
      <c r="G25" s="67"/>
      <c r="H25" s="67"/>
      <c r="I25" s="67"/>
      <c r="J25" s="67"/>
      <c r="K25" s="67"/>
      <c r="L25" s="67"/>
      <c r="M25" s="67"/>
      <c r="N25" s="67"/>
      <c r="O25" s="876"/>
    </row>
    <row r="26" spans="2:15">
      <c r="B26" s="45"/>
      <c r="C26" s="49" t="s">
        <v>2305</v>
      </c>
      <c r="D26" s="195"/>
      <c r="E26" s="67"/>
      <c r="F26" s="51" t="s">
        <v>972</v>
      </c>
      <c r="G26" s="67"/>
      <c r="H26" s="67"/>
      <c r="I26" s="67"/>
      <c r="J26" s="67"/>
      <c r="K26" s="67"/>
      <c r="L26" s="67"/>
      <c r="M26" s="67"/>
      <c r="N26" s="67"/>
      <c r="O26" s="876"/>
    </row>
    <row r="27" spans="2:15">
      <c r="B27" s="45"/>
      <c r="C27" s="67"/>
      <c r="D27" s="195"/>
      <c r="E27" s="67"/>
      <c r="F27" s="67"/>
      <c r="G27" s="67"/>
      <c r="H27" s="67"/>
      <c r="I27" s="67"/>
      <c r="J27" s="67"/>
      <c r="K27" s="67"/>
      <c r="L27" s="67"/>
      <c r="M27" s="67"/>
      <c r="N27" s="67"/>
      <c r="O27" s="876"/>
    </row>
    <row r="28" spans="2:15">
      <c r="B28" s="45"/>
      <c r="C28" s="1260" t="s">
        <v>302</v>
      </c>
      <c r="D28" s="1260" t="s">
        <v>303</v>
      </c>
      <c r="E28" s="1260" t="s">
        <v>30</v>
      </c>
      <c r="F28" s="2925">
        <v>2013</v>
      </c>
      <c r="G28" s="913">
        <v>2015</v>
      </c>
      <c r="H28" s="913">
        <v>2020</v>
      </c>
      <c r="I28" s="913">
        <v>2025</v>
      </c>
      <c r="J28" s="913">
        <v>2030</v>
      </c>
      <c r="K28" s="67" t="s">
        <v>5</v>
      </c>
      <c r="L28" s="67"/>
      <c r="M28" s="67"/>
      <c r="N28" s="67"/>
      <c r="O28" s="876"/>
    </row>
    <row r="29" spans="2:15">
      <c r="B29" s="45"/>
      <c r="C29" s="917" t="s">
        <v>264</v>
      </c>
      <c r="D29" s="194" t="s">
        <v>1789</v>
      </c>
      <c r="E29" s="194"/>
      <c r="F29" s="1013">
        <v>0</v>
      </c>
      <c r="G29" s="1014">
        <v>0</v>
      </c>
      <c r="H29" s="1014">
        <v>0</v>
      </c>
      <c r="I29" s="1014">
        <v>0</v>
      </c>
      <c r="J29" s="1014">
        <v>0</v>
      </c>
      <c r="K29" s="67"/>
      <c r="L29" s="67"/>
      <c r="M29" s="67"/>
      <c r="N29" s="67"/>
      <c r="O29" s="876"/>
    </row>
    <row r="30" spans="2:15">
      <c r="B30" s="45"/>
      <c r="C30" s="67"/>
      <c r="D30" s="195"/>
      <c r="E30" s="67"/>
      <c r="F30" s="67"/>
      <c r="G30" s="67"/>
      <c r="H30" s="67"/>
      <c r="I30" s="67"/>
      <c r="J30" s="67"/>
      <c r="K30" s="67"/>
      <c r="L30" s="67"/>
      <c r="M30" s="67"/>
      <c r="N30" s="67"/>
      <c r="O30" s="876"/>
    </row>
    <row r="31" spans="2:15">
      <c r="B31" s="45"/>
      <c r="C31" s="67"/>
      <c r="D31" s="195"/>
      <c r="E31" s="67"/>
      <c r="F31" s="67"/>
      <c r="G31" s="67"/>
      <c r="H31" s="67"/>
      <c r="I31" s="67"/>
      <c r="J31" s="67"/>
      <c r="K31" s="67"/>
      <c r="L31" s="67"/>
      <c r="M31" s="67"/>
      <c r="N31" s="67"/>
      <c r="O31" s="876"/>
    </row>
    <row r="32" spans="2:15">
      <c r="B32" s="45"/>
      <c r="C32" s="2926" t="s">
        <v>1147</v>
      </c>
      <c r="D32" s="1094">
        <v>30</v>
      </c>
      <c r="E32" s="2927" t="s">
        <v>2306</v>
      </c>
      <c r="F32" s="1094"/>
      <c r="G32" s="1094"/>
      <c r="H32" s="1094"/>
      <c r="I32" s="67"/>
      <c r="J32" s="67"/>
      <c r="K32" s="67"/>
      <c r="L32" s="67"/>
      <c r="M32" s="67"/>
      <c r="N32" s="67"/>
      <c r="O32" s="876"/>
    </row>
    <row r="33" spans="1:29">
      <c r="B33" s="45"/>
      <c r="C33" s="67"/>
      <c r="D33" s="67"/>
      <c r="E33" s="1086"/>
      <c r="F33" s="67"/>
      <c r="G33" s="67"/>
      <c r="H33" s="67"/>
      <c r="I33" s="67"/>
      <c r="J33" s="67"/>
      <c r="K33" s="67"/>
      <c r="L33" s="67"/>
      <c r="M33" s="67"/>
      <c r="N33" s="67"/>
      <c r="O33" s="876"/>
    </row>
    <row r="34" spans="1:29">
      <c r="B34" s="45"/>
      <c r="C34" s="67"/>
      <c r="D34" s="195"/>
      <c r="E34" s="67"/>
      <c r="F34" s="67"/>
      <c r="G34" s="67"/>
      <c r="H34" s="67"/>
      <c r="I34" s="67"/>
      <c r="J34" s="67"/>
      <c r="K34" s="67"/>
      <c r="L34" s="67"/>
      <c r="M34" s="67"/>
      <c r="N34" s="67"/>
      <c r="O34" s="876"/>
    </row>
    <row r="35" spans="1:29">
      <c r="B35" s="45"/>
      <c r="C35" s="67" t="s">
        <v>63</v>
      </c>
      <c r="D35" s="195"/>
      <c r="E35" s="67"/>
      <c r="F35" s="67"/>
      <c r="G35" s="67"/>
      <c r="H35" s="67"/>
      <c r="I35" s="67"/>
      <c r="J35" s="67"/>
      <c r="K35" s="67"/>
      <c r="L35" s="67"/>
      <c r="M35" s="67"/>
      <c r="N35" s="67"/>
      <c r="O35" s="876"/>
    </row>
    <row r="36" spans="1:29" s="918" customFormat="1" ht="10.5">
      <c r="B36" s="1160"/>
      <c r="C36" s="1161" t="s">
        <v>64</v>
      </c>
      <c r="D36" s="2866" t="s">
        <v>1032</v>
      </c>
      <c r="E36" s="922"/>
      <c r="F36" s="922"/>
      <c r="G36" s="922"/>
      <c r="H36" s="922"/>
      <c r="I36" s="922"/>
      <c r="J36" s="922"/>
      <c r="K36" s="922"/>
      <c r="L36" s="922"/>
      <c r="M36" s="922"/>
      <c r="N36" s="922"/>
      <c r="O36" s="923"/>
    </row>
    <row r="37" spans="1:29" s="918" customFormat="1" ht="10.5">
      <c r="B37" s="1160"/>
      <c r="C37" s="1161" t="s">
        <v>66</v>
      </c>
      <c r="D37" s="2866" t="s">
        <v>2883</v>
      </c>
      <c r="E37" s="922"/>
      <c r="F37" s="922"/>
      <c r="G37" s="922"/>
      <c r="H37" s="922"/>
      <c r="I37" s="922"/>
      <c r="J37" s="922"/>
      <c r="K37" s="922"/>
      <c r="L37" s="922"/>
      <c r="M37" s="922"/>
      <c r="N37" s="922"/>
      <c r="O37" s="923"/>
    </row>
    <row r="38" spans="1:29">
      <c r="B38" s="1163"/>
      <c r="C38" s="1065"/>
      <c r="D38" s="1065"/>
      <c r="E38" s="1065"/>
      <c r="F38" s="1065"/>
      <c r="G38" s="1065"/>
      <c r="H38" s="1065"/>
      <c r="I38" s="1065"/>
      <c r="J38" s="1065"/>
      <c r="K38" s="1065"/>
      <c r="L38" s="1065"/>
      <c r="M38" s="1065"/>
      <c r="N38" s="1065"/>
      <c r="O38" s="1100"/>
    </row>
    <row r="39" spans="1:29" s="39" customFormat="1">
      <c r="B39" s="2928"/>
      <c r="C39" s="2929"/>
      <c r="D39" s="2929"/>
      <c r="E39" s="2929"/>
      <c r="F39" s="2929"/>
      <c r="G39" s="2929"/>
      <c r="H39" s="2929"/>
      <c r="I39" s="2929"/>
      <c r="J39" s="2929"/>
      <c r="K39" s="2929"/>
      <c r="L39" s="2929"/>
      <c r="M39" s="2929"/>
      <c r="N39" s="2929"/>
      <c r="O39" s="2930"/>
    </row>
    <row r="40" spans="1:29" s="6" customFormat="1" ht="23.5">
      <c r="A40" s="40"/>
      <c r="B40" s="869" t="s">
        <v>2719</v>
      </c>
      <c r="C40" s="870"/>
      <c r="D40" s="870"/>
      <c r="E40" s="870"/>
      <c r="F40" s="870"/>
      <c r="G40" s="870"/>
      <c r="H40" s="870"/>
      <c r="I40" s="870"/>
      <c r="J40" s="870"/>
      <c r="K40" s="870"/>
      <c r="L40" s="870"/>
      <c r="M40" s="870"/>
      <c r="N40" s="870"/>
      <c r="O40" s="870"/>
      <c r="Q40" s="647"/>
      <c r="R40" s="647"/>
      <c r="S40" s="647"/>
      <c r="T40" s="647"/>
      <c r="U40" s="647"/>
      <c r="V40" s="647"/>
      <c r="W40" s="647"/>
      <c r="X40" s="647"/>
      <c r="Y40" s="647"/>
      <c r="Z40" s="647"/>
      <c r="AA40" s="647"/>
      <c r="AB40" s="647"/>
      <c r="AC40" s="647"/>
    </row>
    <row r="41" spans="1:29" hidden="1">
      <c r="B41" s="105"/>
      <c r="C41" s="47"/>
      <c r="D41" s="47"/>
      <c r="E41" s="47"/>
      <c r="F41" s="47"/>
      <c r="G41" s="47"/>
      <c r="H41" s="47"/>
      <c r="I41" s="47"/>
      <c r="J41" s="47"/>
      <c r="K41" s="47"/>
      <c r="L41" s="47"/>
      <c r="M41" s="47"/>
      <c r="N41" s="47"/>
      <c r="O41" s="67"/>
      <c r="Q41" s="1164"/>
      <c r="R41" s="1164"/>
      <c r="S41" s="1164"/>
      <c r="T41" s="1164"/>
      <c r="U41" s="1068"/>
      <c r="V41" s="1068"/>
      <c r="W41" s="1068"/>
      <c r="X41" s="1068"/>
      <c r="Y41" s="1068"/>
      <c r="Z41" s="1068"/>
      <c r="AA41" s="1068"/>
      <c r="AB41" s="1068"/>
      <c r="AC41" s="1068"/>
    </row>
    <row r="42" spans="1:29" hidden="1">
      <c r="B42" s="105"/>
      <c r="C42" s="961" t="s">
        <v>2307</v>
      </c>
      <c r="D42" s="47"/>
      <c r="E42" s="47"/>
      <c r="F42" s="47"/>
      <c r="G42" s="47"/>
      <c r="H42" s="47"/>
      <c r="I42" s="47"/>
      <c r="J42" s="47"/>
      <c r="K42" s="47"/>
      <c r="L42" s="47"/>
      <c r="M42" s="47"/>
      <c r="N42" s="49" t="s">
        <v>2742</v>
      </c>
      <c r="O42" s="67"/>
      <c r="Q42" s="2466"/>
      <c r="R42" s="1164"/>
      <c r="S42" s="1164"/>
      <c r="T42" s="1419"/>
      <c r="U42" s="1419"/>
      <c r="V42" s="1068"/>
      <c r="W42" s="1068"/>
      <c r="X42" s="1068"/>
      <c r="Y42" s="1068"/>
      <c r="Z42" s="1068"/>
      <c r="AA42" s="1068"/>
      <c r="AB42" s="1068"/>
      <c r="AC42" s="1068"/>
    </row>
    <row r="43" spans="1:29" hidden="1">
      <c r="B43" s="105"/>
      <c r="C43" s="2931"/>
      <c r="D43" s="2578"/>
      <c r="E43" s="2932" t="s">
        <v>159</v>
      </c>
      <c r="F43" s="2933">
        <v>2013</v>
      </c>
      <c r="G43" s="955">
        <v>2015</v>
      </c>
      <c r="H43" s="955">
        <v>2020</v>
      </c>
      <c r="I43" s="955">
        <v>2025</v>
      </c>
      <c r="J43" s="955">
        <v>2030</v>
      </c>
      <c r="K43" s="955">
        <v>2035</v>
      </c>
      <c r="L43" s="955">
        <v>2040</v>
      </c>
      <c r="M43" s="955">
        <v>2045</v>
      </c>
      <c r="N43" s="955">
        <v>2050</v>
      </c>
      <c r="O43" s="67"/>
      <c r="Q43" s="2466"/>
      <c r="R43" s="1164"/>
      <c r="S43" s="1164"/>
      <c r="T43" s="1164"/>
      <c r="U43" s="1068"/>
      <c r="V43" s="1068"/>
      <c r="W43" s="1068"/>
      <c r="X43" s="1068"/>
      <c r="Y43" s="1068"/>
      <c r="Z43" s="1068"/>
      <c r="AA43" s="1068"/>
      <c r="AB43" s="1068"/>
      <c r="AC43" s="1068"/>
    </row>
    <row r="44" spans="1:29" hidden="1">
      <c r="B44" s="67"/>
      <c r="C44" s="967" t="s">
        <v>719</v>
      </c>
      <c r="D44" s="1070"/>
      <c r="E44" s="2934"/>
      <c r="F44" s="2935"/>
      <c r="G44" s="1585"/>
      <c r="H44" s="1585"/>
      <c r="I44" s="1585"/>
      <c r="J44" s="1585"/>
      <c r="K44" s="1585"/>
      <c r="L44" s="1585"/>
      <c r="M44" s="1585"/>
      <c r="N44" s="2936"/>
      <c r="O44" s="67"/>
      <c r="Q44" s="2466"/>
      <c r="R44" s="1164"/>
      <c r="S44" s="1164"/>
      <c r="T44" s="1164"/>
      <c r="U44" s="1068"/>
      <c r="V44" s="1068"/>
      <c r="W44" s="1068"/>
      <c r="X44" s="1068"/>
      <c r="Y44" s="1068"/>
      <c r="Z44" s="1068"/>
      <c r="AA44" s="1068"/>
      <c r="AB44" s="1068"/>
      <c r="AC44" s="1068"/>
    </row>
    <row r="45" spans="1:29" hidden="1">
      <c r="B45" s="67"/>
      <c r="C45" s="943" t="s">
        <v>720</v>
      </c>
      <c r="D45" s="915"/>
      <c r="E45" s="2937"/>
      <c r="F45" s="2938"/>
      <c r="G45" s="2939"/>
      <c r="H45" s="2939"/>
      <c r="I45" s="2939"/>
      <c r="J45" s="2939"/>
      <c r="K45" s="2939"/>
      <c r="L45" s="2939"/>
      <c r="M45" s="2939"/>
      <c r="N45" s="2939"/>
      <c r="O45" s="67"/>
      <c r="Q45" s="2466"/>
      <c r="R45" s="1410"/>
      <c r="S45" s="1410"/>
      <c r="T45" s="2872"/>
      <c r="U45" s="1671"/>
      <c r="V45" s="1068"/>
      <c r="W45" s="1068"/>
      <c r="X45" s="1068"/>
      <c r="Y45" s="1068"/>
      <c r="Z45" s="1068"/>
      <c r="AA45" s="1068"/>
      <c r="AB45" s="1068"/>
      <c r="AC45" s="1068"/>
    </row>
    <row r="46" spans="1:29" hidden="1">
      <c r="B46" s="47"/>
      <c r="C46" s="947" t="s">
        <v>721</v>
      </c>
      <c r="D46" s="948"/>
      <c r="E46" s="2940"/>
      <c r="F46" s="2913"/>
      <c r="G46" s="970"/>
      <c r="H46" s="970"/>
      <c r="I46" s="970"/>
      <c r="J46" s="970"/>
      <c r="K46" s="970"/>
      <c r="L46" s="970"/>
      <c r="M46" s="970"/>
      <c r="N46" s="2876"/>
      <c r="O46" s="47"/>
      <c r="Q46" s="1164"/>
      <c r="R46" s="1164"/>
      <c r="S46" s="1164"/>
      <c r="T46" s="1164"/>
      <c r="U46" s="1388"/>
      <c r="V46" s="1068"/>
      <c r="W46" s="1068"/>
      <c r="X46" s="1068"/>
      <c r="Y46" s="1068"/>
      <c r="Z46" s="1068"/>
      <c r="AA46" s="1068"/>
      <c r="AB46" s="1068"/>
      <c r="AC46" s="1068"/>
    </row>
    <row r="47" spans="1:29" hidden="1">
      <c r="B47" s="47"/>
      <c r="C47" s="47"/>
      <c r="D47" s="47"/>
      <c r="E47" s="47"/>
      <c r="F47" s="47"/>
      <c r="G47" s="47"/>
      <c r="H47" s="47"/>
      <c r="I47" s="47"/>
      <c r="J47" s="47"/>
      <c r="K47" s="47"/>
      <c r="L47" s="47"/>
      <c r="M47" s="47"/>
      <c r="N47" s="47"/>
      <c r="O47" s="47"/>
      <c r="Q47" s="1164"/>
      <c r="R47" s="1164"/>
      <c r="S47" s="1164"/>
      <c r="T47" s="1164"/>
      <c r="U47" s="1388"/>
      <c r="V47" s="1068"/>
      <c r="W47" s="1068"/>
      <c r="X47" s="1068"/>
      <c r="Y47" s="1068"/>
      <c r="Z47" s="1068"/>
      <c r="AA47" s="1068"/>
      <c r="AB47" s="1068"/>
      <c r="AC47" s="1068"/>
    </row>
    <row r="48" spans="1:29" hidden="1">
      <c r="B48" s="47"/>
      <c r="C48" s="961" t="s">
        <v>2308</v>
      </c>
      <c r="D48" s="47"/>
      <c r="E48" s="47"/>
      <c r="F48" s="47"/>
      <c r="G48" s="47"/>
      <c r="H48" s="47"/>
      <c r="I48" s="47"/>
      <c r="J48" s="47"/>
      <c r="K48" s="47"/>
      <c r="L48" s="47"/>
      <c r="M48" s="47"/>
      <c r="N48" s="49" t="s">
        <v>2742</v>
      </c>
      <c r="O48" s="47"/>
      <c r="Q48" s="1164"/>
      <c r="R48" s="1164"/>
      <c r="S48" s="1164"/>
      <c r="T48" s="2941"/>
      <c r="U48" s="1388"/>
      <c r="V48" s="1068"/>
      <c r="W48" s="1068"/>
      <c r="X48" s="1068"/>
      <c r="Y48" s="1068"/>
      <c r="Z48" s="1068"/>
      <c r="AA48" s="1068"/>
      <c r="AB48" s="1068"/>
      <c r="AC48" s="1068"/>
    </row>
    <row r="49" spans="2:29" hidden="1">
      <c r="B49" s="47"/>
      <c r="C49" s="1069"/>
      <c r="D49" s="1527"/>
      <c r="E49" s="1192" t="s">
        <v>159</v>
      </c>
      <c r="F49" s="2942">
        <v>2013</v>
      </c>
      <c r="G49" s="972">
        <v>2015</v>
      </c>
      <c r="H49" s="972">
        <v>2020</v>
      </c>
      <c r="I49" s="972">
        <v>2025</v>
      </c>
      <c r="J49" s="972">
        <v>2030</v>
      </c>
      <c r="K49" s="972">
        <v>2035</v>
      </c>
      <c r="L49" s="972">
        <v>2040</v>
      </c>
      <c r="M49" s="972">
        <v>2045</v>
      </c>
      <c r="N49" s="972">
        <v>2050</v>
      </c>
      <c r="O49" s="47"/>
      <c r="Q49" s="1164"/>
      <c r="R49" s="1164"/>
      <c r="S49" s="1164"/>
      <c r="T49" s="2941"/>
      <c r="U49" s="1388"/>
      <c r="V49" s="1068"/>
      <c r="W49" s="1068"/>
      <c r="X49" s="1068"/>
      <c r="Y49" s="1068"/>
      <c r="Z49" s="1068"/>
      <c r="AA49" s="1068"/>
      <c r="AB49" s="1068"/>
      <c r="AC49" s="1068"/>
    </row>
    <row r="50" spans="2:29" hidden="1">
      <c r="B50" s="47"/>
      <c r="C50" s="967" t="s">
        <v>719</v>
      </c>
      <c r="D50" s="1070"/>
      <c r="E50" s="957"/>
      <c r="F50" s="2935"/>
      <c r="G50" s="1585"/>
      <c r="H50" s="1585"/>
      <c r="I50" s="1585"/>
      <c r="J50" s="1585"/>
      <c r="K50" s="1585"/>
      <c r="L50" s="1585"/>
      <c r="M50" s="1585"/>
      <c r="N50" s="2936"/>
      <c r="O50" s="47"/>
      <c r="Q50" s="1164"/>
      <c r="R50" s="1164"/>
      <c r="S50" s="1164"/>
      <c r="T50" s="2941"/>
      <c r="U50" s="1388"/>
      <c r="V50" s="1068"/>
      <c r="W50" s="1068"/>
      <c r="X50" s="1068"/>
      <c r="Y50" s="1068"/>
      <c r="Z50" s="1068"/>
      <c r="AA50" s="1068"/>
      <c r="AB50" s="1068"/>
      <c r="AC50" s="1068"/>
    </row>
    <row r="51" spans="2:29" hidden="1">
      <c r="B51" s="47"/>
      <c r="C51" s="943" t="s">
        <v>720</v>
      </c>
      <c r="D51" s="915"/>
      <c r="E51" s="944"/>
      <c r="F51" s="2938"/>
      <c r="G51" s="2939"/>
      <c r="H51" s="2939"/>
      <c r="I51" s="2939"/>
      <c r="J51" s="2939"/>
      <c r="K51" s="2939"/>
      <c r="L51" s="2939"/>
      <c r="M51" s="2939"/>
      <c r="N51" s="2939"/>
      <c r="O51" s="47"/>
      <c r="Q51" s="2466"/>
      <c r="R51" s="1410"/>
      <c r="S51" s="1410"/>
      <c r="T51" s="2872"/>
      <c r="U51" s="1388"/>
      <c r="V51" s="1068"/>
      <c r="W51" s="1068"/>
      <c r="X51" s="1068"/>
      <c r="Y51" s="1068"/>
      <c r="Z51" s="1068"/>
      <c r="AA51" s="1068"/>
      <c r="AB51" s="1068"/>
      <c r="AC51" s="1068"/>
    </row>
    <row r="52" spans="2:29" hidden="1">
      <c r="B52" s="47"/>
      <c r="C52" s="947" t="s">
        <v>721</v>
      </c>
      <c r="D52" s="948"/>
      <c r="E52" s="949"/>
      <c r="F52" s="2913"/>
      <c r="G52" s="970"/>
      <c r="H52" s="970"/>
      <c r="I52" s="970"/>
      <c r="J52" s="970"/>
      <c r="K52" s="970"/>
      <c r="L52" s="970"/>
      <c r="M52" s="970"/>
      <c r="N52" s="2876"/>
      <c r="O52" s="47"/>
      <c r="Q52" s="1164"/>
      <c r="R52" s="1164"/>
      <c r="S52" s="1164"/>
      <c r="T52" s="2941"/>
      <c r="U52" s="1388"/>
      <c r="V52" s="1068"/>
      <c r="W52" s="1068"/>
      <c r="X52" s="1068"/>
      <c r="Y52" s="1068"/>
      <c r="Z52" s="1068"/>
      <c r="AA52" s="1068"/>
      <c r="AB52" s="1068"/>
      <c r="AC52" s="1068"/>
    </row>
    <row r="53" spans="2:29" hidden="1">
      <c r="B53" s="47"/>
      <c r="C53" s="47"/>
      <c r="D53" s="47"/>
      <c r="E53" s="47"/>
      <c r="F53" s="47"/>
      <c r="G53" s="47"/>
      <c r="H53" s="47"/>
      <c r="I53" s="47"/>
      <c r="J53" s="47"/>
      <c r="K53" s="47"/>
      <c r="L53" s="47"/>
      <c r="M53" s="47"/>
      <c r="N53" s="47"/>
      <c r="O53" s="47"/>
      <c r="Q53" s="1164"/>
      <c r="R53" s="1164"/>
      <c r="S53" s="1164"/>
      <c r="T53" s="2941"/>
      <c r="U53" s="1388"/>
      <c r="V53" s="1068"/>
      <c r="W53" s="1068"/>
      <c r="X53" s="1068"/>
      <c r="Y53" s="1068"/>
      <c r="Z53" s="1068"/>
      <c r="AA53" s="1068"/>
      <c r="AB53" s="1068"/>
      <c r="AC53" s="1068"/>
    </row>
    <row r="54" spans="2:29">
      <c r="Q54" s="1164"/>
      <c r="R54" s="1164"/>
      <c r="S54" s="1164"/>
      <c r="T54" s="1164"/>
      <c r="U54" s="1068"/>
      <c r="V54" s="1068"/>
      <c r="W54" s="1068"/>
      <c r="X54" s="1068"/>
      <c r="Y54" s="1068"/>
      <c r="Z54" s="1068"/>
      <c r="AA54" s="1068"/>
      <c r="AB54" s="1068"/>
      <c r="AC54" s="1068"/>
    </row>
    <row r="55" spans="2:29" ht="15.5">
      <c r="B55" s="1101" t="s">
        <v>206</v>
      </c>
    </row>
    <row r="56" spans="2:29">
      <c r="B56" s="354">
        <v>1</v>
      </c>
      <c r="C56" s="2858" t="s">
        <v>2309</v>
      </c>
    </row>
    <row r="57" spans="2:29">
      <c r="B57" s="354">
        <v>2</v>
      </c>
      <c r="C57" s="2858" t="s">
        <v>213</v>
      </c>
    </row>
    <row r="59" spans="2:29">
      <c r="B59" s="354">
        <v>1</v>
      </c>
      <c r="C59" s="354" t="s">
        <v>2310</v>
      </c>
    </row>
    <row r="60" spans="2:29">
      <c r="B60" s="354"/>
      <c r="C60" s="354"/>
    </row>
    <row r="61" spans="2:29">
      <c r="C61" s="354" t="s">
        <v>2311</v>
      </c>
      <c r="E61" s="2858" t="str">
        <f>Preferences.EnergyUnits</f>
        <v>TWh</v>
      </c>
      <c r="F61" s="3721">
        <f ca="1">-F$9</f>
        <v>23.375016296063244</v>
      </c>
      <c r="G61" s="3721">
        <f t="shared" ref="G61:N61" ca="1" si="1">-G$9</f>
        <v>23.333269324784787</v>
      </c>
      <c r="H61" s="3721">
        <f t="shared" ca="1" si="1"/>
        <v>20.902350296249832</v>
      </c>
      <c r="I61" s="3721">
        <f t="shared" ca="1" si="1"/>
        <v>20.656643746927088</v>
      </c>
      <c r="J61" s="3721">
        <f t="shared" ca="1" si="1"/>
        <v>14.12841125673074</v>
      </c>
      <c r="K61" s="3721">
        <f t="shared" ca="1" si="1"/>
        <v>1.2698250796151025</v>
      </c>
      <c r="L61" s="3721">
        <f t="shared" ca="1" si="1"/>
        <v>1.9561743549554169</v>
      </c>
      <c r="M61" s="3721">
        <f t="shared" ca="1" si="1"/>
        <v>2.6682367388903194</v>
      </c>
      <c r="N61" s="3721">
        <f t="shared" ca="1" si="1"/>
        <v>2.9094430028180738</v>
      </c>
    </row>
    <row r="62" spans="2:29">
      <c r="C62" s="354" t="s">
        <v>2312</v>
      </c>
      <c r="E62" s="2858" t="str">
        <f>Preferences.EnergyUnits</f>
        <v>TWh</v>
      </c>
      <c r="F62" s="2460">
        <f ca="1">-F$10</f>
        <v>76.526836320775942</v>
      </c>
      <c r="G62" s="2460">
        <f t="shared" ref="G62:N62" ca="1" si="2">-G$10</f>
        <v>74.08927995898263</v>
      </c>
      <c r="H62" s="2460">
        <f t="shared" ca="1" si="2"/>
        <v>75.114909897863313</v>
      </c>
      <c r="I62" s="2460">
        <f t="shared" ca="1" si="2"/>
        <v>75.036510281436605</v>
      </c>
      <c r="J62" s="2460">
        <f t="shared" ca="1" si="2"/>
        <v>75.220892589846784</v>
      </c>
      <c r="K62" s="2460">
        <f t="shared" ca="1" si="2"/>
        <v>75.174956561456597</v>
      </c>
      <c r="L62" s="2460">
        <f t="shared" ca="1" si="2"/>
        <v>75.040093616616304</v>
      </c>
      <c r="M62" s="2460">
        <f t="shared" ca="1" si="2"/>
        <v>75.04125554596699</v>
      </c>
      <c r="N62" s="2460">
        <f t="shared" ca="1" si="2"/>
        <v>74.505208807877793</v>
      </c>
    </row>
    <row r="63" spans="2:29">
      <c r="C63" s="354"/>
      <c r="F63" s="2460"/>
      <c r="G63" s="2460"/>
      <c r="H63" s="2460"/>
      <c r="I63" s="2460"/>
      <c r="J63" s="2460"/>
      <c r="K63" s="2460"/>
      <c r="L63" s="2460"/>
      <c r="M63" s="2460"/>
      <c r="N63" s="2460"/>
    </row>
    <row r="64" spans="2:29">
      <c r="C64" s="3669" t="s">
        <v>2313</v>
      </c>
      <c r="E64" s="2858" t="str">
        <f>Preferences.EnergyUnits</f>
        <v>TWh</v>
      </c>
      <c r="F64" s="2480">
        <f ca="1">-F$11</f>
        <v>46.772039222317815</v>
      </c>
      <c r="G64" s="2480">
        <f t="shared" ref="G64:N64" ca="1" si="3">-G$11</f>
        <v>48.722656609144629</v>
      </c>
      <c r="H64" s="2480">
        <f t="shared" ca="1" si="3"/>
        <v>56.888397959696128</v>
      </c>
      <c r="I64" s="2480">
        <f t="shared" ca="1" si="3"/>
        <v>68.271566963354275</v>
      </c>
      <c r="J64" s="2480">
        <f t="shared" ca="1" si="3"/>
        <v>84.637781591734282</v>
      </c>
      <c r="K64" s="2480">
        <f t="shared" ca="1" si="3"/>
        <v>105.33711352998291</v>
      </c>
      <c r="L64" s="2480">
        <f t="shared" ca="1" si="3"/>
        <v>114.36297881915442</v>
      </c>
      <c r="M64" s="2480">
        <f t="shared" ca="1" si="3"/>
        <v>123.75492729529913</v>
      </c>
      <c r="N64" s="2480">
        <f t="shared" ca="1" si="3"/>
        <v>133.7357504056701</v>
      </c>
    </row>
    <row r="65" spans="2:14">
      <c r="B65" s="2" t="s">
        <v>809</v>
      </c>
      <c r="C65" s="2" t="s">
        <v>2314</v>
      </c>
      <c r="F65" s="2487">
        <f ca="1">F64*F$19</f>
        <v>0.70158058833476722</v>
      </c>
      <c r="G65" s="2384">
        <f t="shared" ref="G65:N65" ca="1" si="4">G64*G$19</f>
        <v>0.73083984913716937</v>
      </c>
      <c r="H65" s="2384">
        <f t="shared" ca="1" si="4"/>
        <v>0.85332596939544192</v>
      </c>
      <c r="I65" s="2384">
        <f t="shared" ca="1" si="4"/>
        <v>1.024073504450314</v>
      </c>
      <c r="J65" s="2384">
        <f t="shared" ca="1" si="4"/>
        <v>1.2695667238760142</v>
      </c>
      <c r="K65" s="2384">
        <f t="shared" ca="1" si="4"/>
        <v>1.5800567029497437</v>
      </c>
      <c r="L65" s="2384">
        <f t="shared" ca="1" si="4"/>
        <v>1.7154446822873162</v>
      </c>
      <c r="M65" s="2384">
        <f t="shared" ca="1" si="4"/>
        <v>1.8563239094294868</v>
      </c>
      <c r="N65" s="2384">
        <f t="shared" ca="1" si="4"/>
        <v>2.0060362560850513</v>
      </c>
    </row>
    <row r="66" spans="2:14">
      <c r="B66" s="354" t="s">
        <v>220</v>
      </c>
      <c r="C66" s="354" t="s">
        <v>2315</v>
      </c>
      <c r="F66" s="2460">
        <f ca="1">F64+F65</f>
        <v>47.473619810652579</v>
      </c>
      <c r="G66" s="2460">
        <f t="shared" ref="G66:N66" ca="1" si="5">G64+G65</f>
        <v>49.453496458281798</v>
      </c>
      <c r="H66" s="2460">
        <f t="shared" ca="1" si="5"/>
        <v>57.74172392909157</v>
      </c>
      <c r="I66" s="2460">
        <f t="shared" ca="1" si="5"/>
        <v>69.295640467804589</v>
      </c>
      <c r="J66" s="2460">
        <f t="shared" ca="1" si="5"/>
        <v>85.907348315610292</v>
      </c>
      <c r="K66" s="2460">
        <f t="shared" ca="1" si="5"/>
        <v>106.91717023293266</v>
      </c>
      <c r="L66" s="2460">
        <f t="shared" ca="1" si="5"/>
        <v>116.07842350144173</v>
      </c>
      <c r="M66" s="2460">
        <f t="shared" ca="1" si="5"/>
        <v>125.61125120472862</v>
      </c>
      <c r="N66" s="2460">
        <f t="shared" ca="1" si="5"/>
        <v>135.74178666175516</v>
      </c>
    </row>
    <row r="67" spans="2:14">
      <c r="C67" s="979"/>
      <c r="F67" s="983"/>
      <c r="G67" s="983"/>
      <c r="H67" s="983"/>
      <c r="I67" s="983"/>
      <c r="J67" s="983"/>
      <c r="K67" s="983"/>
      <c r="L67" s="983"/>
      <c r="M67" s="983"/>
      <c r="N67" s="983"/>
    </row>
    <row r="68" spans="2:14">
      <c r="B68" s="354">
        <v>2</v>
      </c>
      <c r="C68" s="354" t="s">
        <v>249</v>
      </c>
      <c r="F68" s="983"/>
      <c r="G68" s="983"/>
      <c r="H68" s="983"/>
      <c r="I68" s="983"/>
      <c r="J68" s="983"/>
      <c r="K68" s="983"/>
      <c r="L68" s="983"/>
      <c r="M68" s="983"/>
      <c r="N68" s="983"/>
    </row>
    <row r="69" spans="2:14">
      <c r="C69" s="3719" t="s">
        <v>2884</v>
      </c>
      <c r="F69" s="983"/>
      <c r="G69" s="983"/>
      <c r="H69" s="983"/>
      <c r="I69" s="983"/>
      <c r="J69" s="983"/>
      <c r="K69" s="983"/>
      <c r="L69" s="983"/>
      <c r="M69" s="983"/>
      <c r="N69" s="983"/>
    </row>
    <row r="70" spans="2:14">
      <c r="C70" s="3719" t="s">
        <v>2886</v>
      </c>
      <c r="F70" s="983"/>
      <c r="G70" s="983"/>
      <c r="H70" s="983"/>
      <c r="I70" s="983"/>
      <c r="J70" s="983"/>
      <c r="K70" s="983"/>
      <c r="L70" s="983"/>
      <c r="M70" s="983"/>
      <c r="N70" s="983"/>
    </row>
    <row r="71" spans="2:14">
      <c r="C71" s="3719" t="s">
        <v>2885</v>
      </c>
      <c r="F71" s="983"/>
      <c r="G71" s="983"/>
      <c r="H71" s="983"/>
      <c r="I71" s="983"/>
      <c r="J71" s="983"/>
      <c r="K71" s="983"/>
      <c r="L71" s="983"/>
      <c r="M71" s="983"/>
      <c r="N71" s="983"/>
    </row>
    <row r="72" spans="2:14">
      <c r="F72" s="983"/>
      <c r="G72" s="983"/>
      <c r="H72" s="983"/>
      <c r="I72" s="983"/>
      <c r="J72" s="983"/>
      <c r="K72" s="983"/>
      <c r="L72" s="983"/>
      <c r="M72" s="983"/>
      <c r="N72" s="983"/>
    </row>
    <row r="73" spans="2:14">
      <c r="C73" s="354" t="s">
        <v>2882</v>
      </c>
      <c r="E73" s="2858" t="s">
        <v>251</v>
      </c>
      <c r="F73" s="2487">
        <f>F$24</f>
        <v>0.02</v>
      </c>
      <c r="G73" s="2487">
        <f ca="1">$F73*(G$64/$F$64)</f>
        <v>2.0834095506315257E-2</v>
      </c>
      <c r="H73" s="2487">
        <f t="shared" ref="H73:N73" ca="1" si="6">$F73*(H$64/$F$64)</f>
        <v>2.4325814698518078E-2</v>
      </c>
      <c r="I73" s="2487">
        <f t="shared" ca="1" si="6"/>
        <v>2.9193324943068855E-2</v>
      </c>
      <c r="J73" s="2487">
        <f t="shared" ca="1" si="6"/>
        <v>3.6191614904551091E-2</v>
      </c>
      <c r="K73" s="2487">
        <f t="shared" ca="1" si="6"/>
        <v>4.5042771399935073E-2</v>
      </c>
      <c r="L73" s="2487">
        <f t="shared" ca="1" si="6"/>
        <v>4.8902284664374789E-2</v>
      </c>
      <c r="M73" s="2487">
        <f t="shared" ca="1" si="6"/>
        <v>5.2918337260030368E-2</v>
      </c>
      <c r="N73" s="2487">
        <f t="shared" ca="1" si="6"/>
        <v>5.71861961245669E-2</v>
      </c>
    </row>
    <row r="74" spans="2:14">
      <c r="C74" s="979"/>
      <c r="F74" s="983"/>
      <c r="G74" s="983"/>
      <c r="H74" s="983"/>
      <c r="I74" s="983"/>
      <c r="J74" s="983"/>
      <c r="K74" s="983"/>
      <c r="L74" s="983"/>
      <c r="M74" s="983"/>
      <c r="N74" s="983"/>
    </row>
    <row r="75" spans="2:14">
      <c r="B75" s="2944">
        <v>3</v>
      </c>
      <c r="C75" s="354" t="s">
        <v>2316</v>
      </c>
      <c r="F75" s="983"/>
      <c r="G75" s="983"/>
      <c r="H75" s="983"/>
      <c r="I75" s="983"/>
      <c r="J75" s="983"/>
      <c r="K75" s="983"/>
      <c r="L75" s="983"/>
      <c r="M75" s="983"/>
      <c r="N75" s="983"/>
    </row>
    <row r="76" spans="2:14">
      <c r="C76" s="979"/>
      <c r="F76" s="983"/>
      <c r="G76" s="983"/>
      <c r="H76" s="983"/>
      <c r="I76" s="983"/>
      <c r="J76" s="983"/>
      <c r="K76" s="983"/>
      <c r="L76" s="983"/>
      <c r="M76" s="983"/>
      <c r="N76" s="983"/>
    </row>
    <row r="77" spans="2:14">
      <c r="C77" s="354" t="s">
        <v>2317</v>
      </c>
      <c r="E77" s="3802" t="str">
        <f>Preferences.EnergyUnits&amp;"/yr average flow"</f>
        <v>TWh/yr average flow</v>
      </c>
      <c r="F77" s="1313">
        <v>2013</v>
      </c>
      <c r="G77" s="1313">
        <v>2015</v>
      </c>
      <c r="H77" s="1313">
        <v>2020</v>
      </c>
      <c r="I77" s="1313">
        <v>2025</v>
      </c>
      <c r="J77" s="1313">
        <v>2030</v>
      </c>
      <c r="K77" s="1313">
        <v>2035</v>
      </c>
      <c r="L77" s="1313">
        <v>2040</v>
      </c>
      <c r="M77" s="1313">
        <v>2045</v>
      </c>
      <c r="N77" s="1313">
        <v>2050</v>
      </c>
    </row>
    <row r="78" spans="2:14">
      <c r="C78" s="2858" t="s">
        <v>2318</v>
      </c>
      <c r="E78" s="2858" t="s">
        <v>58</v>
      </c>
      <c r="F78" s="2485">
        <f ca="1">F64</f>
        <v>46.772039222317815</v>
      </c>
      <c r="G78" s="2485">
        <f t="shared" ref="G78:N78" ca="1" si="7">G64</f>
        <v>48.722656609144629</v>
      </c>
      <c r="H78" s="2485">
        <f t="shared" ca="1" si="7"/>
        <v>56.888397959696128</v>
      </c>
      <c r="I78" s="2485">
        <f t="shared" ca="1" si="7"/>
        <v>68.271566963354275</v>
      </c>
      <c r="J78" s="2485">
        <f t="shared" ca="1" si="7"/>
        <v>84.637781591734282</v>
      </c>
      <c r="K78" s="2485">
        <f t="shared" ca="1" si="7"/>
        <v>105.33711352998291</v>
      </c>
      <c r="L78" s="2485">
        <f t="shared" ca="1" si="7"/>
        <v>114.36297881915442</v>
      </c>
      <c r="M78" s="2485">
        <f t="shared" ca="1" si="7"/>
        <v>123.75492729529913</v>
      </c>
      <c r="N78" s="2485">
        <f t="shared" ca="1" si="7"/>
        <v>133.7357504056701</v>
      </c>
    </row>
    <row r="79" spans="2:14">
      <c r="C79" s="2858" t="s">
        <v>2319</v>
      </c>
      <c r="E79" s="2858" t="s">
        <v>2320</v>
      </c>
      <c r="F79" s="2384"/>
      <c r="G79" s="2485">
        <f t="shared" ref="G79:N79" ca="1" si="8">F78*(1/$D$32)</f>
        <v>1.5590679740772604</v>
      </c>
      <c r="H79" s="2485">
        <f t="shared" ca="1" si="8"/>
        <v>1.6240885536381542</v>
      </c>
      <c r="I79" s="2485">
        <f t="shared" ca="1" si="8"/>
        <v>1.8962799319898709</v>
      </c>
      <c r="J79" s="2485">
        <f t="shared" ca="1" si="8"/>
        <v>2.275718898778476</v>
      </c>
      <c r="K79" s="2485">
        <f t="shared" ca="1" si="8"/>
        <v>2.8212593863911426</v>
      </c>
      <c r="L79" s="2485">
        <f t="shared" ca="1" si="8"/>
        <v>3.5112371176660973</v>
      </c>
      <c r="M79" s="2485">
        <f t="shared" ca="1" si="8"/>
        <v>3.8120992939718139</v>
      </c>
      <c r="N79" s="2485">
        <f t="shared" ca="1" si="8"/>
        <v>4.1251642431766378</v>
      </c>
    </row>
    <row r="80" spans="2:14">
      <c r="C80" s="2858" t="s">
        <v>2321</v>
      </c>
      <c r="E80" s="2858" t="s">
        <v>2320</v>
      </c>
      <c r="F80" s="2384"/>
      <c r="G80" s="2485">
        <f ca="1">MAX((G78-F78)/(G77-F77),0)</f>
        <v>0.97530869341340676</v>
      </c>
      <c r="H80" s="2485">
        <f t="shared" ref="H80:N80" ca="1" si="9">MAX((H78-G78)/(H77-G77),0)</f>
        <v>1.6331482701102999</v>
      </c>
      <c r="I80" s="2485">
        <f t="shared" ca="1" si="9"/>
        <v>2.2766338007316294</v>
      </c>
      <c r="J80" s="2485">
        <f t="shared" ca="1" si="9"/>
        <v>3.2732429256760014</v>
      </c>
      <c r="K80" s="2485">
        <f t="shared" ca="1" si="9"/>
        <v>4.139866387649727</v>
      </c>
      <c r="L80" s="2485">
        <f t="shared" ca="1" si="9"/>
        <v>1.8051730578343013</v>
      </c>
      <c r="M80" s="2485">
        <f t="shared" ca="1" si="9"/>
        <v>1.8783896952289409</v>
      </c>
      <c r="N80" s="2485">
        <f t="shared" ca="1" si="9"/>
        <v>1.9961646220741955</v>
      </c>
    </row>
    <row r="81" spans="2:14">
      <c r="C81" s="2858" t="s">
        <v>2322</v>
      </c>
      <c r="E81" s="2858" t="s">
        <v>2320</v>
      </c>
      <c r="F81" s="2384"/>
      <c r="G81" s="2485">
        <f ca="1">SUM(G79:G80)</f>
        <v>2.5343766674906671</v>
      </c>
      <c r="H81" s="2485">
        <f t="shared" ref="H81:N81" ca="1" si="10">SUM(H79:H80)</f>
        <v>3.2572368237484541</v>
      </c>
      <c r="I81" s="2485">
        <f t="shared" ca="1" si="10"/>
        <v>4.1729137327215007</v>
      </c>
      <c r="J81" s="2485">
        <f t="shared" ca="1" si="10"/>
        <v>5.5489618244544774</v>
      </c>
      <c r="K81" s="2485">
        <f t="shared" ca="1" si="10"/>
        <v>6.9611257740408696</v>
      </c>
      <c r="L81" s="2485">
        <f t="shared" ca="1" si="10"/>
        <v>5.3164101755003985</v>
      </c>
      <c r="M81" s="2485">
        <f t="shared" ca="1" si="10"/>
        <v>5.6904889892007553</v>
      </c>
      <c r="N81" s="2485">
        <f t="shared" ca="1" si="10"/>
        <v>6.1213288652508329</v>
      </c>
    </row>
    <row r="82" spans="2:14">
      <c r="C82" s="979"/>
      <c r="F82" s="983"/>
      <c r="G82" s="983"/>
      <c r="H82" s="983"/>
      <c r="I82" s="983"/>
      <c r="J82" s="983"/>
      <c r="K82" s="983"/>
      <c r="L82" s="983"/>
      <c r="M82" s="983"/>
      <c r="N82" s="983"/>
    </row>
    <row r="83" spans="2:14">
      <c r="B83" s="354">
        <v>4</v>
      </c>
      <c r="C83" s="354" t="s">
        <v>2718</v>
      </c>
      <c r="F83" s="983"/>
      <c r="G83" s="983"/>
      <c r="H83" s="983"/>
      <c r="I83" s="983"/>
      <c r="J83" s="983"/>
      <c r="K83" s="983"/>
      <c r="L83" s="983"/>
      <c r="M83" s="983"/>
      <c r="N83" s="983"/>
    </row>
    <row r="84" spans="2:14" hidden="1"/>
    <row r="85" spans="2:14" hidden="1">
      <c r="C85" s="2858" t="s">
        <v>22</v>
      </c>
      <c r="F85" s="357"/>
    </row>
    <row r="86" spans="2:14" hidden="1">
      <c r="C86" s="2858" t="s">
        <v>2323</v>
      </c>
      <c r="E86" s="3578" t="s">
        <v>2736</v>
      </c>
      <c r="F86" s="984"/>
      <c r="G86" s="984"/>
      <c r="H86" s="984"/>
      <c r="I86" s="984"/>
      <c r="J86" s="984"/>
      <c r="K86" s="984"/>
      <c r="L86" s="984"/>
      <c r="M86" s="984"/>
      <c r="N86" s="984"/>
    </row>
    <row r="87" spans="2:14" hidden="1">
      <c r="C87" s="2858" t="s">
        <v>2324</v>
      </c>
      <c r="E87" s="3578" t="s">
        <v>2748</v>
      </c>
      <c r="F87" s="984"/>
      <c r="G87" s="984"/>
      <c r="H87" s="984"/>
      <c r="I87" s="984"/>
      <c r="J87" s="984"/>
      <c r="K87" s="984"/>
      <c r="L87" s="984"/>
      <c r="M87" s="984"/>
      <c r="N87" s="984"/>
    </row>
    <row r="88" spans="2:14" hidden="1">
      <c r="C88" s="2858" t="s">
        <v>2325</v>
      </c>
      <c r="E88" s="3578" t="s">
        <v>2748</v>
      </c>
      <c r="F88" s="357"/>
      <c r="G88" s="374"/>
      <c r="H88" s="374"/>
      <c r="I88" s="374"/>
      <c r="J88" s="374"/>
      <c r="K88" s="374"/>
      <c r="L88" s="374"/>
      <c r="M88" s="374"/>
      <c r="N88" s="374"/>
    </row>
    <row r="89" spans="2:14" hidden="1">
      <c r="C89" s="2858" t="s">
        <v>2326</v>
      </c>
      <c r="E89" s="3578" t="s">
        <v>2748</v>
      </c>
      <c r="F89" s="357"/>
      <c r="G89" s="374"/>
      <c r="H89" s="374"/>
      <c r="I89" s="374"/>
      <c r="J89" s="374"/>
      <c r="K89" s="374"/>
      <c r="L89" s="374"/>
      <c r="M89" s="374"/>
      <c r="N89" s="374"/>
    </row>
    <row r="90" spans="2:14" hidden="1">
      <c r="F90" s="357"/>
      <c r="G90" s="374"/>
      <c r="H90" s="374"/>
      <c r="I90" s="374"/>
      <c r="J90" s="374"/>
      <c r="K90" s="374"/>
      <c r="L90" s="374"/>
      <c r="M90" s="374"/>
      <c r="N90" s="374"/>
    </row>
    <row r="91" spans="2:14" hidden="1">
      <c r="C91" s="2858" t="s">
        <v>160</v>
      </c>
      <c r="F91" s="357"/>
    </row>
    <row r="92" spans="2:14" hidden="1">
      <c r="C92" s="2858" t="s">
        <v>2323</v>
      </c>
      <c r="E92" s="3578" t="s">
        <v>2736</v>
      </c>
      <c r="F92" s="984"/>
      <c r="G92" s="984"/>
      <c r="H92" s="984"/>
      <c r="I92" s="984"/>
      <c r="J92" s="984"/>
      <c r="K92" s="984"/>
      <c r="L92" s="984"/>
      <c r="M92" s="984"/>
      <c r="N92" s="984"/>
    </row>
    <row r="93" spans="2:14" hidden="1">
      <c r="C93" s="2858" t="s">
        <v>2324</v>
      </c>
      <c r="E93" s="3578" t="s">
        <v>2748</v>
      </c>
      <c r="F93" s="984"/>
      <c r="G93" s="984"/>
      <c r="H93" s="984"/>
      <c r="I93" s="984"/>
      <c r="J93" s="984"/>
      <c r="K93" s="984"/>
      <c r="L93" s="984"/>
      <c r="M93" s="984"/>
      <c r="N93" s="984"/>
    </row>
    <row r="94" spans="2:14" hidden="1">
      <c r="C94" s="2858" t="s">
        <v>2325</v>
      </c>
      <c r="E94" s="3578" t="s">
        <v>2748</v>
      </c>
      <c r="F94" s="357"/>
      <c r="G94" s="374"/>
      <c r="H94" s="374"/>
      <c r="I94" s="374"/>
      <c r="J94" s="374"/>
      <c r="K94" s="374"/>
      <c r="L94" s="374"/>
      <c r="M94" s="374"/>
      <c r="N94" s="374"/>
    </row>
    <row r="95" spans="2:14" hidden="1">
      <c r="C95" s="2858" t="s">
        <v>2326</v>
      </c>
      <c r="E95" s="3578" t="s">
        <v>2748</v>
      </c>
      <c r="F95" s="357"/>
      <c r="G95" s="374"/>
      <c r="H95" s="374"/>
      <c r="I95" s="374"/>
      <c r="J95" s="374"/>
      <c r="K95" s="374"/>
      <c r="L95" s="374"/>
      <c r="M95" s="374"/>
      <c r="N95" s="374"/>
    </row>
    <row r="96" spans="2:14" hidden="1"/>
    <row r="97" spans="1:15" hidden="1">
      <c r="C97" s="2858" t="s">
        <v>20</v>
      </c>
      <c r="F97" s="357"/>
    </row>
    <row r="98" spans="1:15" hidden="1">
      <c r="C98" s="2858" t="s">
        <v>2323</v>
      </c>
      <c r="E98" s="3578" t="s">
        <v>2736</v>
      </c>
      <c r="F98" s="984"/>
      <c r="G98" s="984"/>
      <c r="H98" s="984"/>
      <c r="I98" s="984"/>
      <c r="J98" s="984"/>
      <c r="K98" s="984"/>
      <c r="L98" s="984"/>
      <c r="M98" s="984"/>
      <c r="N98" s="984"/>
    </row>
    <row r="99" spans="1:15" hidden="1">
      <c r="C99" s="2858" t="s">
        <v>2324</v>
      </c>
      <c r="E99" s="3578" t="s">
        <v>2748</v>
      </c>
      <c r="F99" s="984"/>
      <c r="G99" s="984"/>
      <c r="H99" s="984"/>
      <c r="I99" s="984"/>
      <c r="J99" s="984"/>
      <c r="K99" s="984"/>
      <c r="L99" s="984"/>
      <c r="M99" s="984"/>
      <c r="N99" s="984"/>
    </row>
    <row r="100" spans="1:15" hidden="1">
      <c r="C100" s="2858" t="s">
        <v>2325</v>
      </c>
      <c r="E100" s="3578" t="s">
        <v>2748</v>
      </c>
      <c r="F100" s="357"/>
      <c r="G100" s="374"/>
      <c r="H100" s="374"/>
      <c r="I100" s="374"/>
      <c r="J100" s="374"/>
      <c r="K100" s="374"/>
      <c r="L100" s="374"/>
      <c r="M100" s="374"/>
      <c r="N100" s="374"/>
    </row>
    <row r="101" spans="1:15" hidden="1">
      <c r="C101" s="2858" t="s">
        <v>2326</v>
      </c>
      <c r="E101" s="3578" t="s">
        <v>2748</v>
      </c>
      <c r="F101" s="357"/>
      <c r="G101" s="374"/>
      <c r="H101" s="374"/>
      <c r="I101" s="374"/>
      <c r="J101" s="374"/>
      <c r="K101" s="374"/>
      <c r="L101" s="374"/>
      <c r="M101" s="374"/>
      <c r="N101" s="374"/>
    </row>
    <row r="103" spans="1:15" ht="23.5">
      <c r="A103" s="7"/>
      <c r="B103" s="502" t="s">
        <v>296</v>
      </c>
      <c r="C103" s="503"/>
      <c r="D103" s="503"/>
      <c r="E103" s="503"/>
      <c r="F103" s="503"/>
      <c r="G103" s="503"/>
      <c r="H103" s="503"/>
      <c r="I103" s="503"/>
      <c r="J103" s="503"/>
      <c r="K103" s="503"/>
      <c r="L103" s="503"/>
      <c r="M103" s="503"/>
      <c r="N103" s="503"/>
      <c r="O103" s="857"/>
    </row>
    <row r="104" spans="1:15">
      <c r="B104" s="505"/>
      <c r="C104" s="506"/>
      <c r="D104" s="506"/>
      <c r="E104" s="506"/>
      <c r="F104" s="506"/>
      <c r="G104" s="506"/>
      <c r="H104" s="506"/>
      <c r="I104" s="506"/>
      <c r="J104" s="506"/>
      <c r="K104" s="506"/>
      <c r="L104" s="506"/>
      <c r="M104" s="506"/>
      <c r="N104" s="506"/>
      <c r="O104" s="858"/>
    </row>
    <row r="105" spans="1:15">
      <c r="B105" s="505"/>
      <c r="C105" s="34" t="s">
        <v>2295</v>
      </c>
      <c r="D105" s="506"/>
      <c r="E105" s="507"/>
      <c r="F105" s="506"/>
      <c r="G105" s="506"/>
      <c r="H105" s="506"/>
      <c r="I105" s="506"/>
      <c r="J105" s="506"/>
      <c r="K105" s="506"/>
      <c r="L105" s="506"/>
      <c r="M105" s="506"/>
      <c r="N105" s="507" t="str">
        <f>Preferences.EnergyUnits</f>
        <v>TWh</v>
      </c>
      <c r="O105" s="858"/>
    </row>
    <row r="106" spans="1:15">
      <c r="B106" s="505"/>
      <c r="C106" s="506"/>
      <c r="D106" s="506"/>
      <c r="E106" s="506"/>
      <c r="F106" s="506"/>
      <c r="G106" s="506"/>
      <c r="H106" s="506"/>
      <c r="I106" s="506"/>
      <c r="J106" s="506"/>
      <c r="K106" s="506"/>
      <c r="L106" s="506"/>
      <c r="M106" s="506"/>
      <c r="N106" s="506"/>
      <c r="O106" s="858"/>
    </row>
    <row r="107" spans="1:15" ht="15.5">
      <c r="A107" s="434"/>
      <c r="B107" s="15"/>
      <c r="C107" s="864" t="s">
        <v>28</v>
      </c>
      <c r="D107" s="864" t="s">
        <v>29</v>
      </c>
      <c r="E107" s="864" t="s">
        <v>30</v>
      </c>
      <c r="F107" s="864" t="s">
        <v>588</v>
      </c>
      <c r="G107" s="864" t="s">
        <v>132</v>
      </c>
      <c r="H107" s="864" t="s">
        <v>133</v>
      </c>
      <c r="I107" s="864" t="s">
        <v>134</v>
      </c>
      <c r="J107" s="864" t="s">
        <v>135</v>
      </c>
      <c r="K107" s="864" t="s">
        <v>136</v>
      </c>
      <c r="L107" s="864" t="s">
        <v>137</v>
      </c>
      <c r="M107" s="864" t="s">
        <v>138</v>
      </c>
      <c r="N107" s="864" t="s">
        <v>139</v>
      </c>
      <c r="O107" s="858"/>
    </row>
    <row r="108" spans="1:15" ht="15.5">
      <c r="A108" s="434"/>
      <c r="B108" s="15"/>
      <c r="C108" s="17" t="s">
        <v>97</v>
      </c>
      <c r="D108" s="2457" t="str">
        <f>INDEX(Vectors[Description], MATCH(XVI.a.Outputs[Vector], Vectors[Code], 0))</f>
        <v>Solid hydrocarbons</v>
      </c>
      <c r="E108" s="17"/>
      <c r="F108" s="2491">
        <f ca="1">F$61</f>
        <v>23.375016296063244</v>
      </c>
      <c r="G108" s="2491">
        <f t="shared" ref="G108:N108" ca="1" si="11">G$61</f>
        <v>23.333269324784787</v>
      </c>
      <c r="H108" s="2491">
        <f t="shared" ca="1" si="11"/>
        <v>20.902350296249832</v>
      </c>
      <c r="I108" s="2491">
        <f t="shared" ca="1" si="11"/>
        <v>20.656643746927088</v>
      </c>
      <c r="J108" s="2491">
        <f t="shared" ca="1" si="11"/>
        <v>14.12841125673074</v>
      </c>
      <c r="K108" s="2491">
        <f t="shared" ca="1" si="11"/>
        <v>1.2698250796151025</v>
      </c>
      <c r="L108" s="2491">
        <f t="shared" ca="1" si="11"/>
        <v>1.9561743549554169</v>
      </c>
      <c r="M108" s="2491">
        <f t="shared" ca="1" si="11"/>
        <v>2.6682367388903194</v>
      </c>
      <c r="N108" s="2491">
        <f t="shared" ca="1" si="11"/>
        <v>2.9094430028180738</v>
      </c>
      <c r="O108" s="858"/>
    </row>
    <row r="109" spans="1:15" ht="15.5">
      <c r="A109" s="434"/>
      <c r="B109" s="15"/>
      <c r="C109" s="17" t="s">
        <v>98</v>
      </c>
      <c r="D109" s="2457" t="str">
        <f>INDEX(Vectors[Description], MATCH(XVI.a.Outputs[Vector], Vectors[Code], 0))</f>
        <v>Liquid hydrocarbons</v>
      </c>
      <c r="E109" s="17"/>
      <c r="F109" s="2491">
        <f ca="1">F$62</f>
        <v>76.526836320775942</v>
      </c>
      <c r="G109" s="2491">
        <f t="shared" ref="G109:N109" ca="1" si="12">G$62</f>
        <v>74.08927995898263</v>
      </c>
      <c r="H109" s="2491">
        <f t="shared" ca="1" si="12"/>
        <v>75.114909897863313</v>
      </c>
      <c r="I109" s="2491">
        <f t="shared" ca="1" si="12"/>
        <v>75.036510281436605</v>
      </c>
      <c r="J109" s="2491">
        <f t="shared" ca="1" si="12"/>
        <v>75.220892589846784</v>
      </c>
      <c r="K109" s="2491">
        <f t="shared" ca="1" si="12"/>
        <v>75.174956561456597</v>
      </c>
      <c r="L109" s="2491">
        <f t="shared" ca="1" si="12"/>
        <v>75.040093616616304</v>
      </c>
      <c r="M109" s="2491">
        <f t="shared" ca="1" si="12"/>
        <v>75.04125554596699</v>
      </c>
      <c r="N109" s="2491">
        <f t="shared" ca="1" si="12"/>
        <v>74.505208807877793</v>
      </c>
      <c r="O109" s="858"/>
    </row>
    <row r="110" spans="1:15" ht="15.5">
      <c r="A110" s="434"/>
      <c r="B110" s="15"/>
      <c r="C110" s="17" t="s">
        <v>99</v>
      </c>
      <c r="D110" s="2457" t="str">
        <f>INDEX(Vectors[Description], MATCH(XVI.a.Outputs[Vector], Vectors[Code], 0))</f>
        <v>Gaseous hydrocarbons</v>
      </c>
      <c r="E110" s="17"/>
      <c r="F110" s="2491">
        <f ca="1">F$64</f>
        <v>46.772039222317815</v>
      </c>
      <c r="G110" s="2491">
        <f t="shared" ref="G110:N110" ca="1" si="13">G$64</f>
        <v>48.722656609144629</v>
      </c>
      <c r="H110" s="2491">
        <f t="shared" ca="1" si="13"/>
        <v>56.888397959696128</v>
      </c>
      <c r="I110" s="2491">
        <f t="shared" ca="1" si="13"/>
        <v>68.271566963354275</v>
      </c>
      <c r="J110" s="2491">
        <f t="shared" ca="1" si="13"/>
        <v>84.637781591734282</v>
      </c>
      <c r="K110" s="2491">
        <f t="shared" ca="1" si="13"/>
        <v>105.33711352998291</v>
      </c>
      <c r="L110" s="2491">
        <f t="shared" ca="1" si="13"/>
        <v>114.36297881915442</v>
      </c>
      <c r="M110" s="2491">
        <f t="shared" ca="1" si="13"/>
        <v>123.75492729529913</v>
      </c>
      <c r="N110" s="2491">
        <f t="shared" ca="1" si="13"/>
        <v>133.7357504056701</v>
      </c>
      <c r="O110" s="858"/>
    </row>
    <row r="111" spans="1:15" ht="15.5">
      <c r="A111" s="434"/>
      <c r="B111" s="15"/>
      <c r="C111" s="17" t="s">
        <v>416</v>
      </c>
      <c r="D111" s="2457" t="str">
        <f>INDEX(Vectors[Description], MATCH(XVI.a.Outputs[Vector], Vectors[Code], 0))</f>
        <v>Coal, peat and solid fuels</v>
      </c>
      <c r="E111" s="17"/>
      <c r="F111" s="2491">
        <f ca="1">-F$61</f>
        <v>-23.375016296063244</v>
      </c>
      <c r="G111" s="2491">
        <f t="shared" ref="G111:N111" ca="1" si="14">-G$61</f>
        <v>-23.333269324784787</v>
      </c>
      <c r="H111" s="2491">
        <f t="shared" ca="1" si="14"/>
        <v>-20.902350296249832</v>
      </c>
      <c r="I111" s="2491">
        <f t="shared" ca="1" si="14"/>
        <v>-20.656643746927088</v>
      </c>
      <c r="J111" s="2491">
        <f t="shared" ca="1" si="14"/>
        <v>-14.12841125673074</v>
      </c>
      <c r="K111" s="2491">
        <f t="shared" ca="1" si="14"/>
        <v>-1.2698250796151025</v>
      </c>
      <c r="L111" s="2491">
        <f t="shared" ca="1" si="14"/>
        <v>-1.9561743549554169</v>
      </c>
      <c r="M111" s="2491">
        <f t="shared" ca="1" si="14"/>
        <v>-2.6682367388903194</v>
      </c>
      <c r="N111" s="2491">
        <f t="shared" ca="1" si="14"/>
        <v>-2.9094430028180738</v>
      </c>
      <c r="O111" s="858"/>
    </row>
    <row r="112" spans="1:15" ht="15.5">
      <c r="A112" s="434"/>
      <c r="B112" s="15"/>
      <c r="C112" s="17" t="s">
        <v>417</v>
      </c>
      <c r="D112" s="2457" t="str">
        <f>INDEX(Vectors[Description], MATCH(XVI.a.Outputs[Vector], Vectors[Code], 0))</f>
        <v>Oil and petroleum products</v>
      </c>
      <c r="E112" s="17"/>
      <c r="F112" s="2491">
        <f ca="1">-F62</f>
        <v>-76.526836320775942</v>
      </c>
      <c r="G112" s="2491">
        <f t="shared" ref="G112:N112" ca="1" si="15">-G62</f>
        <v>-74.08927995898263</v>
      </c>
      <c r="H112" s="2491">
        <f t="shared" ca="1" si="15"/>
        <v>-75.114909897863313</v>
      </c>
      <c r="I112" s="2491">
        <f t="shared" ca="1" si="15"/>
        <v>-75.036510281436605</v>
      </c>
      <c r="J112" s="2491">
        <f t="shared" ca="1" si="15"/>
        <v>-75.220892589846784</v>
      </c>
      <c r="K112" s="2491">
        <f t="shared" ca="1" si="15"/>
        <v>-75.174956561456597</v>
      </c>
      <c r="L112" s="2491">
        <f t="shared" ca="1" si="15"/>
        <v>-75.040093616616304</v>
      </c>
      <c r="M112" s="2491">
        <f t="shared" ca="1" si="15"/>
        <v>-75.04125554596699</v>
      </c>
      <c r="N112" s="2491">
        <f t="shared" ca="1" si="15"/>
        <v>-74.505208807877793</v>
      </c>
      <c r="O112" s="858"/>
    </row>
    <row r="113" spans="1:22" ht="15.5">
      <c r="A113" s="434"/>
      <c r="B113" s="15"/>
      <c r="C113" s="17" t="s">
        <v>418</v>
      </c>
      <c r="D113" s="2457" t="str">
        <f>INDEX(Vectors[Description], MATCH(XVI.a.Outputs[Vector], Vectors[Code], 0))</f>
        <v>Natural gas</v>
      </c>
      <c r="E113" s="17"/>
      <c r="F113" s="2491">
        <f ca="1">-F$66</f>
        <v>-47.473619810652579</v>
      </c>
      <c r="G113" s="2491">
        <f t="shared" ref="G113:N113" ca="1" si="16">-G$66</f>
        <v>-49.453496458281798</v>
      </c>
      <c r="H113" s="2491">
        <f t="shared" ca="1" si="16"/>
        <v>-57.74172392909157</v>
      </c>
      <c r="I113" s="2491">
        <f t="shared" ca="1" si="16"/>
        <v>-69.295640467804589</v>
      </c>
      <c r="J113" s="2491">
        <f t="shared" ca="1" si="16"/>
        <v>-85.907348315610292</v>
      </c>
      <c r="K113" s="2491">
        <f t="shared" ca="1" si="16"/>
        <v>-106.91717023293266</v>
      </c>
      <c r="L113" s="2491">
        <f t="shared" ca="1" si="16"/>
        <v>-116.07842350144173</v>
      </c>
      <c r="M113" s="2491">
        <f t="shared" ca="1" si="16"/>
        <v>-125.61125120472862</v>
      </c>
      <c r="N113" s="2491">
        <f t="shared" ca="1" si="16"/>
        <v>-135.74178666175516</v>
      </c>
      <c r="O113" s="858"/>
    </row>
    <row r="114" spans="1:22" ht="15.5">
      <c r="A114" s="434"/>
      <c r="B114" s="15"/>
      <c r="C114" s="17" t="s">
        <v>445</v>
      </c>
      <c r="D114" s="2457" t="str">
        <f>INDEX(Vectors[Description], MATCH(XVI.a.Outputs[Vector], Vectors[Code], 0))</f>
        <v>Distribution losses and own use</v>
      </c>
      <c r="E114" s="17"/>
      <c r="F114" s="2491">
        <f ca="1">F$65</f>
        <v>0.70158058833476722</v>
      </c>
      <c r="G114" s="2491">
        <f t="shared" ref="G114:N114" ca="1" si="17">G$65</f>
        <v>0.73083984913716937</v>
      </c>
      <c r="H114" s="2491">
        <f t="shared" ca="1" si="17"/>
        <v>0.85332596939544192</v>
      </c>
      <c r="I114" s="2491">
        <f t="shared" ca="1" si="17"/>
        <v>1.024073504450314</v>
      </c>
      <c r="J114" s="2491">
        <f t="shared" ca="1" si="17"/>
        <v>1.2695667238760142</v>
      </c>
      <c r="K114" s="2491">
        <f t="shared" ca="1" si="17"/>
        <v>1.5800567029497437</v>
      </c>
      <c r="L114" s="2491">
        <f t="shared" ca="1" si="17"/>
        <v>1.7154446822873162</v>
      </c>
      <c r="M114" s="2491">
        <f t="shared" ca="1" si="17"/>
        <v>1.8563239094294868</v>
      </c>
      <c r="N114" s="2491">
        <f t="shared" ca="1" si="17"/>
        <v>2.0060362560850513</v>
      </c>
      <c r="O114" s="858"/>
    </row>
    <row r="115" spans="1:22" ht="15.5">
      <c r="A115" s="434"/>
      <c r="B115" s="15"/>
      <c r="C115" s="2432" t="s">
        <v>58</v>
      </c>
      <c r="D115" s="2432"/>
      <c r="E115" s="2432"/>
      <c r="F115" s="2435">
        <f ca="1">SUBTOTAL(109,XVI.a.Outputs[2013])</f>
        <v>1.7541523789077473E-14</v>
      </c>
      <c r="G115" s="2435">
        <f ca="1">SUBTOTAL(109,XVI.a.Outputs[2015])</f>
        <v>-2.0983215165415459E-14</v>
      </c>
      <c r="H115" s="2435">
        <f ca="1">SUBTOTAL(109,XVI.a.Outputs[2020])</f>
        <v>-7.2164496600635175E-15</v>
      </c>
      <c r="I115" s="2435">
        <f ca="1">SUBTOTAL(109,XVI.a.Outputs[2025])</f>
        <v>-1.4210854715202004E-14</v>
      </c>
      <c r="J115" s="2435">
        <f ca="1">SUBTOTAL(109,XVI.a.Outputs[2030])</f>
        <v>-1.0880185641326534E-14</v>
      </c>
      <c r="K115" s="2435">
        <f ca="1">SUBTOTAL(109,XVI.a.Outputs[2035])</f>
        <v>-3.5527136788005009E-15</v>
      </c>
      <c r="L115" s="2435">
        <f ca="1">SUBTOTAL(109,XVI.a.Outputs[2040])</f>
        <v>3.1974423109204508E-14</v>
      </c>
      <c r="M115" s="2435">
        <f ca="1">SUBTOTAL(109,XVI.a.Outputs[2045])</f>
        <v>-1.8873791418627661E-14</v>
      </c>
      <c r="N115" s="2435">
        <f ca="1">SUBTOTAL(109,XVI.a.Outputs[2050])</f>
        <v>0</v>
      </c>
      <c r="O115" s="858"/>
    </row>
    <row r="116" spans="1:22" ht="15.5">
      <c r="B116" s="15"/>
      <c r="C116" s="2888"/>
      <c r="D116" s="2889"/>
      <c r="E116" s="2889"/>
      <c r="F116" s="2889"/>
      <c r="G116" s="2889"/>
      <c r="H116" s="2889"/>
      <c r="I116" s="2889"/>
      <c r="J116" s="2889"/>
      <c r="K116" s="2889"/>
      <c r="L116" s="2889"/>
      <c r="M116" s="2889"/>
      <c r="N116" s="2889"/>
      <c r="O116" s="35"/>
    </row>
    <row r="117" spans="1:22" ht="23.5">
      <c r="A117" s="7"/>
    </row>
    <row r="118" spans="1:22" ht="15">
      <c r="B118" s="1118" t="s">
        <v>300</v>
      </c>
      <c r="C118" s="1119"/>
      <c r="D118" s="1120"/>
      <c r="E118" s="1120"/>
      <c r="F118" s="1120"/>
      <c r="G118" s="1120"/>
      <c r="H118" s="1120"/>
      <c r="I118" s="1120"/>
      <c r="J118" s="1120"/>
      <c r="K118" s="1120"/>
      <c r="L118" s="1120"/>
      <c r="M118" s="1120"/>
      <c r="N118" s="1120"/>
      <c r="O118" s="1121"/>
    </row>
    <row r="119" spans="1:22">
      <c r="B119" s="1122"/>
      <c r="C119" s="1123"/>
      <c r="D119" s="1123"/>
      <c r="E119" s="1123"/>
      <c r="F119" s="1123"/>
      <c r="G119" s="1123"/>
      <c r="H119" s="1123"/>
      <c r="I119" s="1123"/>
      <c r="J119" s="1123"/>
      <c r="K119" s="1123"/>
      <c r="L119" s="1123"/>
      <c r="M119" s="1123"/>
      <c r="N119" s="1123"/>
      <c r="O119" s="1124"/>
    </row>
    <row r="120" spans="1:22">
      <c r="B120" s="1125"/>
      <c r="C120" s="453" t="s">
        <v>1308</v>
      </c>
      <c r="D120" s="1126"/>
      <c r="E120" s="1127"/>
      <c r="F120" s="1126"/>
      <c r="G120" s="1126"/>
      <c r="H120" s="1126"/>
      <c r="I120" s="1126"/>
      <c r="J120" s="1126"/>
      <c r="K120" s="1126"/>
      <c r="L120" s="1126"/>
      <c r="M120" s="1126"/>
      <c r="N120" s="1127" t="s">
        <v>251</v>
      </c>
      <c r="O120" s="1129"/>
    </row>
    <row r="121" spans="1:22">
      <c r="B121" s="1125"/>
      <c r="C121" s="1126"/>
      <c r="D121" s="1126"/>
      <c r="E121" s="1126"/>
      <c r="F121" s="1126"/>
      <c r="G121" s="1126"/>
      <c r="H121" s="1126"/>
      <c r="I121" s="1126"/>
      <c r="J121" s="1126"/>
      <c r="K121" s="1126"/>
      <c r="L121" s="1126"/>
      <c r="M121" s="1126"/>
      <c r="N121" s="1126"/>
      <c r="O121" s="1129"/>
    </row>
    <row r="122" spans="1:22" ht="15.5">
      <c r="B122" s="458"/>
      <c r="C122" s="1327" t="s">
        <v>302</v>
      </c>
      <c r="D122" s="1327" t="s">
        <v>303</v>
      </c>
      <c r="E122" s="1327" t="s">
        <v>30</v>
      </c>
      <c r="F122" s="1327" t="s">
        <v>588</v>
      </c>
      <c r="G122" s="1327" t="s">
        <v>132</v>
      </c>
      <c r="H122" s="1327" t="s">
        <v>133</v>
      </c>
      <c r="I122" s="1327" t="s">
        <v>134</v>
      </c>
      <c r="J122" s="1327" t="s">
        <v>135</v>
      </c>
      <c r="K122" s="1327" t="s">
        <v>136</v>
      </c>
      <c r="L122" s="1327" t="s">
        <v>137</v>
      </c>
      <c r="M122" s="1327" t="s">
        <v>138</v>
      </c>
      <c r="N122" s="1327" t="s">
        <v>139</v>
      </c>
      <c r="O122" s="1129"/>
    </row>
    <row r="123" spans="1:22" ht="15.5">
      <c r="B123" s="458"/>
      <c r="C123" s="1131" t="s">
        <v>252</v>
      </c>
      <c r="D123" s="1132" t="s">
        <v>447</v>
      </c>
      <c r="E123" s="1131"/>
      <c r="F123" s="3722">
        <f>F73</f>
        <v>0.02</v>
      </c>
      <c r="G123" s="3722">
        <f t="shared" ref="G123:N123" ca="1" si="18">G73</f>
        <v>2.0834095506315257E-2</v>
      </c>
      <c r="H123" s="3722">
        <f t="shared" ca="1" si="18"/>
        <v>2.4325814698518078E-2</v>
      </c>
      <c r="I123" s="3722">
        <f t="shared" ca="1" si="18"/>
        <v>2.9193324943068855E-2</v>
      </c>
      <c r="J123" s="3722">
        <f t="shared" ca="1" si="18"/>
        <v>3.6191614904551091E-2</v>
      </c>
      <c r="K123" s="3722">
        <f t="shared" ca="1" si="18"/>
        <v>4.5042771399935073E-2</v>
      </c>
      <c r="L123" s="3722">
        <f t="shared" ca="1" si="18"/>
        <v>4.8902284664374789E-2</v>
      </c>
      <c r="M123" s="3722">
        <f t="shared" ca="1" si="18"/>
        <v>5.2918337260030368E-2</v>
      </c>
      <c r="N123" s="3722">
        <f t="shared" ca="1" si="18"/>
        <v>5.71861961245669E-2</v>
      </c>
      <c r="O123" s="1129"/>
    </row>
    <row r="124" spans="1:22" ht="15.5">
      <c r="B124" s="458"/>
      <c r="C124" s="2436" t="s">
        <v>58</v>
      </c>
      <c r="D124" s="2436"/>
      <c r="E124" s="2436"/>
      <c r="F124" s="3723">
        <f>SUBTOTAL(109,XVI.a.Emissions[2013])</f>
        <v>0.02</v>
      </c>
      <c r="G124" s="3723">
        <f ca="1">SUBTOTAL(109,XVI.a.Emissions[2015])</f>
        <v>2.0834095506315257E-2</v>
      </c>
      <c r="H124" s="3723">
        <f ca="1">SUBTOTAL(109,XVI.a.Emissions[2020])</f>
        <v>2.4325814698518078E-2</v>
      </c>
      <c r="I124" s="3723">
        <f ca="1">SUBTOTAL(109,XVI.a.Emissions[2025])</f>
        <v>2.9193324943068855E-2</v>
      </c>
      <c r="J124" s="3723">
        <f ca="1">SUBTOTAL(109,XVI.a.Emissions[2030])</f>
        <v>3.6191614904551091E-2</v>
      </c>
      <c r="K124" s="3723">
        <f ca="1">SUBTOTAL(109,XVI.a.Emissions[2035])</f>
        <v>4.5042771399935073E-2</v>
      </c>
      <c r="L124" s="3723">
        <f ca="1">SUBTOTAL(109,XVI.a.Emissions[2040])</f>
        <v>4.8902284664374789E-2</v>
      </c>
      <c r="M124" s="3723">
        <f ca="1">SUBTOTAL(109,XVI.a.Emissions[2045])</f>
        <v>5.2918337260030368E-2</v>
      </c>
      <c r="N124" s="3723">
        <f ca="1">SUBTOTAL(109,XVI.a.Emissions[2050])</f>
        <v>5.71861961245669E-2</v>
      </c>
      <c r="O124" s="1129"/>
    </row>
    <row r="125" spans="1:22" ht="15.5" hidden="1">
      <c r="B125" s="458"/>
      <c r="C125" s="1131" t="s">
        <v>58</v>
      </c>
      <c r="D125" s="1131"/>
      <c r="E125" s="1131"/>
      <c r="F125" s="462">
        <v>4.3706513640884639</v>
      </c>
      <c r="G125" s="462">
        <v>4.8268378349521575</v>
      </c>
      <c r="H125" s="462">
        <v>5.3744407005512231</v>
      </c>
      <c r="I125" s="462">
        <v>6.2075713688847998</v>
      </c>
      <c r="J125" s="462">
        <v>7.0387724701456644</v>
      </c>
      <c r="K125" s="462">
        <v>7.7236295167065574</v>
      </c>
      <c r="L125" s="462">
        <v>8.3165383163910782</v>
      </c>
      <c r="M125" s="462">
        <v>8.9318071063019691</v>
      </c>
      <c r="N125" s="462">
        <v>9.4580059721005636</v>
      </c>
      <c r="O125" s="1129"/>
    </row>
    <row r="126" spans="1:22" ht="15.5">
      <c r="B126" s="458"/>
      <c r="C126" s="1126"/>
      <c r="D126" s="1126"/>
      <c r="E126" s="1126"/>
      <c r="F126" s="1126"/>
      <c r="G126" s="1126"/>
      <c r="H126" s="1126"/>
      <c r="I126" s="1126"/>
      <c r="J126" s="1126"/>
      <c r="K126" s="1126"/>
      <c r="L126" s="1126"/>
      <c r="M126" s="1126"/>
      <c r="N126" s="1126"/>
      <c r="O126" s="1126"/>
      <c r="S126" s="1143"/>
      <c r="T126" s="1144"/>
      <c r="U126" s="1143"/>
      <c r="V126" s="1143"/>
    </row>
    <row r="127" spans="1:22">
      <c r="B127" s="2858" t="s">
        <v>5</v>
      </c>
      <c r="T127" s="6"/>
    </row>
    <row r="128" spans="1:22" ht="15">
      <c r="B128" s="986" t="s">
        <v>310</v>
      </c>
      <c r="C128" s="987"/>
      <c r="D128" s="988"/>
      <c r="E128" s="988"/>
      <c r="F128" s="988"/>
      <c r="G128" s="988"/>
      <c r="H128" s="988"/>
      <c r="I128" s="988"/>
      <c r="J128" s="988"/>
      <c r="K128" s="988"/>
      <c r="L128" s="988"/>
      <c r="M128" s="988"/>
      <c r="N128" s="988"/>
      <c r="O128" s="989"/>
      <c r="T128" s="6"/>
    </row>
    <row r="129" spans="2:20">
      <c r="B129" s="990"/>
      <c r="C129" s="991"/>
      <c r="D129" s="991"/>
      <c r="E129" s="991"/>
      <c r="F129" s="991"/>
      <c r="G129" s="991"/>
      <c r="H129" s="991"/>
      <c r="I129" s="991"/>
      <c r="J129" s="991"/>
      <c r="K129" s="991"/>
      <c r="L129" s="991"/>
      <c r="M129" s="991"/>
      <c r="N129" s="991"/>
      <c r="O129" s="992"/>
      <c r="T129" s="6"/>
    </row>
    <row r="130" spans="2:20">
      <c r="B130" s="993"/>
      <c r="C130" s="479" t="s">
        <v>311</v>
      </c>
      <c r="D130" s="994"/>
      <c r="E130" s="995"/>
      <c r="F130" s="994"/>
      <c r="G130" s="994"/>
      <c r="H130" s="994"/>
      <c r="I130" s="994"/>
      <c r="J130" s="994"/>
      <c r="K130" s="994"/>
      <c r="L130" s="994"/>
      <c r="M130" s="994"/>
      <c r="N130" s="995"/>
      <c r="O130" s="996"/>
    </row>
    <row r="131" spans="2:20">
      <c r="B131" s="993"/>
      <c r="C131" s="994"/>
      <c r="D131" s="994"/>
      <c r="E131" s="994"/>
      <c r="F131" s="994"/>
      <c r="G131" s="994"/>
      <c r="H131" s="994"/>
      <c r="I131" s="994"/>
      <c r="J131" s="994"/>
      <c r="K131" s="994"/>
      <c r="L131" s="994"/>
      <c r="M131" s="994"/>
      <c r="N131" s="994"/>
      <c r="O131" s="996"/>
    </row>
    <row r="132" spans="2:20" ht="15.5">
      <c r="B132" s="483"/>
      <c r="C132" s="997" t="s">
        <v>28</v>
      </c>
      <c r="D132" s="997" t="s">
        <v>312</v>
      </c>
      <c r="E132" s="997" t="s">
        <v>30</v>
      </c>
      <c r="F132" s="997">
        <v>2013</v>
      </c>
      <c r="G132" s="997" t="s">
        <v>132</v>
      </c>
      <c r="H132" s="997" t="s">
        <v>133</v>
      </c>
      <c r="I132" s="997" t="s">
        <v>134</v>
      </c>
      <c r="J132" s="997" t="s">
        <v>135</v>
      </c>
      <c r="K132" s="997" t="s">
        <v>136</v>
      </c>
      <c r="L132" s="997" t="s">
        <v>137</v>
      </c>
      <c r="M132" s="997" t="s">
        <v>138</v>
      </c>
      <c r="N132" s="997" t="s">
        <v>139</v>
      </c>
      <c r="O132" s="996"/>
    </row>
    <row r="133" spans="2:20" ht="15.5">
      <c r="B133" s="483"/>
      <c r="C133" s="998"/>
      <c r="D133" s="485"/>
      <c r="E133" s="485"/>
      <c r="F133" s="999"/>
      <c r="G133" s="999"/>
      <c r="H133" s="999"/>
      <c r="I133" s="999"/>
      <c r="J133" s="999"/>
      <c r="K133" s="999"/>
      <c r="L133" s="999"/>
      <c r="M133" s="999"/>
      <c r="N133" s="999"/>
      <c r="O133" s="996"/>
    </row>
    <row r="134" spans="2:20" ht="15.5">
      <c r="B134" s="488"/>
      <c r="C134" s="1001"/>
      <c r="D134" s="1001"/>
      <c r="E134" s="1001"/>
      <c r="F134" s="1001"/>
      <c r="G134" s="1001"/>
      <c r="H134" s="1001"/>
      <c r="I134" s="1001"/>
      <c r="J134" s="1001"/>
      <c r="K134" s="1001"/>
      <c r="L134" s="1001"/>
      <c r="M134" s="1001"/>
      <c r="N134" s="1001"/>
      <c r="O134" s="1002"/>
    </row>
    <row r="136" spans="2:20" ht="15">
      <c r="B136" s="986" t="s">
        <v>2720</v>
      </c>
      <c r="C136" s="988"/>
      <c r="D136" s="988"/>
      <c r="E136" s="988"/>
      <c r="F136" s="988"/>
      <c r="G136" s="988"/>
      <c r="H136" s="988"/>
      <c r="I136" s="988"/>
      <c r="J136" s="988"/>
      <c r="K136" s="988"/>
      <c r="L136" s="988"/>
      <c r="M136" s="988"/>
      <c r="N136" s="988"/>
      <c r="O136" s="989"/>
    </row>
    <row r="137" spans="2:20" hidden="1">
      <c r="B137" s="993"/>
      <c r="C137" s="994"/>
      <c r="D137" s="994"/>
      <c r="E137" s="994"/>
      <c r="F137" s="994"/>
      <c r="G137" s="994"/>
      <c r="H137" s="994"/>
      <c r="I137" s="994"/>
      <c r="J137" s="994"/>
      <c r="K137" s="994"/>
      <c r="L137" s="994"/>
      <c r="M137" s="994"/>
      <c r="N137" s="994"/>
      <c r="O137" s="996"/>
    </row>
    <row r="138" spans="2:20" hidden="1">
      <c r="B138" s="993"/>
      <c r="C138" s="491" t="s">
        <v>751</v>
      </c>
      <c r="D138" s="1003"/>
      <c r="E138" s="1003"/>
      <c r="F138" s="1003"/>
      <c r="G138" s="1003"/>
      <c r="H138" s="1003"/>
      <c r="I138" s="1003"/>
      <c r="J138" s="1003"/>
      <c r="K138" s="1003"/>
      <c r="L138" s="1003"/>
      <c r="M138" s="1003"/>
      <c r="N138" s="1003"/>
      <c r="O138" s="996"/>
    </row>
    <row r="139" spans="2:20" hidden="1">
      <c r="B139" s="993"/>
      <c r="C139" s="994"/>
      <c r="D139" s="994"/>
      <c r="E139" s="994"/>
      <c r="F139" s="994"/>
      <c r="G139" s="994"/>
      <c r="H139" s="994"/>
      <c r="I139" s="994"/>
      <c r="J139" s="994"/>
      <c r="K139" s="994"/>
      <c r="L139" s="994"/>
      <c r="M139" s="994"/>
      <c r="N139" s="994"/>
      <c r="O139" s="996"/>
    </row>
    <row r="140" spans="2:20" ht="15.5" hidden="1">
      <c r="B140" s="483"/>
      <c r="C140" s="997" t="s">
        <v>28</v>
      </c>
      <c r="D140" s="997" t="s">
        <v>29</v>
      </c>
      <c r="E140" s="997" t="s">
        <v>30</v>
      </c>
      <c r="F140" s="997">
        <v>2013</v>
      </c>
      <c r="G140" s="997" t="s">
        <v>132</v>
      </c>
      <c r="H140" s="997" t="s">
        <v>133</v>
      </c>
      <c r="I140" s="997" t="s">
        <v>134</v>
      </c>
      <c r="J140" s="997" t="s">
        <v>135</v>
      </c>
      <c r="K140" s="997" t="s">
        <v>136</v>
      </c>
      <c r="L140" s="997" t="s">
        <v>137</v>
      </c>
      <c r="M140" s="997" t="s">
        <v>138</v>
      </c>
      <c r="N140" s="997" t="s">
        <v>139</v>
      </c>
      <c r="O140" s="1141"/>
    </row>
    <row r="141" spans="2:20" ht="15.5" hidden="1">
      <c r="B141" s="483"/>
      <c r="C141" s="998" t="s">
        <v>321</v>
      </c>
      <c r="D141" s="485" t="s">
        <v>322</v>
      </c>
      <c r="E141" s="485"/>
      <c r="F141" s="486"/>
      <c r="G141" s="486"/>
      <c r="H141" s="486"/>
      <c r="I141" s="486"/>
      <c r="J141" s="486"/>
      <c r="K141" s="486"/>
      <c r="L141" s="486"/>
      <c r="M141" s="486"/>
      <c r="N141" s="486"/>
      <c r="O141" s="1141"/>
    </row>
    <row r="142" spans="2:20" ht="15.5" hidden="1">
      <c r="B142" s="483"/>
      <c r="C142" s="998" t="s">
        <v>323</v>
      </c>
      <c r="D142" s="485" t="s">
        <v>324</v>
      </c>
      <c r="E142" s="485"/>
      <c r="F142" s="486"/>
      <c r="G142" s="486"/>
      <c r="H142" s="486"/>
      <c r="I142" s="486"/>
      <c r="J142" s="486"/>
      <c r="K142" s="486"/>
      <c r="L142" s="486"/>
      <c r="M142" s="486"/>
      <c r="N142" s="486"/>
      <c r="O142" s="1141"/>
    </row>
    <row r="143" spans="2:20" ht="15.5" hidden="1">
      <c r="B143" s="483"/>
      <c r="C143" s="998" t="s">
        <v>325</v>
      </c>
      <c r="D143" s="485" t="s">
        <v>326</v>
      </c>
      <c r="E143" s="485"/>
      <c r="F143" s="486"/>
      <c r="G143" s="486"/>
      <c r="H143" s="486"/>
      <c r="I143" s="486"/>
      <c r="J143" s="486"/>
      <c r="K143" s="486"/>
      <c r="L143" s="486"/>
      <c r="M143" s="486"/>
      <c r="N143" s="486"/>
      <c r="O143" s="1141"/>
    </row>
    <row r="144" spans="2:20" ht="15.5" hidden="1">
      <c r="B144" s="483"/>
      <c r="C144" s="998" t="s">
        <v>328</v>
      </c>
      <c r="D144" s="485" t="s">
        <v>329</v>
      </c>
      <c r="E144" s="485"/>
      <c r="F144" s="486"/>
      <c r="G144" s="486"/>
      <c r="H144" s="486"/>
      <c r="I144" s="486"/>
      <c r="J144" s="486"/>
      <c r="K144" s="486"/>
      <c r="L144" s="486"/>
      <c r="M144" s="486"/>
      <c r="N144" s="486"/>
      <c r="O144" s="1141"/>
    </row>
    <row r="145" spans="2:15" hidden="1">
      <c r="B145" s="494"/>
      <c r="C145" s="998" t="s">
        <v>330</v>
      </c>
      <c r="D145" s="485" t="s">
        <v>331</v>
      </c>
      <c r="E145" s="485"/>
      <c r="F145" s="486"/>
      <c r="G145" s="486"/>
      <c r="H145" s="486"/>
      <c r="I145" s="486"/>
      <c r="J145" s="486"/>
      <c r="K145" s="486"/>
      <c r="L145" s="486"/>
      <c r="M145" s="486"/>
      <c r="N145" s="486"/>
      <c r="O145" s="1142"/>
    </row>
    <row r="146" spans="2:15" hidden="1">
      <c r="B146" s="494"/>
      <c r="C146" s="998" t="s">
        <v>332</v>
      </c>
      <c r="D146" s="485" t="s">
        <v>333</v>
      </c>
      <c r="E146" s="485"/>
      <c r="F146" s="486"/>
      <c r="G146" s="486"/>
      <c r="H146" s="486"/>
      <c r="I146" s="486"/>
      <c r="J146" s="486"/>
      <c r="K146" s="486"/>
      <c r="L146" s="486"/>
      <c r="M146" s="486"/>
      <c r="N146" s="486"/>
      <c r="O146" s="1142"/>
    </row>
    <row r="147" spans="2:15" hidden="1">
      <c r="B147" s="1005"/>
      <c r="C147" s="1001"/>
      <c r="D147" s="1001"/>
      <c r="E147" s="1001"/>
      <c r="F147" s="1001"/>
      <c r="G147" s="1001"/>
      <c r="H147" s="1001"/>
      <c r="I147" s="1001"/>
      <c r="J147" s="1001"/>
      <c r="K147" s="1001"/>
      <c r="L147" s="1001"/>
      <c r="M147" s="1001"/>
      <c r="N147" s="1001"/>
      <c r="O147" s="1006"/>
    </row>
    <row r="149" spans="2:15" ht="15.5">
      <c r="B149" s="1345" t="s">
        <v>973</v>
      </c>
      <c r="C149" s="1622"/>
      <c r="D149" s="1622"/>
      <c r="E149" s="1622"/>
      <c r="F149" s="1622"/>
      <c r="G149" s="1622"/>
      <c r="H149" s="1622"/>
      <c r="I149" s="1622"/>
      <c r="J149" s="1622"/>
      <c r="K149" s="1622"/>
      <c r="L149" s="1622"/>
      <c r="M149" s="1622"/>
      <c r="N149" s="1622"/>
      <c r="O149" s="1622"/>
    </row>
    <row r="150" spans="2:15">
      <c r="B150" s="1346"/>
      <c r="C150" s="1346"/>
      <c r="D150" s="1346"/>
      <c r="E150" s="1346"/>
      <c r="F150" s="1346"/>
      <c r="G150" s="1346"/>
      <c r="H150" s="1346"/>
      <c r="I150" s="1346"/>
      <c r="J150" s="1346"/>
      <c r="K150" s="1346"/>
      <c r="L150" s="1346"/>
      <c r="M150" s="1346"/>
      <c r="N150" s="1346"/>
      <c r="O150" s="1346"/>
    </row>
    <row r="151" spans="2:15">
      <c r="B151" s="1346"/>
      <c r="C151" s="2894" t="s">
        <v>28</v>
      </c>
      <c r="D151" s="2895" t="s">
        <v>29</v>
      </c>
      <c r="E151" s="2895" t="s">
        <v>303</v>
      </c>
      <c r="F151" s="2895" t="s">
        <v>588</v>
      </c>
      <c r="G151" s="2895" t="s">
        <v>132</v>
      </c>
      <c r="H151" s="2895" t="s">
        <v>133</v>
      </c>
      <c r="I151" s="2895" t="s">
        <v>134</v>
      </c>
      <c r="J151" s="2895" t="s">
        <v>135</v>
      </c>
      <c r="K151" s="2895" t="s">
        <v>136</v>
      </c>
      <c r="L151" s="2895" t="s">
        <v>137</v>
      </c>
      <c r="M151" s="2895" t="s">
        <v>138</v>
      </c>
      <c r="N151" s="2896" t="s">
        <v>139</v>
      </c>
      <c r="O151" s="1346"/>
    </row>
    <row r="152" spans="2:15">
      <c r="B152" s="1346"/>
      <c r="C152" s="1630" t="s">
        <v>263</v>
      </c>
      <c r="D152" s="1631" t="s">
        <v>264</v>
      </c>
      <c r="E152" s="2946" t="s">
        <v>447</v>
      </c>
      <c r="F152" s="2945">
        <f ca="1">$G152*(F$64/$G$64)</f>
        <v>0</v>
      </c>
      <c r="G152" s="2945">
        <f>G$29</f>
        <v>0</v>
      </c>
      <c r="H152" s="2945">
        <f>H$29</f>
        <v>0</v>
      </c>
      <c r="I152" s="2945">
        <f>I$29</f>
        <v>0</v>
      </c>
      <c r="J152" s="2945">
        <f>J$29</f>
        <v>0</v>
      </c>
      <c r="K152" s="2945">
        <f>K$29</f>
        <v>0</v>
      </c>
      <c r="L152" s="2945">
        <f ca="1">$K152*(L$64/$K$64)</f>
        <v>0</v>
      </c>
      <c r="M152" s="2945">
        <f ca="1">$K152*(M$64/$K$64)</f>
        <v>0</v>
      </c>
      <c r="N152" s="2945">
        <f ca="1">$K152*(N$64/$K$64)</f>
        <v>0</v>
      </c>
      <c r="O152" s="1346"/>
    </row>
    <row r="153" spans="2:15">
      <c r="B153" s="1346"/>
      <c r="C153" s="1346"/>
      <c r="D153" s="1346"/>
      <c r="E153" s="1346"/>
      <c r="F153" s="1346"/>
      <c r="G153" s="1346"/>
      <c r="H153" s="1346"/>
      <c r="I153" s="1346"/>
      <c r="J153" s="1346"/>
      <c r="K153" s="1346"/>
      <c r="L153" s="1346"/>
      <c r="M153" s="1346"/>
      <c r="N153" s="1346"/>
      <c r="O153" s="1346"/>
    </row>
    <row r="725" spans="6:14">
      <c r="F725" s="2858">
        <v>0</v>
      </c>
      <c r="G725" s="2858">
        <v>0</v>
      </c>
      <c r="H725" s="2858">
        <v>0</v>
      </c>
      <c r="I725" s="2858">
        <v>0</v>
      </c>
      <c r="J725" s="2858">
        <v>0</v>
      </c>
      <c r="K725" s="2858">
        <v>0</v>
      </c>
      <c r="L725" s="2858">
        <v>0</v>
      </c>
      <c r="M725" s="2858">
        <v>0</v>
      </c>
      <c r="N725" s="2858">
        <v>0</v>
      </c>
    </row>
    <row r="726" spans="6:14">
      <c r="F726" s="2858">
        <v>0</v>
      </c>
      <c r="G726" s="2858">
        <v>0</v>
      </c>
      <c r="H726" s="2858">
        <v>0</v>
      </c>
      <c r="I726" s="2858">
        <v>0</v>
      </c>
      <c r="J726" s="2858">
        <v>0</v>
      </c>
      <c r="K726" s="2858">
        <v>0</v>
      </c>
      <c r="L726" s="2858">
        <v>0</v>
      </c>
      <c r="M726" s="2858">
        <v>0</v>
      </c>
      <c r="N726" s="2858">
        <v>0</v>
      </c>
    </row>
    <row r="727" spans="6:14">
      <c r="F727" s="2858">
        <v>0</v>
      </c>
      <c r="G727" s="2858">
        <v>0</v>
      </c>
      <c r="H727" s="2858">
        <v>0</v>
      </c>
      <c r="I727" s="2858">
        <v>0</v>
      </c>
      <c r="J727" s="2858">
        <v>0</v>
      </c>
      <c r="K727" s="2858">
        <v>0</v>
      </c>
      <c r="L727" s="2858">
        <v>0</v>
      </c>
      <c r="M727" s="2858">
        <v>0</v>
      </c>
      <c r="N727" s="2858">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sheetPr>
  <dimension ref="A1:AD726"/>
  <sheetViews>
    <sheetView showGridLines="0" zoomScale="80" zoomScaleNormal="80" workbookViewId="0"/>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4" width="17.7265625" style="2858" customWidth="1"/>
    <col min="15" max="15" width="2" style="2858" customWidth="1"/>
    <col min="16" max="16" width="8.81640625" style="2858"/>
    <col min="17" max="17" width="10.81640625" style="2858" customWidth="1"/>
    <col min="18" max="16384" width="8.81640625" style="2858"/>
  </cols>
  <sheetData>
    <row r="1" spans="1:15" ht="20">
      <c r="A1" s="854" t="s">
        <v>579</v>
      </c>
      <c r="B1" s="854" t="s">
        <v>580</v>
      </c>
      <c r="C1" s="854"/>
      <c r="F1"/>
      <c r="G1"/>
      <c r="H1"/>
    </row>
    <row r="2" spans="1:15" s="6" customFormat="1" ht="15">
      <c r="A2" s="855" t="s">
        <v>577</v>
      </c>
      <c r="B2" s="855" t="s">
        <v>2969</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2289</v>
      </c>
      <c r="D6" s="506"/>
      <c r="E6" s="507"/>
      <c r="F6" s="506"/>
      <c r="G6" s="506"/>
      <c r="H6" s="506"/>
      <c r="I6" s="506"/>
      <c r="J6" s="506"/>
      <c r="K6" s="506"/>
      <c r="L6" s="506"/>
      <c r="M6" s="506"/>
      <c r="N6" s="507" t="s">
        <v>27</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65"/>
    </row>
    <row r="9" spans="1:15" s="6" customFormat="1" ht="15.5">
      <c r="A9" s="3"/>
      <c r="B9" s="19"/>
      <c r="C9" s="864" t="s">
        <v>433</v>
      </c>
      <c r="D9" s="2457" t="str">
        <f>INDEX(Vectors[Description], MATCH(XVI.b.Inputs[Vector], Vectors[Code], 0))</f>
        <v>Coal imports (exports in paranthesis)</v>
      </c>
      <c r="E9" s="864"/>
      <c r="F9" s="2901">
        <f ca="1">INDEX(INDIRECT("'"&amp;F$8&amp;"'!Year.NetBalance"), MATCH($C9, INDIRECT("'"&amp;F$8&amp;"'!Year.Vectors"), 0))</f>
        <v>-14.911266915263244</v>
      </c>
      <c r="G9" s="2902">
        <f t="shared" ref="G9:N9" ca="1" si="0">INDEX(INDIRECT("'"&amp;G$8&amp;"'!Year.NetBalance"), MATCH($C9, INDIRECT("'"&amp;G$8&amp;"'!Year.Vectors"), 0))</f>
        <v>-16.267581324784786</v>
      </c>
      <c r="H9" s="2902">
        <f t="shared" ca="1" si="0"/>
        <v>-18.650649187310073</v>
      </c>
      <c r="I9" s="2902">
        <f t="shared" ca="1" si="0"/>
        <v>-18.40843063217299</v>
      </c>
      <c r="J9" s="2902">
        <f t="shared" ca="1" si="0"/>
        <v>-13.883093074912559</v>
      </c>
      <c r="K9" s="2902">
        <f t="shared" ca="1" si="0"/>
        <v>-1.0246834611179927</v>
      </c>
      <c r="L9" s="2902">
        <f t="shared" ca="1" si="0"/>
        <v>-1.7111936919719914</v>
      </c>
      <c r="M9" s="2902">
        <f t="shared" ca="1" si="0"/>
        <v>-2.4238277679140663</v>
      </c>
      <c r="N9" s="2902">
        <f t="shared" ca="1" si="0"/>
        <v>-2.6655686309587772</v>
      </c>
      <c r="O9" s="865"/>
    </row>
    <row r="10" spans="1:15" s="6" customFormat="1" ht="15.5">
      <c r="A10" s="3"/>
      <c r="B10" s="19"/>
      <c r="C10" s="864" t="s">
        <v>434</v>
      </c>
      <c r="D10" s="2457" t="str">
        <f>INDEX(Vectors[Description], MATCH(XVI.b.Inputs[Vector], Vectors[Code], 0))</f>
        <v>Oil and petroleum products imports (exports in parenthesis)</v>
      </c>
      <c r="E10" s="864"/>
      <c r="F10" s="2901">
        <f t="shared" ref="F10:N11" ca="1" si="1">INDEX(INDIRECT("'"&amp;F$8&amp;"'!Year.NetBalance"), MATCH($C10, INDIRECT("'"&amp;F$8&amp;"'!Year.Vectors"), 0))</f>
        <v>-76.526836320775942</v>
      </c>
      <c r="G10" s="2902">
        <f t="shared" ca="1" si="1"/>
        <v>-74.08927995898263</v>
      </c>
      <c r="H10" s="2902">
        <f t="shared" ca="1" si="1"/>
        <v>-75.114909897863313</v>
      </c>
      <c r="I10" s="2902">
        <f t="shared" ca="1" si="1"/>
        <v>-75.036510281436605</v>
      </c>
      <c r="J10" s="2902">
        <f t="shared" ca="1" si="1"/>
        <v>-75.220892589846784</v>
      </c>
      <c r="K10" s="2902">
        <f t="shared" ca="1" si="1"/>
        <v>-75.174956561456597</v>
      </c>
      <c r="L10" s="2902">
        <f t="shared" ca="1" si="1"/>
        <v>-75.040093616616304</v>
      </c>
      <c r="M10" s="2902">
        <f t="shared" ca="1" si="1"/>
        <v>-75.04125554596699</v>
      </c>
      <c r="N10" s="2902">
        <f t="shared" ca="1" si="1"/>
        <v>-74.505208807877793</v>
      </c>
      <c r="O10" s="865"/>
    </row>
    <row r="11" spans="1:15" s="6" customFormat="1" ht="15.5">
      <c r="A11" s="3"/>
      <c r="B11" s="19"/>
      <c r="C11" s="17" t="s">
        <v>435</v>
      </c>
      <c r="D11" s="2457" t="str">
        <f>INDEX(Vectors[Description], MATCH(XVI.b.Inputs[Vector], Vectors[Code], 0))</f>
        <v>Gas imports (exports in parenthesis)</v>
      </c>
      <c r="E11" s="17"/>
      <c r="F11" s="2901">
        <f t="shared" ca="1" si="1"/>
        <v>-47.473619810652579</v>
      </c>
      <c r="G11" s="2902">
        <f t="shared" ca="1" si="1"/>
        <v>-47.697968206868779</v>
      </c>
      <c r="H11" s="2902">
        <f t="shared" ca="1" si="1"/>
        <v>-22.74172392909157</v>
      </c>
      <c r="I11" s="2902">
        <f t="shared" ca="1" si="1"/>
        <v>-59.295640467804589</v>
      </c>
      <c r="J11" s="2902">
        <f t="shared" ca="1" si="1"/>
        <v>-85.907348315610292</v>
      </c>
      <c r="K11" s="2902">
        <f t="shared" ca="1" si="1"/>
        <v>-106.91717023293266</v>
      </c>
      <c r="L11" s="2902">
        <f t="shared" ca="1" si="1"/>
        <v>-116.07842350144173</v>
      </c>
      <c r="M11" s="2902">
        <f t="shared" ca="1" si="1"/>
        <v>-125.61125120472862</v>
      </c>
      <c r="N11" s="2902">
        <f t="shared" ca="1" si="1"/>
        <v>-135.74178666175516</v>
      </c>
      <c r="O11" s="866"/>
    </row>
    <row r="12" spans="1:15" s="6" customFormat="1" ht="15.5">
      <c r="A12" s="3"/>
      <c r="B12" s="19"/>
      <c r="C12" s="17"/>
      <c r="D12" s="17"/>
      <c r="E12" s="17"/>
      <c r="F12" s="2902"/>
      <c r="G12" s="2902"/>
      <c r="H12" s="2902"/>
      <c r="I12" s="2902"/>
      <c r="J12" s="2902"/>
      <c r="K12" s="2902"/>
      <c r="L12" s="2902"/>
      <c r="M12" s="2902"/>
      <c r="N12" s="2902"/>
      <c r="O12" s="866"/>
    </row>
    <row r="13" spans="1:15" s="6" customFormat="1" ht="15.5">
      <c r="A13" s="3"/>
      <c r="B13" s="19"/>
      <c r="C13" s="23" t="s">
        <v>2290</v>
      </c>
      <c r="D13" s="17"/>
      <c r="E13" s="17"/>
      <c r="F13" s="2902"/>
      <c r="G13" s="2902"/>
      <c r="H13" s="2902"/>
      <c r="I13" s="2902"/>
      <c r="J13" s="2902"/>
      <c r="K13" s="2902"/>
      <c r="L13" s="2902"/>
      <c r="M13" s="2902"/>
      <c r="N13" s="2902"/>
      <c r="O13" s="866"/>
    </row>
    <row r="14" spans="1:15" s="6" customFormat="1" ht="15.5">
      <c r="A14" s="3"/>
      <c r="B14" s="19"/>
      <c r="C14" s="2903" t="s">
        <v>28</v>
      </c>
      <c r="D14" s="2903" t="s">
        <v>29</v>
      </c>
      <c r="E14" s="2903" t="s">
        <v>30</v>
      </c>
      <c r="F14" s="2904" t="s">
        <v>588</v>
      </c>
      <c r="G14" s="2903" t="s">
        <v>132</v>
      </c>
      <c r="H14" s="2903" t="s">
        <v>133</v>
      </c>
      <c r="I14" s="2903" t="s">
        <v>134</v>
      </c>
      <c r="J14" s="2903" t="s">
        <v>135</v>
      </c>
      <c r="K14" s="2903" t="s">
        <v>136</v>
      </c>
      <c r="L14" s="2903" t="s">
        <v>137</v>
      </c>
      <c r="M14" s="2903" t="s">
        <v>138</v>
      </c>
      <c r="N14" s="2903" t="s">
        <v>139</v>
      </c>
      <c r="O14" s="866"/>
    </row>
    <row r="15" spans="1:15" s="6" customFormat="1" ht="15.5">
      <c r="A15" s="3"/>
      <c r="B15" s="19"/>
      <c r="C15" s="864" t="s">
        <v>436</v>
      </c>
      <c r="D15" s="17" t="s">
        <v>387</v>
      </c>
      <c r="E15" s="864"/>
      <c r="F15" s="2905">
        <f ca="1">INDEX(INDIRECT("'"&amp;F$8&amp;"'!Year.NetBalance"), MATCH($C15, INDIRECT("'"&amp;F$8&amp;"'!Year.Vectors"), 0))</f>
        <v>0</v>
      </c>
      <c r="G15" s="2906">
        <f t="shared" ref="G15:N15" ca="1" si="2">INDEX(INDIRECT("'"&amp;G$8&amp;"'!Year.NetBalance"), MATCH($C15, INDIRECT("'"&amp;G$8&amp;"'!Year.Vectors"), 0))</f>
        <v>0</v>
      </c>
      <c r="H15" s="2906">
        <f t="shared" ca="1" si="2"/>
        <v>0</v>
      </c>
      <c r="I15" s="2906">
        <f t="shared" ca="1" si="2"/>
        <v>0</v>
      </c>
      <c r="J15" s="2906">
        <f t="shared" ca="1" si="2"/>
        <v>0</v>
      </c>
      <c r="K15" s="2906">
        <f t="shared" ca="1" si="2"/>
        <v>0</v>
      </c>
      <c r="L15" s="2906">
        <f t="shared" ca="1" si="2"/>
        <v>0</v>
      </c>
      <c r="M15" s="2906">
        <f t="shared" ca="1" si="2"/>
        <v>0</v>
      </c>
      <c r="N15" s="2906">
        <f t="shared" ca="1" si="2"/>
        <v>0</v>
      </c>
      <c r="O15" s="866"/>
    </row>
    <row r="16" spans="1:15" s="6" customFormat="1" ht="15.5">
      <c r="A16" s="3"/>
      <c r="B16" s="19"/>
      <c r="C16" s="17"/>
      <c r="D16" s="17"/>
      <c r="E16" s="17"/>
      <c r="F16" s="2902"/>
      <c r="G16" s="2902"/>
      <c r="H16" s="2902"/>
      <c r="I16" s="2902"/>
      <c r="J16" s="2902"/>
      <c r="K16" s="2902"/>
      <c r="L16" s="2902"/>
      <c r="M16" s="2902"/>
      <c r="N16" s="2902"/>
      <c r="O16" s="866"/>
    </row>
    <row r="17" spans="1:30" s="6" customFormat="1" ht="18" customHeight="1">
      <c r="A17" s="3"/>
      <c r="B17" s="19"/>
      <c r="C17" s="17"/>
      <c r="D17" s="2907" t="s">
        <v>2291</v>
      </c>
      <c r="E17" s="17"/>
      <c r="F17" s="22"/>
      <c r="G17" s="22"/>
      <c r="H17" s="22"/>
      <c r="I17" s="22"/>
      <c r="J17" s="22"/>
      <c r="K17" s="22"/>
      <c r="L17" s="22"/>
      <c r="M17" s="22"/>
      <c r="N17" s="22"/>
      <c r="O17" s="866"/>
    </row>
    <row r="19" spans="1:30" s="6" customFormat="1" ht="23.5">
      <c r="A19" s="40"/>
      <c r="B19" s="869" t="s">
        <v>2719</v>
      </c>
      <c r="C19" s="870"/>
      <c r="D19" s="870"/>
      <c r="E19" s="870"/>
      <c r="F19" s="870"/>
      <c r="G19" s="870"/>
      <c r="H19" s="870"/>
      <c r="I19" s="870"/>
      <c r="J19" s="870"/>
      <c r="K19" s="870"/>
      <c r="L19" s="870"/>
      <c r="M19" s="870"/>
      <c r="N19" s="870"/>
      <c r="O19" s="870"/>
      <c r="Q19" s="647"/>
      <c r="R19" s="647"/>
      <c r="S19" s="647"/>
      <c r="T19" s="647"/>
      <c r="U19" s="647"/>
      <c r="V19" s="647"/>
      <c r="W19" s="647"/>
      <c r="X19" s="647"/>
      <c r="Y19" s="647"/>
      <c r="Z19" s="647"/>
    </row>
    <row r="20" spans="1:30" hidden="1">
      <c r="B20" s="105"/>
      <c r="C20" s="67"/>
      <c r="D20" s="67"/>
      <c r="E20" s="67"/>
      <c r="F20" s="67"/>
      <c r="G20" s="67"/>
      <c r="H20" s="67"/>
      <c r="I20" s="67"/>
      <c r="J20" s="67"/>
      <c r="K20" s="67"/>
      <c r="L20" s="67"/>
      <c r="M20" s="67"/>
      <c r="N20" s="67"/>
      <c r="O20" s="876"/>
      <c r="R20" s="1068"/>
      <c r="S20" s="1068"/>
      <c r="T20" s="1068"/>
      <c r="U20" s="1068"/>
      <c r="V20" s="1068"/>
      <c r="W20" s="1068"/>
      <c r="X20" s="1068"/>
      <c r="Y20" s="1068"/>
      <c r="Z20" s="1068"/>
    </row>
    <row r="21" spans="1:30" ht="12.75" hidden="1" customHeight="1">
      <c r="B21" s="105"/>
      <c r="C21" s="963" t="s">
        <v>2264</v>
      </c>
      <c r="D21" s="964"/>
      <c r="E21" s="963" t="s">
        <v>159</v>
      </c>
      <c r="F21" s="2908">
        <v>2013</v>
      </c>
      <c r="G21" s="972">
        <v>2015</v>
      </c>
      <c r="H21" s="972">
        <v>2020</v>
      </c>
      <c r="I21" s="972">
        <v>2025</v>
      </c>
      <c r="J21" s="972">
        <v>2030</v>
      </c>
      <c r="K21" s="972">
        <v>2035</v>
      </c>
      <c r="L21" s="972">
        <v>2040</v>
      </c>
      <c r="M21" s="972">
        <v>2045</v>
      </c>
      <c r="N21" s="972">
        <v>2050</v>
      </c>
      <c r="O21" s="876"/>
      <c r="Q21" s="2909"/>
      <c r="R21" s="202"/>
      <c r="S21" s="1419"/>
      <c r="T21" s="1419"/>
      <c r="U21" s="1419"/>
      <c r="V21" s="1068"/>
      <c r="W21" s="1068"/>
      <c r="X21" s="1419"/>
      <c r="Y21" s="1419"/>
      <c r="Z21" s="1068"/>
    </row>
    <row r="22" spans="1:30" hidden="1">
      <c r="B22" s="105"/>
      <c r="C22" s="964" t="s">
        <v>22</v>
      </c>
      <c r="D22" s="2867" t="s">
        <v>2265</v>
      </c>
      <c r="E22" s="964"/>
      <c r="F22" s="2910"/>
      <c r="G22" s="2869"/>
      <c r="H22" s="2869"/>
      <c r="I22" s="2869"/>
      <c r="J22" s="2870"/>
      <c r="K22" s="2870"/>
      <c r="L22" s="2870"/>
      <c r="M22" s="2870"/>
      <c r="N22" s="2870"/>
      <c r="O22" s="876"/>
      <c r="Q22" s="2909"/>
      <c r="R22" s="1068"/>
      <c r="S22" s="1219"/>
      <c r="T22" s="1672"/>
      <c r="U22" s="1672"/>
      <c r="V22" s="1068"/>
      <c r="W22" s="1068"/>
      <c r="X22" s="1671"/>
      <c r="Y22" s="1671"/>
      <c r="Z22" s="1068"/>
    </row>
    <row r="23" spans="1:30" hidden="1">
      <c r="B23" s="105"/>
      <c r="C23" s="67" t="s">
        <v>160</v>
      </c>
      <c r="D23" s="934" t="s">
        <v>2265</v>
      </c>
      <c r="E23" s="67"/>
      <c r="F23" s="2911"/>
      <c r="G23" s="2871"/>
      <c r="H23" s="2871"/>
      <c r="I23" s="2871"/>
      <c r="J23" s="51"/>
      <c r="K23" s="51"/>
      <c r="L23" s="51"/>
      <c r="M23" s="51"/>
      <c r="N23" s="51"/>
      <c r="O23" s="876"/>
      <c r="Q23" s="2909"/>
      <c r="R23" s="1068"/>
      <c r="S23" s="1219"/>
      <c r="T23" s="1419"/>
      <c r="U23" s="1419"/>
      <c r="V23" s="1068"/>
      <c r="W23" s="1068"/>
      <c r="X23" s="1671"/>
      <c r="Y23" s="1671"/>
      <c r="Z23" s="1068"/>
    </row>
    <row r="24" spans="1:30" hidden="1">
      <c r="B24" s="105"/>
      <c r="C24" s="67" t="s">
        <v>20</v>
      </c>
      <c r="D24" s="934" t="s">
        <v>2265</v>
      </c>
      <c r="E24" s="67"/>
      <c r="F24" s="2911"/>
      <c r="G24" s="2871"/>
      <c r="H24" s="2871"/>
      <c r="I24" s="2871"/>
      <c r="J24" s="51"/>
      <c r="K24" s="51"/>
      <c r="L24" s="51"/>
      <c r="M24" s="51"/>
      <c r="N24" s="51"/>
      <c r="O24" s="67"/>
      <c r="Q24" s="2909"/>
      <c r="R24" s="1068"/>
      <c r="S24" s="1219"/>
      <c r="T24" s="1419"/>
      <c r="U24" s="1419"/>
      <c r="V24" s="1068"/>
      <c r="W24" s="1068"/>
      <c r="X24" s="1671"/>
      <c r="Y24" s="1671"/>
      <c r="Z24" s="1068"/>
    </row>
    <row r="25" spans="1:30" hidden="1">
      <c r="B25" s="105"/>
      <c r="C25" s="67"/>
      <c r="D25" s="67"/>
      <c r="E25" s="67"/>
      <c r="F25" s="2546"/>
      <c r="G25" s="51"/>
      <c r="H25" s="51"/>
      <c r="I25" s="51"/>
      <c r="J25" s="51"/>
      <c r="K25" s="51"/>
      <c r="L25" s="51"/>
      <c r="M25" s="51"/>
      <c r="N25" s="67"/>
      <c r="O25" s="67"/>
      <c r="Q25" s="2909"/>
      <c r="R25" s="1068"/>
      <c r="S25" s="1068"/>
      <c r="T25" s="1068"/>
      <c r="U25" s="1068"/>
      <c r="V25" s="1068"/>
      <c r="W25" s="1068"/>
      <c r="X25" s="1068"/>
      <c r="Y25" s="1068"/>
      <c r="Z25" s="1068"/>
    </row>
    <row r="26" spans="1:30" hidden="1">
      <c r="B26" s="105"/>
      <c r="C26" s="67" t="s">
        <v>22</v>
      </c>
      <c r="D26" s="67" t="s">
        <v>2742</v>
      </c>
      <c r="E26" s="1576"/>
      <c r="F26" s="2912"/>
      <c r="G26" s="2871"/>
      <c r="H26" s="2871"/>
      <c r="I26" s="2871"/>
      <c r="J26" s="2874"/>
      <c r="K26" s="350"/>
      <c r="L26" s="350"/>
      <c r="M26" s="350"/>
      <c r="N26" s="350"/>
      <c r="O26" s="67"/>
      <c r="Q26" s="2909"/>
      <c r="R26" s="1068"/>
      <c r="S26" s="1068"/>
      <c r="T26" s="1068"/>
      <c r="U26" s="1068"/>
      <c r="V26" s="1068"/>
      <c r="W26" s="1068"/>
      <c r="X26" s="1068"/>
      <c r="Y26" s="1068"/>
      <c r="Z26" s="1068"/>
    </row>
    <row r="27" spans="1:30" hidden="1">
      <c r="B27" s="105"/>
      <c r="C27" s="67" t="s">
        <v>160</v>
      </c>
      <c r="D27" s="67" t="s">
        <v>2742</v>
      </c>
      <c r="E27" s="1576"/>
      <c r="F27" s="2912"/>
      <c r="G27" s="2871"/>
      <c r="H27" s="2871"/>
      <c r="I27" s="2871"/>
      <c r="J27" s="350"/>
      <c r="K27" s="350"/>
      <c r="L27" s="350"/>
      <c r="M27" s="350"/>
      <c r="N27" s="350"/>
      <c r="O27" s="67"/>
      <c r="Q27" s="2909"/>
      <c r="R27" s="1068"/>
      <c r="S27" s="1068"/>
      <c r="T27" s="1068"/>
      <c r="U27" s="1068"/>
      <c r="V27" s="1068"/>
      <c r="W27" s="1068"/>
      <c r="X27" s="1068"/>
      <c r="Y27" s="1068"/>
      <c r="Z27" s="1068"/>
    </row>
    <row r="28" spans="1:30" hidden="1">
      <c r="B28" s="105"/>
      <c r="C28" s="969" t="s">
        <v>20</v>
      </c>
      <c r="D28" s="969" t="s">
        <v>2742</v>
      </c>
      <c r="E28" s="1577"/>
      <c r="F28" s="2913"/>
      <c r="G28" s="2877"/>
      <c r="H28" s="2877"/>
      <c r="I28" s="2877"/>
      <c r="J28" s="2876"/>
      <c r="K28" s="352"/>
      <c r="L28" s="352"/>
      <c r="M28" s="352"/>
      <c r="N28" s="352"/>
      <c r="O28" s="67"/>
      <c r="Q28" s="2909"/>
      <c r="R28" s="202"/>
      <c r="S28" s="1068"/>
      <c r="T28" s="202"/>
      <c r="U28" s="2526"/>
      <c r="V28" s="2526"/>
      <c r="W28" s="2526"/>
      <c r="X28" s="2526"/>
      <c r="Y28" s="2526"/>
      <c r="Z28" s="2526"/>
      <c r="AA28" s="2526"/>
      <c r="AB28" s="2526"/>
      <c r="AC28" s="2526"/>
      <c r="AD28" s="2526"/>
    </row>
    <row r="29" spans="1:30" hidden="1">
      <c r="B29" s="47"/>
      <c r="C29" s="47"/>
      <c r="D29" s="47"/>
      <c r="E29" s="47"/>
      <c r="F29" s="47"/>
      <c r="G29" s="47"/>
      <c r="H29" s="47"/>
      <c r="I29" s="47"/>
      <c r="J29" s="47"/>
      <c r="K29" s="47"/>
      <c r="L29" s="47"/>
      <c r="M29" s="47"/>
      <c r="N29" s="47"/>
      <c r="O29" s="47"/>
      <c r="Q29" s="2909"/>
      <c r="R29" s="1068"/>
      <c r="S29" s="1219"/>
      <c r="T29" s="1068"/>
      <c r="U29" s="1672"/>
      <c r="V29" s="1672"/>
      <c r="W29" s="1419"/>
      <c r="X29" s="1419"/>
      <c r="Y29" s="1419"/>
      <c r="Z29" s="1419"/>
      <c r="AA29" s="1419"/>
      <c r="AB29" s="1419"/>
      <c r="AC29" s="1419"/>
      <c r="AD29" s="1672"/>
    </row>
    <row r="30" spans="1:30" hidden="1">
      <c r="B30" s="47"/>
      <c r="C30" s="963" t="s">
        <v>2266</v>
      </c>
      <c r="D30" s="964"/>
      <c r="E30" s="963" t="s">
        <v>159</v>
      </c>
      <c r="F30" s="2908">
        <v>2013</v>
      </c>
      <c r="G30" s="972">
        <v>2015</v>
      </c>
      <c r="H30" s="972">
        <v>2020</v>
      </c>
      <c r="I30" s="972">
        <v>2025</v>
      </c>
      <c r="J30" s="972">
        <v>2030</v>
      </c>
      <c r="K30" s="972">
        <v>2035</v>
      </c>
      <c r="L30" s="972">
        <v>2040</v>
      </c>
      <c r="M30" s="972">
        <v>2045</v>
      </c>
      <c r="N30" s="972">
        <v>2050</v>
      </c>
      <c r="O30" s="47"/>
      <c r="Q30" s="2909"/>
      <c r="R30" s="1068"/>
      <c r="S30" s="1219"/>
      <c r="T30" s="1068"/>
      <c r="U30" s="1068"/>
      <c r="V30" s="1068"/>
      <c r="W30" s="1419"/>
      <c r="X30" s="1419"/>
      <c r="Y30" s="1419"/>
      <c r="Z30" s="1419"/>
      <c r="AA30" s="1419"/>
      <c r="AB30" s="1419"/>
      <c r="AC30" s="1419"/>
      <c r="AD30" s="1068"/>
    </row>
    <row r="31" spans="1:30" hidden="1">
      <c r="B31" s="105"/>
      <c r="C31" s="964" t="s">
        <v>22</v>
      </c>
      <c r="D31" s="2867" t="s">
        <v>2267</v>
      </c>
      <c r="E31" s="1574"/>
      <c r="F31" s="2914"/>
      <c r="G31" s="2869"/>
      <c r="H31" s="2869"/>
      <c r="I31" s="2869"/>
      <c r="J31" s="2869"/>
      <c r="K31" s="2869"/>
      <c r="L31" s="2870"/>
      <c r="M31" s="2870"/>
      <c r="N31" s="2870"/>
      <c r="O31" s="67"/>
      <c r="Q31" s="2909"/>
      <c r="R31" s="1068"/>
      <c r="S31" s="1219"/>
      <c r="T31" s="1068"/>
      <c r="U31" s="1672"/>
      <c r="V31" s="1672"/>
      <c r="W31" s="1419"/>
      <c r="X31" s="1419"/>
      <c r="Y31" s="1419"/>
      <c r="Z31" s="1419"/>
      <c r="AA31" s="1419"/>
      <c r="AB31" s="1419"/>
      <c r="AC31" s="1419"/>
      <c r="AD31" s="1672"/>
    </row>
    <row r="32" spans="1:30" hidden="1">
      <c r="B32" s="105"/>
      <c r="C32" s="67" t="s">
        <v>160</v>
      </c>
      <c r="D32" s="934" t="s">
        <v>2267</v>
      </c>
      <c r="E32" s="1576"/>
      <c r="F32" s="2915"/>
      <c r="G32" s="2871"/>
      <c r="H32" s="2871"/>
      <c r="I32" s="2871"/>
      <c r="J32" s="2871"/>
      <c r="K32" s="2871"/>
      <c r="L32" s="51"/>
      <c r="M32" s="51"/>
      <c r="N32" s="51"/>
      <c r="O32" s="67"/>
      <c r="Q32" s="2909"/>
      <c r="R32" s="1068"/>
      <c r="S32" s="1068"/>
      <c r="T32" s="1068"/>
      <c r="U32" s="1068"/>
      <c r="V32" s="1068"/>
      <c r="W32" s="1419"/>
      <c r="X32" s="1419"/>
      <c r="Y32" s="1419"/>
      <c r="Z32" s="1419"/>
      <c r="AA32" s="1419"/>
      <c r="AB32" s="1419"/>
      <c r="AC32" s="1419"/>
      <c r="AD32" s="1068"/>
    </row>
    <row r="33" spans="2:30" hidden="1">
      <c r="B33" s="47"/>
      <c r="C33" s="67" t="s">
        <v>20</v>
      </c>
      <c r="D33" s="934" t="s">
        <v>2267</v>
      </c>
      <c r="E33" s="1576"/>
      <c r="F33" s="2915"/>
      <c r="G33" s="2871"/>
      <c r="H33" s="2871"/>
      <c r="I33" s="2871"/>
      <c r="J33" s="2871"/>
      <c r="K33" s="2871"/>
      <c r="L33" s="51"/>
      <c r="M33" s="51"/>
      <c r="N33" s="51"/>
      <c r="O33" s="47"/>
      <c r="Q33" s="2909"/>
      <c r="R33" s="1068"/>
      <c r="S33" s="1068"/>
      <c r="T33" s="1068"/>
      <c r="U33" s="1671"/>
      <c r="V33" s="1671"/>
      <c r="W33" s="1419"/>
      <c r="X33" s="1419"/>
      <c r="Y33" s="1419"/>
      <c r="Z33" s="1419"/>
      <c r="AA33" s="1419"/>
      <c r="AB33" s="1419"/>
      <c r="AC33" s="1419"/>
      <c r="AD33" s="1671"/>
    </row>
    <row r="34" spans="2:30" hidden="1">
      <c r="B34" s="47"/>
      <c r="C34" s="67"/>
      <c r="D34" s="67"/>
      <c r="E34" s="1576"/>
      <c r="F34" s="2546"/>
      <c r="G34" s="51"/>
      <c r="H34" s="51"/>
      <c r="I34" s="51"/>
      <c r="J34" s="51"/>
      <c r="K34" s="51"/>
      <c r="L34" s="51"/>
      <c r="M34" s="51"/>
      <c r="N34" s="67"/>
      <c r="O34" s="47"/>
      <c r="Q34" s="2909"/>
      <c r="R34" s="1068"/>
      <c r="S34" s="1068"/>
      <c r="T34" s="1068"/>
      <c r="U34" s="1068"/>
      <c r="V34" s="1068"/>
      <c r="W34" s="1419"/>
      <c r="X34" s="1419"/>
      <c r="Y34" s="1419"/>
      <c r="Z34" s="1419"/>
      <c r="AA34" s="1419"/>
      <c r="AB34" s="1419"/>
      <c r="AC34" s="1419"/>
      <c r="AD34" s="1068"/>
    </row>
    <row r="35" spans="2:30" hidden="1">
      <c r="B35" s="47"/>
      <c r="C35" s="67" t="s">
        <v>22</v>
      </c>
      <c r="D35" s="67" t="s">
        <v>2742</v>
      </c>
      <c r="E35" s="1576"/>
      <c r="F35" s="2912"/>
      <c r="G35" s="2871"/>
      <c r="H35" s="2871"/>
      <c r="I35" s="2871"/>
      <c r="J35" s="2874"/>
      <c r="K35" s="2874"/>
      <c r="L35" s="2874"/>
      <c r="M35" s="2874"/>
      <c r="N35" s="2874"/>
      <c r="O35" s="47"/>
      <c r="Q35" s="2909"/>
      <c r="R35" s="1068"/>
      <c r="S35" s="1068"/>
      <c r="T35" s="1068"/>
      <c r="U35" s="1671"/>
      <c r="V35" s="1671"/>
      <c r="W35" s="1419"/>
      <c r="X35" s="1419"/>
      <c r="Y35" s="1419"/>
      <c r="Z35" s="1419"/>
      <c r="AA35" s="1419"/>
      <c r="AB35" s="1419"/>
      <c r="AC35" s="1419"/>
      <c r="AD35" s="1671"/>
    </row>
    <row r="36" spans="2:30" hidden="1">
      <c r="B36" s="47"/>
      <c r="C36" s="67" t="s">
        <v>160</v>
      </c>
      <c r="D36" s="67" t="s">
        <v>2742</v>
      </c>
      <c r="E36" s="1576"/>
      <c r="F36" s="2912"/>
      <c r="G36" s="2871"/>
      <c r="H36" s="2871"/>
      <c r="I36" s="2871"/>
      <c r="J36" s="2874"/>
      <c r="K36" s="2874"/>
      <c r="L36" s="2874"/>
      <c r="M36" s="2874"/>
      <c r="N36" s="2874"/>
      <c r="O36" s="47"/>
      <c r="Q36" s="2909"/>
      <c r="R36" s="1068"/>
      <c r="S36" s="1068"/>
      <c r="T36" s="1068"/>
      <c r="U36" s="1068"/>
      <c r="V36" s="1068"/>
      <c r="W36" s="1068"/>
      <c r="X36" s="1068"/>
      <c r="Y36" s="1068"/>
      <c r="Z36" s="1068"/>
      <c r="AA36" s="1068"/>
      <c r="AB36" s="1068"/>
      <c r="AC36" s="1068"/>
      <c r="AD36" s="1068"/>
    </row>
    <row r="37" spans="2:30" hidden="1">
      <c r="B37" s="47"/>
      <c r="C37" s="969" t="s">
        <v>20</v>
      </c>
      <c r="D37" s="969" t="s">
        <v>2742</v>
      </c>
      <c r="E37" s="1577"/>
      <c r="F37" s="2913"/>
      <c r="G37" s="2877"/>
      <c r="H37" s="2877"/>
      <c r="I37" s="2877"/>
      <c r="J37" s="2876"/>
      <c r="K37" s="2876"/>
      <c r="L37" s="2876"/>
      <c r="M37" s="2876"/>
      <c r="N37" s="2876"/>
      <c r="O37" s="47"/>
      <c r="Q37" s="2909"/>
      <c r="R37" s="202"/>
      <c r="S37" s="1068"/>
      <c r="T37" s="202"/>
      <c r="U37" s="2526"/>
      <c r="V37" s="2526"/>
      <c r="W37" s="2526"/>
      <c r="X37" s="2526"/>
      <c r="Y37" s="2526"/>
      <c r="Z37" s="2526"/>
      <c r="AA37" s="2526"/>
      <c r="AB37" s="2526"/>
      <c r="AC37" s="2526"/>
      <c r="AD37" s="2526"/>
    </row>
    <row r="38" spans="2:30" hidden="1">
      <c r="B38" s="47"/>
      <c r="C38" s="47"/>
      <c r="D38" s="47"/>
      <c r="E38" s="47"/>
      <c r="F38" s="47"/>
      <c r="G38" s="47"/>
      <c r="H38" s="47"/>
      <c r="I38" s="47"/>
      <c r="J38" s="47"/>
      <c r="K38" s="47"/>
      <c r="L38" s="47"/>
      <c r="M38" s="47"/>
      <c r="N38" s="47"/>
      <c r="O38" s="47"/>
      <c r="Q38" s="2909"/>
      <c r="R38" s="1068"/>
      <c r="S38" s="1219"/>
      <c r="T38" s="1068"/>
      <c r="U38" s="1419"/>
      <c r="V38" s="1419"/>
      <c r="W38" s="1419"/>
      <c r="X38" s="1419"/>
      <c r="Y38" s="1419"/>
      <c r="Z38" s="1419"/>
      <c r="AA38" s="1419"/>
      <c r="AB38" s="1419"/>
      <c r="AC38" s="1419"/>
      <c r="AD38" s="1419"/>
    </row>
    <row r="39" spans="2:30" hidden="1">
      <c r="B39" s="47"/>
      <c r="C39" s="963" t="s">
        <v>2268</v>
      </c>
      <c r="D39" s="964"/>
      <c r="E39" s="963" t="s">
        <v>159</v>
      </c>
      <c r="F39" s="2908">
        <v>2013</v>
      </c>
      <c r="G39" s="972">
        <v>2015</v>
      </c>
      <c r="H39" s="972">
        <v>2020</v>
      </c>
      <c r="I39" s="972">
        <v>2025</v>
      </c>
      <c r="J39" s="972">
        <v>2030</v>
      </c>
      <c r="K39" s="972">
        <v>2035</v>
      </c>
      <c r="L39" s="972">
        <v>2040</v>
      </c>
      <c r="M39" s="972">
        <v>2045</v>
      </c>
      <c r="N39" s="972">
        <v>2050</v>
      </c>
      <c r="O39" s="47"/>
      <c r="Q39" s="2909"/>
      <c r="R39" s="1068"/>
      <c r="S39" s="1219"/>
      <c r="T39" s="1068"/>
      <c r="U39" s="1419"/>
      <c r="V39" s="1419"/>
      <c r="W39" s="1419"/>
      <c r="X39" s="1419"/>
      <c r="Y39" s="1419"/>
      <c r="Z39" s="1419"/>
      <c r="AA39" s="1419"/>
      <c r="AB39" s="1419"/>
      <c r="AC39" s="1419"/>
      <c r="AD39" s="1419"/>
    </row>
    <row r="40" spans="2:30" hidden="1">
      <c r="B40" s="47"/>
      <c r="C40" s="964" t="s">
        <v>22</v>
      </c>
      <c r="D40" s="2867" t="s">
        <v>2269</v>
      </c>
      <c r="E40" s="1574"/>
      <c r="F40" s="2914"/>
      <c r="G40" s="2869"/>
      <c r="H40" s="2869"/>
      <c r="I40" s="2869"/>
      <c r="J40" s="2869"/>
      <c r="K40" s="2869"/>
      <c r="L40" s="2869"/>
      <c r="M40" s="2869"/>
      <c r="N40" s="2869"/>
      <c r="O40" s="47"/>
      <c r="Q40" s="2909"/>
      <c r="R40" s="1068"/>
      <c r="S40" s="1219"/>
      <c r="T40" s="1068"/>
      <c r="U40" s="1419"/>
      <c r="V40" s="1419"/>
      <c r="W40" s="1419"/>
      <c r="X40" s="1419"/>
      <c r="Y40" s="1419"/>
      <c r="Z40" s="1419"/>
      <c r="AA40" s="1419"/>
      <c r="AB40" s="1419"/>
      <c r="AC40" s="1419"/>
      <c r="AD40" s="1419"/>
    </row>
    <row r="41" spans="2:30" hidden="1">
      <c r="B41" s="47"/>
      <c r="C41" s="67" t="s">
        <v>160</v>
      </c>
      <c r="D41" s="934" t="s">
        <v>2269</v>
      </c>
      <c r="E41" s="1576"/>
      <c r="F41" s="2916"/>
      <c r="G41" s="2871"/>
      <c r="H41" s="2871"/>
      <c r="I41" s="2871"/>
      <c r="J41" s="1586"/>
      <c r="K41" s="1586"/>
      <c r="L41" s="1586"/>
      <c r="M41" s="1586"/>
      <c r="N41" s="1586"/>
      <c r="O41" s="47"/>
      <c r="Q41" s="2909"/>
      <c r="R41" s="1068"/>
      <c r="S41" s="1219"/>
      <c r="T41" s="1068"/>
      <c r="U41" s="1419"/>
      <c r="V41" s="1419"/>
      <c r="W41" s="1419"/>
      <c r="X41" s="1419"/>
      <c r="Y41" s="1419"/>
      <c r="Z41" s="1419"/>
      <c r="AA41" s="1419"/>
      <c r="AB41" s="1419"/>
      <c r="AC41" s="1419"/>
      <c r="AD41" s="1419"/>
    </row>
    <row r="42" spans="2:30" hidden="1">
      <c r="B42" s="47"/>
      <c r="C42" s="67" t="s">
        <v>20</v>
      </c>
      <c r="D42" s="934" t="s">
        <v>2269</v>
      </c>
      <c r="E42" s="1576"/>
      <c r="F42" s="2915"/>
      <c r="G42" s="2871"/>
      <c r="H42" s="2871"/>
      <c r="I42" s="2871"/>
      <c r="J42" s="2871"/>
      <c r="K42" s="2871"/>
      <c r="L42" s="2871"/>
      <c r="M42" s="2871"/>
      <c r="N42" s="2871"/>
      <c r="O42" s="47"/>
      <c r="Q42" s="2909"/>
      <c r="R42" s="1068"/>
      <c r="S42" s="1219"/>
      <c r="T42" s="1068"/>
      <c r="U42" s="1419"/>
      <c r="V42" s="1419"/>
      <c r="W42" s="1419"/>
      <c r="X42" s="1419"/>
      <c r="Y42" s="1419"/>
      <c r="Z42" s="1419"/>
      <c r="AA42" s="1419"/>
      <c r="AB42" s="1419"/>
      <c r="AC42" s="1419"/>
      <c r="AD42" s="1419"/>
    </row>
    <row r="43" spans="2:30" hidden="1">
      <c r="B43" s="47"/>
      <c r="C43" s="67"/>
      <c r="D43" s="67"/>
      <c r="E43" s="1576"/>
      <c r="F43" s="2916"/>
      <c r="G43" s="2871"/>
      <c r="H43" s="2871"/>
      <c r="I43" s="2871"/>
      <c r="J43" s="2871"/>
      <c r="K43" s="2871"/>
      <c r="L43" s="2871"/>
      <c r="M43" s="2871"/>
      <c r="N43" s="1586"/>
      <c r="O43" s="47"/>
      <c r="Q43" s="2909"/>
      <c r="R43" s="1068"/>
      <c r="S43" s="1219"/>
      <c r="T43" s="1068"/>
      <c r="U43" s="1419"/>
      <c r="V43" s="1419"/>
      <c r="W43" s="1419"/>
      <c r="X43" s="1419"/>
      <c r="Y43" s="1419"/>
      <c r="Z43" s="1419"/>
      <c r="AA43" s="1419"/>
      <c r="AB43" s="1419"/>
      <c r="AC43" s="1419"/>
      <c r="AD43" s="1419"/>
    </row>
    <row r="44" spans="2:30" hidden="1">
      <c r="B44" s="47"/>
      <c r="C44" s="67" t="s">
        <v>22</v>
      </c>
      <c r="D44" s="67" t="s">
        <v>2742</v>
      </c>
      <c r="E44" s="1576"/>
      <c r="F44" s="2912"/>
      <c r="G44" s="2871"/>
      <c r="H44" s="2871"/>
      <c r="I44" s="2871"/>
      <c r="J44" s="2874"/>
      <c r="K44" s="2874"/>
      <c r="L44" s="2874"/>
      <c r="M44" s="2874"/>
      <c r="N44" s="2874"/>
      <c r="O44" s="47"/>
      <c r="Q44" s="2909"/>
      <c r="R44" s="1068"/>
      <c r="S44" s="1219"/>
      <c r="T44" s="1068"/>
      <c r="U44" s="1068"/>
      <c r="V44" s="1068"/>
      <c r="W44" s="1419"/>
      <c r="X44" s="1419"/>
      <c r="Y44" s="1419"/>
      <c r="Z44" s="1419"/>
      <c r="AA44" s="1419"/>
      <c r="AB44" s="1419"/>
      <c r="AC44" s="1419"/>
      <c r="AD44" s="1068"/>
    </row>
    <row r="45" spans="2:30" hidden="1">
      <c r="B45" s="47"/>
      <c r="C45" s="67" t="s">
        <v>160</v>
      </c>
      <c r="D45" s="67" t="s">
        <v>2742</v>
      </c>
      <c r="E45" s="1576"/>
      <c r="F45" s="2912"/>
      <c r="G45" s="2871"/>
      <c r="H45" s="2871"/>
      <c r="I45" s="2871"/>
      <c r="J45" s="2874"/>
      <c r="K45" s="2874"/>
      <c r="L45" s="2874"/>
      <c r="M45" s="2874"/>
      <c r="N45" s="2874"/>
      <c r="O45" s="47"/>
      <c r="Q45" s="2909"/>
      <c r="R45" s="1068"/>
      <c r="S45" s="1219"/>
      <c r="T45" s="1068"/>
      <c r="U45" s="1419"/>
      <c r="V45" s="1419"/>
      <c r="W45" s="1419"/>
      <c r="X45" s="1419"/>
      <c r="Y45" s="1419"/>
      <c r="Z45" s="1419"/>
      <c r="AA45" s="1419"/>
      <c r="AB45" s="1419"/>
      <c r="AC45" s="1419"/>
      <c r="AD45" s="1419"/>
    </row>
    <row r="46" spans="2:30" hidden="1">
      <c r="B46" s="47"/>
      <c r="C46" s="969" t="s">
        <v>20</v>
      </c>
      <c r="D46" s="969" t="s">
        <v>2742</v>
      </c>
      <c r="E46" s="1577"/>
      <c r="F46" s="2913"/>
      <c r="G46" s="2877"/>
      <c r="H46" s="2877"/>
      <c r="I46" s="2877"/>
      <c r="J46" s="2876"/>
      <c r="K46" s="2876"/>
      <c r="L46" s="2876"/>
      <c r="M46" s="2876"/>
      <c r="N46" s="2876"/>
      <c r="O46" s="47"/>
      <c r="Q46" s="2909"/>
      <c r="R46" s="1068"/>
      <c r="S46" s="1068"/>
      <c r="T46" s="1068"/>
      <c r="U46" s="1068"/>
      <c r="V46" s="1068"/>
      <c r="W46" s="1419"/>
      <c r="X46" s="1419"/>
      <c r="Y46" s="1419"/>
      <c r="Z46" s="1419"/>
      <c r="AA46" s="1419"/>
      <c r="AB46" s="1419"/>
      <c r="AC46" s="1419"/>
      <c r="AD46" s="1068"/>
    </row>
    <row r="47" spans="2:30" hidden="1">
      <c r="B47" s="47"/>
      <c r="C47" s="47"/>
      <c r="D47" s="47"/>
      <c r="E47" s="47"/>
      <c r="F47" s="47"/>
      <c r="G47" s="47"/>
      <c r="H47" s="47"/>
      <c r="I47" s="47"/>
      <c r="J47" s="47"/>
      <c r="K47" s="47"/>
      <c r="L47" s="47"/>
      <c r="M47" s="47"/>
      <c r="N47" s="47"/>
      <c r="O47" s="47"/>
      <c r="Q47" s="39"/>
      <c r="R47" s="1068"/>
      <c r="S47" s="1068"/>
      <c r="T47" s="1068"/>
      <c r="U47" s="1671"/>
      <c r="V47" s="1671"/>
      <c r="W47" s="1419"/>
      <c r="X47" s="1419"/>
      <c r="Y47" s="1419"/>
      <c r="Z47" s="1419"/>
      <c r="AA47" s="1419"/>
      <c r="AB47" s="1419"/>
      <c r="AC47" s="1419"/>
      <c r="AD47" s="1671"/>
    </row>
    <row r="48" spans="2:30" hidden="1">
      <c r="B48" s="47"/>
      <c r="C48" s="47"/>
      <c r="D48" s="47"/>
      <c r="E48" s="47"/>
      <c r="F48" s="47"/>
      <c r="G48" s="47"/>
      <c r="H48" s="47"/>
      <c r="I48" s="47"/>
      <c r="J48" s="47"/>
      <c r="K48" s="47"/>
      <c r="L48" s="47"/>
      <c r="M48" s="47"/>
      <c r="N48" s="47"/>
      <c r="O48" s="47"/>
      <c r="R48" s="1068"/>
      <c r="S48" s="1068"/>
      <c r="T48" s="1068"/>
      <c r="U48" s="1671"/>
      <c r="V48" s="1671"/>
      <c r="W48" s="1419"/>
      <c r="X48" s="1419"/>
      <c r="Y48" s="1419"/>
      <c r="Z48" s="1419"/>
      <c r="AA48" s="1419"/>
      <c r="AB48" s="1419"/>
      <c r="AC48" s="1419"/>
      <c r="AD48" s="1671"/>
    </row>
    <row r="49" spans="2:30" s="39" customFormat="1">
      <c r="R49" s="1068"/>
      <c r="S49" s="1068"/>
      <c r="T49" s="1068"/>
      <c r="U49" s="1068"/>
      <c r="V49" s="1068"/>
      <c r="W49" s="1068"/>
      <c r="X49" s="1068"/>
      <c r="Y49" s="1068"/>
      <c r="Z49" s="1068"/>
      <c r="AA49" s="1068"/>
      <c r="AB49" s="1068"/>
      <c r="AC49" s="1068"/>
      <c r="AD49" s="1068"/>
    </row>
    <row r="50" spans="2:30" ht="15.5">
      <c r="B50" s="1101" t="s">
        <v>206</v>
      </c>
      <c r="R50" s="202"/>
      <c r="S50" s="1068"/>
      <c r="T50" s="202"/>
      <c r="U50" s="2526"/>
      <c r="V50" s="2526"/>
      <c r="W50" s="2526"/>
      <c r="X50" s="2526"/>
      <c r="Y50" s="2526"/>
      <c r="Z50" s="2526"/>
      <c r="AA50" s="2526"/>
      <c r="AB50" s="2526"/>
      <c r="AC50" s="2526"/>
      <c r="AD50" s="2526"/>
    </row>
    <row r="51" spans="2:30">
      <c r="B51" s="354">
        <v>1</v>
      </c>
      <c r="C51" s="2858" t="s">
        <v>2292</v>
      </c>
      <c r="R51" s="1068"/>
      <c r="S51" s="1219"/>
      <c r="T51" s="1068"/>
      <c r="U51" s="1419"/>
      <c r="V51" s="1419"/>
      <c r="W51" s="1419"/>
      <c r="X51" s="1419"/>
      <c r="Y51" s="1419"/>
      <c r="Z51" s="1419"/>
      <c r="AA51" s="1419"/>
      <c r="AB51" s="1419"/>
      <c r="AC51" s="1419"/>
      <c r="AD51" s="1419"/>
    </row>
    <row r="52" spans="2:30">
      <c r="B52" s="354">
        <v>2</v>
      </c>
      <c r="C52" s="2858" t="s">
        <v>2293</v>
      </c>
      <c r="R52" s="1068"/>
      <c r="S52" s="1219"/>
      <c r="T52" s="1068"/>
      <c r="U52" s="1068"/>
      <c r="V52" s="1068"/>
      <c r="W52" s="1419"/>
      <c r="X52" s="1419"/>
      <c r="Y52" s="1419"/>
      <c r="Z52" s="1419"/>
      <c r="AA52" s="1419"/>
      <c r="AB52" s="1419"/>
      <c r="AC52" s="1419"/>
      <c r="AD52" s="1068"/>
    </row>
    <row r="53" spans="2:30">
      <c r="R53" s="1068"/>
      <c r="S53" s="1219"/>
      <c r="T53" s="1068"/>
      <c r="U53" s="1419"/>
      <c r="V53" s="1419"/>
      <c r="W53" s="1419"/>
      <c r="X53" s="1419"/>
      <c r="Y53" s="1419"/>
      <c r="Z53" s="1419"/>
      <c r="AA53" s="1419"/>
      <c r="AB53" s="1419"/>
      <c r="AC53" s="1419"/>
      <c r="AD53" s="1419"/>
    </row>
    <row r="54" spans="2:30">
      <c r="B54" s="354">
        <v>1</v>
      </c>
      <c r="C54" s="354" t="s">
        <v>2732</v>
      </c>
      <c r="R54" s="1068"/>
      <c r="S54" s="1068"/>
      <c r="T54" s="1068"/>
      <c r="U54" s="1068"/>
      <c r="V54" s="1068"/>
      <c r="W54" s="1419"/>
      <c r="X54" s="1419"/>
      <c r="Y54" s="1419"/>
      <c r="Z54" s="1419"/>
      <c r="AA54" s="1419"/>
      <c r="AB54" s="1419"/>
      <c r="AC54" s="1419"/>
      <c r="AD54" s="1068"/>
    </row>
    <row r="55" spans="2:30" hidden="1">
      <c r="AD55" s="1671"/>
    </row>
    <row r="56" spans="2:30" hidden="1">
      <c r="C56" s="2858" t="s">
        <v>22</v>
      </c>
      <c r="F56" s="373">
        <v>2013</v>
      </c>
      <c r="G56" s="373" t="s">
        <v>132</v>
      </c>
      <c r="H56" s="373" t="s">
        <v>133</v>
      </c>
      <c r="I56" s="373" t="s">
        <v>134</v>
      </c>
      <c r="J56" s="373" t="s">
        <v>135</v>
      </c>
      <c r="K56" s="373" t="s">
        <v>136</v>
      </c>
      <c r="L56" s="373" t="s">
        <v>137</v>
      </c>
      <c r="M56" s="373" t="s">
        <v>138</v>
      </c>
      <c r="N56" s="373" t="s">
        <v>139</v>
      </c>
      <c r="AD56" s="1068"/>
    </row>
    <row r="57" spans="2:30" hidden="1">
      <c r="C57" s="2858" t="s">
        <v>146</v>
      </c>
      <c r="E57" s="3578" t="s">
        <v>2736</v>
      </c>
      <c r="F57" s="984"/>
      <c r="G57" s="984"/>
      <c r="H57" s="984"/>
      <c r="I57" s="984"/>
      <c r="J57" s="984"/>
      <c r="K57" s="984"/>
      <c r="L57" s="984"/>
      <c r="M57" s="984"/>
      <c r="N57" s="984"/>
      <c r="AD57" s="1671"/>
    </row>
    <row r="58" spans="2:30" hidden="1">
      <c r="C58" s="2858" t="s">
        <v>144</v>
      </c>
      <c r="E58" s="3578" t="s">
        <v>2736</v>
      </c>
      <c r="F58" s="984"/>
      <c r="G58" s="984"/>
      <c r="H58" s="984"/>
      <c r="I58" s="984"/>
      <c r="J58" s="984"/>
      <c r="K58" s="984"/>
      <c r="L58" s="984"/>
      <c r="M58" s="984"/>
      <c r="N58" s="984"/>
      <c r="AD58" s="1068"/>
    </row>
    <row r="59" spans="2:30" hidden="1">
      <c r="C59" s="2" t="s">
        <v>15</v>
      </c>
      <c r="E59" s="3578" t="s">
        <v>2736</v>
      </c>
      <c r="F59" s="984"/>
      <c r="G59" s="984"/>
      <c r="H59" s="984"/>
      <c r="I59" s="984"/>
      <c r="J59" s="984"/>
      <c r="K59" s="984"/>
      <c r="L59" s="984"/>
      <c r="M59" s="984"/>
      <c r="N59" s="984"/>
      <c r="AD59" s="2526"/>
    </row>
    <row r="60" spans="2:30" hidden="1">
      <c r="C60" s="2" t="s">
        <v>58</v>
      </c>
      <c r="E60" s="3578" t="s">
        <v>2736</v>
      </c>
      <c r="F60" s="984"/>
      <c r="G60" s="984"/>
      <c r="H60" s="984"/>
      <c r="I60" s="984"/>
      <c r="J60" s="984"/>
      <c r="K60" s="984"/>
      <c r="L60" s="984"/>
      <c r="M60" s="984"/>
      <c r="N60" s="984"/>
      <c r="R60" s="1068"/>
      <c r="S60" s="1219"/>
      <c r="T60" s="1068"/>
      <c r="U60" s="1419"/>
      <c r="V60" s="1419"/>
      <c r="W60" s="1419"/>
      <c r="X60" s="1419"/>
      <c r="Y60" s="1419"/>
      <c r="Z60" s="1419"/>
      <c r="AA60" s="1419"/>
      <c r="AB60" s="1419"/>
      <c r="AC60" s="1419"/>
      <c r="AD60" s="1419"/>
    </row>
    <row r="61" spans="2:30" hidden="1">
      <c r="C61" s="2"/>
      <c r="F61" s="983"/>
      <c r="G61" s="983"/>
      <c r="H61" s="983"/>
      <c r="I61" s="983"/>
      <c r="J61" s="983"/>
      <c r="K61" s="983"/>
      <c r="L61" s="983"/>
      <c r="M61" s="983"/>
      <c r="N61" s="983"/>
      <c r="R61" s="1068"/>
      <c r="S61" s="1219"/>
      <c r="T61" s="1068"/>
      <c r="U61" s="1419"/>
      <c r="V61" s="1419"/>
      <c r="W61" s="1419"/>
      <c r="X61" s="1419"/>
      <c r="Y61" s="1419"/>
      <c r="Z61" s="1419"/>
      <c r="AA61" s="1419"/>
      <c r="AB61" s="1419"/>
      <c r="AC61" s="1419"/>
      <c r="AD61" s="1419"/>
    </row>
    <row r="62" spans="2:30" hidden="1">
      <c r="C62" s="2858" t="s">
        <v>160</v>
      </c>
      <c r="F62" s="373">
        <v>2013</v>
      </c>
      <c r="G62" s="373" t="s">
        <v>132</v>
      </c>
      <c r="H62" s="373" t="s">
        <v>133</v>
      </c>
      <c r="I62" s="373" t="s">
        <v>134</v>
      </c>
      <c r="J62" s="373" t="s">
        <v>135</v>
      </c>
      <c r="K62" s="373" t="s">
        <v>136</v>
      </c>
      <c r="L62" s="373" t="s">
        <v>137</v>
      </c>
      <c r="M62" s="373" t="s">
        <v>138</v>
      </c>
      <c r="N62" s="373" t="s">
        <v>139</v>
      </c>
      <c r="R62" s="1068"/>
      <c r="S62" s="1219"/>
      <c r="T62" s="1068"/>
      <c r="U62" s="1419"/>
      <c r="V62" s="1419"/>
      <c r="W62" s="1419"/>
      <c r="X62" s="1419"/>
      <c r="Y62" s="1419"/>
      <c r="Z62" s="1419"/>
      <c r="AA62" s="1419"/>
      <c r="AB62" s="1419"/>
      <c r="AC62" s="1419"/>
      <c r="AD62" s="1419"/>
    </row>
    <row r="63" spans="2:30" hidden="1">
      <c r="C63" s="2858" t="s">
        <v>146</v>
      </c>
      <c r="E63" s="3578" t="s">
        <v>2736</v>
      </c>
      <c r="F63" s="984"/>
      <c r="G63" s="984"/>
      <c r="H63" s="984"/>
      <c r="I63" s="984"/>
      <c r="J63" s="984"/>
      <c r="K63" s="984"/>
      <c r="L63" s="984"/>
      <c r="M63" s="984"/>
      <c r="N63" s="984"/>
      <c r="R63" s="1068"/>
      <c r="S63" s="1219"/>
      <c r="T63" s="1068"/>
      <c r="U63" s="1419"/>
      <c r="V63" s="1419"/>
      <c r="W63" s="1419"/>
      <c r="X63" s="1419"/>
      <c r="Y63" s="1419"/>
      <c r="Z63" s="1419"/>
      <c r="AA63" s="1419"/>
      <c r="AB63" s="1419"/>
      <c r="AC63" s="1419"/>
      <c r="AD63" s="1419"/>
    </row>
    <row r="64" spans="2:30" hidden="1">
      <c r="C64" s="2858" t="s">
        <v>144</v>
      </c>
      <c r="E64" s="3578" t="s">
        <v>2736</v>
      </c>
      <c r="F64" s="984"/>
      <c r="G64" s="984"/>
      <c r="H64" s="984"/>
      <c r="I64" s="984"/>
      <c r="J64" s="984"/>
      <c r="K64" s="984"/>
      <c r="L64" s="984"/>
      <c r="M64" s="984"/>
      <c r="N64" s="984"/>
      <c r="R64" s="1068"/>
      <c r="S64" s="1219"/>
      <c r="T64" s="1068"/>
      <c r="U64" s="1419"/>
      <c r="V64" s="1419"/>
      <c r="W64" s="1419"/>
      <c r="X64" s="1419"/>
      <c r="Y64" s="1419"/>
      <c r="Z64" s="1419"/>
      <c r="AA64" s="1419"/>
      <c r="AB64" s="1419"/>
      <c r="AC64" s="1419"/>
      <c r="AD64" s="1419"/>
    </row>
    <row r="65" spans="1:30" hidden="1">
      <c r="C65" s="2" t="s">
        <v>15</v>
      </c>
      <c r="E65" s="3578" t="s">
        <v>2736</v>
      </c>
      <c r="F65" s="984"/>
      <c r="G65" s="984"/>
      <c r="H65" s="984"/>
      <c r="I65" s="984"/>
      <c r="J65" s="984"/>
      <c r="K65" s="984"/>
      <c r="L65" s="984"/>
      <c r="M65" s="984"/>
      <c r="N65" s="984"/>
      <c r="R65" s="1068"/>
      <c r="S65" s="1219"/>
      <c r="T65" s="1068"/>
      <c r="U65" s="1419"/>
      <c r="V65" s="1419"/>
      <c r="W65" s="1419"/>
      <c r="X65" s="1419"/>
      <c r="Y65" s="1419"/>
      <c r="Z65" s="1419"/>
      <c r="AA65" s="1419"/>
      <c r="AB65" s="1419"/>
      <c r="AC65" s="1419"/>
      <c r="AD65" s="1419"/>
    </row>
    <row r="66" spans="1:30" hidden="1">
      <c r="C66" s="2" t="s">
        <v>58</v>
      </c>
      <c r="E66" s="3578" t="s">
        <v>2736</v>
      </c>
      <c r="F66" s="984"/>
      <c r="G66" s="984"/>
      <c r="H66" s="984"/>
      <c r="I66" s="984"/>
      <c r="J66" s="984"/>
      <c r="K66" s="984"/>
      <c r="L66" s="984"/>
      <c r="M66" s="984"/>
      <c r="N66" s="984"/>
      <c r="R66" s="1068"/>
      <c r="S66" s="1219"/>
      <c r="T66" s="1068"/>
      <c r="U66" s="1419"/>
      <c r="V66" s="1419"/>
      <c r="W66" s="1419"/>
      <c r="X66" s="1419"/>
      <c r="Y66" s="1419"/>
      <c r="Z66" s="1419"/>
      <c r="AA66" s="1419"/>
      <c r="AB66" s="1419"/>
      <c r="AC66" s="1419"/>
      <c r="AD66" s="1419"/>
    </row>
    <row r="67" spans="1:30" hidden="1">
      <c r="C67" s="2"/>
      <c r="F67" s="983"/>
      <c r="G67" s="983"/>
      <c r="H67" s="983"/>
      <c r="I67" s="983"/>
      <c r="J67" s="983"/>
      <c r="K67" s="983"/>
      <c r="L67" s="983"/>
      <c r="M67" s="983"/>
      <c r="N67" s="983"/>
      <c r="R67" s="1068"/>
      <c r="S67" s="1219"/>
      <c r="T67" s="1068"/>
      <c r="U67" s="1419"/>
      <c r="V67" s="1419"/>
      <c r="W67" s="1419"/>
      <c r="X67" s="1419"/>
      <c r="Y67" s="1419"/>
      <c r="Z67" s="1419"/>
      <c r="AA67" s="1419"/>
      <c r="AB67" s="1419"/>
      <c r="AC67" s="1419"/>
      <c r="AD67" s="1419"/>
    </row>
    <row r="68" spans="1:30" hidden="1">
      <c r="C68" s="2858" t="s">
        <v>20</v>
      </c>
      <c r="F68" s="373">
        <v>2013</v>
      </c>
      <c r="G68" s="373" t="s">
        <v>132</v>
      </c>
      <c r="H68" s="373" t="s">
        <v>133</v>
      </c>
      <c r="I68" s="373" t="s">
        <v>134</v>
      </c>
      <c r="J68" s="373" t="s">
        <v>135</v>
      </c>
      <c r="K68" s="373" t="s">
        <v>136</v>
      </c>
      <c r="L68" s="373" t="s">
        <v>137</v>
      </c>
      <c r="M68" s="373" t="s">
        <v>138</v>
      </c>
      <c r="N68" s="373" t="s">
        <v>139</v>
      </c>
      <c r="R68" s="1068"/>
      <c r="S68" s="1219"/>
      <c r="T68" s="1068"/>
      <c r="U68" s="1068"/>
      <c r="V68" s="1068"/>
      <c r="W68" s="1419"/>
      <c r="X68" s="1419"/>
      <c r="Y68" s="1419"/>
      <c r="Z68" s="1419"/>
      <c r="AA68" s="1419"/>
      <c r="AB68" s="1419"/>
      <c r="AC68" s="1419"/>
      <c r="AD68" s="1068"/>
    </row>
    <row r="69" spans="1:30" hidden="1">
      <c r="C69" s="2858" t="s">
        <v>146</v>
      </c>
      <c r="E69" s="3578" t="s">
        <v>2736</v>
      </c>
      <c r="F69" s="984"/>
      <c r="G69" s="984"/>
      <c r="H69" s="984"/>
      <c r="I69" s="984"/>
      <c r="J69" s="984"/>
      <c r="K69" s="984"/>
      <c r="L69" s="984"/>
      <c r="M69" s="984"/>
      <c r="N69" s="984"/>
      <c r="R69" s="1068"/>
      <c r="S69" s="1219"/>
      <c r="T69" s="1068"/>
      <c r="U69" s="1419"/>
      <c r="V69" s="1419"/>
      <c r="W69" s="1419"/>
      <c r="X69" s="1419"/>
      <c r="Y69" s="1419"/>
      <c r="Z69" s="1419"/>
      <c r="AA69" s="1419"/>
      <c r="AB69" s="1419"/>
      <c r="AC69" s="1419"/>
      <c r="AD69" s="1419"/>
    </row>
    <row r="70" spans="1:30" hidden="1">
      <c r="C70" s="2858" t="s">
        <v>144</v>
      </c>
      <c r="E70" s="3578" t="s">
        <v>2736</v>
      </c>
      <c r="F70" s="984"/>
      <c r="G70" s="984"/>
      <c r="H70" s="984"/>
      <c r="I70" s="984"/>
      <c r="J70" s="984"/>
      <c r="K70" s="984"/>
      <c r="L70" s="984"/>
      <c r="M70" s="984"/>
      <c r="N70" s="984"/>
      <c r="R70" s="1068"/>
      <c r="S70" s="1068"/>
      <c r="T70" s="1068"/>
      <c r="U70" s="1068"/>
      <c r="V70" s="1068"/>
      <c r="W70" s="1419"/>
      <c r="X70" s="1419"/>
      <c r="Y70" s="1419"/>
      <c r="Z70" s="1419"/>
      <c r="AA70" s="1419"/>
      <c r="AB70" s="1419"/>
      <c r="AC70" s="1419"/>
      <c r="AD70" s="1068"/>
    </row>
    <row r="71" spans="1:30" hidden="1">
      <c r="C71" s="2" t="s">
        <v>15</v>
      </c>
      <c r="E71" s="3578" t="s">
        <v>2736</v>
      </c>
      <c r="F71" s="984"/>
      <c r="G71" s="984"/>
      <c r="H71" s="984"/>
      <c r="I71" s="984"/>
      <c r="J71" s="984"/>
      <c r="K71" s="984"/>
      <c r="L71" s="984"/>
      <c r="M71" s="984"/>
      <c r="N71" s="984"/>
      <c r="R71" s="1068"/>
      <c r="S71" s="1068"/>
      <c r="T71" s="1068"/>
      <c r="U71" s="1671"/>
      <c r="V71" s="1671"/>
      <c r="W71" s="1419"/>
      <c r="X71" s="1419"/>
      <c r="Y71" s="1419"/>
      <c r="Z71" s="1419"/>
      <c r="AA71" s="1419"/>
      <c r="AB71" s="1419"/>
      <c r="AC71" s="1419"/>
      <c r="AD71" s="1671"/>
    </row>
    <row r="72" spans="1:30" hidden="1">
      <c r="C72" s="2" t="s">
        <v>58</v>
      </c>
      <c r="E72" s="3578" t="s">
        <v>2736</v>
      </c>
      <c r="F72" s="984" t="s">
        <v>5</v>
      </c>
      <c r="G72" s="984"/>
      <c r="H72" s="984"/>
      <c r="I72" s="984"/>
      <c r="J72" s="984"/>
      <c r="K72" s="984"/>
      <c r="L72" s="984"/>
      <c r="M72" s="984"/>
      <c r="N72" s="984"/>
      <c r="R72" s="1068"/>
      <c r="S72" s="1068"/>
      <c r="T72" s="1068"/>
      <c r="U72" s="1068"/>
      <c r="V72" s="1068"/>
      <c r="W72" s="1419"/>
      <c r="X72" s="1419"/>
      <c r="Y72" s="1419"/>
      <c r="Z72" s="1419"/>
      <c r="AA72" s="1419"/>
      <c r="AB72" s="1419"/>
      <c r="AC72" s="1419"/>
      <c r="AD72" s="1068"/>
    </row>
    <row r="73" spans="1:30" hidden="1">
      <c r="D73" s="2858" t="s">
        <v>2294</v>
      </c>
      <c r="F73" s="357"/>
      <c r="R73" s="1068"/>
      <c r="S73" s="1068"/>
      <c r="T73" s="1068"/>
      <c r="U73" s="1671"/>
      <c r="V73" s="1671"/>
      <c r="W73" s="1419"/>
      <c r="X73" s="1419"/>
      <c r="Y73" s="1419"/>
      <c r="Z73" s="1419"/>
      <c r="AA73" s="1419"/>
      <c r="AB73" s="1419"/>
      <c r="AC73" s="1419"/>
      <c r="AD73" s="1671"/>
    </row>
    <row r="75" spans="1:30" ht="23.5">
      <c r="A75" s="7"/>
      <c r="B75" s="502" t="s">
        <v>2705</v>
      </c>
      <c r="C75" s="503"/>
      <c r="D75" s="503"/>
      <c r="E75" s="503"/>
      <c r="F75" s="503"/>
      <c r="G75" s="503"/>
      <c r="H75" s="503"/>
      <c r="I75" s="503"/>
      <c r="J75" s="503"/>
      <c r="K75" s="503"/>
      <c r="L75" s="503"/>
      <c r="M75" s="503"/>
      <c r="N75" s="503"/>
      <c r="O75" s="857"/>
    </row>
    <row r="76" spans="1:30">
      <c r="B76" s="505"/>
      <c r="C76" s="506"/>
      <c r="D76" s="506"/>
      <c r="E76" s="506"/>
      <c r="F76" s="506"/>
      <c r="G76" s="506"/>
      <c r="H76" s="506"/>
      <c r="I76" s="506"/>
      <c r="J76" s="506"/>
      <c r="K76" s="506"/>
      <c r="L76" s="506"/>
      <c r="M76" s="506"/>
      <c r="N76" s="506"/>
      <c r="O76" s="858"/>
    </row>
    <row r="77" spans="1:30">
      <c r="B77" s="505"/>
      <c r="C77" s="34" t="s">
        <v>2295</v>
      </c>
      <c r="D77" s="506"/>
      <c r="E77" s="507"/>
      <c r="F77" s="506"/>
      <c r="G77" s="506"/>
      <c r="H77" s="506"/>
      <c r="I77" s="506"/>
      <c r="J77" s="506"/>
      <c r="K77" s="506"/>
      <c r="L77" s="506"/>
      <c r="M77" s="506"/>
      <c r="N77" s="507" t="s">
        <v>27</v>
      </c>
      <c r="O77" s="858"/>
    </row>
    <row r="78" spans="1:30" ht="6" customHeight="1">
      <c r="B78" s="505"/>
      <c r="C78" s="506"/>
      <c r="D78" s="506"/>
      <c r="E78" s="506"/>
      <c r="F78" s="506"/>
      <c r="G78" s="506"/>
      <c r="H78" s="506"/>
      <c r="I78" s="506"/>
      <c r="J78" s="506"/>
      <c r="K78" s="506"/>
      <c r="L78" s="506"/>
      <c r="M78" s="506"/>
      <c r="N78" s="506"/>
      <c r="O78" s="858"/>
    </row>
    <row r="79" spans="1:30" ht="15.5">
      <c r="A79" s="434"/>
      <c r="B79" s="15"/>
      <c r="C79" s="864" t="s">
        <v>28</v>
      </c>
      <c r="D79" s="864" t="s">
        <v>29</v>
      </c>
      <c r="E79" s="864" t="s">
        <v>30</v>
      </c>
      <c r="F79" s="864" t="s">
        <v>588</v>
      </c>
      <c r="G79" s="864" t="s">
        <v>132</v>
      </c>
      <c r="H79" s="864" t="s">
        <v>133</v>
      </c>
      <c r="I79" s="864" t="s">
        <v>134</v>
      </c>
      <c r="J79" s="864" t="s">
        <v>135</v>
      </c>
      <c r="K79" s="864" t="s">
        <v>136</v>
      </c>
      <c r="L79" s="864" t="s">
        <v>137</v>
      </c>
      <c r="M79" s="864" t="s">
        <v>138</v>
      </c>
      <c r="N79" s="864" t="s">
        <v>139</v>
      </c>
      <c r="O79" s="858"/>
    </row>
    <row r="80" spans="1:30" s="3547" customFormat="1" ht="15.5">
      <c r="A80" s="434"/>
      <c r="B80" s="15"/>
      <c r="C80" s="864"/>
      <c r="D80" s="2921"/>
      <c r="E80" s="864"/>
      <c r="F80" s="864"/>
      <c r="G80" s="864"/>
      <c r="H80" s="864"/>
      <c r="I80" s="864"/>
      <c r="J80" s="864"/>
      <c r="K80" s="864"/>
      <c r="L80" s="864"/>
      <c r="M80" s="864"/>
      <c r="N80" s="864"/>
      <c r="O80" s="858"/>
    </row>
    <row r="81" spans="1:22" ht="15.5">
      <c r="A81" s="434"/>
      <c r="B81" s="15"/>
      <c r="C81" s="3343" t="s">
        <v>58</v>
      </c>
      <c r="D81" s="3343"/>
      <c r="E81" s="3343"/>
      <c r="F81" s="3343"/>
      <c r="G81" s="3343"/>
      <c r="H81" s="3343"/>
      <c r="I81" s="3343"/>
      <c r="J81" s="3343"/>
      <c r="K81" s="3343"/>
      <c r="L81" s="3343"/>
      <c r="M81" s="3343"/>
      <c r="N81" s="3343">
        <f>SUBTOTAL(103,XVI.b.Outputs[2050])</f>
        <v>0</v>
      </c>
      <c r="O81" s="858"/>
    </row>
    <row r="82" spans="1:22">
      <c r="B82" s="506"/>
      <c r="C82" s="2888"/>
      <c r="D82" s="2889"/>
      <c r="E82" s="2889"/>
      <c r="F82" s="2889"/>
      <c r="G82" s="2889"/>
      <c r="H82" s="2889"/>
      <c r="I82" s="2889"/>
      <c r="J82" s="2889"/>
      <c r="K82" s="2889"/>
      <c r="L82" s="2889"/>
      <c r="M82" s="2889"/>
      <c r="N82" s="2889"/>
      <c r="O82" s="506"/>
    </row>
    <row r="83" spans="1:22" ht="23.5">
      <c r="A83" s="7"/>
    </row>
    <row r="84" spans="1:22" ht="15">
      <c r="B84" s="1118" t="s">
        <v>300</v>
      </c>
      <c r="C84" s="1119"/>
      <c r="D84" s="1120"/>
      <c r="E84" s="1120"/>
      <c r="F84" s="1120"/>
      <c r="G84" s="1120"/>
      <c r="H84" s="1120"/>
      <c r="I84" s="1120"/>
      <c r="J84" s="1120"/>
      <c r="K84" s="1120"/>
      <c r="L84" s="1120"/>
      <c r="M84" s="1120"/>
      <c r="N84" s="1120"/>
      <c r="O84" s="1121"/>
    </row>
    <row r="85" spans="1:22">
      <c r="B85" s="1122"/>
      <c r="C85" s="1123"/>
      <c r="D85" s="1123"/>
      <c r="E85" s="1123"/>
      <c r="F85" s="1123"/>
      <c r="G85" s="1123"/>
      <c r="H85" s="1123"/>
      <c r="I85" s="1123"/>
      <c r="J85" s="1123"/>
      <c r="K85" s="1123"/>
      <c r="L85" s="1123"/>
      <c r="M85" s="1123"/>
      <c r="N85" s="1123"/>
      <c r="O85" s="1124"/>
    </row>
    <row r="86" spans="1:22">
      <c r="B86" s="1125"/>
      <c r="C86" s="453" t="s">
        <v>1308</v>
      </c>
      <c r="D86" s="1126"/>
      <c r="E86" s="1127"/>
      <c r="F86" s="1126"/>
      <c r="G86" s="1126"/>
      <c r="H86" s="1126"/>
      <c r="I86" s="1126"/>
      <c r="J86" s="1126"/>
      <c r="K86" s="1126"/>
      <c r="L86" s="1126"/>
      <c r="M86" s="1126"/>
      <c r="N86" s="1127" t="s">
        <v>251</v>
      </c>
      <c r="O86" s="1129"/>
    </row>
    <row r="87" spans="1:22">
      <c r="B87" s="1125"/>
      <c r="C87" s="1126"/>
      <c r="D87" s="1126"/>
      <c r="E87" s="1126"/>
      <c r="F87" s="1126"/>
      <c r="G87" s="1126"/>
      <c r="H87" s="1126"/>
      <c r="I87" s="1126"/>
      <c r="J87" s="1126"/>
      <c r="K87" s="1126"/>
      <c r="L87" s="1126"/>
      <c r="M87" s="1126"/>
      <c r="N87" s="1126"/>
      <c r="O87" s="1129"/>
    </row>
    <row r="88" spans="1:22" ht="15.5">
      <c r="B88" s="458"/>
      <c r="C88" s="1327" t="s">
        <v>302</v>
      </c>
      <c r="D88" s="1327" t="s">
        <v>303</v>
      </c>
      <c r="E88" s="1327" t="s">
        <v>30</v>
      </c>
      <c r="F88" s="1327">
        <v>2013</v>
      </c>
      <c r="G88" s="1327" t="s">
        <v>132</v>
      </c>
      <c r="H88" s="1327" t="s">
        <v>133</v>
      </c>
      <c r="I88" s="1327" t="s">
        <v>134</v>
      </c>
      <c r="J88" s="1327" t="s">
        <v>135</v>
      </c>
      <c r="K88" s="1327" t="s">
        <v>136</v>
      </c>
      <c r="L88" s="1327" t="s">
        <v>137</v>
      </c>
      <c r="M88" s="1327" t="s">
        <v>138</v>
      </c>
      <c r="N88" s="1327" t="s">
        <v>139</v>
      </c>
      <c r="O88" s="1129"/>
    </row>
    <row r="89" spans="1:22" ht="15.5">
      <c r="B89" s="458"/>
      <c r="C89" s="1131"/>
      <c r="D89" s="1132"/>
      <c r="E89" s="1131"/>
      <c r="F89" s="461"/>
      <c r="G89" s="461"/>
      <c r="H89" s="461"/>
      <c r="I89" s="461"/>
      <c r="J89" s="461"/>
      <c r="K89" s="461"/>
      <c r="L89" s="461"/>
      <c r="M89" s="461"/>
      <c r="N89" s="461"/>
      <c r="O89" s="1129"/>
    </row>
    <row r="90" spans="1:22" ht="15.5">
      <c r="B90" s="458"/>
      <c r="C90" s="1131" t="s">
        <v>58</v>
      </c>
      <c r="D90" s="1131"/>
      <c r="E90" s="1131"/>
      <c r="F90" s="462">
        <v>0</v>
      </c>
      <c r="G90" s="462">
        <v>0</v>
      </c>
      <c r="H90" s="462">
        <v>0</v>
      </c>
      <c r="I90" s="462">
        <v>0</v>
      </c>
      <c r="J90" s="462">
        <v>0</v>
      </c>
      <c r="K90" s="462">
        <v>0</v>
      </c>
      <c r="L90" s="462">
        <v>0</v>
      </c>
      <c r="M90" s="462">
        <v>0</v>
      </c>
      <c r="N90" s="462">
        <v>0</v>
      </c>
      <c r="O90" s="1129"/>
    </row>
    <row r="91" spans="1:22" ht="15.5">
      <c r="B91" s="458"/>
      <c r="C91" s="1126"/>
      <c r="D91" s="1126"/>
      <c r="E91" s="1126"/>
      <c r="F91" s="1126"/>
      <c r="G91" s="1126"/>
      <c r="H91" s="1126"/>
      <c r="I91" s="1126"/>
      <c r="J91" s="1126"/>
      <c r="K91" s="1126"/>
      <c r="L91" s="1126"/>
      <c r="M91" s="1126"/>
      <c r="N91" s="1126"/>
      <c r="O91" s="1129"/>
    </row>
    <row r="92" spans="1:22">
      <c r="S92" s="1143"/>
      <c r="T92" s="1144"/>
      <c r="U92" s="1143"/>
      <c r="V92" s="1143"/>
    </row>
    <row r="93" spans="1:22" ht="15">
      <c r="B93" s="986" t="s">
        <v>310</v>
      </c>
      <c r="C93" s="987"/>
      <c r="D93" s="988"/>
      <c r="E93" s="988"/>
      <c r="F93" s="988"/>
      <c r="G93" s="988"/>
      <c r="H93" s="988"/>
      <c r="I93" s="988"/>
      <c r="J93" s="988"/>
      <c r="K93" s="988"/>
      <c r="L93" s="988"/>
      <c r="M93" s="988"/>
      <c r="N93" s="988"/>
      <c r="O93" s="989"/>
      <c r="T93" s="6"/>
    </row>
    <row r="94" spans="1:22">
      <c r="B94" s="990"/>
      <c r="C94" s="991"/>
      <c r="D94" s="991"/>
      <c r="E94" s="991"/>
      <c r="F94" s="991"/>
      <c r="G94" s="991"/>
      <c r="H94" s="991"/>
      <c r="I94" s="991"/>
      <c r="J94" s="991"/>
      <c r="K94" s="991"/>
      <c r="L94" s="991"/>
      <c r="M94" s="991"/>
      <c r="N94" s="991"/>
      <c r="O94" s="992"/>
      <c r="T94" s="6"/>
    </row>
    <row r="95" spans="1:22">
      <c r="B95" s="993"/>
      <c r="C95" s="479" t="s">
        <v>311</v>
      </c>
      <c r="D95" s="994"/>
      <c r="E95" s="995"/>
      <c r="F95" s="994"/>
      <c r="G95" s="994"/>
      <c r="H95" s="994"/>
      <c r="I95" s="994"/>
      <c r="J95" s="994"/>
      <c r="K95" s="994"/>
      <c r="L95" s="994"/>
      <c r="M95" s="994"/>
      <c r="N95" s="995"/>
      <c r="O95" s="996"/>
      <c r="T95" s="6"/>
    </row>
    <row r="96" spans="1:22">
      <c r="B96" s="993"/>
      <c r="C96" s="994"/>
      <c r="D96" s="994"/>
      <c r="E96" s="994"/>
      <c r="F96" s="994"/>
      <c r="G96" s="994"/>
      <c r="H96" s="994"/>
      <c r="I96" s="994"/>
      <c r="J96" s="994"/>
      <c r="K96" s="994"/>
      <c r="L96" s="994"/>
      <c r="M96" s="994"/>
      <c r="N96" s="994"/>
      <c r="O96" s="996"/>
    </row>
    <row r="97" spans="2:15" ht="15.5">
      <c r="B97" s="483"/>
      <c r="C97" s="997" t="s">
        <v>28</v>
      </c>
      <c r="D97" s="997" t="s">
        <v>312</v>
      </c>
      <c r="E97" s="997" t="s">
        <v>30</v>
      </c>
      <c r="F97" s="997">
        <v>2013</v>
      </c>
      <c r="G97" s="997" t="s">
        <v>132</v>
      </c>
      <c r="H97" s="997" t="s">
        <v>133</v>
      </c>
      <c r="I97" s="997" t="s">
        <v>134</v>
      </c>
      <c r="J97" s="997" t="s">
        <v>135</v>
      </c>
      <c r="K97" s="997" t="s">
        <v>136</v>
      </c>
      <c r="L97" s="997" t="s">
        <v>137</v>
      </c>
      <c r="M97" s="997" t="s">
        <v>138</v>
      </c>
      <c r="N97" s="997" t="s">
        <v>139</v>
      </c>
      <c r="O97" s="996"/>
    </row>
    <row r="98" spans="2:15" ht="15.5">
      <c r="B98" s="483"/>
      <c r="C98" s="998"/>
      <c r="D98" s="485"/>
      <c r="E98" s="485"/>
      <c r="F98" s="999"/>
      <c r="G98" s="999"/>
      <c r="H98" s="999"/>
      <c r="I98" s="999"/>
      <c r="J98" s="999"/>
      <c r="K98" s="999"/>
      <c r="L98" s="999"/>
      <c r="M98" s="999"/>
      <c r="N98" s="999"/>
      <c r="O98" s="996"/>
    </row>
    <row r="99" spans="2:15" ht="15.5">
      <c r="B99" s="488"/>
      <c r="C99" s="1001"/>
      <c r="D99" s="1001"/>
      <c r="E99" s="1001"/>
      <c r="F99" s="1001"/>
      <c r="G99" s="1001"/>
      <c r="H99" s="1001"/>
      <c r="I99" s="1001"/>
      <c r="J99" s="1001"/>
      <c r="K99" s="1001"/>
      <c r="L99" s="1001"/>
      <c r="M99" s="1001"/>
      <c r="N99" s="1001"/>
      <c r="O99" s="1002"/>
    </row>
    <row r="101" spans="2:15" ht="15">
      <c r="B101" s="986" t="s">
        <v>2720</v>
      </c>
      <c r="C101" s="988"/>
      <c r="D101" s="988"/>
      <c r="E101" s="988"/>
      <c r="F101" s="988"/>
      <c r="G101" s="988"/>
      <c r="H101" s="988"/>
      <c r="I101" s="988"/>
      <c r="J101" s="988"/>
      <c r="K101" s="988"/>
      <c r="L101" s="988"/>
      <c r="M101" s="988"/>
      <c r="N101" s="988"/>
      <c r="O101" s="989"/>
    </row>
    <row r="102" spans="2:15">
      <c r="B102" s="993"/>
      <c r="C102" s="994"/>
      <c r="D102" s="994"/>
      <c r="E102" s="994"/>
      <c r="F102" s="994"/>
      <c r="G102" s="994"/>
      <c r="H102" s="994"/>
      <c r="I102" s="994"/>
      <c r="J102" s="994"/>
      <c r="K102" s="994"/>
      <c r="L102" s="994"/>
      <c r="M102" s="994"/>
      <c r="N102" s="994"/>
      <c r="O102" s="996"/>
    </row>
    <row r="103" spans="2:15">
      <c r="B103" s="993"/>
      <c r="C103" s="491" t="s">
        <v>146</v>
      </c>
      <c r="D103" s="1003"/>
      <c r="E103" s="1003"/>
      <c r="F103" s="1003"/>
      <c r="G103" s="1003"/>
      <c r="H103" s="1003"/>
      <c r="I103" s="1003"/>
      <c r="J103" s="1003"/>
      <c r="K103" s="1003"/>
      <c r="L103" s="1003"/>
      <c r="M103" s="1003"/>
      <c r="N103" s="1003"/>
      <c r="O103" s="996"/>
    </row>
    <row r="104" spans="2:15">
      <c r="B104" s="993"/>
      <c r="C104" s="994"/>
      <c r="D104" s="994"/>
      <c r="E104" s="994"/>
      <c r="F104" s="994"/>
      <c r="G104" s="994"/>
      <c r="H104" s="994"/>
      <c r="I104" s="994"/>
      <c r="J104" s="994"/>
      <c r="K104" s="994"/>
      <c r="L104" s="994"/>
      <c r="M104" s="994"/>
      <c r="N104" s="994"/>
      <c r="O104" s="996"/>
    </row>
    <row r="105" spans="2:15" ht="15.5">
      <c r="B105" s="483"/>
      <c r="C105" s="1377" t="s">
        <v>28</v>
      </c>
      <c r="D105" s="1377" t="s">
        <v>29</v>
      </c>
      <c r="E105" s="1377" t="s">
        <v>30</v>
      </c>
      <c r="F105" s="1377">
        <v>2013</v>
      </c>
      <c r="G105" s="1377" t="s">
        <v>132</v>
      </c>
      <c r="H105" s="1377" t="s">
        <v>133</v>
      </c>
      <c r="I105" s="1377" t="s">
        <v>134</v>
      </c>
      <c r="J105" s="1377" t="s">
        <v>135</v>
      </c>
      <c r="K105" s="1377" t="s">
        <v>136</v>
      </c>
      <c r="L105" s="1377" t="s">
        <v>137</v>
      </c>
      <c r="M105" s="1377" t="s">
        <v>138</v>
      </c>
      <c r="N105" s="1377" t="s">
        <v>139</v>
      </c>
      <c r="O105" s="1141"/>
    </row>
    <row r="106" spans="2:15" ht="15.5">
      <c r="B106" s="483"/>
      <c r="C106" s="1340" t="s">
        <v>752</v>
      </c>
      <c r="D106" s="1341" t="s">
        <v>753</v>
      </c>
      <c r="E106" s="1341"/>
      <c r="F106" s="1621"/>
      <c r="G106" s="1621"/>
      <c r="H106" s="1621"/>
      <c r="I106" s="1621"/>
      <c r="J106" s="1621"/>
      <c r="K106" s="1621"/>
      <c r="L106" s="1621"/>
      <c r="M106" s="1621"/>
      <c r="N106" s="1621"/>
      <c r="O106" s="1141"/>
    </row>
    <row r="107" spans="2:15" ht="15.5">
      <c r="B107" s="483"/>
      <c r="C107" s="998" t="s">
        <v>754</v>
      </c>
      <c r="D107" s="485" t="s">
        <v>755</v>
      </c>
      <c r="E107" s="485"/>
      <c r="F107" s="486"/>
      <c r="G107" s="486"/>
      <c r="H107" s="486"/>
      <c r="I107" s="486"/>
      <c r="J107" s="486"/>
      <c r="K107" s="486"/>
      <c r="L107" s="486"/>
      <c r="M107" s="486"/>
      <c r="N107" s="486"/>
      <c r="O107" s="1141"/>
    </row>
    <row r="108" spans="2:15">
      <c r="B108" s="494"/>
      <c r="C108" s="1343" t="s">
        <v>756</v>
      </c>
      <c r="D108" s="1344" t="s">
        <v>757</v>
      </c>
      <c r="E108" s="2917"/>
      <c r="F108" s="2893"/>
      <c r="G108" s="2893"/>
      <c r="H108" s="2893"/>
      <c r="I108" s="2893"/>
      <c r="J108" s="2893"/>
      <c r="K108" s="2893"/>
      <c r="L108" s="2893"/>
      <c r="M108" s="2893"/>
      <c r="N108" s="2893"/>
      <c r="O108" s="1142"/>
    </row>
    <row r="109" spans="2:15">
      <c r="B109" s="1005"/>
      <c r="C109" s="1001"/>
      <c r="D109" s="1001"/>
      <c r="E109" s="1001"/>
      <c r="F109" s="1001"/>
      <c r="G109" s="1001"/>
      <c r="H109" s="1001"/>
      <c r="I109" s="1001"/>
      <c r="J109" s="1001"/>
      <c r="K109" s="1001"/>
      <c r="L109" s="1001"/>
      <c r="M109" s="1001"/>
      <c r="N109" s="1001"/>
      <c r="O109" s="1006"/>
    </row>
    <row r="110" spans="2:15">
      <c r="B110" s="993"/>
      <c r="C110" s="491" t="s">
        <v>144</v>
      </c>
      <c r="D110" s="1003"/>
      <c r="E110" s="1003"/>
      <c r="F110" s="1003"/>
      <c r="G110" s="1003"/>
      <c r="H110" s="1003"/>
      <c r="I110" s="1003"/>
      <c r="J110" s="1003"/>
      <c r="K110" s="1003"/>
      <c r="L110" s="1003"/>
      <c r="M110" s="1003"/>
      <c r="N110" s="1003"/>
      <c r="O110" s="996"/>
    </row>
    <row r="111" spans="2:15">
      <c r="B111" s="993"/>
      <c r="C111" s="994"/>
      <c r="D111" s="994"/>
      <c r="E111" s="994"/>
      <c r="F111" s="994"/>
      <c r="G111" s="994"/>
      <c r="H111" s="994"/>
      <c r="I111" s="994"/>
      <c r="J111" s="994"/>
      <c r="K111" s="994"/>
      <c r="L111" s="994"/>
      <c r="M111" s="994"/>
      <c r="N111" s="994"/>
      <c r="O111" s="996"/>
    </row>
    <row r="112" spans="2:15" ht="15.5">
      <c r="B112" s="483"/>
      <c r="C112" s="1377" t="s">
        <v>28</v>
      </c>
      <c r="D112" s="1377" t="s">
        <v>29</v>
      </c>
      <c r="E112" s="1377" t="s">
        <v>30</v>
      </c>
      <c r="F112" s="1377">
        <v>2013</v>
      </c>
      <c r="G112" s="1377" t="s">
        <v>132</v>
      </c>
      <c r="H112" s="1377" t="s">
        <v>133</v>
      </c>
      <c r="I112" s="1377" t="s">
        <v>134</v>
      </c>
      <c r="J112" s="1377" t="s">
        <v>135</v>
      </c>
      <c r="K112" s="1377" t="s">
        <v>136</v>
      </c>
      <c r="L112" s="1377" t="s">
        <v>137</v>
      </c>
      <c r="M112" s="1377" t="s">
        <v>138</v>
      </c>
      <c r="N112" s="1377" t="s">
        <v>139</v>
      </c>
      <c r="O112" s="1141"/>
    </row>
    <row r="113" spans="1:15" ht="15.5">
      <c r="B113" s="483"/>
      <c r="C113" s="1340" t="s">
        <v>752</v>
      </c>
      <c r="D113" s="1341" t="s">
        <v>753</v>
      </c>
      <c r="E113" s="1341"/>
      <c r="F113" s="1621"/>
      <c r="G113" s="1621"/>
      <c r="H113" s="1621"/>
      <c r="I113" s="1621"/>
      <c r="J113" s="1621"/>
      <c r="K113" s="1621"/>
      <c r="L113" s="1621"/>
      <c r="M113" s="1621"/>
      <c r="N113" s="1621"/>
      <c r="O113" s="1141"/>
    </row>
    <row r="114" spans="1:15" ht="15.5">
      <c r="B114" s="483"/>
      <c r="C114" s="998" t="s">
        <v>754</v>
      </c>
      <c r="D114" s="485" t="s">
        <v>755</v>
      </c>
      <c r="E114" s="485"/>
      <c r="F114" s="486"/>
      <c r="G114" s="486"/>
      <c r="H114" s="486"/>
      <c r="I114" s="486"/>
      <c r="J114" s="486"/>
      <c r="K114" s="486"/>
      <c r="L114" s="486"/>
      <c r="M114" s="486"/>
      <c r="N114" s="486"/>
      <c r="O114" s="1141"/>
    </row>
    <row r="115" spans="1:15">
      <c r="B115" s="494"/>
      <c r="C115" s="1343" t="s">
        <v>756</v>
      </c>
      <c r="D115" s="1344" t="s">
        <v>757</v>
      </c>
      <c r="E115" s="2917"/>
      <c r="F115" s="2893"/>
      <c r="G115" s="2893"/>
      <c r="H115" s="2893"/>
      <c r="I115" s="2893"/>
      <c r="J115" s="2893"/>
      <c r="K115" s="2893"/>
      <c r="L115" s="2893"/>
      <c r="M115" s="2893"/>
      <c r="N115" s="2893"/>
      <c r="O115" s="1142"/>
    </row>
    <row r="116" spans="1:15">
      <c r="B116" s="1005"/>
      <c r="C116" s="1001"/>
      <c r="D116" s="1001"/>
      <c r="E116" s="1001"/>
      <c r="F116" s="1001"/>
      <c r="G116" s="1001"/>
      <c r="H116" s="1001"/>
      <c r="I116" s="1001"/>
      <c r="J116" s="1001"/>
      <c r="K116" s="1001"/>
      <c r="L116" s="1001"/>
      <c r="M116" s="1001"/>
      <c r="N116" s="1001"/>
      <c r="O116" s="1006"/>
    </row>
    <row r="117" spans="1:15">
      <c r="B117" s="993"/>
      <c r="C117" s="491" t="s">
        <v>15</v>
      </c>
      <c r="D117" s="1003"/>
      <c r="E117" s="1003"/>
      <c r="F117" s="1003"/>
      <c r="G117" s="1003"/>
      <c r="H117" s="1003"/>
      <c r="I117" s="1003"/>
      <c r="J117" s="1003"/>
      <c r="K117" s="1003"/>
      <c r="L117" s="1003"/>
      <c r="M117" s="1003"/>
      <c r="N117" s="1003"/>
      <c r="O117" s="996"/>
    </row>
    <row r="118" spans="1:15">
      <c r="B118" s="993"/>
      <c r="C118" s="994"/>
      <c r="D118" s="994"/>
      <c r="E118" s="994"/>
      <c r="F118" s="994"/>
      <c r="G118" s="994"/>
      <c r="H118" s="994"/>
      <c r="I118" s="994"/>
      <c r="J118" s="994"/>
      <c r="K118" s="994"/>
      <c r="L118" s="994"/>
      <c r="M118" s="994"/>
      <c r="N118" s="994"/>
      <c r="O118" s="996"/>
    </row>
    <row r="119" spans="1:15" ht="15.5">
      <c r="A119" s="3547" t="s">
        <v>5</v>
      </c>
      <c r="B119" s="483"/>
      <c r="C119" s="997" t="s">
        <v>28</v>
      </c>
      <c r="D119" s="997" t="s">
        <v>29</v>
      </c>
      <c r="E119" s="997" t="s">
        <v>30</v>
      </c>
      <c r="F119" s="997">
        <v>2013</v>
      </c>
      <c r="G119" s="997" t="s">
        <v>132</v>
      </c>
      <c r="H119" s="997" t="s">
        <v>133</v>
      </c>
      <c r="I119" s="997" t="s">
        <v>134</v>
      </c>
      <c r="J119" s="997" t="s">
        <v>135</v>
      </c>
      <c r="K119" s="997" t="s">
        <v>136</v>
      </c>
      <c r="L119" s="997" t="s">
        <v>137</v>
      </c>
      <c r="M119" s="997" t="s">
        <v>138</v>
      </c>
      <c r="N119" s="997" t="s">
        <v>139</v>
      </c>
      <c r="O119" s="1141"/>
    </row>
    <row r="120" spans="1:15" ht="15.5">
      <c r="B120" s="483"/>
      <c r="C120" s="998" t="s">
        <v>752</v>
      </c>
      <c r="D120" s="485" t="s">
        <v>753</v>
      </c>
      <c r="E120" s="2638"/>
      <c r="F120" s="1621"/>
      <c r="G120" s="1621"/>
      <c r="H120" s="1621"/>
      <c r="I120" s="1621"/>
      <c r="J120" s="1621"/>
      <c r="K120" s="1621"/>
      <c r="L120" s="1621"/>
      <c r="M120" s="1621"/>
      <c r="N120" s="1621"/>
      <c r="O120" s="1141"/>
    </row>
    <row r="121" spans="1:15" ht="15.5">
      <c r="B121" s="483"/>
      <c r="C121" s="998" t="s">
        <v>754</v>
      </c>
      <c r="D121" s="485" t="s">
        <v>755</v>
      </c>
      <c r="E121" s="2856"/>
      <c r="F121" s="486"/>
      <c r="G121" s="486"/>
      <c r="H121" s="486"/>
      <c r="I121" s="486"/>
      <c r="J121" s="486"/>
      <c r="K121" s="486"/>
      <c r="L121" s="486"/>
      <c r="M121" s="486"/>
      <c r="N121" s="486"/>
      <c r="O121" s="1141"/>
    </row>
    <row r="122" spans="1:15">
      <c r="B122" s="494"/>
      <c r="C122" s="998" t="s">
        <v>756</v>
      </c>
      <c r="D122" s="485" t="s">
        <v>757</v>
      </c>
      <c r="E122" s="2638"/>
      <c r="F122" s="2893"/>
      <c r="G122" s="2893"/>
      <c r="H122" s="2893"/>
      <c r="I122" s="2893"/>
      <c r="J122" s="2893"/>
      <c r="K122" s="2893"/>
      <c r="L122" s="2893"/>
      <c r="M122" s="2893"/>
      <c r="N122" s="2893"/>
      <c r="O122" s="1142"/>
    </row>
    <row r="123" spans="1:15">
      <c r="B123" s="1005"/>
      <c r="C123" s="1001"/>
      <c r="D123" s="1001"/>
      <c r="E123" s="1001"/>
      <c r="F123" s="1001"/>
      <c r="G123" s="1001"/>
      <c r="H123" s="1001"/>
      <c r="I123" s="1001"/>
      <c r="J123" s="1001"/>
      <c r="K123" s="1001"/>
      <c r="L123" s="1001"/>
      <c r="M123" s="1001"/>
      <c r="N123" s="1001"/>
      <c r="O123" s="1006"/>
    </row>
    <row r="724" spans="6:14">
      <c r="F724" s="2858">
        <v>0</v>
      </c>
      <c r="G724" s="2858">
        <v>0</v>
      </c>
      <c r="H724" s="2858">
        <v>0</v>
      </c>
      <c r="I724" s="2858">
        <v>0</v>
      </c>
      <c r="J724" s="2858">
        <v>0</v>
      </c>
      <c r="K724" s="2858">
        <v>0</v>
      </c>
      <c r="L724" s="2858">
        <v>0</v>
      </c>
      <c r="M724" s="2858">
        <v>0</v>
      </c>
      <c r="N724" s="2858">
        <v>0</v>
      </c>
    </row>
    <row r="725" spans="6:14">
      <c r="F725" s="2858">
        <v>0</v>
      </c>
      <c r="G725" s="2858">
        <v>0</v>
      </c>
      <c r="H725" s="2858">
        <v>0</v>
      </c>
      <c r="I725" s="2858">
        <v>0</v>
      </c>
      <c r="J725" s="2858">
        <v>0</v>
      </c>
      <c r="K725" s="2858">
        <v>0</v>
      </c>
      <c r="L725" s="2858">
        <v>0</v>
      </c>
      <c r="M725" s="2858">
        <v>0</v>
      </c>
      <c r="N725" s="2858">
        <v>0</v>
      </c>
    </row>
    <row r="726" spans="6:14">
      <c r="F726" s="2858">
        <v>0</v>
      </c>
      <c r="G726" s="2858">
        <v>0</v>
      </c>
      <c r="H726" s="2858">
        <v>0</v>
      </c>
      <c r="I726" s="2858">
        <v>0</v>
      </c>
      <c r="J726" s="2858">
        <v>0</v>
      </c>
      <c r="K726" s="2858">
        <v>0</v>
      </c>
      <c r="L726" s="2858">
        <v>0</v>
      </c>
      <c r="M726" s="2858">
        <v>0</v>
      </c>
      <c r="N726" s="2858">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9"/>
  </sheetPr>
  <dimension ref="A1:Z726"/>
  <sheetViews>
    <sheetView showGridLines="0" zoomScale="80" zoomScaleNormal="80" workbookViewId="0">
      <selection activeCell="G19" sqref="G19"/>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5" width="17.7265625" style="3601" customWidth="1"/>
    <col min="16" max="16" width="2" style="3601" customWidth="1"/>
    <col min="17" max="17" width="10.81640625" style="3601" customWidth="1"/>
    <col min="18" max="16384" width="8.81640625" style="3601"/>
  </cols>
  <sheetData>
    <row r="1" spans="1:15" ht="20">
      <c r="A1" s="854" t="s">
        <v>535</v>
      </c>
      <c r="B1" s="854" t="s">
        <v>536</v>
      </c>
      <c r="C1" s="854"/>
    </row>
    <row r="2" spans="1:15" s="6" customFormat="1" ht="15">
      <c r="A2" s="855" t="s">
        <v>533</v>
      </c>
      <c r="B2" s="855" t="s">
        <v>534</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2781</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100</v>
      </c>
      <c r="D9" s="17" t="s">
        <v>90</v>
      </c>
      <c r="E9" s="17"/>
      <c r="F9" s="2769">
        <f ca="1">INDEX(INDIRECT("'"&amp;XVII.a.Inputs[#Headers]&amp;"'!Year.Matrix"), MATCH("Subtotal."&amp;$A$2, INDIRECT("'"&amp;XVII.a.Inputs[#Headers]&amp;"'!Year.Modules"), 0), MATCH(XVII.a.Inputs[Vector], INDIRECT("'"&amp;XVII.a.Inputs[#Headers]&amp;"'!Year.Vectors"), 0))</f>
        <v>-2.6537999724419409E-2</v>
      </c>
      <c r="G9" s="2769">
        <f ca="1">INDEX(INDIRECT("'"&amp;XVII.a.Inputs[#Headers]&amp;"'!Year.Matrix"), MATCH("Subtotal."&amp;$A$2, INDIRECT("'"&amp;XVII.a.Inputs[#Headers]&amp;"'!Year.Modules"), 0), MATCH(XVII.a.Inputs[Vector], INDIRECT("'"&amp;XVII.a.Inputs[#Headers]&amp;"'!Year.Vectors"), 0))</f>
        <v>-2.6537999724419409E-2</v>
      </c>
      <c r="H9" s="2769">
        <f ca="1">INDEX(INDIRECT("'"&amp;XVII.a.Inputs[#Headers]&amp;"'!Year.Matrix"), MATCH("Subtotal."&amp;$A$2, INDIRECT("'"&amp;XVII.a.Inputs[#Headers]&amp;"'!Year.Modules"), 0), MATCH(XVII.a.Inputs[Vector], INDIRECT("'"&amp;XVII.a.Inputs[#Headers]&amp;"'!Year.Vectors"), 0))</f>
        <v>-2.6537999724419409E-2</v>
      </c>
      <c r="I9" s="2769">
        <f ca="1">INDEX(INDIRECT("'"&amp;XVII.a.Inputs[#Headers]&amp;"'!Year.Matrix"), MATCH("Subtotal."&amp;$A$2, INDIRECT("'"&amp;XVII.a.Inputs[#Headers]&amp;"'!Year.Modules"), 0), MATCH(XVII.a.Inputs[Vector], INDIRECT("'"&amp;XVII.a.Inputs[#Headers]&amp;"'!Year.Vectors"), 0))</f>
        <v>-2.6537999724419409E-2</v>
      </c>
      <c r="J9" s="2769">
        <f ca="1">INDEX(INDIRECT("'"&amp;XVII.a.Inputs[#Headers]&amp;"'!Year.Matrix"), MATCH("Subtotal."&amp;$A$2, INDIRECT("'"&amp;XVII.a.Inputs[#Headers]&amp;"'!Year.Modules"), 0), MATCH(XVII.a.Inputs[Vector], INDIRECT("'"&amp;XVII.a.Inputs[#Headers]&amp;"'!Year.Vectors"), 0))</f>
        <v>-2.6537999724419409E-2</v>
      </c>
      <c r="K9" s="2769">
        <f ca="1">INDEX(INDIRECT("'"&amp;XVII.a.Inputs[#Headers]&amp;"'!Year.Matrix"), MATCH("Subtotal."&amp;$A$2, INDIRECT("'"&amp;XVII.a.Inputs[#Headers]&amp;"'!Year.Modules"), 0), MATCH(XVII.a.Inputs[Vector], INDIRECT("'"&amp;XVII.a.Inputs[#Headers]&amp;"'!Year.Vectors"), 0))</f>
        <v>-2.6537999724419409E-2</v>
      </c>
      <c r="L9" s="2769">
        <f ca="1">INDEX(INDIRECT("'"&amp;XVII.a.Inputs[#Headers]&amp;"'!Year.Matrix"), MATCH("Subtotal."&amp;$A$2, INDIRECT("'"&amp;XVII.a.Inputs[#Headers]&amp;"'!Year.Modules"), 0), MATCH(XVII.a.Inputs[Vector], INDIRECT("'"&amp;XVII.a.Inputs[#Headers]&amp;"'!Year.Vectors"), 0))</f>
        <v>-2.6537999724419409E-2</v>
      </c>
      <c r="M9" s="2769">
        <f ca="1">INDEX(INDIRECT("'"&amp;XVII.a.Inputs[#Headers]&amp;"'!Year.Matrix"), MATCH("Subtotal."&amp;$A$2, INDIRECT("'"&amp;XVII.a.Inputs[#Headers]&amp;"'!Year.Modules"), 0), MATCH(XVII.a.Inputs[Vector], INDIRECT("'"&amp;XVII.a.Inputs[#Headers]&amp;"'!Year.Vectors"), 0))</f>
        <v>-2.6537999724419409E-2</v>
      </c>
      <c r="N9" s="2769">
        <f ca="1">INDEX(INDIRECT("'"&amp;XVII.a.Inputs[#Headers]&amp;"'!Year.Matrix"), MATCH("Subtotal."&amp;$A$2, INDIRECT("'"&amp;XVII.a.Inputs[#Headers]&amp;"'!Year.Modules"), 0), MATCH(XVII.a.Inputs[Vector], INDIRECT("'"&amp;XVII.a.Inputs[#Headers]&amp;"'!Year.Vectors"), 0))</f>
        <v>-2.6537999724419409E-2</v>
      </c>
      <c r="O9" s="866"/>
    </row>
    <row r="10" spans="1:15">
      <c r="B10" s="1243"/>
      <c r="C10" s="860"/>
      <c r="D10" s="860"/>
      <c r="E10" s="860"/>
      <c r="F10" s="860"/>
      <c r="G10" s="860"/>
      <c r="H10" s="860"/>
      <c r="I10" s="860"/>
      <c r="J10" s="860"/>
      <c r="K10" s="860"/>
      <c r="L10" s="860"/>
      <c r="M10" s="860"/>
      <c r="N10" s="860"/>
      <c r="O10" s="861"/>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2782</v>
      </c>
      <c r="D14" s="67"/>
      <c r="E14" s="51"/>
      <c r="F14" s="67"/>
      <c r="G14" s="67"/>
      <c r="H14" s="67"/>
      <c r="I14" s="67"/>
      <c r="J14" s="67"/>
      <c r="K14" s="67"/>
      <c r="L14" s="67"/>
      <c r="M14" s="67"/>
      <c r="N14" s="67"/>
      <c r="O14" s="876"/>
    </row>
    <row r="15" spans="1:15">
      <c r="B15" s="105"/>
      <c r="C15" s="67"/>
      <c r="D15" s="67"/>
      <c r="E15" s="67"/>
      <c r="F15" s="67"/>
      <c r="G15" s="67"/>
      <c r="H15" s="67"/>
      <c r="I15" s="67"/>
      <c r="J15" s="67"/>
      <c r="K15" s="67"/>
      <c r="L15" s="67"/>
      <c r="M15" s="67"/>
      <c r="N15" s="67"/>
      <c r="O15" s="876"/>
    </row>
    <row r="16" spans="1:15" ht="15.5">
      <c r="B16" s="55"/>
      <c r="C16" s="878" t="s">
        <v>29</v>
      </c>
      <c r="D16" s="878" t="s">
        <v>71</v>
      </c>
      <c r="E16" s="878" t="s">
        <v>30</v>
      </c>
      <c r="F16" s="87">
        <v>2013</v>
      </c>
      <c r="G16" s="87">
        <v>2015</v>
      </c>
      <c r="H16" s="87">
        <v>2020</v>
      </c>
      <c r="I16" s="87">
        <v>2025</v>
      </c>
      <c r="J16" s="87">
        <v>2030</v>
      </c>
      <c r="K16" s="87">
        <v>2035</v>
      </c>
      <c r="L16" s="87">
        <v>2040</v>
      </c>
      <c r="M16" s="87">
        <v>2045</v>
      </c>
      <c r="N16" s="87">
        <v>2050</v>
      </c>
      <c r="O16" s="876"/>
    </row>
    <row r="17" spans="1:25" s="6" customFormat="1" ht="15.5">
      <c r="B17" s="966"/>
      <c r="C17" s="907" t="s">
        <v>2783</v>
      </c>
      <c r="D17" s="908" t="s">
        <v>2784</v>
      </c>
      <c r="E17" s="908" t="s">
        <v>64</v>
      </c>
      <c r="F17" s="3422">
        <v>7</v>
      </c>
      <c r="G17" s="3422">
        <v>7</v>
      </c>
      <c r="H17" s="3422">
        <v>7</v>
      </c>
      <c r="I17" s="3422">
        <v>7</v>
      </c>
      <c r="J17" s="3422">
        <v>7</v>
      </c>
      <c r="K17" s="3422">
        <v>7</v>
      </c>
      <c r="L17" s="3422">
        <v>7</v>
      </c>
      <c r="M17" s="3422">
        <v>7</v>
      </c>
      <c r="N17" s="3422">
        <v>7</v>
      </c>
      <c r="O17" s="884"/>
    </row>
    <row r="18" spans="1:25">
      <c r="B18" s="45"/>
      <c r="C18" s="67"/>
      <c r="D18" s="195"/>
      <c r="E18" s="67"/>
      <c r="F18" s="67"/>
      <c r="G18" s="67"/>
      <c r="H18" s="67"/>
      <c r="I18" s="67"/>
      <c r="J18" s="67"/>
      <c r="K18" s="67"/>
      <c r="L18" s="67"/>
      <c r="M18" s="67"/>
      <c r="N18" s="67"/>
      <c r="O18" s="67"/>
      <c r="P18" s="876"/>
    </row>
    <row r="19" spans="1:25">
      <c r="B19" s="45"/>
      <c r="C19" s="67" t="s">
        <v>2785</v>
      </c>
      <c r="D19" s="67"/>
      <c r="E19" s="51"/>
      <c r="F19" s="67">
        <f>(200*Unit.MW/4.1)*Conversion.to.annual.energy</f>
        <v>0.42760975609756108</v>
      </c>
      <c r="G19" s="67" t="str">
        <f>Preferences.EnergyUnits</f>
        <v>TWh</v>
      </c>
      <c r="H19" s="67"/>
      <c r="I19" s="67"/>
      <c r="J19" s="67"/>
      <c r="K19" s="67"/>
      <c r="L19" s="67"/>
      <c r="M19" s="67"/>
      <c r="N19" s="67"/>
      <c r="O19" s="67"/>
      <c r="P19" s="876"/>
    </row>
    <row r="20" spans="1:25" s="918" customFormat="1">
      <c r="B20" s="1160"/>
      <c r="C20" s="67" t="s">
        <v>2786</v>
      </c>
      <c r="D20" s="67"/>
      <c r="E20" s="51"/>
      <c r="F20" s="3613">
        <f>5/30</f>
        <v>0.16666666666666666</v>
      </c>
      <c r="G20" s="67" t="s">
        <v>2787</v>
      </c>
      <c r="H20" s="922"/>
      <c r="I20" s="922"/>
      <c r="J20" s="922"/>
      <c r="K20" s="922"/>
      <c r="L20" s="922"/>
      <c r="M20" s="922"/>
      <c r="N20" s="922"/>
      <c r="O20" s="922"/>
      <c r="P20" s="923"/>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26" t="s">
        <v>63</v>
      </c>
      <c r="D23" s="195"/>
      <c r="E23" s="67"/>
      <c r="F23" s="67"/>
      <c r="G23" s="67"/>
      <c r="H23" s="67"/>
      <c r="I23" s="67"/>
      <c r="J23" s="67"/>
      <c r="K23" s="67"/>
      <c r="L23" s="67"/>
      <c r="M23" s="67"/>
      <c r="N23" s="67"/>
      <c r="O23" s="67"/>
      <c r="P23" s="67"/>
    </row>
    <row r="24" spans="1:25">
      <c r="B24" s="67"/>
      <c r="C24" s="920" t="s">
        <v>64</v>
      </c>
      <c r="D24" s="921" t="s">
        <v>2788</v>
      </c>
      <c r="E24" s="922"/>
      <c r="F24" s="922"/>
      <c r="G24" s="922"/>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68"/>
      <c r="U25" s="1068"/>
      <c r="V25" s="1068"/>
      <c r="W25" s="1068"/>
      <c r="X25" s="1068"/>
      <c r="Y25" s="1068"/>
    </row>
    <row r="26" spans="1:25">
      <c r="T26" s="1068"/>
      <c r="U26" s="1068"/>
      <c r="V26" s="1068"/>
      <c r="W26" s="1068"/>
      <c r="X26" s="1068"/>
      <c r="Y26" s="1068"/>
    </row>
    <row r="27" spans="1:25" s="6" customFormat="1" ht="23.5">
      <c r="A27" s="40"/>
      <c r="B27" s="869" t="s">
        <v>2719</v>
      </c>
      <c r="C27" s="870"/>
      <c r="D27" s="870"/>
      <c r="E27" s="870"/>
      <c r="F27" s="870"/>
      <c r="G27" s="870"/>
      <c r="H27" s="870"/>
      <c r="I27" s="870"/>
      <c r="J27" s="870"/>
      <c r="K27" s="870"/>
      <c r="L27" s="870"/>
      <c r="M27" s="870"/>
      <c r="N27" s="870"/>
      <c r="O27" s="871"/>
      <c r="T27" s="647"/>
      <c r="U27" s="647"/>
      <c r="V27" s="647"/>
      <c r="W27" s="647"/>
      <c r="X27" s="647"/>
      <c r="Y27" s="647"/>
    </row>
    <row r="28" spans="1:25" hidden="1">
      <c r="B28" s="105"/>
      <c r="C28" s="47"/>
      <c r="D28" s="47"/>
      <c r="E28" s="47"/>
      <c r="F28" s="47"/>
      <c r="G28" s="47"/>
      <c r="H28" s="47"/>
      <c r="I28" s="47"/>
      <c r="J28" s="47"/>
      <c r="K28" s="47"/>
      <c r="L28" s="47"/>
      <c r="M28" s="47"/>
      <c r="N28" s="47"/>
      <c r="O28" s="67"/>
      <c r="T28" s="202"/>
      <c r="U28" s="1068"/>
      <c r="V28" s="1419"/>
      <c r="W28" s="1068"/>
      <c r="X28" s="1419"/>
      <c r="Y28" s="1068"/>
    </row>
    <row r="29" spans="1:25" hidden="1">
      <c r="B29" s="105"/>
      <c r="C29" s="961" t="s">
        <v>2789</v>
      </c>
      <c r="D29" s="47"/>
      <c r="E29" s="47"/>
      <c r="F29" s="47"/>
      <c r="G29" s="47"/>
      <c r="H29" s="47"/>
      <c r="I29" s="47"/>
      <c r="J29" s="47"/>
      <c r="K29" s="47"/>
      <c r="L29" s="47"/>
      <c r="M29" s="47"/>
      <c r="N29" s="935" t="s">
        <v>2801</v>
      </c>
      <c r="O29" s="67"/>
      <c r="T29" s="1068"/>
      <c r="U29" s="1068"/>
      <c r="V29" s="1068"/>
      <c r="W29" s="1068"/>
      <c r="X29" s="1068"/>
      <c r="Y29" s="1068"/>
    </row>
    <row r="30" spans="1:25" hidden="1">
      <c r="B30" s="105"/>
      <c r="C30" s="1069"/>
      <c r="D30" s="1527"/>
      <c r="E30" s="1192" t="s">
        <v>159</v>
      </c>
      <c r="F30" s="963">
        <v>2013</v>
      </c>
      <c r="G30" s="972">
        <v>2015</v>
      </c>
      <c r="H30" s="972">
        <v>2020</v>
      </c>
      <c r="I30" s="972">
        <v>2025</v>
      </c>
      <c r="J30" s="972">
        <v>2030</v>
      </c>
      <c r="K30" s="972">
        <v>2035</v>
      </c>
      <c r="L30" s="972">
        <v>2040</v>
      </c>
      <c r="M30" s="972">
        <v>2045</v>
      </c>
      <c r="N30" s="972">
        <v>2050</v>
      </c>
      <c r="O30" s="67"/>
      <c r="T30" s="2542"/>
      <c r="U30" s="2542"/>
      <c r="V30" s="2573"/>
      <c r="W30" s="2526"/>
      <c r="X30" s="2526"/>
      <c r="Y30" s="2526"/>
    </row>
    <row r="31" spans="1:25" hidden="1">
      <c r="B31" s="105"/>
      <c r="C31" s="967" t="s">
        <v>719</v>
      </c>
      <c r="D31" s="1070"/>
      <c r="E31" s="2394"/>
      <c r="F31" s="3358"/>
      <c r="G31" s="1574"/>
      <c r="H31" s="1574"/>
      <c r="I31" s="1574"/>
      <c r="J31" s="1574"/>
      <c r="K31" s="1574"/>
      <c r="L31" s="1574"/>
      <c r="M31" s="1574"/>
      <c r="N31" s="3357"/>
      <c r="O31" s="67"/>
      <c r="Q31" s="736"/>
      <c r="R31" s="736"/>
      <c r="S31" s="736"/>
      <c r="T31" s="2542"/>
      <c r="U31" s="512"/>
      <c r="V31" s="2522"/>
      <c r="W31" s="1068"/>
      <c r="X31" s="1068"/>
      <c r="Y31" s="3328"/>
    </row>
    <row r="32" spans="1:25" hidden="1">
      <c r="B32" s="105"/>
      <c r="C32" s="943" t="s">
        <v>720</v>
      </c>
      <c r="D32" s="915"/>
      <c r="E32" s="2395"/>
      <c r="F32" s="3360"/>
      <c r="G32" s="3360"/>
      <c r="H32" s="3360"/>
      <c r="I32" s="3360"/>
      <c r="J32" s="3360"/>
      <c r="K32" s="3360"/>
      <c r="L32" s="3360"/>
      <c r="M32" s="3360"/>
      <c r="N32" s="3360"/>
      <c r="O32" s="67"/>
      <c r="Q32" s="1410"/>
      <c r="R32" s="1410"/>
      <c r="S32" s="1410"/>
      <c r="T32" s="1410"/>
      <c r="U32" s="39"/>
      <c r="V32" s="3614"/>
      <c r="W32" s="1068"/>
      <c r="X32" s="1068"/>
      <c r="Y32" s="1068"/>
    </row>
    <row r="33" spans="2:25" hidden="1">
      <c r="B33" s="105"/>
      <c r="C33" s="947" t="s">
        <v>721</v>
      </c>
      <c r="D33" s="948"/>
      <c r="E33" s="2396"/>
      <c r="F33" s="3466"/>
      <c r="G33" s="1577"/>
      <c r="H33" s="1577"/>
      <c r="I33" s="1577"/>
      <c r="J33" s="1577"/>
      <c r="K33" s="1577"/>
      <c r="L33" s="1577"/>
      <c r="M33" s="1577"/>
      <c r="N33" s="3615"/>
      <c r="O33" s="47"/>
      <c r="Q33" s="1410"/>
      <c r="R33" s="1410"/>
      <c r="S33" s="1410"/>
      <c r="T33" s="2466"/>
      <c r="U33" s="1068"/>
      <c r="V33" s="1068"/>
      <c r="W33" s="1068"/>
      <c r="X33" s="1419"/>
      <c r="Y33" s="1068"/>
    </row>
    <row r="34" spans="2:25" ht="15.5" hidden="1">
      <c r="B34" s="55"/>
      <c r="C34" s="47"/>
      <c r="D34" s="47"/>
      <c r="E34" s="47"/>
      <c r="F34" s="47"/>
      <c r="G34" s="47"/>
      <c r="H34" s="47"/>
      <c r="I34" s="47"/>
      <c r="J34" s="47"/>
      <c r="K34" s="47"/>
      <c r="L34" s="47"/>
      <c r="M34" s="47"/>
      <c r="N34" s="47"/>
      <c r="O34" s="47"/>
      <c r="Q34" s="1410"/>
      <c r="R34" s="1410"/>
      <c r="S34" s="1410"/>
      <c r="T34" s="1164"/>
      <c r="U34" s="1068"/>
      <c r="V34" s="1068"/>
      <c r="W34" s="1068"/>
      <c r="X34" s="1068"/>
      <c r="Y34" s="1068"/>
    </row>
    <row r="35" spans="2:25" s="6" customFormat="1" ht="15.5" hidden="1">
      <c r="B35" s="966"/>
      <c r="C35" s="961" t="s">
        <v>2790</v>
      </c>
      <c r="D35" s="47"/>
      <c r="E35" s="47"/>
      <c r="F35" s="47"/>
      <c r="G35" s="47"/>
      <c r="H35" s="47"/>
      <c r="I35" s="47"/>
      <c r="J35" s="47"/>
      <c r="K35" s="47"/>
      <c r="L35" s="47"/>
      <c r="M35" s="47"/>
      <c r="N35" s="935" t="s">
        <v>2801</v>
      </c>
      <c r="O35" s="47"/>
      <c r="Q35" s="850"/>
      <c r="R35" s="850"/>
      <c r="S35" s="850"/>
      <c r="T35" s="850"/>
      <c r="U35" s="850"/>
    </row>
    <row r="36" spans="2:25" hidden="1">
      <c r="B36" s="45"/>
      <c r="C36" s="2931"/>
      <c r="D36" s="2578"/>
      <c r="E36" s="2932" t="s">
        <v>159</v>
      </c>
      <c r="F36" s="2926">
        <v>2013</v>
      </c>
      <c r="G36" s="955">
        <v>2015</v>
      </c>
      <c r="H36" s="955">
        <v>2020</v>
      </c>
      <c r="I36" s="955">
        <v>2025</v>
      </c>
      <c r="J36" s="955">
        <v>2030</v>
      </c>
      <c r="K36" s="955">
        <v>2035</v>
      </c>
      <c r="L36" s="955">
        <v>2040</v>
      </c>
      <c r="M36" s="955">
        <v>2045</v>
      </c>
      <c r="N36" s="955">
        <v>2050</v>
      </c>
      <c r="O36" s="47"/>
      <c r="Q36" s="1410"/>
      <c r="R36" s="1410"/>
      <c r="S36" s="1410"/>
      <c r="T36" s="1410"/>
      <c r="U36" s="39"/>
    </row>
    <row r="37" spans="2:25" hidden="1">
      <c r="B37" s="105"/>
      <c r="C37" s="943" t="s">
        <v>719</v>
      </c>
      <c r="D37" s="915"/>
      <c r="E37" s="2395"/>
      <c r="F37" s="3616"/>
      <c r="G37" s="1576"/>
      <c r="H37" s="1576"/>
      <c r="I37" s="1576"/>
      <c r="J37" s="1576"/>
      <c r="K37" s="1576"/>
      <c r="L37" s="1576"/>
      <c r="M37" s="1576"/>
      <c r="N37" s="3616"/>
      <c r="O37" s="47"/>
      <c r="Q37" s="1410"/>
      <c r="R37" s="1410"/>
      <c r="S37" s="1410"/>
      <c r="T37" s="1410"/>
      <c r="U37" s="39"/>
    </row>
    <row r="38" spans="2:25" hidden="1">
      <c r="B38" s="105"/>
      <c r="C38" s="943" t="s">
        <v>720</v>
      </c>
      <c r="D38" s="915"/>
      <c r="E38" s="2395"/>
      <c r="F38" s="3360"/>
      <c r="G38" s="3360"/>
      <c r="H38" s="3360"/>
      <c r="I38" s="3360"/>
      <c r="J38" s="3360"/>
      <c r="K38" s="3360"/>
      <c r="L38" s="3360"/>
      <c r="M38" s="3360"/>
      <c r="N38" s="3360"/>
      <c r="O38" s="47"/>
      <c r="Q38" s="1410"/>
      <c r="R38" s="1410"/>
      <c r="S38" s="1410"/>
      <c r="T38" s="1410"/>
      <c r="U38" s="39"/>
    </row>
    <row r="39" spans="2:25" hidden="1">
      <c r="B39" s="105"/>
      <c r="C39" s="947" t="s">
        <v>721</v>
      </c>
      <c r="D39" s="948"/>
      <c r="E39" s="2396"/>
      <c r="F39" s="3617"/>
      <c r="G39" s="1577"/>
      <c r="H39" s="1577"/>
      <c r="I39" s="1577"/>
      <c r="J39" s="1577"/>
      <c r="K39" s="1577"/>
      <c r="L39" s="1577"/>
      <c r="M39" s="1577"/>
      <c r="N39" s="3617"/>
      <c r="O39" s="47"/>
      <c r="Q39" s="1410"/>
      <c r="R39" s="1410"/>
      <c r="S39" s="1410"/>
      <c r="T39" s="1410"/>
      <c r="U39" s="39"/>
    </row>
    <row r="40" spans="2:25" hidden="1">
      <c r="B40" s="67"/>
      <c r="C40" s="47"/>
      <c r="D40" s="47"/>
      <c r="E40" s="47"/>
      <c r="F40" s="47"/>
      <c r="G40" s="47"/>
      <c r="H40" s="47"/>
      <c r="I40" s="47"/>
      <c r="J40" s="47"/>
      <c r="K40" s="47"/>
      <c r="L40" s="47"/>
      <c r="M40" s="47"/>
      <c r="N40" s="47"/>
      <c r="O40" s="47"/>
      <c r="Q40" s="736"/>
      <c r="R40" s="736"/>
      <c r="S40" s="736"/>
      <c r="T40" s="736"/>
    </row>
    <row r="41" spans="2:25" hidden="1">
      <c r="B41" s="47"/>
      <c r="C41" s="67"/>
      <c r="D41" s="1597"/>
      <c r="E41" s="67"/>
      <c r="F41" s="67"/>
      <c r="G41" s="67"/>
      <c r="H41" s="47"/>
      <c r="I41" s="47"/>
      <c r="J41" s="47"/>
      <c r="K41" s="47"/>
      <c r="L41" s="47"/>
      <c r="M41" s="47"/>
      <c r="N41" s="47"/>
      <c r="O41" s="47"/>
      <c r="Q41" s="39"/>
    </row>
    <row r="42" spans="2:25" hidden="1">
      <c r="B42" s="47"/>
      <c r="C42" s="67"/>
      <c r="D42" s="1597"/>
      <c r="E42" s="67"/>
      <c r="F42" s="67"/>
      <c r="G42" s="67"/>
      <c r="H42" s="47"/>
      <c r="I42" s="47"/>
      <c r="J42" s="47"/>
      <c r="K42" s="47"/>
      <c r="L42" s="47"/>
      <c r="M42" s="47"/>
      <c r="N42" s="47"/>
      <c r="O42" s="47"/>
      <c r="Q42" s="39"/>
    </row>
    <row r="43" spans="2:25">
      <c r="B43" s="39"/>
      <c r="C43" s="1068"/>
      <c r="D43" s="2519"/>
      <c r="E43" s="1068"/>
      <c r="F43" s="1068"/>
      <c r="G43" s="1068"/>
      <c r="H43" s="39"/>
      <c r="I43" s="39"/>
      <c r="J43" s="39"/>
      <c r="K43" s="39"/>
      <c r="L43" s="39"/>
      <c r="M43" s="39"/>
      <c r="N43" s="39"/>
      <c r="O43" s="39"/>
      <c r="Q43" s="39"/>
    </row>
    <row r="44" spans="2:25" ht="15.5">
      <c r="B44" s="1101" t="s">
        <v>206</v>
      </c>
    </row>
    <row r="45" spans="2:25">
      <c r="B45" s="354">
        <v>1</v>
      </c>
      <c r="C45" s="3601" t="s">
        <v>2791</v>
      </c>
    </row>
    <row r="47" spans="2:25">
      <c r="C47" s="354" t="s">
        <v>2792</v>
      </c>
      <c r="E47" s="3601" t="str">
        <f>Preferences.EnergyUnits</f>
        <v>TWh</v>
      </c>
      <c r="F47" s="2460">
        <f ca="1">-XVII.a.Inputs[2013]</f>
        <v>2.6537999724419409E-2</v>
      </c>
      <c r="G47" s="2460">
        <f ca="1">-XVII.a.Inputs[2015]</f>
        <v>2.6537999724419409E-2</v>
      </c>
      <c r="H47" s="2460">
        <f ca="1">-XVII.a.Inputs[2020]</f>
        <v>2.6537999724419409E-2</v>
      </c>
      <c r="I47" s="2460">
        <f ca="1">-XVII.a.Inputs[2025]</f>
        <v>2.6537999724419409E-2</v>
      </c>
      <c r="J47" s="2460">
        <f ca="1">-XVII.a.Inputs[2030]</f>
        <v>2.6537999724419409E-2</v>
      </c>
      <c r="K47" s="2460">
        <f ca="1">-XVII.a.Inputs[2035]</f>
        <v>2.6537999724419409E-2</v>
      </c>
      <c r="L47" s="2460">
        <f ca="1">-XVII.a.Inputs[2040]</f>
        <v>2.6537999724419409E-2</v>
      </c>
      <c r="M47" s="2460">
        <f ca="1">-XVII.a.Inputs[2045]</f>
        <v>2.6537999724419409E-2</v>
      </c>
      <c r="N47" s="2460">
        <f ca="1">-XVII.a.Inputs[2050]</f>
        <v>2.6537999724419409E-2</v>
      </c>
    </row>
    <row r="48" spans="2:25">
      <c r="B48" s="3601" t="s">
        <v>1704</v>
      </c>
      <c r="C48" s="2943" t="s">
        <v>2782</v>
      </c>
      <c r="F48" s="2480">
        <f>F$17</f>
        <v>7</v>
      </c>
      <c r="G48" s="2480">
        <f t="shared" ref="G48:N48" si="0">G$17</f>
        <v>7</v>
      </c>
      <c r="H48" s="2480">
        <f t="shared" si="0"/>
        <v>7</v>
      </c>
      <c r="I48" s="2480">
        <f t="shared" si="0"/>
        <v>7</v>
      </c>
      <c r="J48" s="2480">
        <f t="shared" si="0"/>
        <v>7</v>
      </c>
      <c r="K48" s="2480">
        <f t="shared" si="0"/>
        <v>7</v>
      </c>
      <c r="L48" s="2480">
        <f t="shared" si="0"/>
        <v>7</v>
      </c>
      <c r="M48" s="2480">
        <f t="shared" si="0"/>
        <v>7</v>
      </c>
      <c r="N48" s="2480">
        <f t="shared" si="0"/>
        <v>7</v>
      </c>
    </row>
    <row r="49" spans="2:26">
      <c r="B49" s="979" t="s">
        <v>220</v>
      </c>
      <c r="C49" s="354" t="s">
        <v>2793</v>
      </c>
      <c r="F49" s="2460">
        <f ca="1">F47/F48</f>
        <v>3.7911428177742012E-3</v>
      </c>
      <c r="G49" s="2460">
        <f t="shared" ref="G49:N49" ca="1" si="1">G47/G48</f>
        <v>3.7911428177742012E-3</v>
      </c>
      <c r="H49" s="2460">
        <f t="shared" ca="1" si="1"/>
        <v>3.7911428177742012E-3</v>
      </c>
      <c r="I49" s="2460">
        <f t="shared" ca="1" si="1"/>
        <v>3.7911428177742012E-3</v>
      </c>
      <c r="J49" s="2460">
        <f t="shared" ca="1" si="1"/>
        <v>3.7911428177742012E-3</v>
      </c>
      <c r="K49" s="2460">
        <f t="shared" ca="1" si="1"/>
        <v>3.7911428177742012E-3</v>
      </c>
      <c r="L49" s="2460">
        <f t="shared" ca="1" si="1"/>
        <v>3.7911428177742012E-3</v>
      </c>
      <c r="M49" s="2460">
        <f t="shared" ca="1" si="1"/>
        <v>3.7911428177742012E-3</v>
      </c>
      <c r="N49" s="2460">
        <f t="shared" ca="1" si="1"/>
        <v>3.7911428177742012E-3</v>
      </c>
    </row>
    <row r="50" spans="2:26">
      <c r="B50" s="3618"/>
      <c r="C50" s="3601" t="s">
        <v>2794</v>
      </c>
      <c r="F50" s="2384">
        <f ca="1">F47-F49</f>
        <v>2.274685690664521E-2</v>
      </c>
      <c r="G50" s="2384">
        <f t="shared" ref="G50:N50" ca="1" si="2">G47-G49</f>
        <v>2.274685690664521E-2</v>
      </c>
      <c r="H50" s="2384">
        <f t="shared" ca="1" si="2"/>
        <v>2.274685690664521E-2</v>
      </c>
      <c r="I50" s="2384">
        <f t="shared" ca="1" si="2"/>
        <v>2.274685690664521E-2</v>
      </c>
      <c r="J50" s="2384">
        <f t="shared" ca="1" si="2"/>
        <v>2.274685690664521E-2</v>
      </c>
      <c r="K50" s="2384">
        <f t="shared" ca="1" si="2"/>
        <v>2.274685690664521E-2</v>
      </c>
      <c r="L50" s="2384">
        <f t="shared" ca="1" si="2"/>
        <v>2.274685690664521E-2</v>
      </c>
      <c r="M50" s="2384">
        <f t="shared" ca="1" si="2"/>
        <v>2.274685690664521E-2</v>
      </c>
      <c r="N50" s="2384">
        <f t="shared" ca="1" si="2"/>
        <v>2.274685690664521E-2</v>
      </c>
    </row>
    <row r="51" spans="2:26">
      <c r="B51" s="979"/>
      <c r="C51" s="979"/>
      <c r="F51" s="2384"/>
      <c r="G51" s="2384"/>
      <c r="H51" s="2384"/>
      <c r="I51" s="2384"/>
      <c r="J51" s="2384"/>
      <c r="K51" s="2384"/>
      <c r="L51" s="2384"/>
      <c r="M51" s="2384"/>
      <c r="N51" s="2384"/>
    </row>
    <row r="52" spans="2:26">
      <c r="B52" s="979">
        <v>2</v>
      </c>
      <c r="C52" s="354" t="s">
        <v>2795</v>
      </c>
      <c r="E52" s="3601" t="s">
        <v>741</v>
      </c>
      <c r="F52" s="1313">
        <v>2013</v>
      </c>
      <c r="G52" s="1313">
        <v>2015</v>
      </c>
      <c r="H52" s="1313">
        <v>2020</v>
      </c>
      <c r="I52" s="1313">
        <v>2025</v>
      </c>
      <c r="J52" s="1313">
        <v>2030</v>
      </c>
      <c r="K52" s="1313">
        <v>2035</v>
      </c>
      <c r="L52" s="1313">
        <v>2040</v>
      </c>
      <c r="M52" s="1313">
        <v>2045</v>
      </c>
      <c r="N52" s="1313">
        <v>2050</v>
      </c>
    </row>
    <row r="53" spans="2:26">
      <c r="B53" s="979"/>
      <c r="C53" s="3601" t="s">
        <v>2796</v>
      </c>
      <c r="F53" s="2485">
        <f t="shared" ref="F53:N53" ca="1" si="3">F47/$F$19</f>
        <v>6.2061258766894563E-2</v>
      </c>
      <c r="G53" s="2485">
        <f t="shared" ca="1" si="3"/>
        <v>6.2061258766894563E-2</v>
      </c>
      <c r="H53" s="2485">
        <f t="shared" ca="1" si="3"/>
        <v>6.2061258766894563E-2</v>
      </c>
      <c r="I53" s="2485">
        <f t="shared" ca="1" si="3"/>
        <v>6.2061258766894563E-2</v>
      </c>
      <c r="J53" s="2485">
        <f t="shared" ca="1" si="3"/>
        <v>6.2061258766894563E-2</v>
      </c>
      <c r="K53" s="2485">
        <f t="shared" ca="1" si="3"/>
        <v>6.2061258766894563E-2</v>
      </c>
      <c r="L53" s="2485">
        <f t="shared" ca="1" si="3"/>
        <v>6.2061258766894563E-2</v>
      </c>
      <c r="M53" s="2485">
        <f t="shared" ca="1" si="3"/>
        <v>6.2061258766894563E-2</v>
      </c>
      <c r="N53" s="2485">
        <f t="shared" ca="1" si="3"/>
        <v>6.2061258766894563E-2</v>
      </c>
    </row>
    <row r="54" spans="2:26">
      <c r="B54" s="979"/>
      <c r="C54" s="3601" t="s">
        <v>2797</v>
      </c>
      <c r="E54" s="3601" t="s">
        <v>2798</v>
      </c>
      <c r="F54" s="2384"/>
      <c r="G54" s="2384">
        <f ca="1">MAX((G53-F53)/(G52-F52),0)</f>
        <v>0</v>
      </c>
      <c r="H54" s="2384">
        <f t="shared" ref="H54:N54" ca="1" si="4">MAX((H53-G53)/(H52-G52),0)</f>
        <v>0</v>
      </c>
      <c r="I54" s="2384">
        <f t="shared" ca="1" si="4"/>
        <v>0</v>
      </c>
      <c r="J54" s="2384">
        <f t="shared" ca="1" si="4"/>
        <v>0</v>
      </c>
      <c r="K54" s="2384">
        <f t="shared" ca="1" si="4"/>
        <v>0</v>
      </c>
      <c r="L54" s="2384">
        <f t="shared" ca="1" si="4"/>
        <v>0</v>
      </c>
      <c r="M54" s="2384">
        <f t="shared" ca="1" si="4"/>
        <v>0</v>
      </c>
      <c r="N54" s="2384">
        <f t="shared" ca="1" si="4"/>
        <v>0</v>
      </c>
    </row>
    <row r="55" spans="2:26">
      <c r="B55" s="979"/>
      <c r="C55" s="3601" t="s">
        <v>2799</v>
      </c>
      <c r="E55" s="3601" t="s">
        <v>2798</v>
      </c>
      <c r="F55" s="2384"/>
      <c r="G55" s="2384">
        <f t="shared" ref="G55:N55" ca="1" si="5">(F53*$F$20)/(G52-F52)</f>
        <v>5.1717715639078799E-3</v>
      </c>
      <c r="H55" s="2384">
        <f t="shared" ca="1" si="5"/>
        <v>2.0687086255631519E-3</v>
      </c>
      <c r="I55" s="2384">
        <f t="shared" ca="1" si="5"/>
        <v>2.0687086255631519E-3</v>
      </c>
      <c r="J55" s="2384">
        <f t="shared" ca="1" si="5"/>
        <v>2.0687086255631519E-3</v>
      </c>
      <c r="K55" s="2384">
        <f t="shared" ca="1" si="5"/>
        <v>2.0687086255631519E-3</v>
      </c>
      <c r="L55" s="2384">
        <f t="shared" ca="1" si="5"/>
        <v>2.0687086255631519E-3</v>
      </c>
      <c r="M55" s="2384">
        <f t="shared" ca="1" si="5"/>
        <v>2.0687086255631519E-3</v>
      </c>
      <c r="N55" s="2384">
        <f t="shared" ca="1" si="5"/>
        <v>2.0687086255631519E-3</v>
      </c>
      <c r="Q55" s="1068"/>
      <c r="R55" s="1068"/>
      <c r="S55" s="1068"/>
      <c r="T55" s="1068"/>
      <c r="U55" s="1068"/>
      <c r="V55" s="1068"/>
      <c r="W55" s="1068"/>
      <c r="X55" s="1068"/>
      <c r="Y55" s="1068"/>
      <c r="Z55" s="1068"/>
    </row>
    <row r="56" spans="2:26">
      <c r="B56" s="979"/>
      <c r="C56" s="3601" t="s">
        <v>2800</v>
      </c>
      <c r="F56" s="2384"/>
      <c r="G56" s="2384">
        <f ca="1">SUM(G54:G55)</f>
        <v>5.1717715639078799E-3</v>
      </c>
      <c r="H56" s="2384">
        <f t="shared" ref="H56:N56" ca="1" si="6">SUM(H54:H55)</f>
        <v>2.0687086255631519E-3</v>
      </c>
      <c r="I56" s="2384">
        <f t="shared" ca="1" si="6"/>
        <v>2.0687086255631519E-3</v>
      </c>
      <c r="J56" s="2384">
        <f t="shared" ca="1" si="6"/>
        <v>2.0687086255631519E-3</v>
      </c>
      <c r="K56" s="2384">
        <f t="shared" ca="1" si="6"/>
        <v>2.0687086255631519E-3</v>
      </c>
      <c r="L56" s="2384">
        <f t="shared" ca="1" si="6"/>
        <v>2.0687086255631519E-3</v>
      </c>
      <c r="M56" s="2384">
        <f t="shared" ca="1" si="6"/>
        <v>2.0687086255631519E-3</v>
      </c>
      <c r="N56" s="2384">
        <f t="shared" ca="1" si="6"/>
        <v>2.0687086255631519E-3</v>
      </c>
      <c r="Q56" s="1068"/>
      <c r="R56" s="1068"/>
      <c r="S56" s="1068"/>
      <c r="T56" s="1068"/>
      <c r="U56" s="1068"/>
      <c r="V56" s="1068"/>
      <c r="W56" s="1068"/>
      <c r="X56" s="1068"/>
      <c r="Y56" s="1068"/>
      <c r="Z56" s="1068"/>
    </row>
    <row r="57" spans="2:26">
      <c r="B57" s="979"/>
      <c r="C57" s="979"/>
      <c r="F57" s="2384"/>
      <c r="G57" s="2384"/>
      <c r="H57" s="2384"/>
      <c r="I57" s="2384"/>
      <c r="J57" s="2384"/>
      <c r="K57" s="2384"/>
      <c r="L57" s="2384"/>
      <c r="M57" s="2384"/>
      <c r="N57" s="2384"/>
      <c r="Q57" s="1068"/>
      <c r="R57" s="1068"/>
      <c r="S57" s="1068"/>
      <c r="T57" s="1068"/>
      <c r="U57" s="1068"/>
      <c r="V57" s="1068"/>
      <c r="W57" s="1068"/>
      <c r="X57" s="1068"/>
      <c r="Y57" s="1068"/>
      <c r="Z57" s="1068"/>
    </row>
    <row r="58" spans="2:26">
      <c r="B58" s="979">
        <v>3</v>
      </c>
      <c r="C58" s="354" t="s">
        <v>2720</v>
      </c>
      <c r="F58" s="2384"/>
      <c r="G58" s="2384"/>
      <c r="H58" s="2384"/>
      <c r="I58" s="2384"/>
      <c r="J58" s="2384"/>
      <c r="K58" s="2384"/>
      <c r="L58" s="2384"/>
      <c r="M58" s="2384"/>
      <c r="N58" s="2384"/>
      <c r="Q58" s="202"/>
      <c r="R58" s="1068"/>
      <c r="S58" s="1068"/>
      <c r="T58" s="1068"/>
      <c r="U58" s="1068"/>
      <c r="V58" s="1068"/>
      <c r="W58" s="1068"/>
      <c r="X58" s="1068"/>
      <c r="Y58" s="1068"/>
      <c r="Z58" s="1068"/>
    </row>
    <row r="59" spans="2:26" hidden="1">
      <c r="B59" s="979"/>
      <c r="Q59" s="1068"/>
      <c r="R59" s="1068"/>
      <c r="S59" s="1068"/>
      <c r="T59" s="1068"/>
      <c r="U59" s="1068"/>
      <c r="V59" s="1068"/>
      <c r="W59" s="1068"/>
      <c r="X59" s="1068"/>
      <c r="Y59" s="1068"/>
      <c r="Z59" s="1068"/>
    </row>
    <row r="60" spans="2:26" hidden="1">
      <c r="B60" s="979"/>
      <c r="C60" s="354" t="s">
        <v>22</v>
      </c>
      <c r="E60" s="354" t="s">
        <v>2736</v>
      </c>
      <c r="F60" s="1313">
        <v>2013</v>
      </c>
      <c r="G60" s="1313">
        <v>2015</v>
      </c>
      <c r="H60" s="1313">
        <v>2020</v>
      </c>
      <c r="I60" s="1313">
        <v>2025</v>
      </c>
      <c r="J60" s="1313">
        <v>2030</v>
      </c>
      <c r="K60" s="1313">
        <v>2035</v>
      </c>
      <c r="L60" s="1313">
        <v>2040</v>
      </c>
      <c r="M60" s="1313">
        <v>2045</v>
      </c>
      <c r="N60" s="1313">
        <v>2050</v>
      </c>
      <c r="Q60" s="1068"/>
      <c r="R60" s="1068"/>
      <c r="S60" s="1068"/>
      <c r="T60" s="1068"/>
      <c r="U60" s="1068"/>
      <c r="V60" s="1068"/>
      <c r="W60" s="1068"/>
      <c r="X60" s="1068"/>
      <c r="Y60" s="1068"/>
      <c r="Z60" s="1068"/>
    </row>
    <row r="61" spans="2:26" hidden="1">
      <c r="B61" s="979"/>
      <c r="C61" s="3601" t="s">
        <v>1091</v>
      </c>
      <c r="F61" s="2384"/>
      <c r="G61" s="2485"/>
      <c r="H61" s="2485"/>
      <c r="I61" s="2485"/>
      <c r="J61" s="2485"/>
      <c r="K61" s="2485"/>
      <c r="L61" s="2485"/>
      <c r="M61" s="2485"/>
      <c r="N61" s="2485"/>
      <c r="Q61" s="1068"/>
      <c r="R61" s="1068"/>
      <c r="S61" s="1068"/>
      <c r="T61" s="1068"/>
      <c r="U61" s="1068"/>
      <c r="V61" s="1068"/>
      <c r="W61" s="1068"/>
      <c r="X61" s="1068"/>
      <c r="Y61" s="1068"/>
      <c r="Z61" s="1068"/>
    </row>
    <row r="62" spans="2:26" hidden="1">
      <c r="C62" s="3601" t="s">
        <v>1092</v>
      </c>
      <c r="F62" s="2485"/>
      <c r="G62" s="2485"/>
      <c r="H62" s="2485"/>
      <c r="I62" s="2485"/>
      <c r="J62" s="2485"/>
      <c r="K62" s="2485"/>
      <c r="L62" s="2485"/>
      <c r="M62" s="2485"/>
      <c r="N62" s="2485"/>
      <c r="Q62" s="1068"/>
      <c r="R62" s="1068"/>
      <c r="S62" s="1068"/>
      <c r="T62" s="1068"/>
      <c r="U62" s="1068"/>
      <c r="V62" s="1068"/>
      <c r="W62" s="1068"/>
      <c r="X62" s="1068"/>
      <c r="Y62" s="1068"/>
      <c r="Z62" s="1068"/>
    </row>
    <row r="63" spans="2:26" hidden="1">
      <c r="F63" s="2460"/>
    </row>
    <row r="64" spans="2:26" hidden="1">
      <c r="C64" s="354" t="s">
        <v>160</v>
      </c>
      <c r="E64" s="354" t="s">
        <v>2736</v>
      </c>
      <c r="F64" s="1313">
        <v>2013</v>
      </c>
      <c r="G64" s="1313">
        <v>2015</v>
      </c>
      <c r="H64" s="1313">
        <v>2020</v>
      </c>
      <c r="I64" s="1313">
        <v>2025</v>
      </c>
      <c r="J64" s="1313">
        <v>2030</v>
      </c>
      <c r="K64" s="1313">
        <v>2035</v>
      </c>
      <c r="L64" s="1313">
        <v>2040</v>
      </c>
      <c r="M64" s="1313">
        <v>2045</v>
      </c>
      <c r="N64" s="1313">
        <v>2050</v>
      </c>
    </row>
    <row r="65" spans="1:15" hidden="1">
      <c r="C65" s="3601" t="s">
        <v>1091</v>
      </c>
      <c r="F65" s="2384"/>
      <c r="G65" s="2485"/>
      <c r="H65" s="2485"/>
      <c r="I65" s="2485"/>
      <c r="J65" s="2485"/>
      <c r="K65" s="2485"/>
      <c r="L65" s="2485"/>
      <c r="M65" s="2485"/>
      <c r="N65" s="2485"/>
    </row>
    <row r="66" spans="1:15" hidden="1">
      <c r="C66" s="3601" t="s">
        <v>1092</v>
      </c>
      <c r="F66" s="2485"/>
      <c r="G66" s="2485"/>
      <c r="H66" s="2485"/>
      <c r="I66" s="2485"/>
      <c r="J66" s="2485"/>
      <c r="K66" s="2485"/>
      <c r="L66" s="2485"/>
      <c r="M66" s="2485"/>
      <c r="N66" s="2485"/>
    </row>
    <row r="67" spans="1:15" hidden="1">
      <c r="F67" s="2460"/>
    </row>
    <row r="68" spans="1:15" hidden="1">
      <c r="B68" s="979"/>
      <c r="C68" s="354" t="s">
        <v>20</v>
      </c>
      <c r="E68" s="354" t="s">
        <v>2736</v>
      </c>
      <c r="F68" s="1313">
        <v>2013</v>
      </c>
      <c r="G68" s="1313">
        <v>2015</v>
      </c>
      <c r="H68" s="1313">
        <v>2020</v>
      </c>
      <c r="I68" s="1313">
        <v>2025</v>
      </c>
      <c r="J68" s="1313">
        <v>2030</v>
      </c>
      <c r="K68" s="1313">
        <v>2035</v>
      </c>
      <c r="L68" s="1313">
        <v>2040</v>
      </c>
      <c r="M68" s="1313">
        <v>2045</v>
      </c>
      <c r="N68" s="1313">
        <v>2050</v>
      </c>
    </row>
    <row r="69" spans="1:15" hidden="1">
      <c r="B69" s="979"/>
      <c r="C69" s="3601" t="s">
        <v>1091</v>
      </c>
      <c r="F69" s="2384"/>
      <c r="G69" s="2485"/>
      <c r="H69" s="2485"/>
      <c r="I69" s="2485"/>
      <c r="J69" s="2485"/>
      <c r="K69" s="2485"/>
      <c r="L69" s="2485"/>
      <c r="M69" s="2485"/>
      <c r="N69" s="2485"/>
    </row>
    <row r="70" spans="1:15" hidden="1">
      <c r="C70" s="3601" t="s">
        <v>1092</v>
      </c>
      <c r="F70" s="2485"/>
      <c r="G70" s="2485"/>
      <c r="H70" s="2485"/>
      <c r="I70" s="2485"/>
      <c r="J70" s="2485"/>
      <c r="K70" s="2485"/>
      <c r="L70" s="2485"/>
      <c r="M70" s="2485"/>
      <c r="N70" s="2485"/>
    </row>
    <row r="72" spans="1:15" ht="23.5">
      <c r="A72" s="7"/>
      <c r="B72" s="502" t="s">
        <v>296</v>
      </c>
      <c r="C72" s="503"/>
      <c r="D72" s="503"/>
      <c r="E72" s="503"/>
      <c r="F72" s="503"/>
      <c r="G72" s="503"/>
      <c r="H72" s="503"/>
      <c r="I72" s="503"/>
      <c r="J72" s="503"/>
      <c r="K72" s="503"/>
      <c r="L72" s="503"/>
      <c r="M72" s="503"/>
      <c r="N72" s="503"/>
      <c r="O72" s="857"/>
    </row>
    <row r="73" spans="1:15">
      <c r="B73" s="505"/>
      <c r="C73" s="506"/>
      <c r="D73" s="506"/>
      <c r="E73" s="506"/>
      <c r="F73" s="506"/>
      <c r="G73" s="506"/>
      <c r="H73" s="506"/>
      <c r="I73" s="506"/>
      <c r="J73" s="506"/>
      <c r="K73" s="506"/>
      <c r="L73" s="506"/>
      <c r="M73" s="506"/>
      <c r="N73" s="506"/>
      <c r="O73" s="858"/>
    </row>
    <row r="74" spans="1:15">
      <c r="B74" s="505"/>
      <c r="C74" s="34" t="s">
        <v>2295</v>
      </c>
      <c r="D74" s="506"/>
      <c r="E74" s="507"/>
      <c r="F74" s="506"/>
      <c r="G74" s="506"/>
      <c r="H74" s="506"/>
      <c r="I74" s="506"/>
      <c r="J74" s="506"/>
      <c r="K74" s="506"/>
      <c r="L74" s="506"/>
      <c r="M74" s="506"/>
      <c r="N74" s="507" t="str">
        <f>Preferences.EnergyUnits</f>
        <v>TWh</v>
      </c>
      <c r="O74" s="858"/>
    </row>
    <row r="75" spans="1:15">
      <c r="B75" s="505"/>
      <c r="C75" s="506"/>
      <c r="D75" s="506"/>
      <c r="E75" s="506"/>
      <c r="F75" s="506"/>
      <c r="G75" s="506"/>
      <c r="H75" s="506"/>
      <c r="I75" s="506"/>
      <c r="J75" s="506"/>
      <c r="K75" s="506"/>
      <c r="L75" s="506"/>
      <c r="M75" s="506"/>
      <c r="N75" s="506"/>
      <c r="O75" s="858"/>
    </row>
    <row r="76" spans="1:15" ht="15.5">
      <c r="A76" s="434"/>
      <c r="B76" s="15"/>
      <c r="C76" s="864" t="s">
        <v>28</v>
      </c>
      <c r="D76" s="864" t="s">
        <v>29</v>
      </c>
      <c r="E76" s="864" t="s">
        <v>30</v>
      </c>
      <c r="F76" s="864" t="s">
        <v>588</v>
      </c>
      <c r="G76" s="864" t="s">
        <v>132</v>
      </c>
      <c r="H76" s="864" t="s">
        <v>133</v>
      </c>
      <c r="I76" s="864" t="s">
        <v>134</v>
      </c>
      <c r="J76" s="864" t="s">
        <v>135</v>
      </c>
      <c r="K76" s="864" t="s">
        <v>136</v>
      </c>
      <c r="L76" s="864" t="s">
        <v>137</v>
      </c>
      <c r="M76" s="864" t="s">
        <v>138</v>
      </c>
      <c r="N76" s="864" t="s">
        <v>139</v>
      </c>
      <c r="O76" s="858"/>
    </row>
    <row r="77" spans="1:15" ht="15.5">
      <c r="A77" s="434"/>
      <c r="B77" s="15"/>
      <c r="C77" s="17" t="s">
        <v>100</v>
      </c>
      <c r="D77" s="2457" t="str">
        <f>INDEX(Vectors[Description], MATCH(XVII.a.Outputs[Vector], Vectors[Code], 0))</f>
        <v>Heat transport</v>
      </c>
      <c r="E77" s="17"/>
      <c r="F77" s="2491">
        <f ca="1">F$47</f>
        <v>2.6537999724419409E-2</v>
      </c>
      <c r="G77" s="2491">
        <f t="shared" ref="G77:N77" ca="1" si="7">G$47</f>
        <v>2.6537999724419409E-2</v>
      </c>
      <c r="H77" s="2491">
        <f t="shared" ca="1" si="7"/>
        <v>2.6537999724419409E-2</v>
      </c>
      <c r="I77" s="2491">
        <f t="shared" ca="1" si="7"/>
        <v>2.6537999724419409E-2</v>
      </c>
      <c r="J77" s="2491">
        <f t="shared" ca="1" si="7"/>
        <v>2.6537999724419409E-2</v>
      </c>
      <c r="K77" s="2491">
        <f t="shared" ca="1" si="7"/>
        <v>2.6537999724419409E-2</v>
      </c>
      <c r="L77" s="2491">
        <f t="shared" ca="1" si="7"/>
        <v>2.6537999724419409E-2</v>
      </c>
      <c r="M77" s="2491">
        <f t="shared" ca="1" si="7"/>
        <v>2.6537999724419409E-2</v>
      </c>
      <c r="N77" s="2491">
        <f t="shared" ca="1" si="7"/>
        <v>2.6537999724419409E-2</v>
      </c>
      <c r="O77" s="858"/>
    </row>
    <row r="78" spans="1:15" ht="15.5">
      <c r="A78" s="434"/>
      <c r="B78" s="15"/>
      <c r="C78" s="17" t="s">
        <v>96</v>
      </c>
      <c r="D78" s="2457" t="str">
        <f>INDEX(Vectors[Description], MATCH(XVII.a.Outputs[Vector], Vectors[Code], 0))</f>
        <v>Electricity (supplied to grid)</v>
      </c>
      <c r="E78" s="17"/>
      <c r="F78" s="2491">
        <f ca="1">-F$49</f>
        <v>-3.7911428177742012E-3</v>
      </c>
      <c r="G78" s="2491">
        <f t="shared" ref="G78:N78" ca="1" si="8">-G$49</f>
        <v>-3.7911428177742012E-3</v>
      </c>
      <c r="H78" s="2491">
        <f t="shared" ca="1" si="8"/>
        <v>-3.7911428177742012E-3</v>
      </c>
      <c r="I78" s="2491">
        <f t="shared" ca="1" si="8"/>
        <v>-3.7911428177742012E-3</v>
      </c>
      <c r="J78" s="2491">
        <f t="shared" ca="1" si="8"/>
        <v>-3.7911428177742012E-3</v>
      </c>
      <c r="K78" s="2491">
        <f t="shared" ca="1" si="8"/>
        <v>-3.7911428177742012E-3</v>
      </c>
      <c r="L78" s="2491">
        <f t="shared" ca="1" si="8"/>
        <v>-3.7911428177742012E-3</v>
      </c>
      <c r="M78" s="2491">
        <f t="shared" ca="1" si="8"/>
        <v>-3.7911428177742012E-3</v>
      </c>
      <c r="N78" s="2491">
        <f t="shared" ca="1" si="8"/>
        <v>-3.7911428177742012E-3</v>
      </c>
      <c r="O78" s="858"/>
    </row>
    <row r="79" spans="1:15" ht="15.5">
      <c r="A79" s="434"/>
      <c r="B79" s="15"/>
      <c r="C79" s="17" t="s">
        <v>103</v>
      </c>
      <c r="D79" s="2457" t="str">
        <f>INDEX(Vectors[Description], MATCH(XVII.a.Outputs[Vector], Vectors[Code], 0))</f>
        <v>Conversion losses</v>
      </c>
      <c r="E79" s="17"/>
      <c r="F79" s="2491">
        <f ca="1">-F$50</f>
        <v>-2.274685690664521E-2</v>
      </c>
      <c r="G79" s="2491">
        <f t="shared" ref="G79:N79" ca="1" si="9">-G$50</f>
        <v>-2.274685690664521E-2</v>
      </c>
      <c r="H79" s="2491">
        <f t="shared" ca="1" si="9"/>
        <v>-2.274685690664521E-2</v>
      </c>
      <c r="I79" s="2491">
        <f t="shared" ca="1" si="9"/>
        <v>-2.274685690664521E-2</v>
      </c>
      <c r="J79" s="2491">
        <f t="shared" ca="1" si="9"/>
        <v>-2.274685690664521E-2</v>
      </c>
      <c r="K79" s="2491">
        <f t="shared" ca="1" si="9"/>
        <v>-2.274685690664521E-2</v>
      </c>
      <c r="L79" s="2491">
        <f t="shared" ca="1" si="9"/>
        <v>-2.274685690664521E-2</v>
      </c>
      <c r="M79" s="2491">
        <f t="shared" ca="1" si="9"/>
        <v>-2.274685690664521E-2</v>
      </c>
      <c r="N79" s="2491">
        <f t="shared" ca="1" si="9"/>
        <v>-2.274685690664521E-2</v>
      </c>
      <c r="O79" s="858"/>
    </row>
    <row r="80" spans="1:15" ht="15.5">
      <c r="A80" s="434"/>
      <c r="B80" s="15"/>
      <c r="C80" s="2432" t="s">
        <v>58</v>
      </c>
      <c r="D80" s="2432"/>
      <c r="E80" s="2432"/>
      <c r="F80" s="2435">
        <f ca="1">SUBTOTAL(109,XVII.a.Outputs[2013])</f>
        <v>0</v>
      </c>
      <c r="G80" s="2435">
        <f ca="1">SUBTOTAL(109,XVII.a.Outputs[2015])</f>
        <v>0</v>
      </c>
      <c r="H80" s="2435">
        <f ca="1">SUBTOTAL(109,XVII.a.Outputs[2020])</f>
        <v>0</v>
      </c>
      <c r="I80" s="2435">
        <f ca="1">SUBTOTAL(109,XVII.a.Outputs[2025])</f>
        <v>0</v>
      </c>
      <c r="J80" s="2435">
        <f ca="1">SUBTOTAL(109,XVII.a.Outputs[2030])</f>
        <v>0</v>
      </c>
      <c r="K80" s="2435">
        <f ca="1">SUBTOTAL(109,XVII.a.Outputs[2035])</f>
        <v>0</v>
      </c>
      <c r="L80" s="2435">
        <f ca="1">SUBTOTAL(109,XVII.a.Outputs[2040])</f>
        <v>0</v>
      </c>
      <c r="M80" s="2435">
        <f ca="1">SUBTOTAL(109,XVII.a.Outputs[2045])</f>
        <v>0</v>
      </c>
      <c r="N80" s="2435">
        <f ca="1">SUBTOTAL(109,XVII.a.Outputs[2050])</f>
        <v>0</v>
      </c>
      <c r="O80" s="858"/>
    </row>
    <row r="81" spans="2:22" ht="15.5">
      <c r="B81" s="15"/>
      <c r="C81" s="2888"/>
      <c r="D81" s="2889"/>
      <c r="E81" s="2889"/>
      <c r="F81" s="2889"/>
      <c r="G81" s="2889"/>
      <c r="H81" s="2889"/>
      <c r="I81" s="2889"/>
      <c r="J81" s="2889"/>
      <c r="K81" s="2889"/>
      <c r="L81" s="2889"/>
      <c r="M81" s="2889"/>
      <c r="N81" s="2889"/>
      <c r="O81" s="35"/>
    </row>
    <row r="82" spans="2:22">
      <c r="S82" s="1143"/>
      <c r="T82" s="1144"/>
      <c r="U82" s="1143"/>
      <c r="V82" s="1143"/>
    </row>
    <row r="83" spans="2:22" ht="15">
      <c r="B83" s="986" t="s">
        <v>310</v>
      </c>
      <c r="C83" s="987"/>
      <c r="D83" s="988"/>
      <c r="E83" s="988"/>
      <c r="F83" s="988"/>
      <c r="G83" s="988"/>
      <c r="H83" s="988"/>
      <c r="I83" s="988"/>
      <c r="J83" s="988"/>
      <c r="K83" s="988"/>
      <c r="L83" s="988"/>
      <c r="M83" s="988"/>
      <c r="N83" s="988"/>
      <c r="O83" s="989"/>
      <c r="T83" s="6"/>
    </row>
    <row r="84" spans="2:22">
      <c r="B84" s="990"/>
      <c r="C84" s="991"/>
      <c r="D84" s="991"/>
      <c r="E84" s="991"/>
      <c r="F84" s="991"/>
      <c r="G84" s="991"/>
      <c r="H84" s="991"/>
      <c r="I84" s="991"/>
      <c r="J84" s="991"/>
      <c r="K84" s="991"/>
      <c r="L84" s="991"/>
      <c r="M84" s="991"/>
      <c r="N84" s="991"/>
      <c r="O84" s="992"/>
      <c r="T84" s="6"/>
    </row>
    <row r="85" spans="2:22">
      <c r="B85" s="993"/>
      <c r="C85" s="479" t="s">
        <v>311</v>
      </c>
      <c r="D85" s="994"/>
      <c r="E85" s="995"/>
      <c r="F85" s="994"/>
      <c r="G85" s="994"/>
      <c r="H85" s="994"/>
      <c r="I85" s="994"/>
      <c r="J85" s="994"/>
      <c r="K85" s="994"/>
      <c r="L85" s="994"/>
      <c r="M85" s="994"/>
      <c r="N85" s="995"/>
      <c r="O85" s="996"/>
      <c r="T85" s="6"/>
    </row>
    <row r="86" spans="2:22">
      <c r="B86" s="993"/>
      <c r="C86" s="994"/>
      <c r="D86" s="994"/>
      <c r="E86" s="994"/>
      <c r="F86" s="994"/>
      <c r="G86" s="994"/>
      <c r="H86" s="994"/>
      <c r="I86" s="994"/>
      <c r="J86" s="994"/>
      <c r="K86" s="994"/>
      <c r="L86" s="994"/>
      <c r="M86" s="994"/>
      <c r="N86" s="994"/>
      <c r="O86" s="996"/>
    </row>
    <row r="87" spans="2:22" ht="15.5">
      <c r="B87" s="483"/>
      <c r="C87" s="997" t="s">
        <v>28</v>
      </c>
      <c r="D87" s="997" t="s">
        <v>312</v>
      </c>
      <c r="E87" s="997" t="s">
        <v>30</v>
      </c>
      <c r="F87" s="997">
        <v>2013</v>
      </c>
      <c r="G87" s="997" t="s">
        <v>132</v>
      </c>
      <c r="H87" s="997" t="s">
        <v>133</v>
      </c>
      <c r="I87" s="997" t="s">
        <v>134</v>
      </c>
      <c r="J87" s="997" t="s">
        <v>135</v>
      </c>
      <c r="K87" s="997" t="s">
        <v>136</v>
      </c>
      <c r="L87" s="997" t="s">
        <v>137</v>
      </c>
      <c r="M87" s="997" t="s">
        <v>138</v>
      </c>
      <c r="N87" s="997" t="s">
        <v>139</v>
      </c>
      <c r="O87" s="996"/>
    </row>
    <row r="88" spans="2:22" ht="15.5">
      <c r="B88" s="483"/>
      <c r="C88" s="998"/>
      <c r="D88" s="485"/>
      <c r="E88" s="485"/>
      <c r="F88" s="2408"/>
      <c r="G88" s="2408"/>
      <c r="H88" s="2408"/>
      <c r="I88" s="2408"/>
      <c r="J88" s="2408"/>
      <c r="K88" s="2408"/>
      <c r="L88" s="2408"/>
      <c r="M88" s="2408"/>
      <c r="N88" s="2408"/>
      <c r="O88" s="996"/>
    </row>
    <row r="89" spans="2:22" ht="15.5">
      <c r="B89" s="488"/>
      <c r="C89" s="1001"/>
      <c r="D89" s="1001"/>
      <c r="E89" s="1001"/>
      <c r="F89" s="1001"/>
      <c r="G89" s="1001"/>
      <c r="H89" s="1001"/>
      <c r="I89" s="1001"/>
      <c r="J89" s="1001"/>
      <c r="K89" s="1001"/>
      <c r="L89" s="1001"/>
      <c r="M89" s="1001"/>
      <c r="N89" s="1001"/>
      <c r="O89" s="1002"/>
    </row>
    <row r="90" spans="2:22">
      <c r="Q90" s="39"/>
    </row>
    <row r="91" spans="2:22" ht="15">
      <c r="B91" s="986" t="s">
        <v>2720</v>
      </c>
      <c r="C91" s="988"/>
      <c r="D91" s="988"/>
      <c r="E91" s="988"/>
      <c r="F91" s="988"/>
      <c r="G91" s="988"/>
      <c r="H91" s="988"/>
      <c r="I91" s="988"/>
      <c r="J91" s="988"/>
      <c r="K91" s="988"/>
      <c r="L91" s="988"/>
      <c r="M91" s="988"/>
      <c r="N91" s="988"/>
      <c r="O91" s="989"/>
      <c r="Q91" s="39"/>
    </row>
    <row r="92" spans="2:22" hidden="1">
      <c r="B92" s="993"/>
      <c r="C92" s="994"/>
      <c r="D92" s="994"/>
      <c r="E92" s="994"/>
      <c r="F92" s="994"/>
      <c r="G92" s="994"/>
      <c r="H92" s="994"/>
      <c r="I92" s="994"/>
      <c r="J92" s="994"/>
      <c r="K92" s="994"/>
      <c r="L92" s="994"/>
      <c r="M92" s="994"/>
      <c r="N92" s="994"/>
      <c r="O92" s="996"/>
      <c r="Q92" s="39"/>
    </row>
    <row r="93" spans="2:22" hidden="1">
      <c r="B93" s="993"/>
      <c r="C93" s="491" t="s">
        <v>751</v>
      </c>
      <c r="D93" s="1003"/>
      <c r="E93" s="1003"/>
      <c r="F93" s="1003"/>
      <c r="G93" s="1003"/>
      <c r="H93" s="1003"/>
      <c r="I93" s="1003"/>
      <c r="J93" s="1003"/>
      <c r="K93" s="1003"/>
      <c r="L93" s="1003"/>
      <c r="M93" s="1003"/>
      <c r="N93" s="3619" t="s">
        <v>2736</v>
      </c>
      <c r="O93" s="996"/>
      <c r="Q93" s="39"/>
    </row>
    <row r="94" spans="2:22" hidden="1">
      <c r="B94" s="993"/>
      <c r="C94" s="994"/>
      <c r="D94" s="994"/>
      <c r="E94" s="994"/>
      <c r="F94" s="994"/>
      <c r="G94" s="994"/>
      <c r="H94" s="994"/>
      <c r="I94" s="994"/>
      <c r="J94" s="994"/>
      <c r="K94" s="994"/>
      <c r="L94" s="994"/>
      <c r="M94" s="994"/>
      <c r="N94" s="994"/>
      <c r="O94" s="996"/>
      <c r="Q94" s="39"/>
    </row>
    <row r="95" spans="2:22" ht="15.5" hidden="1">
      <c r="B95" s="483"/>
      <c r="C95" s="997" t="s">
        <v>28</v>
      </c>
      <c r="D95" s="997" t="s">
        <v>29</v>
      </c>
      <c r="E95" s="997" t="s">
        <v>30</v>
      </c>
      <c r="F95" s="997">
        <v>2013</v>
      </c>
      <c r="G95" s="997" t="s">
        <v>132</v>
      </c>
      <c r="H95" s="997" t="s">
        <v>133</v>
      </c>
      <c r="I95" s="997" t="s">
        <v>134</v>
      </c>
      <c r="J95" s="997" t="s">
        <v>135</v>
      </c>
      <c r="K95" s="997" t="s">
        <v>136</v>
      </c>
      <c r="L95" s="997" t="s">
        <v>137</v>
      </c>
      <c r="M95" s="997" t="s">
        <v>138</v>
      </c>
      <c r="N95" s="997" t="s">
        <v>139</v>
      </c>
      <c r="O95" s="1141"/>
      <c r="Q95" s="39"/>
    </row>
    <row r="96" spans="2:22" ht="15.5" hidden="1">
      <c r="B96" s="483"/>
      <c r="C96" s="998" t="s">
        <v>321</v>
      </c>
      <c r="D96" s="485" t="s">
        <v>322</v>
      </c>
      <c r="E96" s="485"/>
      <c r="F96" s="3424"/>
      <c r="G96" s="3424"/>
      <c r="H96" s="3424"/>
      <c r="I96" s="3424"/>
      <c r="J96" s="3424"/>
      <c r="K96" s="3424"/>
      <c r="L96" s="3424"/>
      <c r="M96" s="3424"/>
      <c r="N96" s="3424"/>
      <c r="O96" s="1141"/>
      <c r="Q96" s="39"/>
    </row>
    <row r="97" spans="2:17" ht="15.5" hidden="1">
      <c r="B97" s="483"/>
      <c r="C97" s="998" t="s">
        <v>328</v>
      </c>
      <c r="D97" s="485" t="s">
        <v>329</v>
      </c>
      <c r="E97" s="485"/>
      <c r="F97" s="3424"/>
      <c r="G97" s="3424"/>
      <c r="H97" s="3424"/>
      <c r="I97" s="3424"/>
      <c r="J97" s="3424"/>
      <c r="K97" s="3424"/>
      <c r="L97" s="3424"/>
      <c r="M97" s="3424"/>
      <c r="N97" s="3424"/>
      <c r="O97" s="1141"/>
      <c r="Q97" s="39"/>
    </row>
    <row r="98" spans="2:17" ht="15.5" hidden="1">
      <c r="B98" s="483"/>
      <c r="C98" s="998" t="s">
        <v>323</v>
      </c>
      <c r="D98" s="485" t="s">
        <v>324</v>
      </c>
      <c r="E98" s="495"/>
      <c r="F98" s="3346"/>
      <c r="G98" s="3346"/>
      <c r="H98" s="3346"/>
      <c r="I98" s="3346"/>
      <c r="J98" s="3346"/>
      <c r="K98" s="3346"/>
      <c r="L98" s="3346"/>
      <c r="M98" s="3346"/>
      <c r="N98" s="3346"/>
      <c r="O98" s="1141"/>
      <c r="Q98" s="39"/>
    </row>
    <row r="99" spans="2:17" ht="15.5" hidden="1">
      <c r="B99" s="483"/>
      <c r="C99" s="998" t="s">
        <v>330</v>
      </c>
      <c r="D99" s="485" t="s">
        <v>331</v>
      </c>
      <c r="E99" s="495"/>
      <c r="F99" s="3346"/>
      <c r="G99" s="3346"/>
      <c r="H99" s="3346"/>
      <c r="I99" s="3346"/>
      <c r="J99" s="3346"/>
      <c r="K99" s="3346"/>
      <c r="L99" s="3346"/>
      <c r="M99" s="3346"/>
      <c r="N99" s="3346"/>
      <c r="O99" s="1141"/>
      <c r="Q99" s="39"/>
    </row>
    <row r="100" spans="2:17" hidden="1">
      <c r="B100" s="494"/>
      <c r="C100" s="998" t="s">
        <v>325</v>
      </c>
      <c r="D100" s="485" t="s">
        <v>326</v>
      </c>
      <c r="E100" s="485"/>
      <c r="F100" s="3424"/>
      <c r="G100" s="3424"/>
      <c r="H100" s="3424"/>
      <c r="I100" s="3424"/>
      <c r="J100" s="3424"/>
      <c r="K100" s="3424"/>
      <c r="L100" s="3424"/>
      <c r="M100" s="3424"/>
      <c r="N100" s="3424"/>
      <c r="O100" s="1142"/>
      <c r="Q100" s="39"/>
    </row>
    <row r="101" spans="2:17" hidden="1">
      <c r="B101" s="494"/>
      <c r="C101" s="998" t="s">
        <v>332</v>
      </c>
      <c r="D101" s="485" t="s">
        <v>333</v>
      </c>
      <c r="E101" s="485"/>
      <c r="F101" s="3424"/>
      <c r="G101" s="3424"/>
      <c r="H101" s="3424"/>
      <c r="I101" s="3424"/>
      <c r="J101" s="3424"/>
      <c r="K101" s="3424"/>
      <c r="L101" s="3424"/>
      <c r="M101" s="3424"/>
      <c r="N101" s="3424"/>
      <c r="O101" s="1142"/>
      <c r="Q101" s="39"/>
    </row>
    <row r="102" spans="2:17" hidden="1">
      <c r="B102" s="1005"/>
      <c r="C102" s="1001"/>
      <c r="D102" s="1001"/>
      <c r="E102" s="1001"/>
      <c r="F102" s="1001"/>
      <c r="G102" s="1001"/>
      <c r="H102" s="1001"/>
      <c r="I102" s="1001"/>
      <c r="J102" s="1001"/>
      <c r="K102" s="1001"/>
      <c r="L102" s="1001"/>
      <c r="M102" s="1001"/>
      <c r="N102" s="1001"/>
      <c r="O102" s="1006"/>
    </row>
    <row r="723" spans="6:15">
      <c r="O723" s="3601">
        <v>0</v>
      </c>
    </row>
    <row r="724" spans="6:15">
      <c r="F724" s="3601">
        <v>0</v>
      </c>
      <c r="G724" s="3601">
        <v>0</v>
      </c>
      <c r="H724" s="3601">
        <v>0</v>
      </c>
      <c r="I724" s="3601">
        <v>0</v>
      </c>
      <c r="J724" s="3601">
        <v>0</v>
      </c>
      <c r="K724" s="3601">
        <v>0</v>
      </c>
      <c r="L724" s="3601">
        <v>0</v>
      </c>
      <c r="M724" s="3601">
        <v>0</v>
      </c>
      <c r="N724" s="3601">
        <v>0</v>
      </c>
      <c r="O724" s="3601">
        <v>0</v>
      </c>
    </row>
    <row r="725" spans="6:15">
      <c r="F725" s="3601">
        <v>0</v>
      </c>
      <c r="G725" s="3601">
        <v>0</v>
      </c>
      <c r="H725" s="3601">
        <v>0</v>
      </c>
      <c r="I725" s="3601">
        <v>0</v>
      </c>
      <c r="J725" s="3601">
        <v>0</v>
      </c>
      <c r="K725" s="3601">
        <v>0</v>
      </c>
      <c r="L725" s="3601">
        <v>0</v>
      </c>
      <c r="M725" s="3601">
        <v>0</v>
      </c>
      <c r="N725" s="3601">
        <v>0</v>
      </c>
      <c r="O725" s="3601">
        <v>0</v>
      </c>
    </row>
    <row r="726" spans="6:15">
      <c r="F726" s="3601">
        <v>0</v>
      </c>
      <c r="G726" s="3601">
        <v>0</v>
      </c>
      <c r="H726" s="3601">
        <v>0</v>
      </c>
      <c r="I726" s="3601">
        <v>0</v>
      </c>
      <c r="J726" s="3601">
        <v>0</v>
      </c>
      <c r="K726" s="3601">
        <v>0</v>
      </c>
      <c r="L726" s="3601">
        <v>0</v>
      </c>
      <c r="M726" s="3601">
        <v>0</v>
      </c>
      <c r="N726" s="3601">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9"/>
  </sheetPr>
  <dimension ref="A1:P726"/>
  <sheetViews>
    <sheetView showGridLines="0" topLeftCell="A9" zoomScale="80" zoomScaleNormal="80" workbookViewId="0">
      <selection activeCell="A46" sqref="A46"/>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4" width="17.7265625" style="3601" customWidth="1"/>
    <col min="15" max="15" width="2" style="3601" customWidth="1"/>
    <col min="16" max="16" width="10.81640625" style="3601" customWidth="1"/>
    <col min="17" max="16384" width="8.81640625" style="3601"/>
  </cols>
  <sheetData>
    <row r="1" spans="1:15" ht="20">
      <c r="A1" s="854" t="s">
        <v>1761</v>
      </c>
      <c r="B1" s="854" t="s">
        <v>1488</v>
      </c>
      <c r="C1" s="854"/>
    </row>
    <row r="2" spans="1:15" s="6" customFormat="1" ht="15">
      <c r="A2" s="3601" t="s">
        <v>1487</v>
      </c>
      <c r="B2" s="855" t="s">
        <v>1488</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2802</v>
      </c>
      <c r="D6" s="506"/>
      <c r="E6" s="507"/>
      <c r="F6" s="506"/>
      <c r="G6" s="506"/>
      <c r="H6" s="506"/>
      <c r="I6" s="506"/>
      <c r="J6" s="506"/>
      <c r="K6" s="506"/>
      <c r="L6" s="506"/>
      <c r="M6" s="506"/>
      <c r="N6" s="507" t="s">
        <v>250</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58"/>
    </row>
    <row r="9" spans="1:15" s="6" customFormat="1" ht="15.5">
      <c r="A9" s="3"/>
      <c r="B9" s="19"/>
      <c r="C9" s="3060" t="s">
        <v>450</v>
      </c>
      <c r="D9" s="17" t="s">
        <v>405</v>
      </c>
      <c r="E9" s="17"/>
      <c r="F9" s="3620">
        <f t="shared" ref="F9:N9" ca="1" si="0">SUMIFS(INDIRECT("'"&amp;F$8&amp;"'!Year.Emissions"), INDIRECT("'"&amp;F$8&amp;"'!Year.IPCC"), $C9)</f>
        <v>0</v>
      </c>
      <c r="G9" s="3620">
        <f t="shared" ca="1" si="0"/>
        <v>0</v>
      </c>
      <c r="H9" s="3620">
        <f t="shared" ca="1" si="0"/>
        <v>0</v>
      </c>
      <c r="I9" s="3620">
        <f t="shared" ca="1" si="0"/>
        <v>0</v>
      </c>
      <c r="J9" s="3620">
        <f t="shared" ca="1" si="0"/>
        <v>0</v>
      </c>
      <c r="K9" s="3620">
        <f t="shared" ca="1" si="0"/>
        <v>0</v>
      </c>
      <c r="L9" s="3620">
        <f t="shared" ca="1" si="0"/>
        <v>0</v>
      </c>
      <c r="M9" s="3620">
        <f t="shared" ca="1" si="0"/>
        <v>0</v>
      </c>
      <c r="N9" s="3620">
        <f t="shared" ca="1" si="0"/>
        <v>0</v>
      </c>
      <c r="O9" s="866"/>
    </row>
    <row r="10" spans="1:15" s="6" customFormat="1" ht="15.5">
      <c r="A10" s="3"/>
      <c r="B10" s="3622"/>
      <c r="C10" s="507"/>
      <c r="D10" s="506"/>
      <c r="E10" s="506"/>
      <c r="F10" s="3621"/>
      <c r="G10" s="3621"/>
      <c r="H10" s="3621"/>
      <c r="I10" s="3621"/>
      <c r="J10" s="3621"/>
      <c r="K10" s="3621"/>
      <c r="L10" s="3621"/>
      <c r="M10" s="3621"/>
      <c r="N10" s="3621"/>
      <c r="O10" s="506"/>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3623" t="s">
        <v>3073</v>
      </c>
      <c r="D14" s="1072"/>
      <c r="E14" s="3624"/>
      <c r="F14" s="935" t="s">
        <v>2803</v>
      </c>
      <c r="G14" s="67"/>
      <c r="H14" s="67"/>
      <c r="I14" s="67"/>
      <c r="J14" s="67"/>
      <c r="K14" s="67"/>
      <c r="L14" s="67"/>
      <c r="M14" s="67"/>
      <c r="N14" s="67"/>
      <c r="O14" s="876"/>
    </row>
    <row r="15" spans="1:15">
      <c r="B15" s="105"/>
      <c r="C15" s="1072"/>
      <c r="D15" s="1072"/>
      <c r="E15" s="1072"/>
      <c r="F15" s="1072"/>
      <c r="G15" s="67"/>
      <c r="H15" s="3826" t="s">
        <v>63</v>
      </c>
      <c r="I15" s="67"/>
      <c r="J15" s="67"/>
      <c r="K15" s="67"/>
      <c r="L15" s="67"/>
      <c r="M15" s="67"/>
      <c r="N15" s="67"/>
      <c r="O15" s="876"/>
    </row>
    <row r="16" spans="1:15" ht="15.5">
      <c r="B16" s="55"/>
      <c r="C16" s="52"/>
      <c r="D16" s="72"/>
      <c r="E16" s="53" t="s">
        <v>20</v>
      </c>
      <c r="F16" s="53" t="s">
        <v>22</v>
      </c>
      <c r="G16" s="911"/>
      <c r="H16" s="3855" t="s">
        <v>64</v>
      </c>
      <c r="I16" s="3856" t="s">
        <v>3075</v>
      </c>
      <c r="J16" s="911"/>
      <c r="K16" s="911"/>
      <c r="L16" s="911"/>
      <c r="M16" s="911"/>
      <c r="N16" s="911"/>
      <c r="O16" s="876"/>
    </row>
    <row r="17" spans="1:16" s="6" customFormat="1" ht="15.5">
      <c r="B17" s="966"/>
      <c r="C17" s="908" t="s">
        <v>2804</v>
      </c>
      <c r="D17" s="3625"/>
      <c r="E17" s="3686">
        <v>1.5</v>
      </c>
      <c r="F17" s="3686">
        <v>3.5</v>
      </c>
      <c r="G17" s="2639"/>
      <c r="H17" s="2639"/>
      <c r="I17" s="3857" t="s">
        <v>3074</v>
      </c>
      <c r="J17" s="2639"/>
      <c r="K17" s="2639"/>
      <c r="L17" s="2639"/>
      <c r="M17" s="2639"/>
      <c r="N17" s="2639"/>
      <c r="O17" s="884"/>
    </row>
    <row r="18" spans="1:16">
      <c r="B18" s="1163"/>
      <c r="C18" s="1065"/>
      <c r="D18" s="1065"/>
      <c r="E18" s="1065"/>
      <c r="F18" s="1065"/>
      <c r="G18" s="1065"/>
      <c r="H18" s="1065"/>
      <c r="I18" s="1065"/>
      <c r="J18" s="1065"/>
      <c r="K18" s="1065"/>
      <c r="L18" s="1065"/>
      <c r="M18" s="1065"/>
      <c r="N18" s="1065"/>
      <c r="O18" s="1100"/>
    </row>
    <row r="20" spans="1:16" s="6" customFormat="1" ht="23.5">
      <c r="A20" s="3626"/>
      <c r="B20" s="3627" t="s">
        <v>2719</v>
      </c>
      <c r="C20" s="870"/>
      <c r="D20" s="870"/>
      <c r="E20" s="870"/>
      <c r="F20" s="870"/>
      <c r="G20" s="870"/>
      <c r="H20" s="870"/>
      <c r="I20" s="870"/>
      <c r="J20" s="870"/>
      <c r="K20" s="870"/>
      <c r="L20" s="870"/>
      <c r="M20" s="870"/>
      <c r="N20" s="870"/>
      <c r="O20" s="871"/>
      <c r="P20" s="850"/>
    </row>
    <row r="21" spans="1:16" hidden="1">
      <c r="A21" s="389"/>
      <c r="B21" s="67"/>
      <c r="C21" s="1193"/>
      <c r="D21" s="1193"/>
      <c r="E21" s="1193"/>
      <c r="F21" s="1193"/>
      <c r="G21" s="51"/>
      <c r="H21" s="67"/>
      <c r="I21" s="67"/>
      <c r="J21" s="67"/>
      <c r="K21" s="67"/>
      <c r="L21" s="67"/>
      <c r="M21" s="67"/>
      <c r="N21" s="67"/>
      <c r="O21" s="876"/>
      <c r="P21" s="39"/>
    </row>
    <row r="22" spans="1:16" hidden="1">
      <c r="A22" s="389"/>
      <c r="B22" s="67"/>
      <c r="C22" s="3623" t="s">
        <v>2805</v>
      </c>
      <c r="D22" s="915"/>
      <c r="E22" s="932"/>
      <c r="F22" s="2489"/>
      <c r="G22" s="934"/>
      <c r="H22" s="934"/>
      <c r="I22" s="934"/>
      <c r="J22" s="934"/>
      <c r="K22" s="934"/>
      <c r="L22" s="934"/>
      <c r="M22" s="934"/>
      <c r="N22" s="49" t="s">
        <v>2764</v>
      </c>
      <c r="O22" s="876"/>
      <c r="P22" s="39"/>
    </row>
    <row r="23" spans="1:16" ht="6" hidden="1" customHeight="1">
      <c r="A23" s="389"/>
      <c r="B23" s="67"/>
      <c r="C23" s="937"/>
      <c r="D23" s="915"/>
      <c r="E23" s="932"/>
      <c r="F23" s="2489"/>
      <c r="G23" s="934"/>
      <c r="H23" s="934"/>
      <c r="I23" s="934"/>
      <c r="J23" s="934"/>
      <c r="K23" s="934"/>
      <c r="L23" s="934"/>
      <c r="M23" s="934"/>
      <c r="N23" s="67"/>
      <c r="O23" s="876"/>
      <c r="P23" s="39"/>
    </row>
    <row r="24" spans="1:16" hidden="1">
      <c r="A24" s="389"/>
      <c r="B24" s="67"/>
      <c r="C24" s="1170"/>
      <c r="D24" s="1070"/>
      <c r="E24" s="971" t="s">
        <v>159</v>
      </c>
      <c r="F24" s="2908">
        <v>2013</v>
      </c>
      <c r="G24" s="965">
        <v>2015</v>
      </c>
      <c r="H24" s="965">
        <v>2020</v>
      </c>
      <c r="I24" s="965">
        <v>2025</v>
      </c>
      <c r="J24" s="965">
        <v>2030</v>
      </c>
      <c r="K24" s="965">
        <v>2035</v>
      </c>
      <c r="L24" s="965">
        <v>2040</v>
      </c>
      <c r="M24" s="965">
        <v>2045</v>
      </c>
      <c r="N24" s="965">
        <v>2050</v>
      </c>
      <c r="O24" s="876"/>
      <c r="P24" s="39"/>
    </row>
    <row r="25" spans="1:16" hidden="1">
      <c r="A25" s="389"/>
      <c r="B25" s="67"/>
      <c r="C25" s="967" t="s">
        <v>719</v>
      </c>
      <c r="D25" s="1070"/>
      <c r="E25" s="2394"/>
      <c r="F25" s="3628"/>
      <c r="G25" s="2397"/>
      <c r="H25" s="2397"/>
      <c r="I25" s="2397"/>
      <c r="J25" s="2397"/>
      <c r="K25" s="2397"/>
      <c r="L25" s="2397"/>
      <c r="M25" s="2397"/>
      <c r="N25" s="3629"/>
      <c r="O25" s="876"/>
      <c r="P25" s="39"/>
    </row>
    <row r="26" spans="1:16" hidden="1">
      <c r="A26" s="389"/>
      <c r="B26" s="67"/>
      <c r="C26" s="943" t="s">
        <v>720</v>
      </c>
      <c r="D26" s="915"/>
      <c r="E26" s="2395"/>
      <c r="F26" s="3630"/>
      <c r="G26" s="2398"/>
      <c r="H26" s="2398"/>
      <c r="I26" s="2398"/>
      <c r="J26" s="2398"/>
      <c r="K26" s="2398"/>
      <c r="L26" s="2398"/>
      <c r="M26" s="2398"/>
      <c r="N26" s="2398"/>
      <c r="O26" s="876"/>
      <c r="P26" s="39"/>
    </row>
    <row r="27" spans="1:16" hidden="1">
      <c r="A27" s="389"/>
      <c r="B27" s="67"/>
      <c r="C27" s="947" t="s">
        <v>721</v>
      </c>
      <c r="D27" s="948"/>
      <c r="E27" s="2396"/>
      <c r="F27" s="3631"/>
      <c r="G27" s="3632"/>
      <c r="H27" s="3632"/>
      <c r="I27" s="3632"/>
      <c r="J27" s="3632"/>
      <c r="K27" s="3632"/>
      <c r="L27" s="3632"/>
      <c r="M27" s="3632"/>
      <c r="N27" s="3632"/>
      <c r="O27" s="67"/>
      <c r="P27" s="39"/>
    </row>
    <row r="28" spans="1:16" hidden="1">
      <c r="A28" s="389"/>
      <c r="B28" s="47"/>
      <c r="C28" s="937"/>
      <c r="D28" s="915"/>
      <c r="E28" s="932"/>
      <c r="F28" s="2489"/>
      <c r="G28" s="934"/>
      <c r="H28" s="934"/>
      <c r="I28" s="934"/>
      <c r="J28" s="934"/>
      <c r="K28" s="934"/>
      <c r="L28" s="934"/>
      <c r="M28" s="934"/>
      <c r="N28" s="67"/>
      <c r="O28" s="67"/>
      <c r="P28" s="39"/>
    </row>
    <row r="29" spans="1:16" hidden="1">
      <c r="A29" s="389"/>
      <c r="B29" s="47"/>
      <c r="C29" s="49" t="s">
        <v>2806</v>
      </c>
      <c r="D29" s="915"/>
      <c r="E29" s="932"/>
      <c r="F29" s="2489"/>
      <c r="G29" s="934"/>
      <c r="H29" s="934"/>
      <c r="I29" s="934"/>
      <c r="J29" s="934"/>
      <c r="K29" s="934"/>
      <c r="L29" s="934"/>
      <c r="M29" s="934"/>
      <c r="N29" s="49" t="s">
        <v>2764</v>
      </c>
      <c r="O29" s="47"/>
      <c r="P29" s="39"/>
    </row>
    <row r="30" spans="1:16" ht="6" hidden="1" customHeight="1">
      <c r="A30" s="389"/>
      <c r="B30" s="47"/>
      <c r="C30" s="937"/>
      <c r="D30" s="915"/>
      <c r="E30" s="932"/>
      <c r="F30" s="2489"/>
      <c r="G30" s="934"/>
      <c r="H30" s="934"/>
      <c r="I30" s="934"/>
      <c r="J30" s="934"/>
      <c r="K30" s="934"/>
      <c r="L30" s="934"/>
      <c r="M30" s="934"/>
      <c r="N30" s="67"/>
      <c r="O30" s="47"/>
      <c r="P30" s="39"/>
    </row>
    <row r="31" spans="1:16" hidden="1">
      <c r="A31" s="389"/>
      <c r="B31" s="47"/>
      <c r="C31" s="1170"/>
      <c r="D31" s="1070"/>
      <c r="E31" s="971" t="s">
        <v>159</v>
      </c>
      <c r="F31" s="2908">
        <v>2013</v>
      </c>
      <c r="G31" s="965">
        <v>2015</v>
      </c>
      <c r="H31" s="965">
        <v>2020</v>
      </c>
      <c r="I31" s="965">
        <v>2025</v>
      </c>
      <c r="J31" s="965">
        <v>2030</v>
      </c>
      <c r="K31" s="965">
        <v>2035</v>
      </c>
      <c r="L31" s="965">
        <v>2040</v>
      </c>
      <c r="M31" s="965">
        <v>2045</v>
      </c>
      <c r="N31" s="965">
        <v>2050</v>
      </c>
      <c r="O31" s="47"/>
      <c r="P31" s="39"/>
    </row>
    <row r="32" spans="1:16" hidden="1">
      <c r="A32" s="389"/>
      <c r="B32" s="47"/>
      <c r="C32" s="967" t="s">
        <v>719</v>
      </c>
      <c r="D32" s="1070"/>
      <c r="E32" s="2394"/>
      <c r="F32" s="3628"/>
      <c r="G32" s="2397"/>
      <c r="H32" s="2397"/>
      <c r="I32" s="2397"/>
      <c r="J32" s="2397"/>
      <c r="K32" s="2397"/>
      <c r="L32" s="2397"/>
      <c r="M32" s="2397"/>
      <c r="N32" s="3629"/>
      <c r="O32" s="47"/>
      <c r="P32" s="39"/>
    </row>
    <row r="33" spans="1:16" hidden="1">
      <c r="A33" s="389"/>
      <c r="B33" s="47"/>
      <c r="C33" s="943" t="s">
        <v>720</v>
      </c>
      <c r="D33" s="915"/>
      <c r="E33" s="2395"/>
      <c r="F33" s="3630"/>
      <c r="G33" s="2398"/>
      <c r="H33" s="2398"/>
      <c r="I33" s="2398"/>
      <c r="J33" s="2398"/>
      <c r="K33" s="2398"/>
      <c r="L33" s="2398"/>
      <c r="M33" s="2398"/>
      <c r="N33" s="2398"/>
      <c r="O33" s="47"/>
      <c r="P33" s="39"/>
    </row>
    <row r="34" spans="1:16" hidden="1">
      <c r="A34" s="389"/>
      <c r="B34" s="47"/>
      <c r="C34" s="947" t="s">
        <v>721</v>
      </c>
      <c r="D34" s="948"/>
      <c r="E34" s="2396"/>
      <c r="F34" s="3631"/>
      <c r="G34" s="2399"/>
      <c r="H34" s="2399"/>
      <c r="I34" s="2399"/>
      <c r="J34" s="2399"/>
      <c r="K34" s="2399"/>
      <c r="L34" s="2399"/>
      <c r="M34" s="2399"/>
      <c r="N34" s="3632"/>
      <c r="O34" s="47"/>
      <c r="P34" s="39"/>
    </row>
    <row r="35" spans="1:16" hidden="1">
      <c r="A35" s="389"/>
      <c r="B35" s="47"/>
      <c r="C35" s="47"/>
      <c r="D35" s="47"/>
      <c r="E35" s="47"/>
      <c r="F35" s="47"/>
      <c r="G35" s="47"/>
      <c r="H35" s="47"/>
      <c r="I35" s="47"/>
      <c r="J35" s="47"/>
      <c r="K35" s="47"/>
      <c r="L35" s="47"/>
      <c r="M35" s="47"/>
      <c r="N35" s="47"/>
      <c r="O35" s="47"/>
      <c r="P35" s="39"/>
    </row>
    <row r="36" spans="1:16">
      <c r="A36" s="389"/>
      <c r="P36" s="39"/>
    </row>
    <row r="37" spans="1:16">
      <c r="P37" s="39"/>
    </row>
    <row r="38" spans="1:16">
      <c r="P38" s="39"/>
    </row>
    <row r="41" spans="1:16" ht="15.5">
      <c r="B41" s="1101" t="s">
        <v>206</v>
      </c>
    </row>
    <row r="42" spans="1:16">
      <c r="B42" s="354">
        <v>1</v>
      </c>
      <c r="C42" s="3601" t="s">
        <v>2802</v>
      </c>
      <c r="E42" s="354" t="s">
        <v>2807</v>
      </c>
      <c r="F42" s="1321">
        <v>2013</v>
      </c>
      <c r="G42" s="1321">
        <v>2015</v>
      </c>
      <c r="H42" s="1321">
        <v>2020</v>
      </c>
      <c r="I42" s="1321">
        <v>2025</v>
      </c>
      <c r="J42" s="1321">
        <v>2030</v>
      </c>
      <c r="K42" s="1321">
        <v>2035</v>
      </c>
      <c r="L42" s="1321">
        <v>2040</v>
      </c>
      <c r="M42" s="1321">
        <v>2045</v>
      </c>
      <c r="N42" s="1321">
        <v>2050</v>
      </c>
    </row>
    <row r="43" spans="1:16">
      <c r="C43" s="3601" t="s">
        <v>2808</v>
      </c>
      <c r="E43" s="2176"/>
      <c r="F43" s="2176">
        <f ca="1">-Carbon_Captured[2013]</f>
        <v>0</v>
      </c>
      <c r="G43" s="2176">
        <f ca="1">-Carbon_Captured[2015]</f>
        <v>0</v>
      </c>
      <c r="H43" s="2176">
        <f ca="1">-Carbon_Captured[2020]</f>
        <v>0</v>
      </c>
      <c r="I43" s="2176">
        <f ca="1">-Carbon_Captured[2025]</f>
        <v>0</v>
      </c>
      <c r="J43" s="2176">
        <f ca="1">-Carbon_Captured[2030]</f>
        <v>0</v>
      </c>
      <c r="K43" s="2176">
        <f ca="1">-Carbon_Captured[2035]</f>
        <v>0</v>
      </c>
      <c r="L43" s="2176">
        <f ca="1">-Carbon_Captured[2040]</f>
        <v>0</v>
      </c>
      <c r="M43" s="2176">
        <f ca="1">-Carbon_Captured[2045]</f>
        <v>0</v>
      </c>
      <c r="N43" s="2176">
        <f ca="1">-Carbon_Captured[2050]</f>
        <v>0</v>
      </c>
    </row>
    <row r="44" spans="1:16">
      <c r="E44" s="2176"/>
      <c r="F44" s="2176"/>
      <c r="G44" s="2176"/>
      <c r="H44" s="2176"/>
      <c r="I44" s="2176"/>
      <c r="J44" s="2176"/>
      <c r="K44" s="2176"/>
      <c r="L44" s="2176"/>
      <c r="M44" s="2176"/>
      <c r="N44" s="2176"/>
    </row>
    <row r="45" spans="1:16">
      <c r="C45" s="3683" t="s">
        <v>738</v>
      </c>
      <c r="D45" s="2"/>
      <c r="E45" s="3683"/>
      <c r="F45" s="3683"/>
      <c r="G45" s="2"/>
      <c r="H45" s="2"/>
      <c r="I45" s="2"/>
      <c r="J45" s="2"/>
      <c r="K45" s="2"/>
      <c r="L45" s="2"/>
      <c r="M45" s="2"/>
      <c r="N45" s="2"/>
    </row>
    <row r="46" spans="1:16">
      <c r="C46" s="3683" t="s">
        <v>2809</v>
      </c>
      <c r="D46" s="2"/>
      <c r="E46" s="3683"/>
      <c r="F46" s="3683"/>
      <c r="G46" s="3684">
        <f ca="1">G43</f>
        <v>0</v>
      </c>
      <c r="H46" s="3684">
        <f t="shared" ref="H46:N46" ca="1" si="1">(H43*5)+G46</f>
        <v>0</v>
      </c>
      <c r="I46" s="3684">
        <f t="shared" ca="1" si="1"/>
        <v>0</v>
      </c>
      <c r="J46" s="3684">
        <f t="shared" ca="1" si="1"/>
        <v>0</v>
      </c>
      <c r="K46" s="3684">
        <f t="shared" ca="1" si="1"/>
        <v>0</v>
      </c>
      <c r="L46" s="3684">
        <f t="shared" ca="1" si="1"/>
        <v>0</v>
      </c>
      <c r="M46" s="3684">
        <f t="shared" ca="1" si="1"/>
        <v>0</v>
      </c>
      <c r="N46" s="3684">
        <f t="shared" ca="1" si="1"/>
        <v>0</v>
      </c>
    </row>
    <row r="47" spans="1:16">
      <c r="C47" s="3683"/>
      <c r="D47" s="2"/>
      <c r="E47" s="3683"/>
      <c r="F47" s="3683"/>
      <c r="G47" s="3684"/>
      <c r="H47" s="3684"/>
      <c r="I47" s="3684"/>
      <c r="J47" s="3684"/>
      <c r="K47" s="3684"/>
      <c r="L47" s="3684"/>
      <c r="M47" s="3684"/>
      <c r="N47" s="3684"/>
    </row>
    <row r="48" spans="1:16">
      <c r="C48" s="3683" t="s">
        <v>2810</v>
      </c>
      <c r="D48" s="2"/>
      <c r="E48" s="3683"/>
      <c r="F48" s="3683"/>
      <c r="G48" s="3684"/>
      <c r="H48" s="3684"/>
      <c r="I48" s="3684"/>
      <c r="J48" s="3684"/>
      <c r="K48" s="3684"/>
      <c r="L48" s="3684"/>
      <c r="M48" s="3684"/>
      <c r="N48" s="3684"/>
    </row>
    <row r="49" spans="1:15">
      <c r="C49" s="3683" t="s">
        <v>2811</v>
      </c>
      <c r="D49" s="2"/>
      <c r="E49" s="3683"/>
      <c r="F49" s="3683"/>
      <c r="G49" s="3685">
        <f ca="1">(G46/1000)/$E$17</f>
        <v>0</v>
      </c>
      <c r="H49" s="3685">
        <f t="shared" ref="H49:N49" ca="1" si="2">(H46/1000)/$E$17</f>
        <v>0</v>
      </c>
      <c r="I49" s="3685">
        <f t="shared" ca="1" si="2"/>
        <v>0</v>
      </c>
      <c r="J49" s="3685">
        <f t="shared" ca="1" si="2"/>
        <v>0</v>
      </c>
      <c r="K49" s="3685">
        <f t="shared" ca="1" si="2"/>
        <v>0</v>
      </c>
      <c r="L49" s="3685">
        <f t="shared" ca="1" si="2"/>
        <v>0</v>
      </c>
      <c r="M49" s="3685">
        <f t="shared" ca="1" si="2"/>
        <v>0</v>
      </c>
      <c r="N49" s="3685">
        <f t="shared" ca="1" si="2"/>
        <v>0</v>
      </c>
    </row>
    <row r="50" spans="1:15">
      <c r="C50" s="3683" t="s">
        <v>2812</v>
      </c>
      <c r="D50" s="2"/>
      <c r="E50" s="3683"/>
      <c r="F50" s="3683"/>
      <c r="G50" s="3685"/>
      <c r="H50" s="3685"/>
      <c r="I50" s="3685"/>
      <c r="J50" s="3685"/>
      <c r="K50" s="3685"/>
      <c r="L50" s="3685"/>
      <c r="M50" s="3685"/>
      <c r="N50" s="3684" t="e">
        <f ca="1">(E17-(N46/1000))/(N43/1000)</f>
        <v>#DIV/0!</v>
      </c>
    </row>
    <row r="51" spans="1:15">
      <c r="C51" s="3683"/>
      <c r="D51" s="2"/>
      <c r="E51" s="3683"/>
      <c r="F51" s="3683"/>
      <c r="G51" s="3685"/>
      <c r="H51" s="3685"/>
      <c r="I51" s="3685"/>
      <c r="J51" s="3685"/>
      <c r="K51" s="3685"/>
      <c r="L51" s="3685"/>
      <c r="M51" s="3685"/>
      <c r="N51" s="3684"/>
    </row>
    <row r="52" spans="1:15">
      <c r="C52" s="3683" t="s">
        <v>2813</v>
      </c>
      <c r="D52" s="2"/>
      <c r="E52" s="3683"/>
      <c r="F52" s="3683"/>
      <c r="G52" s="3685">
        <f ca="1">(G46/1000)/$F$17</f>
        <v>0</v>
      </c>
      <c r="H52" s="3685">
        <f t="shared" ref="H52:N52" ca="1" si="3">(H46/1000)/$F$17</f>
        <v>0</v>
      </c>
      <c r="I52" s="3685">
        <f t="shared" ca="1" si="3"/>
        <v>0</v>
      </c>
      <c r="J52" s="3685">
        <f t="shared" ca="1" si="3"/>
        <v>0</v>
      </c>
      <c r="K52" s="3685">
        <f t="shared" ca="1" si="3"/>
        <v>0</v>
      </c>
      <c r="L52" s="3685">
        <f t="shared" ca="1" si="3"/>
        <v>0</v>
      </c>
      <c r="M52" s="3685">
        <f t="shared" ca="1" si="3"/>
        <v>0</v>
      </c>
      <c r="N52" s="3685">
        <f t="shared" ca="1" si="3"/>
        <v>0</v>
      </c>
    </row>
    <row r="53" spans="1:15">
      <c r="C53" s="3683" t="s">
        <v>2812</v>
      </c>
      <c r="D53" s="2"/>
      <c r="E53" s="3683"/>
      <c r="F53" s="3683"/>
      <c r="G53" s="3685"/>
      <c r="H53" s="3685"/>
      <c r="I53" s="3685"/>
      <c r="J53" s="3685"/>
      <c r="K53" s="3685"/>
      <c r="L53" s="3685"/>
      <c r="M53" s="3685"/>
      <c r="N53" s="3684" t="e">
        <f ca="1">(F17-(N52/1000))/(N43/1000)</f>
        <v>#DIV/0!</v>
      </c>
    </row>
    <row r="54" spans="1:15">
      <c r="C54" s="354"/>
      <c r="F54" s="2460"/>
      <c r="G54" s="2460"/>
      <c r="H54" s="2460"/>
      <c r="I54" s="2460"/>
      <c r="J54" s="2460"/>
      <c r="K54" s="2460"/>
      <c r="L54" s="2460"/>
      <c r="M54" s="2460"/>
      <c r="N54" s="2460"/>
    </row>
    <row r="55" spans="1:15">
      <c r="B55" s="979">
        <v>3</v>
      </c>
      <c r="C55" s="354" t="s">
        <v>2720</v>
      </c>
      <c r="F55" s="2384"/>
      <c r="G55" s="2384"/>
      <c r="H55" s="2384"/>
      <c r="I55" s="2384"/>
      <c r="J55" s="2384"/>
      <c r="K55" s="2384"/>
      <c r="L55" s="2384"/>
      <c r="M55" s="2384"/>
      <c r="N55" s="2384"/>
    </row>
    <row r="56" spans="1:15" hidden="1">
      <c r="B56" s="979"/>
      <c r="C56" s="354" t="s">
        <v>22</v>
      </c>
      <c r="E56" s="354" t="s">
        <v>2736</v>
      </c>
      <c r="F56" s="1321">
        <v>2013</v>
      </c>
      <c r="G56" s="1321">
        <v>2015</v>
      </c>
      <c r="H56" s="1321">
        <v>2020</v>
      </c>
      <c r="I56" s="1321">
        <v>2025</v>
      </c>
      <c r="J56" s="1321">
        <v>2030</v>
      </c>
      <c r="K56" s="1321">
        <v>2035</v>
      </c>
      <c r="L56" s="1321">
        <v>2040</v>
      </c>
      <c r="M56" s="1321">
        <v>2045</v>
      </c>
      <c r="N56" s="1321">
        <v>2050</v>
      </c>
    </row>
    <row r="57" spans="1:15" hidden="1">
      <c r="B57" s="979"/>
      <c r="C57" s="3601" t="s">
        <v>1091</v>
      </c>
      <c r="F57" s="2384"/>
      <c r="G57" s="2384"/>
      <c r="H57" s="2384"/>
      <c r="I57" s="2384"/>
      <c r="J57" s="2384"/>
      <c r="K57" s="2384"/>
      <c r="L57" s="2384"/>
      <c r="M57" s="2384"/>
      <c r="N57" s="2384"/>
    </row>
    <row r="58" spans="1:15" s="389" customFormat="1" hidden="1">
      <c r="A58" s="3601"/>
      <c r="B58" s="979"/>
      <c r="C58" s="3601" t="s">
        <v>1092</v>
      </c>
      <c r="D58" s="3601"/>
      <c r="E58" s="3601"/>
      <c r="F58" s="2384"/>
      <c r="G58" s="2384"/>
      <c r="H58" s="2384"/>
      <c r="I58" s="2384"/>
      <c r="J58" s="2384"/>
      <c r="K58" s="2384"/>
      <c r="L58" s="2384"/>
      <c r="M58" s="2384"/>
      <c r="N58" s="2384"/>
      <c r="O58" s="3601"/>
    </row>
    <row r="59" spans="1:15" s="389" customFormat="1" hidden="1">
      <c r="A59" s="3601"/>
      <c r="B59" s="3601"/>
      <c r="C59" s="3601"/>
      <c r="D59" s="3601"/>
      <c r="E59" s="3601"/>
      <c r="F59" s="2460"/>
      <c r="G59" s="3601"/>
      <c r="H59" s="3601"/>
      <c r="I59" s="3601"/>
      <c r="J59" s="3601"/>
      <c r="K59" s="3601"/>
      <c r="L59" s="3601"/>
      <c r="M59" s="3601"/>
      <c r="N59" s="3601"/>
      <c r="O59" s="3601"/>
    </row>
    <row r="60" spans="1:15" s="389" customFormat="1" hidden="1">
      <c r="A60" s="3601"/>
      <c r="B60" s="3601"/>
      <c r="C60" s="354" t="s">
        <v>160</v>
      </c>
      <c r="D60" s="3601"/>
      <c r="E60" s="354" t="s">
        <v>2736</v>
      </c>
      <c r="F60" s="1321">
        <v>2013</v>
      </c>
      <c r="G60" s="1321">
        <v>2015</v>
      </c>
      <c r="H60" s="1321">
        <v>2020</v>
      </c>
      <c r="I60" s="1321">
        <v>2025</v>
      </c>
      <c r="J60" s="1321">
        <v>2030</v>
      </c>
      <c r="K60" s="1321">
        <v>2035</v>
      </c>
      <c r="L60" s="1321">
        <v>2040</v>
      </c>
      <c r="M60" s="1321">
        <v>2045</v>
      </c>
      <c r="N60" s="1321">
        <v>2050</v>
      </c>
      <c r="O60" s="3601"/>
    </row>
    <row r="61" spans="1:15" s="389" customFormat="1" hidden="1">
      <c r="A61" s="3601"/>
      <c r="B61" s="3601"/>
      <c r="C61" s="3601" t="s">
        <v>1091</v>
      </c>
      <c r="D61" s="3601"/>
      <c r="E61" s="3601"/>
      <c r="F61" s="2384"/>
      <c r="G61" s="2384"/>
      <c r="H61" s="2384"/>
      <c r="I61" s="2384"/>
      <c r="J61" s="2384"/>
      <c r="K61" s="2384"/>
      <c r="L61" s="2384"/>
      <c r="M61" s="2384"/>
      <c r="N61" s="2384"/>
      <c r="O61" s="3601"/>
    </row>
    <row r="62" spans="1:15" s="389" customFormat="1" hidden="1">
      <c r="A62" s="3601"/>
      <c r="B62" s="3601"/>
      <c r="C62" s="3601" t="s">
        <v>1092</v>
      </c>
      <c r="D62" s="3601"/>
      <c r="E62" s="3601"/>
      <c r="F62" s="2384"/>
      <c r="G62" s="2384"/>
      <c r="H62" s="2384"/>
      <c r="I62" s="2384"/>
      <c r="J62" s="2384"/>
      <c r="K62" s="2384"/>
      <c r="L62" s="2384"/>
      <c r="M62" s="2384"/>
      <c r="N62" s="2384"/>
      <c r="O62" s="3601"/>
    </row>
    <row r="63" spans="1:15" s="389" customFormat="1" hidden="1">
      <c r="A63" s="3601"/>
      <c r="B63" s="3601"/>
      <c r="C63" s="3601"/>
      <c r="D63" s="3601"/>
      <c r="E63" s="3601"/>
      <c r="F63" s="2460"/>
      <c r="G63" s="3601"/>
      <c r="H63" s="3601"/>
      <c r="I63" s="3601"/>
      <c r="J63" s="3601"/>
      <c r="K63" s="3601"/>
      <c r="L63" s="3601"/>
      <c r="M63" s="3601"/>
      <c r="N63" s="3601"/>
      <c r="O63" s="3601"/>
    </row>
    <row r="64" spans="1:15" s="389" customFormat="1" hidden="1">
      <c r="A64" s="3601"/>
      <c r="B64" s="979"/>
      <c r="C64" s="354" t="s">
        <v>20</v>
      </c>
      <c r="D64" s="3601"/>
      <c r="E64" s="354" t="s">
        <v>2736</v>
      </c>
      <c r="F64" s="1321">
        <v>2013</v>
      </c>
      <c r="G64" s="1321">
        <v>2015</v>
      </c>
      <c r="H64" s="1321">
        <v>2020</v>
      </c>
      <c r="I64" s="1321">
        <v>2025</v>
      </c>
      <c r="J64" s="1321">
        <v>2030</v>
      </c>
      <c r="K64" s="1321">
        <v>2035</v>
      </c>
      <c r="L64" s="1321">
        <v>2040</v>
      </c>
      <c r="M64" s="1321">
        <v>2045</v>
      </c>
      <c r="N64" s="1321">
        <v>2050</v>
      </c>
      <c r="O64" s="3601"/>
    </row>
    <row r="65" spans="1:16" s="389" customFormat="1" hidden="1">
      <c r="A65" s="3601"/>
      <c r="B65" s="979"/>
      <c r="C65" s="3601" t="s">
        <v>1091</v>
      </c>
      <c r="D65" s="3601"/>
      <c r="E65" s="3601"/>
      <c r="F65" s="2384"/>
      <c r="G65" s="2384"/>
      <c r="H65" s="2384"/>
      <c r="I65" s="2384"/>
      <c r="J65" s="2384"/>
      <c r="K65" s="2384"/>
      <c r="L65" s="2384"/>
      <c r="M65" s="2384"/>
      <c r="N65" s="2384"/>
      <c r="O65" s="3601"/>
    </row>
    <row r="66" spans="1:16" hidden="1">
      <c r="B66" s="979"/>
      <c r="C66" s="3601" t="s">
        <v>1092</v>
      </c>
      <c r="F66" s="2384"/>
      <c r="G66" s="2384"/>
      <c r="H66" s="2384"/>
      <c r="I66" s="2384"/>
      <c r="J66" s="2384"/>
      <c r="K66" s="2384"/>
      <c r="L66" s="2384"/>
      <c r="M66" s="2384"/>
      <c r="N66" s="2384"/>
    </row>
    <row r="68" spans="1:16" ht="23.25" customHeight="1">
      <c r="B68" s="986" t="s">
        <v>310</v>
      </c>
      <c r="C68" s="987"/>
      <c r="D68" s="988"/>
      <c r="E68" s="988"/>
      <c r="F68" s="988"/>
      <c r="G68" s="988"/>
      <c r="H68" s="988"/>
      <c r="I68" s="988"/>
      <c r="J68" s="988"/>
      <c r="K68" s="988"/>
      <c r="L68" s="988"/>
      <c r="M68" s="988"/>
      <c r="N68" s="988"/>
      <c r="O68" s="989"/>
      <c r="P68" s="39"/>
    </row>
    <row r="69" spans="1:16">
      <c r="B69" s="990"/>
      <c r="C69" s="991"/>
      <c r="D69" s="991"/>
      <c r="E69" s="991"/>
      <c r="F69" s="991"/>
      <c r="G69" s="991"/>
      <c r="H69" s="991"/>
      <c r="I69" s="991"/>
      <c r="J69" s="991"/>
      <c r="K69" s="991"/>
      <c r="L69" s="991"/>
      <c r="M69" s="991"/>
      <c r="N69" s="991"/>
      <c r="O69" s="992"/>
      <c r="P69" s="39"/>
    </row>
    <row r="70" spans="1:16">
      <c r="B70" s="993"/>
      <c r="C70" s="479" t="s">
        <v>311</v>
      </c>
      <c r="D70" s="994"/>
      <c r="E70" s="995"/>
      <c r="F70" s="994"/>
      <c r="G70" s="994"/>
      <c r="H70" s="994"/>
      <c r="I70" s="994"/>
      <c r="J70" s="994"/>
      <c r="K70" s="994"/>
      <c r="L70" s="994"/>
      <c r="M70" s="994"/>
      <c r="N70" s="995"/>
      <c r="O70" s="996"/>
      <c r="P70" s="39"/>
    </row>
    <row r="71" spans="1:16" ht="3" customHeight="1">
      <c r="B71" s="993"/>
      <c r="C71" s="994"/>
      <c r="D71" s="994"/>
      <c r="E71" s="994"/>
      <c r="F71" s="994"/>
      <c r="G71" s="994"/>
      <c r="H71" s="994"/>
      <c r="I71" s="994"/>
      <c r="J71" s="994"/>
      <c r="K71" s="994"/>
      <c r="L71" s="994"/>
      <c r="M71" s="994"/>
      <c r="N71" s="994"/>
      <c r="O71" s="996"/>
      <c r="P71" s="39"/>
    </row>
    <row r="72" spans="1:16" ht="15.5">
      <c r="B72" s="483"/>
      <c r="C72" s="3633" t="s">
        <v>28</v>
      </c>
      <c r="D72" s="3633" t="s">
        <v>312</v>
      </c>
      <c r="E72" s="3633" t="s">
        <v>30</v>
      </c>
      <c r="F72" s="3633" t="s">
        <v>588</v>
      </c>
      <c r="G72" s="3633" t="s">
        <v>132</v>
      </c>
      <c r="H72" s="3633" t="s">
        <v>133</v>
      </c>
      <c r="I72" s="3633" t="s">
        <v>134</v>
      </c>
      <c r="J72" s="3633" t="s">
        <v>135</v>
      </c>
      <c r="K72" s="3633" t="s">
        <v>136</v>
      </c>
      <c r="L72" s="3633" t="s">
        <v>137</v>
      </c>
      <c r="M72" s="3633" t="s">
        <v>138</v>
      </c>
      <c r="N72" s="3633" t="s">
        <v>139</v>
      </c>
      <c r="O72" s="996"/>
      <c r="P72" s="39"/>
    </row>
    <row r="73" spans="1:16" ht="15.5">
      <c r="B73" s="483"/>
      <c r="C73" s="1377"/>
      <c r="D73" s="998" t="s">
        <v>2809</v>
      </c>
      <c r="E73" s="485"/>
      <c r="F73" s="2408">
        <f>F45</f>
        <v>0</v>
      </c>
      <c r="G73" s="2408">
        <f>G45</f>
        <v>0</v>
      </c>
      <c r="H73" s="2408">
        <f t="shared" ref="H73:N73" ca="1" si="4">H46</f>
        <v>0</v>
      </c>
      <c r="I73" s="2408">
        <f t="shared" ca="1" si="4"/>
        <v>0</v>
      </c>
      <c r="J73" s="2408">
        <f t="shared" ca="1" si="4"/>
        <v>0</v>
      </c>
      <c r="K73" s="2408">
        <f t="shared" ca="1" si="4"/>
        <v>0</v>
      </c>
      <c r="L73" s="2408">
        <f t="shared" ca="1" si="4"/>
        <v>0</v>
      </c>
      <c r="M73" s="2408">
        <f t="shared" ca="1" si="4"/>
        <v>0</v>
      </c>
      <c r="N73" s="2408">
        <f t="shared" ca="1" si="4"/>
        <v>0</v>
      </c>
      <c r="O73" s="996"/>
      <c r="P73" s="39"/>
    </row>
    <row r="74" spans="1:16" ht="15.5">
      <c r="A74" s="389"/>
      <c r="B74" s="2439"/>
      <c r="C74" s="1377"/>
      <c r="D74" s="3634" t="s">
        <v>2814</v>
      </c>
      <c r="E74" s="485"/>
      <c r="F74" s="2409">
        <f>F49</f>
        <v>0</v>
      </c>
      <c r="G74" s="2409">
        <f t="shared" ref="G74:N74" ca="1" si="5">G49</f>
        <v>0</v>
      </c>
      <c r="H74" s="2409">
        <f t="shared" ca="1" si="5"/>
        <v>0</v>
      </c>
      <c r="I74" s="2409">
        <f t="shared" ca="1" si="5"/>
        <v>0</v>
      </c>
      <c r="J74" s="2409">
        <f t="shared" ca="1" si="5"/>
        <v>0</v>
      </c>
      <c r="K74" s="2409">
        <f t="shared" ca="1" si="5"/>
        <v>0</v>
      </c>
      <c r="L74" s="2409">
        <f t="shared" ca="1" si="5"/>
        <v>0</v>
      </c>
      <c r="M74" s="2409">
        <f t="shared" ca="1" si="5"/>
        <v>0</v>
      </c>
      <c r="N74" s="2409">
        <f t="shared" ca="1" si="5"/>
        <v>0</v>
      </c>
      <c r="O74" s="994"/>
      <c r="P74" s="39"/>
    </row>
    <row r="75" spans="1:16" ht="15.5">
      <c r="A75" s="389"/>
      <c r="B75" s="2439"/>
      <c r="C75" s="1377"/>
      <c r="D75" s="3634" t="s">
        <v>2815</v>
      </c>
      <c r="E75" s="485"/>
      <c r="F75" s="2409">
        <f>F52</f>
        <v>0</v>
      </c>
      <c r="G75" s="2409">
        <f t="shared" ref="G75:N75" ca="1" si="6">G52</f>
        <v>0</v>
      </c>
      <c r="H75" s="2409">
        <f t="shared" ca="1" si="6"/>
        <v>0</v>
      </c>
      <c r="I75" s="2409">
        <f t="shared" ca="1" si="6"/>
        <v>0</v>
      </c>
      <c r="J75" s="2409">
        <f t="shared" ca="1" si="6"/>
        <v>0</v>
      </c>
      <c r="K75" s="2409">
        <f t="shared" ca="1" si="6"/>
        <v>0</v>
      </c>
      <c r="L75" s="2409">
        <f t="shared" ca="1" si="6"/>
        <v>0</v>
      </c>
      <c r="M75" s="2409">
        <f t="shared" ca="1" si="6"/>
        <v>0</v>
      </c>
      <c r="N75" s="2409">
        <f t="shared" ca="1" si="6"/>
        <v>0</v>
      </c>
      <c r="O75" s="994"/>
      <c r="P75" s="39"/>
    </row>
    <row r="76" spans="1:16" ht="15.5">
      <c r="A76" s="389"/>
      <c r="B76" s="2439"/>
      <c r="C76" s="1377"/>
      <c r="D76" s="3634" t="s">
        <v>2816</v>
      </c>
      <c r="E76" s="485"/>
      <c r="F76" s="2408"/>
      <c r="G76" s="2408"/>
      <c r="H76" s="2408"/>
      <c r="I76" s="2408"/>
      <c r="J76" s="2408"/>
      <c r="K76" s="2408"/>
      <c r="L76" s="2408"/>
      <c r="M76" s="2408"/>
      <c r="N76" s="2408" t="e">
        <f ca="1">$N$50</f>
        <v>#DIV/0!</v>
      </c>
      <c r="O76" s="994"/>
      <c r="P76" s="39"/>
    </row>
    <row r="77" spans="1:16" ht="15.5">
      <c r="A77" s="389"/>
      <c r="B77" s="2439"/>
      <c r="C77" s="1377"/>
      <c r="D77" s="3634" t="s">
        <v>2817</v>
      </c>
      <c r="E77" s="485"/>
      <c r="F77" s="2408"/>
      <c r="G77" s="2408"/>
      <c r="H77" s="2408"/>
      <c r="I77" s="2408"/>
      <c r="J77" s="2408"/>
      <c r="K77" s="2408"/>
      <c r="L77" s="2408"/>
      <c r="M77" s="2408"/>
      <c r="N77" s="2408" t="e">
        <f ca="1">$N$53</f>
        <v>#DIV/0!</v>
      </c>
      <c r="O77" s="994"/>
    </row>
    <row r="78" spans="1:16" ht="15.5">
      <c r="B78" s="488"/>
      <c r="C78" s="1001"/>
      <c r="D78" s="1001"/>
      <c r="E78" s="1001"/>
      <c r="F78" s="1001"/>
      <c r="G78" s="1001"/>
      <c r="H78" s="1001"/>
      <c r="I78" s="1001"/>
      <c r="J78" s="1001"/>
      <c r="K78" s="1001"/>
      <c r="L78" s="1001"/>
      <c r="M78" s="1001"/>
      <c r="N78" s="1001"/>
      <c r="O78" s="1002"/>
    </row>
    <row r="80" spans="1:16" ht="15">
      <c r="B80" s="986" t="s">
        <v>2720</v>
      </c>
      <c r="C80" s="988"/>
      <c r="D80" s="988"/>
      <c r="E80" s="988"/>
      <c r="F80" s="988"/>
      <c r="G80" s="988"/>
      <c r="H80" s="988"/>
      <c r="I80" s="988"/>
      <c r="J80" s="988"/>
      <c r="K80" s="988"/>
      <c r="L80" s="988"/>
      <c r="M80" s="988"/>
      <c r="N80" s="988"/>
      <c r="O80" s="989"/>
    </row>
    <row r="81" spans="2:15" hidden="1">
      <c r="B81" s="993"/>
      <c r="C81" s="994"/>
      <c r="D81" s="994"/>
      <c r="E81" s="994"/>
      <c r="F81" s="994"/>
      <c r="G81" s="994"/>
      <c r="H81" s="994"/>
      <c r="I81" s="994"/>
      <c r="J81" s="994"/>
      <c r="K81" s="994"/>
      <c r="L81" s="994"/>
      <c r="M81" s="994"/>
      <c r="N81" s="994"/>
      <c r="O81" s="996"/>
    </row>
    <row r="82" spans="2:15" hidden="1">
      <c r="B82" s="993"/>
      <c r="C82" s="491" t="s">
        <v>2818</v>
      </c>
      <c r="D82" s="1003"/>
      <c r="E82" s="1003"/>
      <c r="F82" s="1003"/>
      <c r="G82" s="1003"/>
      <c r="H82" s="1003"/>
      <c r="I82" s="1003"/>
      <c r="J82" s="1003"/>
      <c r="K82" s="1003"/>
      <c r="L82" s="1003"/>
      <c r="M82" s="1003"/>
      <c r="N82" s="1004" t="s">
        <v>2736</v>
      </c>
      <c r="O82" s="996"/>
    </row>
    <row r="83" spans="2:15" hidden="1">
      <c r="B83" s="993"/>
      <c r="C83" s="994"/>
      <c r="D83" s="994"/>
      <c r="E83" s="994"/>
      <c r="F83" s="994"/>
      <c r="G83" s="994"/>
      <c r="H83" s="994"/>
      <c r="I83" s="994"/>
      <c r="J83" s="994"/>
      <c r="K83" s="994"/>
      <c r="L83" s="994"/>
      <c r="M83" s="994"/>
      <c r="N83" s="994"/>
      <c r="O83" s="996"/>
    </row>
    <row r="84" spans="2:15" ht="15.5" hidden="1">
      <c r="B84" s="483"/>
      <c r="C84" s="1377" t="s">
        <v>28</v>
      </c>
      <c r="D84" s="1377" t="s">
        <v>29</v>
      </c>
      <c r="E84" s="1377" t="s">
        <v>30</v>
      </c>
      <c r="F84" s="1377">
        <v>2013</v>
      </c>
      <c r="G84" s="1377" t="s">
        <v>132</v>
      </c>
      <c r="H84" s="1377" t="s">
        <v>133</v>
      </c>
      <c r="I84" s="1377" t="s">
        <v>134</v>
      </c>
      <c r="J84" s="1377" t="s">
        <v>135</v>
      </c>
      <c r="K84" s="1377" t="s">
        <v>136</v>
      </c>
      <c r="L84" s="1377" t="s">
        <v>137</v>
      </c>
      <c r="M84" s="1377" t="s">
        <v>138</v>
      </c>
      <c r="N84" s="1377" t="s">
        <v>139</v>
      </c>
      <c r="O84" s="3635"/>
    </row>
    <row r="85" spans="2:15" hidden="1">
      <c r="B85" s="1003"/>
      <c r="C85" s="1340" t="s">
        <v>321</v>
      </c>
      <c r="D85" s="1341" t="s">
        <v>322</v>
      </c>
      <c r="E85" s="1341"/>
      <c r="F85" s="3636"/>
      <c r="G85" s="3636"/>
      <c r="H85" s="3636"/>
      <c r="I85" s="3636"/>
      <c r="J85" s="3636"/>
      <c r="K85" s="3636"/>
      <c r="L85" s="3636"/>
      <c r="M85" s="3636"/>
      <c r="N85" s="3636"/>
      <c r="O85" s="3637"/>
    </row>
    <row r="86" spans="2:15" hidden="1">
      <c r="B86" s="1003"/>
      <c r="C86" s="998" t="s">
        <v>328</v>
      </c>
      <c r="D86" s="485" t="s">
        <v>329</v>
      </c>
      <c r="E86" s="485"/>
      <c r="F86" s="2408"/>
      <c r="G86" s="2408"/>
      <c r="H86" s="2408"/>
      <c r="I86" s="2408"/>
      <c r="J86" s="2408"/>
      <c r="K86" s="2408"/>
      <c r="L86" s="2408"/>
      <c r="M86" s="2408"/>
      <c r="N86" s="2408"/>
      <c r="O86" s="3637"/>
    </row>
    <row r="87" spans="2:15" ht="15.5" hidden="1">
      <c r="B87" s="483"/>
      <c r="C87" s="998" t="s">
        <v>323</v>
      </c>
      <c r="D87" s="495" t="s">
        <v>324</v>
      </c>
      <c r="E87" s="495"/>
      <c r="F87" s="3346"/>
      <c r="G87" s="3346"/>
      <c r="H87" s="3346"/>
      <c r="I87" s="3346"/>
      <c r="J87" s="3346"/>
      <c r="K87" s="3346"/>
      <c r="L87" s="3346"/>
      <c r="M87" s="3346"/>
      <c r="N87" s="3346"/>
      <c r="O87" s="3637"/>
    </row>
    <row r="88" spans="2:15" ht="15.5" hidden="1">
      <c r="B88" s="483"/>
      <c r="C88" s="998" t="s">
        <v>330</v>
      </c>
      <c r="D88" s="495" t="s">
        <v>331</v>
      </c>
      <c r="E88" s="495"/>
      <c r="F88" s="3346"/>
      <c r="G88" s="3346"/>
      <c r="H88" s="3346"/>
      <c r="I88" s="3346"/>
      <c r="J88" s="3346"/>
      <c r="K88" s="3346"/>
      <c r="L88" s="3346"/>
      <c r="M88" s="3346"/>
      <c r="N88" s="3346"/>
      <c r="O88" s="3637"/>
    </row>
    <row r="89" spans="2:15" ht="15.5" hidden="1">
      <c r="B89" s="483"/>
      <c r="C89" s="998" t="s">
        <v>325</v>
      </c>
      <c r="D89" s="485" t="s">
        <v>326</v>
      </c>
      <c r="E89" s="485"/>
      <c r="F89" s="3424"/>
      <c r="G89" s="3424"/>
      <c r="H89" s="3424"/>
      <c r="I89" s="3424"/>
      <c r="J89" s="3424"/>
      <c r="K89" s="3424"/>
      <c r="L89" s="3424"/>
      <c r="M89" s="3424"/>
      <c r="N89" s="3424"/>
      <c r="O89" s="3637"/>
    </row>
    <row r="90" spans="2:15" ht="15.5" hidden="1">
      <c r="B90" s="483"/>
      <c r="C90" s="998" t="s">
        <v>332</v>
      </c>
      <c r="D90" s="485" t="s">
        <v>333</v>
      </c>
      <c r="E90" s="485"/>
      <c r="F90" s="2408"/>
      <c r="G90" s="2408"/>
      <c r="H90" s="2408"/>
      <c r="I90" s="2408"/>
      <c r="J90" s="2408"/>
      <c r="K90" s="2408"/>
      <c r="L90" s="2408"/>
      <c r="M90" s="2408"/>
      <c r="N90" s="2408"/>
      <c r="O90" s="3638"/>
    </row>
    <row r="91" spans="2:15" hidden="1">
      <c r="B91" s="1005"/>
      <c r="C91" s="3639"/>
      <c r="D91" s="3640"/>
      <c r="E91" s="3640"/>
      <c r="F91" s="3641"/>
      <c r="G91" s="3641"/>
      <c r="H91" s="3641"/>
      <c r="I91" s="3641"/>
      <c r="J91" s="3641"/>
      <c r="K91" s="3641"/>
      <c r="L91" s="3641"/>
      <c r="M91" s="3641"/>
      <c r="N91" s="3641"/>
      <c r="O91" s="1006"/>
    </row>
    <row r="724" spans="6:14">
      <c r="F724" s="3601">
        <v>0</v>
      </c>
      <c r="G724" s="3601">
        <v>0</v>
      </c>
      <c r="H724" s="3601">
        <v>0</v>
      </c>
      <c r="I724" s="3601">
        <v>0</v>
      </c>
      <c r="J724" s="3601">
        <v>0</v>
      </c>
      <c r="K724" s="3601">
        <v>0</v>
      </c>
      <c r="L724" s="3601">
        <v>0</v>
      </c>
      <c r="M724" s="3601">
        <v>0</v>
      </c>
      <c r="N724" s="3601">
        <v>0</v>
      </c>
    </row>
    <row r="725" spans="6:14">
      <c r="F725" s="3601">
        <v>0</v>
      </c>
      <c r="G725" s="3601">
        <v>0</v>
      </c>
      <c r="H725" s="3601">
        <v>0</v>
      </c>
      <c r="I725" s="3601">
        <v>0</v>
      </c>
      <c r="J725" s="3601">
        <v>0</v>
      </c>
      <c r="K725" s="3601">
        <v>0</v>
      </c>
      <c r="L725" s="3601">
        <v>0</v>
      </c>
      <c r="M725" s="3601">
        <v>0</v>
      </c>
      <c r="N725" s="3601">
        <v>0</v>
      </c>
    </row>
    <row r="726" spans="6:14">
      <c r="F726" s="3601">
        <v>0</v>
      </c>
      <c r="G726" s="3601">
        <v>0</v>
      </c>
      <c r="H726" s="3601">
        <v>0</v>
      </c>
      <c r="I726" s="3601">
        <v>0</v>
      </c>
      <c r="J726" s="3601">
        <v>0</v>
      </c>
      <c r="K726" s="3601">
        <v>0</v>
      </c>
      <c r="L726" s="3601">
        <v>0</v>
      </c>
      <c r="M726" s="3601">
        <v>0</v>
      </c>
      <c r="N726" s="3601">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DH148"/>
  <sheetViews>
    <sheetView topLeftCell="D16" workbookViewId="0">
      <selection activeCell="Q25" sqref="Q25"/>
    </sheetView>
  </sheetViews>
  <sheetFormatPr defaultColWidth="8.81640625" defaultRowHeight="14.5" outlineLevelRow="2"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1" spans="1:112" ht="6" customHeight="1"/>
    <row r="2" spans="1:112" ht="21" customHeight="1">
      <c r="D2" s="512"/>
      <c r="E2" s="513">
        <v>2013</v>
      </c>
      <c r="G2"/>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26.088824704314053</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26.088824704314053</v>
      </c>
      <c r="S9" s="582">
        <f t="shared" ref="S9:AJ13" ca="1" si="2">IFERROR(INDEX(INDIRECT($C9&amp;".Outputs["&amp;this.Year&amp;"]"), MATCH(S$5, INDIRECT($C9&amp;".Outputs[Vector]"), 0)), 0)</f>
        <v>-0.88256437808531207</v>
      </c>
      <c r="T9" s="582">
        <f t="shared" ca="1" si="2"/>
        <v>0</v>
      </c>
      <c r="U9" s="582">
        <f t="shared" ca="1" si="2"/>
        <v>-0.41220752781623782</v>
      </c>
      <c r="V9" s="582">
        <f t="shared" ca="1" si="2"/>
        <v>-15.256778003771721</v>
      </c>
      <c r="W9" s="582">
        <f t="shared" ca="1" si="2"/>
        <v>-9.4463708573767775</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-4.1054887428987621E-2</v>
      </c>
      <c r="AJ9" s="582">
        <f t="shared" ca="1" si="2"/>
        <v>0</v>
      </c>
      <c r="AK9" s="583">
        <f t="shared" ref="AK9:AK15" ca="1" si="4">SUM(S9:AJ9)</f>
        <v>-26.038975654479035</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-4.9849049835017811E-2</v>
      </c>
      <c r="BD9" s="584">
        <f t="shared" ca="1" si="6"/>
        <v>0</v>
      </c>
      <c r="BE9" s="584">
        <f t="shared" ca="1" si="6"/>
        <v>0</v>
      </c>
      <c r="BF9" s="585">
        <f t="shared" ref="BF9:BF15" ca="1" si="7">SUM(AM9:BE9)</f>
        <v>-4.9849049835017811E-2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1.1102230246251565E-16</v>
      </c>
      <c r="BM9" s="586"/>
      <c r="BN9" s="404"/>
      <c r="BO9" s="2758">
        <f t="shared" ref="BO9:BX10" ca="1" si="11">IFERROR(SUMIFS(INDIRECT($C9&amp;".Emissions["&amp;this.Year&amp;"]"), INDIRECT($C9&amp;".Emissions[GHG]"), BO$6, INDIRECT($C9&amp;".Emissions[IPCC Sector]"), BO$5),0)</f>
        <v>6.0990014520418683</v>
      </c>
      <c r="BP9" s="2759">
        <f t="shared" ca="1" si="11"/>
        <v>4.1961969104451465E-3</v>
      </c>
      <c r="BQ9" s="2759">
        <f t="shared" ca="1" si="11"/>
        <v>4.1018184994661207E-2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26.088824704314053</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26.088824704314053</v>
      </c>
      <c r="S11" s="583">
        <f ca="1">SUM(S9:S10)</f>
        <v>-0.88256437808531207</v>
      </c>
      <c r="T11" s="583">
        <f t="shared" ref="T11:AJ11" ca="1" si="16">SUM(T9:T10)</f>
        <v>0</v>
      </c>
      <c r="U11" s="583">
        <f t="shared" ca="1" si="16"/>
        <v>-0.41220752781623782</v>
      </c>
      <c r="V11" s="583">
        <f t="shared" ca="1" si="16"/>
        <v>-15.256778003771721</v>
      </c>
      <c r="W11" s="583">
        <f t="shared" ca="1" si="16"/>
        <v>-9.4463708573767775</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-4.1054887428987621E-2</v>
      </c>
      <c r="AJ11" s="583">
        <f t="shared" ca="1" si="16"/>
        <v>0</v>
      </c>
      <c r="AK11" s="583">
        <f t="shared" ca="1" si="4"/>
        <v>-26.038975654479035</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-4.9849049835017811E-2</v>
      </c>
      <c r="BD11" s="599">
        <f ca="1">SUM(BD9:BD10)</f>
        <v>0</v>
      </c>
      <c r="BE11" s="599">
        <f t="shared" ca="1" si="17"/>
        <v>0</v>
      </c>
      <c r="BF11" s="600">
        <f t="shared" ca="1" si="7"/>
        <v>-4.9849049835017811E-2</v>
      </c>
      <c r="BH11" s="3428">
        <f ca="1">SUM(BH9:BH10)</f>
        <v>0</v>
      </c>
      <c r="BI11" s="3428">
        <f ca="1">SUM(BI9:BI10)</f>
        <v>0</v>
      </c>
      <c r="BJ11" s="3428">
        <f t="shared" ca="1" si="9"/>
        <v>0</v>
      </c>
      <c r="BL11" s="601">
        <f t="shared" ca="1" si="10"/>
        <v>1.1102230246251565E-16</v>
      </c>
      <c r="BM11" s="601"/>
      <c r="BN11" s="404"/>
      <c r="BO11" s="2758">
        <f t="shared" ref="BO11:DF11" ca="1" si="18">SUM(BO9:BO10)</f>
        <v>6.0990014520418683</v>
      </c>
      <c r="BP11" s="2759">
        <f t="shared" ca="1" si="18"/>
        <v>4.1961969104451465E-3</v>
      </c>
      <c r="BQ11" s="2759">
        <f t="shared" ca="1" si="18"/>
        <v>4.1018184994661207E-2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11.492112506073081</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11.492112506073081</v>
      </c>
      <c r="S12" s="582">
        <f t="shared" ca="1" si="2"/>
        <v>-3.90225</v>
      </c>
      <c r="T12" s="582">
        <f t="shared" ca="1" si="2"/>
        <v>0</v>
      </c>
      <c r="U12" s="582">
        <f t="shared" ca="1" si="2"/>
        <v>-0.32965517241379305</v>
      </c>
      <c r="V12" s="582">
        <f t="shared" ca="1" si="2"/>
        <v>-2.2668041237113408</v>
      </c>
      <c r="W12" s="582">
        <f t="shared" ca="1" si="2"/>
        <v>-4.9320532099479477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-11.43076250607308</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-6.1350000000000002E-2</v>
      </c>
      <c r="BD12" s="584">
        <f t="shared" ca="1" si="6"/>
        <v>0</v>
      </c>
      <c r="BE12" s="584">
        <f t="shared" ca="1" si="6"/>
        <v>0</v>
      </c>
      <c r="BF12" s="585">
        <f t="shared" ca="1" si="7"/>
        <v>-6.1350000000000002E-2</v>
      </c>
      <c r="BH12" s="3439">
        <f t="shared" ca="1" si="8"/>
        <v>0</v>
      </c>
      <c r="BI12" s="3439">
        <f t="shared" ca="1" si="8"/>
        <v>0</v>
      </c>
      <c r="BJ12" s="3428">
        <f t="shared" ca="1" si="9"/>
        <v>0</v>
      </c>
      <c r="BL12" s="586">
        <f t="shared" ca="1" si="10"/>
        <v>9.0205620750793969E-16</v>
      </c>
      <c r="BM12" s="586"/>
      <c r="BN12" s="404"/>
      <c r="BO12" s="2758">
        <f t="shared" ref="BO12:BX13" ca="1" si="21">IFERROR(SUMIFS(INDIRECT($C12&amp;".Emissions["&amp;this.Year&amp;"]"), INDIRECT($C12&amp;".Emissions[GHG]"), BO$6, INDIRECT($C12&amp;".Emissions[IPCC Sector]"), BO$5),0)</f>
        <v>1.7191590942521029</v>
      </c>
      <c r="BP12" s="2759">
        <f t="shared" ca="1" si="21"/>
        <v>9.044197496539349E-4</v>
      </c>
      <c r="BQ12" s="2759">
        <f t="shared" ca="1" si="21"/>
        <v>1.7663896636119548E-2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11.492112506073081</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11.492112506073081</v>
      </c>
      <c r="S14" s="604">
        <f t="shared" ref="S14:AJ14" ca="1" si="26">SUM(S12:S13)</f>
        <v>-3.90225</v>
      </c>
      <c r="T14" s="604">
        <f t="shared" ca="1" si="26"/>
        <v>0</v>
      </c>
      <c r="U14" s="604">
        <f t="shared" ca="1" si="26"/>
        <v>-0.32965517241379305</v>
      </c>
      <c r="V14" s="604">
        <f t="shared" ca="1" si="26"/>
        <v>-2.2668041237113408</v>
      </c>
      <c r="W14" s="604">
        <f t="shared" ca="1" si="26"/>
        <v>-4.9320532099479477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-11.43076250607308</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-6.1350000000000002E-2</v>
      </c>
      <c r="BD14" s="605">
        <f ca="1">SUM(BD12:BD13)</f>
        <v>0</v>
      </c>
      <c r="BE14" s="605">
        <f t="shared" ca="1" si="27"/>
        <v>0</v>
      </c>
      <c r="BF14" s="606">
        <f t="shared" ca="1" si="7"/>
        <v>-6.1350000000000002E-2</v>
      </c>
      <c r="BH14" s="3430">
        <f ca="1">SUM(BH12:BH13)</f>
        <v>0</v>
      </c>
      <c r="BI14" s="3430">
        <f ca="1">SUM(BI12:BI13)</f>
        <v>0</v>
      </c>
      <c r="BJ14" s="3430">
        <f t="shared" ca="1" si="9"/>
        <v>0</v>
      </c>
      <c r="BL14" s="601">
        <f t="shared" ca="1" si="10"/>
        <v>9.0205620750793969E-16</v>
      </c>
      <c r="BM14" s="601"/>
      <c r="BN14" s="404"/>
      <c r="BO14" s="2760">
        <f t="shared" ref="BO14:DF14" ca="1" si="28">SUM(BO12:BO13)</f>
        <v>1.7191590942521029</v>
      </c>
      <c r="BP14" s="2761">
        <f t="shared" ca="1" si="28"/>
        <v>9.044197496539349E-4</v>
      </c>
      <c r="BQ14" s="2761">
        <f t="shared" ca="1" si="28"/>
        <v>1.7663896636119548E-2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37.580937210387134</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37.580937210387134</v>
      </c>
      <c r="S15" s="572">
        <f t="shared" ref="S15:AJ15" ca="1" si="30">S14+S11</f>
        <v>-4.7848143780853123</v>
      </c>
      <c r="T15" s="572">
        <f t="shared" ca="1" si="30"/>
        <v>0</v>
      </c>
      <c r="U15" s="572">
        <f t="shared" ca="1" si="30"/>
        <v>-0.74186270023003087</v>
      </c>
      <c r="V15" s="572">
        <f t="shared" ca="1" si="30"/>
        <v>-17.523582127483063</v>
      </c>
      <c r="W15" s="572">
        <f t="shared" ca="1" si="30"/>
        <v>-14.378424067324726</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-4.1054887428987621E-2</v>
      </c>
      <c r="AJ15" s="572">
        <f t="shared" ca="1" si="30"/>
        <v>0</v>
      </c>
      <c r="AK15" s="572">
        <f t="shared" ca="1" si="4"/>
        <v>-37.469738160552112</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-0.11119904983501781</v>
      </c>
      <c r="BD15" s="573">
        <f ca="1">BD14+BD11</f>
        <v>0</v>
      </c>
      <c r="BE15" s="573">
        <f t="shared" ca="1" si="31"/>
        <v>0</v>
      </c>
      <c r="BF15" s="573">
        <f t="shared" ca="1" si="7"/>
        <v>-0.11119904983501781</v>
      </c>
      <c r="BH15" s="3431">
        <f ca="1">BH14+BH11</f>
        <v>0</v>
      </c>
      <c r="BI15" s="3431">
        <f ca="1">BI14+BI11</f>
        <v>0</v>
      </c>
      <c r="BJ15" s="3431">
        <f t="shared" ca="1" si="9"/>
        <v>0</v>
      </c>
      <c r="BL15" s="3445">
        <f t="shared" ca="1" si="10"/>
        <v>4.5657921887709563E-15</v>
      </c>
      <c r="BM15" s="575"/>
      <c r="BN15" s="404"/>
      <c r="BO15" s="2759">
        <f t="shared" ref="BO15:DF15" ca="1" si="32">BO14+BO11</f>
        <v>7.8181605462939707</v>
      </c>
      <c r="BP15" s="2759">
        <f t="shared" ca="1" si="32"/>
        <v>5.1006166600990818E-3</v>
      </c>
      <c r="BQ15" s="2759">
        <f t="shared" ca="1" si="32"/>
        <v>5.8682081630780758E-2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7.8819432445848499</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t="s">
        <v>5</v>
      </c>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5.4540397821568511</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5.4540397821568511</v>
      </c>
      <c r="S17" s="582">
        <f t="shared" ref="S17:AJ18" ca="1" si="35">IFERROR(INDEX(INDIRECT($C17&amp;".Outputs["&amp;this.Year&amp;"]"), MATCH(S$5, INDIRECT($C17&amp;".Outputs[Vector]"), 0)), 0)</f>
        <v>-5.0494625667764526</v>
      </c>
      <c r="T17" s="582">
        <f t="shared" ca="1" si="35"/>
        <v>0</v>
      </c>
      <c r="U17" s="582">
        <f t="shared" ca="1" si="35"/>
        <v>0</v>
      </c>
      <c r="V17" s="582">
        <f t="shared" ca="1" si="35"/>
        <v>0</v>
      </c>
      <c r="W17" s="582">
        <f t="shared" ca="1" si="35"/>
        <v>-0.40457721538039892</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-5.4540397821568511</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8.2825533025333728E-2</v>
      </c>
      <c r="BP17" s="2759">
        <f t="shared" ca="1" si="39"/>
        <v>3.0586037482758164E-5</v>
      </c>
      <c r="BQ17" s="2759">
        <f t="shared" ca="1" si="39"/>
        <v>1.309373699857123E-3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8.4165492762673599E-2</v>
      </c>
    </row>
    <row r="18" spans="1:112" s="6" customFormat="1" ht="12.75" customHeight="1" outlineLevel="1">
      <c r="A18" s="598"/>
      <c r="B18" s="598"/>
      <c r="C18" s="578" t="s">
        <v>463</v>
      </c>
      <c r="D18" s="602" t="s">
        <v>464</v>
      </c>
      <c r="E18" s="602"/>
      <c r="G18" s="610">
        <f t="shared" ca="1" si="34"/>
        <v>0</v>
      </c>
      <c r="H18" s="610">
        <f t="shared" ca="1" si="34"/>
        <v>4.54</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4.54</v>
      </c>
      <c r="S18" s="611">
        <f t="shared" ca="1" si="35"/>
        <v>-4.048</v>
      </c>
      <c r="T18" s="611">
        <f t="shared" ca="1" si="35"/>
        <v>0</v>
      </c>
      <c r="U18" s="611">
        <f t="shared" ca="1" si="35"/>
        <v>0</v>
      </c>
      <c r="V18" s="611">
        <f t="shared" ca="1" si="35"/>
        <v>0</v>
      </c>
      <c r="W18" s="611">
        <f t="shared" ca="1" si="35"/>
        <v>-0.49199999999999999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-4.54</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0.10072283039999999</v>
      </c>
      <c r="BP18" s="2761">
        <f t="shared" ca="1" si="39"/>
        <v>3.7195200000000006E-5</v>
      </c>
      <c r="BQ18" s="2761">
        <f t="shared" ca="1" si="39"/>
        <v>1.5923088E-3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0.10235233439999999</v>
      </c>
    </row>
    <row r="19" spans="1:112" s="6" customFormat="1" ht="15.5">
      <c r="A19" s="4"/>
      <c r="B19" s="3"/>
      <c r="C19" s="607" t="s">
        <v>465</v>
      </c>
      <c r="D19" s="608" t="s">
        <v>82</v>
      </c>
      <c r="E19" s="201"/>
      <c r="G19" s="609">
        <f ca="1">G17+G18</f>
        <v>0</v>
      </c>
      <c r="H19" s="609">
        <f t="shared" ref="H19:P19" ca="1" si="43">H17+H18</f>
        <v>9.9940397821568503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9.9940397821568503</v>
      </c>
      <c r="S19" s="572">
        <f ca="1">S17+S18</f>
        <v>-9.0974625667764535</v>
      </c>
      <c r="T19" s="572">
        <f t="shared" ref="T19:AJ19" ca="1" si="44">T17+T18</f>
        <v>0</v>
      </c>
      <c r="U19" s="572">
        <f t="shared" ca="1" si="44"/>
        <v>0</v>
      </c>
      <c r="V19" s="572">
        <f t="shared" ca="1" si="44"/>
        <v>0</v>
      </c>
      <c r="W19" s="572">
        <f t="shared" ca="1" si="44"/>
        <v>-0.89657721538039892</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-9.9940397821568521</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0.1835483634253337</v>
      </c>
      <c r="BP19" s="2759">
        <f t="shared" ca="1" si="46"/>
        <v>6.778123748275817E-5</v>
      </c>
      <c r="BQ19" s="2759">
        <f t="shared" ca="1" si="46"/>
        <v>2.9016824998571228E-3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0.18651782716267357</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25.990000000000002</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25.990000000000002</v>
      </c>
      <c r="S21" s="611">
        <f t="shared" ref="S21:AJ21" ca="1" si="48">IFERROR(INDEX(INDIRECT($C21&amp;".Outputs["&amp;this.Year&amp;"]"), MATCH(S$5, INDIRECT($C21&amp;".Outputs[Vector]"), 0)), 0)</f>
        <v>-9.2899999999999991</v>
      </c>
      <c r="T21" s="611">
        <f t="shared" ca="1" si="48"/>
        <v>0</v>
      </c>
      <c r="U21" s="611">
        <f t="shared" ca="1" si="48"/>
        <v>-3.11</v>
      </c>
      <c r="V21" s="611">
        <f t="shared" ca="1" si="48"/>
        <v>-6.35</v>
      </c>
      <c r="W21" s="611">
        <f t="shared" ca="1" si="48"/>
        <v>-7.2399999999999993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-25.99</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3.5527136788005009E-15</v>
      </c>
      <c r="BM21" s="601"/>
      <c r="BN21" s="404"/>
      <c r="BO21" s="2760">
        <f t="shared" ref="BO21:DF21" ca="1" si="51">IFERROR(SUMIFS(INDIRECT($C21&amp;".Emissions["&amp;this.Year&amp;"]"), INDIRECT($C21&amp;".Emissions[GHG]"), BO$6, INDIRECT($C21&amp;".Emissions[IPCC Sector]"), BO$5),0)</f>
        <v>4.2078251519999998</v>
      </c>
      <c r="BP21" s="2761">
        <f t="shared" ca="1" si="51"/>
        <v>2.1521051999999997E-3</v>
      </c>
      <c r="BQ21" s="2761">
        <f t="shared" ca="1" si="51"/>
        <v>2.9418875999999997E-2</v>
      </c>
      <c r="BR21" s="2761">
        <f t="shared" ca="1" si="51"/>
        <v>0</v>
      </c>
      <c r="BS21" s="2761">
        <f t="shared" ca="1" si="51"/>
        <v>0</v>
      </c>
      <c r="BT21" s="2761">
        <f t="shared" ca="1" si="51"/>
        <v>0</v>
      </c>
      <c r="BU21" s="2761">
        <f t="shared" ca="1" si="51"/>
        <v>0</v>
      </c>
      <c r="BV21" s="2761">
        <f t="shared" ca="1" si="51"/>
        <v>0</v>
      </c>
      <c r="BW21" s="2761">
        <f t="shared" ca="1" si="51"/>
        <v>1.11175</v>
      </c>
      <c r="BX21" s="2761">
        <f t="shared" ca="1" si="51"/>
        <v>0</v>
      </c>
      <c r="BY21" s="2761">
        <f t="shared" ca="1" si="51"/>
        <v>0</v>
      </c>
      <c r="BZ21" s="2761">
        <f t="shared" ca="1" si="51"/>
        <v>1.12416</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6.4753061332000001</v>
      </c>
    </row>
    <row r="22" spans="1:112" s="6" customFormat="1" ht="15.5">
      <c r="A22" s="4"/>
      <c r="B22" s="3"/>
      <c r="C22" s="607" t="s">
        <v>468</v>
      </c>
      <c r="D22" s="608" t="s">
        <v>359</v>
      </c>
      <c r="E22" s="201"/>
      <c r="G22" s="609">
        <f ca="1">G21</f>
        <v>0</v>
      </c>
      <c r="H22" s="609">
        <f t="shared" ref="H22:P22" ca="1" si="52">H21</f>
        <v>0</v>
      </c>
      <c r="I22" s="609">
        <f t="shared" ca="1" si="52"/>
        <v>25.990000000000002</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25.990000000000002</v>
      </c>
      <c r="S22" s="572">
        <f t="shared" ref="S22:AJ22" ca="1" si="53">S21</f>
        <v>-9.2899999999999991</v>
      </c>
      <c r="T22" s="572">
        <f t="shared" ca="1" si="53"/>
        <v>0</v>
      </c>
      <c r="U22" s="572">
        <f t="shared" ca="1" si="53"/>
        <v>-3.11</v>
      </c>
      <c r="V22" s="572">
        <f t="shared" ca="1" si="53"/>
        <v>-6.35</v>
      </c>
      <c r="W22" s="572">
        <f t="shared" ca="1" si="53"/>
        <v>-7.2399999999999993</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-25.99</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3.5527136788005009E-15</v>
      </c>
      <c r="BM22" s="575"/>
      <c r="BN22" s="404"/>
      <c r="BO22" s="2759">
        <f t="shared" ref="BO22:DF22" ca="1" si="55">BO21</f>
        <v>4.2078251519999998</v>
      </c>
      <c r="BP22" s="2759">
        <f t="shared" ca="1" si="55"/>
        <v>2.1521051999999997E-3</v>
      </c>
      <c r="BQ22" s="2759">
        <f t="shared" ca="1" si="55"/>
        <v>2.9418875999999997E-2</v>
      </c>
      <c r="BR22" s="2759">
        <f t="shared" ca="1" si="55"/>
        <v>0</v>
      </c>
      <c r="BS22" s="2759">
        <f t="shared" ca="1" si="55"/>
        <v>0</v>
      </c>
      <c r="BT22" s="2759">
        <f t="shared" ca="1" si="55"/>
        <v>0</v>
      </c>
      <c r="BU22" s="2759">
        <f t="shared" ca="1" si="55"/>
        <v>0</v>
      </c>
      <c r="BV22" s="2759">
        <f t="shared" ca="1" si="55"/>
        <v>0</v>
      </c>
      <c r="BW22" s="2759">
        <f t="shared" ca="1" si="55"/>
        <v>1.11175</v>
      </c>
      <c r="BX22" s="2759">
        <f t="shared" ca="1" si="55"/>
        <v>0</v>
      </c>
      <c r="BY22" s="2759">
        <f t="shared" ca="1" si="55"/>
        <v>0</v>
      </c>
      <c r="BZ22" s="2759">
        <f t="shared" ca="1" si="55"/>
        <v>1.12416</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6.4753061332000001</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23.346450229689417</v>
      </c>
      <c r="K24" s="580">
        <f t="shared" ca="1" si="56"/>
        <v>0.48659756774139867</v>
      </c>
      <c r="L24" s="580">
        <f t="shared" ca="1" si="56"/>
        <v>2.7179785187540276E-2</v>
      </c>
      <c r="M24" s="580">
        <f t="shared" ca="1" si="56"/>
        <v>0</v>
      </c>
      <c r="N24" s="580">
        <f t="shared" ca="1" si="56"/>
        <v>0</v>
      </c>
      <c r="O24" s="580">
        <f t="shared" ca="1" si="56"/>
        <v>0</v>
      </c>
      <c r="P24" s="580">
        <f t="shared" ca="1" si="56"/>
        <v>0</v>
      </c>
      <c r="Q24" s="581">
        <f t="shared" ref="Q24:Q32" ca="1" si="57">SUM(G24:P24)</f>
        <v>23.860227582618357</v>
      </c>
      <c r="S24" s="582">
        <f t="shared" ref="S24:AJ30" ca="1" si="58">IFERROR(INDEX(INDIRECT($C24&amp;".Outputs["&amp;this.Year&amp;"]"), MATCH(S$5, INDIRECT($C24&amp;".Outputs[Vector]"), 0)), 0)</f>
        <v>-7.2483297329708235E-2</v>
      </c>
      <c r="T24" s="582">
        <f t="shared" ca="1" si="58"/>
        <v>0</v>
      </c>
      <c r="U24" s="582">
        <f t="shared" ca="1" si="58"/>
        <v>0</v>
      </c>
      <c r="V24" s="582">
        <f t="shared" ca="1" si="58"/>
        <v>-23.78774428528865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-23.860227582618357</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6.2771099620019672</v>
      </c>
      <c r="BP24" s="2759">
        <f t="shared" ca="1" si="66"/>
        <v>5.3950604039034664E-3</v>
      </c>
      <c r="BQ24" s="2759">
        <f t="shared" ca="1" si="66"/>
        <v>1.5928273573429279E-2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6.2984332959792999</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15.592464250700001</v>
      </c>
      <c r="K25" s="580">
        <f t="shared" ca="1" si="56"/>
        <v>4.932677048691326E-3</v>
      </c>
      <c r="L25" s="580">
        <f t="shared" ca="1" si="56"/>
        <v>0</v>
      </c>
      <c r="M25" s="580">
        <f t="shared" ca="1" si="56"/>
        <v>0.66</v>
      </c>
      <c r="N25" s="580">
        <f t="shared" ca="1" si="56"/>
        <v>0</v>
      </c>
      <c r="O25" s="580">
        <f t="shared" ca="1" si="56"/>
        <v>0</v>
      </c>
      <c r="P25" s="580">
        <f t="shared" ca="1" si="56"/>
        <v>0</v>
      </c>
      <c r="Q25" s="581">
        <f t="shared" ca="1" si="57"/>
        <v>16.25739692774869</v>
      </c>
      <c r="S25" s="582">
        <f t="shared" ca="1" si="58"/>
        <v>0</v>
      </c>
      <c r="T25" s="582">
        <f t="shared" ca="1" si="58"/>
        <v>0</v>
      </c>
      <c r="U25" s="582">
        <f t="shared" ca="1" si="58"/>
        <v>0</v>
      </c>
      <c r="V25" s="582">
        <f t="shared" ca="1" si="58"/>
        <v>-16.25739692774869</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-16.25739692774869</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0</v>
      </c>
      <c r="BM25" s="601"/>
      <c r="BN25" s="404"/>
      <c r="BO25" s="2758">
        <f t="shared" ca="1" si="66"/>
        <v>2.9706019012943239</v>
      </c>
      <c r="BP25" s="2759">
        <f t="shared" ca="1" si="66"/>
        <v>2.553177623213403E-3</v>
      </c>
      <c r="BQ25" s="2759">
        <f t="shared" ca="1" si="66"/>
        <v>7.5379529828205234E-3</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2.9806930319003575</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7.02</v>
      </c>
      <c r="O26" s="580">
        <f t="shared" ca="1" si="56"/>
        <v>0</v>
      </c>
      <c r="P26" s="580">
        <f t="shared" ca="1" si="56"/>
        <v>0</v>
      </c>
      <c r="Q26" s="581">
        <f t="shared" ca="1" si="57"/>
        <v>7.02</v>
      </c>
      <c r="S26" s="582">
        <f t="shared" ca="1" si="58"/>
        <v>0</v>
      </c>
      <c r="T26" s="582">
        <f t="shared" ca="1" si="58"/>
        <v>0</v>
      </c>
      <c r="U26" s="582">
        <f t="shared" ca="1" si="58"/>
        <v>0</v>
      </c>
      <c r="V26" s="582">
        <f t="shared" ca="1" si="58"/>
        <v>-7.02</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-7.02</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1.8524375999999996</v>
      </c>
      <c r="CV26" s="2759">
        <f t="shared" ca="1" si="69"/>
        <v>1.5921360000000001E-3</v>
      </c>
      <c r="CW26" s="2759">
        <f t="shared" ca="1" si="69"/>
        <v>4.700592E-3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1.8587303279999996</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7.02</v>
      </c>
      <c r="O28" s="581">
        <f ca="1">SUM(O26:O27)</f>
        <v>0</v>
      </c>
      <c r="P28" s="581">
        <f t="shared" ca="1" si="70"/>
        <v>0</v>
      </c>
      <c r="Q28" s="581">
        <f t="shared" ca="1" si="57"/>
        <v>7.02</v>
      </c>
      <c r="S28" s="583">
        <f t="shared" ref="S28:AJ28" ca="1" si="71">SUM(S26:S27)</f>
        <v>0</v>
      </c>
      <c r="T28" s="583">
        <f t="shared" ca="1" si="71"/>
        <v>0</v>
      </c>
      <c r="U28" s="583">
        <f t="shared" ca="1" si="71"/>
        <v>0</v>
      </c>
      <c r="V28" s="583">
        <f t="shared" ca="1" si="71"/>
        <v>-7.02</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-7.02</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1.8524375999999996</v>
      </c>
      <c r="CV28" s="2759">
        <f t="shared" ca="1" si="73"/>
        <v>1.5921360000000001E-3</v>
      </c>
      <c r="CW28" s="2759">
        <f t="shared" ca="1" si="73"/>
        <v>4.700592E-3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1.8587303279999996</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38.938914480389414</v>
      </c>
      <c r="K32" s="609">
        <f t="shared" ca="1" si="85"/>
        <v>0.49153024479009</v>
      </c>
      <c r="L32" s="609">
        <f t="shared" ca="1" si="85"/>
        <v>2.7179785187540276E-2</v>
      </c>
      <c r="M32" s="609">
        <f t="shared" ca="1" si="85"/>
        <v>0.66</v>
      </c>
      <c r="N32" s="609">
        <f t="shared" ca="1" si="85"/>
        <v>7.02</v>
      </c>
      <c r="O32" s="609">
        <f t="shared" ca="1" si="85"/>
        <v>0</v>
      </c>
      <c r="P32" s="609">
        <f t="shared" ca="1" si="85"/>
        <v>0</v>
      </c>
      <c r="Q32" s="609">
        <f t="shared" ca="1" si="57"/>
        <v>47.137624510367047</v>
      </c>
      <c r="S32" s="572">
        <f t="shared" ref="S32:AJ32" ca="1" si="86">S24+S25+S28+S31</f>
        <v>-7.2483297329708235E-2</v>
      </c>
      <c r="T32" s="572">
        <f t="shared" ca="1" si="86"/>
        <v>0</v>
      </c>
      <c r="U32" s="572">
        <f t="shared" ca="1" si="86"/>
        <v>0</v>
      </c>
      <c r="V32" s="572">
        <f t="shared" ca="1" si="86"/>
        <v>-47.065141213037336</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-47.137624510367047</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9.247711863296292</v>
      </c>
      <c r="BP32" s="2759">
        <f t="shared" ca="1" si="88"/>
        <v>7.9482380271168693E-3</v>
      </c>
      <c r="BQ32" s="2759">
        <f t="shared" ca="1" si="88"/>
        <v>2.3466226556249803E-2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1.8524375999999996</v>
      </c>
      <c r="CV32" s="2759">
        <f t="shared" ca="1" si="88"/>
        <v>1.5921360000000001E-3</v>
      </c>
      <c r="CW32" s="2759">
        <f t="shared" ca="1" si="88"/>
        <v>4.700592E-3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11.137856655879659</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37.580937210387134</v>
      </c>
      <c r="H40" s="624">
        <f t="shared" ca="1" si="107"/>
        <v>9.9940397821568503</v>
      </c>
      <c r="I40" s="624">
        <f t="shared" ca="1" si="107"/>
        <v>25.990000000000002</v>
      </c>
      <c r="J40" s="624">
        <f t="shared" ca="1" si="107"/>
        <v>38.938914480389414</v>
      </c>
      <c r="K40" s="624">
        <f t="shared" ca="1" si="107"/>
        <v>0.49153024479009</v>
      </c>
      <c r="L40" s="624">
        <f t="shared" ca="1" si="107"/>
        <v>2.7179785187540276E-2</v>
      </c>
      <c r="M40" s="624">
        <f t="shared" ca="1" si="107"/>
        <v>0.66</v>
      </c>
      <c r="N40" s="624">
        <f t="shared" ca="1" si="107"/>
        <v>7.02</v>
      </c>
      <c r="O40" s="624">
        <f t="shared" ca="1" si="107"/>
        <v>0</v>
      </c>
      <c r="P40" s="624">
        <f t="shared" ca="1" si="107"/>
        <v>0</v>
      </c>
      <c r="Q40" s="624">
        <f t="shared" ca="1" si="107"/>
        <v>120.70260150291104</v>
      </c>
      <c r="S40" s="625">
        <f t="shared" ref="S40:AJ40" ca="1" si="108">S$15+S$19+S$22+S$32+S$35+S$38</f>
        <v>-23.244760242191472</v>
      </c>
      <c r="T40" s="625">
        <f t="shared" ca="1" si="108"/>
        <v>0</v>
      </c>
      <c r="U40" s="625">
        <f t="shared" ca="1" si="108"/>
        <v>-3.851862700230031</v>
      </c>
      <c r="V40" s="625">
        <f ca="1">V$15+V$19+V$22+V$32+V$35+V$38</f>
        <v>-70.938723340520397</v>
      </c>
      <c r="W40" s="625">
        <f t="shared" ca="1" si="108"/>
        <v>-22.515001282705125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-4.1054887428987621E-2</v>
      </c>
      <c r="AJ40" s="625">
        <f t="shared" ca="1" si="108"/>
        <v>0</v>
      </c>
      <c r="AK40" s="625">
        <f ca="1">SUM(S40:AJ40)</f>
        <v>-120.59140245307601</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-0.11119904983501781</v>
      </c>
      <c r="BD40" s="626">
        <f t="shared" ca="1" si="109"/>
        <v>0</v>
      </c>
      <c r="BE40" s="626">
        <f t="shared" ca="1" si="109"/>
        <v>0</v>
      </c>
      <c r="BF40" s="626">
        <f ca="1">SUM(AM40:BE40)</f>
        <v>-0.11119904983501781</v>
      </c>
      <c r="BH40" s="3432">
        <f ca="1">BH$15+BH$19+BH$22+BH$32+BH$35+BH$38</f>
        <v>0</v>
      </c>
      <c r="BI40" s="3432">
        <f ca="1">BI$15+BI$19+BI$22+BI$32+BI$35+BI$38</f>
        <v>0</v>
      </c>
      <c r="BJ40" s="3432">
        <f ca="1">SUM(BH40:BI40)</f>
        <v>0</v>
      </c>
      <c r="BL40" s="3446">
        <f t="shared" ca="1" si="10"/>
        <v>4.5657921887709563E-15</v>
      </c>
      <c r="BM40" s="627"/>
      <c r="BO40" s="2762">
        <f t="shared" ref="BO40:DF40" ca="1" si="110">BO$15+BO$19+BO$22+BO$32+BO$35+BO$38</f>
        <v>21.457245925015599</v>
      </c>
      <c r="BP40" s="2762">
        <f t="shared" ca="1" si="110"/>
        <v>1.5268741124698709E-2</v>
      </c>
      <c r="BQ40" s="2762">
        <f t="shared" ca="1" si="110"/>
        <v>0.11446886668688769</v>
      </c>
      <c r="BR40" s="2762">
        <f t="shared" ca="1" si="110"/>
        <v>0</v>
      </c>
      <c r="BS40" s="2762">
        <f t="shared" ca="1" si="110"/>
        <v>0</v>
      </c>
      <c r="BT40" s="2762">
        <f t="shared" ca="1" si="110"/>
        <v>0</v>
      </c>
      <c r="BU40" s="2762">
        <f t="shared" ca="1" si="110"/>
        <v>0</v>
      </c>
      <c r="BV40" s="2762">
        <f t="shared" ca="1" si="110"/>
        <v>0</v>
      </c>
      <c r="BW40" s="2762">
        <f t="shared" ca="1" si="110"/>
        <v>1.11175</v>
      </c>
      <c r="BX40" s="2762">
        <f t="shared" ca="1" si="110"/>
        <v>0</v>
      </c>
      <c r="BY40" s="2762">
        <f t="shared" ca="1" si="110"/>
        <v>0</v>
      </c>
      <c r="BZ40" s="2762">
        <f t="shared" ca="1" si="110"/>
        <v>1.12416</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1.8524375999999996</v>
      </c>
      <c r="CV40" s="2762">
        <f t="shared" ca="1" si="110"/>
        <v>1.5921360000000001E-3</v>
      </c>
      <c r="CW40" s="2762">
        <f t="shared" ca="1" si="110"/>
        <v>4.700592E-3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25.681623860827184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6.3749380800000005E-2</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9.7224220170000014E-2</v>
      </c>
      <c r="AG49" s="582">
        <f t="shared" ca="1" si="122"/>
        <v>4.2000000000000002E-4</v>
      </c>
      <c r="AH49" s="582">
        <f t="shared" ca="1" si="122"/>
        <v>0.15107025941422586</v>
      </c>
      <c r="AI49" s="582">
        <f t="shared" ca="1" si="122"/>
        <v>0</v>
      </c>
      <c r="AJ49" s="582">
        <f t="shared" ca="1" si="122"/>
        <v>0</v>
      </c>
      <c r="AK49" s="583">
        <f ca="1">SUM(S49:AJ49)</f>
        <v>0.31246386038422591</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-0.31246386038422586</v>
      </c>
      <c r="BF49" s="600">
        <f ca="1">SUM(AM49:BE49)</f>
        <v>-0.31246386038422586</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1.1527575749999999</v>
      </c>
      <c r="CO49" s="2759">
        <f t="shared" ca="1" si="129"/>
        <v>5.3541428571428566E-2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1.2062990035714285</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2.6100000000000003</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2.6100000000000003</v>
      </c>
      <c r="S50" s="611">
        <f t="shared" ref="S50:AJ50" ca="1" si="132">IFERROR(INDEX(INDIRECT($C50&amp;".Outputs["&amp;this.Year&amp;"]"), MATCH(S$5, INDIRECT($C50&amp;".Outputs[Vector]"), 0)), 0)</f>
        <v>-0.54810000000000003</v>
      </c>
      <c r="T50" s="611">
        <f t="shared" ca="1" si="132"/>
        <v>0</v>
      </c>
      <c r="U50" s="611">
        <f t="shared" ca="1" si="132"/>
        <v>0</v>
      </c>
      <c r="V50" s="611">
        <f t="shared" ca="1" si="132"/>
        <v>-2.0619000000000005</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0.16958333333333334</v>
      </c>
      <c r="AE50" s="611">
        <f t="shared" ca="1" si="132"/>
        <v>0.14350000000000002</v>
      </c>
      <c r="AF50" s="611">
        <f t="shared" ca="1" si="132"/>
        <v>1.0085478000000001</v>
      </c>
      <c r="AG50" s="611">
        <f t="shared" ca="1" si="132"/>
        <v>2.5890605833333333E-2</v>
      </c>
      <c r="AH50" s="611">
        <f t="shared" ca="1" si="132"/>
        <v>0</v>
      </c>
      <c r="AI50" s="611">
        <f t="shared" ca="1" si="132"/>
        <v>0</v>
      </c>
      <c r="AJ50" s="611">
        <f t="shared" ca="1" si="132"/>
        <v>0</v>
      </c>
      <c r="AK50" s="604">
        <f ca="1">SUM(S50:AJ50)</f>
        <v>-1.2624782608333338</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-0.31308333333333338</v>
      </c>
      <c r="BE50" s="612">
        <f t="shared" ca="1" si="133"/>
        <v>-1.0344384058333334</v>
      </c>
      <c r="BF50" s="606">
        <f ca="1">SUM(AM50:BE50)</f>
        <v>-1.3475217391666667</v>
      </c>
      <c r="BH50" s="3441">
        <f t="shared" ca="1" si="126"/>
        <v>0</v>
      </c>
      <c r="BI50" s="3441">
        <f t="shared" ca="1" si="126"/>
        <v>0</v>
      </c>
      <c r="BJ50" s="3430">
        <f ca="1">SUM(BH50:BI50)</f>
        <v>0</v>
      </c>
      <c r="BL50" s="601">
        <f ca="1">Q50+AK50+BF50+BJ50</f>
        <v>-2.2204460492503131E-16</v>
      </c>
      <c r="BM50" s="601"/>
      <c r="BN50" s="404"/>
      <c r="BO50" s="2760">
        <f t="shared" ca="1" si="127"/>
        <v>0.54409417199999999</v>
      </c>
      <c r="BP50" s="2761">
        <f t="shared" ca="1" si="127"/>
        <v>4.6763892000000016E-4</v>
      </c>
      <c r="BQ50" s="2761">
        <f t="shared" ca="1" si="127"/>
        <v>1.3806482400000003E-3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10.905407357203993</v>
      </c>
      <c r="CG50" s="2761">
        <f t="shared" ca="1" si="128"/>
        <v>6.11327</v>
      </c>
      <c r="CH50" s="2761">
        <f t="shared" ca="1" si="128"/>
        <v>0</v>
      </c>
      <c r="CI50" s="2761">
        <f t="shared" ca="1" si="129"/>
        <v>3.7122100000000002</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21.276829816363993</v>
      </c>
    </row>
    <row r="51" spans="1:112" s="6" customFormat="1" ht="15.5">
      <c r="A51" s="4"/>
      <c r="B51" s="3"/>
      <c r="C51" s="607" t="s">
        <v>503</v>
      </c>
      <c r="D51" s="608" t="s">
        <v>504</v>
      </c>
      <c r="E51" s="201"/>
      <c r="G51" s="609">
        <f ca="1">SUM(G48:G50)</f>
        <v>0</v>
      </c>
      <c r="H51" s="609">
        <f t="shared" ref="H51:P51" ca="1" si="134">SUM(H48:H50)</f>
        <v>0</v>
      </c>
      <c r="I51" s="609">
        <f t="shared" ca="1" si="134"/>
        <v>2.6100000000000003</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2.6100000000000003</v>
      </c>
      <c r="S51" s="572">
        <f t="shared" ref="S51:AJ51" ca="1" si="135">SUM(S48:S50)</f>
        <v>-0.54810000000000003</v>
      </c>
      <c r="T51" s="572">
        <f t="shared" ca="1" si="135"/>
        <v>0</v>
      </c>
      <c r="U51" s="572">
        <f t="shared" ca="1" si="135"/>
        <v>0</v>
      </c>
      <c r="V51" s="572">
        <f t="shared" ca="1" si="135"/>
        <v>-2.0619000000000005</v>
      </c>
      <c r="W51" s="572">
        <f t="shared" ca="1" si="135"/>
        <v>0</v>
      </c>
      <c r="X51" s="572">
        <f t="shared" ca="1" si="135"/>
        <v>6.3749380800000005E-2</v>
      </c>
      <c r="Y51" s="572">
        <f t="shared" ca="1" si="135"/>
        <v>0</v>
      </c>
      <c r="Z51" s="572">
        <f t="shared" ca="1" si="135"/>
        <v>0</v>
      </c>
      <c r="AA51" s="572">
        <f t="shared" ca="1" si="135"/>
        <v>0</v>
      </c>
      <c r="AB51" s="572">
        <f t="shared" ca="1" si="135"/>
        <v>0</v>
      </c>
      <c r="AC51" s="572">
        <f t="shared" ca="1" si="135"/>
        <v>0</v>
      </c>
      <c r="AD51" s="572">
        <f t="shared" ca="1" si="135"/>
        <v>0.16958333333333334</v>
      </c>
      <c r="AE51" s="572">
        <f ca="1">SUM(AE48:AE50)</f>
        <v>0.14350000000000002</v>
      </c>
      <c r="AF51" s="572">
        <f t="shared" ca="1" si="135"/>
        <v>1.1057720201700001</v>
      </c>
      <c r="AG51" s="572">
        <f t="shared" ca="1" si="135"/>
        <v>2.6310605833333334E-2</v>
      </c>
      <c r="AH51" s="572">
        <f ca="1">SUM(AH48:AH50)</f>
        <v>0.15107025941422586</v>
      </c>
      <c r="AI51" s="572">
        <f t="shared" ca="1" si="135"/>
        <v>0</v>
      </c>
      <c r="AJ51" s="572">
        <f t="shared" ca="1" si="135"/>
        <v>0</v>
      </c>
      <c r="AK51" s="572">
        <f ca="1">SUM(S51:AJ51)</f>
        <v>-0.95001440044910779</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-0.31308333333333338</v>
      </c>
      <c r="BE51" s="573">
        <f t="shared" ca="1" si="136"/>
        <v>-1.3469022662175592</v>
      </c>
      <c r="BF51" s="573">
        <f ca="1">SUM(AM51:BE51)</f>
        <v>-1.6599855995508925</v>
      </c>
      <c r="BH51" s="3431">
        <f ca="1">SUM(BH48:BH50)</f>
        <v>0</v>
      </c>
      <c r="BI51" s="3431">
        <f ca="1">SUM(BI48:BI50)</f>
        <v>0</v>
      </c>
      <c r="BJ51" s="3431">
        <f ca="1">SUM(BH51:BI51)</f>
        <v>0</v>
      </c>
      <c r="BL51" s="3445">
        <f ca="1">Q51+AK51+BF51+BJ51</f>
        <v>0</v>
      </c>
      <c r="BM51" s="575"/>
      <c r="BN51" s="404"/>
      <c r="BO51" s="2759">
        <f t="shared" ref="BO51:DF51" ca="1" si="137">SUM(BO48:BO50)</f>
        <v>0.54409417199999999</v>
      </c>
      <c r="BP51" s="2759">
        <f t="shared" ca="1" si="137"/>
        <v>4.6763892000000016E-4</v>
      </c>
      <c r="BQ51" s="2759">
        <f t="shared" ca="1" si="137"/>
        <v>1.3806482400000003E-3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10.905407357203993</v>
      </c>
      <c r="CG51" s="2759">
        <f t="shared" ca="1" si="137"/>
        <v>6.11327</v>
      </c>
      <c r="CH51" s="2759">
        <f t="shared" ca="1" si="137"/>
        <v>0</v>
      </c>
      <c r="CI51" s="2759">
        <f t="shared" ca="1" si="137"/>
        <v>3.7122100000000002</v>
      </c>
      <c r="CJ51" s="2759">
        <f t="shared" ca="1" si="137"/>
        <v>0</v>
      </c>
      <c r="CK51" s="2759">
        <f t="shared" ca="1" si="137"/>
        <v>0</v>
      </c>
      <c r="CL51" s="2759">
        <f t="shared" ca="1" si="137"/>
        <v>0</v>
      </c>
      <c r="CM51" s="2759">
        <f t="shared" ca="1" si="137"/>
        <v>0</v>
      </c>
      <c r="CN51" s="2759">
        <f t="shared" ca="1" si="137"/>
        <v>1.1527575749999999</v>
      </c>
      <c r="CO51" s="2759">
        <f t="shared" ca="1" si="137"/>
        <v>5.3541428571428566E-2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22.48312881993542</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7.5543224779012222E-2</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7.5543224779012222E-2</v>
      </c>
      <c r="S54" s="611">
        <f t="shared" ca="1" si="139"/>
        <v>-6.6380393902542884E-2</v>
      </c>
      <c r="T54" s="611">
        <f t="shared" ca="1" si="139"/>
        <v>0</v>
      </c>
      <c r="U54" s="611">
        <f t="shared" ca="1" si="139"/>
        <v>-3.0179240072394542E-3</v>
      </c>
      <c r="V54" s="611">
        <f t="shared" ca="1" si="139"/>
        <v>0</v>
      </c>
      <c r="W54" s="611">
        <f t="shared" ca="1" si="139"/>
        <v>-6.1449068692298924E-3</v>
      </c>
      <c r="X54" s="611">
        <f t="shared" ca="1" si="140"/>
        <v>8.4</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8.3244567752209875</v>
      </c>
      <c r="AM54" s="612">
        <f t="shared" ca="1" si="141"/>
        <v>-8.4</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-8.4</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7.5543224779012222E-2</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7.5543224779012222E-2</v>
      </c>
      <c r="S55" s="572">
        <f t="shared" ref="S55:AJ55" ca="1" si="148">SUM(S53:S54)</f>
        <v>-0.29236849872616316</v>
      </c>
      <c r="T55" s="572">
        <f t="shared" ca="1" si="148"/>
        <v>0</v>
      </c>
      <c r="U55" s="572">
        <f t="shared" ca="1" si="148"/>
        <v>-3.0179240072394542E-3</v>
      </c>
      <c r="V55" s="572">
        <f t="shared" ca="1" si="148"/>
        <v>-1.8522858135888711</v>
      </c>
      <c r="W55" s="572">
        <f t="shared" ca="1" si="148"/>
        <v>-8.8546860117933751E-2</v>
      </c>
      <c r="X55" s="572">
        <f ca="1">SUM(X53:X54)</f>
        <v>8.4</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6.1372429038353742</v>
      </c>
      <c r="AM55" s="573">
        <f t="shared" ref="AM55:BE55" ca="1" si="149">SUM(AM53:AM54)</f>
        <v>-8.4</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-8.4</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4.4180640000000011</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4.4180640000000011</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-4.4180640000000011</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-4.4180640000000011</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8.3277000000000018E-2</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8.3277000000000018E-2</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-8.3277000000000018E-2</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-8.3277000000000018E-2</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0.74791511999999993</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0.74791511999999993</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-0.74791511999999993</v>
      </c>
      <c r="BC59" s="584">
        <f t="shared" ca="1" si="158"/>
        <v>0</v>
      </c>
      <c r="BD59" s="584">
        <f t="shared" ca="1" si="158"/>
        <v>0</v>
      </c>
      <c r="BE59" s="584">
        <f t="shared" ca="1" si="158"/>
        <v>0</v>
      </c>
      <c r="BF59" s="600">
        <f t="shared" ca="1" si="159"/>
        <v>-0.74791511999999993</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0</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0</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0</v>
      </c>
      <c r="BA60" s="584">
        <f t="shared" ca="1" si="158"/>
        <v>0</v>
      </c>
      <c r="BB60" s="584">
        <f t="shared" ca="1" si="158"/>
        <v>0</v>
      </c>
      <c r="BC60" s="584">
        <f t="shared" ca="1" si="158"/>
        <v>0</v>
      </c>
      <c r="BD60" s="584">
        <f t="shared" ca="1" si="158"/>
        <v>0</v>
      </c>
      <c r="BE60" s="584">
        <f t="shared" ca="1" si="158"/>
        <v>0</v>
      </c>
      <c r="BF60" s="600">
        <f t="shared" ca="1" si="159"/>
        <v>0</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5.249256120000001</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5.249256120000001</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-4.5013410000000009</v>
      </c>
      <c r="AY63" s="573">
        <f t="shared" ca="1" si="168"/>
        <v>0</v>
      </c>
      <c r="AZ63" s="573">
        <f t="shared" ca="1" si="168"/>
        <v>0</v>
      </c>
      <c r="BA63" s="573">
        <f t="shared" ca="1" si="168"/>
        <v>0</v>
      </c>
      <c r="BB63" s="573">
        <f t="shared" ca="1" si="168"/>
        <v>-0.74791511999999993</v>
      </c>
      <c r="BC63" s="573">
        <f t="shared" ca="1" si="168"/>
        <v>0</v>
      </c>
      <c r="BD63" s="573">
        <f t="shared" ca="1" si="168"/>
        <v>0</v>
      </c>
      <c r="BE63" s="573">
        <f t="shared" ca="1" si="168"/>
        <v>0</v>
      </c>
      <c r="BF63" s="573">
        <f t="shared" ca="1" si="159"/>
        <v>-5.249256120000001</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2.9324919592134012E-3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2.9324919592134012E-3</v>
      </c>
      <c r="S66" s="651">
        <f t="shared" ca="1" si="171"/>
        <v>-2.9324919592134012E-3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4.1054887428987621E-2</v>
      </c>
      <c r="AJ66" s="651">
        <f t="shared" ca="1" si="171"/>
        <v>0</v>
      </c>
      <c r="AK66" s="652">
        <f ca="1">SUM(S66:AJ66)</f>
        <v>3.8122395469774223E-2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-4.1054887428987621E-2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-4.1054887428987621E-2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2.9324919592134012E-3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2.9324919592134012E-3</v>
      </c>
      <c r="S68" s="572">
        <f t="shared" ref="S68:AJ68" ca="1" si="179">SUM(S65:S67)</f>
        <v>-2.9324919592134012E-3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4.1054887428987621E-2</v>
      </c>
      <c r="AJ68" s="572">
        <f t="shared" ca="1" si="179"/>
        <v>0</v>
      </c>
      <c r="AK68" s="572">
        <f ca="1">SUM(S68:AJ68)</f>
        <v>3.8122395469774223E-2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-4.1054887428987621E-2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-4.1054887428987621E-2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-24.08816123287685</v>
      </c>
      <c r="T74" s="662">
        <f ca="1">T$40+T$46+T$51+T$99+T$55+T$93+T$63+T$68+T$72</f>
        <v>4.3049471499030432</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-24.08816123287685</v>
      </c>
      <c r="T78" s="662">
        <f ca="1">T$74+T$76</f>
        <v>4.3049471499030432</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-24.08816123287685</v>
      </c>
      <c r="T80" s="636">
        <f ca="1">T78+T79</f>
        <v>4.3049471499030432</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19.783214082973807</v>
      </c>
      <c r="U81" s="611">
        <f t="shared" ca="1" si="207"/>
        <v>-20.691997156645641</v>
      </c>
      <c r="V81" s="611">
        <f t="shared" ca="1" si="207"/>
        <v>-2.6999280000000003</v>
      </c>
      <c r="W81" s="611">
        <f t="shared" ca="1" si="207"/>
        <v>-24.254439331469616</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-27.86315040514145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27.288845308813272</v>
      </c>
      <c r="BI81" s="3441">
        <f ca="1">IFERROR(INDEX(INDIRECT($C81&amp;".Outputs["&amp;this.Year&amp;"]"), MATCH(BI$5, INDIRECT($C81&amp;".Outputs[Vector]"), 0)), 0)</f>
        <v>0.57430509632817595</v>
      </c>
      <c r="BJ81" s="3430">
        <f ca="1">SUM(BH81:BI81)</f>
        <v>27.863150405141447</v>
      </c>
      <c r="BK81" s="6"/>
      <c r="BL81" s="601">
        <f t="shared" ca="1" si="191"/>
        <v>0</v>
      </c>
      <c r="BM81" s="601"/>
      <c r="BN81" s="404"/>
      <c r="BO81" s="2760">
        <f t="shared" ref="BO81:DF81" ca="1" si="210">IFERROR(SUMIFS(INDIRECT($C81&amp;".Emissions["&amp;this.Year&amp;"]"), INDIRECT($C81&amp;".Emissions[GHG]"), BO$6, INDIRECT($C81&amp;".Emissions[IPCC Sector]"), BO$5),0)</f>
        <v>13.01324075376653</v>
      </c>
      <c r="BP81" s="2761">
        <f t="shared" ca="1" si="210"/>
        <v>3.6505018223417594E-3</v>
      </c>
      <c r="BQ81" s="2761">
        <f t="shared" ca="1" si="210"/>
        <v>9.3005687095917361E-2</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13.10989694268479</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19.783214082973807</v>
      </c>
      <c r="U82" s="572">
        <f ca="1">U79+U81</f>
        <v>-20.691997156645641</v>
      </c>
      <c r="V82" s="572">
        <f t="shared" ca="1" si="212"/>
        <v>-2.6999280000000003</v>
      </c>
      <c r="W82" s="572">
        <f t="shared" ca="1" si="212"/>
        <v>-24.254439331469616</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-27.86315040514145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27.288845308813272</v>
      </c>
      <c r="BI82" s="3431">
        <f ca="1">BI79+BI81</f>
        <v>0.57430509632817595</v>
      </c>
      <c r="BJ82" s="3431">
        <f ca="1">SUM(BH82:BI82)</f>
        <v>27.863150405141447</v>
      </c>
      <c r="BL82" s="3445">
        <f t="shared" ca="1" si="191"/>
        <v>0</v>
      </c>
      <c r="BM82" s="575"/>
      <c r="BN82" s="404"/>
      <c r="BO82" s="2759">
        <f t="shared" ref="BO82:DF82" ca="1" si="214">BO79+BO81</f>
        <v>13.01324075376653</v>
      </c>
      <c r="BP82" s="2759">
        <f t="shared" ca="1" si="214"/>
        <v>3.6505018223417594E-3</v>
      </c>
      <c r="BQ82" s="2759">
        <f t="shared" ca="1" si="214"/>
        <v>9.3005687095917361E-2</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13.10989694268479</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2.9324919592134012E-3</v>
      </c>
      <c r="I84" s="671">
        <f t="shared" ca="1" si="215"/>
        <v>2.6855432247790127</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2.6884757167382261</v>
      </c>
      <c r="S84" s="625">
        <f t="shared" ref="S84:AJ84" ca="1" si="216">S$51+S$55+S$63+S$68+S$72+S$76+S$82+S$46</f>
        <v>-0.84340099068537666</v>
      </c>
      <c r="T84" s="625">
        <f t="shared" ca="1" si="216"/>
        <v>25.028679060156033</v>
      </c>
      <c r="U84" s="625">
        <f t="shared" ca="1" si="216"/>
        <v>-20.69501508065288</v>
      </c>
      <c r="V84" s="625">
        <f t="shared" ca="1" si="216"/>
        <v>-6.6141138135888724</v>
      </c>
      <c r="W84" s="625">
        <f t="shared" ca="1" si="216"/>
        <v>-24.342986191587549</v>
      </c>
      <c r="X84" s="625">
        <f t="shared" ca="1" si="216"/>
        <v>8.4637493807999995</v>
      </c>
      <c r="Y84" s="625">
        <f t="shared" ca="1" si="216"/>
        <v>0</v>
      </c>
      <c r="Z84" s="625">
        <f t="shared" ca="1" si="216"/>
        <v>0</v>
      </c>
      <c r="AA84" s="625">
        <f t="shared" ca="1" si="216"/>
        <v>0</v>
      </c>
      <c r="AB84" s="625">
        <f t="shared" ca="1" si="216"/>
        <v>0</v>
      </c>
      <c r="AC84" s="625">
        <f t="shared" ca="1" si="216"/>
        <v>0</v>
      </c>
      <c r="AD84" s="625">
        <f t="shared" ca="1" si="216"/>
        <v>0.16958333333333334</v>
      </c>
      <c r="AE84" s="625">
        <f t="shared" ca="1" si="216"/>
        <v>0.14350000000000002</v>
      </c>
      <c r="AF84" s="625">
        <f t="shared" ca="1" si="216"/>
        <v>1.1057720201700001</v>
      </c>
      <c r="AG84" s="625">
        <f ca="1">AG$51+AG$55+AG$63+AG$68+AG$72+AG$76+AG$82+AG$46</f>
        <v>2.6310605833333334E-2</v>
      </c>
      <c r="AH84" s="625">
        <f t="shared" ca="1" si="216"/>
        <v>0.15107025941422586</v>
      </c>
      <c r="AI84" s="625">
        <f t="shared" ca="1" si="216"/>
        <v>4.1054887428987621E-2</v>
      </c>
      <c r="AJ84" s="625">
        <f t="shared" ca="1" si="216"/>
        <v>0</v>
      </c>
      <c r="AK84" s="625">
        <f ca="1">SUM(S84:AJ84)</f>
        <v>-17.365796529378766</v>
      </c>
      <c r="AM84" s="626">
        <f t="shared" ref="AM84:BE84" ca="1" si="217">AM$51+AM$55+AM$63+AM$68+AM$72+AM$76+AM$82+AM$46</f>
        <v>-8.4</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-4.1054887428987621E-2</v>
      </c>
      <c r="AX84" s="626">
        <f t="shared" ca="1" si="217"/>
        <v>-4.5013410000000009</v>
      </c>
      <c r="AY84" s="626">
        <f t="shared" ca="1" si="217"/>
        <v>0</v>
      </c>
      <c r="AZ84" s="626">
        <f t="shared" ca="1" si="217"/>
        <v>0</v>
      </c>
      <c r="BA84" s="626">
        <f t="shared" ca="1" si="217"/>
        <v>0</v>
      </c>
      <c r="BB84" s="626">
        <f t="shared" ca="1" si="217"/>
        <v>-0.74791511999999993</v>
      </c>
      <c r="BC84" s="626">
        <f t="shared" ca="1" si="217"/>
        <v>0</v>
      </c>
      <c r="BD84" s="626">
        <f t="shared" ca="1" si="217"/>
        <v>-0.31308333333333338</v>
      </c>
      <c r="BE84" s="626">
        <f t="shared" ca="1" si="217"/>
        <v>-1.3469022662175592</v>
      </c>
      <c r="BF84" s="626">
        <f ca="1">SUM(AM84:BE84)</f>
        <v>-15.350296606979882</v>
      </c>
      <c r="BH84" s="3432">
        <f ca="1">BH$51+BH$55+BH$63+BH$68+BH$72+BH$76+BH$82+BH$46</f>
        <v>27.266098451906625</v>
      </c>
      <c r="BI84" s="3432">
        <f ca="1">BI$51+BI$55+BI$63+BI$68+BI$72+BI$76+BI$82+BI$46</f>
        <v>2.7615189677137906</v>
      </c>
      <c r="BJ84" s="3432">
        <f ca="1">SUM(BH84:BI84)</f>
        <v>30.027617419620416</v>
      </c>
      <c r="BL84" s="3446">
        <f t="shared" ca="1" si="191"/>
        <v>0</v>
      </c>
      <c r="BM84" s="627"/>
      <c r="BO84" s="2762">
        <f t="shared" ref="BO84:DE84" ca="1" si="218">BO$51+BO$55+BO$63+BO$68+BO$72+BO$76+BO$82+BO$46</f>
        <v>14.06298553300778</v>
      </c>
      <c r="BP84" s="2762">
        <f t="shared" ca="1" si="218"/>
        <v>4.5444687525293178E-3</v>
      </c>
      <c r="BQ84" s="2762">
        <f t="shared" ca="1" si="218"/>
        <v>9.5893311598190575E-2</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10.905407357203993</v>
      </c>
      <c r="CG84" s="2762">
        <f t="shared" ca="1" si="218"/>
        <v>6.11327</v>
      </c>
      <c r="CH84" s="2762">
        <f t="shared" ca="1" si="218"/>
        <v>0</v>
      </c>
      <c r="CI84" s="2762">
        <f t="shared" ca="1" si="218"/>
        <v>3.7122100000000002</v>
      </c>
      <c r="CJ84" s="2762">
        <f t="shared" ca="1" si="218"/>
        <v>0</v>
      </c>
      <c r="CK84" s="2762">
        <f t="shared" ca="1" si="218"/>
        <v>0</v>
      </c>
      <c r="CL84" s="2762">
        <f t="shared" ca="1" si="218"/>
        <v>0</v>
      </c>
      <c r="CM84" s="2762">
        <f t="shared" ca="1" si="218"/>
        <v>0</v>
      </c>
      <c r="CN84" s="2762">
        <f t="shared" ca="1" si="218"/>
        <v>1.1527575749999999</v>
      </c>
      <c r="CO84" s="2762">
        <f t="shared" ca="1" si="218"/>
        <v>5.3541428571428566E-2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36.100609674133921</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2.5</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2.5</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-2.5</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-24.085228740917636</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-3.4405178272791836</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-3.4405178272791836</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3.440517827279185</v>
      </c>
      <c r="BJ91" s="3428">
        <f ca="1">SUM(BH91:BI91)</f>
        <v>3.440517827279185</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-8.4854961814368857E-2</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-8.4854961814368857E-2</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5.091297708862131E-2</v>
      </c>
      <c r="BI92" s="3441">
        <f ca="1">IFERROR(INDEX(INDIRECT($C92&amp;".Outputs["&amp;this.Year&amp;"]"), MATCH(BI$5, INDIRECT($C92&amp;".Outputs[Vector]"), 0)), 0)</f>
        <v>3.3941984725747547E-2</v>
      </c>
      <c r="BJ92" s="3430">
        <f ca="1">SUM(BH92:BI92)</f>
        <v>8.4854961814368857E-2</v>
      </c>
      <c r="BK92" s="6"/>
      <c r="BL92" s="645">
        <f t="shared" ca="1" si="223"/>
        <v>0</v>
      </c>
      <c r="BM92" s="601"/>
      <c r="BO92" s="2760">
        <f t="shared" ca="1" si="230"/>
        <v>1.737160960859177E-2</v>
      </c>
      <c r="BP92" s="2761">
        <f t="shared" ca="1" si="230"/>
        <v>6.4150351131662863E-6</v>
      </c>
      <c r="BQ92" s="2761">
        <f t="shared" ca="1" si="230"/>
        <v>2.7462459841602339E-4</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-0.94051782727918365</v>
      </c>
      <c r="U93" s="572">
        <f t="shared" ca="1" si="235"/>
        <v>0</v>
      </c>
      <c r="V93" s="572">
        <f t="shared" ca="1" si="235"/>
        <v>0</v>
      </c>
      <c r="W93" s="572">
        <f t="shared" ca="1" si="235"/>
        <v>-8.4854961814368857E-2</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-1.0253727890935525</v>
      </c>
      <c r="AL93" s="6"/>
      <c r="AM93" s="573">
        <f t="shared" ref="AM93:BE93" ca="1" si="236">AM$89+AM$91+AM$92</f>
        <v>0</v>
      </c>
      <c r="AN93" s="573">
        <f t="shared" ca="1" si="236"/>
        <v>0</v>
      </c>
      <c r="AO93" s="573">
        <f t="shared" ca="1" si="236"/>
        <v>0</v>
      </c>
      <c r="AP93" s="573">
        <f t="shared" ca="1" si="236"/>
        <v>0</v>
      </c>
      <c r="AQ93" s="573">
        <f t="shared" ca="1" si="236"/>
        <v>-2.5</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-2.5</v>
      </c>
      <c r="BG93" s="6"/>
      <c r="BH93" s="3431">
        <f ca="1">BH$89+BH$91+BH$92</f>
        <v>5.091297708862131E-2</v>
      </c>
      <c r="BI93" s="3431">
        <f ca="1">BI$89+BI$91+BI$92</f>
        <v>3.4744598120049326</v>
      </c>
      <c r="BJ93" s="3431">
        <f ca="1">SUM(BH93:BI93)</f>
        <v>3.525372789093554</v>
      </c>
      <c r="BK93" s="6"/>
      <c r="BL93" s="3445">
        <f t="shared" ca="1" si="223"/>
        <v>0</v>
      </c>
      <c r="BM93" s="575"/>
      <c r="BN93" s="404"/>
      <c r="BO93" s="2759">
        <f t="shared" ref="BO93:DF93" ca="1" si="237">BO$89+BO$91+BO$92</f>
        <v>1.737160960859177E-2</v>
      </c>
      <c r="BP93" s="2759">
        <f t="shared" ca="1" si="237"/>
        <v>6.4150351131662863E-6</v>
      </c>
      <c r="BQ93" s="2759">
        <f t="shared" ca="1" si="237"/>
        <v>2.7462459841602339E-4</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1.7652649242120958E-2</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-24.546877780882909</v>
      </c>
      <c r="V95" s="636">
        <f ca="1">(V$40+V$84+V$93)</f>
        <v>-77.55283715410927</v>
      </c>
      <c r="W95" s="636">
        <f ca="1">(W$40+W$84+W$93)</f>
        <v>-46.942842436107043</v>
      </c>
      <c r="X95" s="636"/>
      <c r="Y95" s="636"/>
      <c r="Z95" s="636"/>
      <c r="AA95" s="636"/>
      <c r="AB95" s="636"/>
      <c r="AC95" s="636">
        <f t="shared" ref="AC95:AH95" ca="1" si="239">(AC$40+AC$84+AC$93)</f>
        <v>0</v>
      </c>
      <c r="AD95" s="636">
        <f t="shared" ca="1" si="239"/>
        <v>0.16958333333333334</v>
      </c>
      <c r="AE95" s="636">
        <f t="shared" ca="1" si="239"/>
        <v>0.14350000000000002</v>
      </c>
      <c r="AF95" s="636">
        <f t="shared" ca="1" si="239"/>
        <v>1.1057720201700001</v>
      </c>
      <c r="AG95" s="636">
        <f t="shared" ca="1" si="239"/>
        <v>2.6310605833333334E-2</v>
      </c>
      <c r="AH95" s="636">
        <f t="shared" ca="1" si="239"/>
        <v>0.15107025941422586</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-1.3469022662175592</v>
      </c>
      <c r="BF95" s="637">
        <f ca="1">SUM(AM95:BE95)</f>
        <v>-1.3469022662175592</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0.99519481815300015</v>
      </c>
      <c r="V96" s="689">
        <f t="shared" ca="1" si="241"/>
        <v>0.10723083333333333</v>
      </c>
      <c r="W96" s="689">
        <f t="shared" ca="1" si="241"/>
        <v>0.17080321378922586</v>
      </c>
      <c r="X96" s="689">
        <f t="shared" ca="1" si="241"/>
        <v>0</v>
      </c>
      <c r="Y96" s="689">
        <f t="shared" ca="1" si="241"/>
        <v>0</v>
      </c>
      <c r="Z96" s="689">
        <f t="shared" ca="1" si="241"/>
        <v>0</v>
      </c>
      <c r="AA96" s="689">
        <f t="shared" ca="1" si="241"/>
        <v>0</v>
      </c>
      <c r="AB96" s="689">
        <f t="shared" ca="1" si="241"/>
        <v>0</v>
      </c>
      <c r="AC96" s="689">
        <f t="shared" ca="1" si="241"/>
        <v>0</v>
      </c>
      <c r="AD96" s="689">
        <f t="shared" ca="1" si="241"/>
        <v>-0.16958333333333334</v>
      </c>
      <c r="AE96" s="689">
        <f t="shared" ca="1" si="241"/>
        <v>-0.14350000000000002</v>
      </c>
      <c r="AF96" s="689">
        <f t="shared" ca="1" si="241"/>
        <v>-1.1057720201700001</v>
      </c>
      <c r="AG96" s="689">
        <f t="shared" ca="1" si="241"/>
        <v>-2.6310605833333334E-2</v>
      </c>
      <c r="AH96" s="689">
        <f t="shared" ca="1" si="241"/>
        <v>-0.15107025941422586</v>
      </c>
      <c r="AI96" s="689">
        <f t="shared" ca="1" si="241"/>
        <v>0</v>
      </c>
      <c r="AJ96" s="689">
        <f t="shared" ca="1" si="241"/>
        <v>0</v>
      </c>
      <c r="AK96" s="690">
        <f ca="1">SUM(S96:AJ96)</f>
        <v>-0.32300735347533321</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0.32300735347533327</v>
      </c>
      <c r="BI96" s="3444">
        <f ca="1">IFERROR(INDEX(INDIRECT($C96&amp;".Outputs["&amp;this.Year&amp;"]"), MATCH(BI$5, INDIRECT($C96&amp;".Outputs[Vector]"), 0)), 0)</f>
        <v>0</v>
      </c>
      <c r="BJ96" s="3436">
        <f ca="1">SUM(BH96:BI96)</f>
        <v>0.32300735347533327</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-0.39926317416316637</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-0.39926317416316637</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-23.55168296272991</v>
      </c>
      <c r="V97" s="636">
        <f ca="1">V$95+V$96</f>
        <v>-77.445606320775937</v>
      </c>
      <c r="W97" s="636">
        <f ca="1">W$95+W$96</f>
        <v>-46.772039222317815</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-0.31246386038422586</v>
      </c>
      <c r="BF97" s="637">
        <f ca="1">SUM(AM97:BE97)</f>
        <v>-0.31246386038422586</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0.17666666666666667</v>
      </c>
      <c r="V98" s="611">
        <f t="shared" ca="1" si="246"/>
        <v>0.91876999999999998</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1.0954366666666666</v>
      </c>
      <c r="AM98" s="612">
        <f t="shared" ref="AM98:BE98" ca="1" si="247">IFERROR(INDEX(INDIRECT($C98&amp;".Outputs["&amp;this.Year&amp;"]"), MATCH(AM$5, INDIRECT($C98&amp;".Outputs[Vector]"), 0)), 0)</f>
        <v>0</v>
      </c>
      <c r="AN98" s="612">
        <f t="shared" ca="1" si="247"/>
        <v>0</v>
      </c>
      <c r="AO98" s="612">
        <f t="shared" ca="1" si="247"/>
        <v>0</v>
      </c>
      <c r="AP98" s="612">
        <f t="shared" ca="1" si="247"/>
        <v>-1.0954366666666666</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-1.0954366666666666</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-0.30209165159999996</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-0.30209165159999996</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1.1718614848196669</v>
      </c>
      <c r="V99" s="572">
        <f t="shared" ca="1" si="250"/>
        <v>1.0260008333333333</v>
      </c>
      <c r="W99" s="572">
        <f t="shared" ca="1" si="250"/>
        <v>0.17080321378922586</v>
      </c>
      <c r="X99" s="572">
        <f t="shared" ca="1" si="250"/>
        <v>0</v>
      </c>
      <c r="Y99" s="572">
        <f t="shared" ca="1" si="250"/>
        <v>0</v>
      </c>
      <c r="Z99" s="572">
        <f t="shared" ca="1" si="250"/>
        <v>0</v>
      </c>
      <c r="AA99" s="572">
        <f t="shared" ca="1" si="250"/>
        <v>0</v>
      </c>
      <c r="AB99" s="572">
        <f t="shared" ca="1" si="250"/>
        <v>0</v>
      </c>
      <c r="AC99" s="572">
        <f t="shared" ca="1" si="250"/>
        <v>0</v>
      </c>
      <c r="AD99" s="572">
        <f ca="1">AD$96+AD98</f>
        <v>-0.16958333333333334</v>
      </c>
      <c r="AE99" s="572">
        <f ca="1">AE$96+AE98</f>
        <v>-0.14350000000000002</v>
      </c>
      <c r="AF99" s="572">
        <f t="shared" ca="1" si="250"/>
        <v>-1.1057720201700001</v>
      </c>
      <c r="AG99" s="572">
        <f t="shared" ca="1" si="250"/>
        <v>-2.6310605833333334E-2</v>
      </c>
      <c r="AH99" s="572">
        <f ca="1">AH$96+AH98</f>
        <v>-0.15107025941422586</v>
      </c>
      <c r="AI99" s="572">
        <f t="shared" ca="1" si="250"/>
        <v>0</v>
      </c>
      <c r="AJ99" s="572">
        <f t="shared" ca="1" si="250"/>
        <v>0</v>
      </c>
      <c r="AK99" s="572">
        <f ca="1">SUM(S99:AJ99)</f>
        <v>0.77242931319133334</v>
      </c>
      <c r="AM99" s="573">
        <f t="shared" ref="AM99:BE99" ca="1" si="251">AM$96+AM98</f>
        <v>0</v>
      </c>
      <c r="AN99" s="573">
        <f t="shared" ca="1" si="251"/>
        <v>0</v>
      </c>
      <c r="AO99" s="573">
        <f t="shared" ca="1" si="251"/>
        <v>0</v>
      </c>
      <c r="AP99" s="573">
        <f t="shared" ca="1" si="251"/>
        <v>-1.0954366666666666</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-1.0954366666666666</v>
      </c>
      <c r="BH99" s="3431">
        <f ca="1">BH$96+BH98</f>
        <v>0.32300735347533327</v>
      </c>
      <c r="BI99" s="3431">
        <f ca="1">BI$96+BI98</f>
        <v>0</v>
      </c>
      <c r="BJ99" s="3431">
        <f ca="1">SUM(BH99:BI99)</f>
        <v>0.32300735347533327</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-0.70135482576316632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-0.70135482576316632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-24.08816123287685</v>
      </c>
      <c r="T101" s="636">
        <f ca="1">(T$40+T$84+T$93+T$99)</f>
        <v>24.08816123287685</v>
      </c>
      <c r="U101" s="636">
        <f ca="1">(U$40+U$84+U$93+U$99)</f>
        <v>-23.375016296063244</v>
      </c>
      <c r="V101" s="636">
        <f ca="1">(V$40+V$84+V$93+V$99)</f>
        <v>-76.526836320775942</v>
      </c>
      <c r="W101" s="636">
        <f ca="1">(W$40+W$84+W$93+W$99)</f>
        <v>-46.772039222317815</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23.375016296063244</v>
      </c>
      <c r="V102" s="652">
        <f t="shared" ca="1" si="254"/>
        <v>76.526836320775942</v>
      </c>
      <c r="W102" s="652">
        <f t="shared" ca="1" si="254"/>
        <v>46.772039222317815</v>
      </c>
      <c r="X102" s="652">
        <f ca="1">IFERROR(INDEX(INDIRECT($C102&amp;".Outputs["&amp;this.Year&amp;"]"), MATCH(X$5, INDIRECT($C102&amp;".Outputs[Vector]"), 0)), 0)</f>
        <v>-23.375016296063244</v>
      </c>
      <c r="Y102" s="652">
        <f t="shared" ca="1" si="254"/>
        <v>-76.526836320775942</v>
      </c>
      <c r="Z102" s="652">
        <f t="shared" ca="1" si="254"/>
        <v>-47.473619810652579</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-0.70158058833474968</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0.70158058833476722</v>
      </c>
      <c r="BJ102" s="655">
        <f ca="1">SUM(BH102:BI102)</f>
        <v>0.70158058833476722</v>
      </c>
      <c r="BK102" s="6"/>
      <c r="BL102" s="3445">
        <f t="shared" ref="BL102:BL109" ca="1" si="256">Q102+AK102+BF102+BJ102</f>
        <v>1.7541523789077473E-14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0.02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0.02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14.911266915263244</v>
      </c>
      <c r="Y103" s="702">
        <f ca="1">-(Y$40+Y$84+Y$93+Y$99+Y$102)</f>
        <v>76.526836320775942</v>
      </c>
      <c r="Z103" s="702">
        <f ca="1">-(Z$40+Z$84+Z$93+Z$99+Z$102)</f>
        <v>47.473619810652579</v>
      </c>
      <c r="AA103" s="702"/>
      <c r="AB103" s="702"/>
      <c r="AC103" s="702"/>
      <c r="AD103" s="702"/>
      <c r="AE103" s="702"/>
      <c r="AF103" s="702"/>
      <c r="AG103" s="702"/>
      <c r="AH103" s="702"/>
      <c r="AI103" s="702"/>
      <c r="AJ103" s="702"/>
      <c r="AK103" s="702">
        <f ca="1">SUM(S103:AJ103)</f>
        <v>138.91172304669175</v>
      </c>
      <c r="AL103" s="6"/>
      <c r="AM103" s="606"/>
      <c r="AN103" s="606"/>
      <c r="AO103" s="606"/>
      <c r="AP103" s="606"/>
      <c r="AQ103" s="606">
        <f ca="1">-T103</f>
        <v>0</v>
      </c>
      <c r="AR103" s="606">
        <f>-V103</f>
        <v>0</v>
      </c>
      <c r="AS103" s="606">
        <f ca="1">-(X103)</f>
        <v>-14.911266915263244</v>
      </c>
      <c r="AT103" s="606">
        <f ca="1">-Y103</f>
        <v>-76.526836320775942</v>
      </c>
      <c r="AU103" s="606">
        <f ca="1">-Z103</f>
        <v>-47.473619810652579</v>
      </c>
      <c r="AV103" s="606"/>
      <c r="AW103" s="606"/>
      <c r="AX103" s="606"/>
      <c r="AY103" s="606"/>
      <c r="AZ103" s="606"/>
      <c r="BA103" s="606"/>
      <c r="BB103" s="606"/>
      <c r="BC103" s="606"/>
      <c r="BD103" s="606"/>
      <c r="BE103" s="606"/>
      <c r="BF103" s="606">
        <f ca="1">SUM(AM103:BE103)</f>
        <v>-138.91172304669175</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23.375016296063244</v>
      </c>
      <c r="V104" s="572">
        <f t="shared" ca="1" si="262"/>
        <v>76.526836320775942</v>
      </c>
      <c r="W104" s="572">
        <f t="shared" ca="1" si="262"/>
        <v>46.772039222317815</v>
      </c>
      <c r="X104" s="572">
        <f t="shared" ca="1" si="262"/>
        <v>-8.4637493807999995</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138.21014245835701</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ca="1">SUM(AS102:AS103)</f>
        <v>-14.911266915263244</v>
      </c>
      <c r="AT104" s="573">
        <f t="shared" ca="1" si="263"/>
        <v>-76.526836320775942</v>
      </c>
      <c r="AU104" s="573">
        <f t="shared" ca="1" si="263"/>
        <v>-47.473619810652579</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-138.91172304669175</v>
      </c>
      <c r="BH104" s="3431">
        <f ca="1">SUM(BH102:BH103)</f>
        <v>0</v>
      </c>
      <c r="BI104" s="3431">
        <f ca="1">SUM(BI102:BI103)</f>
        <v>0.70158058833476722</v>
      </c>
      <c r="BJ104" s="3431">
        <f ca="1">SUM(BH104:BI104)</f>
        <v>0.70158058833476722</v>
      </c>
      <c r="BL104" s="3445">
        <f t="shared" ca="1" si="256"/>
        <v>3.1752378504279477E-14</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0.02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0.02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-0.94051782727918365</v>
      </c>
      <c r="U106" s="625">
        <f t="shared" ca="1" si="266"/>
        <v>24.546877780882909</v>
      </c>
      <c r="V106" s="625">
        <f t="shared" ca="1" si="266"/>
        <v>77.55283715410927</v>
      </c>
      <c r="W106" s="625">
        <f t="shared" ca="1" si="266"/>
        <v>46.857987474292671</v>
      </c>
      <c r="X106" s="625">
        <f t="shared" ca="1" si="266"/>
        <v>-8.4637493807999995</v>
      </c>
      <c r="Y106" s="625">
        <f t="shared" ca="1" si="266"/>
        <v>0</v>
      </c>
      <c r="Z106" s="625">
        <f t="shared" ca="1" si="266"/>
        <v>0</v>
      </c>
      <c r="AA106" s="625">
        <f t="shared" ca="1" si="266"/>
        <v>0</v>
      </c>
      <c r="AB106" s="625">
        <f t="shared" ca="1" si="266"/>
        <v>0</v>
      </c>
      <c r="AC106" s="625">
        <f t="shared" ca="1" si="266"/>
        <v>0</v>
      </c>
      <c r="AD106" s="625">
        <f t="shared" ca="1" si="266"/>
        <v>-0.16958333333333334</v>
      </c>
      <c r="AE106" s="625">
        <f t="shared" ca="1" si="266"/>
        <v>-0.14350000000000002</v>
      </c>
      <c r="AF106" s="625">
        <f t="shared" ca="1" si="266"/>
        <v>-1.1057720201700001</v>
      </c>
      <c r="AG106" s="625">
        <f t="shared" ca="1" si="266"/>
        <v>-2.6310605833333334E-2</v>
      </c>
      <c r="AH106" s="625">
        <f t="shared" ca="1" si="266"/>
        <v>-0.15107025941422586</v>
      </c>
      <c r="AI106" s="625">
        <f t="shared" ca="1" si="266"/>
        <v>0</v>
      </c>
      <c r="AJ106" s="625">
        <f t="shared" ca="1" si="266"/>
        <v>0</v>
      </c>
      <c r="AK106" s="625">
        <f ca="1">SUM(S106:AJ106)</f>
        <v>137.95719898245477</v>
      </c>
      <c r="AM106" s="626">
        <f t="shared" ref="AM106:BE106" ca="1" si="267">AM$93+AM$99+AM$104</f>
        <v>0</v>
      </c>
      <c r="AN106" s="626">
        <f t="shared" ca="1" si="267"/>
        <v>0</v>
      </c>
      <c r="AO106" s="626">
        <f t="shared" ca="1" si="267"/>
        <v>0</v>
      </c>
      <c r="AP106" s="626">
        <f t="shared" ca="1" si="267"/>
        <v>-1.0954366666666666</v>
      </c>
      <c r="AQ106" s="626">
        <f t="shared" ca="1" si="267"/>
        <v>-2.5</v>
      </c>
      <c r="AR106" s="626">
        <f t="shared" ca="1" si="267"/>
        <v>0</v>
      </c>
      <c r="AS106" s="626">
        <f t="shared" ca="1" si="267"/>
        <v>-14.911266915263244</v>
      </c>
      <c r="AT106" s="626">
        <f t="shared" ca="1" si="267"/>
        <v>-76.526836320775942</v>
      </c>
      <c r="AU106" s="626">
        <f t="shared" ca="1" si="267"/>
        <v>-47.473619810652579</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-142.50715971335842</v>
      </c>
      <c r="BH106" s="3432">
        <f ca="1">BH$93+BH$99+BH$104</f>
        <v>0.37392033056395457</v>
      </c>
      <c r="BI106" s="3432">
        <f ca="1">BI$93+BI$99+BI$104</f>
        <v>4.1760404003396996</v>
      </c>
      <c r="BJ106" s="3432">
        <f ca="1">SUM(BH106:BI106)</f>
        <v>4.5499607309036545</v>
      </c>
      <c r="BL106" s="3446">
        <f t="shared" ca="1" si="256"/>
        <v>0</v>
      </c>
      <c r="BM106" s="627"/>
      <c r="BO106" s="2762">
        <f t="shared" ref="BO106:DE106" ca="1" si="268">BO$93+BO$99+BO$104</f>
        <v>1.737160960859177E-2</v>
      </c>
      <c r="BP106" s="2762">
        <f t="shared" ca="1" si="268"/>
        <v>6.4150351131662863E-6</v>
      </c>
      <c r="BQ106" s="2762">
        <f t="shared" ca="1" si="268"/>
        <v>2.7462459841602339E-4</v>
      </c>
      <c r="BR106" s="2762">
        <f t="shared" ca="1" si="268"/>
        <v>0</v>
      </c>
      <c r="BS106" s="2762">
        <f t="shared" ca="1" si="268"/>
        <v>0</v>
      </c>
      <c r="BT106" s="2762">
        <f t="shared" ca="1" si="268"/>
        <v>0.02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-0.70135482576316632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-0.66370217652104535</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37.580937210387134</v>
      </c>
      <c r="H109" s="705">
        <f t="shared" ca="1" si="269"/>
        <v>9.9969722741160645</v>
      </c>
      <c r="I109" s="705">
        <f t="shared" ca="1" si="269"/>
        <v>28.675543224779016</v>
      </c>
      <c r="J109" s="705">
        <f t="shared" ca="1" si="269"/>
        <v>38.938914480389414</v>
      </c>
      <c r="K109" s="705">
        <f t="shared" ca="1" si="269"/>
        <v>0.49153024479009</v>
      </c>
      <c r="L109" s="705">
        <f t="shared" ca="1" si="269"/>
        <v>2.7179785187540276E-2</v>
      </c>
      <c r="M109" s="705">
        <f t="shared" ca="1" si="269"/>
        <v>0.66</v>
      </c>
      <c r="N109" s="705">
        <f t="shared" ca="1" si="269"/>
        <v>7.02</v>
      </c>
      <c r="O109" s="705">
        <f t="shared" ca="1" si="269"/>
        <v>0</v>
      </c>
      <c r="P109" s="705">
        <f t="shared" ca="1" si="269"/>
        <v>0</v>
      </c>
      <c r="Q109" s="705">
        <f ca="1">SUM(G109:P109)</f>
        <v>123.39107721964925</v>
      </c>
      <c r="S109" s="706">
        <f t="shared" ref="S109:AJ109" ca="1" si="270">S$40+S$84+S$106</f>
        <v>-24.08816123287685</v>
      </c>
      <c r="T109" s="706">
        <f t="shared" ca="1" si="270"/>
        <v>24.08816123287685</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-8.4</v>
      </c>
      <c r="AN109" s="707">
        <f t="shared" ca="1" si="271"/>
        <v>0</v>
      </c>
      <c r="AO109" s="707">
        <f t="shared" ca="1" si="271"/>
        <v>0</v>
      </c>
      <c r="AP109" s="707">
        <f t="shared" ca="1" si="271"/>
        <v>-1.0954366666666666</v>
      </c>
      <c r="AQ109" s="707">
        <f t="shared" ca="1" si="271"/>
        <v>-2.5</v>
      </c>
      <c r="AR109" s="707">
        <f t="shared" ca="1" si="271"/>
        <v>0</v>
      </c>
      <c r="AS109" s="707">
        <f t="shared" ca="1" si="271"/>
        <v>-14.911266915263244</v>
      </c>
      <c r="AT109" s="707">
        <f t="shared" ca="1" si="271"/>
        <v>-76.526836320775942</v>
      </c>
      <c r="AU109" s="707">
        <f t="shared" ca="1" si="271"/>
        <v>-47.473619810652579</v>
      </c>
      <c r="AV109" s="707">
        <f t="shared" ca="1" si="271"/>
        <v>0</v>
      </c>
      <c r="AW109" s="707">
        <f t="shared" ca="1" si="271"/>
        <v>-4.1054887428987621E-2</v>
      </c>
      <c r="AX109" s="707">
        <f t="shared" ca="1" si="271"/>
        <v>-4.5013410000000009</v>
      </c>
      <c r="AY109" s="707">
        <f t="shared" ca="1" si="271"/>
        <v>0</v>
      </c>
      <c r="AZ109" s="707">
        <f t="shared" ca="1" si="271"/>
        <v>0</v>
      </c>
      <c r="BA109" s="707">
        <f t="shared" ca="1" si="271"/>
        <v>0</v>
      </c>
      <c r="BB109" s="707">
        <f t="shared" ca="1" si="271"/>
        <v>-0.74791511999999993</v>
      </c>
      <c r="BC109" s="707">
        <f t="shared" ca="1" si="271"/>
        <v>-0.11119904983501781</v>
      </c>
      <c r="BD109" s="707">
        <f t="shared" ca="1" si="271"/>
        <v>-0.31308333333333338</v>
      </c>
      <c r="BE109" s="707">
        <f t="shared" ca="1" si="271"/>
        <v>-1.3469022662175592</v>
      </c>
      <c r="BF109" s="707">
        <f ca="1">SUM(AM109:BE109)</f>
        <v>-157.96865537017337</v>
      </c>
      <c r="BH109" s="3437">
        <f ca="1">BH$40+BH$84+BH$106</f>
        <v>27.64001878247058</v>
      </c>
      <c r="BI109" s="3437">
        <f ca="1">BI$40+BI$84+BI$106</f>
        <v>6.9375593680534902</v>
      </c>
      <c r="BJ109" s="3437">
        <f ca="1">SUM(BH109:BI109)</f>
        <v>34.577578150524069</v>
      </c>
      <c r="BL109" s="3447">
        <f t="shared" ca="1" si="256"/>
        <v>0</v>
      </c>
      <c r="BM109" s="568"/>
      <c r="BO109" s="2767">
        <f t="shared" ref="BO109:DF109" ca="1" si="272">BO$40+BO$84+BO$106</f>
        <v>35.537603067631963</v>
      </c>
      <c r="BP109" s="2767">
        <f t="shared" ca="1" si="272"/>
        <v>1.981962491234119E-2</v>
      </c>
      <c r="BQ109" s="2767">
        <f t="shared" ca="1" si="272"/>
        <v>0.21063680288349426</v>
      </c>
      <c r="BR109" s="2767">
        <f t="shared" ca="1" si="272"/>
        <v>0</v>
      </c>
      <c r="BS109" s="2767">
        <f t="shared" ca="1" si="272"/>
        <v>0</v>
      </c>
      <c r="BT109" s="2767">
        <f t="shared" ca="1" si="272"/>
        <v>0.02</v>
      </c>
      <c r="BU109" s="2767">
        <f t="shared" ca="1" si="272"/>
        <v>0</v>
      </c>
      <c r="BV109" s="2767">
        <f t="shared" ca="1" si="272"/>
        <v>0</v>
      </c>
      <c r="BW109" s="2767">
        <f t="shared" ca="1" si="272"/>
        <v>1.11175</v>
      </c>
      <c r="BX109" s="2767">
        <f t="shared" ca="1" si="272"/>
        <v>0</v>
      </c>
      <c r="BY109" s="2767">
        <f t="shared" ca="1" si="272"/>
        <v>0</v>
      </c>
      <c r="BZ109" s="2767">
        <f t="shared" ca="1" si="272"/>
        <v>1.12416</v>
      </c>
      <c r="CA109" s="2767">
        <f t="shared" ca="1" si="272"/>
        <v>0</v>
      </c>
      <c r="CB109" s="2767">
        <f t="shared" ca="1" si="272"/>
        <v>0</v>
      </c>
      <c r="CC109" s="2767">
        <f t="shared" ca="1" si="272"/>
        <v>0</v>
      </c>
      <c r="CD109" s="2767">
        <f t="shared" ca="1" si="272"/>
        <v>0</v>
      </c>
      <c r="CE109" s="2767">
        <f t="shared" ca="1" si="272"/>
        <v>0</v>
      </c>
      <c r="CF109" s="2767">
        <f t="shared" ca="1" si="272"/>
        <v>10.905407357203993</v>
      </c>
      <c r="CG109" s="2767">
        <f t="shared" ca="1" si="272"/>
        <v>6.11327</v>
      </c>
      <c r="CH109" s="2767">
        <f t="shared" ca="1" si="272"/>
        <v>0</v>
      </c>
      <c r="CI109" s="2767">
        <f t="shared" ca="1" si="272"/>
        <v>3.7122100000000002</v>
      </c>
      <c r="CJ109" s="2767">
        <f t="shared" ca="1" si="272"/>
        <v>0</v>
      </c>
      <c r="CK109" s="2767">
        <f t="shared" ca="1" si="272"/>
        <v>0</v>
      </c>
      <c r="CL109" s="2767">
        <f t="shared" ca="1" si="272"/>
        <v>0</v>
      </c>
      <c r="CM109" s="2767">
        <f t="shared" ca="1" si="272"/>
        <v>0</v>
      </c>
      <c r="CN109" s="2767">
        <f t="shared" ca="1" si="272"/>
        <v>1.1527575749999999</v>
      </c>
      <c r="CO109" s="2767">
        <f t="shared" ca="1" si="272"/>
        <v>5.3541428571428566E-2</v>
      </c>
      <c r="CP109" s="2767">
        <f t="shared" ca="1" si="272"/>
        <v>0</v>
      </c>
      <c r="CQ109" s="2767">
        <f t="shared" ca="1" si="272"/>
        <v>0</v>
      </c>
      <c r="CR109" s="2767">
        <f t="shared" ca="1" si="272"/>
        <v>0</v>
      </c>
      <c r="CS109" s="2767">
        <f t="shared" ca="1" si="272"/>
        <v>0</v>
      </c>
      <c r="CT109" s="2767">
        <f t="shared" ca="1" si="272"/>
        <v>0</v>
      </c>
      <c r="CU109" s="2767">
        <f t="shared" ca="1" si="272"/>
        <v>1.8524375999999996</v>
      </c>
      <c r="CV109" s="2767">
        <f t="shared" ca="1" si="272"/>
        <v>1.5921360000000001E-3</v>
      </c>
      <c r="CW109" s="2767">
        <f t="shared" ca="1" si="272"/>
        <v>4.700592E-3</v>
      </c>
      <c r="CX109" s="2767">
        <f t="shared" ca="1" si="272"/>
        <v>0</v>
      </c>
      <c r="CY109" s="2767">
        <f t="shared" ca="1" si="272"/>
        <v>-0.70135482576316632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61.118531358440059</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DH111" s="2654"/>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13.10989694268479</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24.091952375694625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0.54416083587774411</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2:DH148"/>
  <sheetViews>
    <sheetView workbookViewId="0">
      <selection activeCell="E3" sqref="E3"/>
    </sheetView>
  </sheetViews>
  <sheetFormatPr defaultColWidth="8.81640625" defaultRowHeight="14.5"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2" spans="1:112" ht="22.5">
      <c r="D2" s="512"/>
      <c r="E2" s="513">
        <v>2015</v>
      </c>
      <c r="G2"/>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c r="DH5" s="3450"/>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c r="DH6" s="3450"/>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c r="DH7" s="3450"/>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c r="DH8" s="3450"/>
    </row>
    <row r="9" spans="1:112" s="6" customFormat="1">
      <c r="A9" s="577"/>
      <c r="B9" s="577"/>
      <c r="C9" s="578" t="s">
        <v>2</v>
      </c>
      <c r="D9" s="577" t="s">
        <v>3</v>
      </c>
      <c r="E9" s="579"/>
      <c r="G9" s="580">
        <f ca="1">IFERROR(INDEX(INDIRECT($C9&amp;".Outputs["&amp;this.Year&amp;"]"), MATCH(G$5, INDIRECT($C9&amp;".Outputs[Vector]"), 0)), 0)</f>
        <v>26.063484411267986</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26.063484411267986</v>
      </c>
      <c r="S9" s="582">
        <f t="shared" ref="S9:AJ13" ca="1" si="2">IFERROR(INDEX(INDIRECT($C9&amp;".Outputs["&amp;this.Year&amp;"]"), MATCH(S$5, INDIRECT($C9&amp;".Outputs[Vector]"), 0)), 0)</f>
        <v>-0.962793920118858</v>
      </c>
      <c r="T9" s="582">
        <f t="shared" ca="1" si="2"/>
        <v>0</v>
      </c>
      <c r="U9" s="582">
        <f t="shared" ca="1" si="2"/>
        <v>-0.38937857957942934</v>
      </c>
      <c r="V9" s="582">
        <f t="shared" ca="1" si="2"/>
        <v>-14.411824499031621</v>
      </c>
      <c r="W9" s="582">
        <f t="shared" ca="1" si="2"/>
        <v>-10.199540735750485</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-5.2915063522883464E-2</v>
      </c>
      <c r="AJ9" s="582">
        <f t="shared" ca="1" si="2"/>
        <v>0</v>
      </c>
      <c r="AK9" s="583">
        <f t="shared" ref="AK9:AK15" ca="1" si="3">SUM(S9:AJ9)</f>
        <v>-26.016452798003279</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-4.7031613264707811E-2</v>
      </c>
      <c r="BD9" s="584">
        <f t="shared" ca="1" si="5"/>
        <v>0</v>
      </c>
      <c r="BE9" s="584">
        <f t="shared" ca="1" si="5"/>
        <v>0</v>
      </c>
      <c r="BF9" s="585">
        <f t="shared" ref="BF9:BF15" ca="1" si="6">SUM(AM9:BE9)</f>
        <v>-4.7031613264707811E-2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-7.4940054162198066E-16</v>
      </c>
      <c r="BM9" s="586"/>
      <c r="BN9" s="404"/>
      <c r="BO9" s="2758">
        <f t="shared" ref="BO9:BX10" ca="1" si="10">IFERROR(SUMIFS(INDIRECT($C9&amp;".Emissions["&amp;this.Year&amp;"]"), INDIRECT($C9&amp;".Emissions[GHG]"), BO$6, INDIRECT($C9&amp;".Emissions[IPCC Sector]"), BO$5),0)</f>
        <v>6.0225173982223836</v>
      </c>
      <c r="BP9" s="2759">
        <f t="shared" ca="1" si="10"/>
        <v>4.0602929904344515E-3</v>
      </c>
      <c r="BQ9" s="2759">
        <f t="shared" ca="1" si="10"/>
        <v>4.2877224569139769E-2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26.063484411267986</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26.063484411267986</v>
      </c>
      <c r="S11" s="583">
        <f ca="1">SUM(S9:S10)</f>
        <v>-0.962793920118858</v>
      </c>
      <c r="T11" s="583">
        <f t="shared" ref="T11:AJ11" ca="1" si="15">SUM(T9:T10)</f>
        <v>0</v>
      </c>
      <c r="U11" s="583">
        <f t="shared" ca="1" si="15"/>
        <v>-0.38937857957942934</v>
      </c>
      <c r="V11" s="583">
        <f t="shared" ca="1" si="15"/>
        <v>-14.411824499031621</v>
      </c>
      <c r="W11" s="583">
        <f t="shared" ca="1" si="15"/>
        <v>-10.199540735750485</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-5.2915063522883464E-2</v>
      </c>
      <c r="AJ11" s="583">
        <f t="shared" ca="1" si="15"/>
        <v>0</v>
      </c>
      <c r="AK11" s="583">
        <f t="shared" ca="1" si="3"/>
        <v>-26.016452798003279</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-4.7031613264707811E-2</v>
      </c>
      <c r="BD11" s="599">
        <f ca="1">SUM(BD9:BD10)</f>
        <v>0</v>
      </c>
      <c r="BE11" s="599">
        <f t="shared" ca="1" si="16"/>
        <v>0</v>
      </c>
      <c r="BF11" s="600">
        <f t="shared" ca="1" si="6"/>
        <v>-4.7031613264707811E-2</v>
      </c>
      <c r="BH11" s="3428">
        <f ca="1">SUM(BH9:BH10)</f>
        <v>0</v>
      </c>
      <c r="BI11" s="3428">
        <f ca="1">SUM(BI9:BI10)</f>
        <v>0</v>
      </c>
      <c r="BJ11" s="3428">
        <f t="shared" ca="1" si="8"/>
        <v>0</v>
      </c>
      <c r="BL11" s="601">
        <f t="shared" ca="1" si="9"/>
        <v>-7.4940054162198066E-16</v>
      </c>
      <c r="BM11" s="601"/>
      <c r="BN11" s="404"/>
      <c r="BO11" s="2758">
        <f t="shared" ref="BO11:DF11" ca="1" si="17">SUM(BO9:BO10)</f>
        <v>6.0225173982223836</v>
      </c>
      <c r="BP11" s="2759">
        <f t="shared" ca="1" si="17"/>
        <v>4.0602929904344515E-3</v>
      </c>
      <c r="BQ11" s="2759">
        <f t="shared" ca="1" si="17"/>
        <v>4.2877224569139769E-2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11.989636471180802</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11.989636471180802</v>
      </c>
      <c r="S12" s="582">
        <f t="shared" ca="1" si="2"/>
        <v>-4.0955180180180175</v>
      </c>
      <c r="T12" s="582">
        <f t="shared" ca="1" si="2"/>
        <v>0</v>
      </c>
      <c r="U12" s="582">
        <f t="shared" ca="1" si="2"/>
        <v>-0.32096924510717612</v>
      </c>
      <c r="V12" s="582">
        <f t="shared" ca="1" si="2"/>
        <v>-2.2070771802730569</v>
      </c>
      <c r="W12" s="582">
        <f t="shared" ca="1" si="2"/>
        <v>-5.2696981539086805</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-11.893262597306931</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-9.6373873873873889E-2</v>
      </c>
      <c r="BD12" s="584">
        <f t="shared" ca="1" si="19"/>
        <v>0</v>
      </c>
      <c r="BE12" s="584">
        <f t="shared" ca="1" si="19"/>
        <v>0</v>
      </c>
      <c r="BF12" s="585">
        <f t="shared" ca="1" si="6"/>
        <v>-9.6373873873873889E-2</v>
      </c>
      <c r="BH12" s="3439">
        <f t="shared" ca="1" si="7"/>
        <v>0</v>
      </c>
      <c r="BI12" s="3439">
        <f t="shared" ca="1" si="7"/>
        <v>0</v>
      </c>
      <c r="BJ12" s="3428">
        <f t="shared" ca="1" si="8"/>
        <v>0</v>
      </c>
      <c r="BL12" s="586">
        <f t="shared" ca="1" si="9"/>
        <v>-3.0253577421035516E-15</v>
      </c>
      <c r="BM12" s="586"/>
      <c r="BN12" s="404"/>
      <c r="BO12" s="2758">
        <f t="shared" ref="BO12:BX13" ca="1" si="20">IFERROR(SUMIFS(INDIRECT($C12&amp;".Emissions["&amp;this.Year&amp;"]"), INDIRECT($C12&amp;".Emissions[GHG]"), BO$6, INDIRECT($C12&amp;".Emissions[IPCC Sector]"), BO$5),0)</f>
        <v>1.7695888628956971</v>
      </c>
      <c r="BP12" s="2759">
        <f t="shared" ca="1" si="20"/>
        <v>9.1593997737249744E-4</v>
      </c>
      <c r="BQ12" s="2759">
        <f t="shared" ca="1" si="20"/>
        <v>1.8711810823990694E-2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11.989636471180802</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11.989636471180802</v>
      </c>
      <c r="S14" s="604">
        <f t="shared" ref="S14:AJ14" ca="1" si="25">SUM(S12:S13)</f>
        <v>-4.0955180180180175</v>
      </c>
      <c r="T14" s="604">
        <f t="shared" ca="1" si="25"/>
        <v>0</v>
      </c>
      <c r="U14" s="604">
        <f t="shared" ca="1" si="25"/>
        <v>-0.32096924510717612</v>
      </c>
      <c r="V14" s="604">
        <f t="shared" ca="1" si="25"/>
        <v>-2.2070771802730569</v>
      </c>
      <c r="W14" s="604">
        <f t="shared" ca="1" si="25"/>
        <v>-5.2696981539086805</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-11.893262597306931</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-9.6373873873873889E-2</v>
      </c>
      <c r="BD14" s="605">
        <f ca="1">SUM(BD12:BD13)</f>
        <v>0</v>
      </c>
      <c r="BE14" s="605">
        <f t="shared" ca="1" si="26"/>
        <v>0</v>
      </c>
      <c r="BF14" s="606">
        <f t="shared" ca="1" si="6"/>
        <v>-9.6373873873873889E-2</v>
      </c>
      <c r="BH14" s="3430">
        <f ca="1">SUM(BH12:BH13)</f>
        <v>0</v>
      </c>
      <c r="BI14" s="3430">
        <f ca="1">SUM(BI12:BI13)</f>
        <v>0</v>
      </c>
      <c r="BJ14" s="3430">
        <f t="shared" ca="1" si="8"/>
        <v>0</v>
      </c>
      <c r="BL14" s="601">
        <f t="shared" ca="1" si="9"/>
        <v>-3.0253577421035516E-15</v>
      </c>
      <c r="BM14" s="601"/>
      <c r="BN14" s="404"/>
      <c r="BO14" s="2760">
        <f t="shared" ref="BO14:DF14" ca="1" si="27">SUM(BO12:BO13)</f>
        <v>1.7695888628956971</v>
      </c>
      <c r="BP14" s="2761">
        <f t="shared" ca="1" si="27"/>
        <v>9.1593997737249744E-4</v>
      </c>
      <c r="BQ14" s="2761">
        <f t="shared" ca="1" si="27"/>
        <v>1.8711810823990694E-2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38.053120882448788</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38.053120882448788</v>
      </c>
      <c r="S15" s="572">
        <f t="shared" ref="S15:AJ15" ca="1" si="29">S14+S11</f>
        <v>-5.0583119381368755</v>
      </c>
      <c r="T15" s="572">
        <f t="shared" ca="1" si="29"/>
        <v>0</v>
      </c>
      <c r="U15" s="572">
        <f t="shared" ca="1" si="29"/>
        <v>-0.71034782468660551</v>
      </c>
      <c r="V15" s="572">
        <f t="shared" ca="1" si="29"/>
        <v>-16.618901679304678</v>
      </c>
      <c r="W15" s="572">
        <f t="shared" ca="1" si="29"/>
        <v>-15.469238889659167</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-5.2915063522883464E-2</v>
      </c>
      <c r="AJ15" s="572">
        <f t="shared" ca="1" si="29"/>
        <v>0</v>
      </c>
      <c r="AK15" s="572">
        <f t="shared" ca="1" si="3"/>
        <v>-37.909715395310208</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-0.1434054871385817</v>
      </c>
      <c r="BD15" s="573">
        <f ca="1">BD14+BD11</f>
        <v>0</v>
      </c>
      <c r="BE15" s="573">
        <f t="shared" ca="1" si="30"/>
        <v>0</v>
      </c>
      <c r="BF15" s="573">
        <f t="shared" ca="1" si="6"/>
        <v>-0.1434054871385817</v>
      </c>
      <c r="BH15" s="3431">
        <f ca="1">BH14+BH11</f>
        <v>0</v>
      </c>
      <c r="BI15" s="3431">
        <f ca="1">BI14+BI11</f>
        <v>0</v>
      </c>
      <c r="BJ15" s="3431">
        <f t="shared" ca="1" si="8"/>
        <v>0</v>
      </c>
      <c r="BL15" s="3445">
        <f t="shared" ca="1" si="9"/>
        <v>-1.9984014443252818E-15</v>
      </c>
      <c r="BM15" s="575"/>
      <c r="BN15" s="404"/>
      <c r="BO15" s="2759">
        <f t="shared" ref="BO15:DF15" ca="1" si="31">BO14+BO11</f>
        <v>7.7921062611180805</v>
      </c>
      <c r="BP15" s="2759">
        <f t="shared" ca="1" si="31"/>
        <v>4.9762329678069489E-3</v>
      </c>
      <c r="BQ15" s="2759">
        <f t="shared" ca="1" si="31"/>
        <v>6.1589035393130459E-2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7.8586715294790181</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5.5744720090360316</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5.5744720090360316</v>
      </c>
      <c r="S17" s="582">
        <f t="shared" ref="S17:AJ18" ca="1" si="34">IFERROR(INDEX(INDIRECT($C17&amp;".Outputs["&amp;this.Year&amp;"]"), MATCH(S$5, INDIRECT($C17&amp;".Outputs[Vector]"), 0)), 0)</f>
        <v>-5.1606913335354161</v>
      </c>
      <c r="T17" s="582">
        <f t="shared" ca="1" si="34"/>
        <v>0</v>
      </c>
      <c r="U17" s="582">
        <f t="shared" ca="1" si="34"/>
        <v>0</v>
      </c>
      <c r="V17" s="582">
        <f t="shared" ca="1" si="34"/>
        <v>0</v>
      </c>
      <c r="W17" s="582">
        <f t="shared" ca="1" si="34"/>
        <v>-0.4137806755006152</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-5.5744720090360316</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8.4709676425296546E-2</v>
      </c>
      <c r="BP17" s="2759">
        <f t="shared" ca="1" si="37"/>
        <v>3.1281819067846514E-5</v>
      </c>
      <c r="BQ17" s="2759">
        <f t="shared" ca="1" si="37"/>
        <v>1.339159778190191E-3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8.608011802255458E-2</v>
      </c>
    </row>
    <row r="18" spans="1:112" s="6" customFormat="1">
      <c r="A18" s="598"/>
      <c r="B18" s="598"/>
      <c r="C18" s="578" t="s">
        <v>463</v>
      </c>
      <c r="D18" s="602" t="s">
        <v>464</v>
      </c>
      <c r="E18" s="602"/>
      <c r="G18" s="610">
        <f t="shared" ca="1" si="33"/>
        <v>0</v>
      </c>
      <c r="H18" s="610">
        <f t="shared" ca="1" si="33"/>
        <v>4.5931982647189695</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4.5931982647189695</v>
      </c>
      <c r="S18" s="611">
        <f t="shared" ca="1" si="34"/>
        <v>-4.1010179951924579</v>
      </c>
      <c r="T18" s="611">
        <f t="shared" ca="1" si="34"/>
        <v>0</v>
      </c>
      <c r="U18" s="611">
        <f t="shared" ca="1" si="34"/>
        <v>0</v>
      </c>
      <c r="V18" s="611">
        <f t="shared" ca="1" si="34"/>
        <v>0</v>
      </c>
      <c r="W18" s="611">
        <f t="shared" ca="1" si="34"/>
        <v>-0.492180269526512</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-4.5931982647189695</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0.10075973539379096</v>
      </c>
      <c r="BP18" s="2761">
        <f t="shared" ca="1" si="37"/>
        <v>3.7208828376204308E-5</v>
      </c>
      <c r="BQ18" s="2761">
        <f t="shared" ca="1" si="37"/>
        <v>1.5928922242956034E-3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0.10238983644646277</v>
      </c>
    </row>
    <row r="19" spans="1:112" s="6" customFormat="1" ht="15.5">
      <c r="A19" s="4"/>
      <c r="B19" s="3"/>
      <c r="C19" s="607" t="s">
        <v>465</v>
      </c>
      <c r="D19" s="608" t="s">
        <v>82</v>
      </c>
      <c r="E19" s="201"/>
      <c r="G19" s="609">
        <f ca="1">G17+G18</f>
        <v>0</v>
      </c>
      <c r="H19" s="609">
        <f t="shared" ref="H19:P19" ca="1" si="41">H17+H18</f>
        <v>10.167670273755</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10.167670273755</v>
      </c>
      <c r="S19" s="572">
        <f ca="1">S17+S18</f>
        <v>-9.2617093287278749</v>
      </c>
      <c r="T19" s="572">
        <f t="shared" ref="T19:AJ19" ca="1" si="42">T17+T18</f>
        <v>0</v>
      </c>
      <c r="U19" s="572">
        <f t="shared" ca="1" si="42"/>
        <v>0</v>
      </c>
      <c r="V19" s="572">
        <f t="shared" ca="1" si="42"/>
        <v>0</v>
      </c>
      <c r="W19" s="572">
        <f t="shared" ca="1" si="42"/>
        <v>-0.90596094502712721</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-10.167670273755002</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-1.7763568394002505E-15</v>
      </c>
      <c r="BM19" s="575"/>
      <c r="BN19" s="404"/>
      <c r="BO19" s="2759">
        <f t="shared" ref="BO19:DF19" ca="1" si="44">BO17+BO18</f>
        <v>0.18546941181908749</v>
      </c>
      <c r="BP19" s="2759">
        <f t="shared" ca="1" si="44"/>
        <v>6.8490647444050822E-5</v>
      </c>
      <c r="BQ19" s="2759">
        <f t="shared" ca="1" si="44"/>
        <v>2.9320520024857947E-3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0.18846995446901735</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26.749751692722498</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26.749751692722498</v>
      </c>
      <c r="S21" s="611">
        <f t="shared" ref="S21:AJ21" ca="1" si="46">IFERROR(INDEX(INDIRECT($C21&amp;".Outputs["&amp;this.Year&amp;"]"), MATCH(S$5, INDIRECT($C21&amp;".Outputs[Vector]"), 0)), 0)</f>
        <v>-9.5615695738896491</v>
      </c>
      <c r="T21" s="611">
        <f t="shared" ca="1" si="46"/>
        <v>0</v>
      </c>
      <c r="U21" s="611">
        <f t="shared" ca="1" si="46"/>
        <v>-3.2009129574592907</v>
      </c>
      <c r="V21" s="611">
        <f t="shared" ca="1" si="46"/>
        <v>-6.5356261350053035</v>
      </c>
      <c r="W21" s="611">
        <f t="shared" ca="1" si="46"/>
        <v>-7.4516430263682514</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-26.749751692722498</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4.3308302417234428</v>
      </c>
      <c r="BP21" s="2761">
        <f t="shared" ca="1" si="48"/>
        <v>2.2150165339213882E-3</v>
      </c>
      <c r="BQ21" s="2761">
        <f t="shared" ca="1" si="48"/>
        <v>3.0278862180800045E-2</v>
      </c>
      <c r="BR21" s="2761">
        <f t="shared" ca="1" si="48"/>
        <v>0</v>
      </c>
      <c r="BS21" s="2761">
        <f t="shared" ca="1" si="48"/>
        <v>0</v>
      </c>
      <c r="BT21" s="2761">
        <f t="shared" ca="1" si="48"/>
        <v>0</v>
      </c>
      <c r="BU21" s="2761">
        <f t="shared" ca="1" si="48"/>
        <v>0</v>
      </c>
      <c r="BV21" s="2761">
        <f t="shared" ca="1" si="48"/>
        <v>0</v>
      </c>
      <c r="BW21" s="2761">
        <f t="shared" ca="1" si="48"/>
        <v>1.1453526437499997</v>
      </c>
      <c r="BX21" s="2761">
        <f t="shared" ca="1" si="48"/>
        <v>0</v>
      </c>
      <c r="BY21" s="2761">
        <f t="shared" ca="1" si="48"/>
        <v>0</v>
      </c>
      <c r="BZ21" s="2761">
        <f t="shared" ca="1" si="48"/>
        <v>1.1218527736220998</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6.6305295378102631</v>
      </c>
    </row>
    <row r="22" spans="1:112" s="6" customFormat="1" ht="15.5">
      <c r="A22" s="4"/>
      <c r="B22" s="3"/>
      <c r="C22" s="607" t="s">
        <v>468</v>
      </c>
      <c r="D22" s="608" t="s">
        <v>359</v>
      </c>
      <c r="E22" s="201"/>
      <c r="G22" s="609">
        <f ca="1">G21</f>
        <v>0</v>
      </c>
      <c r="H22" s="609">
        <f t="shared" ref="H22:P22" ca="1" si="49">H21</f>
        <v>0</v>
      </c>
      <c r="I22" s="609">
        <f t="shared" ca="1" si="49"/>
        <v>26.749751692722498</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26.749751692722498</v>
      </c>
      <c r="S22" s="572">
        <f t="shared" ref="S22:AJ22" ca="1" si="50">S21</f>
        <v>-9.5615695738896491</v>
      </c>
      <c r="T22" s="572">
        <f t="shared" ca="1" si="50"/>
        <v>0</v>
      </c>
      <c r="U22" s="572">
        <f t="shared" ca="1" si="50"/>
        <v>-3.2009129574592907</v>
      </c>
      <c r="V22" s="572">
        <f t="shared" ca="1" si="50"/>
        <v>-6.5356261350053035</v>
      </c>
      <c r="W22" s="572">
        <f t="shared" ca="1" si="50"/>
        <v>-7.4516430263682514</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-26.749751692722498</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4.3308302417234428</v>
      </c>
      <c r="BP22" s="2759">
        <f t="shared" ca="1" si="52"/>
        <v>2.2150165339213882E-3</v>
      </c>
      <c r="BQ22" s="2759">
        <f t="shared" ca="1" si="52"/>
        <v>3.0278862180800045E-2</v>
      </c>
      <c r="BR22" s="2759">
        <f t="shared" ca="1" si="52"/>
        <v>0</v>
      </c>
      <c r="BS22" s="2759">
        <f t="shared" ca="1" si="52"/>
        <v>0</v>
      </c>
      <c r="BT22" s="2759">
        <f t="shared" ca="1" si="52"/>
        <v>0</v>
      </c>
      <c r="BU22" s="2759">
        <f t="shared" ca="1" si="52"/>
        <v>0</v>
      </c>
      <c r="BV22" s="2759">
        <f t="shared" ca="1" si="52"/>
        <v>0</v>
      </c>
      <c r="BW22" s="2759">
        <f t="shared" ca="1" si="52"/>
        <v>1.1453526437499997</v>
      </c>
      <c r="BX22" s="2759">
        <f t="shared" ca="1" si="52"/>
        <v>0</v>
      </c>
      <c r="BY22" s="2759">
        <f t="shared" ca="1" si="52"/>
        <v>0</v>
      </c>
      <c r="BZ22" s="2759">
        <f t="shared" ca="1" si="52"/>
        <v>1.1218527736220998</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6.6305295378102631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24.012607645877271</v>
      </c>
      <c r="K24" s="580">
        <f t="shared" ca="1" si="53"/>
        <v>0.59952511200834724</v>
      </c>
      <c r="L24" s="580">
        <f t="shared" ca="1" si="53"/>
        <v>2.8688317425508068E-2</v>
      </c>
      <c r="M24" s="580">
        <f t="shared" ca="1" si="53"/>
        <v>0</v>
      </c>
      <c r="N24" s="580">
        <f t="shared" ca="1" si="53"/>
        <v>0</v>
      </c>
      <c r="O24" s="580">
        <f t="shared" ca="1" si="53"/>
        <v>0</v>
      </c>
      <c r="P24" s="580">
        <f t="shared" ca="1" si="53"/>
        <v>0</v>
      </c>
      <c r="Q24" s="581">
        <f t="shared" ref="Q24:Q32" ca="1" si="54">SUM(G24:P24)</f>
        <v>24.640821075311127</v>
      </c>
      <c r="S24" s="582">
        <f t="shared" ref="S24:AJ30" ca="1" si="55">IFERROR(INDEX(INDIRECT($C24&amp;".Outputs["&amp;this.Year&amp;"]"), MATCH(S$5, INDIRECT($C24&amp;".Outputs[Vector]"), 0)), 0)</f>
        <v>-8.8942421637678293E-2</v>
      </c>
      <c r="T24" s="582">
        <f t="shared" ca="1" si="55"/>
        <v>0</v>
      </c>
      <c r="U24" s="582">
        <f t="shared" ca="1" si="55"/>
        <v>0</v>
      </c>
      <c r="V24" s="582">
        <f t="shared" ca="1" si="55"/>
        <v>-24.551878653673448</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-24.640821075311127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6.4787497391313478</v>
      </c>
      <c r="BP24" s="2759">
        <f t="shared" ca="1" si="62"/>
        <v>5.5683660786531386E-3</v>
      </c>
      <c r="BQ24" s="2759">
        <f t="shared" ca="1" si="62"/>
        <v>1.6439937946499741E-2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6.5007580431565009</v>
      </c>
    </row>
    <row r="25" spans="1:112" s="6" customFormat="1">
      <c r="A25" s="598"/>
      <c r="B25" s="598"/>
      <c r="C25" s="578" t="s">
        <v>471</v>
      </c>
      <c r="D25" s="614" t="s">
        <v>472</v>
      </c>
      <c r="E25" s="590"/>
      <c r="G25" s="580">
        <f t="shared" ca="1" si="53"/>
        <v>0</v>
      </c>
      <c r="H25" s="580">
        <f t="shared" ca="1" si="53"/>
        <v>0</v>
      </c>
      <c r="I25" s="580">
        <f t="shared" ca="1" si="53"/>
        <v>0</v>
      </c>
      <c r="J25" s="580">
        <f t="shared" ca="1" si="53"/>
        <v>16.039345115970029</v>
      </c>
      <c r="K25" s="580">
        <f t="shared" ca="1" si="53"/>
        <v>5.1361499769498426E-3</v>
      </c>
      <c r="L25" s="580">
        <f t="shared" ca="1" si="53"/>
        <v>0</v>
      </c>
      <c r="M25" s="580">
        <f t="shared" ca="1" si="53"/>
        <v>0.66</v>
      </c>
      <c r="N25" s="580">
        <f t="shared" ca="1" si="53"/>
        <v>0</v>
      </c>
      <c r="O25" s="580">
        <f t="shared" ca="1" si="53"/>
        <v>0</v>
      </c>
      <c r="P25" s="580">
        <f t="shared" ca="1" si="53"/>
        <v>0</v>
      </c>
      <c r="Q25" s="581">
        <f t="shared" ca="1" si="54"/>
        <v>16.704481265946978</v>
      </c>
      <c r="S25" s="582">
        <f t="shared" ca="1" si="55"/>
        <v>0</v>
      </c>
      <c r="T25" s="582">
        <f t="shared" ca="1" si="55"/>
        <v>0</v>
      </c>
      <c r="U25" s="582">
        <f t="shared" ca="1" si="55"/>
        <v>0</v>
      </c>
      <c r="V25" s="582">
        <f t="shared" ca="1" si="55"/>
        <v>-16.704481265946978</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-16.704481265946978</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3.066845866529706</v>
      </c>
      <c r="BP25" s="2759">
        <f t="shared" ca="1" si="62"/>
        <v>2.6358975387635953E-3</v>
      </c>
      <c r="BQ25" s="2759">
        <f t="shared" ca="1" si="62"/>
        <v>7.7821736858734716E-3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3.0772639377543429</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6.8942086199999997</v>
      </c>
      <c r="O26" s="580">
        <f t="shared" ca="1" si="53"/>
        <v>0</v>
      </c>
      <c r="P26" s="580">
        <f t="shared" ca="1" si="53"/>
        <v>0</v>
      </c>
      <c r="Q26" s="581">
        <f t="shared" ca="1" si="54"/>
        <v>6.8942086199999997</v>
      </c>
      <c r="S26" s="582">
        <f t="shared" ca="1" si="55"/>
        <v>0</v>
      </c>
      <c r="T26" s="582">
        <f t="shared" ca="1" si="55"/>
        <v>0</v>
      </c>
      <c r="U26" s="582">
        <f t="shared" ca="1" si="55"/>
        <v>0</v>
      </c>
      <c r="V26" s="582">
        <f t="shared" ca="1" si="55"/>
        <v>-6.8942086199999997</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-6.8942086199999997</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1.8192437706455995</v>
      </c>
      <c r="CV26" s="2759">
        <f t="shared" ca="1" si="65"/>
        <v>1.5636065150160001E-3</v>
      </c>
      <c r="CW26" s="2759">
        <f t="shared" ca="1" si="65"/>
        <v>4.6163620919519996E-3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1.8254237392525674</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6.8942086199999997</v>
      </c>
      <c r="O28" s="581">
        <f ca="1">SUM(O26:O27)</f>
        <v>0</v>
      </c>
      <c r="P28" s="581">
        <f t="shared" ca="1" si="66"/>
        <v>0</v>
      </c>
      <c r="Q28" s="581">
        <f t="shared" ca="1" si="54"/>
        <v>6.8942086199999997</v>
      </c>
      <c r="S28" s="583">
        <f t="shared" ref="S28:AJ28" ca="1" si="67">SUM(S26:S27)</f>
        <v>0</v>
      </c>
      <c r="T28" s="583">
        <f t="shared" ca="1" si="67"/>
        <v>0</v>
      </c>
      <c r="U28" s="583">
        <f t="shared" ca="1" si="67"/>
        <v>0</v>
      </c>
      <c r="V28" s="583">
        <f t="shared" ca="1" si="67"/>
        <v>-6.8942086199999997</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-6.8942086199999997</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1.8192437706455995</v>
      </c>
      <c r="CV28" s="2759">
        <f t="shared" ca="1" si="69"/>
        <v>1.5636065150160001E-3</v>
      </c>
      <c r="CW28" s="2759">
        <f t="shared" ca="1" si="69"/>
        <v>4.6163620919519996E-3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1.8254237392525674</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40.051952761847303</v>
      </c>
      <c r="K32" s="609">
        <f t="shared" ca="1" si="81"/>
        <v>0.60466126198529713</v>
      </c>
      <c r="L32" s="609">
        <f t="shared" ca="1" si="81"/>
        <v>2.8688317425508068E-2</v>
      </c>
      <c r="M32" s="609">
        <f t="shared" ca="1" si="81"/>
        <v>0.66</v>
      </c>
      <c r="N32" s="609">
        <f t="shared" ca="1" si="81"/>
        <v>6.8942086199999997</v>
      </c>
      <c r="O32" s="609">
        <f t="shared" ca="1" si="81"/>
        <v>0</v>
      </c>
      <c r="P32" s="609">
        <f t="shared" ca="1" si="81"/>
        <v>0</v>
      </c>
      <c r="Q32" s="609">
        <f t="shared" ca="1" si="54"/>
        <v>48.239510961258105</v>
      </c>
      <c r="S32" s="572">
        <f t="shared" ref="S32:AJ32" ca="1" si="82">S24+S25+S28+S31</f>
        <v>-8.8942421637678293E-2</v>
      </c>
      <c r="T32" s="572">
        <f t="shared" ca="1" si="82"/>
        <v>0</v>
      </c>
      <c r="U32" s="572">
        <f t="shared" ca="1" si="82"/>
        <v>0</v>
      </c>
      <c r="V32" s="572">
        <f t="shared" ca="1" si="82"/>
        <v>-48.150568539620423</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-48.239510961258098</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7.1054273576010019E-15</v>
      </c>
      <c r="BM32" s="575"/>
      <c r="BN32" s="404"/>
      <c r="BO32" s="2759">
        <f t="shared" ref="BO32:DF32" ca="1" si="84">BO24+BO25+BO28+BO31</f>
        <v>9.5455956056610543</v>
      </c>
      <c r="BP32" s="2759">
        <f t="shared" ca="1" si="84"/>
        <v>8.2042636174167339E-3</v>
      </c>
      <c r="BQ32" s="2759">
        <f t="shared" ca="1" si="84"/>
        <v>2.4222111632373214E-2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1.8192437706455995</v>
      </c>
      <c r="CV32" s="2759">
        <f t="shared" ca="1" si="84"/>
        <v>1.5636065150160001E-3</v>
      </c>
      <c r="CW32" s="2759">
        <f t="shared" ca="1" si="84"/>
        <v>4.6163620919519996E-3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11.403445720163411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38.053120882448788</v>
      </c>
      <c r="H40" s="624">
        <f t="shared" ca="1" si="101"/>
        <v>10.167670273755</v>
      </c>
      <c r="I40" s="624">
        <f t="shared" ca="1" si="101"/>
        <v>26.749751692722498</v>
      </c>
      <c r="J40" s="624">
        <f t="shared" ca="1" si="101"/>
        <v>40.051952761847303</v>
      </c>
      <c r="K40" s="624">
        <f t="shared" ca="1" si="101"/>
        <v>0.60466126198529713</v>
      </c>
      <c r="L40" s="624">
        <f t="shared" ca="1" si="101"/>
        <v>2.8688317425508068E-2</v>
      </c>
      <c r="M40" s="624">
        <f t="shared" ca="1" si="101"/>
        <v>0.66</v>
      </c>
      <c r="N40" s="624">
        <f t="shared" ca="1" si="101"/>
        <v>6.8942086199999997</v>
      </c>
      <c r="O40" s="624">
        <f t="shared" ca="1" si="101"/>
        <v>0</v>
      </c>
      <c r="P40" s="624">
        <f t="shared" ca="1" si="101"/>
        <v>0</v>
      </c>
      <c r="Q40" s="624">
        <f t="shared" ca="1" si="101"/>
        <v>123.21005381018439</v>
      </c>
      <c r="S40" s="625">
        <f t="shared" ref="S40:AJ40" ca="1" si="102">S$15+S$19+S$22+S$32+S$35+S$38</f>
        <v>-23.970533262392077</v>
      </c>
      <c r="T40" s="625">
        <f t="shared" ca="1" si="102"/>
        <v>0</v>
      </c>
      <c r="U40" s="625">
        <f t="shared" ca="1" si="102"/>
        <v>-3.911260782145896</v>
      </c>
      <c r="V40" s="625">
        <f t="shared" ca="1" si="102"/>
        <v>-71.305096353930395</v>
      </c>
      <c r="W40" s="625">
        <f t="shared" ca="1" si="102"/>
        <v>-23.826842861054548</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-5.2915063522883464E-2</v>
      </c>
      <c r="AJ40" s="625">
        <f t="shared" ca="1" si="102"/>
        <v>0</v>
      </c>
      <c r="AK40" s="625">
        <f ca="1">SUM(S40:AJ40)</f>
        <v>-123.0666483230458</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-0.1434054871385817</v>
      </c>
      <c r="BD40" s="626">
        <f t="shared" ca="1" si="103"/>
        <v>0</v>
      </c>
      <c r="BE40" s="626">
        <f t="shared" ca="1" si="103"/>
        <v>0</v>
      </c>
      <c r="BF40" s="626">
        <f ca="1">SUM(AM40:BE40)</f>
        <v>-0.1434054871385817</v>
      </c>
      <c r="BH40" s="3432">
        <f ca="1">BH$15+BH$19+BH$22+BH$32+BH$35+BH$38</f>
        <v>0</v>
      </c>
      <c r="BI40" s="3432">
        <f ca="1">BI$15+BI$19+BI$22+BI$32+BI$35+BI$38</f>
        <v>0</v>
      </c>
      <c r="BJ40" s="3432">
        <f ca="1">SUM(BH40:BI40)</f>
        <v>0</v>
      </c>
      <c r="BL40" s="3446">
        <f t="shared" ca="1" si="9"/>
        <v>1.2212453270876722E-14</v>
      </c>
      <c r="BM40" s="627"/>
      <c r="BO40" s="2762">
        <f t="shared" ref="BO40:DF40" ca="1" si="104">BO$15+BO$19+BO$22+BO$32+BO$35+BO$38</f>
        <v>21.854001520321667</v>
      </c>
      <c r="BP40" s="2762">
        <f t="shared" ca="1" si="104"/>
        <v>1.5464003766589123E-2</v>
      </c>
      <c r="BQ40" s="2762">
        <f t="shared" ca="1" si="104"/>
        <v>0.11902206120878951</v>
      </c>
      <c r="BR40" s="2762">
        <f t="shared" ca="1" si="104"/>
        <v>0</v>
      </c>
      <c r="BS40" s="2762">
        <f t="shared" ca="1" si="104"/>
        <v>0</v>
      </c>
      <c r="BT40" s="2762">
        <f t="shared" ca="1" si="104"/>
        <v>0</v>
      </c>
      <c r="BU40" s="2762">
        <f t="shared" ca="1" si="104"/>
        <v>0</v>
      </c>
      <c r="BV40" s="2762">
        <f t="shared" ca="1" si="104"/>
        <v>0</v>
      </c>
      <c r="BW40" s="2762">
        <f t="shared" ca="1" si="104"/>
        <v>1.1453526437499997</v>
      </c>
      <c r="BX40" s="2762">
        <f t="shared" ca="1" si="104"/>
        <v>0</v>
      </c>
      <c r="BY40" s="2762">
        <f t="shared" ca="1" si="104"/>
        <v>0</v>
      </c>
      <c r="BZ40" s="2762">
        <f t="shared" ca="1" si="104"/>
        <v>1.1218527736220998</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1.8192437706455995</v>
      </c>
      <c r="CV40" s="2762">
        <f t="shared" ca="1" si="104"/>
        <v>1.5636065150160001E-3</v>
      </c>
      <c r="CW40" s="2762">
        <f t="shared" ca="1" si="104"/>
        <v>4.6163620919519996E-3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26.081116741921708</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6.568800000000001E-2</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0.11042463999999999</v>
      </c>
      <c r="AG49" s="582">
        <f t="shared" ca="1" si="115"/>
        <v>4.2997500000000006E-3</v>
      </c>
      <c r="AH49" s="582">
        <f t="shared" ca="1" si="115"/>
        <v>0.15632142658010748</v>
      </c>
      <c r="AI49" s="582">
        <f t="shared" ca="1" si="115"/>
        <v>0</v>
      </c>
      <c r="AJ49" s="582">
        <f t="shared" ca="1" si="115"/>
        <v>0</v>
      </c>
      <c r="AK49" s="583">
        <f ca="1">SUM(S49:AJ49)</f>
        <v>0.33673381658010748</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-0.33673381658010743</v>
      </c>
      <c r="BF49" s="600">
        <f ca="1">SUM(AM49:BE49)</f>
        <v>-0.33673381658010743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0.9474770454989212</v>
      </c>
      <c r="CO49" s="2759">
        <f t="shared" ca="1" si="121"/>
        <v>5.4813037500000002E-2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1.0022900829989212</v>
      </c>
    </row>
    <row r="50" spans="1:112" s="6" customFormat="1">
      <c r="A50" s="598"/>
      <c r="B50" s="598"/>
      <c r="C50" s="578" t="s">
        <v>501</v>
      </c>
      <c r="D50" s="602" t="s">
        <v>502</v>
      </c>
      <c r="E50" s="602"/>
      <c r="G50" s="610">
        <f t="shared" ca="1" si="114"/>
        <v>0</v>
      </c>
      <c r="H50" s="610">
        <f t="shared" ca="1" si="114"/>
        <v>0</v>
      </c>
      <c r="I50" s="610">
        <f t="shared" ca="1" si="114"/>
        <v>2.6423610000000002</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2.6423610000000002</v>
      </c>
      <c r="S50" s="611">
        <f t="shared" ca="1" si="115"/>
        <v>-0.55489580999999999</v>
      </c>
      <c r="T50" s="611">
        <f t="shared" ca="1" si="115"/>
        <v>0</v>
      </c>
      <c r="U50" s="611">
        <f t="shared" ca="1" si="115"/>
        <v>0</v>
      </c>
      <c r="V50" s="611">
        <f t="shared" ca="1" si="115"/>
        <v>-2.0874651900000001</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0.17043230989583333</v>
      </c>
      <c r="AE50" s="611">
        <f t="shared" ca="1" si="115"/>
        <v>0.14776594798442105</v>
      </c>
      <c r="AF50" s="611">
        <f t="shared" ca="1" si="115"/>
        <v>1.4849264315315323</v>
      </c>
      <c r="AG50" s="611">
        <f t="shared" ca="1" si="115"/>
        <v>5.2951320706856764E-2</v>
      </c>
      <c r="AH50" s="611">
        <f t="shared" ca="1" si="115"/>
        <v>0</v>
      </c>
      <c r="AI50" s="611">
        <f t="shared" ca="1" si="115"/>
        <v>0</v>
      </c>
      <c r="AJ50" s="611">
        <f t="shared" ca="1" si="115"/>
        <v>0</v>
      </c>
      <c r="AK50" s="604">
        <f ca="1">SUM(S50:AJ50)</f>
        <v>-0.78628498988135687</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-0.31819825788025435</v>
      </c>
      <c r="BE50" s="612">
        <f t="shared" ca="1" si="117"/>
        <v>-1.5378777522383891</v>
      </c>
      <c r="BF50" s="606">
        <f ca="1">SUM(AM50:BE50)</f>
        <v>-1.8560760101186435</v>
      </c>
      <c r="BH50" s="3441">
        <f t="shared" ca="1" si="118"/>
        <v>0</v>
      </c>
      <c r="BI50" s="3441">
        <f t="shared" ca="1" si="118"/>
        <v>0</v>
      </c>
      <c r="BJ50" s="3430">
        <f ca="1">SUM(BH50:BI50)</f>
        <v>0</v>
      </c>
      <c r="BL50" s="601">
        <f ca="1">Q50+AK50+BF50+BJ50</f>
        <v>-2.2204460492503131E-16</v>
      </c>
      <c r="BM50" s="601"/>
      <c r="BN50" s="404"/>
      <c r="BO50" s="2760">
        <f t="shared" ca="1" si="119"/>
        <v>0.55084031433719993</v>
      </c>
      <c r="BP50" s="2761">
        <f t="shared" ca="1" si="119"/>
        <v>4.7343710509200004E-4</v>
      </c>
      <c r="BQ50" s="2761">
        <f t="shared" ca="1" si="119"/>
        <v>1.3977666912240001E-3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10.661155536744642</v>
      </c>
      <c r="CG50" s="2761">
        <f t="shared" ca="1" si="120"/>
        <v>6.0353501841010155</v>
      </c>
      <c r="CH50" s="2761">
        <f t="shared" ca="1" si="120"/>
        <v>0</v>
      </c>
      <c r="CI50" s="2761">
        <f t="shared" ca="1" si="121"/>
        <v>3.6481720684198971</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20.89738930739907</v>
      </c>
    </row>
    <row r="51" spans="1:112" s="6" customFormat="1" ht="15.5">
      <c r="A51" s="4"/>
      <c r="B51" s="3"/>
      <c r="C51" s="607" t="s">
        <v>503</v>
      </c>
      <c r="D51" s="608" t="s">
        <v>504</v>
      </c>
      <c r="E51" s="201"/>
      <c r="G51" s="609">
        <f ca="1">SUM(G48:G50)</f>
        <v>0</v>
      </c>
      <c r="H51" s="609">
        <f t="shared" ref="H51:P51" ca="1" si="123">SUM(H48:H50)</f>
        <v>0</v>
      </c>
      <c r="I51" s="609">
        <f t="shared" ca="1" si="123"/>
        <v>2.6423610000000002</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2.6423610000000002</v>
      </c>
      <c r="S51" s="572">
        <f t="shared" ref="S51:AJ51" ca="1" si="124">SUM(S48:S50)</f>
        <v>-0.55489580999999999</v>
      </c>
      <c r="T51" s="572">
        <f t="shared" ca="1" si="124"/>
        <v>0</v>
      </c>
      <c r="U51" s="572">
        <f t="shared" ca="1" si="124"/>
        <v>0</v>
      </c>
      <c r="V51" s="572">
        <f t="shared" ca="1" si="124"/>
        <v>-2.0874651900000001</v>
      </c>
      <c r="W51" s="572">
        <f t="shared" ca="1" si="124"/>
        <v>0</v>
      </c>
      <c r="X51" s="572">
        <f t="shared" ca="1" si="124"/>
        <v>6.568800000000001E-2</v>
      </c>
      <c r="Y51" s="572">
        <f t="shared" ca="1" si="124"/>
        <v>0</v>
      </c>
      <c r="Z51" s="572">
        <f t="shared" ca="1" si="124"/>
        <v>0</v>
      </c>
      <c r="AA51" s="572">
        <f t="shared" ca="1" si="124"/>
        <v>0</v>
      </c>
      <c r="AB51" s="572">
        <f t="shared" ca="1" si="124"/>
        <v>0</v>
      </c>
      <c r="AC51" s="572">
        <f t="shared" ca="1" si="124"/>
        <v>0</v>
      </c>
      <c r="AD51" s="572">
        <f t="shared" ca="1" si="124"/>
        <v>0.17043230989583333</v>
      </c>
      <c r="AE51" s="572">
        <f ca="1">SUM(AE48:AE50)</f>
        <v>0.14776594798442105</v>
      </c>
      <c r="AF51" s="572">
        <f t="shared" ca="1" si="124"/>
        <v>1.5953510715315322</v>
      </c>
      <c r="AG51" s="572">
        <f t="shared" ca="1" si="124"/>
        <v>5.7251070706856762E-2</v>
      </c>
      <c r="AH51" s="572">
        <f ca="1">SUM(AH48:AH50)</f>
        <v>0.15632142658010748</v>
      </c>
      <c r="AI51" s="572">
        <f t="shared" ca="1" si="124"/>
        <v>0</v>
      </c>
      <c r="AJ51" s="572">
        <f t="shared" ca="1" si="124"/>
        <v>0</v>
      </c>
      <c r="AK51" s="572">
        <f ca="1">SUM(S51:AJ51)</f>
        <v>-0.44955117330124927</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-0.31819825788025435</v>
      </c>
      <c r="BE51" s="573">
        <f t="shared" ca="1" si="125"/>
        <v>-1.8746115688184966</v>
      </c>
      <c r="BF51" s="573">
        <f ca="1">SUM(AM51:BE51)</f>
        <v>-2.1928098266987508</v>
      </c>
      <c r="BH51" s="3431">
        <f ca="1">SUM(BH48:BH50)</f>
        <v>0</v>
      </c>
      <c r="BI51" s="3431">
        <f ca="1">SUM(BI48:BI50)</f>
        <v>0</v>
      </c>
      <c r="BJ51" s="3431">
        <f ca="1">SUM(BH51:BI51)</f>
        <v>0</v>
      </c>
      <c r="BL51" s="3445">
        <f ca="1">Q51+AK51+BF51+BJ51</f>
        <v>0</v>
      </c>
      <c r="BM51" s="575"/>
      <c r="BN51" s="404"/>
      <c r="BO51" s="2759">
        <f t="shared" ref="BO51:DF51" ca="1" si="126">SUM(BO48:BO50)</f>
        <v>0.55084031433719993</v>
      </c>
      <c r="BP51" s="2759">
        <f t="shared" ca="1" si="126"/>
        <v>4.7343710509200004E-4</v>
      </c>
      <c r="BQ51" s="2759">
        <f t="shared" ca="1" si="126"/>
        <v>1.3977666912240001E-3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10.661155536744642</v>
      </c>
      <c r="CG51" s="2759">
        <f t="shared" ca="1" si="126"/>
        <v>6.0353501841010155</v>
      </c>
      <c r="CH51" s="2759">
        <f t="shared" ca="1" si="126"/>
        <v>0</v>
      </c>
      <c r="CI51" s="2759">
        <f t="shared" ca="1" si="126"/>
        <v>3.6481720684198971</v>
      </c>
      <c r="CJ51" s="2759">
        <f t="shared" ca="1" si="126"/>
        <v>0</v>
      </c>
      <c r="CK51" s="2759">
        <f t="shared" ca="1" si="126"/>
        <v>0</v>
      </c>
      <c r="CL51" s="2759">
        <f t="shared" ca="1" si="126"/>
        <v>0</v>
      </c>
      <c r="CM51" s="2759">
        <f t="shared" ca="1" si="126"/>
        <v>0</v>
      </c>
      <c r="CN51" s="2759">
        <f t="shared" ca="1" si="126"/>
        <v>0.9474770454989212</v>
      </c>
      <c r="CO51" s="2759">
        <f t="shared" ca="1" si="126"/>
        <v>5.4813037500000002E-2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21.899679390397992</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0.17950357350456733</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0.17950357350456733</v>
      </c>
      <c r="S54" s="611">
        <f t="shared" ca="1" si="128"/>
        <v>-5.632506858883312E-2</v>
      </c>
      <c r="T54" s="611">
        <f t="shared" ca="1" si="128"/>
        <v>0</v>
      </c>
      <c r="U54" s="611">
        <f t="shared" ca="1" si="128"/>
        <v>-2.5149366726995451E-3</v>
      </c>
      <c r="V54" s="611">
        <f t="shared" ca="1" si="128"/>
        <v>0</v>
      </c>
      <c r="W54" s="611">
        <f t="shared" ca="1" si="128"/>
        <v>-0.12066356824303466</v>
      </c>
      <c r="X54" s="611">
        <f t="shared" ca="1" si="128"/>
        <v>7</v>
      </c>
      <c r="Y54" s="611">
        <f t="shared" ca="1" si="128"/>
        <v>0</v>
      </c>
      <c r="Z54" s="611">
        <f t="shared" ca="1" si="128"/>
        <v>1.7555282514130199</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8.5760246779084532</v>
      </c>
      <c r="AM54" s="612">
        <f t="shared" ca="1" si="129"/>
        <v>-7</v>
      </c>
      <c r="AN54" s="612">
        <f t="shared" ca="1" si="129"/>
        <v>0</v>
      </c>
      <c r="AO54" s="612">
        <f t="shared" ca="1" si="129"/>
        <v>-1.7555282514130199</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-8.7555282514130202</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2.3654063230198457E-2</v>
      </c>
      <c r="BP54" s="2761">
        <f t="shared" ca="1" si="131"/>
        <v>8.7350366264119374E-6</v>
      </c>
      <c r="BQ54" s="2761">
        <f t="shared" ca="1" si="131"/>
        <v>3.7394275843544432E-4</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2.4036741025260315E-2</v>
      </c>
    </row>
    <row r="55" spans="1:112" s="6" customFormat="1" ht="15.5">
      <c r="A55" s="643"/>
      <c r="B55" s="644"/>
      <c r="C55" s="607" t="s">
        <v>509</v>
      </c>
      <c r="D55" s="608" t="s">
        <v>510</v>
      </c>
      <c r="E55" s="201"/>
      <c r="G55" s="609">
        <f ca="1">SUM(G53:G54)</f>
        <v>0</v>
      </c>
      <c r="H55" s="609">
        <f t="shared" ref="H55:P55" ca="1" si="135">SUM(H53:H54)</f>
        <v>0</v>
      </c>
      <c r="I55" s="609">
        <f t="shared" ca="1" si="135"/>
        <v>0.17950357350456733</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0.17950357350456733</v>
      </c>
      <c r="S55" s="572">
        <f t="shared" ref="S55:AJ55" ca="1" si="136">SUM(S53:S54)</f>
        <v>-0.28231317341245338</v>
      </c>
      <c r="T55" s="572">
        <f t="shared" ca="1" si="136"/>
        <v>0</v>
      </c>
      <c r="U55" s="572">
        <f t="shared" ca="1" si="136"/>
        <v>-2.5149366726995451E-3</v>
      </c>
      <c r="V55" s="572">
        <f t="shared" ca="1" si="136"/>
        <v>-1.8522858135888711</v>
      </c>
      <c r="W55" s="572">
        <f t="shared" ca="1" si="136"/>
        <v>-0.20306552149173851</v>
      </c>
      <c r="X55" s="572">
        <f ca="1">SUM(X53:X54)</f>
        <v>7</v>
      </c>
      <c r="Y55" s="572">
        <f ca="1">SUM(Y53:Y54)</f>
        <v>0</v>
      </c>
      <c r="Z55" s="572">
        <f ca="1">SUM(Z53:Z54)</f>
        <v>1.7555282514130199</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6.3888108065228382</v>
      </c>
      <c r="AM55" s="573">
        <f t="shared" ref="AM55:BE55" ca="1" si="137">SUM(AM53:AM54)</f>
        <v>-7</v>
      </c>
      <c r="AN55" s="573">
        <f t="shared" ca="1" si="137"/>
        <v>0</v>
      </c>
      <c r="AO55" s="573">
        <f t="shared" ca="1" si="137"/>
        <v>-1.7555282514130199</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-8.7555282514130202</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0.52930467047144825</v>
      </c>
      <c r="BP55" s="2759">
        <f t="shared" ca="1" si="139"/>
        <v>4.3506304681396993E-4</v>
      </c>
      <c r="BQ55" s="2759">
        <f t="shared" ca="1" si="139"/>
        <v>1.8809190207086577E-3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0.53162065253897084</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5.5339757999999994</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5.5339757999999994</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-5.5339757999999994</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-5.5339757999999994</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8.3277000000000018E-2</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8.3277000000000018E-2</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-8.3277000000000018E-2</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-8.3277000000000018E-2</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0.74791511999999993</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0.74791511999999993</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-0.74791511999999993</v>
      </c>
      <c r="BC59" s="584">
        <f t="shared" ca="1" si="145"/>
        <v>0</v>
      </c>
      <c r="BD59" s="584">
        <f t="shared" ca="1" si="145"/>
        <v>0</v>
      </c>
      <c r="BE59" s="584">
        <f t="shared" ca="1" si="145"/>
        <v>0</v>
      </c>
      <c r="BF59" s="600">
        <f t="shared" ca="1" si="146"/>
        <v>-0.74791511999999993</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3.9627123287671231E-3</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3.9627123287671231E-3</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-3.9627123287671231E-3</v>
      </c>
      <c r="BA60" s="584">
        <f t="shared" ca="1" si="144"/>
        <v>0</v>
      </c>
      <c r="BB60" s="584">
        <f t="shared" ca="1" si="144"/>
        <v>0</v>
      </c>
      <c r="BC60" s="584">
        <f t="shared" ca="1" si="145"/>
        <v>0</v>
      </c>
      <c r="BD60" s="584">
        <f t="shared" ca="1" si="145"/>
        <v>0</v>
      </c>
      <c r="BE60" s="584">
        <f t="shared" ca="1" si="145"/>
        <v>0</v>
      </c>
      <c r="BF60" s="600">
        <f t="shared" ca="1" si="146"/>
        <v>-3.9627123287671231E-3</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6.3691306323287664</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6.3691306323287664</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-5.6172527999999993</v>
      </c>
      <c r="AY63" s="573">
        <f t="shared" ca="1" si="155"/>
        <v>0</v>
      </c>
      <c r="AZ63" s="573">
        <f t="shared" ca="1" si="155"/>
        <v>-3.9627123287671231E-3</v>
      </c>
      <c r="BA63" s="573">
        <f t="shared" ca="1" si="155"/>
        <v>0</v>
      </c>
      <c r="BB63" s="573">
        <f t="shared" ca="1" si="155"/>
        <v>-0.74791511999999993</v>
      </c>
      <c r="BC63" s="573">
        <f t="shared" ca="1" si="155"/>
        <v>0</v>
      </c>
      <c r="BD63" s="573">
        <f t="shared" ca="1" si="155"/>
        <v>0</v>
      </c>
      <c r="BE63" s="573">
        <f t="shared" ca="1" si="155"/>
        <v>0</v>
      </c>
      <c r="BF63" s="573">
        <f t="shared" ca="1" si="146"/>
        <v>-6.3691306323287664</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3.779647394491676E-3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3.779647394491676E-3</v>
      </c>
      <c r="S66" s="651">
        <f t="shared" ca="1" si="158"/>
        <v>-3.779647394491676E-3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5.2915063522883464E-2</v>
      </c>
      <c r="AJ66" s="651">
        <f t="shared" ca="1" si="158"/>
        <v>0</v>
      </c>
      <c r="AK66" s="652">
        <f ca="1">SUM(S66:AJ66)</f>
        <v>4.9135416128391785E-2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-5.2915063522883464E-2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-5.2915063522883464E-2</v>
      </c>
      <c r="BH66" s="654">
        <f t="shared" ca="1" si="161"/>
        <v>0</v>
      </c>
      <c r="BI66" s="654">
        <f t="shared" ca="1" si="161"/>
        <v>0</v>
      </c>
      <c r="BJ66" s="655">
        <f ca="1">SUM(BH66:BI66)</f>
        <v>0</v>
      </c>
      <c r="BL66" s="601">
        <f t="shared" ca="1" si="162"/>
        <v>-6.9388939039072284E-18</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3.779647394491676E-3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3.779647394491676E-3</v>
      </c>
      <c r="S68" s="572">
        <f t="shared" ref="S68:AJ68" ca="1" si="165">SUM(S65:S67)</f>
        <v>-3.779647394491676E-3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5.2915063522883464E-2</v>
      </c>
      <c r="AJ68" s="572">
        <f t="shared" ca="1" si="165"/>
        <v>0</v>
      </c>
      <c r="AK68" s="572">
        <f ca="1">SUM(S68:AJ68)</f>
        <v>4.9135416128391785E-2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-5.2915063522883464E-2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-5.2915063522883464E-2</v>
      </c>
      <c r="BH68" s="3431">
        <f ca="1">SUM(BH65:BH67)</f>
        <v>0</v>
      </c>
      <c r="BI68" s="3431">
        <f ca="1">SUM(BI65:BI67)</f>
        <v>0</v>
      </c>
      <c r="BJ68" s="3431">
        <f ca="1">SUM(BH68:BI68)</f>
        <v>0</v>
      </c>
      <c r="BL68" s="3445">
        <f t="shared" ca="1" si="162"/>
        <v>-6.9388939039072284E-18</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-24.811521893199025</v>
      </c>
      <c r="T74" s="662">
        <f ca="1">T$40+T$46+T$51+T$99+T$55+T$93+T$63+T$68+T$72</f>
        <v>5.3216123209067536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-24.811521893199025</v>
      </c>
      <c r="T78" s="662">
        <f ca="1">T$74+T$76</f>
        <v>5.3216123209067536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-24.811521893199025</v>
      </c>
      <c r="T80" s="636">
        <f ca="1">T78+T79</f>
        <v>5.3216123209067536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19.48990957229227</v>
      </c>
      <c r="U81" s="611">
        <f t="shared" ca="1" si="190"/>
        <v>-21.10530957034457</v>
      </c>
      <c r="V81" s="611">
        <f t="shared" ca="1" si="190"/>
        <v>0</v>
      </c>
      <c r="W81" s="611">
        <f t="shared" ca="1" si="190"/>
        <v>-24.744703032876998</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-26.360103030929299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25.90883306403585</v>
      </c>
      <c r="BI81" s="3441">
        <f ca="1">IFERROR(INDEX(INDIRECT($C81&amp;".Outputs["&amp;this.Year&amp;"]"), MATCH(BI$5, INDIRECT($C81&amp;".Outputs[Vector]"), 0)), 0)</f>
        <v>0.45126996689345089</v>
      </c>
      <c r="BJ81" s="3430">
        <f ca="1">SUM(BH81:BI81)</f>
        <v>26.360103030929302</v>
      </c>
      <c r="BK81" s="6"/>
      <c r="BL81" s="601">
        <f t="shared" ca="1" si="176"/>
        <v>0</v>
      </c>
      <c r="BM81" s="601"/>
      <c r="BN81" s="404"/>
      <c r="BO81" s="2760">
        <f t="shared" ref="BO81:DF81" ca="1" si="192">IFERROR(SUMIFS(INDIRECT($C81&amp;".Emissions["&amp;this.Year&amp;"]"), INDIRECT($C81&amp;".Emissions[GHG]"), BO$6, INDIRECT($C81&amp;".Emissions[IPCC Sector]"), BO$5),0)</f>
        <v>12.547671831911057</v>
      </c>
      <c r="BP81" s="2761">
        <f t="shared" ca="1" si="192"/>
        <v>3.0992818299943993E-3</v>
      </c>
      <c r="BQ81" s="2761">
        <f t="shared" ca="1" si="192"/>
        <v>9.3038195909880606E-2</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12.643809309650932</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19.48990957229227</v>
      </c>
      <c r="U82" s="572">
        <f t="shared" ca="1" si="194"/>
        <v>-21.10530957034457</v>
      </c>
      <c r="V82" s="572">
        <f t="shared" ca="1" si="194"/>
        <v>0</v>
      </c>
      <c r="W82" s="572">
        <f t="shared" ca="1" si="194"/>
        <v>-24.744703032876998</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-26.360103030929299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25.90883306403585</v>
      </c>
      <c r="BI82" s="3431">
        <f ca="1">BI79+BI81</f>
        <v>0.45126996689345089</v>
      </c>
      <c r="BJ82" s="3431">
        <f ca="1">SUM(BH82:BI82)</f>
        <v>26.360103030929302</v>
      </c>
      <c r="BL82" s="3445">
        <f t="shared" ca="1" si="176"/>
        <v>0</v>
      </c>
      <c r="BM82" s="575"/>
      <c r="BN82" s="404"/>
      <c r="BO82" s="2759">
        <f t="shared" ref="BO82:DF82" ca="1" si="196">BO79+BO81</f>
        <v>12.547671831911057</v>
      </c>
      <c r="BP82" s="2759">
        <f t="shared" ca="1" si="196"/>
        <v>3.0992818299943993E-3</v>
      </c>
      <c r="BQ82" s="2759">
        <f t="shared" ca="1" si="196"/>
        <v>9.3038195909880606E-2</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12.643809309650932</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3.779647394491676E-3</v>
      </c>
      <c r="I84" s="671">
        <f t="shared" ca="1" si="197"/>
        <v>2.8218645735045675</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2.8256442208990591</v>
      </c>
      <c r="S84" s="625">
        <f t="shared" ref="S84:AJ84" ca="1" si="198">S$51+S$55+S$63+S$68+S$72+S$76+S$82+S$46</f>
        <v>-0.84098863080694508</v>
      </c>
      <c r="T84" s="625">
        <f t="shared" ca="1" si="198"/>
        <v>25.855249061803264</v>
      </c>
      <c r="U84" s="625">
        <f t="shared" ca="1" si="198"/>
        <v>-21.10782450701727</v>
      </c>
      <c r="V84" s="625">
        <f t="shared" ca="1" si="198"/>
        <v>-3.9397510035888712</v>
      </c>
      <c r="W84" s="625">
        <f t="shared" ca="1" si="198"/>
        <v>-24.947768554368736</v>
      </c>
      <c r="X84" s="625">
        <f t="shared" ca="1" si="198"/>
        <v>7.0656879999999997</v>
      </c>
      <c r="Y84" s="625">
        <f t="shared" ca="1" si="198"/>
        <v>0</v>
      </c>
      <c r="Z84" s="625">
        <f t="shared" ca="1" si="198"/>
        <v>1.7555282514130199</v>
      </c>
      <c r="AA84" s="625">
        <f t="shared" ca="1" si="198"/>
        <v>0</v>
      </c>
      <c r="AB84" s="625">
        <f t="shared" ca="1" si="198"/>
        <v>0</v>
      </c>
      <c r="AC84" s="625">
        <f t="shared" ca="1" si="198"/>
        <v>0</v>
      </c>
      <c r="AD84" s="625">
        <f t="shared" ca="1" si="198"/>
        <v>0.17043230989583333</v>
      </c>
      <c r="AE84" s="625">
        <f t="shared" ca="1" si="198"/>
        <v>0.14776594798442105</v>
      </c>
      <c r="AF84" s="625">
        <f t="shared" ca="1" si="198"/>
        <v>1.5953510715315322</v>
      </c>
      <c r="AG84" s="625">
        <f t="shared" ca="1" si="198"/>
        <v>5.7251070706856762E-2</v>
      </c>
      <c r="AH84" s="625">
        <f t="shared" ca="1" si="198"/>
        <v>0.15632142658010748</v>
      </c>
      <c r="AI84" s="625">
        <f t="shared" ca="1" si="198"/>
        <v>5.2915063522883464E-2</v>
      </c>
      <c r="AJ84" s="625">
        <f t="shared" ca="1" si="198"/>
        <v>0</v>
      </c>
      <c r="AK84" s="625">
        <f ca="1">SUM(S84:AJ84)</f>
        <v>-13.979830492343902</v>
      </c>
      <c r="AM84" s="626">
        <f t="shared" ref="AM84:BE84" ca="1" si="199">AM$51+AM$55+AM$63+AM$68+AM$72+AM$76+AM$82+AM$46</f>
        <v>-7</v>
      </c>
      <c r="AN84" s="626">
        <f t="shared" ca="1" si="199"/>
        <v>0</v>
      </c>
      <c r="AO84" s="626">
        <f t="shared" ca="1" si="199"/>
        <v>-1.7555282514130199</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-5.2915063522883464E-2</v>
      </c>
      <c r="AX84" s="626">
        <f t="shared" ca="1" si="199"/>
        <v>-5.6172527999999993</v>
      </c>
      <c r="AY84" s="626">
        <f t="shared" ca="1" si="199"/>
        <v>0</v>
      </c>
      <c r="AZ84" s="626">
        <f t="shared" ca="1" si="199"/>
        <v>-3.9627123287671231E-3</v>
      </c>
      <c r="BA84" s="626">
        <f t="shared" ca="1" si="199"/>
        <v>0</v>
      </c>
      <c r="BB84" s="626">
        <f t="shared" ca="1" si="199"/>
        <v>-0.74791511999999993</v>
      </c>
      <c r="BC84" s="626">
        <f t="shared" ca="1" si="199"/>
        <v>0</v>
      </c>
      <c r="BD84" s="626">
        <f t="shared" ca="1" si="199"/>
        <v>-0.31819825788025435</v>
      </c>
      <c r="BE84" s="626">
        <f t="shared" ca="1" si="199"/>
        <v>-1.8746115688184966</v>
      </c>
      <c r="BF84" s="626">
        <f ca="1">SUM(AM84:BE84)</f>
        <v>-17.370383773963422</v>
      </c>
      <c r="BH84" s="3432">
        <f ca="1">BH$51+BH$55+BH$63+BH$68+BH$72+BH$76+BH$82+BH$46</f>
        <v>25.886086207129203</v>
      </c>
      <c r="BI84" s="3432">
        <f ca="1">BI$51+BI$55+BI$63+BI$68+BI$72+BI$76+BI$82+BI$46</f>
        <v>2.6384838382790656</v>
      </c>
      <c r="BJ84" s="3432">
        <f ca="1">SUM(BH84:BI84)</f>
        <v>28.524570045408268</v>
      </c>
      <c r="BL84" s="3446">
        <f t="shared" ca="1" si="176"/>
        <v>0</v>
      </c>
      <c r="BM84" s="627"/>
      <c r="BO84" s="2762">
        <f t="shared" ref="BO84:DE84" ca="1" si="200">BO$51+BO$55+BO$63+BO$68+BO$72+BO$76+BO$82+BO$46</f>
        <v>13.627816816719704</v>
      </c>
      <c r="BP84" s="2762">
        <f t="shared" ca="1" si="200"/>
        <v>4.0077819819003694E-3</v>
      </c>
      <c r="BQ84" s="2762">
        <f t="shared" ca="1" si="200"/>
        <v>9.6316881621813261E-2</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10.661155536744642</v>
      </c>
      <c r="CG84" s="2762">
        <f t="shared" ca="1" si="200"/>
        <v>6.0353501841010155</v>
      </c>
      <c r="CH84" s="2762">
        <f t="shared" ca="1" si="200"/>
        <v>0</v>
      </c>
      <c r="CI84" s="2762">
        <f t="shared" ca="1" si="200"/>
        <v>3.6481720684198971</v>
      </c>
      <c r="CJ84" s="2762">
        <f t="shared" ca="1" si="200"/>
        <v>0</v>
      </c>
      <c r="CK84" s="2762">
        <f t="shared" ca="1" si="200"/>
        <v>0</v>
      </c>
      <c r="CL84" s="2762">
        <f t="shared" ca="1" si="200"/>
        <v>0</v>
      </c>
      <c r="CM84" s="2762">
        <f t="shared" ca="1" si="200"/>
        <v>0</v>
      </c>
      <c r="CN84" s="2762">
        <f t="shared" ca="1" si="200"/>
        <v>0.9474770454989212</v>
      </c>
      <c r="CO84" s="2762">
        <f t="shared" ca="1" si="200"/>
        <v>5.4813037500000002E-2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35.075109352587894</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2.5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2.5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-2.5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-24.807742245804533</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-3.5437271686042386</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-3.5437271686042386</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3.5437271686042378</v>
      </c>
      <c r="BJ91" s="3428">
        <f ca="1">SUM(BH91:BI91)</f>
        <v>3.5437271686042378</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-0.14730492333159814</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-0.14730492333159814</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8.8382953998958874E-2</v>
      </c>
      <c r="BI92" s="3441">
        <f ca="1">IFERROR(INDEX(INDIRECT($C92&amp;".Outputs["&amp;this.Year&amp;"]"), MATCH(BI$5, INDIRECT($C92&amp;".Outputs[Vector]"), 0)), 0)</f>
        <v>5.8921969332639261E-2</v>
      </c>
      <c r="BJ92" s="3430">
        <f ca="1">SUM(BH92:BI92)</f>
        <v>0.14730492333159814</v>
      </c>
      <c r="BK92" s="6"/>
      <c r="BL92" s="645">
        <f t="shared" ca="1" si="204"/>
        <v>0</v>
      </c>
      <c r="BM92" s="601"/>
      <c r="BO92" s="2760">
        <f t="shared" ca="1" si="210"/>
        <v>3.0156440670352769E-2</v>
      </c>
      <c r="BP92" s="2761">
        <f t="shared" ca="1" si="210"/>
        <v>1.113625220386882E-5</v>
      </c>
      <c r="BQ92" s="2761">
        <f t="shared" ca="1" si="210"/>
        <v>4.7673765387038424E-4</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-1.0437271686042386</v>
      </c>
      <c r="U93" s="572">
        <f t="shared" ca="1" si="215"/>
        <v>0</v>
      </c>
      <c r="V93" s="572">
        <f t="shared" ca="1" si="215"/>
        <v>0</v>
      </c>
      <c r="W93" s="572">
        <f t="shared" ca="1" si="215"/>
        <v>-0.14730492333159814</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-1.1910320919358368</v>
      </c>
      <c r="AL93" s="6"/>
      <c r="AM93" s="573">
        <f t="shared" ref="AM93:BE93" ca="1" si="216">AM$89+AM$91+AM$92</f>
        <v>0</v>
      </c>
      <c r="AN93" s="573">
        <f t="shared" ca="1" si="216"/>
        <v>0</v>
      </c>
      <c r="AO93" s="573">
        <f t="shared" ca="1" si="216"/>
        <v>0</v>
      </c>
      <c r="AP93" s="573">
        <f t="shared" ca="1" si="216"/>
        <v>0</v>
      </c>
      <c r="AQ93" s="573">
        <f t="shared" ca="1" si="216"/>
        <v>-2.5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-2.5</v>
      </c>
      <c r="BG93" s="6"/>
      <c r="BH93" s="3431">
        <f ca="1">BH$89+BH$91+BH$92</f>
        <v>8.8382953998958874E-2</v>
      </c>
      <c r="BI93" s="3431">
        <f ca="1">BI$89+BI$91+BI$92</f>
        <v>3.602649137936877</v>
      </c>
      <c r="BJ93" s="3431">
        <f ca="1">SUM(BH93:BI93)</f>
        <v>3.6910320919358357</v>
      </c>
      <c r="BK93" s="6"/>
      <c r="BL93" s="3445">
        <f t="shared" ca="1" si="204"/>
        <v>0</v>
      </c>
      <c r="BM93" s="575"/>
      <c r="BN93" s="404"/>
      <c r="BO93" s="2759">
        <f t="shared" ref="BO93:DF93" ca="1" si="217">BO$89+BO$91+BO$92</f>
        <v>3.0156440670352769E-2</v>
      </c>
      <c r="BP93" s="2759">
        <f t="shared" ca="1" si="217"/>
        <v>1.113625220386882E-5</v>
      </c>
      <c r="BQ93" s="2759">
        <f t="shared" ca="1" si="217"/>
        <v>4.7673765387038424E-4</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3.064431457642702E-2</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-25.019085289163165</v>
      </c>
      <c r="V95" s="636">
        <f ca="1">(V$40+V$84+V$93)</f>
        <v>-75.244847357519262</v>
      </c>
      <c r="W95" s="636">
        <f ca="1">(W$40+W$84+W$93)</f>
        <v>-48.921916338754876</v>
      </c>
      <c r="X95" s="636"/>
      <c r="Y95" s="636"/>
      <c r="Z95" s="636"/>
      <c r="AA95" s="636"/>
      <c r="AB95" s="636"/>
      <c r="AC95" s="636">
        <f t="shared" ref="AC95:AH95" ca="1" si="219">(AC$40+AC$84+AC$93)</f>
        <v>0</v>
      </c>
      <c r="AD95" s="636">
        <f t="shared" ca="1" si="219"/>
        <v>0.17043230989583333</v>
      </c>
      <c r="AE95" s="636">
        <f t="shared" ca="1" si="219"/>
        <v>0.14776594798442105</v>
      </c>
      <c r="AF95" s="636">
        <f t="shared" ca="1" si="219"/>
        <v>1.5953510715315322</v>
      </c>
      <c r="AG95" s="636">
        <f t="shared" ca="1" si="219"/>
        <v>5.7251070706856762E-2</v>
      </c>
      <c r="AH95" s="636">
        <f t="shared" ca="1" si="219"/>
        <v>0.15632142658010748</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-1.8746115688184966</v>
      </c>
      <c r="BF95" s="637">
        <f ca="1">SUM(AM95:BE95)</f>
        <v>-1.8746115688184966</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1.435815964378379</v>
      </c>
      <c r="V96" s="689">
        <f t="shared" ca="1" si="221"/>
        <v>0.10886739853662886</v>
      </c>
      <c r="W96" s="689">
        <f t="shared" ca="1" si="221"/>
        <v>0.19925972961025004</v>
      </c>
      <c r="X96" s="689">
        <f t="shared" ca="1" si="221"/>
        <v>0</v>
      </c>
      <c r="Y96" s="689">
        <f t="shared" ca="1" si="221"/>
        <v>0</v>
      </c>
      <c r="Z96" s="689">
        <f t="shared" ca="1" si="221"/>
        <v>0</v>
      </c>
      <c r="AA96" s="689">
        <f t="shared" ca="1" si="221"/>
        <v>0</v>
      </c>
      <c r="AB96" s="689">
        <f t="shared" ca="1" si="221"/>
        <v>0</v>
      </c>
      <c r="AC96" s="689">
        <f t="shared" ca="1" si="221"/>
        <v>0</v>
      </c>
      <c r="AD96" s="689">
        <f t="shared" ca="1" si="221"/>
        <v>-0.17043230989583333</v>
      </c>
      <c r="AE96" s="689">
        <f t="shared" ca="1" si="221"/>
        <v>-0.14776594798442105</v>
      </c>
      <c r="AF96" s="689">
        <f t="shared" ca="1" si="221"/>
        <v>-1.5953510715315322</v>
      </c>
      <c r="AG96" s="689">
        <f t="shared" ca="1" si="221"/>
        <v>-5.7251070706856762E-2</v>
      </c>
      <c r="AH96" s="689">
        <f t="shared" ca="1" si="221"/>
        <v>-0.15632142658010748</v>
      </c>
      <c r="AI96" s="689">
        <f t="shared" ca="1" si="221"/>
        <v>0</v>
      </c>
      <c r="AJ96" s="689">
        <f t="shared" ca="1" si="221"/>
        <v>0</v>
      </c>
      <c r="AK96" s="690">
        <f ca="1">SUM(S96:AJ96)</f>
        <v>-0.38317873417349302</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0.38317873417349269</v>
      </c>
      <c r="BI96" s="3444">
        <f ca="1">IFERROR(INDEX(INDIRECT($C96&amp;".Outputs["&amp;this.Year&amp;"]"), MATCH(BI$5, INDIRECT($C96&amp;".Outputs[Vector]"), 0)), 0)</f>
        <v>0</v>
      </c>
      <c r="BJ96" s="3436">
        <f ca="1">SUM(BH96:BI96)</f>
        <v>0.38317873417349269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-0.55428425193507447</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-0.55428425193507447</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-23.583269324784787</v>
      </c>
      <c r="V97" s="636">
        <f ca="1">V$95+V$96</f>
        <v>-75.135979958982631</v>
      </c>
      <c r="W97" s="636">
        <f ca="1">W$95+W$96</f>
        <v>-48.722656609144629</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-0.33673381658010743</v>
      </c>
      <c r="BF97" s="637">
        <f ca="1">SUM(AM97:BE97)</f>
        <v>-0.33673381658010743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0.25</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1.2967</v>
      </c>
      <c r="AM98" s="612">
        <f t="shared" ref="AM98:BE98" ca="1" si="227">IFERROR(INDEX(INDIRECT($C98&amp;".Outputs["&amp;this.Year&amp;"]"), MATCH(AM$5, INDIRECT($C98&amp;".Outputs[Vector]"), 0)), 0)</f>
        <v>0</v>
      </c>
      <c r="AN98" s="612">
        <f t="shared" ca="1" si="227"/>
        <v>0</v>
      </c>
      <c r="AO98" s="612">
        <f t="shared" ca="1" si="227"/>
        <v>0</v>
      </c>
      <c r="AP98" s="612">
        <f t="shared" ca="1" si="227"/>
        <v>-1.2967</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-1.2967</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-0.36060879599999995</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-0.36060879599999995</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1.685815964378379</v>
      </c>
      <c r="V99" s="572">
        <f t="shared" ca="1" si="230"/>
        <v>1.1555673985366288</v>
      </c>
      <c r="W99" s="572">
        <f t="shared" ca="1" si="230"/>
        <v>0.19925972961025004</v>
      </c>
      <c r="X99" s="572">
        <f t="shared" ca="1" si="230"/>
        <v>0</v>
      </c>
      <c r="Y99" s="572">
        <f t="shared" ca="1" si="230"/>
        <v>0</v>
      </c>
      <c r="Z99" s="572">
        <f t="shared" ca="1" si="230"/>
        <v>0</v>
      </c>
      <c r="AA99" s="572">
        <f t="shared" ca="1" si="230"/>
        <v>0</v>
      </c>
      <c r="AB99" s="572">
        <f t="shared" ca="1" si="230"/>
        <v>0</v>
      </c>
      <c r="AC99" s="572">
        <f t="shared" ca="1" si="230"/>
        <v>0</v>
      </c>
      <c r="AD99" s="572">
        <f ca="1">AD$96+AD98</f>
        <v>-0.17043230989583333</v>
      </c>
      <c r="AE99" s="572">
        <f ca="1">AE$96+AE98</f>
        <v>-0.14776594798442105</v>
      </c>
      <c r="AF99" s="572">
        <f t="shared" ca="1" si="230"/>
        <v>-1.5953510715315322</v>
      </c>
      <c r="AG99" s="572">
        <f t="shared" ca="1" si="230"/>
        <v>-5.7251070706856762E-2</v>
      </c>
      <c r="AH99" s="572">
        <f ca="1">AH$96+AH98</f>
        <v>-0.15632142658010748</v>
      </c>
      <c r="AI99" s="572">
        <f t="shared" ca="1" si="230"/>
        <v>0</v>
      </c>
      <c r="AJ99" s="572">
        <f t="shared" ca="1" si="230"/>
        <v>0</v>
      </c>
      <c r="AK99" s="572">
        <f ca="1">SUM(S99:AJ99)</f>
        <v>0.91352126582650717</v>
      </c>
      <c r="AM99" s="573">
        <f t="shared" ref="AM99:BE99" ca="1" si="231">AM$96+AM98</f>
        <v>0</v>
      </c>
      <c r="AN99" s="573">
        <f t="shared" ca="1" si="231"/>
        <v>0</v>
      </c>
      <c r="AO99" s="573">
        <f t="shared" ca="1" si="231"/>
        <v>0</v>
      </c>
      <c r="AP99" s="573">
        <f t="shared" ca="1" si="231"/>
        <v>-1.2967</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-1.2967</v>
      </c>
      <c r="BH99" s="3431">
        <f ca="1">BH$96+BH98</f>
        <v>0.38317873417349269</v>
      </c>
      <c r="BI99" s="3431">
        <f ca="1">BI$96+BI98</f>
        <v>0</v>
      </c>
      <c r="BJ99" s="3431">
        <f ca="1">SUM(BH99:BI99)</f>
        <v>0.38317873417349269</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-0.91489304793507442</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-0.91489304793507442</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-24.811521893199021</v>
      </c>
      <c r="T101" s="636">
        <f ca="1">(T$40+T$84+T$93+T$99)</f>
        <v>24.811521893199025</v>
      </c>
      <c r="U101" s="636">
        <f ca="1">(U$40+U$84+U$93+U$99)</f>
        <v>-23.333269324784787</v>
      </c>
      <c r="V101" s="636">
        <f ca="1">(V$40+V$84+V$93+V$99)</f>
        <v>-74.08927995898263</v>
      </c>
      <c r="W101" s="636">
        <f ca="1">(W$40+W$84+W$93+W$99)</f>
        <v>-48.722656609144629</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23.333269324784787</v>
      </c>
      <c r="V102" s="652">
        <f t="shared" ca="1" si="234"/>
        <v>74.08927995898263</v>
      </c>
      <c r="W102" s="652">
        <f t="shared" ca="1" si="234"/>
        <v>48.722656609144629</v>
      </c>
      <c r="X102" s="652">
        <f t="shared" ca="1" si="234"/>
        <v>-23.333269324784787</v>
      </c>
      <c r="Y102" s="652">
        <f t="shared" ca="1" si="234"/>
        <v>-74.08927995898263</v>
      </c>
      <c r="Z102" s="652">
        <f t="shared" ca="1" si="234"/>
        <v>-49.453496458281798</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-0.73083984913719036</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0.73083984913716937</v>
      </c>
      <c r="BJ102" s="655">
        <f ca="1">SUM(BH102:BI102)</f>
        <v>0.73083984913716937</v>
      </c>
      <c r="BK102" s="6"/>
      <c r="BL102" s="3445">
        <f t="shared" ref="BL102:BL109" ca="1" si="236">Q102+AK102+BF102+BJ102</f>
        <v>-2.0983215165415459E-14</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2.0834095506315257E-2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2.0834095506315257E-2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16.267581324784786</v>
      </c>
      <c r="Y103" s="702">
        <f ca="1">-(Y$40+Y$84+Y$93+Y$99+Y$102)</f>
        <v>74.08927995898263</v>
      </c>
      <c r="Z103" s="702">
        <f ca="1">-(Z$40+Z$84+Z$93+Z$99+Z$102)</f>
        <v>47.697968206868779</v>
      </c>
      <c r="AA103" s="702"/>
      <c r="AB103" s="702"/>
      <c r="AC103" s="702"/>
      <c r="AD103" s="702"/>
      <c r="AE103" s="702"/>
      <c r="AF103" s="702"/>
      <c r="AG103" s="702"/>
      <c r="AH103" s="702"/>
      <c r="AI103" s="702"/>
      <c r="AJ103" s="702"/>
      <c r="AK103" s="702">
        <f ca="1">SUM(S103:AJ103)</f>
        <v>138.05482949063619</v>
      </c>
      <c r="AL103" s="6"/>
      <c r="AM103" s="606"/>
      <c r="AN103" s="606"/>
      <c r="AO103" s="606"/>
      <c r="AP103" s="606"/>
      <c r="AQ103" s="606">
        <f ca="1">-T103</f>
        <v>3.5527136788005009E-15</v>
      </c>
      <c r="AR103" s="606">
        <f>-V103</f>
        <v>0</v>
      </c>
      <c r="AS103" s="606">
        <f ca="1">-X103</f>
        <v>-16.267581324784786</v>
      </c>
      <c r="AT103" s="606">
        <f ca="1">-Y103</f>
        <v>-74.08927995898263</v>
      </c>
      <c r="AU103" s="606">
        <f ca="1">-Z103</f>
        <v>-47.697968206868779</v>
      </c>
      <c r="AV103" s="606"/>
      <c r="AW103" s="606"/>
      <c r="AX103" s="606"/>
      <c r="AY103" s="606"/>
      <c r="AZ103" s="606"/>
      <c r="BA103" s="606"/>
      <c r="BB103" s="606"/>
      <c r="BC103" s="606"/>
      <c r="BD103" s="606"/>
      <c r="BE103" s="606"/>
      <c r="BF103" s="606">
        <f ca="1">SUM(AM103:BE103)</f>
        <v>-138.05482949063619</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-3.5527136788005009E-15</v>
      </c>
      <c r="U104" s="572">
        <f t="shared" ca="1" si="242"/>
        <v>23.333269324784787</v>
      </c>
      <c r="V104" s="572">
        <f t="shared" ca="1" si="242"/>
        <v>74.08927995898263</v>
      </c>
      <c r="W104" s="572">
        <f t="shared" ca="1" si="242"/>
        <v>48.722656609144629</v>
      </c>
      <c r="X104" s="572">
        <f t="shared" ca="1" si="242"/>
        <v>-7.0656880000000015</v>
      </c>
      <c r="Y104" s="572">
        <f t="shared" ca="1" si="242"/>
        <v>0</v>
      </c>
      <c r="Z104" s="572">
        <f t="shared" ca="1" si="242"/>
        <v>-1.7555282514130184</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137.32398964149903</v>
      </c>
      <c r="AM104" s="573">
        <f t="shared" ref="AM104:BE104" ca="1" si="243">SUM(AM102:AM103)</f>
        <v>0</v>
      </c>
      <c r="AN104" s="573">
        <f t="shared" ca="1" si="243"/>
        <v>0</v>
      </c>
      <c r="AO104" s="573">
        <f t="shared" ca="1" si="243"/>
        <v>0</v>
      </c>
      <c r="AP104" s="573">
        <f t="shared" ca="1" si="243"/>
        <v>0</v>
      </c>
      <c r="AQ104" s="573">
        <f t="shared" ca="1" si="243"/>
        <v>3.5527136788005009E-15</v>
      </c>
      <c r="AR104" s="573">
        <f t="shared" ca="1" si="243"/>
        <v>0</v>
      </c>
      <c r="AS104" s="573">
        <f t="shared" ca="1" si="243"/>
        <v>-16.267581324784786</v>
      </c>
      <c r="AT104" s="573">
        <f t="shared" ca="1" si="243"/>
        <v>-74.08927995898263</v>
      </c>
      <c r="AU104" s="573">
        <f t="shared" ca="1" si="243"/>
        <v>-47.697968206868779</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-138.05482949063619</v>
      </c>
      <c r="BH104" s="3431">
        <f ca="1">SUM(BH102:BH103)</f>
        <v>0</v>
      </c>
      <c r="BI104" s="3431">
        <f ca="1">SUM(BI102:BI103)</f>
        <v>0.73083984913716937</v>
      </c>
      <c r="BJ104" s="3431">
        <f ca="1">SUM(BH104:BI104)</f>
        <v>0.73083984913716937</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2.0834095506315257E-2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2.0834095506315257E-2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-1.0437271686042422</v>
      </c>
      <c r="U106" s="625">
        <f t="shared" ca="1" si="246"/>
        <v>25.019085289163165</v>
      </c>
      <c r="V106" s="625">
        <f t="shared" ca="1" si="246"/>
        <v>75.244847357519262</v>
      </c>
      <c r="W106" s="625">
        <f t="shared" ca="1" si="246"/>
        <v>48.77461141542328</v>
      </c>
      <c r="X106" s="625">
        <f t="shared" ca="1" si="246"/>
        <v>-7.0656880000000015</v>
      </c>
      <c r="Y106" s="625">
        <f t="shared" ca="1" si="246"/>
        <v>0</v>
      </c>
      <c r="Z106" s="625">
        <f t="shared" ca="1" si="246"/>
        <v>-1.7555282514130184</v>
      </c>
      <c r="AA106" s="625">
        <f t="shared" ca="1" si="246"/>
        <v>0</v>
      </c>
      <c r="AB106" s="625">
        <f t="shared" ca="1" si="246"/>
        <v>0</v>
      </c>
      <c r="AC106" s="625">
        <f t="shared" ca="1" si="246"/>
        <v>0</v>
      </c>
      <c r="AD106" s="625">
        <f t="shared" ca="1" si="246"/>
        <v>-0.17043230989583333</v>
      </c>
      <c r="AE106" s="625">
        <f t="shared" ca="1" si="246"/>
        <v>-0.14776594798442105</v>
      </c>
      <c r="AF106" s="625">
        <f t="shared" ca="1" si="246"/>
        <v>-1.5953510715315322</v>
      </c>
      <c r="AG106" s="625">
        <f t="shared" ca="1" si="246"/>
        <v>-5.7251070706856762E-2</v>
      </c>
      <c r="AH106" s="625">
        <f t="shared" ca="1" si="246"/>
        <v>-0.15632142658010748</v>
      </c>
      <c r="AI106" s="625">
        <f t="shared" ca="1" si="246"/>
        <v>0</v>
      </c>
      <c r="AJ106" s="625">
        <f t="shared" ca="1" si="246"/>
        <v>0</v>
      </c>
      <c r="AK106" s="625">
        <f ca="1">SUM(S106:AJ106)</f>
        <v>137.04647881538972</v>
      </c>
      <c r="AM106" s="626">
        <f t="shared" ref="AM106:BE106" ca="1" si="247">AM$93+AM$99+AM$104</f>
        <v>0</v>
      </c>
      <c r="AN106" s="626">
        <f t="shared" ca="1" si="247"/>
        <v>0</v>
      </c>
      <c r="AO106" s="626">
        <f t="shared" ca="1" si="247"/>
        <v>0</v>
      </c>
      <c r="AP106" s="626">
        <f t="shared" ca="1" si="247"/>
        <v>-1.2967</v>
      </c>
      <c r="AQ106" s="626">
        <f t="shared" ca="1" si="247"/>
        <v>-2.4999999999999964</v>
      </c>
      <c r="AR106" s="626">
        <f t="shared" ca="1" si="247"/>
        <v>0</v>
      </c>
      <c r="AS106" s="626">
        <f t="shared" ca="1" si="247"/>
        <v>-16.267581324784786</v>
      </c>
      <c r="AT106" s="626">
        <f t="shared" ca="1" si="247"/>
        <v>-74.08927995898263</v>
      </c>
      <c r="AU106" s="626">
        <f t="shared" ca="1" si="247"/>
        <v>-47.697968206868779</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-141.85152949063621</v>
      </c>
      <c r="BH106" s="3432">
        <f ca="1">BH$93+BH$99+BH$104</f>
        <v>0.47156168817245159</v>
      </c>
      <c r="BI106" s="3432">
        <f ca="1">BI$93+BI$99+BI$104</f>
        <v>4.3334889870740465</v>
      </c>
      <c r="BJ106" s="3432">
        <f ca="1">SUM(BH106:BI106)</f>
        <v>4.8050506752464983</v>
      </c>
      <c r="BL106" s="3446">
        <f t="shared" ca="1" si="236"/>
        <v>7.1054273576010019E-15</v>
      </c>
      <c r="BM106" s="627"/>
      <c r="BO106" s="2762">
        <f t="shared" ref="BO106:DE106" ca="1" si="248">BO$93+BO$99+BO$104</f>
        <v>3.0156440670352769E-2</v>
      </c>
      <c r="BP106" s="2762">
        <f t="shared" ca="1" si="248"/>
        <v>1.113625220386882E-5</v>
      </c>
      <c r="BQ106" s="2762">
        <f t="shared" ca="1" si="248"/>
        <v>4.7673765387038424E-4</v>
      </c>
      <c r="BR106" s="2762">
        <f t="shared" ca="1" si="248"/>
        <v>0</v>
      </c>
      <c r="BS106" s="2762">
        <f t="shared" ca="1" si="248"/>
        <v>0</v>
      </c>
      <c r="BT106" s="2762">
        <f t="shared" ca="1" si="248"/>
        <v>2.0834095506315257E-2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-0.91489304793507442</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-0.86341463785233219</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38.053120882448788</v>
      </c>
      <c r="H109" s="705">
        <f t="shared" ca="1" si="249"/>
        <v>10.171449921149492</v>
      </c>
      <c r="I109" s="705">
        <f t="shared" ca="1" si="249"/>
        <v>29.571616266227064</v>
      </c>
      <c r="J109" s="705">
        <f t="shared" ca="1" si="249"/>
        <v>40.051952761847303</v>
      </c>
      <c r="K109" s="705">
        <f t="shared" ca="1" si="249"/>
        <v>0.60466126198529713</v>
      </c>
      <c r="L109" s="705">
        <f t="shared" ca="1" si="249"/>
        <v>2.8688317425508068E-2</v>
      </c>
      <c r="M109" s="705">
        <f t="shared" ca="1" si="249"/>
        <v>0.66</v>
      </c>
      <c r="N109" s="705">
        <f t="shared" ca="1" si="249"/>
        <v>6.8942086199999997</v>
      </c>
      <c r="O109" s="705">
        <f t="shared" ca="1" si="249"/>
        <v>0</v>
      </c>
      <c r="P109" s="705">
        <f t="shared" ca="1" si="249"/>
        <v>0</v>
      </c>
      <c r="Q109" s="705">
        <f ca="1">SUM(G109:P109)</f>
        <v>126.03569803108346</v>
      </c>
      <c r="S109" s="706">
        <f t="shared" ref="S109:AJ109" ca="1" si="250">S$40+S$84+S$106</f>
        <v>-24.811521893199021</v>
      </c>
      <c r="T109" s="706">
        <f t="shared" ca="1" si="250"/>
        <v>24.811521893199021</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-7</v>
      </c>
      <c r="AN109" s="707">
        <f t="shared" ca="1" si="251"/>
        <v>0</v>
      </c>
      <c r="AO109" s="707">
        <f t="shared" ca="1" si="251"/>
        <v>-1.7555282514130199</v>
      </c>
      <c r="AP109" s="707">
        <f t="shared" ca="1" si="251"/>
        <v>-1.2967</v>
      </c>
      <c r="AQ109" s="707">
        <f t="shared" ca="1" si="251"/>
        <v>-2.4999999999999964</v>
      </c>
      <c r="AR109" s="707">
        <f t="shared" ca="1" si="251"/>
        <v>0</v>
      </c>
      <c r="AS109" s="707">
        <f t="shared" ca="1" si="251"/>
        <v>-16.267581324784786</v>
      </c>
      <c r="AT109" s="707">
        <f t="shared" ca="1" si="251"/>
        <v>-74.08927995898263</v>
      </c>
      <c r="AU109" s="707">
        <f t="shared" ca="1" si="251"/>
        <v>-47.697968206868779</v>
      </c>
      <c r="AV109" s="707">
        <f t="shared" ca="1" si="251"/>
        <v>0</v>
      </c>
      <c r="AW109" s="707">
        <f t="shared" ca="1" si="251"/>
        <v>-5.2915063522883464E-2</v>
      </c>
      <c r="AX109" s="707">
        <f t="shared" ca="1" si="251"/>
        <v>-5.6172527999999993</v>
      </c>
      <c r="AY109" s="707">
        <f t="shared" ca="1" si="251"/>
        <v>0</v>
      </c>
      <c r="AZ109" s="707">
        <f t="shared" ca="1" si="251"/>
        <v>-3.9627123287671231E-3</v>
      </c>
      <c r="BA109" s="707">
        <f t="shared" ca="1" si="251"/>
        <v>0</v>
      </c>
      <c r="BB109" s="707">
        <f t="shared" ca="1" si="251"/>
        <v>-0.74791511999999993</v>
      </c>
      <c r="BC109" s="707">
        <f t="shared" ca="1" si="251"/>
        <v>-0.1434054871385817</v>
      </c>
      <c r="BD109" s="707">
        <f t="shared" ca="1" si="251"/>
        <v>-0.31819825788025435</v>
      </c>
      <c r="BE109" s="707">
        <f t="shared" ca="1" si="251"/>
        <v>-1.8746115688184966</v>
      </c>
      <c r="BF109" s="707">
        <f ca="1">SUM(AM109:BE109)</f>
        <v>-159.36531875173816</v>
      </c>
      <c r="BH109" s="3437">
        <f ca="1">BH$40+BH$84+BH$106</f>
        <v>26.357647895301653</v>
      </c>
      <c r="BI109" s="3437">
        <f ca="1">BI$40+BI$84+BI$106</f>
        <v>6.9719728253531121</v>
      </c>
      <c r="BJ109" s="3437">
        <f ca="1">SUM(BH109:BI109)</f>
        <v>33.329620720654766</v>
      </c>
      <c r="BL109" s="3447">
        <f t="shared" ca="1" si="236"/>
        <v>6.3948846218409017E-14</v>
      </c>
      <c r="BM109" s="568"/>
      <c r="BO109" s="2767">
        <f t="shared" ref="BO109:DF109" ca="1" si="252">BO$40+BO$84+BO$106</f>
        <v>35.511974777711728</v>
      </c>
      <c r="BP109" s="2767">
        <f t="shared" ca="1" si="252"/>
        <v>1.9482922000693358E-2</v>
      </c>
      <c r="BQ109" s="2767">
        <f t="shared" ca="1" si="252"/>
        <v>0.21581568048447317</v>
      </c>
      <c r="BR109" s="2767">
        <f t="shared" ca="1" si="252"/>
        <v>0</v>
      </c>
      <c r="BS109" s="2767">
        <f t="shared" ca="1" si="252"/>
        <v>0</v>
      </c>
      <c r="BT109" s="2767">
        <f t="shared" ca="1" si="252"/>
        <v>2.0834095506315257E-2</v>
      </c>
      <c r="BU109" s="2767">
        <f t="shared" ca="1" si="252"/>
        <v>0</v>
      </c>
      <c r="BV109" s="2767">
        <f t="shared" ca="1" si="252"/>
        <v>0</v>
      </c>
      <c r="BW109" s="2767">
        <f t="shared" ca="1" si="252"/>
        <v>1.1453526437499997</v>
      </c>
      <c r="BX109" s="2767">
        <f t="shared" ca="1" si="252"/>
        <v>0</v>
      </c>
      <c r="BY109" s="2767">
        <f t="shared" ca="1" si="252"/>
        <v>0</v>
      </c>
      <c r="BZ109" s="2767">
        <f t="shared" ca="1" si="252"/>
        <v>1.1218527736220998</v>
      </c>
      <c r="CA109" s="2767">
        <f t="shared" ca="1" si="252"/>
        <v>0</v>
      </c>
      <c r="CB109" s="2767">
        <f t="shared" ca="1" si="252"/>
        <v>0</v>
      </c>
      <c r="CC109" s="2767">
        <f t="shared" ca="1" si="252"/>
        <v>0</v>
      </c>
      <c r="CD109" s="2767">
        <f t="shared" ca="1" si="252"/>
        <v>0</v>
      </c>
      <c r="CE109" s="2767">
        <f t="shared" ca="1" si="252"/>
        <v>0</v>
      </c>
      <c r="CF109" s="2767">
        <f t="shared" ca="1" si="252"/>
        <v>10.661155536744642</v>
      </c>
      <c r="CG109" s="2767">
        <f t="shared" ca="1" si="252"/>
        <v>6.0353501841010155</v>
      </c>
      <c r="CH109" s="2767">
        <f t="shared" ca="1" si="252"/>
        <v>0</v>
      </c>
      <c r="CI109" s="2767">
        <f t="shared" ca="1" si="252"/>
        <v>3.6481720684198971</v>
      </c>
      <c r="CJ109" s="2767">
        <f t="shared" ca="1" si="252"/>
        <v>0</v>
      </c>
      <c r="CK109" s="2767">
        <f t="shared" ca="1" si="252"/>
        <v>0</v>
      </c>
      <c r="CL109" s="2767">
        <f t="shared" ca="1" si="252"/>
        <v>0</v>
      </c>
      <c r="CM109" s="2767">
        <f t="shared" ca="1" si="252"/>
        <v>0</v>
      </c>
      <c r="CN109" s="2767">
        <f t="shared" ca="1" si="252"/>
        <v>0.9474770454989212</v>
      </c>
      <c r="CO109" s="2767">
        <f t="shared" ca="1" si="252"/>
        <v>5.4813037500000002E-2</v>
      </c>
      <c r="CP109" s="2767">
        <f t="shared" ca="1" si="252"/>
        <v>0</v>
      </c>
      <c r="CQ109" s="2767">
        <f t="shared" ca="1" si="252"/>
        <v>0</v>
      </c>
      <c r="CR109" s="2767">
        <f t="shared" ca="1" si="252"/>
        <v>0</v>
      </c>
      <c r="CS109" s="2767">
        <f t="shared" ca="1" si="252"/>
        <v>0</v>
      </c>
      <c r="CT109" s="2767">
        <f t="shared" ca="1" si="252"/>
        <v>0</v>
      </c>
      <c r="CU109" s="2767">
        <f t="shared" ca="1" si="252"/>
        <v>1.8192437706455995</v>
      </c>
      <c r="CV109" s="2767">
        <f t="shared" ca="1" si="252"/>
        <v>1.5636065150160001E-3</v>
      </c>
      <c r="CW109" s="2767">
        <f t="shared" ca="1" si="252"/>
        <v>4.6163620919519996E-3</v>
      </c>
      <c r="CX109" s="2767">
        <f t="shared" ca="1" si="252"/>
        <v>0</v>
      </c>
      <c r="CY109" s="2767">
        <f t="shared" ca="1" si="252"/>
        <v>-0.91489304793507442</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60.292811456657276</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12.643809309650932</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24.8153130360168</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0.50951641396986536</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2:DH148"/>
  <sheetViews>
    <sheetView workbookViewId="0">
      <selection activeCell="E3" sqref="E3"/>
    </sheetView>
  </sheetViews>
  <sheetFormatPr defaultColWidth="8.81640625" defaultRowHeight="14.5"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2" spans="1:112" ht="22.5">
      <c r="D2" s="512"/>
      <c r="E2" s="513">
        <v>2020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25.596117752625997</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25.596117752625997</v>
      </c>
      <c r="S9" s="582">
        <f t="shared" ref="S9:AJ13" ca="1" si="2">IFERROR(INDEX(INDIRECT($C9&amp;".Outputs["&amp;this.Year&amp;"]"), MATCH(S$5, INDIRECT($C9&amp;".Outputs[Vector]"), 0)), 0)</f>
        <v>-1.1454171196981839</v>
      </c>
      <c r="T9" s="582">
        <f t="shared" ca="1" si="2"/>
        <v>0</v>
      </c>
      <c r="U9" s="582">
        <f t="shared" ca="1" si="2"/>
        <v>-0.32773892123175546</v>
      </c>
      <c r="V9" s="582">
        <f t="shared" ca="1" si="2"/>
        <v>-12.130394587693283</v>
      </c>
      <c r="W9" s="582">
        <f t="shared" ca="1" si="2"/>
        <v>-11.897301948776613</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-5.5796848364472185E-2</v>
      </c>
      <c r="AJ9" s="582">
        <f t="shared" ca="1" si="2"/>
        <v>0</v>
      </c>
      <c r="AK9" s="583">
        <f t="shared" ref="AK9:AK15" ca="1" si="3">SUM(S9:AJ9)</f>
        <v>-25.556649425764309</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-3.9468326861689378E-2</v>
      </c>
      <c r="BD9" s="584">
        <f t="shared" ca="1" si="5"/>
        <v>0</v>
      </c>
      <c r="BE9" s="584">
        <f t="shared" ca="1" si="5"/>
        <v>0</v>
      </c>
      <c r="BF9" s="585">
        <f t="shared" ref="BF9:BF15" ca="1" si="6">SUM(AM9:BE9)</f>
        <v>-3.9468326861689378E-2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-2.0469737016526324E-15</v>
      </c>
      <c r="BM9" s="586"/>
      <c r="BN9" s="404"/>
      <c r="BO9" s="2758">
        <f t="shared" ref="BO9:BX10" ca="1" si="10">IFERROR(SUMIFS(INDIRECT($C9&amp;".Emissions["&amp;this.Year&amp;"]"), INDIRECT($C9&amp;".Emissions[GHG]"), BO$6, INDIRECT($C9&amp;".Emissions[IPCC Sector]"), BO$5),0)</f>
        <v>5.747250456676066</v>
      </c>
      <c r="BP9" s="2759">
        <f t="shared" ca="1" si="10"/>
        <v>3.6679534635279333E-3</v>
      </c>
      <c r="BQ9" s="2759">
        <f t="shared" ca="1" si="10"/>
        <v>4.6809818560987371E-2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25.596117752625997</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25.596117752625997</v>
      </c>
      <c r="S11" s="583">
        <f ca="1">SUM(S9:S10)</f>
        <v>-1.1454171196981839</v>
      </c>
      <c r="T11" s="583">
        <f t="shared" ref="T11:AJ11" ca="1" si="15">SUM(T9:T10)</f>
        <v>0</v>
      </c>
      <c r="U11" s="583">
        <f t="shared" ca="1" si="15"/>
        <v>-0.32773892123175546</v>
      </c>
      <c r="V11" s="583">
        <f t="shared" ca="1" si="15"/>
        <v>-12.130394587693283</v>
      </c>
      <c r="W11" s="583">
        <f t="shared" ca="1" si="15"/>
        <v>-11.897301948776613</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-5.5796848364472185E-2</v>
      </c>
      <c r="AJ11" s="583">
        <f t="shared" ca="1" si="15"/>
        <v>0</v>
      </c>
      <c r="AK11" s="583">
        <f t="shared" ca="1" si="3"/>
        <v>-25.556649425764309</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-3.9468326861689378E-2</v>
      </c>
      <c r="BD11" s="599">
        <f ca="1">SUM(BD9:BD10)</f>
        <v>0</v>
      </c>
      <c r="BE11" s="599">
        <f t="shared" ca="1" si="16"/>
        <v>0</v>
      </c>
      <c r="BF11" s="600">
        <f t="shared" ca="1" si="6"/>
        <v>-3.9468326861689378E-2</v>
      </c>
      <c r="BH11" s="3428">
        <f ca="1">SUM(BH9:BH10)</f>
        <v>0</v>
      </c>
      <c r="BI11" s="3428">
        <f ca="1">SUM(BI9:BI10)</f>
        <v>0</v>
      </c>
      <c r="BJ11" s="3428">
        <f t="shared" ca="1" si="8"/>
        <v>0</v>
      </c>
      <c r="BL11" s="601">
        <f t="shared" ca="1" si="9"/>
        <v>-2.0469737016526324E-15</v>
      </c>
      <c r="BM11" s="601"/>
      <c r="BN11" s="404"/>
      <c r="BO11" s="2758">
        <f t="shared" ref="BO11:DF11" ca="1" si="17">SUM(BO9:BO10)</f>
        <v>5.747250456676066</v>
      </c>
      <c r="BP11" s="2759">
        <f t="shared" ca="1" si="17"/>
        <v>3.6679534635279333E-3</v>
      </c>
      <c r="BQ11" s="2759">
        <f t="shared" ca="1" si="17"/>
        <v>4.6809818560987371E-2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13.110328953925581</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13.110328953925581</v>
      </c>
      <c r="S12" s="582">
        <f t="shared" ca="1" si="2"/>
        <v>-4.3753471283783796</v>
      </c>
      <c r="T12" s="582">
        <f t="shared" ca="1" si="2"/>
        <v>0</v>
      </c>
      <c r="U12" s="582">
        <f t="shared" ca="1" si="2"/>
        <v>-0.29671481826654245</v>
      </c>
      <c r="V12" s="582">
        <f t="shared" ca="1" si="2"/>
        <v>-2.040296740039008</v>
      </c>
      <c r="W12" s="582">
        <f t="shared" ca="1" si="2"/>
        <v>-6.2042971253497576</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-12.916655812033687</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-0.19367314189189194</v>
      </c>
      <c r="BD12" s="584">
        <f t="shared" ca="1" si="19"/>
        <v>0</v>
      </c>
      <c r="BE12" s="584">
        <f t="shared" ca="1" si="19"/>
        <v>0</v>
      </c>
      <c r="BF12" s="585">
        <f t="shared" ca="1" si="6"/>
        <v>-0.19367314189189194</v>
      </c>
      <c r="BH12" s="3439">
        <f t="shared" ca="1" si="7"/>
        <v>0</v>
      </c>
      <c r="BI12" s="3439">
        <f t="shared" ca="1" si="7"/>
        <v>0</v>
      </c>
      <c r="BJ12" s="3428">
        <f t="shared" ca="1" si="8"/>
        <v>0</v>
      </c>
      <c r="BL12" s="586">
        <f t="shared" ca="1" si="9"/>
        <v>2.2759572004815709E-15</v>
      </c>
      <c r="BM12" s="586"/>
      <c r="BN12" s="404"/>
      <c r="BO12" s="2758">
        <f t="shared" ref="BO12:BX13" ca="1" si="20">IFERROR(SUMIFS(INDIRECT($C12&amp;".Emissions["&amp;this.Year&amp;"]"), INDIRECT($C12&amp;".Emissions[GHG]"), BO$6, INDIRECT($C12&amp;".Emissions[IPCC Sector]"), BO$5),0)</f>
        <v>1.90872222547836</v>
      </c>
      <c r="BP12" s="2759">
        <f t="shared" ca="1" si="20"/>
        <v>9.4748631149995418E-4</v>
      </c>
      <c r="BQ12" s="2759">
        <f t="shared" ca="1" si="20"/>
        <v>2.1611336782204806E-2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13.110328953925581</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13.110328953925581</v>
      </c>
      <c r="S14" s="604">
        <f t="shared" ref="S14:AJ14" ca="1" si="25">SUM(S12:S13)</f>
        <v>-4.3753471283783796</v>
      </c>
      <c r="T14" s="604">
        <f t="shared" ca="1" si="25"/>
        <v>0</v>
      </c>
      <c r="U14" s="604">
        <f t="shared" ca="1" si="25"/>
        <v>-0.29671481826654245</v>
      </c>
      <c r="V14" s="604">
        <f t="shared" ca="1" si="25"/>
        <v>-2.040296740039008</v>
      </c>
      <c r="W14" s="604">
        <f t="shared" ca="1" si="25"/>
        <v>-6.2042971253497576</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-12.916655812033687</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-0.19367314189189194</v>
      </c>
      <c r="BD14" s="605">
        <f ca="1">SUM(BD12:BD13)</f>
        <v>0</v>
      </c>
      <c r="BE14" s="605">
        <f t="shared" ca="1" si="26"/>
        <v>0</v>
      </c>
      <c r="BF14" s="606">
        <f t="shared" ca="1" si="6"/>
        <v>-0.19367314189189194</v>
      </c>
      <c r="BH14" s="3430">
        <f ca="1">SUM(BH12:BH13)</f>
        <v>0</v>
      </c>
      <c r="BI14" s="3430">
        <f ca="1">SUM(BI12:BI13)</f>
        <v>0</v>
      </c>
      <c r="BJ14" s="3430">
        <f t="shared" ca="1" si="8"/>
        <v>0</v>
      </c>
      <c r="BL14" s="601">
        <f t="shared" ca="1" si="9"/>
        <v>2.2759572004815709E-15</v>
      </c>
      <c r="BM14" s="601"/>
      <c r="BN14" s="404"/>
      <c r="BO14" s="2760">
        <f t="shared" ref="BO14:DF14" ca="1" si="27">SUM(BO12:BO13)</f>
        <v>1.90872222547836</v>
      </c>
      <c r="BP14" s="2761">
        <f t="shared" ca="1" si="27"/>
        <v>9.4748631149995418E-4</v>
      </c>
      <c r="BQ14" s="2761">
        <f t="shared" ca="1" si="27"/>
        <v>2.1611336782204806E-2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38.706446706551574</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38.706446706551574</v>
      </c>
      <c r="S15" s="572">
        <f t="shared" ref="S15:AJ15" ca="1" si="29">S14+S11</f>
        <v>-5.5207642480765635</v>
      </c>
      <c r="T15" s="572">
        <f t="shared" ca="1" si="29"/>
        <v>0</v>
      </c>
      <c r="U15" s="572">
        <f t="shared" ca="1" si="29"/>
        <v>-0.62445373949829786</v>
      </c>
      <c r="V15" s="572">
        <f t="shared" ca="1" si="29"/>
        <v>-14.170691327732291</v>
      </c>
      <c r="W15" s="572">
        <f t="shared" ca="1" si="29"/>
        <v>-18.101599074126369</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-5.5796848364472185E-2</v>
      </c>
      <c r="AJ15" s="572">
        <f t="shared" ca="1" si="29"/>
        <v>0</v>
      </c>
      <c r="AK15" s="572">
        <f t="shared" ca="1" si="3"/>
        <v>-38.473305237797994</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-0.23314146875358133</v>
      </c>
      <c r="BD15" s="573">
        <f ca="1">BD14+BD11</f>
        <v>0</v>
      </c>
      <c r="BE15" s="573">
        <f t="shared" ca="1" si="30"/>
        <v>0</v>
      </c>
      <c r="BF15" s="573">
        <f t="shared" ca="1" si="6"/>
        <v>-0.23314146875358133</v>
      </c>
      <c r="BH15" s="3431">
        <f ca="1">BH14+BH11</f>
        <v>0</v>
      </c>
      <c r="BI15" s="3431">
        <f ca="1">BI14+BI11</f>
        <v>0</v>
      </c>
      <c r="BJ15" s="3431">
        <f t="shared" ca="1" si="8"/>
        <v>0</v>
      </c>
      <c r="BL15" s="3445">
        <f t="shared" ca="1" si="9"/>
        <v>-1.5543122344752192E-15</v>
      </c>
      <c r="BM15" s="575"/>
      <c r="BN15" s="404"/>
      <c r="BO15" s="2759">
        <f t="shared" ref="BO15:DF15" ca="1" si="31">BO14+BO11</f>
        <v>7.6559726821544256</v>
      </c>
      <c r="BP15" s="2759">
        <f t="shared" ca="1" si="31"/>
        <v>4.6154397750278872E-3</v>
      </c>
      <c r="BQ15" s="2759">
        <f t="shared" ca="1" si="31"/>
        <v>6.842115534319218E-2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7.7290092772726462</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5.7417532165949776</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5.7417532165949776</v>
      </c>
      <c r="S17" s="582">
        <f t="shared" ref="S17:AJ18" ca="1" si="34">IFERROR(INDEX(INDIRECT($C17&amp;".Outputs["&amp;this.Year&amp;"]"), MATCH(S$5, INDIRECT($C17&amp;".Outputs[Vector]"), 0)), 0)</f>
        <v>-5.3166079380983984</v>
      </c>
      <c r="T17" s="582">
        <f t="shared" ca="1" si="34"/>
        <v>0</v>
      </c>
      <c r="U17" s="582">
        <f t="shared" ca="1" si="34"/>
        <v>0</v>
      </c>
      <c r="V17" s="582">
        <f t="shared" ca="1" si="34"/>
        <v>0</v>
      </c>
      <c r="W17" s="582">
        <f t="shared" ca="1" si="34"/>
        <v>-0.42514527849657968</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-5.7417532165949776</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8.7036251588153979E-2</v>
      </c>
      <c r="BP17" s="2759">
        <f t="shared" ca="1" si="37"/>
        <v>3.2140983054341429E-5</v>
      </c>
      <c r="BQ17" s="2759">
        <f t="shared" ca="1" si="37"/>
        <v>1.3759401793263305E-3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8.8444332750534649E-2</v>
      </c>
    </row>
    <row r="18" spans="1:112" s="6" customFormat="1">
      <c r="A18" s="598"/>
      <c r="B18" s="598"/>
      <c r="C18" s="578" t="s">
        <v>463</v>
      </c>
      <c r="D18" s="602" t="s">
        <v>464</v>
      </c>
      <c r="E18" s="602"/>
      <c r="G18" s="610">
        <f t="shared" ca="1" si="33"/>
        <v>0</v>
      </c>
      <c r="H18" s="610">
        <f t="shared" ca="1" si="33"/>
        <v>4.7261939265164195</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4.7261939265164195</v>
      </c>
      <c r="S18" s="611">
        <f t="shared" ca="1" si="34"/>
        <v>-4.2335629831736199</v>
      </c>
      <c r="T18" s="611">
        <f t="shared" ca="1" si="34"/>
        <v>0</v>
      </c>
      <c r="U18" s="611">
        <f t="shared" ca="1" si="34"/>
        <v>0</v>
      </c>
      <c r="V18" s="611">
        <f t="shared" ca="1" si="34"/>
        <v>0</v>
      </c>
      <c r="W18" s="611">
        <f t="shared" ca="1" si="34"/>
        <v>-0.4926309433428</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-4.7261939265164195</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0.10085199787827002</v>
      </c>
      <c r="BP18" s="2761">
        <f t="shared" ca="1" si="37"/>
        <v>3.7242899316715681E-5</v>
      </c>
      <c r="BQ18" s="2761">
        <f t="shared" ca="1" si="37"/>
        <v>1.5943507850346378E-3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0.10248359156262138</v>
      </c>
    </row>
    <row r="19" spans="1:112" s="6" customFormat="1" ht="15.5">
      <c r="A19" s="4"/>
      <c r="B19" s="3"/>
      <c r="C19" s="607" t="s">
        <v>465</v>
      </c>
      <c r="D19" s="608" t="s">
        <v>82</v>
      </c>
      <c r="E19" s="201"/>
      <c r="G19" s="609">
        <f ca="1">G17+G18</f>
        <v>0</v>
      </c>
      <c r="H19" s="609">
        <f t="shared" ref="H19:P19" ca="1" si="41">H17+H18</f>
        <v>10.467947143111397</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10.467947143111397</v>
      </c>
      <c r="S19" s="572">
        <f ca="1">S17+S18</f>
        <v>-9.5501709212720183</v>
      </c>
      <c r="T19" s="572">
        <f t="shared" ref="T19:AJ19" ca="1" si="42">T17+T18</f>
        <v>0</v>
      </c>
      <c r="U19" s="572">
        <f t="shared" ca="1" si="42"/>
        <v>0</v>
      </c>
      <c r="V19" s="572">
        <f t="shared" ca="1" si="42"/>
        <v>0</v>
      </c>
      <c r="W19" s="572">
        <f t="shared" ca="1" si="42"/>
        <v>-0.91777622183937968</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-10.467947143111399</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-1.7763568394002505E-15</v>
      </c>
      <c r="BM19" s="575"/>
      <c r="BN19" s="404"/>
      <c r="BO19" s="2759">
        <f t="shared" ref="BO19:DF19" ca="1" si="44">BO17+BO18</f>
        <v>0.18788824946642402</v>
      </c>
      <c r="BP19" s="2759">
        <f t="shared" ca="1" si="44"/>
        <v>6.9383882371057117E-5</v>
      </c>
      <c r="BQ19" s="2759">
        <f t="shared" ca="1" si="44"/>
        <v>2.9702909643609682E-3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0.19092792431315603</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28.782064724059438</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28.782064724059438</v>
      </c>
      <c r="S21" s="611">
        <f t="shared" ref="S21:AJ21" ca="1" si="46">IFERROR(INDEX(INDIRECT($C21&amp;".Outputs["&amp;this.Year&amp;"]"), MATCH(S$5, INDIRECT($C21&amp;".Outputs[Vector]"), 0)), 0)</f>
        <v>-10.288010053347909</v>
      </c>
      <c r="T21" s="611">
        <f t="shared" ca="1" si="46"/>
        <v>0</v>
      </c>
      <c r="U21" s="611">
        <f t="shared" ca="1" si="46"/>
        <v>-3.4441023967612487</v>
      </c>
      <c r="V21" s="611">
        <f t="shared" ca="1" si="46"/>
        <v>-7.0321704885639642</v>
      </c>
      <c r="W21" s="611">
        <f t="shared" ca="1" si="46"/>
        <v>-8.0177817853863154</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-28.782064724059438</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4.659865174004973</v>
      </c>
      <c r="BP21" s="2761">
        <f t="shared" ca="1" si="48"/>
        <v>2.3833024686181182E-3</v>
      </c>
      <c r="BQ21" s="2761">
        <f t="shared" ca="1" si="48"/>
        <v>3.2579299466759477E-2</v>
      </c>
      <c r="BR21" s="2761">
        <f t="shared" ca="1" si="48"/>
        <v>0</v>
      </c>
      <c r="BS21" s="2761">
        <f t="shared" ca="1" si="48"/>
        <v>0</v>
      </c>
      <c r="BT21" s="2761">
        <f t="shared" ca="1" si="48"/>
        <v>0</v>
      </c>
      <c r="BU21" s="2761">
        <f t="shared" ca="1" si="48"/>
        <v>0</v>
      </c>
      <c r="BV21" s="2761">
        <f t="shared" ca="1" si="48"/>
        <v>0</v>
      </c>
      <c r="BW21" s="2761">
        <f t="shared" ca="1" si="48"/>
        <v>1.2338700819185533</v>
      </c>
      <c r="BX21" s="2761">
        <f t="shared" ca="1" si="48"/>
        <v>0</v>
      </c>
      <c r="BY21" s="2761">
        <f t="shared" ca="1" si="48"/>
        <v>0</v>
      </c>
      <c r="BZ21" s="2761">
        <f t="shared" ca="1" si="48"/>
        <v>1.1161054035888369</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7.0448032614477407</v>
      </c>
    </row>
    <row r="22" spans="1:112" s="6" customFormat="1" ht="15.5">
      <c r="A22" s="4"/>
      <c r="B22" s="3"/>
      <c r="C22" s="607" t="s">
        <v>468</v>
      </c>
      <c r="D22" s="608" t="s">
        <v>359</v>
      </c>
      <c r="E22" s="201"/>
      <c r="G22" s="609">
        <f ca="1">G21</f>
        <v>0</v>
      </c>
      <c r="H22" s="609">
        <f t="shared" ref="H22:P22" ca="1" si="49">H21</f>
        <v>0</v>
      </c>
      <c r="I22" s="609">
        <f t="shared" ca="1" si="49"/>
        <v>28.782064724059438</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28.782064724059438</v>
      </c>
      <c r="S22" s="572">
        <f t="shared" ref="S22:AJ22" ca="1" si="50">S21</f>
        <v>-10.288010053347909</v>
      </c>
      <c r="T22" s="572">
        <f t="shared" ca="1" si="50"/>
        <v>0</v>
      </c>
      <c r="U22" s="572">
        <f t="shared" ca="1" si="50"/>
        <v>-3.4441023967612487</v>
      </c>
      <c r="V22" s="572">
        <f t="shared" ca="1" si="50"/>
        <v>-7.0321704885639642</v>
      </c>
      <c r="W22" s="572">
        <f t="shared" ca="1" si="50"/>
        <v>-8.0177817853863154</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-28.782064724059438</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4.659865174004973</v>
      </c>
      <c r="BP22" s="2759">
        <f t="shared" ca="1" si="52"/>
        <v>2.3833024686181182E-3</v>
      </c>
      <c r="BQ22" s="2759">
        <f t="shared" ca="1" si="52"/>
        <v>3.2579299466759477E-2</v>
      </c>
      <c r="BR22" s="2759">
        <f t="shared" ca="1" si="52"/>
        <v>0</v>
      </c>
      <c r="BS22" s="2759">
        <f t="shared" ca="1" si="52"/>
        <v>0</v>
      </c>
      <c r="BT22" s="2759">
        <f t="shared" ca="1" si="52"/>
        <v>0</v>
      </c>
      <c r="BU22" s="2759">
        <f t="shared" ca="1" si="52"/>
        <v>0</v>
      </c>
      <c r="BV22" s="2759">
        <f t="shared" ca="1" si="52"/>
        <v>0</v>
      </c>
      <c r="BW22" s="2759">
        <f t="shared" ca="1" si="52"/>
        <v>1.2338700819185533</v>
      </c>
      <c r="BX22" s="2759">
        <f t="shared" ca="1" si="52"/>
        <v>0</v>
      </c>
      <c r="BY22" s="2759">
        <f t="shared" ca="1" si="52"/>
        <v>0</v>
      </c>
      <c r="BZ22" s="2759">
        <f t="shared" ca="1" si="52"/>
        <v>1.1161054035888369</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7.0448032614477407</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25.219695965736182</v>
      </c>
      <c r="K24" s="580">
        <f t="shared" ca="1" si="53"/>
        <v>0.59258805649885726</v>
      </c>
      <c r="L24" s="580">
        <f t="shared" ca="1" si="53"/>
        <v>2.8626918373697949E-2</v>
      </c>
      <c r="M24" s="580">
        <f t="shared" ca="1" si="53"/>
        <v>0</v>
      </c>
      <c r="N24" s="580">
        <f t="shared" ca="1" si="53"/>
        <v>0</v>
      </c>
      <c r="O24" s="580">
        <f t="shared" ca="1" si="53"/>
        <v>0</v>
      </c>
      <c r="P24" s="580">
        <f t="shared" ca="1" si="53"/>
        <v>0</v>
      </c>
      <c r="Q24" s="581">
        <f t="shared" ref="Q24:Q32" ca="1" si="54">SUM(G24:P24)</f>
        <v>25.840910940608737</v>
      </c>
      <c r="S24" s="582">
        <f t="shared" ref="S24:AJ30" ca="1" si="55">IFERROR(INDEX(INDIRECT($C24&amp;".Outputs["&amp;this.Year&amp;"]"), MATCH(S$5, INDIRECT($C24&amp;".Outputs[Vector]"), 0)), 0)</f>
        <v>-0.11407707117919191</v>
      </c>
      <c r="T24" s="582">
        <f t="shared" ca="1" si="55"/>
        <v>0</v>
      </c>
      <c r="U24" s="582">
        <f t="shared" ca="1" si="55"/>
        <v>0</v>
      </c>
      <c r="V24" s="582">
        <f t="shared" ca="1" si="55"/>
        <v>-25.726833869429544</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-25.840910940608737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6.7887969214650665</v>
      </c>
      <c r="BP24" s="2759">
        <f t="shared" ca="1" si="62"/>
        <v>5.8348459215866212E-3</v>
      </c>
      <c r="BQ24" s="2759">
        <f t="shared" ca="1" si="62"/>
        <v>1.7226687958970022E-2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6.8118584553456225</v>
      </c>
    </row>
    <row r="25" spans="1:112" s="6" customFormat="1">
      <c r="A25" s="598"/>
      <c r="B25" s="598"/>
      <c r="C25" s="578" t="s">
        <v>471</v>
      </c>
      <c r="D25" s="614" t="s">
        <v>472</v>
      </c>
      <c r="E25" s="590"/>
      <c r="G25" s="580">
        <f t="shared" ca="1" si="53"/>
        <v>0</v>
      </c>
      <c r="H25" s="580">
        <f t="shared" ca="1" si="53"/>
        <v>0</v>
      </c>
      <c r="I25" s="580">
        <f t="shared" ca="1" si="53"/>
        <v>0</v>
      </c>
      <c r="J25" s="580">
        <f t="shared" ca="1" si="53"/>
        <v>17.218361704435271</v>
      </c>
      <c r="K25" s="580">
        <f t="shared" ca="1" si="53"/>
        <v>5.339622905208361E-3</v>
      </c>
      <c r="L25" s="580">
        <f t="shared" ca="1" si="53"/>
        <v>0</v>
      </c>
      <c r="M25" s="580">
        <f t="shared" ca="1" si="53"/>
        <v>0.66</v>
      </c>
      <c r="N25" s="580">
        <f t="shared" ca="1" si="53"/>
        <v>0</v>
      </c>
      <c r="O25" s="580">
        <f t="shared" ca="1" si="53"/>
        <v>0</v>
      </c>
      <c r="P25" s="580">
        <f t="shared" ca="1" si="53"/>
        <v>0</v>
      </c>
      <c r="Q25" s="581">
        <f t="shared" ca="1" si="54"/>
        <v>17.883701327340479</v>
      </c>
      <c r="S25" s="582">
        <f t="shared" ca="1" si="55"/>
        <v>2.3659767727210967E-17</v>
      </c>
      <c r="T25" s="582">
        <f t="shared" ca="1" si="55"/>
        <v>0</v>
      </c>
      <c r="U25" s="582">
        <f t="shared" ca="1" si="55"/>
        <v>0</v>
      </c>
      <c r="V25" s="582">
        <f t="shared" ca="1" si="55"/>
        <v>-17.883701327340479</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-17.883701327340479</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3.3221077797853287</v>
      </c>
      <c r="BP25" s="2759">
        <f t="shared" ca="1" si="62"/>
        <v>2.8552904519300922E-3</v>
      </c>
      <c r="BQ25" s="2759">
        <f t="shared" ca="1" si="62"/>
        <v>8.4299051437936052E-3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3.3333929753810523</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7.4554183878892841</v>
      </c>
      <c r="O26" s="580">
        <f t="shared" ca="1" si="53"/>
        <v>0</v>
      </c>
      <c r="P26" s="580">
        <f t="shared" ca="1" si="53"/>
        <v>0</v>
      </c>
      <c r="Q26" s="581">
        <f t="shared" ca="1" si="54"/>
        <v>7.4554183878892841</v>
      </c>
      <c r="S26" s="582">
        <f t="shared" ca="1" si="55"/>
        <v>0</v>
      </c>
      <c r="T26" s="582">
        <f t="shared" ca="1" si="55"/>
        <v>0</v>
      </c>
      <c r="U26" s="582">
        <f t="shared" ca="1" si="55"/>
        <v>0</v>
      </c>
      <c r="V26" s="582">
        <f t="shared" ca="1" si="55"/>
        <v>-7.4554183878892841</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-7.4554183878892841</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1.9673358041962239</v>
      </c>
      <c r="CV26" s="2759">
        <f t="shared" ca="1" si="65"/>
        <v>1.6908888903732896E-3</v>
      </c>
      <c r="CW26" s="2759">
        <f t="shared" ca="1" si="65"/>
        <v>4.9921481525306644E-3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1.9740188412391277</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7.4554183878892841</v>
      </c>
      <c r="O28" s="581">
        <f ca="1">SUM(O26:O27)</f>
        <v>0</v>
      </c>
      <c r="P28" s="581">
        <f t="shared" ca="1" si="66"/>
        <v>0</v>
      </c>
      <c r="Q28" s="581">
        <f t="shared" ca="1" si="54"/>
        <v>7.4554183878892841</v>
      </c>
      <c r="S28" s="583">
        <f t="shared" ref="S28:AJ28" ca="1" si="67">SUM(S26:S27)</f>
        <v>0</v>
      </c>
      <c r="T28" s="583">
        <f t="shared" ca="1" si="67"/>
        <v>0</v>
      </c>
      <c r="U28" s="583">
        <f t="shared" ca="1" si="67"/>
        <v>0</v>
      </c>
      <c r="V28" s="583">
        <f t="shared" ca="1" si="67"/>
        <v>-7.4554183878892841</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-7.4554183878892841</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1.9673358041962239</v>
      </c>
      <c r="CV28" s="2759">
        <f t="shared" ca="1" si="69"/>
        <v>1.6908888903732896E-3</v>
      </c>
      <c r="CW28" s="2759">
        <f t="shared" ca="1" si="69"/>
        <v>4.9921481525306644E-3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1.9740188412391277</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42.438057670171453</v>
      </c>
      <c r="K32" s="609">
        <f t="shared" ca="1" si="81"/>
        <v>0.59792767940406566</v>
      </c>
      <c r="L32" s="609">
        <f t="shared" ca="1" si="81"/>
        <v>2.8626918373697949E-2</v>
      </c>
      <c r="M32" s="609">
        <f t="shared" ca="1" si="81"/>
        <v>0.66</v>
      </c>
      <c r="N32" s="609">
        <f t="shared" ca="1" si="81"/>
        <v>7.4554183878892841</v>
      </c>
      <c r="O32" s="609">
        <f t="shared" ca="1" si="81"/>
        <v>0</v>
      </c>
      <c r="P32" s="609">
        <f t="shared" ca="1" si="81"/>
        <v>0</v>
      </c>
      <c r="Q32" s="609">
        <f t="shared" ca="1" si="54"/>
        <v>51.180030655838493</v>
      </c>
      <c r="S32" s="572">
        <f t="shared" ref="S32:AJ32" ca="1" si="82">S24+S25+S28+S31</f>
        <v>-0.11407707117919189</v>
      </c>
      <c r="T32" s="572">
        <f t="shared" ca="1" si="82"/>
        <v>0</v>
      </c>
      <c r="U32" s="572">
        <f t="shared" ca="1" si="82"/>
        <v>0</v>
      </c>
      <c r="V32" s="572">
        <f t="shared" ca="1" si="82"/>
        <v>-51.065953584659304</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-51.180030655838493</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0</v>
      </c>
      <c r="BM32" s="575"/>
      <c r="BN32" s="404"/>
      <c r="BO32" s="2759">
        <f t="shared" ref="BO32:DF32" ca="1" si="84">BO24+BO25+BO28+BO31</f>
        <v>10.110904701250394</v>
      </c>
      <c r="BP32" s="2759">
        <f t="shared" ca="1" si="84"/>
        <v>8.6901363735167134E-3</v>
      </c>
      <c r="BQ32" s="2759">
        <f t="shared" ca="1" si="84"/>
        <v>2.5656593102763629E-2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1.9673358041962239</v>
      </c>
      <c r="CV32" s="2759">
        <f t="shared" ca="1" si="84"/>
        <v>1.6908888903732896E-3</v>
      </c>
      <c r="CW32" s="2759">
        <f t="shared" ca="1" si="84"/>
        <v>4.9921481525306644E-3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12.119270271965801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38.706446706551574</v>
      </c>
      <c r="H40" s="624">
        <f t="shared" ca="1" si="101"/>
        <v>10.467947143111397</v>
      </c>
      <c r="I40" s="624">
        <f t="shared" ca="1" si="101"/>
        <v>28.782064724059438</v>
      </c>
      <c r="J40" s="624">
        <f t="shared" ca="1" si="101"/>
        <v>42.438057670171453</v>
      </c>
      <c r="K40" s="624">
        <f t="shared" ca="1" si="101"/>
        <v>0.59792767940406566</v>
      </c>
      <c r="L40" s="624">
        <f t="shared" ca="1" si="101"/>
        <v>2.8626918373697949E-2</v>
      </c>
      <c r="M40" s="624">
        <f t="shared" ca="1" si="101"/>
        <v>0.66</v>
      </c>
      <c r="N40" s="624">
        <f t="shared" ca="1" si="101"/>
        <v>7.4554183878892841</v>
      </c>
      <c r="O40" s="624">
        <f t="shared" ca="1" si="101"/>
        <v>0</v>
      </c>
      <c r="P40" s="624">
        <f t="shared" ca="1" si="101"/>
        <v>0</v>
      </c>
      <c r="Q40" s="624">
        <f t="shared" ca="1" si="101"/>
        <v>129.13648922956091</v>
      </c>
      <c r="S40" s="625">
        <f t="shared" ref="S40:AJ40" ca="1" si="102">S$15+S$19+S$22+S$32+S$35+S$38</f>
        <v>-25.473022293875683</v>
      </c>
      <c r="T40" s="625">
        <f t="shared" ca="1" si="102"/>
        <v>0</v>
      </c>
      <c r="U40" s="625">
        <f t="shared" ca="1" si="102"/>
        <v>-4.0685561362595468</v>
      </c>
      <c r="V40" s="625">
        <f t="shared" ca="1" si="102"/>
        <v>-72.26881540095556</v>
      </c>
      <c r="W40" s="625">
        <f t="shared" ca="1" si="102"/>
        <v>-27.037157081352063</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-5.5796848364472185E-2</v>
      </c>
      <c r="AJ40" s="625">
        <f t="shared" ca="1" si="102"/>
        <v>0</v>
      </c>
      <c r="AK40" s="625">
        <f ca="1">SUM(S40:AJ40)</f>
        <v>-128.90334776080732</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-0.23314146875358133</v>
      </c>
      <c r="BD40" s="626">
        <f t="shared" ca="1" si="103"/>
        <v>0</v>
      </c>
      <c r="BE40" s="626">
        <f t="shared" ca="1" si="103"/>
        <v>0</v>
      </c>
      <c r="BF40" s="626">
        <f ca="1">SUM(AM40:BE40)</f>
        <v>-0.23314146875358133</v>
      </c>
      <c r="BH40" s="3432">
        <f ca="1">BH$15+BH$19+BH$22+BH$32+BH$35+BH$38</f>
        <v>0</v>
      </c>
      <c r="BI40" s="3432">
        <f ca="1">BI$15+BI$19+BI$22+BI$32+BI$35+BI$38</f>
        <v>0</v>
      </c>
      <c r="BJ40" s="3432">
        <f ca="1">SUM(BH40:BI40)</f>
        <v>0</v>
      </c>
      <c r="BL40" s="3446">
        <f t="shared" ca="1" si="9"/>
        <v>5.5511151231257827E-15</v>
      </c>
      <c r="BM40" s="627"/>
      <c r="BO40" s="2762">
        <f t="shared" ref="BO40:DF40" ca="1" si="104">BO$15+BO$19+BO$22+BO$32+BO$35+BO$38</f>
        <v>22.614630806876217</v>
      </c>
      <c r="BP40" s="2762">
        <f t="shared" ca="1" si="104"/>
        <v>1.5758262499533778E-2</v>
      </c>
      <c r="BQ40" s="2762">
        <f t="shared" ca="1" si="104"/>
        <v>0.12962733887707625</v>
      </c>
      <c r="BR40" s="2762">
        <f t="shared" ca="1" si="104"/>
        <v>0</v>
      </c>
      <c r="BS40" s="2762">
        <f t="shared" ca="1" si="104"/>
        <v>0</v>
      </c>
      <c r="BT40" s="2762">
        <f t="shared" ca="1" si="104"/>
        <v>0</v>
      </c>
      <c r="BU40" s="2762">
        <f t="shared" ca="1" si="104"/>
        <v>0</v>
      </c>
      <c r="BV40" s="2762">
        <f t="shared" ca="1" si="104"/>
        <v>0</v>
      </c>
      <c r="BW40" s="2762">
        <f t="shared" ca="1" si="104"/>
        <v>1.2338700819185533</v>
      </c>
      <c r="BX40" s="2762">
        <f t="shared" ca="1" si="104"/>
        <v>0</v>
      </c>
      <c r="BY40" s="2762">
        <f t="shared" ca="1" si="104"/>
        <v>0</v>
      </c>
      <c r="BZ40" s="2762">
        <f t="shared" ca="1" si="104"/>
        <v>1.1161054035888369</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1.9673358041962239</v>
      </c>
      <c r="CV40" s="2762">
        <f t="shared" ca="1" si="104"/>
        <v>1.6908888903732896E-3</v>
      </c>
      <c r="CW40" s="2762">
        <f t="shared" ca="1" si="104"/>
        <v>4.9921481525306644E-3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27.084010734999346</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0.25170110893975794</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0.41679374494335664</v>
      </c>
      <c r="AG49" s="582">
        <f t="shared" ca="1" si="115"/>
        <v>1.6828087499999998E-2</v>
      </c>
      <c r="AH49" s="582">
        <f t="shared" ca="1" si="115"/>
        <v>0.16199979469292949</v>
      </c>
      <c r="AI49" s="582">
        <f t="shared" ca="1" si="115"/>
        <v>0</v>
      </c>
      <c r="AJ49" s="582">
        <f t="shared" ca="1" si="115"/>
        <v>0</v>
      </c>
      <c r="AK49" s="583">
        <f ca="1">SUM(S49:AJ49)</f>
        <v>0.84732273607604403</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-0.84732273607604403</v>
      </c>
      <c r="BF49" s="600">
        <f ca="1">SUM(AM49:BE49)</f>
        <v>-0.84732273607604403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0.72294179301391193</v>
      </c>
      <c r="CO49" s="2759">
        <f t="shared" ca="1" si="121"/>
        <v>5.608464642857143E-2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0.7790264394424834</v>
      </c>
    </row>
    <row r="50" spans="1:112" s="6" customFormat="1">
      <c r="A50" s="598"/>
      <c r="B50" s="598"/>
      <c r="C50" s="578" t="s">
        <v>501</v>
      </c>
      <c r="D50" s="602" t="s">
        <v>502</v>
      </c>
      <c r="E50" s="602"/>
      <c r="G50" s="610">
        <f t="shared" ca="1" si="114"/>
        <v>0</v>
      </c>
      <c r="H50" s="610">
        <f t="shared" ca="1" si="114"/>
        <v>0</v>
      </c>
      <c r="I50" s="610">
        <f t="shared" ca="1" si="114"/>
        <v>2.7261379168922861</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2.7261379168922861</v>
      </c>
      <c r="S50" s="611">
        <f t="shared" ca="1" si="115"/>
        <v>-0.57248896254738002</v>
      </c>
      <c r="T50" s="611">
        <f t="shared" ca="1" si="115"/>
        <v>0</v>
      </c>
      <c r="U50" s="611">
        <f t="shared" ca="1" si="115"/>
        <v>0</v>
      </c>
      <c r="V50" s="611">
        <f t="shared" ca="1" si="115"/>
        <v>-2.1536489543449062</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0.17257339245225228</v>
      </c>
      <c r="AE50" s="611">
        <f t="shared" ca="1" si="115"/>
        <v>0.15899392199579612</v>
      </c>
      <c r="AF50" s="611">
        <f t="shared" ca="1" si="115"/>
        <v>1.6065715936936933</v>
      </c>
      <c r="AG50" s="611">
        <f t="shared" ca="1" si="115"/>
        <v>0.1400407372436055</v>
      </c>
      <c r="AH50" s="611">
        <f t="shared" ca="1" si="115"/>
        <v>0</v>
      </c>
      <c r="AI50" s="611">
        <f t="shared" ca="1" si="115"/>
        <v>0</v>
      </c>
      <c r="AJ50" s="611">
        <f t="shared" ca="1" si="115"/>
        <v>0</v>
      </c>
      <c r="AK50" s="604">
        <f ca="1">SUM(S50:AJ50)</f>
        <v>-0.64795827150693874</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-0.33156731444804843</v>
      </c>
      <c r="BE50" s="612">
        <f t="shared" ca="1" si="117"/>
        <v>-1.7466123309372987</v>
      </c>
      <c r="BF50" s="606">
        <f ca="1">SUM(AM50:BE50)</f>
        <v>-2.0781796453853474</v>
      </c>
      <c r="BH50" s="3441">
        <f t="shared" ca="1" si="118"/>
        <v>0</v>
      </c>
      <c r="BI50" s="3441">
        <f t="shared" ca="1" si="118"/>
        <v>0</v>
      </c>
      <c r="BJ50" s="3430">
        <f ca="1">SUM(BH50:BI50)</f>
        <v>0</v>
      </c>
      <c r="BL50" s="601">
        <f ca="1">Q50+AK50+BF50+BJ50</f>
        <v>0</v>
      </c>
      <c r="BM50" s="601"/>
      <c r="BN50" s="404"/>
      <c r="BO50" s="2760">
        <f t="shared" ca="1" si="119"/>
        <v>0.56830488607253371</v>
      </c>
      <c r="BP50" s="2761">
        <f t="shared" ca="1" si="119"/>
        <v>4.8844758284542474E-4</v>
      </c>
      <c r="BQ50" s="2761">
        <f t="shared" ca="1" si="119"/>
        <v>1.4420833398293492E-3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10.601730646439316</v>
      </c>
      <c r="CG50" s="2761">
        <f t="shared" ca="1" si="120"/>
        <v>5.8448681025440212</v>
      </c>
      <c r="CH50" s="2761">
        <f t="shared" ca="1" si="120"/>
        <v>0</v>
      </c>
      <c r="CI50" s="2761">
        <f t="shared" ca="1" si="121"/>
        <v>3.4880772394696558</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20.504911405448201</v>
      </c>
    </row>
    <row r="51" spans="1:112" s="6" customFormat="1" ht="15.5">
      <c r="A51" s="4"/>
      <c r="B51" s="3"/>
      <c r="C51" s="607" t="s">
        <v>503</v>
      </c>
      <c r="D51" s="608" t="s">
        <v>504</v>
      </c>
      <c r="E51" s="201"/>
      <c r="G51" s="609">
        <f ca="1">SUM(G48:G50)</f>
        <v>0</v>
      </c>
      <c r="H51" s="609">
        <f t="shared" ref="H51:P51" ca="1" si="123">SUM(H48:H50)</f>
        <v>0</v>
      </c>
      <c r="I51" s="609">
        <f t="shared" ca="1" si="123"/>
        <v>2.7261379168922861</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2.7261379168922861</v>
      </c>
      <c r="S51" s="572">
        <f t="shared" ref="S51:AJ51" ca="1" si="124">SUM(S48:S50)</f>
        <v>-0.57248896254738002</v>
      </c>
      <c r="T51" s="572">
        <f t="shared" ca="1" si="124"/>
        <v>0</v>
      </c>
      <c r="U51" s="572">
        <f t="shared" ca="1" si="124"/>
        <v>0</v>
      </c>
      <c r="V51" s="572">
        <f t="shared" ca="1" si="124"/>
        <v>-2.1536489543449062</v>
      </c>
      <c r="W51" s="572">
        <f t="shared" ca="1" si="124"/>
        <v>0</v>
      </c>
      <c r="X51" s="572">
        <f t="shared" ca="1" si="124"/>
        <v>0.25170110893975794</v>
      </c>
      <c r="Y51" s="572">
        <f t="shared" ca="1" si="124"/>
        <v>0</v>
      </c>
      <c r="Z51" s="572">
        <f t="shared" ca="1" si="124"/>
        <v>0</v>
      </c>
      <c r="AA51" s="572">
        <f t="shared" ca="1" si="124"/>
        <v>0</v>
      </c>
      <c r="AB51" s="572">
        <f t="shared" ca="1" si="124"/>
        <v>0</v>
      </c>
      <c r="AC51" s="572">
        <f t="shared" ca="1" si="124"/>
        <v>0</v>
      </c>
      <c r="AD51" s="572">
        <f t="shared" ca="1" si="124"/>
        <v>0.17257339245225228</v>
      </c>
      <c r="AE51" s="572">
        <f ca="1">SUM(AE48:AE50)</f>
        <v>0.15899392199579612</v>
      </c>
      <c r="AF51" s="572">
        <f t="shared" ca="1" si="124"/>
        <v>2.02336533863705</v>
      </c>
      <c r="AG51" s="572">
        <f t="shared" ca="1" si="124"/>
        <v>0.1568688247436055</v>
      </c>
      <c r="AH51" s="572">
        <f ca="1">SUM(AH48:AH50)</f>
        <v>0.16199979469292949</v>
      </c>
      <c r="AI51" s="572">
        <f t="shared" ca="1" si="124"/>
        <v>0</v>
      </c>
      <c r="AJ51" s="572">
        <f t="shared" ca="1" si="124"/>
        <v>0</v>
      </c>
      <c r="AK51" s="572">
        <f ca="1">SUM(S51:AJ51)</f>
        <v>0.19936446456910539</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-0.33156731444804843</v>
      </c>
      <c r="BE51" s="573">
        <f t="shared" ca="1" si="125"/>
        <v>-2.5939350670133425</v>
      </c>
      <c r="BF51" s="573">
        <f ca="1">SUM(AM51:BE51)</f>
        <v>-2.9255023814613912</v>
      </c>
      <c r="BH51" s="3431">
        <f ca="1">SUM(BH48:BH50)</f>
        <v>0</v>
      </c>
      <c r="BI51" s="3431">
        <f ca="1">SUM(BI48:BI50)</f>
        <v>0</v>
      </c>
      <c r="BJ51" s="3431">
        <f ca="1">SUM(BH51:BI51)</f>
        <v>0</v>
      </c>
      <c r="BL51" s="3445">
        <f ca="1">Q51+AK51+BF51+BJ51</f>
        <v>4.4408920985006262E-16</v>
      </c>
      <c r="BM51" s="575"/>
      <c r="BN51" s="404"/>
      <c r="BO51" s="2759">
        <f t="shared" ref="BO51:DF51" ca="1" si="126">SUM(BO48:BO50)</f>
        <v>0.56830488607253371</v>
      </c>
      <c r="BP51" s="2759">
        <f t="shared" ca="1" si="126"/>
        <v>4.8844758284542474E-4</v>
      </c>
      <c r="BQ51" s="2759">
        <f t="shared" ca="1" si="126"/>
        <v>1.4420833398293492E-3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10.601730646439316</v>
      </c>
      <c r="CG51" s="2759">
        <f t="shared" ca="1" si="126"/>
        <v>5.8448681025440212</v>
      </c>
      <c r="CH51" s="2759">
        <f t="shared" ca="1" si="126"/>
        <v>0</v>
      </c>
      <c r="CI51" s="2759">
        <f t="shared" ca="1" si="126"/>
        <v>3.4880772394696558</v>
      </c>
      <c r="CJ51" s="2759">
        <f t="shared" ca="1" si="126"/>
        <v>0</v>
      </c>
      <c r="CK51" s="2759">
        <f t="shared" ca="1" si="126"/>
        <v>0</v>
      </c>
      <c r="CL51" s="2759">
        <f t="shared" ca="1" si="126"/>
        <v>0</v>
      </c>
      <c r="CM51" s="2759">
        <f t="shared" ca="1" si="126"/>
        <v>0</v>
      </c>
      <c r="CN51" s="2759">
        <f t="shared" ca="1" si="126"/>
        <v>0.72294179301391193</v>
      </c>
      <c r="CO51" s="2759">
        <f t="shared" ca="1" si="126"/>
        <v>5.608464642857143E-2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21.283937844890687</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2.341663707632998</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2.341663707632998</v>
      </c>
      <c r="S54" s="611">
        <f t="shared" ca="1" si="128"/>
        <v>-3.5902839544807497E-2</v>
      </c>
      <c r="T54" s="611">
        <f t="shared" ca="1" si="128"/>
        <v>0</v>
      </c>
      <c r="U54" s="611">
        <f t="shared" ca="1" si="128"/>
        <v>-7.1855333505701287E-4</v>
      </c>
      <c r="V54" s="611">
        <f t="shared" ca="1" si="128"/>
        <v>0</v>
      </c>
      <c r="W54" s="611">
        <f t="shared" ca="1" si="128"/>
        <v>-2.3050423147531336</v>
      </c>
      <c r="X54" s="611">
        <f t="shared" ca="1" si="128"/>
        <v>2</v>
      </c>
      <c r="Y54" s="611">
        <f t="shared" ca="1" si="128"/>
        <v>0</v>
      </c>
      <c r="Z54" s="611">
        <f t="shared" ca="1" si="128"/>
        <v>35</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34.658336292367004</v>
      </c>
      <c r="AM54" s="612">
        <f t="shared" ca="1" si="129"/>
        <v>-2</v>
      </c>
      <c r="AN54" s="612">
        <f t="shared" ca="1" si="129"/>
        <v>0</v>
      </c>
      <c r="AO54" s="612">
        <f t="shared" ca="1" si="129"/>
        <v>-35</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-37</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0.47159150665366845</v>
      </c>
      <c r="BP54" s="2761">
        <f t="shared" ca="1" si="131"/>
        <v>1.7415059067169076E-4</v>
      </c>
      <c r="BQ54" s="2761">
        <f t="shared" ca="1" si="131"/>
        <v>7.4553038578023803E-3</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0.47922096110214252</v>
      </c>
    </row>
    <row r="55" spans="1:112" s="6" customFormat="1" ht="15.5">
      <c r="A55" s="643"/>
      <c r="B55" s="644"/>
      <c r="C55" s="607" t="s">
        <v>509</v>
      </c>
      <c r="D55" s="608" t="s">
        <v>510</v>
      </c>
      <c r="E55" s="201"/>
      <c r="G55" s="609">
        <f ca="1">SUM(G53:G54)</f>
        <v>0</v>
      </c>
      <c r="H55" s="609">
        <f t="shared" ref="H55:P55" ca="1" si="135">SUM(H53:H54)</f>
        <v>0</v>
      </c>
      <c r="I55" s="609">
        <f t="shared" ca="1" si="135"/>
        <v>2.341663707632998</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2.341663707632998</v>
      </c>
      <c r="S55" s="572">
        <f t="shared" ref="S55:AJ55" ca="1" si="136">SUM(S53:S54)</f>
        <v>-0.26189094436842775</v>
      </c>
      <c r="T55" s="572">
        <f t="shared" ca="1" si="136"/>
        <v>0</v>
      </c>
      <c r="U55" s="572">
        <f t="shared" ca="1" si="136"/>
        <v>-7.1855333505701287E-4</v>
      </c>
      <c r="V55" s="572">
        <f t="shared" ca="1" si="136"/>
        <v>-1.8522858135888711</v>
      </c>
      <c r="W55" s="572">
        <f t="shared" ca="1" si="136"/>
        <v>-2.3874442680018375</v>
      </c>
      <c r="X55" s="572">
        <f ca="1">SUM(X53:X54)</f>
        <v>2</v>
      </c>
      <c r="Y55" s="572">
        <f ca="1">SUM(Y53:Y54)</f>
        <v>0</v>
      </c>
      <c r="Z55" s="572">
        <f ca="1">SUM(Z53:Z54)</f>
        <v>35</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32.471122420981388</v>
      </c>
      <c r="AM55" s="573">
        <f t="shared" ref="AM55:BE55" ca="1" si="137">SUM(AM53:AM54)</f>
        <v>-2</v>
      </c>
      <c r="AN55" s="573">
        <f t="shared" ca="1" si="137"/>
        <v>0</v>
      </c>
      <c r="AO55" s="573">
        <f t="shared" ca="1" si="137"/>
        <v>-35</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-37</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0.97724211389491822</v>
      </c>
      <c r="BP55" s="2759">
        <f t="shared" ca="1" si="139"/>
        <v>6.0047860085924874E-4</v>
      </c>
      <c r="BQ55" s="2759">
        <f t="shared" ca="1" si="139"/>
        <v>8.9622801200755931E-3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0.98680487261585303</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5.5339757999999994</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5.5339757999999994</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-5.5339757999999994</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-5.5339757999999994</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8.7660000000000016E-2</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8.7660000000000016E-2</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-8.7660000000000016E-2</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-8.7660000000000016E-2</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0.74791511999999993</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0.74791511999999993</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-0.74791511999999993</v>
      </c>
      <c r="BC59" s="584">
        <f t="shared" ca="1" si="145"/>
        <v>0</v>
      </c>
      <c r="BD59" s="584">
        <f t="shared" ca="1" si="145"/>
        <v>0</v>
      </c>
      <c r="BE59" s="584">
        <f t="shared" ca="1" si="145"/>
        <v>0</v>
      </c>
      <c r="BF59" s="600">
        <f t="shared" ca="1" si="146"/>
        <v>-0.74791511999999993</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1.3017510000000001E-2</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1.3017510000000001E-2</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-1.3017510000000001E-2</v>
      </c>
      <c r="BA60" s="584">
        <f t="shared" ca="1" si="144"/>
        <v>0</v>
      </c>
      <c r="BB60" s="584">
        <f t="shared" ca="1" si="144"/>
        <v>0</v>
      </c>
      <c r="BC60" s="584">
        <f t="shared" ca="1" si="145"/>
        <v>0</v>
      </c>
      <c r="BD60" s="584">
        <f t="shared" ca="1" si="145"/>
        <v>0</v>
      </c>
      <c r="BE60" s="584">
        <f t="shared" ca="1" si="145"/>
        <v>0</v>
      </c>
      <c r="BF60" s="600">
        <f t="shared" ca="1" si="146"/>
        <v>-1.3017510000000001E-2</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6.3825684299999992</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6.3825684299999992</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-5.6216357999999991</v>
      </c>
      <c r="AY63" s="573">
        <f t="shared" ca="1" si="155"/>
        <v>0</v>
      </c>
      <c r="AZ63" s="573">
        <f t="shared" ca="1" si="155"/>
        <v>-1.3017510000000001E-2</v>
      </c>
      <c r="BA63" s="573">
        <f t="shared" ca="1" si="155"/>
        <v>0</v>
      </c>
      <c r="BB63" s="573">
        <f t="shared" ca="1" si="155"/>
        <v>-0.74791511999999993</v>
      </c>
      <c r="BC63" s="573">
        <f t="shared" ca="1" si="155"/>
        <v>0</v>
      </c>
      <c r="BD63" s="573">
        <f t="shared" ca="1" si="155"/>
        <v>0</v>
      </c>
      <c r="BE63" s="573">
        <f t="shared" ca="1" si="155"/>
        <v>0</v>
      </c>
      <c r="BF63" s="573">
        <f t="shared" ca="1" si="146"/>
        <v>-6.3825684299999992</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3.9854891688908701E-3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3.9854891688908701E-3</v>
      </c>
      <c r="S66" s="651">
        <f t="shared" ca="1" si="158"/>
        <v>-3.9854891688908701E-3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5.5796848364472185E-2</v>
      </c>
      <c r="AJ66" s="651">
        <f t="shared" ca="1" si="158"/>
        <v>0</v>
      </c>
      <c r="AK66" s="652">
        <f ca="1">SUM(S66:AJ66)</f>
        <v>5.1811359195581316E-2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-5.5796848364472185E-2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-5.5796848364472185E-2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3.9854891688908701E-3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3.9854891688908701E-3</v>
      </c>
      <c r="S68" s="572">
        <f t="shared" ref="S68:AJ68" ca="1" si="165">SUM(S65:S67)</f>
        <v>-3.9854891688908701E-3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5.5796848364472185E-2</v>
      </c>
      <c r="AJ68" s="572">
        <f t="shared" ca="1" si="165"/>
        <v>0</v>
      </c>
      <c r="AK68" s="572">
        <f ca="1">SUM(S68:AJ68)</f>
        <v>5.1811359195581316E-2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-5.5796848364472185E-2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-5.5796848364472185E-2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-26.31138768996038</v>
      </c>
      <c r="T74" s="662">
        <f ca="1">T$40+T$46+T$51+T$99+T$55+T$93+T$63+T$68+T$72</f>
        <v>5.1208272492213931</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-26.31138768996038</v>
      </c>
      <c r="T78" s="662">
        <f ca="1">T$74+T$76</f>
        <v>5.1208272492213931</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-26.31138768996038</v>
      </c>
      <c r="T80" s="636">
        <f ca="1">T78+T79</f>
        <v>5.1208272492213931</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21.190560440738988</v>
      </c>
      <c r="U81" s="611">
        <f t="shared" ca="1" si="190"/>
        <v>-18.904104411428573</v>
      </c>
      <c r="V81" s="611">
        <f t="shared" ca="1" si="190"/>
        <v>0</v>
      </c>
      <c r="W81" s="611">
        <f t="shared" ca="1" si="190"/>
        <v>-27.385767915552304</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-25.099311886241889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24.611263429427108</v>
      </c>
      <c r="BI81" s="3441">
        <f ca="1">IFERROR(INDEX(INDIRECT($C81&amp;".Outputs["&amp;this.Year&amp;"]"), MATCH(BI$5, INDIRECT($C81&amp;".Outputs[Vector]"), 0)), 0)</f>
        <v>0.48804845681477976</v>
      </c>
      <c r="BJ81" s="3430">
        <f ca="1">SUM(BH81:BI81)</f>
        <v>25.099311886241889</v>
      </c>
      <c r="BK81" s="6"/>
      <c r="BL81" s="601">
        <f t="shared" ca="1" si="176"/>
        <v>0</v>
      </c>
      <c r="BM81" s="601"/>
      <c r="BN81" s="404"/>
      <c r="BO81" s="2760">
        <f t="shared" ref="BO81:DF81" ca="1" si="192">IFERROR(SUMIFS(INDIRECT($C81&amp;".Emissions["&amp;this.Year&amp;"]"), INDIRECT($C81&amp;".Emissions[GHG]"), BO$6, INDIRECT($C81&amp;".Emissions[IPCC Sector]"), BO$5),0)</f>
        <v>12.308018826892326</v>
      </c>
      <c r="BP81" s="2761">
        <f t="shared" ca="1" si="192"/>
        <v>3.1708097804138344E-3</v>
      </c>
      <c r="BQ81" s="2761">
        <f t="shared" ca="1" si="192"/>
        <v>0.10023463856962833</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12.411424275242368</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21.190560440738988</v>
      </c>
      <c r="U82" s="572">
        <f t="shared" ca="1" si="194"/>
        <v>-18.904104411428573</v>
      </c>
      <c r="V82" s="572">
        <f t="shared" ca="1" si="194"/>
        <v>0</v>
      </c>
      <c r="W82" s="572">
        <f t="shared" ca="1" si="194"/>
        <v>-27.385767915552304</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-25.099311886241889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24.611263429427108</v>
      </c>
      <c r="BI82" s="3431">
        <f ca="1">BI79+BI81</f>
        <v>0.48804845681477976</v>
      </c>
      <c r="BJ82" s="3431">
        <f ca="1">SUM(BH82:BI82)</f>
        <v>25.099311886241889</v>
      </c>
      <c r="BL82" s="3445">
        <f t="shared" ca="1" si="176"/>
        <v>0</v>
      </c>
      <c r="BM82" s="575"/>
      <c r="BN82" s="404"/>
      <c r="BO82" s="2759">
        <f t="shared" ref="BO82:DF82" ca="1" si="196">BO79+BO81</f>
        <v>12.308018826892326</v>
      </c>
      <c r="BP82" s="2759">
        <f t="shared" ca="1" si="196"/>
        <v>3.1708097804138344E-3</v>
      </c>
      <c r="BQ82" s="2759">
        <f t="shared" ca="1" si="196"/>
        <v>0.10023463856962833</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12.411424275242368</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3.9854891688908701E-3</v>
      </c>
      <c r="I84" s="671">
        <f t="shared" ca="1" si="197"/>
        <v>5.0678016245252842</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5.0717871136941755</v>
      </c>
      <c r="S84" s="625">
        <f t="shared" ref="S84:AJ84" ca="1" si="198">S$51+S$55+S$63+S$68+S$72+S$76+S$82+S$46</f>
        <v>-0.83836539608469862</v>
      </c>
      <c r="T84" s="625">
        <f t="shared" ca="1" si="198"/>
        <v>27.569337727921212</v>
      </c>
      <c r="U84" s="625">
        <f t="shared" ca="1" si="198"/>
        <v>-18.904822964763632</v>
      </c>
      <c r="V84" s="625">
        <f t="shared" ca="1" si="198"/>
        <v>-4.0059347679337769</v>
      </c>
      <c r="W84" s="625">
        <f t="shared" ca="1" si="198"/>
        <v>-29.77321218355414</v>
      </c>
      <c r="X84" s="625">
        <f t="shared" ca="1" si="198"/>
        <v>2.2517011089397578</v>
      </c>
      <c r="Y84" s="625">
        <f t="shared" ca="1" si="198"/>
        <v>0</v>
      </c>
      <c r="Z84" s="625">
        <f t="shared" ca="1" si="198"/>
        <v>35</v>
      </c>
      <c r="AA84" s="625">
        <f t="shared" ca="1" si="198"/>
        <v>0</v>
      </c>
      <c r="AB84" s="625">
        <f t="shared" ca="1" si="198"/>
        <v>0</v>
      </c>
      <c r="AC84" s="625">
        <f t="shared" ca="1" si="198"/>
        <v>0</v>
      </c>
      <c r="AD84" s="625">
        <f t="shared" ca="1" si="198"/>
        <v>0.17257339245225228</v>
      </c>
      <c r="AE84" s="625">
        <f t="shared" ca="1" si="198"/>
        <v>0.15899392199579612</v>
      </c>
      <c r="AF84" s="625">
        <f t="shared" ca="1" si="198"/>
        <v>2.02336533863705</v>
      </c>
      <c r="AG84" s="625">
        <f t="shared" ca="1" si="198"/>
        <v>0.1568688247436055</v>
      </c>
      <c r="AH84" s="625">
        <f t="shared" ca="1" si="198"/>
        <v>0.16199979469292949</v>
      </c>
      <c r="AI84" s="625">
        <f t="shared" ca="1" si="198"/>
        <v>5.5796848364472185E-2</v>
      </c>
      <c r="AJ84" s="625">
        <f t="shared" ca="1" si="198"/>
        <v>0</v>
      </c>
      <c r="AK84" s="625">
        <f ca="1">SUM(S84:AJ84)</f>
        <v>14.028301645410831</v>
      </c>
      <c r="AM84" s="626">
        <f t="shared" ref="AM84:BE84" ca="1" si="199">AM$51+AM$55+AM$63+AM$68+AM$72+AM$76+AM$82+AM$46</f>
        <v>-2</v>
      </c>
      <c r="AN84" s="626">
        <f t="shared" ca="1" si="199"/>
        <v>0</v>
      </c>
      <c r="AO84" s="626">
        <f t="shared" ca="1" si="199"/>
        <v>-35</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-5.5796848364472185E-2</v>
      </c>
      <c r="AX84" s="626">
        <f t="shared" ca="1" si="199"/>
        <v>-5.6216357999999991</v>
      </c>
      <c r="AY84" s="626">
        <f t="shared" ca="1" si="199"/>
        <v>0</v>
      </c>
      <c r="AZ84" s="626">
        <f t="shared" ca="1" si="199"/>
        <v>-1.3017510000000001E-2</v>
      </c>
      <c r="BA84" s="626">
        <f t="shared" ca="1" si="199"/>
        <v>0</v>
      </c>
      <c r="BB84" s="626">
        <f t="shared" ca="1" si="199"/>
        <v>-0.74791511999999993</v>
      </c>
      <c r="BC84" s="626">
        <f t="shared" ca="1" si="199"/>
        <v>0</v>
      </c>
      <c r="BD84" s="626">
        <f t="shared" ca="1" si="199"/>
        <v>-0.33156731444804843</v>
      </c>
      <c r="BE84" s="626">
        <f t="shared" ca="1" si="199"/>
        <v>-2.5939350670133425</v>
      </c>
      <c r="BF84" s="626">
        <f ca="1">SUM(AM84:BE84)</f>
        <v>-46.363867659825864</v>
      </c>
      <c r="BH84" s="3432">
        <f ca="1">BH$51+BH$55+BH$63+BH$68+BH$72+BH$76+BH$82+BH$46</f>
        <v>24.588516572520462</v>
      </c>
      <c r="BI84" s="3432">
        <f ca="1">BI$51+BI$55+BI$63+BI$68+BI$72+BI$76+BI$82+BI$46</f>
        <v>2.6752623282003944</v>
      </c>
      <c r="BJ84" s="3432">
        <f ca="1">SUM(BH84:BI84)</f>
        <v>27.263778900720855</v>
      </c>
      <c r="BL84" s="3446">
        <f t="shared" ca="1" si="176"/>
        <v>0</v>
      </c>
      <c r="BM84" s="627"/>
      <c r="BO84" s="2762">
        <f t="shared" ref="BO84:DE84" ca="1" si="200">BO$51+BO$55+BO$63+BO$68+BO$72+BO$76+BO$82+BO$46</f>
        <v>13.853565826859779</v>
      </c>
      <c r="BP84" s="2762">
        <f t="shared" ca="1" si="200"/>
        <v>4.2597359641185079E-3</v>
      </c>
      <c r="BQ84" s="2762">
        <f t="shared" ca="1" si="200"/>
        <v>0.11063900202953328</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10.601730646439316</v>
      </c>
      <c r="CG84" s="2762">
        <f t="shared" ca="1" si="200"/>
        <v>5.8448681025440212</v>
      </c>
      <c r="CH84" s="2762">
        <f t="shared" ca="1" si="200"/>
        <v>0</v>
      </c>
      <c r="CI84" s="2762">
        <f t="shared" ca="1" si="200"/>
        <v>3.4880772394696558</v>
      </c>
      <c r="CJ84" s="2762">
        <f t="shared" ca="1" si="200"/>
        <v>0</v>
      </c>
      <c r="CK84" s="2762">
        <f t="shared" ca="1" si="200"/>
        <v>0</v>
      </c>
      <c r="CL84" s="2762">
        <f t="shared" ca="1" si="200"/>
        <v>0</v>
      </c>
      <c r="CM84" s="2762">
        <f t="shared" ca="1" si="200"/>
        <v>0</v>
      </c>
      <c r="CN84" s="2762">
        <f t="shared" ca="1" si="200"/>
        <v>0.72294179301391193</v>
      </c>
      <c r="CO84" s="2762">
        <f t="shared" ca="1" si="200"/>
        <v>5.608464642857143E-2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34.682166992748904</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2.5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2.5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-2.5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-26.30740220079149</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-3.7579500379608319</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-3.7579500379608319</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3.7579500379608333</v>
      </c>
      <c r="BJ91" s="3428">
        <f ca="1">SUM(BH91:BI91)</f>
        <v>3.7579500379608333</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-0.35768010804056094</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-0.35768010804056094</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0.21460806482433656</v>
      </c>
      <c r="BI92" s="3441">
        <f ca="1">IFERROR(INDEX(INDIRECT($C92&amp;".Outputs["&amp;this.Year&amp;"]"), MATCH(BI$5, INDIRECT($C92&amp;".Outputs[Vector]"), 0)), 0)</f>
        <v>0.14307204321622438</v>
      </c>
      <c r="BJ92" s="3430">
        <f ca="1">SUM(BH92:BI92)</f>
        <v>0.35768010804056094</v>
      </c>
      <c r="BK92" s="6"/>
      <c r="BL92" s="645">
        <f t="shared" ca="1" si="204"/>
        <v>0</v>
      </c>
      <c r="BM92" s="601"/>
      <c r="BO92" s="2760">
        <f t="shared" ca="1" si="210"/>
        <v>7.3224700934193282E-2</v>
      </c>
      <c r="BP92" s="2761">
        <f t="shared" ca="1" si="210"/>
        <v>2.7040616167866409E-5</v>
      </c>
      <c r="BQ92" s="2761">
        <f t="shared" ca="1" si="210"/>
        <v>1.1575959016624714E-3</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-1.2579500379608319</v>
      </c>
      <c r="U93" s="572">
        <f t="shared" ca="1" si="215"/>
        <v>0</v>
      </c>
      <c r="V93" s="572">
        <f t="shared" ca="1" si="215"/>
        <v>0</v>
      </c>
      <c r="W93" s="572">
        <f t="shared" ca="1" si="215"/>
        <v>-0.35768010804056094</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-1.6156301460013929</v>
      </c>
      <c r="AL93" s="6"/>
      <c r="AM93" s="573">
        <f t="shared" ref="AM93:BE93" ca="1" si="216">AM$89+AM$91+AM$92</f>
        <v>0</v>
      </c>
      <c r="AN93" s="573">
        <f t="shared" ca="1" si="216"/>
        <v>0</v>
      </c>
      <c r="AO93" s="573">
        <f t="shared" ca="1" si="216"/>
        <v>0</v>
      </c>
      <c r="AP93" s="573">
        <f t="shared" ca="1" si="216"/>
        <v>0</v>
      </c>
      <c r="AQ93" s="573">
        <f t="shared" ca="1" si="216"/>
        <v>-2.5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-2.5</v>
      </c>
      <c r="BG93" s="6"/>
      <c r="BH93" s="3431">
        <f ca="1">BH$89+BH$91+BH$92</f>
        <v>0.21460806482433656</v>
      </c>
      <c r="BI93" s="3431">
        <f ca="1">BI$89+BI$91+BI$92</f>
        <v>3.9010220811770577</v>
      </c>
      <c r="BJ93" s="3431">
        <f ca="1">SUM(BH93:BI93)</f>
        <v>4.1156301460013944</v>
      </c>
      <c r="BK93" s="6"/>
      <c r="BL93" s="3445">
        <f t="shared" ca="1" si="204"/>
        <v>0</v>
      </c>
      <c r="BM93" s="575"/>
      <c r="BN93" s="404"/>
      <c r="BO93" s="2759">
        <f t="shared" ref="BO93:DF93" ca="1" si="217">BO$89+BO$91+BO$92</f>
        <v>7.3224700934193282E-2</v>
      </c>
      <c r="BP93" s="2759">
        <f t="shared" ca="1" si="217"/>
        <v>2.7040616167866409E-5</v>
      </c>
      <c r="BQ93" s="2759">
        <f t="shared" ca="1" si="217"/>
        <v>1.1575959016624714E-3</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7.4409337452023633E-2</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-22.973379101023177</v>
      </c>
      <c r="V95" s="636">
        <f ca="1">(V$40+V$84+V$93)</f>
        <v>-76.274750168889341</v>
      </c>
      <c r="W95" s="636">
        <f ca="1">(W$40+W$84+W$93)</f>
        <v>-57.168049372946761</v>
      </c>
      <c r="X95" s="636"/>
      <c r="Y95" s="636"/>
      <c r="Z95" s="636"/>
      <c r="AA95" s="636"/>
      <c r="AB95" s="636"/>
      <c r="AC95" s="636">
        <f t="shared" ref="AC95:AH95" ca="1" si="219">(AC$40+AC$84+AC$93)</f>
        <v>0</v>
      </c>
      <c r="AD95" s="636">
        <f t="shared" ca="1" si="219"/>
        <v>0.17257339245225228</v>
      </c>
      <c r="AE95" s="636">
        <f t="shared" ca="1" si="219"/>
        <v>0.15899392199579612</v>
      </c>
      <c r="AF95" s="636">
        <f t="shared" ca="1" si="219"/>
        <v>2.02336533863705</v>
      </c>
      <c r="AG95" s="636">
        <f t="shared" ca="1" si="219"/>
        <v>0.1568688247436055</v>
      </c>
      <c r="AH95" s="636">
        <f t="shared" ca="1" si="219"/>
        <v>0.16199979469292949</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-2.5939350670133425</v>
      </c>
      <c r="BF95" s="637">
        <f ca="1">SUM(AM95:BE95)</f>
        <v>-2.5939350670133425</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1.8210288047733452</v>
      </c>
      <c r="V96" s="689">
        <f t="shared" ca="1" si="221"/>
        <v>0.11314027102603014</v>
      </c>
      <c r="W96" s="689">
        <f t="shared" ca="1" si="221"/>
        <v>0.27965141325063358</v>
      </c>
      <c r="X96" s="689">
        <f t="shared" ca="1" si="221"/>
        <v>0</v>
      </c>
      <c r="Y96" s="689">
        <f t="shared" ca="1" si="221"/>
        <v>0</v>
      </c>
      <c r="Z96" s="689">
        <f t="shared" ca="1" si="221"/>
        <v>0</v>
      </c>
      <c r="AA96" s="689">
        <f t="shared" ca="1" si="221"/>
        <v>0</v>
      </c>
      <c r="AB96" s="689">
        <f t="shared" ca="1" si="221"/>
        <v>0</v>
      </c>
      <c r="AC96" s="689">
        <f t="shared" ca="1" si="221"/>
        <v>0</v>
      </c>
      <c r="AD96" s="689">
        <f t="shared" ca="1" si="221"/>
        <v>-0.17257339245225228</v>
      </c>
      <c r="AE96" s="689">
        <f t="shared" ca="1" si="221"/>
        <v>-0.15899392199579612</v>
      </c>
      <c r="AF96" s="689">
        <f t="shared" ca="1" si="221"/>
        <v>-2.02336533863705</v>
      </c>
      <c r="AG96" s="689">
        <f t="shared" ca="1" si="221"/>
        <v>-0.1568688247436055</v>
      </c>
      <c r="AH96" s="689">
        <f t="shared" ca="1" si="221"/>
        <v>-0.16199979469292949</v>
      </c>
      <c r="AI96" s="689">
        <f t="shared" ca="1" si="221"/>
        <v>0</v>
      </c>
      <c r="AJ96" s="689">
        <f t="shared" ca="1" si="221"/>
        <v>0</v>
      </c>
      <c r="AK96" s="690">
        <f ca="1">SUM(S96:AJ96)</f>
        <v>-0.45998078347162485</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0.45998078347162519</v>
      </c>
      <c r="BI96" s="3444">
        <f ca="1">IFERROR(INDEX(INDIRECT($C96&amp;".Outputs["&amp;this.Year&amp;"]"), MATCH(BI$5, INDIRECT($C96&amp;".Outputs[Vector]"), 0)), 0)</f>
        <v>0</v>
      </c>
      <c r="BJ96" s="3436">
        <f ca="1">SUM(BH96:BI96)</f>
        <v>0.45998078347162519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-0.70192614315742274</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-0.70192614315742274</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-21.152350296249832</v>
      </c>
      <c r="V97" s="636">
        <f ca="1">V$95+V$96</f>
        <v>-76.161609897863315</v>
      </c>
      <c r="W97" s="636">
        <f ca="1">W$95+W$96</f>
        <v>-56.888397959696128</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-0.84732273607604403</v>
      </c>
      <c r="BF97" s="637">
        <f ca="1">SUM(AM97:BE97)</f>
        <v>-0.84732273607604403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0.25</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1.2967</v>
      </c>
      <c r="AM98" s="612">
        <f t="shared" ref="AM98:BE98" ca="1" si="227">IFERROR(INDEX(INDIRECT($C98&amp;".Outputs["&amp;this.Year&amp;"]"), MATCH(AM$5, INDIRECT($C98&amp;".Outputs[Vector]"), 0)), 0)</f>
        <v>0</v>
      </c>
      <c r="AN98" s="612">
        <f t="shared" ca="1" si="227"/>
        <v>0</v>
      </c>
      <c r="AO98" s="612">
        <f t="shared" ca="1" si="227"/>
        <v>0</v>
      </c>
      <c r="AP98" s="612">
        <f t="shared" ca="1" si="227"/>
        <v>-1.2967</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-1.2967</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-0.36060879599999995</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-0.36060879599999995</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2.0710288047733449</v>
      </c>
      <c r="V99" s="572">
        <f t="shared" ca="1" si="230"/>
        <v>1.15984027102603</v>
      </c>
      <c r="W99" s="572">
        <f t="shared" ca="1" si="230"/>
        <v>0.27965141325063358</v>
      </c>
      <c r="X99" s="572">
        <f t="shared" ca="1" si="230"/>
        <v>0</v>
      </c>
      <c r="Y99" s="572">
        <f t="shared" ca="1" si="230"/>
        <v>0</v>
      </c>
      <c r="Z99" s="572">
        <f t="shared" ca="1" si="230"/>
        <v>0</v>
      </c>
      <c r="AA99" s="572">
        <f t="shared" ca="1" si="230"/>
        <v>0</v>
      </c>
      <c r="AB99" s="572">
        <f t="shared" ca="1" si="230"/>
        <v>0</v>
      </c>
      <c r="AC99" s="572">
        <f t="shared" ca="1" si="230"/>
        <v>0</v>
      </c>
      <c r="AD99" s="572">
        <f ca="1">AD$96+AD98</f>
        <v>-0.17257339245225228</v>
      </c>
      <c r="AE99" s="572">
        <f ca="1">AE$96+AE98</f>
        <v>-0.15899392199579612</v>
      </c>
      <c r="AF99" s="572">
        <f t="shared" ca="1" si="230"/>
        <v>-2.02336533863705</v>
      </c>
      <c r="AG99" s="572">
        <f t="shared" ca="1" si="230"/>
        <v>-0.1568688247436055</v>
      </c>
      <c r="AH99" s="572">
        <f ca="1">AH$96+AH98</f>
        <v>-0.16199979469292949</v>
      </c>
      <c r="AI99" s="572">
        <f t="shared" ca="1" si="230"/>
        <v>0</v>
      </c>
      <c r="AJ99" s="572">
        <f t="shared" ca="1" si="230"/>
        <v>0</v>
      </c>
      <c r="AK99" s="572">
        <f ca="1">SUM(S99:AJ99)</f>
        <v>0.83671921652837489</v>
      </c>
      <c r="AM99" s="573">
        <f t="shared" ref="AM99:BE99" ca="1" si="231">AM$96+AM98</f>
        <v>0</v>
      </c>
      <c r="AN99" s="573">
        <f t="shared" ca="1" si="231"/>
        <v>0</v>
      </c>
      <c r="AO99" s="573">
        <f t="shared" ca="1" si="231"/>
        <v>0</v>
      </c>
      <c r="AP99" s="573">
        <f t="shared" ca="1" si="231"/>
        <v>-1.2967</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-1.2967</v>
      </c>
      <c r="BH99" s="3431">
        <f ca="1">BH$96+BH98</f>
        <v>0.45998078347162519</v>
      </c>
      <c r="BI99" s="3431">
        <f ca="1">BI$96+BI98</f>
        <v>0</v>
      </c>
      <c r="BJ99" s="3431">
        <f ca="1">SUM(BH99:BI99)</f>
        <v>0.45998078347162519</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-1.0625349391574228</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-1.0625349391574228</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-26.31138768996038</v>
      </c>
      <c r="T101" s="636">
        <f ca="1">(T$40+T$84+T$93+T$99)</f>
        <v>26.31138768996038</v>
      </c>
      <c r="U101" s="636">
        <f ca="1">(U$40+U$84+U$93+U$99)</f>
        <v>-20.902350296249832</v>
      </c>
      <c r="V101" s="636">
        <f ca="1">(V$40+V$84+V$93+V$99)</f>
        <v>-75.114909897863313</v>
      </c>
      <c r="W101" s="636">
        <f ca="1">(W$40+W$84+W$93+W$99)</f>
        <v>-56.888397959696128</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20.902350296249832</v>
      </c>
      <c r="V102" s="652">
        <f t="shared" ca="1" si="234"/>
        <v>75.114909897863313</v>
      </c>
      <c r="W102" s="652">
        <f t="shared" ca="1" si="234"/>
        <v>56.888397959696128</v>
      </c>
      <c r="X102" s="652">
        <f t="shared" ca="1" si="234"/>
        <v>-20.902350296249832</v>
      </c>
      <c r="Y102" s="652">
        <f t="shared" ca="1" si="234"/>
        <v>-75.114909897863313</v>
      </c>
      <c r="Z102" s="652">
        <f t="shared" ca="1" si="234"/>
        <v>-57.74172392909157</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-0.85332596939544914</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0.85332596939544192</v>
      </c>
      <c r="BJ102" s="655">
        <f ca="1">SUM(BH102:BI102)</f>
        <v>0.85332596939544192</v>
      </c>
      <c r="BK102" s="6"/>
      <c r="BL102" s="3445">
        <f t="shared" ref="BL102:BL109" ca="1" si="236">Q102+AK102+BF102+BJ102</f>
        <v>-7.2164496600635175E-15</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2.4325814698518078E-2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2.4325814698518078E-2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18.650649187310073</v>
      </c>
      <c r="Y103" s="702">
        <f ca="1">-(Y$40+Y$84+Y$93+Y$99+Y$102)</f>
        <v>75.114909897863313</v>
      </c>
      <c r="Z103" s="702">
        <f ca="1">-(Z$40+Z$84+Z$93+Z$99+Z$102)</f>
        <v>22.74172392909157</v>
      </c>
      <c r="AA103" s="702"/>
      <c r="AB103" s="702"/>
      <c r="AC103" s="702"/>
      <c r="AD103" s="702"/>
      <c r="AE103" s="702"/>
      <c r="AF103" s="702"/>
      <c r="AG103" s="702"/>
      <c r="AH103" s="702"/>
      <c r="AI103" s="702"/>
      <c r="AJ103" s="702"/>
      <c r="AK103" s="702">
        <f ca="1">SUM(S103:AJ103)</f>
        <v>116.50728301426494</v>
      </c>
      <c r="AL103" s="6"/>
      <c r="AM103" s="606"/>
      <c r="AN103" s="606"/>
      <c r="AO103" s="606"/>
      <c r="AP103" s="606"/>
      <c r="AQ103" s="606">
        <f ca="1">-T103</f>
        <v>0</v>
      </c>
      <c r="AR103" s="606">
        <f>-V103</f>
        <v>0</v>
      </c>
      <c r="AS103" s="606">
        <f ca="1">-X103</f>
        <v>-18.650649187310073</v>
      </c>
      <c r="AT103" s="606">
        <f ca="1">-Y103</f>
        <v>-75.114909897863313</v>
      </c>
      <c r="AU103" s="606">
        <f ca="1">-Z103</f>
        <v>-22.74172392909157</v>
      </c>
      <c r="AV103" s="606"/>
      <c r="AW103" s="606"/>
      <c r="AX103" s="606"/>
      <c r="AY103" s="606"/>
      <c r="AZ103" s="606"/>
      <c r="BA103" s="606"/>
      <c r="BB103" s="606"/>
      <c r="BC103" s="606"/>
      <c r="BD103" s="606"/>
      <c r="BE103" s="606"/>
      <c r="BF103" s="606">
        <f ca="1">SUM(AM103:BE103)</f>
        <v>-116.50728301426494</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0</v>
      </c>
      <c r="U104" s="572">
        <f t="shared" ca="1" si="242"/>
        <v>20.902350296249832</v>
      </c>
      <c r="V104" s="572">
        <f t="shared" ca="1" si="242"/>
        <v>75.114909897863313</v>
      </c>
      <c r="W104" s="572">
        <f t="shared" ca="1" si="242"/>
        <v>56.888397959696128</v>
      </c>
      <c r="X104" s="572">
        <f t="shared" ca="1" si="242"/>
        <v>-2.2517011089397592</v>
      </c>
      <c r="Y104" s="572">
        <f t="shared" ca="1" si="242"/>
        <v>0</v>
      </c>
      <c r="Z104" s="572">
        <f t="shared" ca="1" si="242"/>
        <v>-35</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115.65395704486951</v>
      </c>
      <c r="AM104" s="573">
        <f t="shared" ref="AM104:BE104" ca="1" si="243">SUM(AM102:AM103)</f>
        <v>0</v>
      </c>
      <c r="AN104" s="573">
        <f t="shared" ca="1" si="243"/>
        <v>0</v>
      </c>
      <c r="AO104" s="573">
        <f t="shared" ca="1" si="243"/>
        <v>0</v>
      </c>
      <c r="AP104" s="573">
        <f t="shared" ca="1" si="243"/>
        <v>0</v>
      </c>
      <c r="AQ104" s="573">
        <f t="shared" ca="1" si="243"/>
        <v>0</v>
      </c>
      <c r="AR104" s="573">
        <f t="shared" ca="1" si="243"/>
        <v>0</v>
      </c>
      <c r="AS104" s="573">
        <f t="shared" ca="1" si="243"/>
        <v>-18.650649187310073</v>
      </c>
      <c r="AT104" s="573">
        <f t="shared" ca="1" si="243"/>
        <v>-75.114909897863313</v>
      </c>
      <c r="AU104" s="573">
        <f t="shared" ca="1" si="243"/>
        <v>-22.74172392909157</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-116.50728301426494</v>
      </c>
      <c r="BH104" s="3431">
        <f ca="1">SUM(BH102:BH103)</f>
        <v>0</v>
      </c>
      <c r="BI104" s="3431">
        <f ca="1">SUM(BI102:BI103)</f>
        <v>0.85332596939544192</v>
      </c>
      <c r="BJ104" s="3431">
        <f ca="1">SUM(BH104:BI104)</f>
        <v>0.85332596939544192</v>
      </c>
      <c r="BL104" s="3445">
        <f t="shared" ca="1" si="236"/>
        <v>1.4099832412739488E-14</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2.4325814698518078E-2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2.4325814698518078E-2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-1.2579500379608319</v>
      </c>
      <c r="U106" s="625">
        <f t="shared" ca="1" si="246"/>
        <v>22.973379101023177</v>
      </c>
      <c r="V106" s="625">
        <f t="shared" ca="1" si="246"/>
        <v>76.274750168889341</v>
      </c>
      <c r="W106" s="625">
        <f t="shared" ca="1" si="246"/>
        <v>56.8103692649062</v>
      </c>
      <c r="X106" s="625">
        <f t="shared" ca="1" si="246"/>
        <v>-2.2517011089397592</v>
      </c>
      <c r="Y106" s="625">
        <f t="shared" ca="1" si="246"/>
        <v>0</v>
      </c>
      <c r="Z106" s="625">
        <f t="shared" ca="1" si="246"/>
        <v>-35</v>
      </c>
      <c r="AA106" s="625">
        <f t="shared" ca="1" si="246"/>
        <v>0</v>
      </c>
      <c r="AB106" s="625">
        <f t="shared" ca="1" si="246"/>
        <v>0</v>
      </c>
      <c r="AC106" s="625">
        <f t="shared" ca="1" si="246"/>
        <v>0</v>
      </c>
      <c r="AD106" s="625">
        <f t="shared" ca="1" si="246"/>
        <v>-0.17257339245225228</v>
      </c>
      <c r="AE106" s="625">
        <f t="shared" ca="1" si="246"/>
        <v>-0.15899392199579612</v>
      </c>
      <c r="AF106" s="625">
        <f t="shared" ca="1" si="246"/>
        <v>-2.02336533863705</v>
      </c>
      <c r="AG106" s="625">
        <f t="shared" ca="1" si="246"/>
        <v>-0.1568688247436055</v>
      </c>
      <c r="AH106" s="625">
        <f t="shared" ca="1" si="246"/>
        <v>-0.16199979469292949</v>
      </c>
      <c r="AI106" s="625">
        <f t="shared" ca="1" si="246"/>
        <v>0</v>
      </c>
      <c r="AJ106" s="625">
        <f t="shared" ca="1" si="246"/>
        <v>0</v>
      </c>
      <c r="AK106" s="625">
        <f ca="1">SUM(S106:AJ106)</f>
        <v>114.87504611539649</v>
      </c>
      <c r="AM106" s="626">
        <f t="shared" ref="AM106:BE106" ca="1" si="247">AM$93+AM$99+AM$104</f>
        <v>0</v>
      </c>
      <c r="AN106" s="626">
        <f t="shared" ca="1" si="247"/>
        <v>0</v>
      </c>
      <c r="AO106" s="626">
        <f t="shared" ca="1" si="247"/>
        <v>0</v>
      </c>
      <c r="AP106" s="626">
        <f t="shared" ca="1" si="247"/>
        <v>-1.2967</v>
      </c>
      <c r="AQ106" s="626">
        <f t="shared" ca="1" si="247"/>
        <v>-2.5</v>
      </c>
      <c r="AR106" s="626">
        <f t="shared" ca="1" si="247"/>
        <v>0</v>
      </c>
      <c r="AS106" s="626">
        <f t="shared" ca="1" si="247"/>
        <v>-18.650649187310073</v>
      </c>
      <c r="AT106" s="626">
        <f t="shared" ca="1" si="247"/>
        <v>-75.114909897863313</v>
      </c>
      <c r="AU106" s="626">
        <f t="shared" ca="1" si="247"/>
        <v>-22.74172392909157</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-120.30398301426496</v>
      </c>
      <c r="BH106" s="3432">
        <f ca="1">BH$93+BH$99+BH$104</f>
        <v>0.67458884829596177</v>
      </c>
      <c r="BI106" s="3432">
        <f ca="1">BI$93+BI$99+BI$104</f>
        <v>4.7543480505724993</v>
      </c>
      <c r="BJ106" s="3432">
        <f ca="1">SUM(BH106:BI106)</f>
        <v>5.4289368988684608</v>
      </c>
      <c r="BL106" s="3446">
        <f t="shared" ca="1" si="236"/>
        <v>-1.0658141036401503E-14</v>
      </c>
      <c r="BM106" s="627"/>
      <c r="BO106" s="2762">
        <f t="shared" ref="BO106:DE106" ca="1" si="248">BO$93+BO$99+BO$104</f>
        <v>7.3224700934193282E-2</v>
      </c>
      <c r="BP106" s="2762">
        <f t="shared" ca="1" si="248"/>
        <v>2.7040616167866409E-5</v>
      </c>
      <c r="BQ106" s="2762">
        <f t="shared" ca="1" si="248"/>
        <v>1.1575959016624714E-3</v>
      </c>
      <c r="BR106" s="2762">
        <f t="shared" ca="1" si="248"/>
        <v>0</v>
      </c>
      <c r="BS106" s="2762">
        <f t="shared" ca="1" si="248"/>
        <v>0</v>
      </c>
      <c r="BT106" s="2762">
        <f t="shared" ca="1" si="248"/>
        <v>2.4325814698518078E-2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-1.0625349391574228</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-0.96379978700688107</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38.706446706551574</v>
      </c>
      <c r="H109" s="705">
        <f t="shared" ca="1" si="249"/>
        <v>10.471932632280287</v>
      </c>
      <c r="I109" s="705">
        <f t="shared" ca="1" si="249"/>
        <v>33.849866348584726</v>
      </c>
      <c r="J109" s="705">
        <f t="shared" ca="1" si="249"/>
        <v>42.438057670171453</v>
      </c>
      <c r="K109" s="705">
        <f t="shared" ca="1" si="249"/>
        <v>0.59792767940406566</v>
      </c>
      <c r="L109" s="705">
        <f t="shared" ca="1" si="249"/>
        <v>2.8626918373697949E-2</v>
      </c>
      <c r="M109" s="705">
        <f t="shared" ca="1" si="249"/>
        <v>0.66</v>
      </c>
      <c r="N109" s="705">
        <f t="shared" ca="1" si="249"/>
        <v>7.4554183878892841</v>
      </c>
      <c r="O109" s="705">
        <f t="shared" ca="1" si="249"/>
        <v>0</v>
      </c>
      <c r="P109" s="705">
        <f t="shared" ca="1" si="249"/>
        <v>0</v>
      </c>
      <c r="Q109" s="705">
        <f ca="1">SUM(G109:P109)</f>
        <v>134.20827634325508</v>
      </c>
      <c r="S109" s="706">
        <f t="shared" ref="S109:AJ109" ca="1" si="250">S$40+S$84+S$106</f>
        <v>-26.31138768996038</v>
      </c>
      <c r="T109" s="706">
        <f t="shared" ca="1" si="250"/>
        <v>26.31138768996038</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-2</v>
      </c>
      <c r="AN109" s="707">
        <f t="shared" ca="1" si="251"/>
        <v>0</v>
      </c>
      <c r="AO109" s="707">
        <f t="shared" ca="1" si="251"/>
        <v>-35</v>
      </c>
      <c r="AP109" s="707">
        <f t="shared" ca="1" si="251"/>
        <v>-1.2967</v>
      </c>
      <c r="AQ109" s="707">
        <f t="shared" ca="1" si="251"/>
        <v>-2.5</v>
      </c>
      <c r="AR109" s="707">
        <f t="shared" ca="1" si="251"/>
        <v>0</v>
      </c>
      <c r="AS109" s="707">
        <f t="shared" ca="1" si="251"/>
        <v>-18.650649187310073</v>
      </c>
      <c r="AT109" s="707">
        <f t="shared" ca="1" si="251"/>
        <v>-75.114909897863313</v>
      </c>
      <c r="AU109" s="707">
        <f t="shared" ca="1" si="251"/>
        <v>-22.74172392909157</v>
      </c>
      <c r="AV109" s="707">
        <f t="shared" ca="1" si="251"/>
        <v>0</v>
      </c>
      <c r="AW109" s="707">
        <f t="shared" ca="1" si="251"/>
        <v>-5.5796848364472185E-2</v>
      </c>
      <c r="AX109" s="707">
        <f t="shared" ca="1" si="251"/>
        <v>-5.6216357999999991</v>
      </c>
      <c r="AY109" s="707">
        <f t="shared" ca="1" si="251"/>
        <v>0</v>
      </c>
      <c r="AZ109" s="707">
        <f t="shared" ca="1" si="251"/>
        <v>-1.3017510000000001E-2</v>
      </c>
      <c r="BA109" s="707">
        <f t="shared" ca="1" si="251"/>
        <v>0</v>
      </c>
      <c r="BB109" s="707">
        <f t="shared" ca="1" si="251"/>
        <v>-0.74791511999999993</v>
      </c>
      <c r="BC109" s="707">
        <f t="shared" ca="1" si="251"/>
        <v>-0.23314146875358133</v>
      </c>
      <c r="BD109" s="707">
        <f t="shared" ca="1" si="251"/>
        <v>-0.33156731444804843</v>
      </c>
      <c r="BE109" s="707">
        <f t="shared" ca="1" si="251"/>
        <v>-2.5939350670133425</v>
      </c>
      <c r="BF109" s="707">
        <f ca="1">SUM(AM109:BE109)</f>
        <v>-166.90099214284442</v>
      </c>
      <c r="BH109" s="3437">
        <f ca="1">BH$40+BH$84+BH$106</f>
        <v>25.263105420816423</v>
      </c>
      <c r="BI109" s="3437">
        <f ca="1">BI$40+BI$84+BI$106</f>
        <v>7.4296103787728942</v>
      </c>
      <c r="BJ109" s="3437">
        <f ca="1">SUM(BH109:BI109)</f>
        <v>32.692715799589315</v>
      </c>
      <c r="BL109" s="3447">
        <f t="shared" ca="1" si="236"/>
        <v>0</v>
      </c>
      <c r="BM109" s="568"/>
      <c r="BO109" s="2767">
        <f t="shared" ref="BO109:DF109" ca="1" si="252">BO$40+BO$84+BO$106</f>
        <v>36.54142133467019</v>
      </c>
      <c r="BP109" s="2767">
        <f t="shared" ca="1" si="252"/>
        <v>2.0045039079820151E-2</v>
      </c>
      <c r="BQ109" s="2767">
        <f t="shared" ca="1" si="252"/>
        <v>0.24142393680827201</v>
      </c>
      <c r="BR109" s="2767">
        <f t="shared" ca="1" si="252"/>
        <v>0</v>
      </c>
      <c r="BS109" s="2767">
        <f t="shared" ca="1" si="252"/>
        <v>0</v>
      </c>
      <c r="BT109" s="2767">
        <f t="shared" ca="1" si="252"/>
        <v>2.4325814698518078E-2</v>
      </c>
      <c r="BU109" s="2767">
        <f t="shared" ca="1" si="252"/>
        <v>0</v>
      </c>
      <c r="BV109" s="2767">
        <f t="shared" ca="1" si="252"/>
        <v>0</v>
      </c>
      <c r="BW109" s="2767">
        <f t="shared" ca="1" si="252"/>
        <v>1.2338700819185533</v>
      </c>
      <c r="BX109" s="2767">
        <f t="shared" ca="1" si="252"/>
        <v>0</v>
      </c>
      <c r="BY109" s="2767">
        <f t="shared" ca="1" si="252"/>
        <v>0</v>
      </c>
      <c r="BZ109" s="2767">
        <f t="shared" ca="1" si="252"/>
        <v>1.1161054035888369</v>
      </c>
      <c r="CA109" s="2767">
        <f t="shared" ca="1" si="252"/>
        <v>0</v>
      </c>
      <c r="CB109" s="2767">
        <f t="shared" ca="1" si="252"/>
        <v>0</v>
      </c>
      <c r="CC109" s="2767">
        <f t="shared" ca="1" si="252"/>
        <v>0</v>
      </c>
      <c r="CD109" s="2767">
        <f t="shared" ca="1" si="252"/>
        <v>0</v>
      </c>
      <c r="CE109" s="2767">
        <f t="shared" ca="1" si="252"/>
        <v>0</v>
      </c>
      <c r="CF109" s="2767">
        <f t="shared" ca="1" si="252"/>
        <v>10.601730646439316</v>
      </c>
      <c r="CG109" s="2767">
        <f t="shared" ca="1" si="252"/>
        <v>5.8448681025440212</v>
      </c>
      <c r="CH109" s="2767">
        <f t="shared" ca="1" si="252"/>
        <v>0</v>
      </c>
      <c r="CI109" s="2767">
        <f t="shared" ca="1" si="252"/>
        <v>3.4880772394696558</v>
      </c>
      <c r="CJ109" s="2767">
        <f t="shared" ca="1" si="252"/>
        <v>0</v>
      </c>
      <c r="CK109" s="2767">
        <f t="shared" ca="1" si="252"/>
        <v>0</v>
      </c>
      <c r="CL109" s="2767">
        <f t="shared" ca="1" si="252"/>
        <v>0</v>
      </c>
      <c r="CM109" s="2767">
        <f t="shared" ca="1" si="252"/>
        <v>0</v>
      </c>
      <c r="CN109" s="2767">
        <f t="shared" ca="1" si="252"/>
        <v>0.72294179301391193</v>
      </c>
      <c r="CO109" s="2767">
        <f t="shared" ca="1" si="252"/>
        <v>5.608464642857143E-2</v>
      </c>
      <c r="CP109" s="2767">
        <f t="shared" ca="1" si="252"/>
        <v>0</v>
      </c>
      <c r="CQ109" s="2767">
        <f t="shared" ca="1" si="252"/>
        <v>0</v>
      </c>
      <c r="CR109" s="2767">
        <f t="shared" ca="1" si="252"/>
        <v>0</v>
      </c>
      <c r="CS109" s="2767">
        <f t="shared" ca="1" si="252"/>
        <v>0</v>
      </c>
      <c r="CT109" s="2767">
        <f t="shared" ca="1" si="252"/>
        <v>0</v>
      </c>
      <c r="CU109" s="2767">
        <f t="shared" ca="1" si="252"/>
        <v>1.9673358041962239</v>
      </c>
      <c r="CV109" s="2767">
        <f t="shared" ca="1" si="252"/>
        <v>1.6908888903732896E-3</v>
      </c>
      <c r="CW109" s="2767">
        <f t="shared" ca="1" si="252"/>
        <v>4.9921481525306644E-3</v>
      </c>
      <c r="CX109" s="2767">
        <f t="shared" ca="1" si="252"/>
        <v>0</v>
      </c>
      <c r="CY109" s="2767">
        <f t="shared" ca="1" si="252"/>
        <v>-1.0625349391574228</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60.802377940741373</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12.411424275242368</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26.315178832778155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0.47164506667850237</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2:DH148"/>
  <sheetViews>
    <sheetView workbookViewId="0">
      <selection activeCell="E3" sqref="E3"/>
    </sheetView>
  </sheetViews>
  <sheetFormatPr defaultColWidth="8.81640625" defaultRowHeight="14.5"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2" spans="1:112" ht="22.5">
      <c r="D2" s="512"/>
      <c r="E2" s="513">
        <v>2025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26.437455027627145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26.437455027627145</v>
      </c>
      <c r="S9" s="582">
        <f t="shared" ref="S9:AJ13" ca="1" si="2">IFERROR(INDEX(INDIRECT($C9&amp;".Outputs["&amp;this.Year&amp;"]"), MATCH(S$5, INDIRECT($C9&amp;".Outputs[Vector]"), 0)), 0)</f>
        <v>-1.3895260738128647</v>
      </c>
      <c r="T9" s="582">
        <f t="shared" ca="1" si="2"/>
        <v>0</v>
      </c>
      <c r="U9" s="582">
        <f t="shared" ca="1" si="2"/>
        <v>-0.28209903725583046</v>
      </c>
      <c r="V9" s="582">
        <f t="shared" ca="1" si="2"/>
        <v>-10.441154263462709</v>
      </c>
      <c r="W9" s="582">
        <f t="shared" ca="1" si="2"/>
        <v>-14.23206774476146</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-5.8662240154226032E-2</v>
      </c>
      <c r="AJ9" s="582">
        <f t="shared" ca="1" si="2"/>
        <v>0</v>
      </c>
      <c r="AK9" s="583">
        <f t="shared" ref="AK9:AK15" ca="1" si="3">SUM(S9:AJ9)</f>
        <v>-26.403509359447092</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-3.3945668180055968E-2</v>
      </c>
      <c r="BD9" s="584">
        <f t="shared" ca="1" si="5"/>
        <v>0</v>
      </c>
      <c r="BE9" s="584">
        <f t="shared" ca="1" si="5"/>
        <v>0</v>
      </c>
      <c r="BF9" s="585">
        <f t="shared" ref="BF9:BF15" ca="1" si="6">SUM(AM9:BE9)</f>
        <v>-3.3945668180055968E-2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-3.2335245592207684E-15</v>
      </c>
      <c r="BM9" s="586"/>
      <c r="BN9" s="404"/>
      <c r="BO9" s="2758">
        <f t="shared" ref="BO9:BX10" ca="1" si="10">IFERROR(SUMIFS(INDIRECT($C9&amp;".Emissions["&amp;this.Year&amp;"]"), INDIRECT($C9&amp;".Emissions[GHG]"), BO$6, INDIRECT($C9&amp;".Emissions[IPCC Sector]"), BO$5),0)</f>
        <v>5.7640607282274017</v>
      </c>
      <c r="BP9" s="2759">
        <f t="shared" ca="1" si="10"/>
        <v>3.4589267895088873E-3</v>
      </c>
      <c r="BQ9" s="2759">
        <f t="shared" ca="1" si="10"/>
        <v>5.3209472206749368E-2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26.437455027627145</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26.437455027627145</v>
      </c>
      <c r="S11" s="583">
        <f ca="1">SUM(S9:S10)</f>
        <v>-1.3895260738128647</v>
      </c>
      <c r="T11" s="583">
        <f t="shared" ref="T11:AJ11" ca="1" si="15">SUM(T9:T10)</f>
        <v>0</v>
      </c>
      <c r="U11" s="583">
        <f t="shared" ca="1" si="15"/>
        <v>-0.28209903725583046</v>
      </c>
      <c r="V11" s="583">
        <f t="shared" ca="1" si="15"/>
        <v>-10.441154263462709</v>
      </c>
      <c r="W11" s="583">
        <f t="shared" ca="1" si="15"/>
        <v>-14.23206774476146</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-5.8662240154226032E-2</v>
      </c>
      <c r="AJ11" s="583">
        <f t="shared" ca="1" si="15"/>
        <v>0</v>
      </c>
      <c r="AK11" s="583">
        <f t="shared" ca="1" si="3"/>
        <v>-26.403509359447092</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-3.3945668180055968E-2</v>
      </c>
      <c r="BD11" s="599">
        <f ca="1">SUM(BD9:BD10)</f>
        <v>0</v>
      </c>
      <c r="BE11" s="599">
        <f t="shared" ca="1" si="16"/>
        <v>0</v>
      </c>
      <c r="BF11" s="600">
        <f t="shared" ca="1" si="6"/>
        <v>-3.3945668180055968E-2</v>
      </c>
      <c r="BH11" s="3428">
        <f ca="1">SUM(BH9:BH10)</f>
        <v>0</v>
      </c>
      <c r="BI11" s="3428">
        <f ca="1">SUM(BI9:BI10)</f>
        <v>0</v>
      </c>
      <c r="BJ11" s="3428">
        <f t="shared" ca="1" si="8"/>
        <v>0</v>
      </c>
      <c r="BL11" s="601">
        <f t="shared" ca="1" si="9"/>
        <v>-3.2335245592207684E-15</v>
      </c>
      <c r="BM11" s="601"/>
      <c r="BN11" s="404"/>
      <c r="BO11" s="2758">
        <f t="shared" ref="BO11:DF11" ca="1" si="17">SUM(BO9:BO10)</f>
        <v>5.7640607282274017</v>
      </c>
      <c r="BP11" s="2759">
        <f t="shared" ca="1" si="17"/>
        <v>3.4589267895088873E-3</v>
      </c>
      <c r="BQ11" s="2759">
        <f t="shared" ca="1" si="17"/>
        <v>5.3209472206749368E-2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13.90839215449247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13.90839215449247</v>
      </c>
      <c r="S12" s="582">
        <f t="shared" ca="1" si="2"/>
        <v>-4.5082162162162165</v>
      </c>
      <c r="T12" s="582">
        <f t="shared" ca="1" si="2"/>
        <v>0</v>
      </c>
      <c r="U12" s="582">
        <f t="shared" ca="1" si="2"/>
        <v>-0.25952353215284246</v>
      </c>
      <c r="V12" s="582">
        <f t="shared" ca="1" si="2"/>
        <v>-1.7845587210922258</v>
      </c>
      <c r="W12" s="582">
        <f t="shared" ca="1" si="2"/>
        <v>-7.0586798336798342</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-13.610978303141119</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-0.29741385135135134</v>
      </c>
      <c r="BD12" s="584">
        <f t="shared" ca="1" si="19"/>
        <v>0</v>
      </c>
      <c r="BE12" s="584">
        <f t="shared" ca="1" si="19"/>
        <v>0</v>
      </c>
      <c r="BF12" s="585">
        <f t="shared" ca="1" si="6"/>
        <v>-0.29741385135135134</v>
      </c>
      <c r="BH12" s="3439">
        <f t="shared" ca="1" si="7"/>
        <v>0</v>
      </c>
      <c r="BI12" s="3439">
        <f t="shared" ca="1" si="7"/>
        <v>0</v>
      </c>
      <c r="BJ12" s="3428">
        <f t="shared" ca="1" si="8"/>
        <v>0</v>
      </c>
      <c r="BL12" s="586">
        <f t="shared" ca="1" si="9"/>
        <v>-4.4408920985006262E-16</v>
      </c>
      <c r="BM12" s="586"/>
      <c r="BN12" s="404"/>
      <c r="BO12" s="2758">
        <f t="shared" ref="BO12:BX13" ca="1" si="20">IFERROR(SUMIFS(INDIRECT($C12&amp;".Emissions["&amp;this.Year&amp;"]"), INDIRECT($C12&amp;".Emissions[GHG]"), BO$6, INDIRECT($C12&amp;".Emissions[IPCC Sector]"), BO$5),0)</f>
        <v>2.0035917190704722</v>
      </c>
      <c r="BP12" s="2759">
        <f t="shared" ca="1" si="20"/>
        <v>9.5210809869144077E-4</v>
      </c>
      <c r="BQ12" s="2759">
        <f t="shared" ca="1" si="20"/>
        <v>2.4184466064306055E-2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13.90839215449247</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13.90839215449247</v>
      </c>
      <c r="S14" s="604">
        <f t="shared" ref="S14:AJ14" ca="1" si="25">SUM(S12:S13)</f>
        <v>-4.5082162162162165</v>
      </c>
      <c r="T14" s="604">
        <f t="shared" ca="1" si="25"/>
        <v>0</v>
      </c>
      <c r="U14" s="604">
        <f t="shared" ca="1" si="25"/>
        <v>-0.25952353215284246</v>
      </c>
      <c r="V14" s="604">
        <f t="shared" ca="1" si="25"/>
        <v>-1.7845587210922258</v>
      </c>
      <c r="W14" s="604">
        <f t="shared" ca="1" si="25"/>
        <v>-7.0586798336798342</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-13.610978303141119</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-0.29741385135135134</v>
      </c>
      <c r="BD14" s="605">
        <f ca="1">SUM(BD12:BD13)</f>
        <v>0</v>
      </c>
      <c r="BE14" s="605">
        <f t="shared" ca="1" si="26"/>
        <v>0</v>
      </c>
      <c r="BF14" s="606">
        <f t="shared" ca="1" si="6"/>
        <v>-0.29741385135135134</v>
      </c>
      <c r="BH14" s="3430">
        <f ca="1">SUM(BH12:BH13)</f>
        <v>0</v>
      </c>
      <c r="BI14" s="3430">
        <f ca="1">SUM(BI12:BI13)</f>
        <v>0</v>
      </c>
      <c r="BJ14" s="3430">
        <f t="shared" ca="1" si="8"/>
        <v>0</v>
      </c>
      <c r="BL14" s="601">
        <f t="shared" ca="1" si="9"/>
        <v>-4.4408920985006262E-16</v>
      </c>
      <c r="BM14" s="601"/>
      <c r="BN14" s="404"/>
      <c r="BO14" s="2760">
        <f t="shared" ref="BO14:DF14" ca="1" si="27">SUM(BO12:BO13)</f>
        <v>2.0035917190704722</v>
      </c>
      <c r="BP14" s="2761">
        <f t="shared" ca="1" si="27"/>
        <v>9.5210809869144077E-4</v>
      </c>
      <c r="BQ14" s="2761">
        <f t="shared" ca="1" si="27"/>
        <v>2.4184466064306055E-2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40.345847182119613</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40.345847182119613</v>
      </c>
      <c r="S15" s="572">
        <f t="shared" ref="S15:AJ15" ca="1" si="29">S14+S11</f>
        <v>-5.8977422900290808</v>
      </c>
      <c r="T15" s="572">
        <f t="shared" ca="1" si="29"/>
        <v>0</v>
      </c>
      <c r="U15" s="572">
        <f t="shared" ca="1" si="29"/>
        <v>-0.54162256940867293</v>
      </c>
      <c r="V15" s="572">
        <f t="shared" ca="1" si="29"/>
        <v>-12.225712984554935</v>
      </c>
      <c r="W15" s="572">
        <f t="shared" ca="1" si="29"/>
        <v>-21.290747578441295</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-5.8662240154226032E-2</v>
      </c>
      <c r="AJ15" s="572">
        <f t="shared" ca="1" si="29"/>
        <v>0</v>
      </c>
      <c r="AK15" s="572">
        <f t="shared" ca="1" si="3"/>
        <v>-40.014487662588216</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-0.3313595195314073</v>
      </c>
      <c r="BD15" s="573">
        <f ca="1">BD14+BD11</f>
        <v>0</v>
      </c>
      <c r="BE15" s="573">
        <f t="shared" ca="1" si="30"/>
        <v>0</v>
      </c>
      <c r="BF15" s="573">
        <f t="shared" ca="1" si="6"/>
        <v>-0.3313595195314073</v>
      </c>
      <c r="BH15" s="3431">
        <f ca="1">BH14+BH11</f>
        <v>0</v>
      </c>
      <c r="BI15" s="3431">
        <f ca="1">BI14+BI11</f>
        <v>0</v>
      </c>
      <c r="BJ15" s="3431">
        <f t="shared" ca="1" si="8"/>
        <v>0</v>
      </c>
      <c r="BL15" s="3445">
        <f t="shared" ca="1" si="9"/>
        <v>-1.0769163338864018E-14</v>
      </c>
      <c r="BM15" s="575"/>
      <c r="BN15" s="404"/>
      <c r="BO15" s="2759">
        <f t="shared" ref="BO15:DF15" ca="1" si="31">BO14+BO11</f>
        <v>7.7676524472978734</v>
      </c>
      <c r="BP15" s="2759">
        <f t="shared" ca="1" si="31"/>
        <v>4.4110348882003278E-3</v>
      </c>
      <c r="BQ15" s="2759">
        <f t="shared" ca="1" si="31"/>
        <v>7.7393938271055424E-2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7.8494574204571288</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5.9002723899645328</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5.9002723899645328</v>
      </c>
      <c r="S17" s="582">
        <f t="shared" ref="S17:AJ18" ca="1" si="34">IFERROR(INDEX(INDIRECT($C17&amp;".Outputs["&amp;this.Year&amp;"]"), MATCH(S$5, INDIRECT($C17&amp;".Outputs[Vector]"), 0)), 0)</f>
        <v>-5.4637212796504775</v>
      </c>
      <c r="T17" s="582">
        <f t="shared" ca="1" si="34"/>
        <v>0</v>
      </c>
      <c r="U17" s="582">
        <f t="shared" ca="1" si="34"/>
        <v>0</v>
      </c>
      <c r="V17" s="582">
        <f t="shared" ca="1" si="34"/>
        <v>0</v>
      </c>
      <c r="W17" s="582">
        <f t="shared" ca="1" si="34"/>
        <v>-0.43655111031405541</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-5.9002723899645328</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8.9371267164825796E-2</v>
      </c>
      <c r="BP17" s="2759">
        <f t="shared" ca="1" si="37"/>
        <v>3.3003263939742596E-5</v>
      </c>
      <c r="BQ17" s="2759">
        <f t="shared" ca="1" si="37"/>
        <v>1.4128540134204089E-3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9.0817124442185954E-2</v>
      </c>
    </row>
    <row r="18" spans="1:112" s="6" customFormat="1">
      <c r="A18" s="598"/>
      <c r="B18" s="598"/>
      <c r="C18" s="578" t="s">
        <v>463</v>
      </c>
      <c r="D18" s="602" t="s">
        <v>464</v>
      </c>
      <c r="E18" s="602"/>
      <c r="G18" s="610">
        <f t="shared" ca="1" si="33"/>
        <v>0</v>
      </c>
      <c r="H18" s="610">
        <f t="shared" ca="1" si="33"/>
        <v>4.8591895883138498</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4.8591895883138498</v>
      </c>
      <c r="S18" s="611">
        <f t="shared" ca="1" si="34"/>
        <v>-4.3661079711547659</v>
      </c>
      <c r="T18" s="611">
        <f t="shared" ca="1" si="34"/>
        <v>0</v>
      </c>
      <c r="U18" s="611">
        <f t="shared" ca="1" si="34"/>
        <v>0</v>
      </c>
      <c r="V18" s="611">
        <f t="shared" ca="1" si="34"/>
        <v>0</v>
      </c>
      <c r="W18" s="611">
        <f t="shared" ca="1" si="34"/>
        <v>-0.49308161715908405</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-4.8591895883138498</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0.10094426036274827</v>
      </c>
      <c r="BP18" s="2761">
        <f t="shared" ca="1" si="37"/>
        <v>3.7276970257226756E-5</v>
      </c>
      <c r="BQ18" s="2761">
        <f t="shared" ca="1" si="37"/>
        <v>1.5958093457736596E-3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0.10257734667877916</v>
      </c>
    </row>
    <row r="19" spans="1:112" s="6" customFormat="1" ht="15.5">
      <c r="A19" s="4"/>
      <c r="B19" s="3"/>
      <c r="C19" s="607" t="s">
        <v>465</v>
      </c>
      <c r="D19" s="608" t="s">
        <v>82</v>
      </c>
      <c r="E19" s="201"/>
      <c r="G19" s="609">
        <f ca="1">G17+G18</f>
        <v>0</v>
      </c>
      <c r="H19" s="609">
        <f t="shared" ref="H19:P19" ca="1" si="41">H17+H18</f>
        <v>10.759461978278383</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10.759461978278383</v>
      </c>
      <c r="S19" s="572">
        <f ca="1">S17+S18</f>
        <v>-9.8298292508052434</v>
      </c>
      <c r="T19" s="572">
        <f t="shared" ref="T19:AJ19" ca="1" si="42">T17+T18</f>
        <v>0</v>
      </c>
      <c r="U19" s="572">
        <f t="shared" ca="1" si="42"/>
        <v>0</v>
      </c>
      <c r="V19" s="572">
        <f t="shared" ca="1" si="42"/>
        <v>0</v>
      </c>
      <c r="W19" s="572">
        <f t="shared" ca="1" si="42"/>
        <v>-0.92963272747313952</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-10.759461978278383</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0</v>
      </c>
      <c r="BM19" s="575"/>
      <c r="BN19" s="404"/>
      <c r="BO19" s="2759">
        <f t="shared" ref="BO19:DF19" ca="1" si="44">BO17+BO18</f>
        <v>0.19031552752757408</v>
      </c>
      <c r="BP19" s="2759">
        <f t="shared" ca="1" si="44"/>
        <v>7.0280234196969351E-5</v>
      </c>
      <c r="BQ19" s="2759">
        <f t="shared" ca="1" si="44"/>
        <v>3.0086633591940685E-3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0.19339447112096511</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31.02000267544113</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31.02000267544113</v>
      </c>
      <c r="S21" s="611">
        <f t="shared" ref="S21:AJ21" ca="1" si="46">IFERROR(INDEX(INDIRECT($C21&amp;".Outputs["&amp;this.Year&amp;"]"), MATCH(S$5, INDIRECT($C21&amp;".Outputs[Vector]"), 0)), 0)</f>
        <v>-11.087950167558603</v>
      </c>
      <c r="T21" s="611">
        <f t="shared" ca="1" si="46"/>
        <v>0</v>
      </c>
      <c r="U21" s="611">
        <f t="shared" ca="1" si="46"/>
        <v>-3.7118972035637521</v>
      </c>
      <c r="V21" s="611">
        <f t="shared" ca="1" si="46"/>
        <v>-7.5789540973086256</v>
      </c>
      <c r="W21" s="611">
        <f t="shared" ca="1" si="46"/>
        <v>-8.64120120701015</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-31.020002675441127</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3.5527136788005009E-15</v>
      </c>
      <c r="BM21" s="601"/>
      <c r="BN21" s="404"/>
      <c r="BO21" s="2760">
        <f t="shared" ref="BO21:DF21" ca="1" si="48">IFERROR(SUMIFS(INDIRECT($C21&amp;".Emissions["&amp;this.Year&amp;"]"), INDIRECT($C21&amp;".Emissions[GHG]"), BO$6, INDIRECT($C21&amp;".Emissions[IPCC Sector]"), BO$5),0)</f>
        <v>5.0221911301588484</v>
      </c>
      <c r="BP21" s="2761">
        <f t="shared" ca="1" si="48"/>
        <v>2.5686152005321575E-3</v>
      </c>
      <c r="BQ21" s="2761">
        <f t="shared" ca="1" si="48"/>
        <v>3.5112489889514077E-2</v>
      </c>
      <c r="BR21" s="2761">
        <f t="shared" ca="1" si="48"/>
        <v>0</v>
      </c>
      <c r="BS21" s="2761">
        <f t="shared" ca="1" si="48"/>
        <v>0</v>
      </c>
      <c r="BT21" s="2761">
        <f t="shared" ca="1" si="48"/>
        <v>0</v>
      </c>
      <c r="BU21" s="2761">
        <f t="shared" ca="1" si="48"/>
        <v>0</v>
      </c>
      <c r="BV21" s="2761">
        <f t="shared" ca="1" si="48"/>
        <v>0</v>
      </c>
      <c r="BW21" s="2761">
        <f t="shared" ca="1" si="48"/>
        <v>1.3292285021223598</v>
      </c>
      <c r="BX21" s="2761">
        <f t="shared" ca="1" si="48"/>
        <v>0</v>
      </c>
      <c r="BY21" s="2761">
        <f t="shared" ca="1" si="48"/>
        <v>0</v>
      </c>
      <c r="BZ21" s="2761">
        <f t="shared" ca="1" si="48"/>
        <v>1.1103874779381839</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7.4994882153094391</v>
      </c>
    </row>
    <row r="22" spans="1:112" s="6" customFormat="1" ht="15.5">
      <c r="A22" s="4"/>
      <c r="B22" s="3"/>
      <c r="C22" s="607" t="s">
        <v>468</v>
      </c>
      <c r="D22" s="608" t="s">
        <v>359</v>
      </c>
      <c r="E22" s="201"/>
      <c r="G22" s="609">
        <f ca="1">G21</f>
        <v>0</v>
      </c>
      <c r="H22" s="609">
        <f t="shared" ref="H22:P22" ca="1" si="49">H21</f>
        <v>0</v>
      </c>
      <c r="I22" s="609">
        <f t="shared" ca="1" si="49"/>
        <v>31.02000267544113</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31.02000267544113</v>
      </c>
      <c r="S22" s="572">
        <f t="shared" ref="S22:AJ22" ca="1" si="50">S21</f>
        <v>-11.087950167558603</v>
      </c>
      <c r="T22" s="572">
        <f t="shared" ca="1" si="50"/>
        <v>0</v>
      </c>
      <c r="U22" s="572">
        <f t="shared" ca="1" si="50"/>
        <v>-3.7118972035637521</v>
      </c>
      <c r="V22" s="572">
        <f t="shared" ca="1" si="50"/>
        <v>-7.5789540973086256</v>
      </c>
      <c r="W22" s="572">
        <f t="shared" ca="1" si="50"/>
        <v>-8.64120120701015</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-31.020002675441127</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3.5527136788005009E-15</v>
      </c>
      <c r="BM22" s="575"/>
      <c r="BN22" s="404"/>
      <c r="BO22" s="2759">
        <f t="shared" ref="BO22:DF22" ca="1" si="52">BO21</f>
        <v>5.0221911301588484</v>
      </c>
      <c r="BP22" s="2759">
        <f t="shared" ca="1" si="52"/>
        <v>2.5686152005321575E-3</v>
      </c>
      <c r="BQ22" s="2759">
        <f t="shared" ca="1" si="52"/>
        <v>3.5112489889514077E-2</v>
      </c>
      <c r="BR22" s="2759">
        <f t="shared" ca="1" si="52"/>
        <v>0</v>
      </c>
      <c r="BS22" s="2759">
        <f t="shared" ca="1" si="52"/>
        <v>0</v>
      </c>
      <c r="BT22" s="2759">
        <f t="shared" ca="1" si="52"/>
        <v>0</v>
      </c>
      <c r="BU22" s="2759">
        <f t="shared" ca="1" si="52"/>
        <v>0</v>
      </c>
      <c r="BV22" s="2759">
        <f t="shared" ca="1" si="52"/>
        <v>0</v>
      </c>
      <c r="BW22" s="2759">
        <f t="shared" ca="1" si="52"/>
        <v>1.3292285021223598</v>
      </c>
      <c r="BX22" s="2759">
        <f t="shared" ca="1" si="52"/>
        <v>0</v>
      </c>
      <c r="BY22" s="2759">
        <f t="shared" ca="1" si="52"/>
        <v>0</v>
      </c>
      <c r="BZ22" s="2759">
        <f t="shared" ca="1" si="52"/>
        <v>1.1103874779381839</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7.4994882153094391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24.927181882233228</v>
      </c>
      <c r="K24" s="580">
        <f t="shared" ca="1" si="53"/>
        <v>0.57440185036742153</v>
      </c>
      <c r="L24" s="580">
        <f t="shared" ca="1" si="53"/>
        <v>2.8375533440997854E-2</v>
      </c>
      <c r="M24" s="580">
        <f t="shared" ca="1" si="53"/>
        <v>0</v>
      </c>
      <c r="N24" s="580">
        <f t="shared" ca="1" si="53"/>
        <v>0</v>
      </c>
      <c r="O24" s="580">
        <f t="shared" ca="1" si="53"/>
        <v>0</v>
      </c>
      <c r="P24" s="580">
        <f t="shared" ca="1" si="53"/>
        <v>0</v>
      </c>
      <c r="Q24" s="581">
        <f t="shared" ref="Q24:Q32" ca="1" si="54">SUM(G24:P24)</f>
        <v>25.529959266041647</v>
      </c>
      <c r="S24" s="582">
        <f t="shared" ref="S24:AJ30" ca="1" si="55">IFERROR(INDEX(INDIRECT($C24&amp;".Outputs["&amp;this.Year&amp;"]"), MATCH(S$5, INDIRECT($C24&amp;".Outputs[Vector]"), 0)), 0)</f>
        <v>-0.33538018024090949</v>
      </c>
      <c r="T24" s="582">
        <f t="shared" ca="1" si="55"/>
        <v>0</v>
      </c>
      <c r="U24" s="582">
        <f t="shared" ca="1" si="55"/>
        <v>0</v>
      </c>
      <c r="V24" s="582">
        <f t="shared" ca="1" si="55"/>
        <v>-25.194579085800736</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-25.529959266041647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6.6483455291610971</v>
      </c>
      <c r="BP24" s="2759">
        <f t="shared" ca="1" si="62"/>
        <v>5.7141305366596069E-3</v>
      </c>
      <c r="BQ24" s="2759">
        <f t="shared" ca="1" si="62"/>
        <v>1.6870290155852175E-2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6.6709299498536092</v>
      </c>
    </row>
    <row r="25" spans="1:112" s="6" customFormat="1">
      <c r="A25" s="598"/>
      <c r="B25" s="598"/>
      <c r="C25" s="578" t="s">
        <v>471</v>
      </c>
      <c r="D25" s="614" t="s">
        <v>472</v>
      </c>
      <c r="E25" s="590"/>
      <c r="G25" s="580">
        <f t="shared" ca="1" si="53"/>
        <v>0</v>
      </c>
      <c r="H25" s="580">
        <f t="shared" ca="1" si="53"/>
        <v>0</v>
      </c>
      <c r="I25" s="580">
        <f t="shared" ca="1" si="53"/>
        <v>0</v>
      </c>
      <c r="J25" s="580">
        <f t="shared" ca="1" si="53"/>
        <v>18.475152389785752</v>
      </c>
      <c r="K25" s="580">
        <f t="shared" ca="1" si="53"/>
        <v>5.5430958334668776E-3</v>
      </c>
      <c r="L25" s="580">
        <f t="shared" ca="1" si="53"/>
        <v>0</v>
      </c>
      <c r="M25" s="580">
        <f t="shared" ca="1" si="53"/>
        <v>0.66</v>
      </c>
      <c r="N25" s="580">
        <f t="shared" ca="1" si="53"/>
        <v>0</v>
      </c>
      <c r="O25" s="580">
        <f t="shared" ca="1" si="53"/>
        <v>0</v>
      </c>
      <c r="P25" s="580">
        <f t="shared" ca="1" si="53"/>
        <v>0</v>
      </c>
      <c r="Q25" s="581">
        <f t="shared" ca="1" si="54"/>
        <v>19.140695485619219</v>
      </c>
      <c r="S25" s="582">
        <f t="shared" ca="1" si="55"/>
        <v>-6.1844962632768369E-2</v>
      </c>
      <c r="T25" s="582">
        <f t="shared" ca="1" si="55"/>
        <v>0</v>
      </c>
      <c r="U25" s="582">
        <f t="shared" ca="1" si="55"/>
        <v>0</v>
      </c>
      <c r="V25" s="582">
        <f t="shared" ca="1" si="55"/>
        <v>-19.07885052298645</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-19.140695485619219</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3.579242204559324</v>
      </c>
      <c r="BP25" s="2759">
        <f t="shared" ca="1" si="62"/>
        <v>3.0762927542597198E-3</v>
      </c>
      <c r="BQ25" s="2759">
        <f t="shared" ca="1" si="62"/>
        <v>9.0823881316239342E-3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3.5914008854452075</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8.0623123555082739</v>
      </c>
      <c r="O26" s="580">
        <f t="shared" ca="1" si="53"/>
        <v>0</v>
      </c>
      <c r="P26" s="580">
        <f t="shared" ca="1" si="53"/>
        <v>0</v>
      </c>
      <c r="Q26" s="581">
        <f t="shared" ca="1" si="54"/>
        <v>8.0623123555082739</v>
      </c>
      <c r="S26" s="582">
        <f t="shared" ca="1" si="55"/>
        <v>0</v>
      </c>
      <c r="T26" s="582">
        <f t="shared" ca="1" si="55"/>
        <v>0</v>
      </c>
      <c r="U26" s="582">
        <f t="shared" ca="1" si="55"/>
        <v>0</v>
      </c>
      <c r="V26" s="582">
        <f t="shared" ca="1" si="55"/>
        <v>-8.0623123555082739</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-8.0623123555082739</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2.1274829843715231</v>
      </c>
      <c r="CV26" s="2759">
        <f t="shared" ca="1" si="65"/>
        <v>1.8285324422292765E-3</v>
      </c>
      <c r="CW26" s="2759">
        <f t="shared" ca="1" si="65"/>
        <v>5.3985243532483403E-3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2.1347100411670006</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8.0623123555082739</v>
      </c>
      <c r="O28" s="581">
        <f ca="1">SUM(O26:O27)</f>
        <v>0</v>
      </c>
      <c r="P28" s="581">
        <f t="shared" ca="1" si="66"/>
        <v>0</v>
      </c>
      <c r="Q28" s="581">
        <f t="shared" ca="1" si="54"/>
        <v>8.0623123555082739</v>
      </c>
      <c r="S28" s="583">
        <f t="shared" ref="S28:AJ28" ca="1" si="67">SUM(S26:S27)</f>
        <v>0</v>
      </c>
      <c r="T28" s="583">
        <f t="shared" ca="1" si="67"/>
        <v>0</v>
      </c>
      <c r="U28" s="583">
        <f t="shared" ca="1" si="67"/>
        <v>0</v>
      </c>
      <c r="V28" s="583">
        <f t="shared" ca="1" si="67"/>
        <v>-8.0623123555082739</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-8.0623123555082739</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2.1274829843715231</v>
      </c>
      <c r="CV28" s="2759">
        <f t="shared" ca="1" si="69"/>
        <v>1.8285324422292765E-3</v>
      </c>
      <c r="CW28" s="2759">
        <f t="shared" ca="1" si="69"/>
        <v>5.3985243532483403E-3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2.1347100411670006</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43.402334272018976</v>
      </c>
      <c r="K32" s="609">
        <f t="shared" ca="1" si="81"/>
        <v>0.57994494620088843</v>
      </c>
      <c r="L32" s="609">
        <f t="shared" ca="1" si="81"/>
        <v>2.8375533440997854E-2</v>
      </c>
      <c r="M32" s="609">
        <f t="shared" ca="1" si="81"/>
        <v>0.66</v>
      </c>
      <c r="N32" s="609">
        <f t="shared" ca="1" si="81"/>
        <v>8.0623123555082739</v>
      </c>
      <c r="O32" s="609">
        <f t="shared" ca="1" si="81"/>
        <v>0</v>
      </c>
      <c r="P32" s="609">
        <f t="shared" ca="1" si="81"/>
        <v>0</v>
      </c>
      <c r="Q32" s="609">
        <f t="shared" ca="1" si="54"/>
        <v>52.732967107169138</v>
      </c>
      <c r="S32" s="572">
        <f t="shared" ref="S32:AJ32" ca="1" si="82">S24+S25+S28+S31</f>
        <v>-0.39722514287367783</v>
      </c>
      <c r="T32" s="572">
        <f t="shared" ca="1" si="82"/>
        <v>0</v>
      </c>
      <c r="U32" s="572">
        <f t="shared" ca="1" si="82"/>
        <v>0</v>
      </c>
      <c r="V32" s="572">
        <f t="shared" ca="1" si="82"/>
        <v>-52.335741964295458</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-52.732967107169138</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0</v>
      </c>
      <c r="BM32" s="575"/>
      <c r="BN32" s="404"/>
      <c r="BO32" s="2759">
        <f t="shared" ref="BO32:DF32" ca="1" si="84">BO24+BO25+BO28+BO31</f>
        <v>10.227587733720421</v>
      </c>
      <c r="BP32" s="2759">
        <f t="shared" ca="1" si="84"/>
        <v>8.7904232909193272E-3</v>
      </c>
      <c r="BQ32" s="2759">
        <f t="shared" ca="1" si="84"/>
        <v>2.5952678287476109E-2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2.1274829843715231</v>
      </c>
      <c r="CV32" s="2759">
        <f t="shared" ca="1" si="84"/>
        <v>1.8285324422292765E-3</v>
      </c>
      <c r="CW32" s="2759">
        <f t="shared" ca="1" si="84"/>
        <v>5.3985243532483403E-3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12.397040876465818</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40.345847182119613</v>
      </c>
      <c r="H40" s="624">
        <f t="shared" ca="1" si="101"/>
        <v>10.759461978278383</v>
      </c>
      <c r="I40" s="624">
        <f t="shared" ca="1" si="101"/>
        <v>31.02000267544113</v>
      </c>
      <c r="J40" s="624">
        <f t="shared" ca="1" si="101"/>
        <v>43.402334272018976</v>
      </c>
      <c r="K40" s="624">
        <f t="shared" ca="1" si="101"/>
        <v>0.57994494620088843</v>
      </c>
      <c r="L40" s="624">
        <f t="shared" ca="1" si="101"/>
        <v>2.8375533440997854E-2</v>
      </c>
      <c r="M40" s="624">
        <f t="shared" ca="1" si="101"/>
        <v>0.66</v>
      </c>
      <c r="N40" s="624">
        <f t="shared" ca="1" si="101"/>
        <v>8.0623123555082739</v>
      </c>
      <c r="O40" s="624">
        <f t="shared" ca="1" si="101"/>
        <v>0</v>
      </c>
      <c r="P40" s="624">
        <f t="shared" ca="1" si="101"/>
        <v>0</v>
      </c>
      <c r="Q40" s="624">
        <f t="shared" ca="1" si="101"/>
        <v>134.85827894300826</v>
      </c>
      <c r="S40" s="625">
        <f t="shared" ref="S40:AJ40" ca="1" si="102">S$15+S$19+S$22+S$32+S$35+S$38</f>
        <v>-27.212746851266605</v>
      </c>
      <c r="T40" s="625">
        <f t="shared" ca="1" si="102"/>
        <v>0</v>
      </c>
      <c r="U40" s="625">
        <f t="shared" ca="1" si="102"/>
        <v>-4.2535197729724246</v>
      </c>
      <c r="V40" s="625">
        <f t="shared" ca="1" si="102"/>
        <v>-72.140409046159021</v>
      </c>
      <c r="W40" s="625">
        <f t="shared" ca="1" si="102"/>
        <v>-30.861581512924587</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-5.8662240154226032E-2</v>
      </c>
      <c r="AJ40" s="625">
        <f t="shared" ca="1" si="102"/>
        <v>0</v>
      </c>
      <c r="AK40" s="625">
        <f ca="1">SUM(S40:AJ40)</f>
        <v>-134.52691942347687</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-0.3313595195314073</v>
      </c>
      <c r="BD40" s="626">
        <f t="shared" ca="1" si="103"/>
        <v>0</v>
      </c>
      <c r="BE40" s="626">
        <f t="shared" ca="1" si="103"/>
        <v>0</v>
      </c>
      <c r="BF40" s="626">
        <f ca="1">SUM(AM40:BE40)</f>
        <v>-0.3313595195314073</v>
      </c>
      <c r="BH40" s="3432">
        <f ca="1">BH$15+BH$19+BH$22+BH$32+BH$35+BH$38</f>
        <v>0</v>
      </c>
      <c r="BI40" s="3432">
        <f ca="1">BI$15+BI$19+BI$22+BI$32+BI$35+BI$38</f>
        <v>0</v>
      </c>
      <c r="BJ40" s="3432">
        <f ca="1">SUM(BH40:BI40)</f>
        <v>0</v>
      </c>
      <c r="BL40" s="3446">
        <f t="shared" ca="1" si="9"/>
        <v>-1.787459069646502E-14</v>
      </c>
      <c r="BM40" s="627"/>
      <c r="BO40" s="2762">
        <f t="shared" ref="BO40:DF40" ca="1" si="104">BO$15+BO$19+BO$22+BO$32+BO$35+BO$38</f>
        <v>23.207746838704715</v>
      </c>
      <c r="BP40" s="2762">
        <f t="shared" ca="1" si="104"/>
        <v>1.5840353613848782E-2</v>
      </c>
      <c r="BQ40" s="2762">
        <f t="shared" ca="1" si="104"/>
        <v>0.14146776980723968</v>
      </c>
      <c r="BR40" s="2762">
        <f t="shared" ca="1" si="104"/>
        <v>0</v>
      </c>
      <c r="BS40" s="2762">
        <f t="shared" ca="1" si="104"/>
        <v>0</v>
      </c>
      <c r="BT40" s="2762">
        <f t="shared" ca="1" si="104"/>
        <v>0</v>
      </c>
      <c r="BU40" s="2762">
        <f t="shared" ca="1" si="104"/>
        <v>0</v>
      </c>
      <c r="BV40" s="2762">
        <f t="shared" ca="1" si="104"/>
        <v>0</v>
      </c>
      <c r="BW40" s="2762">
        <f t="shared" ca="1" si="104"/>
        <v>1.3292285021223598</v>
      </c>
      <c r="BX40" s="2762">
        <f t="shared" ca="1" si="104"/>
        <v>0</v>
      </c>
      <c r="BY40" s="2762">
        <f t="shared" ca="1" si="104"/>
        <v>0</v>
      </c>
      <c r="BZ40" s="2762">
        <f t="shared" ca="1" si="104"/>
        <v>1.1103874779381839</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2.1274829843715231</v>
      </c>
      <c r="CV40" s="2762">
        <f t="shared" ca="1" si="104"/>
        <v>1.8285324422292765E-3</v>
      </c>
      <c r="CW40" s="2762">
        <f t="shared" ca="1" si="104"/>
        <v>5.3985243532483403E-3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27.939380983353342</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0.24821311475409841</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0.41860072313699015</v>
      </c>
      <c r="AG49" s="582">
        <f t="shared" ca="1" si="115"/>
        <v>3.1695980243852465E-2</v>
      </c>
      <c r="AH49" s="582">
        <f t="shared" ca="1" si="115"/>
        <v>0.15178856558780604</v>
      </c>
      <c r="AI49" s="582">
        <f t="shared" ca="1" si="115"/>
        <v>0</v>
      </c>
      <c r="AJ49" s="582">
        <f t="shared" ca="1" si="115"/>
        <v>0</v>
      </c>
      <c r="AK49" s="583">
        <f ca="1">SUM(S49:AJ49)</f>
        <v>0.85029838372274713</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-0.85029838372274713</v>
      </c>
      <c r="BF49" s="600">
        <f ca="1">SUM(AM49:BE49)</f>
        <v>-0.85029838372274713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0.66396318072011828</v>
      </c>
      <c r="CO49" s="2759">
        <f t="shared" ca="1" si="121"/>
        <v>5.7356255357142859E-2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0.72131943607726112</v>
      </c>
    </row>
    <row r="50" spans="1:112" s="6" customFormat="1">
      <c r="A50" s="598"/>
      <c r="B50" s="598"/>
      <c r="C50" s="578" t="s">
        <v>501</v>
      </c>
      <c r="D50" s="602" t="s">
        <v>502</v>
      </c>
      <c r="E50" s="602"/>
      <c r="G50" s="610">
        <f t="shared" ca="1" si="114"/>
        <v>0</v>
      </c>
      <c r="H50" s="610">
        <f t="shared" ca="1" si="114"/>
        <v>0</v>
      </c>
      <c r="I50" s="610">
        <f t="shared" ca="1" si="114"/>
        <v>2.8141882985124713</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2.8141882985124713</v>
      </c>
      <c r="S50" s="611">
        <f t="shared" ca="1" si="115"/>
        <v>-0.59097954268761899</v>
      </c>
      <c r="T50" s="611">
        <f t="shared" ca="1" si="115"/>
        <v>0</v>
      </c>
      <c r="U50" s="611">
        <f t="shared" ca="1" si="115"/>
        <v>0</v>
      </c>
      <c r="V50" s="611">
        <f t="shared" ca="1" si="115"/>
        <v>-2.2232087558248526</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0.17474137269324885</v>
      </c>
      <c r="AE50" s="611">
        <f t="shared" ca="1" si="115"/>
        <v>0.17107505197523906</v>
      </c>
      <c r="AF50" s="611">
        <f t="shared" ca="1" si="115"/>
        <v>2.0042403198198202</v>
      </c>
      <c r="AG50" s="611">
        <f t="shared" ca="1" si="115"/>
        <v>0.29646330038036683</v>
      </c>
      <c r="AH50" s="611">
        <f t="shared" ca="1" si="115"/>
        <v>0</v>
      </c>
      <c r="AI50" s="611">
        <f t="shared" ca="1" si="115"/>
        <v>0</v>
      </c>
      <c r="AJ50" s="611">
        <f t="shared" ca="1" si="115"/>
        <v>0</v>
      </c>
      <c r="AK50" s="604">
        <f ca="1">SUM(S50:AJ50)</f>
        <v>-0.16766825364379667</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-0.34581642466848794</v>
      </c>
      <c r="BE50" s="612">
        <f t="shared" ca="1" si="117"/>
        <v>-2.3007036202001871</v>
      </c>
      <c r="BF50" s="606">
        <f ca="1">SUM(AM50:BE50)</f>
        <v>-2.6465200448686752</v>
      </c>
      <c r="BH50" s="3441">
        <f t="shared" ca="1" si="118"/>
        <v>0</v>
      </c>
      <c r="BI50" s="3441">
        <f t="shared" ca="1" si="118"/>
        <v>0</v>
      </c>
      <c r="BJ50" s="3430">
        <f ca="1">SUM(BH50:BI50)</f>
        <v>0</v>
      </c>
      <c r="BL50" s="601">
        <f ca="1">Q50+AK50+BF50+BJ50</f>
        <v>-4.4408920985006262E-16</v>
      </c>
      <c r="BM50" s="601"/>
      <c r="BN50" s="404"/>
      <c r="BO50" s="2760">
        <f t="shared" ca="1" si="119"/>
        <v>0.58666032648706201</v>
      </c>
      <c r="BP50" s="2761">
        <f t="shared" ca="1" si="119"/>
        <v>5.042237458210766E-4</v>
      </c>
      <c r="BQ50" s="2761">
        <f t="shared" ca="1" si="119"/>
        <v>1.4886605829003213E-3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10.539979371589064</v>
      </c>
      <c r="CG50" s="2761">
        <f t="shared" ca="1" si="120"/>
        <v>5.6603978384106233</v>
      </c>
      <c r="CH50" s="2761">
        <f t="shared" ca="1" si="120"/>
        <v>0</v>
      </c>
      <c r="CI50" s="2761">
        <f t="shared" ca="1" si="121"/>
        <v>3.3279824105194078</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20.117012831334879</v>
      </c>
    </row>
    <row r="51" spans="1:112" s="6" customFormat="1" ht="15.5">
      <c r="A51" s="4"/>
      <c r="B51" s="3"/>
      <c r="C51" s="607" t="s">
        <v>503</v>
      </c>
      <c r="D51" s="608" t="s">
        <v>504</v>
      </c>
      <c r="E51" s="201"/>
      <c r="G51" s="609">
        <f ca="1">SUM(G48:G50)</f>
        <v>0</v>
      </c>
      <c r="H51" s="609">
        <f t="shared" ref="H51:P51" ca="1" si="123">SUM(H48:H50)</f>
        <v>0</v>
      </c>
      <c r="I51" s="609">
        <f t="shared" ca="1" si="123"/>
        <v>2.8141882985124713</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2.8141882985124713</v>
      </c>
      <c r="S51" s="572">
        <f t="shared" ref="S51:AJ51" ca="1" si="124">SUM(S48:S50)</f>
        <v>-0.59097954268761899</v>
      </c>
      <c r="T51" s="572">
        <f t="shared" ca="1" si="124"/>
        <v>0</v>
      </c>
      <c r="U51" s="572">
        <f t="shared" ca="1" si="124"/>
        <v>0</v>
      </c>
      <c r="V51" s="572">
        <f t="shared" ca="1" si="124"/>
        <v>-2.2232087558248526</v>
      </c>
      <c r="W51" s="572">
        <f t="shared" ca="1" si="124"/>
        <v>0</v>
      </c>
      <c r="X51" s="572">
        <f t="shared" ca="1" si="124"/>
        <v>0.24821311475409841</v>
      </c>
      <c r="Y51" s="572">
        <f t="shared" ca="1" si="124"/>
        <v>0</v>
      </c>
      <c r="Z51" s="572">
        <f t="shared" ca="1" si="124"/>
        <v>0</v>
      </c>
      <c r="AA51" s="572">
        <f t="shared" ca="1" si="124"/>
        <v>0</v>
      </c>
      <c r="AB51" s="572">
        <f t="shared" ca="1" si="124"/>
        <v>0</v>
      </c>
      <c r="AC51" s="572">
        <f t="shared" ca="1" si="124"/>
        <v>0</v>
      </c>
      <c r="AD51" s="572">
        <f t="shared" ca="1" si="124"/>
        <v>0.17474137269324885</v>
      </c>
      <c r="AE51" s="572">
        <f ca="1">SUM(AE48:AE50)</f>
        <v>0.17107505197523906</v>
      </c>
      <c r="AF51" s="572">
        <f t="shared" ca="1" si="124"/>
        <v>2.4228410429568106</v>
      </c>
      <c r="AG51" s="572">
        <f t="shared" ca="1" si="124"/>
        <v>0.32815928062421929</v>
      </c>
      <c r="AH51" s="572">
        <f ca="1">SUM(AH48:AH50)</f>
        <v>0.15178856558780604</v>
      </c>
      <c r="AI51" s="572">
        <f t="shared" ca="1" si="124"/>
        <v>0</v>
      </c>
      <c r="AJ51" s="572">
        <f t="shared" ca="1" si="124"/>
        <v>0</v>
      </c>
      <c r="AK51" s="572">
        <f ca="1">SUM(S51:AJ51)</f>
        <v>0.68263013007895068</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-0.34581642466848794</v>
      </c>
      <c r="BE51" s="573">
        <f t="shared" ca="1" si="125"/>
        <v>-3.1510020039229341</v>
      </c>
      <c r="BF51" s="573">
        <f ca="1">SUM(AM51:BE51)</f>
        <v>-3.4968184285914221</v>
      </c>
      <c r="BH51" s="3431">
        <f ca="1">SUM(BH48:BH50)</f>
        <v>0</v>
      </c>
      <c r="BI51" s="3431">
        <f ca="1">SUM(BI48:BI50)</f>
        <v>0</v>
      </c>
      <c r="BJ51" s="3431">
        <f ca="1">SUM(BH51:BI51)</f>
        <v>0</v>
      </c>
      <c r="BL51" s="3445">
        <f ca="1">Q51+AK51+BF51+BJ51</f>
        <v>0</v>
      </c>
      <c r="BM51" s="575"/>
      <c r="BN51" s="404"/>
      <c r="BO51" s="2759">
        <f t="shared" ref="BO51:DF51" ca="1" si="126">SUM(BO48:BO50)</f>
        <v>0.58666032648706201</v>
      </c>
      <c r="BP51" s="2759">
        <f t="shared" ca="1" si="126"/>
        <v>5.042237458210766E-4</v>
      </c>
      <c r="BQ51" s="2759">
        <f t="shared" ca="1" si="126"/>
        <v>1.4886605829003213E-3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10.539979371589064</v>
      </c>
      <c r="CG51" s="2759">
        <f t="shared" ca="1" si="126"/>
        <v>5.6603978384106233</v>
      </c>
      <c r="CH51" s="2759">
        <f t="shared" ca="1" si="126"/>
        <v>0</v>
      </c>
      <c r="CI51" s="2759">
        <f t="shared" ca="1" si="126"/>
        <v>3.3279824105194078</v>
      </c>
      <c r="CJ51" s="2759">
        <f t="shared" ca="1" si="126"/>
        <v>0</v>
      </c>
      <c r="CK51" s="2759">
        <f t="shared" ca="1" si="126"/>
        <v>0</v>
      </c>
      <c r="CL51" s="2759">
        <f t="shared" ca="1" si="126"/>
        <v>0</v>
      </c>
      <c r="CM51" s="2759">
        <f t="shared" ca="1" si="126"/>
        <v>0</v>
      </c>
      <c r="CN51" s="2759">
        <f t="shared" ca="1" si="126"/>
        <v>0.66396318072011828</v>
      </c>
      <c r="CO51" s="2759">
        <f t="shared" ca="1" si="126"/>
        <v>5.7356255357142859E-2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20.838332267412138</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0.68189426081674298</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0.68189426081674298</v>
      </c>
      <c r="S54" s="611">
        <f t="shared" ca="1" si="128"/>
        <v>-2.154713679214617E-2</v>
      </c>
      <c r="T54" s="611">
        <f t="shared" ca="1" si="128"/>
        <v>0</v>
      </c>
      <c r="U54" s="611">
        <f t="shared" ca="1" si="128"/>
        <v>-7.1855333505701287E-4</v>
      </c>
      <c r="V54" s="611">
        <f t="shared" ca="1" si="128"/>
        <v>0</v>
      </c>
      <c r="W54" s="611">
        <f t="shared" ca="1" si="128"/>
        <v>-0.65962857068953973</v>
      </c>
      <c r="X54" s="611">
        <f t="shared" ca="1" si="128"/>
        <v>2</v>
      </c>
      <c r="Y54" s="611">
        <f t="shared" ca="1" si="128"/>
        <v>0</v>
      </c>
      <c r="Z54" s="611">
        <f t="shared" ca="1" si="128"/>
        <v>10</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11.318105739183258</v>
      </c>
      <c r="AM54" s="612">
        <f t="shared" ca="1" si="129"/>
        <v>-2</v>
      </c>
      <c r="AN54" s="612">
        <f t="shared" ca="1" si="129"/>
        <v>0</v>
      </c>
      <c r="AO54" s="612">
        <f t="shared" ca="1" si="129"/>
        <v>-10</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-12</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0.13474043047247669</v>
      </c>
      <c r="BP54" s="2761">
        <f t="shared" ca="1" si="131"/>
        <v>4.9757311620483071E-5</v>
      </c>
      <c r="BQ54" s="2761">
        <f t="shared" ca="1" si="131"/>
        <v>2.1300868165149657E-3</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0.13692027460061215</v>
      </c>
    </row>
    <row r="55" spans="1:112" s="6" customFormat="1" ht="15.5">
      <c r="A55" s="643"/>
      <c r="B55" s="644"/>
      <c r="C55" s="607" t="s">
        <v>509</v>
      </c>
      <c r="D55" s="608" t="s">
        <v>510</v>
      </c>
      <c r="E55" s="201"/>
      <c r="G55" s="609">
        <f ca="1">SUM(G53:G54)</f>
        <v>0</v>
      </c>
      <c r="H55" s="609">
        <f t="shared" ref="H55:P55" ca="1" si="135">SUM(H53:H54)</f>
        <v>0</v>
      </c>
      <c r="I55" s="609">
        <f t="shared" ca="1" si="135"/>
        <v>0.68189426081674298</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0.68189426081674298</v>
      </c>
      <c r="S55" s="572">
        <f t="shared" ref="S55:AJ55" ca="1" si="136">SUM(S53:S54)</f>
        <v>-0.24753524161576645</v>
      </c>
      <c r="T55" s="572">
        <f t="shared" ca="1" si="136"/>
        <v>0</v>
      </c>
      <c r="U55" s="572">
        <f t="shared" ca="1" si="136"/>
        <v>-7.1855333505701287E-4</v>
      </c>
      <c r="V55" s="572">
        <f t="shared" ca="1" si="136"/>
        <v>-1.8522858135888711</v>
      </c>
      <c r="W55" s="572">
        <f t="shared" ca="1" si="136"/>
        <v>-0.74203052393824365</v>
      </c>
      <c r="X55" s="572">
        <f ca="1">SUM(X53:X54)</f>
        <v>2</v>
      </c>
      <c r="Y55" s="572">
        <f ca="1">SUM(Y53:Y54)</f>
        <v>0</v>
      </c>
      <c r="Z55" s="572">
        <f ca="1">SUM(Z53:Z54)</f>
        <v>10</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9.1308918677976418</v>
      </c>
      <c r="AM55" s="573">
        <f t="shared" ref="AM55:BE55" ca="1" si="137">SUM(AM53:AM54)</f>
        <v>-2</v>
      </c>
      <c r="AN55" s="573">
        <f t="shared" ca="1" si="137"/>
        <v>0</v>
      </c>
      <c r="AO55" s="573">
        <f t="shared" ca="1" si="137"/>
        <v>-10</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-12</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0.64039103771372652</v>
      </c>
      <c r="BP55" s="2759">
        <f t="shared" ca="1" si="139"/>
        <v>4.7608532180804105E-4</v>
      </c>
      <c r="BQ55" s="2759">
        <f t="shared" ca="1" si="139"/>
        <v>3.6370630787881789E-3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0.64450418611432281</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3.3359012999999997</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3.3359012999999997</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-3.3359012999999997</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-3.3359012999999997</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0</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0</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0</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0</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0.78946596000000002</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0.78946596000000002</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-0.78946596000000002</v>
      </c>
      <c r="BC59" s="584">
        <f t="shared" ca="1" si="145"/>
        <v>0</v>
      </c>
      <c r="BD59" s="584">
        <f t="shared" ca="1" si="145"/>
        <v>0</v>
      </c>
      <c r="BE59" s="584">
        <f t="shared" ca="1" si="145"/>
        <v>0</v>
      </c>
      <c r="BF59" s="600">
        <f t="shared" ca="1" si="146"/>
        <v>-0.78946596000000002</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1.3017510000000001E-2</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1.3017510000000001E-2</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-1.3017510000000001E-2</v>
      </c>
      <c r="BA60" s="584">
        <f t="shared" ca="1" si="144"/>
        <v>0</v>
      </c>
      <c r="BB60" s="584">
        <f t="shared" ca="1" si="144"/>
        <v>0</v>
      </c>
      <c r="BC60" s="584">
        <f t="shared" ca="1" si="145"/>
        <v>0</v>
      </c>
      <c r="BD60" s="584">
        <f t="shared" ca="1" si="145"/>
        <v>0</v>
      </c>
      <c r="BE60" s="584">
        <f t="shared" ca="1" si="145"/>
        <v>0</v>
      </c>
      <c r="BF60" s="600">
        <f t="shared" ca="1" si="146"/>
        <v>-1.3017510000000001E-2</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4.13838477</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4.13838477</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-3.3359012999999997</v>
      </c>
      <c r="AY63" s="573">
        <f t="shared" ca="1" si="155"/>
        <v>0</v>
      </c>
      <c r="AZ63" s="573">
        <f t="shared" ca="1" si="155"/>
        <v>-1.3017510000000001E-2</v>
      </c>
      <c r="BA63" s="573">
        <f t="shared" ca="1" si="155"/>
        <v>0</v>
      </c>
      <c r="BB63" s="573">
        <f t="shared" ca="1" si="155"/>
        <v>-0.78946596000000002</v>
      </c>
      <c r="BC63" s="573">
        <f t="shared" ca="1" si="155"/>
        <v>0</v>
      </c>
      <c r="BD63" s="573">
        <f t="shared" ca="1" si="155"/>
        <v>0</v>
      </c>
      <c r="BE63" s="573">
        <f t="shared" ca="1" si="155"/>
        <v>0</v>
      </c>
      <c r="BF63" s="573">
        <f t="shared" ca="1" si="146"/>
        <v>-4.13838477</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4.1901600110161447E-3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4.1901600110161447E-3</v>
      </c>
      <c r="S66" s="651">
        <f t="shared" ca="1" si="158"/>
        <v>-4.1901600110161447E-3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5.8662240154226032E-2</v>
      </c>
      <c r="AJ66" s="651">
        <f t="shared" ca="1" si="158"/>
        <v>0</v>
      </c>
      <c r="AK66" s="652">
        <f ca="1">SUM(S66:AJ66)</f>
        <v>5.4472080143209888E-2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-5.8662240154226032E-2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-5.8662240154226032E-2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4.1901600110161447E-3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4.1901600110161447E-3</v>
      </c>
      <c r="S68" s="572">
        <f t="shared" ref="S68:AJ68" ca="1" si="165">SUM(S65:S67)</f>
        <v>-4.1901600110161447E-3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5.8662240154226032E-2</v>
      </c>
      <c r="AJ68" s="572">
        <f t="shared" ca="1" si="165"/>
        <v>0</v>
      </c>
      <c r="AK68" s="572">
        <f ca="1">SUM(S68:AJ68)</f>
        <v>5.4472080143209888E-2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-5.8662240154226032E-2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-5.8662240154226032E-2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-28.055451795581007</v>
      </c>
      <c r="T74" s="662">
        <f ca="1">T$40+T$46+T$51+T$99+T$55+T$93+T$63+T$68+T$72</f>
        <v>1.6275374030953058</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-28.055451795581007</v>
      </c>
      <c r="T78" s="662">
        <f ca="1">T$74+T$76</f>
        <v>1.6275374030953058</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-28.055451795581007</v>
      </c>
      <c r="T80" s="636">
        <f ca="1">T78+T79</f>
        <v>1.6275374030953058</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26.427914392485704</v>
      </c>
      <c r="U81" s="611">
        <f t="shared" ca="1" si="190"/>
        <v>-18.904104411428573</v>
      </c>
      <c r="V81" s="611">
        <f t="shared" ca="1" si="190"/>
        <v>0</v>
      </c>
      <c r="W81" s="611">
        <f t="shared" ca="1" si="190"/>
        <v>-37.098678880609839</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-29.574868899552708</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28.982073363703002</v>
      </c>
      <c r="BI81" s="3441">
        <f ca="1">IFERROR(INDEX(INDIRECT($C81&amp;".Outputs["&amp;this.Year&amp;"]"), MATCH(BI$5, INDIRECT($C81&amp;".Outputs[Vector]"), 0)), 0)</f>
        <v>0.59279553584971412</v>
      </c>
      <c r="BJ81" s="3430">
        <f ca="1">SUM(BH81:BI81)</f>
        <v>29.574868899552715</v>
      </c>
      <c r="BK81" s="6"/>
      <c r="BL81" s="601">
        <f t="shared" ca="1" si="176"/>
        <v>0</v>
      </c>
      <c r="BM81" s="601"/>
      <c r="BN81" s="404"/>
      <c r="BO81" s="2760">
        <f t="shared" ref="BO81:DF81" ca="1" si="192">IFERROR(SUMIFS(INDIRECT($C81&amp;".Emissions["&amp;this.Year&amp;"]"), INDIRECT($C81&amp;".Emissions[GHG]"), BO$6, INDIRECT($C81&amp;".Emissions[IPCC Sector]"), BO$5),0)</f>
        <v>14.296457615152061</v>
      </c>
      <c r="BP81" s="2761">
        <f t="shared" ca="1" si="192"/>
        <v>3.9051058493721844E-3</v>
      </c>
      <c r="BQ81" s="2761">
        <f t="shared" ca="1" si="192"/>
        <v>0.13166950361694055</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14.432032224618373</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26.427914392485704</v>
      </c>
      <c r="U82" s="572">
        <f t="shared" ca="1" si="194"/>
        <v>-18.904104411428573</v>
      </c>
      <c r="V82" s="572">
        <f t="shared" ca="1" si="194"/>
        <v>0</v>
      </c>
      <c r="W82" s="572">
        <f t="shared" ca="1" si="194"/>
        <v>-37.098678880609839</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-29.574868899552708</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28.982073363703002</v>
      </c>
      <c r="BI82" s="3431">
        <f ca="1">BI79+BI81</f>
        <v>0.59279553584971412</v>
      </c>
      <c r="BJ82" s="3431">
        <f ca="1">SUM(BH82:BI82)</f>
        <v>29.574868899552715</v>
      </c>
      <c r="BL82" s="3445">
        <f t="shared" ca="1" si="176"/>
        <v>0</v>
      </c>
      <c r="BM82" s="575"/>
      <c r="BN82" s="404"/>
      <c r="BO82" s="2759">
        <f t="shared" ref="BO82:DF82" ca="1" si="196">BO79+BO81</f>
        <v>14.296457615152061</v>
      </c>
      <c r="BP82" s="2759">
        <f t="shared" ca="1" si="196"/>
        <v>3.9051058493721844E-3</v>
      </c>
      <c r="BQ82" s="2759">
        <f t="shared" ca="1" si="196"/>
        <v>0.13166950361694055</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14.432032224618373</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4.1901600110161447E-3</v>
      </c>
      <c r="I84" s="671">
        <f t="shared" ca="1" si="197"/>
        <v>3.4960825593292144</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3.5002727193402308</v>
      </c>
      <c r="S84" s="625">
        <f t="shared" ref="S84:AJ84" ca="1" si="198">S$51+S$55+S$63+S$68+S$72+S$76+S$82+S$46</f>
        <v>-0.84270494431440157</v>
      </c>
      <c r="T84" s="625">
        <f t="shared" ca="1" si="198"/>
        <v>30.562508019667931</v>
      </c>
      <c r="U84" s="625">
        <f t="shared" ca="1" si="198"/>
        <v>-18.904822964763632</v>
      </c>
      <c r="V84" s="625">
        <f t="shared" ca="1" si="198"/>
        <v>-4.0754945694137241</v>
      </c>
      <c r="W84" s="625">
        <f t="shared" ca="1" si="198"/>
        <v>-37.840709404548079</v>
      </c>
      <c r="X84" s="625">
        <f t="shared" ca="1" si="198"/>
        <v>2.2482131147540985</v>
      </c>
      <c r="Y84" s="625">
        <f t="shared" ca="1" si="198"/>
        <v>0</v>
      </c>
      <c r="Z84" s="625">
        <f t="shared" ca="1" si="198"/>
        <v>10</v>
      </c>
      <c r="AA84" s="625">
        <f t="shared" ca="1" si="198"/>
        <v>0</v>
      </c>
      <c r="AB84" s="625">
        <f t="shared" ca="1" si="198"/>
        <v>0</v>
      </c>
      <c r="AC84" s="625">
        <f t="shared" ca="1" si="198"/>
        <v>0</v>
      </c>
      <c r="AD84" s="625">
        <f t="shared" ca="1" si="198"/>
        <v>0.17474137269324885</v>
      </c>
      <c r="AE84" s="625">
        <f t="shared" ca="1" si="198"/>
        <v>0.17107505197523906</v>
      </c>
      <c r="AF84" s="625">
        <f t="shared" ca="1" si="198"/>
        <v>2.4228410429568106</v>
      </c>
      <c r="AG84" s="625">
        <f t="shared" ca="1" si="198"/>
        <v>0.32815928062421929</v>
      </c>
      <c r="AH84" s="625">
        <f t="shared" ca="1" si="198"/>
        <v>0.15178856558780604</v>
      </c>
      <c r="AI84" s="625">
        <f t="shared" ca="1" si="198"/>
        <v>5.8662240154226032E-2</v>
      </c>
      <c r="AJ84" s="625">
        <f t="shared" ca="1" si="198"/>
        <v>0</v>
      </c>
      <c r="AK84" s="625">
        <f ca="1">SUM(S84:AJ84)</f>
        <v>-15.545743194626258</v>
      </c>
      <c r="AM84" s="626">
        <f t="shared" ref="AM84:BE84" ca="1" si="199">AM$51+AM$55+AM$63+AM$68+AM$72+AM$76+AM$82+AM$46</f>
        <v>-2</v>
      </c>
      <c r="AN84" s="626">
        <f t="shared" ca="1" si="199"/>
        <v>0</v>
      </c>
      <c r="AO84" s="626">
        <f t="shared" ca="1" si="199"/>
        <v>-10</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-5.8662240154226032E-2</v>
      </c>
      <c r="AX84" s="626">
        <f t="shared" ca="1" si="199"/>
        <v>-3.3359012999999997</v>
      </c>
      <c r="AY84" s="626">
        <f t="shared" ca="1" si="199"/>
        <v>0</v>
      </c>
      <c r="AZ84" s="626">
        <f t="shared" ca="1" si="199"/>
        <v>-1.3017510000000001E-2</v>
      </c>
      <c r="BA84" s="626">
        <f t="shared" ca="1" si="199"/>
        <v>0</v>
      </c>
      <c r="BB84" s="626">
        <f t="shared" ca="1" si="199"/>
        <v>-0.78946596000000002</v>
      </c>
      <c r="BC84" s="626">
        <f t="shared" ca="1" si="199"/>
        <v>0</v>
      </c>
      <c r="BD84" s="626">
        <f t="shared" ca="1" si="199"/>
        <v>-0.34581642466848794</v>
      </c>
      <c r="BE84" s="626">
        <f t="shared" ca="1" si="199"/>
        <v>-3.1510020039229341</v>
      </c>
      <c r="BF84" s="626">
        <f ca="1">SUM(AM84:BE84)</f>
        <v>-19.693865438745647</v>
      </c>
      <c r="BH84" s="3432">
        <f ca="1">BH$51+BH$55+BH$63+BH$68+BH$72+BH$76+BH$82+BH$46</f>
        <v>28.959326506796355</v>
      </c>
      <c r="BI84" s="3432">
        <f ca="1">BI$51+BI$55+BI$63+BI$68+BI$72+BI$76+BI$82+BI$46</f>
        <v>2.7800094072353287</v>
      </c>
      <c r="BJ84" s="3432">
        <f ca="1">SUM(BH84:BI84)</f>
        <v>31.739335914031685</v>
      </c>
      <c r="BL84" s="3446">
        <f t="shared" ca="1" si="176"/>
        <v>0</v>
      </c>
      <c r="BM84" s="627"/>
      <c r="BO84" s="2762">
        <f t="shared" ref="BO84:DE84" ca="1" si="200">BO$51+BO$55+BO$63+BO$68+BO$72+BO$76+BO$82+BO$46</f>
        <v>15.523508979352849</v>
      </c>
      <c r="BP84" s="2762">
        <f t="shared" ca="1" si="200"/>
        <v>4.8854149170013024E-3</v>
      </c>
      <c r="BQ84" s="2762">
        <f t="shared" ca="1" si="200"/>
        <v>0.13679522727862906</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10.539979371589064</v>
      </c>
      <c r="CG84" s="2762">
        <f t="shared" ca="1" si="200"/>
        <v>5.6603978384106233</v>
      </c>
      <c r="CH84" s="2762">
        <f t="shared" ca="1" si="200"/>
        <v>0</v>
      </c>
      <c r="CI84" s="2762">
        <f t="shared" ca="1" si="200"/>
        <v>3.3279824105194078</v>
      </c>
      <c r="CJ84" s="2762">
        <f t="shared" ca="1" si="200"/>
        <v>0</v>
      </c>
      <c r="CK84" s="2762">
        <f t="shared" ca="1" si="200"/>
        <v>0</v>
      </c>
      <c r="CL84" s="2762">
        <f t="shared" ca="1" si="200"/>
        <v>0</v>
      </c>
      <c r="CM84" s="2762">
        <f t="shared" ca="1" si="200"/>
        <v>0</v>
      </c>
      <c r="CN84" s="2762">
        <f t="shared" ca="1" si="200"/>
        <v>0.66396318072011828</v>
      </c>
      <c r="CO84" s="2762">
        <f t="shared" ca="1" si="200"/>
        <v>5.7356255357142859E-2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35.914868678144835</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1.5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1.5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-1.5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-1.5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-28.05126163556999</v>
      </c>
      <c r="T90" s="636">
        <f ca="1">T$40+$S46+T$51+T$99+T$55+T$89</f>
        <v>1.5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-4.0070562240869201</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-4.0070562240869201</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4.007056224086921</v>
      </c>
      <c r="BJ91" s="3428">
        <f ca="1">SUM(BH91:BI91)</f>
        <v>4.007056224086921</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04"/>
        <v>0</v>
      </c>
      <c r="BM92" s="601"/>
      <c r="BO92" s="2760">
        <f t="shared" ca="1" si="210"/>
        <v>0</v>
      </c>
      <c r="BP92" s="2761">
        <f t="shared" ca="1" si="210"/>
        <v>0</v>
      </c>
      <c r="BQ92" s="2761">
        <f t="shared" ca="1" si="210"/>
        <v>0</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-2.5070562240869201</v>
      </c>
      <c r="U93" s="572">
        <f t="shared" ca="1" si="215"/>
        <v>0</v>
      </c>
      <c r="V93" s="572">
        <f t="shared" ca="1" si="215"/>
        <v>0</v>
      </c>
      <c r="W93" s="572">
        <f t="shared" ca="1" si="215"/>
        <v>0</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-2.5070562240869201</v>
      </c>
      <c r="AL93" s="6"/>
      <c r="AM93" s="573">
        <f t="shared" ref="AM93:BE93" ca="1" si="216">AM$89+AM$91+AM$92</f>
        <v>0</v>
      </c>
      <c r="AN93" s="573">
        <f t="shared" ca="1" si="216"/>
        <v>0</v>
      </c>
      <c r="AO93" s="573">
        <f t="shared" ca="1" si="216"/>
        <v>0</v>
      </c>
      <c r="AP93" s="573">
        <f t="shared" ca="1" si="216"/>
        <v>0</v>
      </c>
      <c r="AQ93" s="573">
        <f t="shared" ca="1" si="216"/>
        <v>-1.5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-1.5</v>
      </c>
      <c r="BG93" s="6"/>
      <c r="BH93" s="3431">
        <f ca="1">BH$89+BH$91+BH$92</f>
        <v>0</v>
      </c>
      <c r="BI93" s="3431">
        <f ca="1">BI$89+BI$91+BI$92</f>
        <v>4.007056224086921</v>
      </c>
      <c r="BJ93" s="3431">
        <f ca="1">SUM(BH93:BI93)</f>
        <v>4.007056224086921</v>
      </c>
      <c r="BK93" s="6"/>
      <c r="BL93" s="3445">
        <f t="shared" ca="1" si="204"/>
        <v>0</v>
      </c>
      <c r="BM93" s="575"/>
      <c r="BN93" s="404"/>
      <c r="BO93" s="2759">
        <f t="shared" ref="BO93:DF93" ca="1" si="217">BO$89+BO$91+BO$92</f>
        <v>0</v>
      </c>
      <c r="BP93" s="2759">
        <f t="shared" ca="1" si="217"/>
        <v>0</v>
      </c>
      <c r="BQ93" s="2759">
        <f t="shared" ca="1" si="217"/>
        <v>0</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0</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-23.158342737736056</v>
      </c>
      <c r="V95" s="636">
        <f ca="1">(V$40+V$84+V$93)</f>
        <v>-76.215903615572742</v>
      </c>
      <c r="W95" s="636">
        <f ca="1">(W$40+W$84+W$93)</f>
        <v>-68.702290917472666</v>
      </c>
      <c r="X95" s="636"/>
      <c r="Y95" s="636"/>
      <c r="Z95" s="636"/>
      <c r="AA95" s="636"/>
      <c r="AB95" s="636"/>
      <c r="AC95" s="636">
        <f t="shared" ref="AC95:AH95" ca="1" si="219">(AC$40+AC$84+AC$93)</f>
        <v>0</v>
      </c>
      <c r="AD95" s="636">
        <f t="shared" ca="1" si="219"/>
        <v>0.17474137269324885</v>
      </c>
      <c r="AE95" s="636">
        <f t="shared" ca="1" si="219"/>
        <v>0.17107505197523906</v>
      </c>
      <c r="AF95" s="636">
        <f t="shared" ca="1" si="219"/>
        <v>2.4228410429568106</v>
      </c>
      <c r="AG95" s="636">
        <f t="shared" ca="1" si="219"/>
        <v>0.32815928062421929</v>
      </c>
      <c r="AH95" s="636">
        <f t="shared" ca="1" si="219"/>
        <v>0.15178856558780604</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-3.1510020039229341</v>
      </c>
      <c r="BF95" s="637">
        <f ca="1">SUM(AM95:BE95)</f>
        <v>-3.1510020039229341</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2.30169899080897</v>
      </c>
      <c r="V96" s="689">
        <f t="shared" ca="1" si="221"/>
        <v>0.13269333413613754</v>
      </c>
      <c r="W96" s="689">
        <f t="shared" ca="1" si="221"/>
        <v>0.43072395411839237</v>
      </c>
      <c r="X96" s="689">
        <f t="shared" ca="1" si="221"/>
        <v>0</v>
      </c>
      <c r="Y96" s="689">
        <f t="shared" ca="1" si="221"/>
        <v>0</v>
      </c>
      <c r="Z96" s="689">
        <f t="shared" ca="1" si="221"/>
        <v>0</v>
      </c>
      <c r="AA96" s="689">
        <f t="shared" ca="1" si="221"/>
        <v>0</v>
      </c>
      <c r="AB96" s="689">
        <f t="shared" ca="1" si="221"/>
        <v>0</v>
      </c>
      <c r="AC96" s="689">
        <f t="shared" ca="1" si="221"/>
        <v>0</v>
      </c>
      <c r="AD96" s="689">
        <f t="shared" ca="1" si="221"/>
        <v>-0.17474137269324885</v>
      </c>
      <c r="AE96" s="689">
        <f t="shared" ca="1" si="221"/>
        <v>-0.17107505197523906</v>
      </c>
      <c r="AF96" s="689">
        <f t="shared" ca="1" si="221"/>
        <v>-2.4228410429568106</v>
      </c>
      <c r="AG96" s="689">
        <f t="shared" ca="1" si="221"/>
        <v>-0.32815928062421929</v>
      </c>
      <c r="AH96" s="689">
        <f t="shared" ca="1" si="221"/>
        <v>-0.15178856558780604</v>
      </c>
      <c r="AI96" s="689">
        <f t="shared" ca="1" si="221"/>
        <v>0</v>
      </c>
      <c r="AJ96" s="689">
        <f t="shared" ca="1" si="221"/>
        <v>0</v>
      </c>
      <c r="AK96" s="690">
        <f ca="1">SUM(S96:AJ96)</f>
        <v>-0.38348903477382368</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0.38348903477382379</v>
      </c>
      <c r="BI96" s="3444">
        <f ca="1">IFERROR(INDEX(INDIRECT($C96&amp;".Outputs["&amp;this.Year&amp;"]"), MATCH(BI$5, INDIRECT($C96&amp;".Outputs[Vector]"), 0)), 0)</f>
        <v>0</v>
      </c>
      <c r="BJ96" s="3436">
        <f ca="1">SUM(BH96:BI96)</f>
        <v>0.38348903477382379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-0.90029857912220868</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-0.90029857912220868</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-20.856643746927087</v>
      </c>
      <c r="V97" s="636">
        <f ca="1">V$95+V$96</f>
        <v>-76.083210281436607</v>
      </c>
      <c r="W97" s="636">
        <f ca="1">W$95+W$96</f>
        <v>-68.271566963354275</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-0.85029838372274713</v>
      </c>
      <c r="BF97" s="637">
        <f ca="1">SUM(AM97:BE97)</f>
        <v>-0.85029838372274713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1.2466999999999999</v>
      </c>
      <c r="AM98" s="612">
        <f t="shared" ref="AM98:BE98" ca="1" si="227">IFERROR(INDEX(INDIRECT($C98&amp;".Outputs["&amp;this.Year&amp;"]"), MATCH(AM$5, INDIRECT($C98&amp;".Outputs[Vector]"), 0)), 0)</f>
        <v>0</v>
      </c>
      <c r="AN98" s="612">
        <f t="shared" ca="1" si="227"/>
        <v>0</v>
      </c>
      <c r="AO98" s="612">
        <f t="shared" ca="1" si="227"/>
        <v>0</v>
      </c>
      <c r="AP98" s="612">
        <f t="shared" ca="1" si="227"/>
        <v>-1.2466999999999999</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-1.2466999999999999</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-0.34372767599999993</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-0.34372767599999993</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2.5016989908089702</v>
      </c>
      <c r="V99" s="572">
        <f t="shared" ca="1" si="230"/>
        <v>1.1793933341361376</v>
      </c>
      <c r="W99" s="572">
        <f t="shared" ca="1" si="230"/>
        <v>0.43072395411839237</v>
      </c>
      <c r="X99" s="572">
        <f t="shared" ca="1" si="230"/>
        <v>0</v>
      </c>
      <c r="Y99" s="572">
        <f t="shared" ca="1" si="230"/>
        <v>0</v>
      </c>
      <c r="Z99" s="572">
        <f t="shared" ca="1" si="230"/>
        <v>0</v>
      </c>
      <c r="AA99" s="572">
        <f t="shared" ca="1" si="230"/>
        <v>0</v>
      </c>
      <c r="AB99" s="572">
        <f t="shared" ca="1" si="230"/>
        <v>0</v>
      </c>
      <c r="AC99" s="572">
        <f t="shared" ca="1" si="230"/>
        <v>0</v>
      </c>
      <c r="AD99" s="572">
        <f ca="1">AD$96+AD98</f>
        <v>-0.17474137269324885</v>
      </c>
      <c r="AE99" s="572">
        <f ca="1">AE$96+AE98</f>
        <v>-0.17107505197523906</v>
      </c>
      <c r="AF99" s="572">
        <f t="shared" ca="1" si="230"/>
        <v>-2.4228410429568106</v>
      </c>
      <c r="AG99" s="572">
        <f t="shared" ca="1" si="230"/>
        <v>-0.32815928062421929</v>
      </c>
      <c r="AH99" s="572">
        <f ca="1">AH$96+AH98</f>
        <v>-0.15178856558780604</v>
      </c>
      <c r="AI99" s="572">
        <f t="shared" ca="1" si="230"/>
        <v>0</v>
      </c>
      <c r="AJ99" s="572">
        <f t="shared" ca="1" si="230"/>
        <v>0</v>
      </c>
      <c r="AK99" s="572">
        <f ca="1">SUM(S99:AJ99)</f>
        <v>0.86321096522617691</v>
      </c>
      <c r="AM99" s="573">
        <f t="shared" ref="AM99:BE99" ca="1" si="231">AM$96+AM98</f>
        <v>0</v>
      </c>
      <c r="AN99" s="573">
        <f t="shared" ca="1" si="231"/>
        <v>0</v>
      </c>
      <c r="AO99" s="573">
        <f t="shared" ca="1" si="231"/>
        <v>0</v>
      </c>
      <c r="AP99" s="573">
        <f t="shared" ca="1" si="231"/>
        <v>-1.2466999999999999</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-1.2466999999999999</v>
      </c>
      <c r="BH99" s="3431">
        <f ca="1">BH$96+BH98</f>
        <v>0.38348903477382379</v>
      </c>
      <c r="BI99" s="3431">
        <f ca="1">BI$96+BI98</f>
        <v>0</v>
      </c>
      <c r="BJ99" s="3431">
        <f ca="1">SUM(BH99:BI99)</f>
        <v>0.38348903477382379</v>
      </c>
      <c r="BL99" s="3445">
        <f ca="1">Q99+AK99+BF99+BJ99</f>
        <v>7.7715611723760958E-16</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-1.2440262551222085</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-1.2440262551222085</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-28.055451795581007</v>
      </c>
      <c r="T101" s="636">
        <f ca="1">(T$40+T$84+T$93+T$99)</f>
        <v>28.055451795581011</v>
      </c>
      <c r="U101" s="636">
        <f ca="1">(U$40+U$84+U$93+U$99)</f>
        <v>-20.656643746927088</v>
      </c>
      <c r="V101" s="636">
        <f ca="1">(V$40+V$84+V$93+V$99)</f>
        <v>-75.036510281436605</v>
      </c>
      <c r="W101" s="636">
        <f ca="1">(W$40+W$84+W$93+W$99)</f>
        <v>-68.271566963354275</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20.656643746927088</v>
      </c>
      <c r="V102" s="652">
        <f t="shared" ca="1" si="234"/>
        <v>75.036510281436605</v>
      </c>
      <c r="W102" s="652">
        <f t="shared" ca="1" si="234"/>
        <v>68.271566963354275</v>
      </c>
      <c r="X102" s="652">
        <f t="shared" ca="1" si="234"/>
        <v>-20.656643746927088</v>
      </c>
      <c r="Y102" s="652">
        <f t="shared" ca="1" si="234"/>
        <v>-75.036510281436605</v>
      </c>
      <c r="Z102" s="652">
        <f t="shared" ca="1" si="234"/>
        <v>-69.295640467804589</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-1.0240735044503282</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1.024073504450314</v>
      </c>
      <c r="BJ102" s="655">
        <f ca="1">SUM(BH102:BI102)</f>
        <v>1.024073504450314</v>
      </c>
      <c r="BK102" s="6"/>
      <c r="BL102" s="3445">
        <f t="shared" ref="BL102:BL109" ca="1" si="236">Q102+AK102+BF102+BJ102</f>
        <v>-1.4210854715202004E-14</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2.9193324943068855E-2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2.9193324943068855E-2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18.40843063217299</v>
      </c>
      <c r="Y103" s="702">
        <f ca="1">-(Y$40+Y$84+Y$93+Y$99+Y$102)</f>
        <v>75.036510281436605</v>
      </c>
      <c r="Z103" s="702">
        <f ca="1">-(Z$40+Z$84+Z$93+Z$99+Z$102)</f>
        <v>59.295640467804589</v>
      </c>
      <c r="AA103" s="702"/>
      <c r="AB103" s="702"/>
      <c r="AC103" s="702"/>
      <c r="AD103" s="702"/>
      <c r="AE103" s="702"/>
      <c r="AF103" s="702"/>
      <c r="AG103" s="702"/>
      <c r="AH103" s="702"/>
      <c r="AI103" s="702"/>
      <c r="AJ103" s="702"/>
      <c r="AK103" s="702">
        <f ca="1">SUM(S103:AJ103)</f>
        <v>152.74058138141419</v>
      </c>
      <c r="AL103" s="6"/>
      <c r="AM103" s="606"/>
      <c r="AN103" s="606"/>
      <c r="AO103" s="606"/>
      <c r="AP103" s="606"/>
      <c r="AQ103" s="606">
        <f ca="1">-T103</f>
        <v>3.5527136788005009E-15</v>
      </c>
      <c r="AR103" s="606">
        <f>-V103</f>
        <v>0</v>
      </c>
      <c r="AS103" s="606">
        <f ca="1">-X103</f>
        <v>-18.40843063217299</v>
      </c>
      <c r="AT103" s="606">
        <f ca="1">-Y103</f>
        <v>-75.036510281436605</v>
      </c>
      <c r="AU103" s="606">
        <f ca="1">-Z103</f>
        <v>-59.295640467804589</v>
      </c>
      <c r="AV103" s="606"/>
      <c r="AW103" s="606"/>
      <c r="AX103" s="606"/>
      <c r="AY103" s="606"/>
      <c r="AZ103" s="606"/>
      <c r="BA103" s="606"/>
      <c r="BB103" s="606"/>
      <c r="BC103" s="606"/>
      <c r="BD103" s="606"/>
      <c r="BE103" s="606"/>
      <c r="BF103" s="606">
        <f ca="1">SUM(AM103:BE103)</f>
        <v>-152.74058138141419</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-3.5527136788005009E-15</v>
      </c>
      <c r="U104" s="572">
        <f t="shared" ca="1" si="242"/>
        <v>20.656643746927088</v>
      </c>
      <c r="V104" s="572">
        <f t="shared" ca="1" si="242"/>
        <v>75.036510281436605</v>
      </c>
      <c r="W104" s="572">
        <f t="shared" ca="1" si="242"/>
        <v>68.271566963354275</v>
      </c>
      <c r="X104" s="572">
        <f t="shared" ca="1" si="242"/>
        <v>-2.2482131147540976</v>
      </c>
      <c r="Y104" s="572">
        <f t="shared" ca="1" si="242"/>
        <v>0</v>
      </c>
      <c r="Z104" s="572">
        <f t="shared" ca="1" si="242"/>
        <v>-10</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151.71650787696387</v>
      </c>
      <c r="AM104" s="573">
        <f t="shared" ref="AM104:BE104" ca="1" si="243">SUM(AM102:AM103)</f>
        <v>0</v>
      </c>
      <c r="AN104" s="573">
        <f t="shared" ca="1" si="243"/>
        <v>0</v>
      </c>
      <c r="AO104" s="573">
        <f t="shared" ca="1" si="243"/>
        <v>0</v>
      </c>
      <c r="AP104" s="573">
        <f t="shared" ca="1" si="243"/>
        <v>0</v>
      </c>
      <c r="AQ104" s="573">
        <f t="shared" ca="1" si="243"/>
        <v>3.5527136788005009E-15</v>
      </c>
      <c r="AR104" s="573">
        <f t="shared" ca="1" si="243"/>
        <v>0</v>
      </c>
      <c r="AS104" s="573">
        <f t="shared" ca="1" si="243"/>
        <v>-18.40843063217299</v>
      </c>
      <c r="AT104" s="573">
        <f t="shared" ca="1" si="243"/>
        <v>-75.036510281436605</v>
      </c>
      <c r="AU104" s="573">
        <f t="shared" ca="1" si="243"/>
        <v>-59.295640467804589</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-152.74058138141419</v>
      </c>
      <c r="BH104" s="3431">
        <f ca="1">SUM(BH102:BH103)</f>
        <v>0</v>
      </c>
      <c r="BI104" s="3431">
        <f ca="1">SUM(BI102:BI103)</f>
        <v>1.024073504450314</v>
      </c>
      <c r="BJ104" s="3431">
        <f ca="1">SUM(BH104:BI104)</f>
        <v>1.024073504450314</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2.9193324943068855E-2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2.9193324943068855E-2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-2.5070562240869236</v>
      </c>
      <c r="U106" s="625">
        <f t="shared" ca="1" si="246"/>
        <v>23.158342737736056</v>
      </c>
      <c r="V106" s="625">
        <f t="shared" ca="1" si="246"/>
        <v>76.215903615572742</v>
      </c>
      <c r="W106" s="625">
        <f t="shared" ca="1" si="246"/>
        <v>68.702290917472666</v>
      </c>
      <c r="X106" s="625">
        <f t="shared" ca="1" si="246"/>
        <v>-2.2482131147540976</v>
      </c>
      <c r="Y106" s="625">
        <f t="shared" ca="1" si="246"/>
        <v>0</v>
      </c>
      <c r="Z106" s="625">
        <f t="shared" ca="1" si="246"/>
        <v>-10</v>
      </c>
      <c r="AA106" s="625">
        <f t="shared" ca="1" si="246"/>
        <v>0</v>
      </c>
      <c r="AB106" s="625">
        <f t="shared" ca="1" si="246"/>
        <v>0</v>
      </c>
      <c r="AC106" s="625">
        <f t="shared" ca="1" si="246"/>
        <v>0</v>
      </c>
      <c r="AD106" s="625">
        <f t="shared" ca="1" si="246"/>
        <v>-0.17474137269324885</v>
      </c>
      <c r="AE106" s="625">
        <f t="shared" ca="1" si="246"/>
        <v>-0.17107505197523906</v>
      </c>
      <c r="AF106" s="625">
        <f t="shared" ca="1" si="246"/>
        <v>-2.4228410429568106</v>
      </c>
      <c r="AG106" s="625">
        <f t="shared" ca="1" si="246"/>
        <v>-0.32815928062421929</v>
      </c>
      <c r="AH106" s="625">
        <f t="shared" ca="1" si="246"/>
        <v>-0.15178856558780604</v>
      </c>
      <c r="AI106" s="625">
        <f t="shared" ca="1" si="246"/>
        <v>0</v>
      </c>
      <c r="AJ106" s="625">
        <f t="shared" ca="1" si="246"/>
        <v>0</v>
      </c>
      <c r="AK106" s="625">
        <f ca="1">SUM(S106:AJ106)</f>
        <v>150.07266261810312</v>
      </c>
      <c r="AM106" s="626">
        <f t="shared" ref="AM106:BE106" ca="1" si="247">AM$93+AM$99+AM$104</f>
        <v>0</v>
      </c>
      <c r="AN106" s="626">
        <f t="shared" ca="1" si="247"/>
        <v>0</v>
      </c>
      <c r="AO106" s="626">
        <f t="shared" ca="1" si="247"/>
        <v>0</v>
      </c>
      <c r="AP106" s="626">
        <f t="shared" ca="1" si="247"/>
        <v>-1.2466999999999999</v>
      </c>
      <c r="AQ106" s="626">
        <f t="shared" ca="1" si="247"/>
        <v>-1.4999999999999964</v>
      </c>
      <c r="AR106" s="626">
        <f t="shared" ca="1" si="247"/>
        <v>0</v>
      </c>
      <c r="AS106" s="626">
        <f t="shared" ca="1" si="247"/>
        <v>-18.40843063217299</v>
      </c>
      <c r="AT106" s="626">
        <f t="shared" ca="1" si="247"/>
        <v>-75.036510281436605</v>
      </c>
      <c r="AU106" s="626">
        <f t="shared" ca="1" si="247"/>
        <v>-59.295640467804589</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-155.48728138141416</v>
      </c>
      <c r="BH106" s="3432">
        <f ca="1">BH$93+BH$99+BH$104</f>
        <v>0.38348903477382379</v>
      </c>
      <c r="BI106" s="3432">
        <f ca="1">BI$93+BI$99+BI$104</f>
        <v>5.0311297285372349</v>
      </c>
      <c r="BJ106" s="3432">
        <f ca="1">SUM(BH106:BI106)</f>
        <v>5.4146187633110587</v>
      </c>
      <c r="BL106" s="3446">
        <f t="shared" ca="1" si="236"/>
        <v>1.865174681370263E-14</v>
      </c>
      <c r="BM106" s="627"/>
      <c r="BO106" s="2762">
        <f t="shared" ref="BO106:DE106" ca="1" si="248">BO$93+BO$99+BO$104</f>
        <v>0</v>
      </c>
      <c r="BP106" s="2762">
        <f t="shared" ca="1" si="248"/>
        <v>0</v>
      </c>
      <c r="BQ106" s="2762">
        <f t="shared" ca="1" si="248"/>
        <v>0</v>
      </c>
      <c r="BR106" s="2762">
        <f t="shared" ca="1" si="248"/>
        <v>0</v>
      </c>
      <c r="BS106" s="2762">
        <f t="shared" ca="1" si="248"/>
        <v>0</v>
      </c>
      <c r="BT106" s="2762">
        <f t="shared" ca="1" si="248"/>
        <v>2.9193324943068855E-2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-1.2440262551222085</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-1.2148329301791396</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40.345847182119613</v>
      </c>
      <c r="H109" s="705">
        <f t="shared" ca="1" si="249"/>
        <v>10.763652138289398</v>
      </c>
      <c r="I109" s="705">
        <f t="shared" ca="1" si="249"/>
        <v>34.516085234770344</v>
      </c>
      <c r="J109" s="705">
        <f t="shared" ca="1" si="249"/>
        <v>43.402334272018976</v>
      </c>
      <c r="K109" s="705">
        <f t="shared" ca="1" si="249"/>
        <v>0.57994494620088843</v>
      </c>
      <c r="L109" s="705">
        <f t="shared" ca="1" si="249"/>
        <v>2.8375533440997854E-2</v>
      </c>
      <c r="M109" s="705">
        <f t="shared" ca="1" si="249"/>
        <v>0.66</v>
      </c>
      <c r="N109" s="705">
        <f t="shared" ca="1" si="249"/>
        <v>8.0623123555082739</v>
      </c>
      <c r="O109" s="705">
        <f t="shared" ca="1" si="249"/>
        <v>0</v>
      </c>
      <c r="P109" s="705">
        <f t="shared" ca="1" si="249"/>
        <v>0</v>
      </c>
      <c r="Q109" s="705">
        <f ca="1">SUM(G109:P109)</f>
        <v>138.3585516623485</v>
      </c>
      <c r="S109" s="706">
        <f t="shared" ref="S109:AJ109" ca="1" si="250">S$40+S$84+S$106</f>
        <v>-28.055451795581007</v>
      </c>
      <c r="T109" s="706">
        <f t="shared" ca="1" si="250"/>
        <v>28.055451795581007</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-2</v>
      </c>
      <c r="AN109" s="707">
        <f t="shared" ca="1" si="251"/>
        <v>0</v>
      </c>
      <c r="AO109" s="707">
        <f t="shared" ca="1" si="251"/>
        <v>-10</v>
      </c>
      <c r="AP109" s="707">
        <f t="shared" ca="1" si="251"/>
        <v>-1.2466999999999999</v>
      </c>
      <c r="AQ109" s="707">
        <f t="shared" ca="1" si="251"/>
        <v>-1.4999999999999964</v>
      </c>
      <c r="AR109" s="707">
        <f t="shared" ca="1" si="251"/>
        <v>0</v>
      </c>
      <c r="AS109" s="707">
        <f t="shared" ca="1" si="251"/>
        <v>-18.40843063217299</v>
      </c>
      <c r="AT109" s="707">
        <f t="shared" ca="1" si="251"/>
        <v>-75.036510281436605</v>
      </c>
      <c r="AU109" s="707">
        <f t="shared" ca="1" si="251"/>
        <v>-59.295640467804589</v>
      </c>
      <c r="AV109" s="707">
        <f t="shared" ca="1" si="251"/>
        <v>0</v>
      </c>
      <c r="AW109" s="707">
        <f t="shared" ca="1" si="251"/>
        <v>-5.8662240154226032E-2</v>
      </c>
      <c r="AX109" s="707">
        <f t="shared" ca="1" si="251"/>
        <v>-3.3359012999999997</v>
      </c>
      <c r="AY109" s="707">
        <f t="shared" ca="1" si="251"/>
        <v>0</v>
      </c>
      <c r="AZ109" s="707">
        <f t="shared" ca="1" si="251"/>
        <v>-1.3017510000000001E-2</v>
      </c>
      <c r="BA109" s="707">
        <f t="shared" ca="1" si="251"/>
        <v>0</v>
      </c>
      <c r="BB109" s="707">
        <f t="shared" ca="1" si="251"/>
        <v>-0.78946596000000002</v>
      </c>
      <c r="BC109" s="707">
        <f t="shared" ca="1" si="251"/>
        <v>-0.3313595195314073</v>
      </c>
      <c r="BD109" s="707">
        <f t="shared" ca="1" si="251"/>
        <v>-0.34581642466848794</v>
      </c>
      <c r="BE109" s="707">
        <f t="shared" ca="1" si="251"/>
        <v>-3.1510020039229341</v>
      </c>
      <c r="BF109" s="707">
        <f ca="1">SUM(AM109:BE109)</f>
        <v>-175.51250633969124</v>
      </c>
      <c r="BH109" s="3437">
        <f ca="1">BH$40+BH$84+BH$106</f>
        <v>29.342815541570179</v>
      </c>
      <c r="BI109" s="3437">
        <f ca="1">BI$40+BI$84+BI$106</f>
        <v>7.8111391357725637</v>
      </c>
      <c r="BJ109" s="3437">
        <f ca="1">SUM(BH109:BI109)</f>
        <v>37.153954677342739</v>
      </c>
      <c r="BL109" s="3447">
        <f t="shared" ca="1" si="236"/>
        <v>0</v>
      </c>
      <c r="BM109" s="568"/>
      <c r="BO109" s="2767">
        <f t="shared" ref="BO109:DF109" ca="1" si="252">BO$40+BO$84+BO$106</f>
        <v>38.731255818057562</v>
      </c>
      <c r="BP109" s="2767">
        <f t="shared" ca="1" si="252"/>
        <v>2.0725768530850085E-2</v>
      </c>
      <c r="BQ109" s="2767">
        <f t="shared" ca="1" si="252"/>
        <v>0.27826299708586877</v>
      </c>
      <c r="BR109" s="2767">
        <f t="shared" ca="1" si="252"/>
        <v>0</v>
      </c>
      <c r="BS109" s="2767">
        <f t="shared" ca="1" si="252"/>
        <v>0</v>
      </c>
      <c r="BT109" s="2767">
        <f t="shared" ca="1" si="252"/>
        <v>2.9193324943068855E-2</v>
      </c>
      <c r="BU109" s="2767">
        <f t="shared" ca="1" si="252"/>
        <v>0</v>
      </c>
      <c r="BV109" s="2767">
        <f t="shared" ca="1" si="252"/>
        <v>0</v>
      </c>
      <c r="BW109" s="2767">
        <f t="shared" ca="1" si="252"/>
        <v>1.3292285021223598</v>
      </c>
      <c r="BX109" s="2767">
        <f t="shared" ca="1" si="252"/>
        <v>0</v>
      </c>
      <c r="BY109" s="2767">
        <f t="shared" ca="1" si="252"/>
        <v>0</v>
      </c>
      <c r="BZ109" s="2767">
        <f t="shared" ca="1" si="252"/>
        <v>1.1103874779381839</v>
      </c>
      <c r="CA109" s="2767">
        <f t="shared" ca="1" si="252"/>
        <v>0</v>
      </c>
      <c r="CB109" s="2767">
        <f t="shared" ca="1" si="252"/>
        <v>0</v>
      </c>
      <c r="CC109" s="2767">
        <f t="shared" ca="1" si="252"/>
        <v>0</v>
      </c>
      <c r="CD109" s="2767">
        <f t="shared" ca="1" si="252"/>
        <v>0</v>
      </c>
      <c r="CE109" s="2767">
        <f t="shared" ca="1" si="252"/>
        <v>0</v>
      </c>
      <c r="CF109" s="2767">
        <f t="shared" ca="1" si="252"/>
        <v>10.539979371589064</v>
      </c>
      <c r="CG109" s="2767">
        <f t="shared" ca="1" si="252"/>
        <v>5.6603978384106233</v>
      </c>
      <c r="CH109" s="2767">
        <f t="shared" ca="1" si="252"/>
        <v>0</v>
      </c>
      <c r="CI109" s="2767">
        <f t="shared" ca="1" si="252"/>
        <v>3.3279824105194078</v>
      </c>
      <c r="CJ109" s="2767">
        <f t="shared" ca="1" si="252"/>
        <v>0</v>
      </c>
      <c r="CK109" s="2767">
        <f t="shared" ca="1" si="252"/>
        <v>0</v>
      </c>
      <c r="CL109" s="2767">
        <f t="shared" ca="1" si="252"/>
        <v>0</v>
      </c>
      <c r="CM109" s="2767">
        <f t="shared" ca="1" si="252"/>
        <v>0</v>
      </c>
      <c r="CN109" s="2767">
        <f t="shared" ca="1" si="252"/>
        <v>0.66396318072011828</v>
      </c>
      <c r="CO109" s="2767">
        <f t="shared" ca="1" si="252"/>
        <v>5.7356255357142859E-2</v>
      </c>
      <c r="CP109" s="2767">
        <f t="shared" ca="1" si="252"/>
        <v>0</v>
      </c>
      <c r="CQ109" s="2767">
        <f t="shared" ca="1" si="252"/>
        <v>0</v>
      </c>
      <c r="CR109" s="2767">
        <f t="shared" ca="1" si="252"/>
        <v>0</v>
      </c>
      <c r="CS109" s="2767">
        <f t="shared" ca="1" si="252"/>
        <v>0</v>
      </c>
      <c r="CT109" s="2767">
        <f t="shared" ca="1" si="252"/>
        <v>0</v>
      </c>
      <c r="CU109" s="2767">
        <f t="shared" ca="1" si="252"/>
        <v>2.1274829843715231</v>
      </c>
      <c r="CV109" s="2767">
        <f t="shared" ca="1" si="252"/>
        <v>1.8285324422292765E-3</v>
      </c>
      <c r="CW109" s="2767">
        <f t="shared" ca="1" si="252"/>
        <v>5.3985243532483403E-3</v>
      </c>
      <c r="CX109" s="2767">
        <f t="shared" ca="1" si="252"/>
        <v>0</v>
      </c>
      <c r="CY109" s="2767">
        <f t="shared" ca="1" si="252"/>
        <v>-1.2440262551222085</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62.639416731319045</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14.432032224618373</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28.059242938398786</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0.5143414687382134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2030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27.164987392331195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27.164987392331195</v>
      </c>
      <c r="S9" s="582">
        <f t="shared" ref="S9:AJ13" ca="1" si="2">IFERROR(INDEX(INDIRECT($C9&amp;".Outputs["&amp;this.Year&amp;"]"), MATCH(S$5, INDIRECT($C9&amp;".Outputs[Vector]"), 0)), 0)</f>
        <v>-1.639370956886139</v>
      </c>
      <c r="T9" s="582">
        <f t="shared" ca="1" si="2"/>
        <v>0</v>
      </c>
      <c r="U9" s="582">
        <f t="shared" ca="1" si="2"/>
        <v>-0.23181941749696361</v>
      </c>
      <c r="V9" s="582">
        <f t="shared" ca="1" si="2"/>
        <v>-8.5801863164700922</v>
      </c>
      <c r="W9" s="582">
        <f t="shared" ca="1" si="2"/>
        <v>-16.615606470158163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-7.0129937567812564E-2</v>
      </c>
      <c r="AJ9" s="582">
        <f t="shared" ca="1" si="2"/>
        <v>0</v>
      </c>
      <c r="AK9" s="583">
        <f t="shared" ref="AK9:AK15" ca="1" si="4">SUM(S9:AJ9)</f>
        <v>-27.137113098579171</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-2.7874293752023344E-2</v>
      </c>
      <c r="BD9" s="584">
        <f t="shared" ca="1" si="6"/>
        <v>0</v>
      </c>
      <c r="BE9" s="584">
        <f t="shared" ca="1" si="6"/>
        <v>0</v>
      </c>
      <c r="BF9" s="585">
        <f t="shared" ref="BF9:BF15" ca="1" si="7">SUM(AM9:BE9)</f>
        <v>-2.7874293752023344E-2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8.7083118494035716E-16</v>
      </c>
      <c r="BM9" s="586"/>
      <c r="BN9" s="404"/>
      <c r="BO9" s="2758">
        <f t="shared" ref="BO9:BX10" ca="1" si="11">IFERROR(SUMIFS(INDIRECT($C9&amp;".Emissions["&amp;this.Year&amp;"]"), INDIRECT($C9&amp;".Emissions[GHG]"), BO$6, INDIRECT($C9&amp;".Emissions[IPCC Sector]"), BO$5),0)</f>
        <v>5.7439738885905971</v>
      </c>
      <c r="BP9" s="2759">
        <f t="shared" ca="1" si="11"/>
        <v>3.2143939892933134E-3</v>
      </c>
      <c r="BQ9" s="2759">
        <f t="shared" ca="1" si="11"/>
        <v>5.9649396772491557E-2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27.164987392331195</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27.164987392331195</v>
      </c>
      <c r="S11" s="583">
        <f ca="1">SUM(S9:S10)</f>
        <v>-1.639370956886139</v>
      </c>
      <c r="T11" s="583">
        <f t="shared" ref="T11:AJ11" ca="1" si="16">SUM(T9:T10)</f>
        <v>0</v>
      </c>
      <c r="U11" s="583">
        <f t="shared" ca="1" si="16"/>
        <v>-0.23181941749696361</v>
      </c>
      <c r="V11" s="583">
        <f t="shared" ca="1" si="16"/>
        <v>-8.5801863164700922</v>
      </c>
      <c r="W11" s="583">
        <f t="shared" ca="1" si="16"/>
        <v>-16.615606470158163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-7.0129937567812564E-2</v>
      </c>
      <c r="AJ11" s="583">
        <f t="shared" ca="1" si="16"/>
        <v>0</v>
      </c>
      <c r="AK11" s="583">
        <f t="shared" ca="1" si="4"/>
        <v>-27.137113098579171</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-2.7874293752023344E-2</v>
      </c>
      <c r="BD11" s="599">
        <f ca="1">SUM(BD9:BD10)</f>
        <v>0</v>
      </c>
      <c r="BE11" s="599">
        <f t="shared" ca="1" si="17"/>
        <v>0</v>
      </c>
      <c r="BF11" s="600">
        <f t="shared" ca="1" si="7"/>
        <v>-2.7874293752023344E-2</v>
      </c>
      <c r="BH11" s="3428">
        <f ca="1">SUM(BH9:BH10)</f>
        <v>0</v>
      </c>
      <c r="BI11" s="3428">
        <f ca="1">SUM(BI9:BI10)</f>
        <v>0</v>
      </c>
      <c r="BJ11" s="3428">
        <f t="shared" ca="1" si="9"/>
        <v>0</v>
      </c>
      <c r="BL11" s="601">
        <f t="shared" ca="1" si="10"/>
        <v>8.7083118494035716E-16</v>
      </c>
      <c r="BM11" s="601"/>
      <c r="BN11" s="404"/>
      <c r="BO11" s="2758">
        <f t="shared" ref="BO11:DF11" ca="1" si="18">SUM(BO9:BO10)</f>
        <v>5.7439738885905971</v>
      </c>
      <c r="BP11" s="2759">
        <f t="shared" ca="1" si="18"/>
        <v>3.2143939892933134E-3</v>
      </c>
      <c r="BQ11" s="2759">
        <f t="shared" ca="1" si="18"/>
        <v>5.9649396772491557E-2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14.703841111603866</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14.703841111603866</v>
      </c>
      <c r="S12" s="582">
        <f t="shared" ca="1" si="2"/>
        <v>-4.6165478603603614</v>
      </c>
      <c r="T12" s="582">
        <f t="shared" ca="1" si="2"/>
        <v>0</v>
      </c>
      <c r="U12" s="582">
        <f t="shared" ca="1" si="2"/>
        <v>-0.21742777260018636</v>
      </c>
      <c r="V12" s="582">
        <f t="shared" ca="1" si="2"/>
        <v>-1.4950961270548895</v>
      </c>
      <c r="W12" s="582">
        <f t="shared" ca="1" si="2"/>
        <v>-7.9647226173541954</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-14.293794377369633</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-0.41004673423423421</v>
      </c>
      <c r="BD12" s="584">
        <f t="shared" ca="1" si="6"/>
        <v>0</v>
      </c>
      <c r="BE12" s="584">
        <f t="shared" ca="1" si="6"/>
        <v>0</v>
      </c>
      <c r="BF12" s="585">
        <f t="shared" ca="1" si="7"/>
        <v>-0.41004673423423421</v>
      </c>
      <c r="BH12" s="3439">
        <f t="shared" ca="1" si="8"/>
        <v>0</v>
      </c>
      <c r="BI12" s="3439">
        <f t="shared" ca="1" si="8"/>
        <v>0</v>
      </c>
      <c r="BJ12" s="3428">
        <f t="shared" ca="1" si="9"/>
        <v>0</v>
      </c>
      <c r="BL12" s="586">
        <f t="shared" ca="1" si="10"/>
        <v>-4.4408920985006262E-16</v>
      </c>
      <c r="BM12" s="586"/>
      <c r="BN12" s="404"/>
      <c r="BO12" s="2758">
        <f t="shared" ref="BO12:BX13" ca="1" si="21">IFERROR(SUMIFS(INDIRECT($C12&amp;".Emissions["&amp;this.Year&amp;"]"), INDIRECT($C12&amp;".Emissions[GHG]"), BO$6, INDIRECT($C12&amp;".Emissions[IPCC Sector]"), BO$5),0)</f>
        <v>2.0984820243110649</v>
      </c>
      <c r="BP12" s="2759">
        <f t="shared" ca="1" si="21"/>
        <v>9.5272710921402801E-4</v>
      </c>
      <c r="BQ12" s="2759">
        <f t="shared" ca="1" si="21"/>
        <v>2.6899469342591978E-2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14.703841111603866</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14.703841111603866</v>
      </c>
      <c r="S14" s="604">
        <f t="shared" ref="S14:AJ14" ca="1" si="26">SUM(S12:S13)</f>
        <v>-4.6165478603603614</v>
      </c>
      <c r="T14" s="604">
        <f t="shared" ca="1" si="26"/>
        <v>0</v>
      </c>
      <c r="U14" s="604">
        <f t="shared" ca="1" si="26"/>
        <v>-0.21742777260018636</v>
      </c>
      <c r="V14" s="604">
        <f t="shared" ca="1" si="26"/>
        <v>-1.4950961270548895</v>
      </c>
      <c r="W14" s="604">
        <f t="shared" ca="1" si="26"/>
        <v>-7.9647226173541954</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-14.293794377369633</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-0.41004673423423421</v>
      </c>
      <c r="BD14" s="605">
        <f ca="1">SUM(BD12:BD13)</f>
        <v>0</v>
      </c>
      <c r="BE14" s="605">
        <f t="shared" ca="1" si="27"/>
        <v>0</v>
      </c>
      <c r="BF14" s="606">
        <f t="shared" ca="1" si="7"/>
        <v>-0.41004673423423421</v>
      </c>
      <c r="BH14" s="3430">
        <f ca="1">SUM(BH12:BH13)</f>
        <v>0</v>
      </c>
      <c r="BI14" s="3430">
        <f ca="1">SUM(BI12:BI13)</f>
        <v>0</v>
      </c>
      <c r="BJ14" s="3430">
        <f t="shared" ca="1" si="9"/>
        <v>0</v>
      </c>
      <c r="BL14" s="601">
        <f t="shared" ca="1" si="10"/>
        <v>-4.4408920985006262E-16</v>
      </c>
      <c r="BM14" s="601"/>
      <c r="BN14" s="404"/>
      <c r="BO14" s="2760">
        <f t="shared" ref="BO14:DF14" ca="1" si="28">SUM(BO12:BO13)</f>
        <v>2.0984820243110649</v>
      </c>
      <c r="BP14" s="2761">
        <f t="shared" ca="1" si="28"/>
        <v>9.5272710921402801E-4</v>
      </c>
      <c r="BQ14" s="2761">
        <f t="shared" ca="1" si="28"/>
        <v>2.6899469342591978E-2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41.868828503935063</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41.868828503935063</v>
      </c>
      <c r="S15" s="572">
        <f t="shared" ref="S15:AJ15" ca="1" si="30">S14+S11</f>
        <v>-6.2559188172465001</v>
      </c>
      <c r="T15" s="572">
        <f t="shared" ca="1" si="30"/>
        <v>0</v>
      </c>
      <c r="U15" s="572">
        <f t="shared" ca="1" si="30"/>
        <v>-0.44924719009714997</v>
      </c>
      <c r="V15" s="572">
        <f t="shared" ca="1" si="30"/>
        <v>-10.075282443524982</v>
      </c>
      <c r="W15" s="572">
        <f t="shared" ca="1" si="30"/>
        <v>-24.580329087512357</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-7.0129937567812564E-2</v>
      </c>
      <c r="AJ15" s="572">
        <f t="shared" ca="1" si="30"/>
        <v>0</v>
      </c>
      <c r="AK15" s="572">
        <f t="shared" ca="1" si="4"/>
        <v>-41.4309074759488</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-0.43792102798625754</v>
      </c>
      <c r="BD15" s="573">
        <f ca="1">BD14+BD11</f>
        <v>0</v>
      </c>
      <c r="BE15" s="573">
        <f t="shared" ca="1" si="31"/>
        <v>0</v>
      </c>
      <c r="BF15" s="573">
        <f t="shared" ca="1" si="7"/>
        <v>-0.43792102798625754</v>
      </c>
      <c r="BH15" s="3431">
        <f ca="1">BH14+BH11</f>
        <v>0</v>
      </c>
      <c r="BI15" s="3431">
        <f ca="1">BI14+BI11</f>
        <v>0</v>
      </c>
      <c r="BJ15" s="3431">
        <f t="shared" ca="1" si="9"/>
        <v>0</v>
      </c>
      <c r="BL15" s="3445">
        <f t="shared" ca="1" si="10"/>
        <v>5.773159728050814E-15</v>
      </c>
      <c r="BM15" s="575"/>
      <c r="BN15" s="404"/>
      <c r="BO15" s="2759">
        <f t="shared" ref="BO15:DF15" ca="1" si="32">BO14+BO11</f>
        <v>7.842455912901662</v>
      </c>
      <c r="BP15" s="2759">
        <f t="shared" ca="1" si="32"/>
        <v>4.1671210985073414E-3</v>
      </c>
      <c r="BQ15" s="2759">
        <f t="shared" ca="1" si="32"/>
        <v>8.6548866115083528E-2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7.9331719001152523</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6.0335607676976224</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6.0335607676976224</v>
      </c>
      <c r="S17" s="582">
        <f t="shared" ref="S17:AJ18" ca="1" si="35">IFERROR(INDEX(INDIRECT($C17&amp;".Outputs["&amp;this.Year&amp;"]"), MATCH(S$5, INDIRECT($C17&amp;".Outputs[Vector]"), 0)), 0)</f>
        <v>-5.5872861382671468</v>
      </c>
      <c r="T17" s="582">
        <f t="shared" ca="1" si="35"/>
        <v>0</v>
      </c>
      <c r="U17" s="582">
        <f t="shared" ca="1" si="35"/>
        <v>0</v>
      </c>
      <c r="V17" s="582">
        <f t="shared" ca="1" si="35"/>
        <v>0</v>
      </c>
      <c r="W17" s="582">
        <f t="shared" ca="1" si="35"/>
        <v>-0.44627462943047569</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-6.0335607676976224</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9.1361877666562299E-2</v>
      </c>
      <c r="BP17" s="2759">
        <f t="shared" ca="1" si="39"/>
        <v>3.3738361984943967E-5</v>
      </c>
      <c r="BQ17" s="2759">
        <f t="shared" ca="1" si="39"/>
        <v>1.4443232106887915E-3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9.2839939239236044E-2</v>
      </c>
    </row>
    <row r="18" spans="1:112" s="6" customFormat="1" ht="12.75" customHeight="1" outlineLevel="1">
      <c r="A18" s="598"/>
      <c r="B18" s="598"/>
      <c r="C18" s="578" t="s">
        <v>463</v>
      </c>
      <c r="D18" s="602" t="s">
        <v>464</v>
      </c>
      <c r="E18" s="602"/>
      <c r="G18" s="610">
        <f t="shared" ca="1" si="34"/>
        <v>0</v>
      </c>
      <c r="H18" s="610">
        <f t="shared" ca="1" si="34"/>
        <v>4.99218525011129</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4.99218525011129</v>
      </c>
      <c r="S18" s="611">
        <f t="shared" ca="1" si="35"/>
        <v>-4.4986529591359217</v>
      </c>
      <c r="T18" s="611">
        <f t="shared" ca="1" si="35"/>
        <v>0</v>
      </c>
      <c r="U18" s="611">
        <f t="shared" ca="1" si="35"/>
        <v>0</v>
      </c>
      <c r="V18" s="611">
        <f t="shared" ca="1" si="35"/>
        <v>0</v>
      </c>
      <c r="W18" s="611">
        <f t="shared" ca="1" si="35"/>
        <v>-0.49353229097536799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-4.99218525011129</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0.1010365228472265</v>
      </c>
      <c r="BP18" s="2761">
        <f t="shared" ca="1" si="39"/>
        <v>3.7311041197737823E-5</v>
      </c>
      <c r="BQ18" s="2761">
        <f t="shared" ca="1" si="39"/>
        <v>1.597267906512681E-3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0.10267110179493692</v>
      </c>
    </row>
    <row r="19" spans="1:112" s="6" customFormat="1" ht="15.5">
      <c r="A19" s="4"/>
      <c r="B19" s="3"/>
      <c r="C19" s="607" t="s">
        <v>465</v>
      </c>
      <c r="D19" s="608" t="s">
        <v>82</v>
      </c>
      <c r="E19" s="201"/>
      <c r="G19" s="609">
        <f ca="1">G17+G18</f>
        <v>0</v>
      </c>
      <c r="H19" s="609">
        <f t="shared" ref="H19:P19" ca="1" si="43">H17+H18</f>
        <v>11.025746017808913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11.025746017808913</v>
      </c>
      <c r="S19" s="572">
        <f ca="1">S17+S18</f>
        <v>-10.085939097403068</v>
      </c>
      <c r="T19" s="572">
        <f t="shared" ref="T19:AJ19" ca="1" si="44">T17+T18</f>
        <v>0</v>
      </c>
      <c r="U19" s="572">
        <f t="shared" ca="1" si="44"/>
        <v>0</v>
      </c>
      <c r="V19" s="572">
        <f t="shared" ca="1" si="44"/>
        <v>0</v>
      </c>
      <c r="W19" s="572">
        <f t="shared" ca="1" si="44"/>
        <v>-0.93980692040584368</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-11.025746017808912</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0.19239840051378881</v>
      </c>
      <c r="BP19" s="2759">
        <f t="shared" ca="1" si="46"/>
        <v>7.1049403182681797E-5</v>
      </c>
      <c r="BQ19" s="2759">
        <f t="shared" ca="1" si="46"/>
        <v>3.0415911172014722E-3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0.19551104103417297</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33.48497483073271</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33.48497483073271</v>
      </c>
      <c r="S21" s="611">
        <f t="shared" ref="S21:AJ21" ca="1" si="48">IFERROR(INDEX(INDIRECT($C21&amp;".Outputs["&amp;this.Year&amp;"]"), MATCH(S$5, INDIRECT($C21&amp;".Outputs[Vector]"), 0)), 0)</f>
        <v>-11.969042561658595</v>
      </c>
      <c r="T21" s="611">
        <f t="shared" ca="1" si="48"/>
        <v>0</v>
      </c>
      <c r="U21" s="611">
        <f t="shared" ca="1" si="48"/>
        <v>-4.0068592429233831</v>
      </c>
      <c r="V21" s="611">
        <f t="shared" ca="1" si="48"/>
        <v>-8.1812077789593189</v>
      </c>
      <c r="W21" s="611">
        <f t="shared" ca="1" si="48"/>
        <v>-9.3278652471914132</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-33.48497483073271</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5.4212743096130831</v>
      </c>
      <c r="BP21" s="2761">
        <f t="shared" ca="1" si="51"/>
        <v>2.7727275280911502E-3</v>
      </c>
      <c r="BQ21" s="2761">
        <f t="shared" ca="1" si="51"/>
        <v>3.7902667272352697E-2</v>
      </c>
      <c r="BR21" s="2761">
        <f t="shared" ca="1" si="51"/>
        <v>0</v>
      </c>
      <c r="BS21" s="2761">
        <f t="shared" ca="1" si="51"/>
        <v>0</v>
      </c>
      <c r="BT21" s="2761">
        <f t="shared" ca="1" si="51"/>
        <v>0</v>
      </c>
      <c r="BU21" s="2761">
        <f t="shared" ca="1" si="51"/>
        <v>0</v>
      </c>
      <c r="BV21" s="2761">
        <f t="shared" ca="1" si="51"/>
        <v>0</v>
      </c>
      <c r="BW21" s="2761">
        <f t="shared" ca="1" si="51"/>
        <v>1.4319566028436053</v>
      </c>
      <c r="BX21" s="2761">
        <f t="shared" ca="1" si="51"/>
        <v>0</v>
      </c>
      <c r="BY21" s="2761">
        <f t="shared" ca="1" si="51"/>
        <v>0</v>
      </c>
      <c r="BZ21" s="2761">
        <f t="shared" ca="1" si="51"/>
        <v>1.1046988458234654</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7.9986051530805984</v>
      </c>
    </row>
    <row r="22" spans="1:112" s="6" customFormat="1" ht="15.5">
      <c r="A22" s="4"/>
      <c r="B22" s="3"/>
      <c r="C22" s="607" t="s">
        <v>468</v>
      </c>
      <c r="D22" s="608" t="s">
        <v>359</v>
      </c>
      <c r="E22" s="201"/>
      <c r="G22" s="609">
        <f ca="1">G21</f>
        <v>0</v>
      </c>
      <c r="H22" s="609">
        <f t="shared" ref="H22:P22" ca="1" si="52">H21</f>
        <v>0</v>
      </c>
      <c r="I22" s="609">
        <f t="shared" ca="1" si="52"/>
        <v>33.48497483073271</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33.48497483073271</v>
      </c>
      <c r="S22" s="572">
        <f t="shared" ref="S22:AJ22" ca="1" si="53">S21</f>
        <v>-11.969042561658595</v>
      </c>
      <c r="T22" s="572">
        <f t="shared" ca="1" si="53"/>
        <v>0</v>
      </c>
      <c r="U22" s="572">
        <f t="shared" ca="1" si="53"/>
        <v>-4.0068592429233831</v>
      </c>
      <c r="V22" s="572">
        <f t="shared" ca="1" si="53"/>
        <v>-8.1812077789593189</v>
      </c>
      <c r="W22" s="572">
        <f t="shared" ca="1" si="53"/>
        <v>-9.3278652471914132</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-33.48497483073271</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5.4212743096130831</v>
      </c>
      <c r="BP22" s="2759">
        <f t="shared" ca="1" si="55"/>
        <v>2.7727275280911502E-3</v>
      </c>
      <c r="BQ22" s="2759">
        <f t="shared" ca="1" si="55"/>
        <v>3.7902667272352697E-2</v>
      </c>
      <c r="BR22" s="2759">
        <f t="shared" ca="1" si="55"/>
        <v>0</v>
      </c>
      <c r="BS22" s="2759">
        <f t="shared" ca="1" si="55"/>
        <v>0</v>
      </c>
      <c r="BT22" s="2759">
        <f t="shared" ca="1" si="55"/>
        <v>0</v>
      </c>
      <c r="BU22" s="2759">
        <f t="shared" ca="1" si="55"/>
        <v>0</v>
      </c>
      <c r="BV22" s="2759">
        <f t="shared" ca="1" si="55"/>
        <v>0</v>
      </c>
      <c r="BW22" s="2759">
        <f t="shared" ca="1" si="55"/>
        <v>1.4319566028436053</v>
      </c>
      <c r="BX22" s="2759">
        <f t="shared" ca="1" si="55"/>
        <v>0</v>
      </c>
      <c r="BY22" s="2759">
        <f t="shared" ca="1" si="55"/>
        <v>0</v>
      </c>
      <c r="BZ22" s="2759">
        <f t="shared" ca="1" si="55"/>
        <v>1.1046988458234654</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7.9986051530805984</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24.459915681214994</v>
      </c>
      <c r="K24" s="580">
        <f t="shared" ca="1" si="56"/>
        <v>0.55457001094209124</v>
      </c>
      <c r="L24" s="580">
        <f t="shared" ca="1" si="56"/>
        <v>2.8092836249242522E-2</v>
      </c>
      <c r="M24" s="580">
        <f t="shared" ca="1" si="56"/>
        <v>0</v>
      </c>
      <c r="N24" s="580">
        <f t="shared" ca="1" si="56"/>
        <v>0</v>
      </c>
      <c r="O24" s="580">
        <f t="shared" ca="1" si="56"/>
        <v>0</v>
      </c>
      <c r="P24" s="580">
        <f t="shared" ca="1" si="56"/>
        <v>0</v>
      </c>
      <c r="Q24" s="581">
        <f t="shared" ref="Q24:Q32" ca="1" si="57">SUM(G24:P24)</f>
        <v>25.042578528406327</v>
      </c>
      <c r="S24" s="582">
        <f t="shared" ref="S24:AJ30" ca="1" si="58">IFERROR(INDEX(INDIRECT($C24&amp;".Outputs["&amp;this.Year&amp;"]"), MATCH(S$5, INDIRECT($C24&amp;".Outputs[Vector]"), 0)), 0)</f>
        <v>-0.56988402892402579</v>
      </c>
      <c r="T24" s="582">
        <f t="shared" ca="1" si="58"/>
        <v>0</v>
      </c>
      <c r="U24" s="582">
        <f t="shared" ca="1" si="58"/>
        <v>0</v>
      </c>
      <c r="V24" s="582">
        <f t="shared" ca="1" si="58"/>
        <v>-24.472694499482305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-25.042578528406331</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-3.5527136788005009E-15</v>
      </c>
      <c r="BM24" s="601"/>
      <c r="BN24" s="404"/>
      <c r="BO24" s="2758">
        <f t="shared" ref="BO24:BX27" ca="1" si="66">IFERROR(SUMIFS(INDIRECT($C24&amp;".Emissions["&amp;this.Year&amp;"]"), INDIRECT($C24&amp;".Emissions[GHG]"), BO$6, INDIRECT($C24&amp;".Emissions[IPCC Sector]"), BO$5),0)</f>
        <v>6.4578546245233897</v>
      </c>
      <c r="BP24" s="2759">
        <f t="shared" ca="1" si="66"/>
        <v>5.5504071124825869E-3</v>
      </c>
      <c r="BQ24" s="2759">
        <f t="shared" ca="1" si="66"/>
        <v>1.6386916236853351E-2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6.4797919478727257</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19.831145853568326</v>
      </c>
      <c r="K25" s="580">
        <f t="shared" ca="1" si="56"/>
        <v>5.7465687617253951E-3</v>
      </c>
      <c r="L25" s="580">
        <f t="shared" ca="1" si="56"/>
        <v>0</v>
      </c>
      <c r="M25" s="580">
        <f t="shared" ca="1" si="56"/>
        <v>0.66</v>
      </c>
      <c r="N25" s="580">
        <f t="shared" ca="1" si="56"/>
        <v>0</v>
      </c>
      <c r="O25" s="580">
        <f t="shared" ca="1" si="56"/>
        <v>0</v>
      </c>
      <c r="P25" s="580">
        <f t="shared" ca="1" si="56"/>
        <v>0</v>
      </c>
      <c r="Q25" s="581">
        <f t="shared" ca="1" si="57"/>
        <v>20.496892422330053</v>
      </c>
      <c r="S25" s="582">
        <f t="shared" ca="1" si="58"/>
        <v>-0.13460763047622651</v>
      </c>
      <c r="T25" s="582">
        <f t="shared" ca="1" si="58"/>
        <v>0</v>
      </c>
      <c r="U25" s="582">
        <f t="shared" ca="1" si="58"/>
        <v>0</v>
      </c>
      <c r="V25" s="582">
        <f t="shared" ca="1" si="58"/>
        <v>-20.362284791853824</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-20.496892422330049</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3.8572452541096531</v>
      </c>
      <c r="BP25" s="2759">
        <f t="shared" ca="1" si="66"/>
        <v>3.3152312552374927E-3</v>
      </c>
      <c r="BQ25" s="2759">
        <f t="shared" ca="1" si="66"/>
        <v>9.7878256107011685E-3</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3.8703483109755918</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8.7186093571046239</v>
      </c>
      <c r="O26" s="580">
        <f t="shared" ca="1" si="56"/>
        <v>0</v>
      </c>
      <c r="P26" s="580">
        <f t="shared" ca="1" si="56"/>
        <v>0</v>
      </c>
      <c r="Q26" s="581">
        <f t="shared" ca="1" si="57"/>
        <v>8.7186093571046239</v>
      </c>
      <c r="S26" s="582">
        <f t="shared" ca="1" si="58"/>
        <v>0</v>
      </c>
      <c r="T26" s="582">
        <f t="shared" ca="1" si="58"/>
        <v>0</v>
      </c>
      <c r="U26" s="582">
        <f t="shared" ca="1" si="58"/>
        <v>0</v>
      </c>
      <c r="V26" s="582">
        <f t="shared" ca="1" si="58"/>
        <v>-8.7186093571046239</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-8.7186093571046239</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2.3006666371527675</v>
      </c>
      <c r="CV26" s="2759">
        <f t="shared" ca="1" si="69"/>
        <v>1.9773806021913289E-3</v>
      </c>
      <c r="CW26" s="2759">
        <f t="shared" ca="1" si="69"/>
        <v>5.8379808255172565E-3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2.3084819985804761</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8.7186093571046239</v>
      </c>
      <c r="O28" s="581">
        <f ca="1">SUM(O26:O27)</f>
        <v>0</v>
      </c>
      <c r="P28" s="581">
        <f t="shared" ca="1" si="70"/>
        <v>0</v>
      </c>
      <c r="Q28" s="581">
        <f t="shared" ca="1" si="57"/>
        <v>8.7186093571046239</v>
      </c>
      <c r="S28" s="583">
        <f t="shared" ref="S28:AJ28" ca="1" si="71">SUM(S26:S27)</f>
        <v>0</v>
      </c>
      <c r="T28" s="583">
        <f t="shared" ca="1" si="71"/>
        <v>0</v>
      </c>
      <c r="U28" s="583">
        <f t="shared" ca="1" si="71"/>
        <v>0</v>
      </c>
      <c r="V28" s="583">
        <f t="shared" ca="1" si="71"/>
        <v>-8.7186093571046239</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-8.7186093571046239</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2.3006666371527675</v>
      </c>
      <c r="CV28" s="2759">
        <f t="shared" ca="1" si="73"/>
        <v>1.9773806021913289E-3</v>
      </c>
      <c r="CW28" s="2759">
        <f t="shared" ca="1" si="73"/>
        <v>5.8379808255172565E-3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2.3084819985804761</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44.291061534783324</v>
      </c>
      <c r="K32" s="609">
        <f t="shared" ca="1" si="85"/>
        <v>0.56031657970381665</v>
      </c>
      <c r="L32" s="609">
        <f t="shared" ca="1" si="85"/>
        <v>2.8092836249242522E-2</v>
      </c>
      <c r="M32" s="609">
        <f t="shared" ca="1" si="85"/>
        <v>0.66</v>
      </c>
      <c r="N32" s="609">
        <f t="shared" ca="1" si="85"/>
        <v>8.7186093571046239</v>
      </c>
      <c r="O32" s="609">
        <f t="shared" ca="1" si="85"/>
        <v>0</v>
      </c>
      <c r="P32" s="609">
        <f t="shared" ca="1" si="85"/>
        <v>0</v>
      </c>
      <c r="Q32" s="609">
        <f t="shared" ca="1" si="57"/>
        <v>54.258080307841006</v>
      </c>
      <c r="S32" s="572">
        <f t="shared" ref="S32:AJ32" ca="1" si="86">S24+S25+S28+S31</f>
        <v>-0.70449165940025227</v>
      </c>
      <c r="T32" s="572">
        <f t="shared" ca="1" si="86"/>
        <v>0</v>
      </c>
      <c r="U32" s="572">
        <f t="shared" ca="1" si="86"/>
        <v>0</v>
      </c>
      <c r="V32" s="572">
        <f t="shared" ca="1" si="86"/>
        <v>-53.553588648440751</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-54.258080307841006</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10.315099878633042</v>
      </c>
      <c r="BP32" s="2759">
        <f t="shared" ca="1" si="88"/>
        <v>8.8656383677200787E-3</v>
      </c>
      <c r="BQ32" s="2759">
        <f t="shared" ca="1" si="88"/>
        <v>2.6174741847554521E-2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2.3006666371527675</v>
      </c>
      <c r="CV32" s="2759">
        <f t="shared" ca="1" si="88"/>
        <v>1.9773806021913289E-3</v>
      </c>
      <c r="CW32" s="2759">
        <f t="shared" ca="1" si="88"/>
        <v>5.8379808255172565E-3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12.658622257428792</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41.868828503935063</v>
      </c>
      <c r="H40" s="624">
        <f t="shared" ca="1" si="107"/>
        <v>11.025746017808913</v>
      </c>
      <c r="I40" s="624">
        <f t="shared" ca="1" si="107"/>
        <v>33.48497483073271</v>
      </c>
      <c r="J40" s="624">
        <f t="shared" ca="1" si="107"/>
        <v>44.291061534783324</v>
      </c>
      <c r="K40" s="624">
        <f t="shared" ca="1" si="107"/>
        <v>0.56031657970381665</v>
      </c>
      <c r="L40" s="624">
        <f t="shared" ca="1" si="107"/>
        <v>2.8092836249242522E-2</v>
      </c>
      <c r="M40" s="624">
        <f t="shared" ca="1" si="107"/>
        <v>0.66</v>
      </c>
      <c r="N40" s="624">
        <f t="shared" ca="1" si="107"/>
        <v>8.7186093571046239</v>
      </c>
      <c r="O40" s="624">
        <f t="shared" ca="1" si="107"/>
        <v>0</v>
      </c>
      <c r="P40" s="624">
        <f t="shared" ca="1" si="107"/>
        <v>0</v>
      </c>
      <c r="Q40" s="624">
        <f t="shared" ca="1" si="107"/>
        <v>140.63762966031769</v>
      </c>
      <c r="S40" s="625">
        <f t="shared" ref="S40:AJ40" ca="1" si="108">S$15+S$19+S$22+S$32+S$35+S$38</f>
        <v>-29.015392135708414</v>
      </c>
      <c r="T40" s="625">
        <f t="shared" ca="1" si="108"/>
        <v>0</v>
      </c>
      <c r="U40" s="625">
        <f t="shared" ca="1" si="108"/>
        <v>-4.4561064330205333</v>
      </c>
      <c r="V40" s="625">
        <f t="shared" ca="1" si="108"/>
        <v>-71.810078870925054</v>
      </c>
      <c r="W40" s="625">
        <f t="shared" ca="1" si="108"/>
        <v>-34.848001255109615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-7.0129937567812564E-2</v>
      </c>
      <c r="AJ40" s="625">
        <f t="shared" ca="1" si="108"/>
        <v>0</v>
      </c>
      <c r="AK40" s="625">
        <f ca="1">SUM(S40:AJ40)</f>
        <v>-140.19970863233141</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-0.43792102798625754</v>
      </c>
      <c r="BD40" s="626">
        <f t="shared" ca="1" si="109"/>
        <v>0</v>
      </c>
      <c r="BE40" s="626">
        <f t="shared" ca="1" si="109"/>
        <v>0</v>
      </c>
      <c r="BF40" s="626">
        <f ca="1">SUM(AM40:BE40)</f>
        <v>-0.43792102798625754</v>
      </c>
      <c r="BH40" s="3432">
        <f ca="1">BH$15+BH$19+BH$22+BH$32+BH$35+BH$38</f>
        <v>0</v>
      </c>
      <c r="BI40" s="3432">
        <f ca="1">BI$15+BI$19+BI$22+BI$32+BI$35+BI$38</f>
        <v>0</v>
      </c>
      <c r="BJ40" s="3432">
        <f ca="1">SUM(BH40:BI40)</f>
        <v>0</v>
      </c>
      <c r="BL40" s="3446">
        <f t="shared" ca="1" si="10"/>
        <v>1.9984014443252818E-14</v>
      </c>
      <c r="BM40" s="627"/>
      <c r="BO40" s="2762">
        <f t="shared" ref="BO40:DF40" ca="1" si="110">BO$15+BO$19+BO$22+BO$32+BO$35+BO$38</f>
        <v>23.771228501661575</v>
      </c>
      <c r="BP40" s="2762">
        <f t="shared" ca="1" si="110"/>
        <v>1.5876536397501251E-2</v>
      </c>
      <c r="BQ40" s="2762">
        <f t="shared" ca="1" si="110"/>
        <v>0.15366786635219221</v>
      </c>
      <c r="BR40" s="2762">
        <f t="shared" ca="1" si="110"/>
        <v>0</v>
      </c>
      <c r="BS40" s="2762">
        <f t="shared" ca="1" si="110"/>
        <v>0</v>
      </c>
      <c r="BT40" s="2762">
        <f t="shared" ca="1" si="110"/>
        <v>0</v>
      </c>
      <c r="BU40" s="2762">
        <f t="shared" ca="1" si="110"/>
        <v>0</v>
      </c>
      <c r="BV40" s="2762">
        <f t="shared" ca="1" si="110"/>
        <v>0</v>
      </c>
      <c r="BW40" s="2762">
        <f t="shared" ca="1" si="110"/>
        <v>1.4319566028436053</v>
      </c>
      <c r="BX40" s="2762">
        <f t="shared" ca="1" si="110"/>
        <v>0</v>
      </c>
      <c r="BY40" s="2762">
        <f t="shared" ca="1" si="110"/>
        <v>0</v>
      </c>
      <c r="BZ40" s="2762">
        <f t="shared" ca="1" si="110"/>
        <v>1.1046988458234654</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2.3006666371527675</v>
      </c>
      <c r="CV40" s="2762">
        <f t="shared" ca="1" si="110"/>
        <v>1.9773806021913289E-3</v>
      </c>
      <c r="CW40" s="2762">
        <f t="shared" ca="1" si="110"/>
        <v>5.8379808255172565E-3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28.785910351658814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0.24531818181818182</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0.42147527031385951</v>
      </c>
      <c r="AG49" s="582">
        <f t="shared" ca="1" si="122"/>
        <v>4.6875896E-2</v>
      </c>
      <c r="AH49" s="582">
        <f t="shared" ca="1" si="122"/>
        <v>0.13763675658837954</v>
      </c>
      <c r="AI49" s="582">
        <f t="shared" ca="1" si="122"/>
        <v>0</v>
      </c>
      <c r="AJ49" s="582">
        <f t="shared" ca="1" si="122"/>
        <v>0</v>
      </c>
      <c r="AK49" s="583">
        <f ca="1">SUM(S49:AJ49)</f>
        <v>0.8513061047204209</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-0.85130610472042079</v>
      </c>
      <c r="BF49" s="600">
        <f ca="1">SUM(AM49:BE49)</f>
        <v>-0.85130610472042079</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0.64378066564223779</v>
      </c>
      <c r="CO49" s="2759">
        <f t="shared" ca="1" si="129"/>
        <v>5.862786428571428E-2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0.70240852992795211</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2.9067301345104264</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2.9067301345104264</v>
      </c>
      <c r="S50" s="611">
        <f t="shared" ref="S50:AJ50" ca="1" si="132">IFERROR(INDEX(INDIRECT($C50&amp;".Outputs["&amp;this.Year&amp;"]"), MATCH(S$5, INDIRECT($C50&amp;".Outputs[Vector]"), 0)), 0)</f>
        <v>-0.61041332824718952</v>
      </c>
      <c r="T50" s="611">
        <f t="shared" ca="1" si="132"/>
        <v>0</v>
      </c>
      <c r="U50" s="611">
        <f t="shared" ca="1" si="132"/>
        <v>0</v>
      </c>
      <c r="V50" s="611">
        <f t="shared" ca="1" si="132"/>
        <v>-2.2963168062632371</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0.17693658852519345</v>
      </c>
      <c r="AE50" s="611">
        <f t="shared" ca="1" si="132"/>
        <v>0.18407416485458214</v>
      </c>
      <c r="AF50" s="611">
        <f t="shared" ca="1" si="132"/>
        <v>2.0522763558558546</v>
      </c>
      <c r="AG50" s="611">
        <f t="shared" ca="1" si="132"/>
        <v>0.31398072739086302</v>
      </c>
      <c r="AH50" s="611">
        <f t="shared" ca="1" si="132"/>
        <v>0</v>
      </c>
      <c r="AI50" s="611">
        <f t="shared" ca="1" si="132"/>
        <v>0</v>
      </c>
      <c r="AJ50" s="611">
        <f t="shared" ca="1" si="132"/>
        <v>0</v>
      </c>
      <c r="AK50" s="604">
        <f ca="1">SUM(S50:AJ50)</f>
        <v>-0.17946229788393309</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-0.36101075337977562</v>
      </c>
      <c r="BE50" s="612">
        <f t="shared" ca="1" si="133"/>
        <v>-2.3662570832467176</v>
      </c>
      <c r="BF50" s="606">
        <f ca="1">SUM(AM50:BE50)</f>
        <v>-2.7272678366264933</v>
      </c>
      <c r="BH50" s="3441">
        <f t="shared" ca="1" si="126"/>
        <v>0</v>
      </c>
      <c r="BI50" s="3441">
        <f t="shared" ca="1" si="126"/>
        <v>0</v>
      </c>
      <c r="BJ50" s="3430">
        <f ca="1">SUM(BH50:BI50)</f>
        <v>0</v>
      </c>
      <c r="BL50" s="601">
        <f ca="1">Q50+AK50+BF50+BJ50</f>
        <v>0</v>
      </c>
      <c r="BM50" s="601"/>
      <c r="BN50" s="404"/>
      <c r="BO50" s="2760">
        <f t="shared" ca="1" si="127"/>
        <v>0.60595207883674285</v>
      </c>
      <c r="BP50" s="2761">
        <f t="shared" ca="1" si="127"/>
        <v>5.2080465166050218E-4</v>
      </c>
      <c r="BQ50" s="2761">
        <f t="shared" ca="1" si="127"/>
        <v>1.5376137334738636E-3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10.585032610105074</v>
      </c>
      <c r="CG50" s="2761">
        <f t="shared" ca="1" si="128"/>
        <v>5.6603978384106233</v>
      </c>
      <c r="CH50" s="2761">
        <f t="shared" ca="1" si="128"/>
        <v>0</v>
      </c>
      <c r="CI50" s="2761">
        <f t="shared" ca="1" si="129"/>
        <v>3.1678875815691661</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20.021328527306739</v>
      </c>
    </row>
    <row r="51" spans="1:112" s="6" customFormat="1" ht="15.5">
      <c r="A51" s="4"/>
      <c r="B51" s="3"/>
      <c r="C51" s="607" t="s">
        <v>503</v>
      </c>
      <c r="D51" s="608" t="s">
        <v>504</v>
      </c>
      <c r="E51" s="201"/>
      <c r="G51" s="609">
        <f ca="1">SUM(G48:G50)</f>
        <v>0</v>
      </c>
      <c r="H51" s="609">
        <f t="shared" ref="H51:P51" ca="1" si="134">SUM(H48:H50)</f>
        <v>0</v>
      </c>
      <c r="I51" s="609">
        <f t="shared" ca="1" si="134"/>
        <v>2.9067301345104264</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2.9067301345104264</v>
      </c>
      <c r="S51" s="572">
        <f t="shared" ref="S51:AJ51" ca="1" si="135">SUM(S48:S50)</f>
        <v>-0.61041332824718952</v>
      </c>
      <c r="T51" s="572">
        <f t="shared" ca="1" si="135"/>
        <v>0</v>
      </c>
      <c r="U51" s="572">
        <f t="shared" ca="1" si="135"/>
        <v>0</v>
      </c>
      <c r="V51" s="572">
        <f t="shared" ca="1" si="135"/>
        <v>-2.2963168062632371</v>
      </c>
      <c r="W51" s="572">
        <f t="shared" ca="1" si="135"/>
        <v>0</v>
      </c>
      <c r="X51" s="572">
        <f t="shared" ca="1" si="135"/>
        <v>0.24531818181818182</v>
      </c>
      <c r="Y51" s="572">
        <f t="shared" ca="1" si="135"/>
        <v>0</v>
      </c>
      <c r="Z51" s="572">
        <f t="shared" ca="1" si="135"/>
        <v>0</v>
      </c>
      <c r="AA51" s="572">
        <f t="shared" ca="1" si="135"/>
        <v>0</v>
      </c>
      <c r="AB51" s="572">
        <f t="shared" ca="1" si="135"/>
        <v>0</v>
      </c>
      <c r="AC51" s="572">
        <f t="shared" ca="1" si="135"/>
        <v>0</v>
      </c>
      <c r="AD51" s="572">
        <f t="shared" ca="1" si="135"/>
        <v>0.17693658852519345</v>
      </c>
      <c r="AE51" s="572">
        <f ca="1">SUM(AE48:AE50)</f>
        <v>0.18407416485458214</v>
      </c>
      <c r="AF51" s="572">
        <f t="shared" ca="1" si="135"/>
        <v>2.4737516261697139</v>
      </c>
      <c r="AG51" s="572">
        <f t="shared" ca="1" si="135"/>
        <v>0.360856623390863</v>
      </c>
      <c r="AH51" s="572">
        <f ca="1">SUM(AH48:AH50)</f>
        <v>0.13763675658837954</v>
      </c>
      <c r="AI51" s="572">
        <f t="shared" ca="1" si="135"/>
        <v>0</v>
      </c>
      <c r="AJ51" s="572">
        <f t="shared" ca="1" si="135"/>
        <v>0</v>
      </c>
      <c r="AK51" s="572">
        <f ca="1">SUM(S51:AJ51)</f>
        <v>0.67184380683648781</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-0.36101075337977562</v>
      </c>
      <c r="BE51" s="573">
        <f t="shared" ca="1" si="136"/>
        <v>-3.2175631879671385</v>
      </c>
      <c r="BF51" s="573">
        <f ca="1">SUM(AM51:BE51)</f>
        <v>-3.5785739413469142</v>
      </c>
      <c r="BH51" s="3431">
        <f ca="1">SUM(BH48:BH50)</f>
        <v>0</v>
      </c>
      <c r="BI51" s="3431">
        <f ca="1">SUM(BI48:BI50)</f>
        <v>0</v>
      </c>
      <c r="BJ51" s="3431">
        <f ca="1">SUM(BH51:BI51)</f>
        <v>0</v>
      </c>
      <c r="BL51" s="3445">
        <f ca="1">Q51+AK51+BF51+BJ51</f>
        <v>0</v>
      </c>
      <c r="BM51" s="575"/>
      <c r="BN51" s="404"/>
      <c r="BO51" s="2759">
        <f t="shared" ref="BO51:DF51" ca="1" si="137">SUM(BO48:BO50)</f>
        <v>0.60595207883674285</v>
      </c>
      <c r="BP51" s="2759">
        <f t="shared" ca="1" si="137"/>
        <v>5.2080465166050218E-4</v>
      </c>
      <c r="BQ51" s="2759">
        <f t="shared" ca="1" si="137"/>
        <v>1.5376137334738636E-3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10.585032610105074</v>
      </c>
      <c r="CG51" s="2759">
        <f t="shared" ca="1" si="137"/>
        <v>5.6603978384106233</v>
      </c>
      <c r="CH51" s="2759">
        <f t="shared" ca="1" si="137"/>
        <v>0</v>
      </c>
      <c r="CI51" s="2759">
        <f t="shared" ca="1" si="137"/>
        <v>3.1678875815691661</v>
      </c>
      <c r="CJ51" s="2759">
        <f t="shared" ca="1" si="137"/>
        <v>0</v>
      </c>
      <c r="CK51" s="2759">
        <f t="shared" ca="1" si="137"/>
        <v>0</v>
      </c>
      <c r="CL51" s="2759">
        <f t="shared" ca="1" si="137"/>
        <v>0</v>
      </c>
      <c r="CM51" s="2759">
        <f t="shared" ca="1" si="137"/>
        <v>0</v>
      </c>
      <c r="CN51" s="2759">
        <f t="shared" ca="1" si="137"/>
        <v>0.64378066564223779</v>
      </c>
      <c r="CO51" s="2759">
        <f t="shared" ca="1" si="137"/>
        <v>5.862786428571428E-2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20.72373705723469</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1.1378267999999998</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1.1378267999999998</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-1.1378267999999998</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-1.1378267999999998</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0.50632416000000002</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0.50632416000000002</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-0.50632416000000002</v>
      </c>
      <c r="BC59" s="584">
        <f t="shared" ca="1" si="158"/>
        <v>0</v>
      </c>
      <c r="BD59" s="584">
        <f t="shared" ca="1" si="158"/>
        <v>0</v>
      </c>
      <c r="BE59" s="584">
        <f t="shared" ca="1" si="158"/>
        <v>0</v>
      </c>
      <c r="BF59" s="600">
        <f t="shared" ca="1" si="159"/>
        <v>-0.50632416000000002</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1.6571684699999998</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1.6571684699999998</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-1.1378267999999998</v>
      </c>
      <c r="AY63" s="573">
        <f t="shared" ca="1" si="168"/>
        <v>0</v>
      </c>
      <c r="AZ63" s="573">
        <f t="shared" ca="1" si="168"/>
        <v>-1.3017510000000001E-2</v>
      </c>
      <c r="BA63" s="573">
        <f t="shared" ca="1" si="168"/>
        <v>0</v>
      </c>
      <c r="BB63" s="573">
        <f t="shared" ca="1" si="168"/>
        <v>-0.50632416000000002</v>
      </c>
      <c r="BC63" s="573">
        <f t="shared" ca="1" si="168"/>
        <v>0</v>
      </c>
      <c r="BD63" s="573">
        <f t="shared" ca="1" si="168"/>
        <v>0</v>
      </c>
      <c r="BE63" s="573">
        <f t="shared" ca="1" si="168"/>
        <v>0</v>
      </c>
      <c r="BF63" s="573">
        <f t="shared" ca="1" si="159"/>
        <v>-1.6571684699999998</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5.0092812548437546E-3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5.0092812548437546E-3</v>
      </c>
      <c r="S66" s="651">
        <f t="shared" ca="1" si="171"/>
        <v>-5.0092812548437546E-3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7.0129937567812564E-2</v>
      </c>
      <c r="AJ66" s="651">
        <f t="shared" ca="1" si="171"/>
        <v>0</v>
      </c>
      <c r="AK66" s="652">
        <f ca="1">SUM(S66:AJ66)</f>
        <v>6.5120656312968817E-2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-7.0129937567812564E-2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-7.0129937567812564E-2</v>
      </c>
      <c r="BH66" s="654">
        <f t="shared" ca="1" si="175"/>
        <v>0</v>
      </c>
      <c r="BI66" s="654">
        <f t="shared" ca="1" si="175"/>
        <v>0</v>
      </c>
      <c r="BJ66" s="655">
        <f ca="1">SUM(BH66:BI66)</f>
        <v>0</v>
      </c>
      <c r="BL66" s="601">
        <f t="shared" ca="1" si="176"/>
        <v>1.3877787807814457E-17</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5.0092812548437546E-3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5.0092812548437546E-3</v>
      </c>
      <c r="S68" s="572">
        <f t="shared" ref="S68:AJ68" ca="1" si="179">SUM(S65:S67)</f>
        <v>-5.0092812548437546E-3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7.0129937567812564E-2</v>
      </c>
      <c r="AJ68" s="572">
        <f t="shared" ca="1" si="179"/>
        <v>0</v>
      </c>
      <c r="AK68" s="572">
        <f ca="1">SUM(S68:AJ68)</f>
        <v>6.5120656312968817E-2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-7.0129937567812564E-2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-7.0129937567812564E-2</v>
      </c>
      <c r="BH68" s="3431">
        <f ca="1">SUM(BH65:BH67)</f>
        <v>0</v>
      </c>
      <c r="BI68" s="3431">
        <f ca="1">SUM(BI65:BI67)</f>
        <v>0</v>
      </c>
      <c r="BJ68" s="3431">
        <f ca="1">SUM(BH68:BI68)</f>
        <v>0</v>
      </c>
      <c r="BL68" s="3445">
        <f t="shared" ca="1" si="176"/>
        <v>1.3877787807814457E-17</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-29.856802850034068</v>
      </c>
      <c r="T74" s="662">
        <f ca="1">T$40+T$46+T$51+T$99+T$55+T$93+T$63+T$68+T$72</f>
        <v>-1.6108806150792794</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-29.856802850034068</v>
      </c>
      <c r="T78" s="662">
        <f ca="1">T$74+T$76</f>
        <v>-1.6108806150792794</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-29.856802850034068</v>
      </c>
      <c r="T80" s="636">
        <f ca="1">T78+T79</f>
        <v>-1.6108806150792794</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31.467683465113346</v>
      </c>
      <c r="U81" s="611">
        <f t="shared" ca="1" si="207"/>
        <v>-13.022368868571434</v>
      </c>
      <c r="V81" s="611">
        <f t="shared" ca="1" si="207"/>
        <v>0</v>
      </c>
      <c r="W81" s="611">
        <f t="shared" ca="1" si="207"/>
        <v>-50.151743269846563</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-31.70642867330465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31.032824236002384</v>
      </c>
      <c r="BI81" s="3441">
        <f ca="1">IFERROR(INDEX(INDIRECT($C81&amp;".Outputs["&amp;this.Year&amp;"]"), MATCH(BI$5, INDIRECT($C81&amp;".Outputs[Vector]"), 0)), 0)</f>
        <v>0.67360443730226705</v>
      </c>
      <c r="BJ81" s="3430">
        <f ca="1">SUM(BH81:BI81)</f>
        <v>31.70642867330465</v>
      </c>
      <c r="BK81" s="6"/>
      <c r="BL81" s="601">
        <f t="shared" ca="1" si="191"/>
        <v>0</v>
      </c>
      <c r="BM81" s="601"/>
      <c r="BN81" s="404"/>
      <c r="BO81" s="2760">
        <f t="shared" ref="BO81:DF81" ca="1" si="210">IFERROR(SUMIFS(INDIRECT($C81&amp;".Emissions["&amp;this.Year&amp;"]"), INDIRECT($C81&amp;".Emissions[GHG]"), BO$6, INDIRECT($C81&amp;".Emissions[IPCC Sector]"), BO$5),0)</f>
        <v>14.883600666941904</v>
      </c>
      <c r="BP81" s="2761">
        <f t="shared" ca="1" si="210"/>
        <v>4.5495299277776811E-3</v>
      </c>
      <c r="BQ81" s="2761">
        <f t="shared" ca="1" si="210"/>
        <v>0.17030423193006056</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15.058454428799742</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31.467683465113346</v>
      </c>
      <c r="U82" s="572">
        <f t="shared" ca="1" si="212"/>
        <v>-13.022368868571434</v>
      </c>
      <c r="V82" s="572">
        <f t="shared" ca="1" si="212"/>
        <v>0</v>
      </c>
      <c r="W82" s="572">
        <f t="shared" ca="1" si="212"/>
        <v>-50.151743269846563</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-31.70642867330465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31.032824236002384</v>
      </c>
      <c r="BI82" s="3431">
        <f ca="1">BI79+BI81</f>
        <v>0.67360443730226705</v>
      </c>
      <c r="BJ82" s="3431">
        <f ca="1">SUM(BH82:BI82)</f>
        <v>31.70642867330465</v>
      </c>
      <c r="BL82" s="3445">
        <f t="shared" ca="1" si="191"/>
        <v>0</v>
      </c>
      <c r="BM82" s="575"/>
      <c r="BN82" s="404"/>
      <c r="BO82" s="2759">
        <f t="shared" ref="BO82:DF82" ca="1" si="214">BO79+BO81</f>
        <v>14.883600666941904</v>
      </c>
      <c r="BP82" s="2759">
        <f t="shared" ca="1" si="214"/>
        <v>4.5495299277776811E-3</v>
      </c>
      <c r="BQ82" s="2759">
        <f t="shared" ca="1" si="214"/>
        <v>0.17030423193006056</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15.058454428799742</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5.0092812548437546E-3</v>
      </c>
      <c r="I84" s="671">
        <f t="shared" ca="1" si="215"/>
        <v>2.9067301345104264</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2.9117394157652701</v>
      </c>
      <c r="S84" s="625">
        <f t="shared" ref="S84:AJ84" ca="1" si="216">S$51+S$55+S$63+S$68+S$72+S$76+S$82+S$46</f>
        <v>-0.84141071432565362</v>
      </c>
      <c r="T84" s="625">
        <f t="shared" ca="1" si="216"/>
        <v>33.121060792295573</v>
      </c>
      <c r="U84" s="625">
        <f t="shared" ca="1" si="216"/>
        <v>-13.022368868571434</v>
      </c>
      <c r="V84" s="625">
        <f t="shared" ca="1" si="216"/>
        <v>-4.1486026198521078</v>
      </c>
      <c r="W84" s="625">
        <f t="shared" ca="1" si="216"/>
        <v>-50.234145223095268</v>
      </c>
      <c r="X84" s="625">
        <f t="shared" ca="1" si="216"/>
        <v>0.24531818181818182</v>
      </c>
      <c r="Y84" s="625">
        <f t="shared" ca="1" si="216"/>
        <v>0</v>
      </c>
      <c r="Z84" s="625">
        <f t="shared" ca="1" si="216"/>
        <v>0</v>
      </c>
      <c r="AA84" s="625">
        <f t="shared" ca="1" si="216"/>
        <v>0</v>
      </c>
      <c r="AB84" s="625">
        <f t="shared" ca="1" si="216"/>
        <v>0</v>
      </c>
      <c r="AC84" s="625">
        <f t="shared" ca="1" si="216"/>
        <v>0</v>
      </c>
      <c r="AD84" s="625">
        <f t="shared" ca="1" si="216"/>
        <v>0.17693658852519345</v>
      </c>
      <c r="AE84" s="625">
        <f t="shared" ca="1" si="216"/>
        <v>0.18407416485458214</v>
      </c>
      <c r="AF84" s="625">
        <f t="shared" ca="1" si="216"/>
        <v>2.4737516261697139</v>
      </c>
      <c r="AG84" s="625">
        <f t="shared" ca="1" si="216"/>
        <v>0.360856623390863</v>
      </c>
      <c r="AH84" s="625">
        <f t="shared" ca="1" si="216"/>
        <v>0.13763675658837954</v>
      </c>
      <c r="AI84" s="625">
        <f t="shared" ca="1" si="216"/>
        <v>7.0129937567812564E-2</v>
      </c>
      <c r="AJ84" s="625">
        <f t="shared" ca="1" si="216"/>
        <v>0</v>
      </c>
      <c r="AK84" s="625">
        <f ca="1">SUM(S84:AJ84)</f>
        <v>-31.476762754634162</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-7.0129937567812564E-2</v>
      </c>
      <c r="AX84" s="626">
        <f t="shared" ca="1" si="217"/>
        <v>-1.1378267999999998</v>
      </c>
      <c r="AY84" s="626">
        <f t="shared" ca="1" si="217"/>
        <v>0</v>
      </c>
      <c r="AZ84" s="626">
        <f t="shared" ca="1" si="217"/>
        <v>-1.3017510000000001E-2</v>
      </c>
      <c r="BA84" s="626">
        <f t="shared" ca="1" si="217"/>
        <v>0</v>
      </c>
      <c r="BB84" s="626">
        <f t="shared" ca="1" si="217"/>
        <v>-0.50632416000000002</v>
      </c>
      <c r="BC84" s="626">
        <f t="shared" ca="1" si="217"/>
        <v>0</v>
      </c>
      <c r="BD84" s="626">
        <f t="shared" ca="1" si="217"/>
        <v>-0.36101075337977562</v>
      </c>
      <c r="BE84" s="626">
        <f t="shared" ca="1" si="217"/>
        <v>-3.2175631879671385</v>
      </c>
      <c r="BF84" s="626">
        <f ca="1">SUM(AM84:BE84)</f>
        <v>-5.3058723489147273</v>
      </c>
      <c r="BH84" s="3432">
        <f ca="1">BH$51+BH$55+BH$63+BH$68+BH$72+BH$76+BH$82+BH$46</f>
        <v>31.010077379095737</v>
      </c>
      <c r="BI84" s="3432">
        <f ca="1">BI$51+BI$55+BI$63+BI$68+BI$72+BI$76+BI$82+BI$46</f>
        <v>2.8608183086878816</v>
      </c>
      <c r="BJ84" s="3432">
        <f ca="1">SUM(BH84:BI84)</f>
        <v>33.870895687783616</v>
      </c>
      <c r="BL84" s="3446">
        <f t="shared" ca="1" si="191"/>
        <v>0</v>
      </c>
      <c r="BM84" s="627"/>
      <c r="BO84" s="2762">
        <f t="shared" ref="BO84:DE84" ca="1" si="218">BO$51+BO$55+BO$63+BO$68+BO$72+BO$76+BO$82+BO$46</f>
        <v>15.995203353019896</v>
      </c>
      <c r="BP84" s="2762">
        <f t="shared" ca="1" si="218"/>
        <v>5.4966625896257417E-3</v>
      </c>
      <c r="BQ84" s="2762">
        <f t="shared" ca="1" si="218"/>
        <v>0.17334882192580764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10.585032610105074</v>
      </c>
      <c r="CG84" s="2762">
        <f t="shared" ca="1" si="218"/>
        <v>5.6603978384106233</v>
      </c>
      <c r="CH84" s="2762">
        <f t="shared" ca="1" si="218"/>
        <v>0</v>
      </c>
      <c r="CI84" s="2762">
        <f t="shared" ca="1" si="218"/>
        <v>3.1678875815691661</v>
      </c>
      <c r="CJ84" s="2762">
        <f t="shared" ca="1" si="218"/>
        <v>0</v>
      </c>
      <c r="CK84" s="2762">
        <f t="shared" ca="1" si="218"/>
        <v>0</v>
      </c>
      <c r="CL84" s="2762">
        <f t="shared" ca="1" si="218"/>
        <v>0</v>
      </c>
      <c r="CM84" s="2762">
        <f t="shared" ca="1" si="218"/>
        <v>0</v>
      </c>
      <c r="CN84" s="2762">
        <f t="shared" ca="1" si="218"/>
        <v>0.64378066564223779</v>
      </c>
      <c r="CO84" s="2762">
        <f t="shared" ca="1" si="218"/>
        <v>5.862786428571428E-2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36.289775397548141</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1</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1</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-1</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-1</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-29.851793568779225</v>
      </c>
      <c r="T90" s="636">
        <f ca="1">T$40+$S46+T$51+T$99+T$55+T$89</f>
        <v>1</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-4.264257942261505</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-4.264257942261505</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4.2642579422615032</v>
      </c>
      <c r="BJ91" s="3428">
        <f ca="1">SUM(BH91:BI91)</f>
        <v>4.2642579422615032</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-3.264257942261505</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-3.264257942261505</v>
      </c>
      <c r="AL93" s="6"/>
      <c r="AM93" s="573">
        <f t="shared" ref="AM93:BE93" ca="1" si="236">AM$89+AM$91+AM$92</f>
        <v>0</v>
      </c>
      <c r="AN93" s="573">
        <f t="shared" ca="1" si="236"/>
        <v>0</v>
      </c>
      <c r="AO93" s="573">
        <f t="shared" ca="1" si="236"/>
        <v>0</v>
      </c>
      <c r="AP93" s="573">
        <f t="shared" ca="1" si="236"/>
        <v>0</v>
      </c>
      <c r="AQ93" s="573">
        <f t="shared" ca="1" si="236"/>
        <v>-1</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-1</v>
      </c>
      <c r="BG93" s="6"/>
      <c r="BH93" s="3431">
        <f ca="1">BH$89+BH$91+BH$92</f>
        <v>0</v>
      </c>
      <c r="BI93" s="3431">
        <f ca="1">BI$89+BI$91+BI$92</f>
        <v>4.2642579422615032</v>
      </c>
      <c r="BJ93" s="3431">
        <f ca="1">SUM(BH93:BI93)</f>
        <v>4.2642579422615032</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-17.478475301591967</v>
      </c>
      <c r="V95" s="636">
        <f ca="1">(V$40+V$84+V$93)</f>
        <v>-75.958681490777167</v>
      </c>
      <c r="W95" s="636">
        <f ca="1">(W$40+W$84+W$93)</f>
        <v>-85.082146478204891</v>
      </c>
      <c r="X95" s="636"/>
      <c r="Y95" s="636"/>
      <c r="Z95" s="636"/>
      <c r="AA95" s="636"/>
      <c r="AB95" s="636"/>
      <c r="AC95" s="636">
        <f t="shared" ref="AC95:AH95" ca="1" si="239">(AC$40+AC$84+AC$93)</f>
        <v>0</v>
      </c>
      <c r="AD95" s="636">
        <f t="shared" ca="1" si="239"/>
        <v>0.17693658852519345</v>
      </c>
      <c r="AE95" s="636">
        <f t="shared" ca="1" si="239"/>
        <v>0.18407416485458214</v>
      </c>
      <c r="AF95" s="636">
        <f t="shared" ca="1" si="239"/>
        <v>2.4737516261697139</v>
      </c>
      <c r="AG95" s="636">
        <f t="shared" ca="1" si="239"/>
        <v>0.360856623390863</v>
      </c>
      <c r="AH95" s="636">
        <f t="shared" ca="1" si="239"/>
        <v>0.13763675658837954</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-3.2175631879671385</v>
      </c>
      <c r="BF95" s="637">
        <f ca="1">SUM(AM95:BE95)</f>
        <v>-3.2175631879671385</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2.3500640448612282</v>
      </c>
      <c r="V96" s="689">
        <f t="shared" ca="1" si="241"/>
        <v>0.13778890093038501</v>
      </c>
      <c r="W96" s="689">
        <f t="shared" ca="1" si="241"/>
        <v>0.44436488647061306</v>
      </c>
      <c r="X96" s="689">
        <f t="shared" ca="1" si="241"/>
        <v>0</v>
      </c>
      <c r="Y96" s="689">
        <f t="shared" ca="1" si="241"/>
        <v>0</v>
      </c>
      <c r="Z96" s="689">
        <f t="shared" ca="1" si="241"/>
        <v>0</v>
      </c>
      <c r="AA96" s="689">
        <f t="shared" ca="1" si="241"/>
        <v>0</v>
      </c>
      <c r="AB96" s="689">
        <f t="shared" ca="1" si="241"/>
        <v>0</v>
      </c>
      <c r="AC96" s="689">
        <f t="shared" ca="1" si="241"/>
        <v>0</v>
      </c>
      <c r="AD96" s="689">
        <f t="shared" ca="1" si="241"/>
        <v>-0.17693658852519345</v>
      </c>
      <c r="AE96" s="689">
        <f t="shared" ca="1" si="241"/>
        <v>-0.18407416485458214</v>
      </c>
      <c r="AF96" s="689">
        <f t="shared" ca="1" si="241"/>
        <v>-2.4737516261697139</v>
      </c>
      <c r="AG96" s="689">
        <f t="shared" ca="1" si="241"/>
        <v>-0.360856623390863</v>
      </c>
      <c r="AH96" s="689">
        <f t="shared" ca="1" si="241"/>
        <v>-0.13763675658837954</v>
      </c>
      <c r="AI96" s="689">
        <f t="shared" ca="1" si="241"/>
        <v>0</v>
      </c>
      <c r="AJ96" s="689">
        <f t="shared" ca="1" si="241"/>
        <v>0</v>
      </c>
      <c r="AK96" s="690">
        <f ca="1">SUM(S96:AJ96)</f>
        <v>-0.40103792726650583</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0.40103792726650589</v>
      </c>
      <c r="BI96" s="3444">
        <f ca="1">IFERROR(INDEX(INDIRECT($C96&amp;".Outputs["&amp;this.Year&amp;"]"), MATCH(BI$5, INDIRECT($C96&amp;".Outputs[Vector]"), 0)), 0)</f>
        <v>0</v>
      </c>
      <c r="BJ96" s="3436">
        <f ca="1">SUM(BH96:BI96)</f>
        <v>0.40103792726650589</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-0.9207649109533933</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-0.9207649109533933</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-15.12841125673074</v>
      </c>
      <c r="V97" s="636">
        <f ca="1">V$95+V$96</f>
        <v>-75.820892589846778</v>
      </c>
      <c r="W97" s="636">
        <f ca="1">W$95+W$96</f>
        <v>-84.637781591734282</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-0.85130610472042079</v>
      </c>
      <c r="BF97" s="637">
        <f ca="1">SUM(AM97:BE97)</f>
        <v>-0.85130610472042079</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1</v>
      </c>
      <c r="V98" s="611">
        <f t="shared" ca="1" si="246"/>
        <v>0.6</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1.6</v>
      </c>
      <c r="AM98" s="612">
        <f t="shared" ref="AM98:BE98" ca="1" si="247">IFERROR(INDEX(INDIRECT($C98&amp;".Outputs["&amp;this.Year&amp;"]"), MATCH(AM$5, INDIRECT($C98&amp;".Outputs[Vector]"), 0)), 0)</f>
        <v>0</v>
      </c>
      <c r="AN98" s="612">
        <f t="shared" ca="1" si="247"/>
        <v>0</v>
      </c>
      <c r="AO98" s="612">
        <f t="shared" ca="1" si="247"/>
        <v>0</v>
      </c>
      <c r="AP98" s="612">
        <f t="shared" ca="1" si="247"/>
        <v>-1.6</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-1.6</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-0.49595040000000001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-0.49595040000000001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3.3500640448612282</v>
      </c>
      <c r="V99" s="572">
        <f t="shared" ca="1" si="250"/>
        <v>0.73778890093038496</v>
      </c>
      <c r="W99" s="572">
        <f t="shared" ca="1" si="250"/>
        <v>0.44436488647061306</v>
      </c>
      <c r="X99" s="572">
        <f t="shared" ca="1" si="250"/>
        <v>0</v>
      </c>
      <c r="Y99" s="572">
        <f t="shared" ca="1" si="250"/>
        <v>0</v>
      </c>
      <c r="Z99" s="572">
        <f t="shared" ca="1" si="250"/>
        <v>0</v>
      </c>
      <c r="AA99" s="572">
        <f t="shared" ca="1" si="250"/>
        <v>0</v>
      </c>
      <c r="AB99" s="572">
        <f t="shared" ca="1" si="250"/>
        <v>0</v>
      </c>
      <c r="AC99" s="572">
        <f t="shared" ca="1" si="250"/>
        <v>0</v>
      </c>
      <c r="AD99" s="572">
        <f ca="1">AD$96+AD98</f>
        <v>-0.17693658852519345</v>
      </c>
      <c r="AE99" s="572">
        <f ca="1">AE$96+AE98</f>
        <v>-0.18407416485458214</v>
      </c>
      <c r="AF99" s="572">
        <f t="shared" ca="1" si="250"/>
        <v>-2.4737516261697139</v>
      </c>
      <c r="AG99" s="572">
        <f t="shared" ca="1" si="250"/>
        <v>-0.360856623390863</v>
      </c>
      <c r="AH99" s="572">
        <f ca="1">AH$96+AH98</f>
        <v>-0.13763675658837954</v>
      </c>
      <c r="AI99" s="572">
        <f t="shared" ca="1" si="250"/>
        <v>0</v>
      </c>
      <c r="AJ99" s="572">
        <f t="shared" ca="1" si="250"/>
        <v>0</v>
      </c>
      <c r="AK99" s="572">
        <f ca="1">SUM(S99:AJ99)</f>
        <v>1.1989620727334933</v>
      </c>
      <c r="AM99" s="573">
        <f t="shared" ref="AM99:BE99" ca="1" si="251">AM$96+AM98</f>
        <v>0</v>
      </c>
      <c r="AN99" s="573">
        <f t="shared" ca="1" si="251"/>
        <v>0</v>
      </c>
      <c r="AO99" s="573">
        <f t="shared" ca="1" si="251"/>
        <v>0</v>
      </c>
      <c r="AP99" s="573">
        <f t="shared" ca="1" si="251"/>
        <v>-1.6</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-1.6</v>
      </c>
      <c r="BH99" s="3431">
        <f ca="1">BH$96+BH98</f>
        <v>0.40103792726650589</v>
      </c>
      <c r="BI99" s="3431">
        <f ca="1">BI$96+BI98</f>
        <v>0</v>
      </c>
      <c r="BJ99" s="3431">
        <f ca="1">SUM(BH99:BI99)</f>
        <v>0.40103792726650589</v>
      </c>
      <c r="BL99" s="3445">
        <f ca="1">Q99+AK99+BF99+BJ99</f>
        <v>-8.8817841970012523E-16</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-1.4167153109533932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-1.4167153109533932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-29.856802850034068</v>
      </c>
      <c r="T101" s="636">
        <f ca="1">(T$40+T$84+T$93+T$99)</f>
        <v>29.856802850034068</v>
      </c>
      <c r="U101" s="636">
        <f ca="1">(U$40+U$84+U$93+U$99)</f>
        <v>-14.12841125673074</v>
      </c>
      <c r="V101" s="636">
        <f ca="1">(V$40+V$84+V$93+V$99)</f>
        <v>-75.220892589846784</v>
      </c>
      <c r="W101" s="636">
        <f ca="1">(W$40+W$84+W$93+W$99)</f>
        <v>-84.637781591734282</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14.12841125673074</v>
      </c>
      <c r="V102" s="652">
        <f t="shared" ca="1" si="254"/>
        <v>75.220892589846784</v>
      </c>
      <c r="W102" s="652">
        <f t="shared" ca="1" si="254"/>
        <v>84.637781591734282</v>
      </c>
      <c r="X102" s="652">
        <f t="shared" ca="1" si="254"/>
        <v>-14.12841125673074</v>
      </c>
      <c r="Y102" s="652">
        <f t="shared" ca="1" si="254"/>
        <v>-75.220892589846784</v>
      </c>
      <c r="Z102" s="652">
        <f t="shared" ca="1" si="254"/>
        <v>-85.907348315610292</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-1.2695667238760251</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1.2695667238760142</v>
      </c>
      <c r="BJ102" s="655">
        <f ca="1">SUM(BH102:BI102)</f>
        <v>1.2695667238760142</v>
      </c>
      <c r="BK102" s="6"/>
      <c r="BL102" s="3445">
        <f t="shared" ref="BL102:BL109" ca="1" si="256">Q102+AK102+BF102+BJ102</f>
        <v>-1.0880185641326534E-14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3.6191614904551091E-2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3.6191614904551091E-2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13.883093074912559</v>
      </c>
      <c r="Y103" s="702">
        <f ca="1">-(Y$40+Y$84+Y$93+Y$99+Y$102)</f>
        <v>75.220892589846784</v>
      </c>
      <c r="Z103" s="702">
        <f ca="1">-(Z$40+Z$84+Z$93+Z$99+Z$102)</f>
        <v>85.907348315610292</v>
      </c>
      <c r="AA103" s="702"/>
      <c r="AB103" s="702"/>
      <c r="AC103" s="702"/>
      <c r="AD103" s="702"/>
      <c r="AE103" s="702"/>
      <c r="AF103" s="702"/>
      <c r="AG103" s="702"/>
      <c r="AH103" s="702"/>
      <c r="AI103" s="702"/>
      <c r="AJ103" s="702"/>
      <c r="AK103" s="702">
        <f ca="1">SUM(S103:AJ103)</f>
        <v>175.01133398036961</v>
      </c>
      <c r="AL103" s="6"/>
      <c r="AM103" s="606"/>
      <c r="AN103" s="606"/>
      <c r="AO103" s="606"/>
      <c r="AP103" s="606"/>
      <c r="AQ103" s="606">
        <f ca="1">-T103</f>
        <v>0</v>
      </c>
      <c r="AR103" s="606">
        <f>-V103</f>
        <v>0</v>
      </c>
      <c r="AS103" s="606">
        <f ca="1">-X103</f>
        <v>-13.883093074912559</v>
      </c>
      <c r="AT103" s="606">
        <f ca="1">-Y103</f>
        <v>-75.220892589846784</v>
      </c>
      <c r="AU103" s="606">
        <f ca="1">-Z103</f>
        <v>-85.907348315610292</v>
      </c>
      <c r="AV103" s="606"/>
      <c r="AW103" s="606"/>
      <c r="AX103" s="606"/>
      <c r="AY103" s="606"/>
      <c r="AZ103" s="606"/>
      <c r="BA103" s="606"/>
      <c r="BB103" s="606"/>
      <c r="BC103" s="606"/>
      <c r="BD103" s="606"/>
      <c r="BE103" s="606"/>
      <c r="BF103" s="606">
        <f ca="1">SUM(AM103:BE103)</f>
        <v>-175.01133398036961</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14.12841125673074</v>
      </c>
      <c r="V104" s="572">
        <f t="shared" ca="1" si="262"/>
        <v>75.220892589846784</v>
      </c>
      <c r="W104" s="572">
        <f t="shared" ca="1" si="262"/>
        <v>84.637781591734282</v>
      </c>
      <c r="X104" s="572">
        <f t="shared" ca="1" si="262"/>
        <v>-0.2453181818181811</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173.7417672564936</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t="shared" ca="1" si="263"/>
        <v>-13.883093074912559</v>
      </c>
      <c r="AT104" s="573">
        <f t="shared" ca="1" si="263"/>
        <v>-75.220892589846784</v>
      </c>
      <c r="AU104" s="573">
        <f t="shared" ca="1" si="263"/>
        <v>-85.907348315610292</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-175.01133398036961</v>
      </c>
      <c r="BH104" s="3431">
        <f ca="1">SUM(BH102:BH103)</f>
        <v>0</v>
      </c>
      <c r="BI104" s="3431">
        <f ca="1">SUM(BI102:BI103)</f>
        <v>1.2695667238760142</v>
      </c>
      <c r="BJ104" s="3431">
        <f ca="1">SUM(BH104:BI104)</f>
        <v>1.2695667238760142</v>
      </c>
      <c r="BL104" s="3445">
        <f t="shared" ca="1" si="256"/>
        <v>3.3306690738754696E-15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3.6191614904551091E-2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3.6191614904551091E-2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-3.264257942261505</v>
      </c>
      <c r="U106" s="625">
        <f t="shared" ca="1" si="266"/>
        <v>17.478475301591967</v>
      </c>
      <c r="V106" s="625">
        <f t="shared" ca="1" si="266"/>
        <v>75.958681490777167</v>
      </c>
      <c r="W106" s="625">
        <f t="shared" ca="1" si="266"/>
        <v>85.082146478204891</v>
      </c>
      <c r="X106" s="625">
        <f t="shared" ca="1" si="266"/>
        <v>-0.2453181818181811</v>
      </c>
      <c r="Y106" s="625">
        <f t="shared" ca="1" si="266"/>
        <v>0</v>
      </c>
      <c r="Z106" s="625">
        <f t="shared" ca="1" si="266"/>
        <v>0</v>
      </c>
      <c r="AA106" s="625">
        <f t="shared" ca="1" si="266"/>
        <v>0</v>
      </c>
      <c r="AB106" s="625">
        <f t="shared" ca="1" si="266"/>
        <v>0</v>
      </c>
      <c r="AC106" s="625">
        <f t="shared" ca="1" si="266"/>
        <v>0</v>
      </c>
      <c r="AD106" s="625">
        <f t="shared" ca="1" si="266"/>
        <v>-0.17693658852519345</v>
      </c>
      <c r="AE106" s="625">
        <f t="shared" ca="1" si="266"/>
        <v>-0.18407416485458214</v>
      </c>
      <c r="AF106" s="625">
        <f t="shared" ca="1" si="266"/>
        <v>-2.4737516261697139</v>
      </c>
      <c r="AG106" s="625">
        <f t="shared" ca="1" si="266"/>
        <v>-0.360856623390863</v>
      </c>
      <c r="AH106" s="625">
        <f t="shared" ca="1" si="266"/>
        <v>-0.13763675658837954</v>
      </c>
      <c r="AI106" s="625">
        <f t="shared" ca="1" si="266"/>
        <v>0</v>
      </c>
      <c r="AJ106" s="625">
        <f t="shared" ca="1" si="266"/>
        <v>0</v>
      </c>
      <c r="AK106" s="625">
        <f ca="1">SUM(S106:AJ106)</f>
        <v>171.67647138696557</v>
      </c>
      <c r="AM106" s="626">
        <f t="shared" ref="AM106:BE106" ca="1" si="267">AM$93+AM$99+AM$104</f>
        <v>0</v>
      </c>
      <c r="AN106" s="626">
        <f t="shared" ca="1" si="267"/>
        <v>0</v>
      </c>
      <c r="AO106" s="626">
        <f t="shared" ca="1" si="267"/>
        <v>0</v>
      </c>
      <c r="AP106" s="626">
        <f t="shared" ca="1" si="267"/>
        <v>-1.6</v>
      </c>
      <c r="AQ106" s="626">
        <f t="shared" ca="1" si="267"/>
        <v>-1</v>
      </c>
      <c r="AR106" s="626">
        <f t="shared" ca="1" si="267"/>
        <v>0</v>
      </c>
      <c r="AS106" s="626">
        <f t="shared" ca="1" si="267"/>
        <v>-13.883093074912559</v>
      </c>
      <c r="AT106" s="626">
        <f t="shared" ca="1" si="267"/>
        <v>-75.220892589846784</v>
      </c>
      <c r="AU106" s="626">
        <f t="shared" ca="1" si="267"/>
        <v>-85.907348315610292</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-177.61133398036964</v>
      </c>
      <c r="BH106" s="3432">
        <f ca="1">BH$93+BH$99+BH$104</f>
        <v>0.40103792726650589</v>
      </c>
      <c r="BI106" s="3432">
        <f ca="1">BI$93+BI$99+BI$104</f>
        <v>5.5338246661375177</v>
      </c>
      <c r="BJ106" s="3432">
        <f ca="1">SUM(BH106:BI106)</f>
        <v>5.9348625934040236</v>
      </c>
      <c r="BL106" s="3446">
        <f t="shared" ca="1" si="256"/>
        <v>-3.907985046680551E-14</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3.6191614904551091E-2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-1.4167153109533932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-1.3805236960488421</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41.868828503935063</v>
      </c>
      <c r="H109" s="705">
        <f t="shared" ca="1" si="269"/>
        <v>11.030755299063758</v>
      </c>
      <c r="I109" s="705">
        <f t="shared" ca="1" si="269"/>
        <v>36.391704965243136</v>
      </c>
      <c r="J109" s="705">
        <f t="shared" ca="1" si="269"/>
        <v>44.291061534783324</v>
      </c>
      <c r="K109" s="705">
        <f t="shared" ca="1" si="269"/>
        <v>0.56031657970381665</v>
      </c>
      <c r="L109" s="705">
        <f t="shared" ca="1" si="269"/>
        <v>2.8092836249242522E-2</v>
      </c>
      <c r="M109" s="705">
        <f t="shared" ca="1" si="269"/>
        <v>0.66</v>
      </c>
      <c r="N109" s="705">
        <f t="shared" ca="1" si="269"/>
        <v>8.7186093571046239</v>
      </c>
      <c r="O109" s="705">
        <f t="shared" ca="1" si="269"/>
        <v>0</v>
      </c>
      <c r="P109" s="705">
        <f t="shared" ca="1" si="269"/>
        <v>0</v>
      </c>
      <c r="Q109" s="705">
        <f ca="1">SUM(G109:P109)</f>
        <v>143.54936907608297</v>
      </c>
      <c r="S109" s="706">
        <f t="shared" ref="S109:AJ109" ca="1" si="270">S$40+S$84+S$106</f>
        <v>-29.856802850034068</v>
      </c>
      <c r="T109" s="706">
        <f t="shared" ca="1" si="270"/>
        <v>29.856802850034068</v>
      </c>
      <c r="U109" s="706">
        <f t="shared" ca="1" si="270"/>
        <v>0</v>
      </c>
      <c r="V109" s="706">
        <f t="shared" ca="1" si="270"/>
        <v>0</v>
      </c>
      <c r="W109" s="706">
        <f t="shared" ca="1" si="270"/>
        <v>0</v>
      </c>
      <c r="X109" s="706">
        <f t="shared" ca="1" si="270"/>
        <v>7.2164496600635175E-16</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7.2164496600635175E-16</v>
      </c>
      <c r="AM109" s="707">
        <f t="shared" ref="AM109:BE109" ca="1" si="271">AM$40+AM$84+AM$106</f>
        <v>0</v>
      </c>
      <c r="AN109" s="707">
        <f t="shared" ca="1" si="271"/>
        <v>0</v>
      </c>
      <c r="AO109" s="707">
        <f t="shared" ca="1" si="271"/>
        <v>0</v>
      </c>
      <c r="AP109" s="707">
        <f t="shared" ca="1" si="271"/>
        <v>-1.6</v>
      </c>
      <c r="AQ109" s="707">
        <f t="shared" ca="1" si="271"/>
        <v>-1</v>
      </c>
      <c r="AR109" s="707">
        <f t="shared" ca="1" si="271"/>
        <v>0</v>
      </c>
      <c r="AS109" s="707">
        <f t="shared" ca="1" si="271"/>
        <v>-13.883093074912559</v>
      </c>
      <c r="AT109" s="707">
        <f t="shared" ca="1" si="271"/>
        <v>-75.220892589846784</v>
      </c>
      <c r="AU109" s="707">
        <f t="shared" ca="1" si="271"/>
        <v>-85.907348315610292</v>
      </c>
      <c r="AV109" s="707">
        <f t="shared" ca="1" si="271"/>
        <v>0</v>
      </c>
      <c r="AW109" s="707">
        <f t="shared" ca="1" si="271"/>
        <v>-7.0129937567812564E-2</v>
      </c>
      <c r="AX109" s="707">
        <f t="shared" ca="1" si="271"/>
        <v>-1.1378267999999998</v>
      </c>
      <c r="AY109" s="707">
        <f t="shared" ca="1" si="271"/>
        <v>0</v>
      </c>
      <c r="AZ109" s="707">
        <f t="shared" ca="1" si="271"/>
        <v>-1.3017510000000001E-2</v>
      </c>
      <c r="BA109" s="707">
        <f t="shared" ca="1" si="271"/>
        <v>0</v>
      </c>
      <c r="BB109" s="707">
        <f t="shared" ca="1" si="271"/>
        <v>-0.50632416000000002</v>
      </c>
      <c r="BC109" s="707">
        <f t="shared" ca="1" si="271"/>
        <v>-0.43792102798625754</v>
      </c>
      <c r="BD109" s="707">
        <f t="shared" ca="1" si="271"/>
        <v>-0.36101075337977562</v>
      </c>
      <c r="BE109" s="707">
        <f t="shared" ca="1" si="271"/>
        <v>-3.2175631879671385</v>
      </c>
      <c r="BF109" s="707">
        <f ca="1">SUM(AM109:BE109)</f>
        <v>-183.35512735727059</v>
      </c>
      <c r="BH109" s="3437">
        <f ca="1">BH$40+BH$84+BH$106</f>
        <v>31.411115306362241</v>
      </c>
      <c r="BI109" s="3437">
        <f ca="1">BI$40+BI$84+BI$106</f>
        <v>8.3946429748253983</v>
      </c>
      <c r="BJ109" s="3437">
        <f ca="1">SUM(BH109:BI109)</f>
        <v>39.805758281187636</v>
      </c>
      <c r="BL109" s="3447">
        <f t="shared" ca="1" si="256"/>
        <v>0</v>
      </c>
      <c r="BM109" s="568"/>
      <c r="BO109" s="2767">
        <f t="shared" ref="BO109:DF109" ca="1" si="272">BO$40+BO$84+BO$106</f>
        <v>39.766431854681471</v>
      </c>
      <c r="BP109" s="2767">
        <f t="shared" ca="1" si="272"/>
        <v>2.1373198987126994E-2</v>
      </c>
      <c r="BQ109" s="2767">
        <f t="shared" ca="1" si="272"/>
        <v>0.32701668827799985</v>
      </c>
      <c r="BR109" s="2767">
        <f t="shared" ca="1" si="272"/>
        <v>0</v>
      </c>
      <c r="BS109" s="2767">
        <f t="shared" ca="1" si="272"/>
        <v>0</v>
      </c>
      <c r="BT109" s="2767">
        <f t="shared" ca="1" si="272"/>
        <v>3.6191614904551091E-2</v>
      </c>
      <c r="BU109" s="2767">
        <f t="shared" ca="1" si="272"/>
        <v>0</v>
      </c>
      <c r="BV109" s="2767">
        <f t="shared" ca="1" si="272"/>
        <v>0</v>
      </c>
      <c r="BW109" s="2767">
        <f t="shared" ca="1" si="272"/>
        <v>1.4319566028436053</v>
      </c>
      <c r="BX109" s="2767">
        <f t="shared" ca="1" si="272"/>
        <v>0</v>
      </c>
      <c r="BY109" s="2767">
        <f t="shared" ca="1" si="272"/>
        <v>0</v>
      </c>
      <c r="BZ109" s="2767">
        <f t="shared" ca="1" si="272"/>
        <v>1.1046988458234654</v>
      </c>
      <c r="CA109" s="2767">
        <f t="shared" ca="1" si="272"/>
        <v>0</v>
      </c>
      <c r="CB109" s="2767">
        <f t="shared" ca="1" si="272"/>
        <v>0</v>
      </c>
      <c r="CC109" s="2767">
        <f t="shared" ca="1" si="272"/>
        <v>0</v>
      </c>
      <c r="CD109" s="2767">
        <f t="shared" ca="1" si="272"/>
        <v>0</v>
      </c>
      <c r="CE109" s="2767">
        <f t="shared" ca="1" si="272"/>
        <v>0</v>
      </c>
      <c r="CF109" s="2767">
        <f t="shared" ca="1" si="272"/>
        <v>10.585032610105074</v>
      </c>
      <c r="CG109" s="2767">
        <f t="shared" ca="1" si="272"/>
        <v>5.6603978384106233</v>
      </c>
      <c r="CH109" s="2767">
        <f t="shared" ca="1" si="272"/>
        <v>0</v>
      </c>
      <c r="CI109" s="2767">
        <f t="shared" ca="1" si="272"/>
        <v>3.1678875815691661</v>
      </c>
      <c r="CJ109" s="2767">
        <f t="shared" ca="1" si="272"/>
        <v>0</v>
      </c>
      <c r="CK109" s="2767">
        <f t="shared" ca="1" si="272"/>
        <v>0</v>
      </c>
      <c r="CL109" s="2767">
        <f t="shared" ca="1" si="272"/>
        <v>0</v>
      </c>
      <c r="CM109" s="2767">
        <f t="shared" ca="1" si="272"/>
        <v>0</v>
      </c>
      <c r="CN109" s="2767">
        <f t="shared" ca="1" si="272"/>
        <v>0.64378066564223779</v>
      </c>
      <c r="CO109" s="2767">
        <f t="shared" ca="1" si="272"/>
        <v>5.862786428571428E-2</v>
      </c>
      <c r="CP109" s="2767">
        <f t="shared" ca="1" si="272"/>
        <v>0</v>
      </c>
      <c r="CQ109" s="2767">
        <f t="shared" ca="1" si="272"/>
        <v>0</v>
      </c>
      <c r="CR109" s="2767">
        <f t="shared" ca="1" si="272"/>
        <v>0</v>
      </c>
      <c r="CS109" s="2767">
        <f t="shared" ca="1" si="272"/>
        <v>0</v>
      </c>
      <c r="CT109" s="2767">
        <f t="shared" ca="1" si="272"/>
        <v>0</v>
      </c>
      <c r="CU109" s="2767">
        <f t="shared" ca="1" si="272"/>
        <v>2.3006666371527675</v>
      </c>
      <c r="CV109" s="2767">
        <f t="shared" ca="1" si="272"/>
        <v>1.9773806021913289E-3</v>
      </c>
      <c r="CW109" s="2767">
        <f t="shared" ca="1" si="272"/>
        <v>5.8379808255172565E-3</v>
      </c>
      <c r="CX109" s="2767">
        <f t="shared" ca="1" si="272"/>
        <v>0</v>
      </c>
      <c r="CY109" s="2767">
        <f t="shared" ca="1" si="272"/>
        <v>-1.4167153109533932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63.695162053158114</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15.058454428799742</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29.860593992851843</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0.50429185810585342</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2035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27.922532738725263</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27.922532738725263</v>
      </c>
      <c r="S9" s="582">
        <f t="shared" ref="S9:AJ13" ca="1" si="2">IFERROR(INDEX(INDIRECT($C9&amp;".Outputs["&amp;this.Year&amp;"]"), MATCH(S$5, INDIRECT($C9&amp;".Outputs[Vector]"), 0)), 0)</f>
        <v>-1.9030564366680982</v>
      </c>
      <c r="T9" s="582">
        <f t="shared" ca="1" si="2"/>
        <v>0</v>
      </c>
      <c r="U9" s="582">
        <f t="shared" ca="1" si="2"/>
        <v>-0.17871552254345516</v>
      </c>
      <c r="V9" s="582">
        <f t="shared" ca="1" si="2"/>
        <v>-6.6146852477887945</v>
      </c>
      <c r="W9" s="582">
        <f t="shared" ca="1" si="2"/>
        <v>-19.131212438602503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-7.3391639360886121E-2</v>
      </c>
      <c r="AJ9" s="582">
        <f t="shared" ca="1" si="2"/>
        <v>0</v>
      </c>
      <c r="AK9" s="583">
        <f t="shared" ref="AK9:AK15" ca="1" si="4">SUM(S9:AJ9)</f>
        <v>-27.901061284963738</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-2.147145376152286E-2</v>
      </c>
      <c r="BD9" s="584">
        <f t="shared" ca="1" si="6"/>
        <v>0</v>
      </c>
      <c r="BE9" s="584">
        <f t="shared" ca="1" si="6"/>
        <v>0</v>
      </c>
      <c r="BF9" s="585">
        <f t="shared" ref="BF9:BF15" ca="1" si="7">SUM(AM9:BE9)</f>
        <v>-2.147145376152286E-2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1.5126788710517758E-15</v>
      </c>
      <c r="BM9" s="586"/>
      <c r="BN9" s="404"/>
      <c r="BO9" s="2758">
        <f t="shared" ref="BO9:BX10" ca="1" si="11">IFERROR(SUMIFS(INDIRECT($C9&amp;".Emissions["&amp;this.Year&amp;"]"), INDIRECT($C9&amp;".Emissions[GHG]"), BO$6, INDIRECT($C9&amp;".Emissions[IPCC Sector]"), BO$5),0)</f>
        <v>5.7223862747105132</v>
      </c>
      <c r="BP9" s="2759">
        <f t="shared" ca="1" si="11"/>
        <v>2.9559879000098472E-3</v>
      </c>
      <c r="BQ9" s="2759">
        <f t="shared" ca="1" si="11"/>
        <v>6.6445172439791769E-2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27.922532738725263</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27.922532738725263</v>
      </c>
      <c r="S11" s="583">
        <f ca="1">SUM(S9:S10)</f>
        <v>-1.9030564366680982</v>
      </c>
      <c r="T11" s="583">
        <f t="shared" ref="T11:AJ11" ca="1" si="16">SUM(T9:T10)</f>
        <v>0</v>
      </c>
      <c r="U11" s="583">
        <f t="shared" ca="1" si="16"/>
        <v>-0.17871552254345516</v>
      </c>
      <c r="V11" s="583">
        <f t="shared" ca="1" si="16"/>
        <v>-6.6146852477887945</v>
      </c>
      <c r="W11" s="583">
        <f t="shared" ca="1" si="16"/>
        <v>-19.131212438602503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-7.3391639360886121E-2</v>
      </c>
      <c r="AJ11" s="583">
        <f t="shared" ca="1" si="16"/>
        <v>0</v>
      </c>
      <c r="AK11" s="583">
        <f t="shared" ca="1" si="4"/>
        <v>-27.901061284963738</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-2.147145376152286E-2</v>
      </c>
      <c r="BD11" s="599">
        <f ca="1">SUM(BD9:BD10)</f>
        <v>0</v>
      </c>
      <c r="BE11" s="599">
        <f t="shared" ca="1" si="17"/>
        <v>0</v>
      </c>
      <c r="BF11" s="600">
        <f t="shared" ca="1" si="7"/>
        <v>-2.147145376152286E-2</v>
      </c>
      <c r="BH11" s="3428">
        <f ca="1">SUM(BH9:BH10)</f>
        <v>0</v>
      </c>
      <c r="BI11" s="3428">
        <f ca="1">SUM(BI9:BI10)</f>
        <v>0</v>
      </c>
      <c r="BJ11" s="3428">
        <f t="shared" ca="1" si="9"/>
        <v>0</v>
      </c>
      <c r="BL11" s="601">
        <f t="shared" ca="1" si="10"/>
        <v>1.5126788710517758E-15</v>
      </c>
      <c r="BM11" s="601"/>
      <c r="BN11" s="404"/>
      <c r="BO11" s="2758">
        <f t="shared" ref="BO11:DF11" ca="1" si="18">SUM(BO9:BO10)</f>
        <v>5.7223862747105132</v>
      </c>
      <c r="BP11" s="2759">
        <f t="shared" ca="1" si="18"/>
        <v>2.9559879000098472E-3</v>
      </c>
      <c r="BQ11" s="2759">
        <f t="shared" ca="1" si="18"/>
        <v>6.6445172439791769E-2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15.49667582525977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15.49667582525977</v>
      </c>
      <c r="S12" s="582">
        <f t="shared" ca="1" si="2"/>
        <v>-4.7003420608108115</v>
      </c>
      <c r="T12" s="582">
        <f t="shared" ca="1" si="2"/>
        <v>0</v>
      </c>
      <c r="U12" s="582">
        <f t="shared" ca="1" si="2"/>
        <v>-0.17042753960857404</v>
      </c>
      <c r="V12" s="582">
        <f t="shared" ca="1" si="2"/>
        <v>-1.1719089579269988</v>
      </c>
      <c r="W12" s="582">
        <f t="shared" ca="1" si="2"/>
        <v>-8.9224254763728439</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-14.965104034719229</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-0.5315717905405406</v>
      </c>
      <c r="BD12" s="584">
        <f t="shared" ca="1" si="6"/>
        <v>0</v>
      </c>
      <c r="BE12" s="584">
        <f t="shared" ca="1" si="6"/>
        <v>0</v>
      </c>
      <c r="BF12" s="585">
        <f t="shared" ca="1" si="7"/>
        <v>-0.5315717905405406</v>
      </c>
      <c r="BH12" s="3439">
        <f t="shared" ca="1" si="8"/>
        <v>0</v>
      </c>
      <c r="BI12" s="3439">
        <f t="shared" ca="1" si="8"/>
        <v>0</v>
      </c>
      <c r="BJ12" s="3428">
        <f t="shared" ca="1" si="9"/>
        <v>0</v>
      </c>
      <c r="BL12" s="586">
        <f t="shared" ca="1" si="10"/>
        <v>4.4408920985006262E-16</v>
      </c>
      <c r="BM12" s="586"/>
      <c r="BN12" s="404"/>
      <c r="BO12" s="2758">
        <f t="shared" ref="BO12:BX13" ca="1" si="21">IFERROR(SUMIFS(INDIRECT($C12&amp;".Emissions["&amp;this.Year&amp;"]"), INDIRECT($C12&amp;".Emissions[GHG]"), BO$6, INDIRECT($C12&amp;".Emissions[IPCC Sector]"), BO$5),0)</f>
        <v>2.1933931412001382</v>
      </c>
      <c r="BP12" s="2759">
        <f t="shared" ca="1" si="21"/>
        <v>9.4934334306771622E-4</v>
      </c>
      <c r="BQ12" s="2759">
        <f t="shared" ca="1" si="21"/>
        <v>2.9756346617062574E-2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15.49667582525977</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15.49667582525977</v>
      </c>
      <c r="S14" s="604">
        <f t="shared" ref="S14:AJ14" ca="1" si="26">SUM(S12:S13)</f>
        <v>-4.7003420608108115</v>
      </c>
      <c r="T14" s="604">
        <f t="shared" ca="1" si="26"/>
        <v>0</v>
      </c>
      <c r="U14" s="604">
        <f t="shared" ca="1" si="26"/>
        <v>-0.17042753960857404</v>
      </c>
      <c r="V14" s="604">
        <f t="shared" ca="1" si="26"/>
        <v>-1.1719089579269988</v>
      </c>
      <c r="W14" s="604">
        <f t="shared" ca="1" si="26"/>
        <v>-8.9224254763728439</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-14.965104034719229</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-0.5315717905405406</v>
      </c>
      <c r="BD14" s="605">
        <f ca="1">SUM(BD12:BD13)</f>
        <v>0</v>
      </c>
      <c r="BE14" s="605">
        <f t="shared" ca="1" si="27"/>
        <v>0</v>
      </c>
      <c r="BF14" s="606">
        <f t="shared" ca="1" si="7"/>
        <v>-0.5315717905405406</v>
      </c>
      <c r="BH14" s="3430">
        <f ca="1">SUM(BH12:BH13)</f>
        <v>0</v>
      </c>
      <c r="BI14" s="3430">
        <f ca="1">SUM(BI12:BI13)</f>
        <v>0</v>
      </c>
      <c r="BJ14" s="3430">
        <f t="shared" ca="1" si="9"/>
        <v>0</v>
      </c>
      <c r="BL14" s="601">
        <f t="shared" ca="1" si="10"/>
        <v>4.4408920985006262E-16</v>
      </c>
      <c r="BM14" s="601"/>
      <c r="BN14" s="404"/>
      <c r="BO14" s="2760">
        <f t="shared" ref="BO14:DF14" ca="1" si="28">SUM(BO12:BO13)</f>
        <v>2.1933931412001382</v>
      </c>
      <c r="BP14" s="2761">
        <f t="shared" ca="1" si="28"/>
        <v>9.4934334306771622E-4</v>
      </c>
      <c r="BQ14" s="2761">
        <f t="shared" ca="1" si="28"/>
        <v>2.9756346617062574E-2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43.41920856398503</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43.41920856398503</v>
      </c>
      <c r="S15" s="572">
        <f t="shared" ref="S15:AJ15" ca="1" si="30">S14+S11</f>
        <v>-6.6033984974789099</v>
      </c>
      <c r="T15" s="572">
        <f t="shared" ca="1" si="30"/>
        <v>0</v>
      </c>
      <c r="U15" s="572">
        <f t="shared" ca="1" si="30"/>
        <v>-0.34914306215202917</v>
      </c>
      <c r="V15" s="572">
        <f t="shared" ca="1" si="30"/>
        <v>-7.7865942057157937</v>
      </c>
      <c r="W15" s="572">
        <f t="shared" ca="1" si="30"/>
        <v>-28.053637914975347</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-7.3391639360886121E-2</v>
      </c>
      <c r="AJ15" s="572">
        <f t="shared" ca="1" si="30"/>
        <v>0</v>
      </c>
      <c r="AK15" s="572">
        <f t="shared" ca="1" si="4"/>
        <v>-42.866165319682963</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-0.55304324430206342</v>
      </c>
      <c r="BD15" s="573">
        <f ca="1">BD14+BD11</f>
        <v>0</v>
      </c>
      <c r="BE15" s="573">
        <f t="shared" ca="1" si="31"/>
        <v>0</v>
      </c>
      <c r="BF15" s="573">
        <f t="shared" ca="1" si="7"/>
        <v>-0.55304324430206342</v>
      </c>
      <c r="BH15" s="3431">
        <f ca="1">BH14+BH11</f>
        <v>0</v>
      </c>
      <c r="BI15" s="3431">
        <f ca="1">BI14+BI11</f>
        <v>0</v>
      </c>
      <c r="BJ15" s="3431">
        <f t="shared" ca="1" si="9"/>
        <v>0</v>
      </c>
      <c r="BL15" s="3445">
        <f t="shared" ca="1" si="10"/>
        <v>3.7747582837255322E-15</v>
      </c>
      <c r="BM15" s="575"/>
      <c r="BN15" s="404"/>
      <c r="BO15" s="2759">
        <f t="shared" ref="BO15:DF15" ca="1" si="32">BO14+BO11</f>
        <v>7.9157794159106514</v>
      </c>
      <c r="BP15" s="2759">
        <f t="shared" ca="1" si="32"/>
        <v>3.9053312430775635E-3</v>
      </c>
      <c r="BQ15" s="2759">
        <f t="shared" ca="1" si="32"/>
        <v>9.620151905685434E-2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8.0158862662105843</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6.1735573176990721</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6.1735573176990721</v>
      </c>
      <c r="S17" s="582">
        <f t="shared" ref="S17:AJ18" ca="1" si="35">IFERROR(INDEX(INDIRECT($C17&amp;".Outputs["&amp;this.Year&amp;"]"), MATCH(S$5, INDIRECT($C17&amp;".Outputs[Vector]"), 0)), 0)</f>
        <v>-5.7168645758329122</v>
      </c>
      <c r="T17" s="582">
        <f t="shared" ca="1" si="35"/>
        <v>0</v>
      </c>
      <c r="U17" s="582">
        <f t="shared" ca="1" si="35"/>
        <v>0</v>
      </c>
      <c r="V17" s="582">
        <f t="shared" ca="1" si="35"/>
        <v>0</v>
      </c>
      <c r="W17" s="582">
        <f t="shared" ca="1" si="35"/>
        <v>-0.45669274186615982</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-6.1735573176990721</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9.3494686146130476E-2</v>
      </c>
      <c r="BP17" s="2759">
        <f t="shared" ca="1" si="39"/>
        <v>3.4525971285081686E-5</v>
      </c>
      <c r="BQ17" s="2759">
        <f t="shared" ca="1" si="39"/>
        <v>1.4780403897756396E-3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9.5007252507191206E-2</v>
      </c>
    </row>
    <row r="18" spans="1:112" s="6" customFormat="1" ht="12.75" customHeight="1" outlineLevel="1">
      <c r="A18" s="598"/>
      <c r="B18" s="598"/>
      <c r="C18" s="578" t="s">
        <v>463</v>
      </c>
      <c r="D18" s="602" t="s">
        <v>464</v>
      </c>
      <c r="E18" s="602"/>
      <c r="G18" s="610">
        <f t="shared" ca="1" si="34"/>
        <v>0</v>
      </c>
      <c r="H18" s="610">
        <f t="shared" ca="1" si="34"/>
        <v>5.1251809119087195</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5.1251809119087195</v>
      </c>
      <c r="S18" s="611">
        <f t="shared" ca="1" si="35"/>
        <v>-4.6311979471170677</v>
      </c>
      <c r="T18" s="611">
        <f t="shared" ca="1" si="35"/>
        <v>0</v>
      </c>
      <c r="U18" s="611">
        <f t="shared" ca="1" si="35"/>
        <v>0</v>
      </c>
      <c r="V18" s="611">
        <f t="shared" ca="1" si="35"/>
        <v>0</v>
      </c>
      <c r="W18" s="611">
        <f t="shared" ca="1" si="35"/>
        <v>-0.49398296479165205</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-5.1251809119087195</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0.10112878533170476</v>
      </c>
      <c r="BP18" s="2761">
        <f t="shared" ca="1" si="39"/>
        <v>3.7345112138248898E-5</v>
      </c>
      <c r="BQ18" s="2761">
        <f t="shared" ca="1" si="39"/>
        <v>1.5987264672517026E-3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0.10276485691109472</v>
      </c>
    </row>
    <row r="19" spans="1:112" s="6" customFormat="1" ht="15.5">
      <c r="A19" s="4"/>
      <c r="B19" s="3"/>
      <c r="C19" s="607" t="s">
        <v>465</v>
      </c>
      <c r="D19" s="608" t="s">
        <v>82</v>
      </c>
      <c r="E19" s="201"/>
      <c r="G19" s="609">
        <f ca="1">G17+G18</f>
        <v>0</v>
      </c>
      <c r="H19" s="609">
        <f t="shared" ref="H19:P19" ca="1" si="43">H17+H18</f>
        <v>11.298738229607793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11.298738229607793</v>
      </c>
      <c r="S19" s="572">
        <f ca="1">S17+S18</f>
        <v>-10.348062522949981</v>
      </c>
      <c r="T19" s="572">
        <f t="shared" ref="T19:AJ19" ca="1" si="44">T17+T18</f>
        <v>0</v>
      </c>
      <c r="U19" s="572">
        <f t="shared" ca="1" si="44"/>
        <v>0</v>
      </c>
      <c r="V19" s="572">
        <f t="shared" ca="1" si="44"/>
        <v>0</v>
      </c>
      <c r="W19" s="572">
        <f t="shared" ca="1" si="44"/>
        <v>-0.95067570665781187</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-11.298738229607793</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0</v>
      </c>
      <c r="BM19" s="575"/>
      <c r="BN19" s="404"/>
      <c r="BO19" s="2759">
        <f t="shared" ref="BO19:DF19" ca="1" si="46">BO17+BO18</f>
        <v>0.19462347147783524</v>
      </c>
      <c r="BP19" s="2759">
        <f t="shared" ca="1" si="46"/>
        <v>7.1871083423330584E-5</v>
      </c>
      <c r="BQ19" s="2759">
        <f t="shared" ca="1" si="46"/>
        <v>3.0767668570273422E-3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0.19777210941828591</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36.200654875742146</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36.200654875742146</v>
      </c>
      <c r="S21" s="611">
        <f t="shared" ref="S21:AJ21" ca="1" si="48">IFERROR(INDEX(INDIRECT($C21&amp;".Outputs["&amp;this.Year&amp;"]"), MATCH(S$5, INDIRECT($C21&amp;".Outputs[Vector]"), 0)), 0)</f>
        <v>-12.939749280324914</v>
      </c>
      <c r="T21" s="611">
        <f t="shared" ca="1" si="48"/>
        <v>0</v>
      </c>
      <c r="U21" s="611">
        <f t="shared" ca="1" si="48"/>
        <v>-4.3318213414220113</v>
      </c>
      <c r="V21" s="611">
        <f t="shared" ca="1" si="48"/>
        <v>-8.844715600652659</v>
      </c>
      <c r="W21" s="611">
        <f t="shared" ca="1" si="48"/>
        <v>-10.08436865334256</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-36.200654875742146</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5.8609475223170149</v>
      </c>
      <c r="BP21" s="2761">
        <f t="shared" ca="1" si="51"/>
        <v>2.9975997538087733E-3</v>
      </c>
      <c r="BQ21" s="2761">
        <f t="shared" ca="1" si="51"/>
        <v>4.0976628584388358E-2</v>
      </c>
      <c r="BR21" s="2761">
        <f t="shared" ca="1" si="51"/>
        <v>0</v>
      </c>
      <c r="BS21" s="2761">
        <f t="shared" ca="1" si="51"/>
        <v>0</v>
      </c>
      <c r="BT21" s="2761">
        <f t="shared" ca="1" si="51"/>
        <v>0</v>
      </c>
      <c r="BU21" s="2761">
        <f t="shared" ca="1" si="51"/>
        <v>0</v>
      </c>
      <c r="BV21" s="2761">
        <f t="shared" ca="1" si="51"/>
        <v>0</v>
      </c>
      <c r="BW21" s="2761">
        <f t="shared" ca="1" si="51"/>
        <v>1.5426239425000261</v>
      </c>
      <c r="BX21" s="2761">
        <f t="shared" ca="1" si="51"/>
        <v>0</v>
      </c>
      <c r="BY21" s="2761">
        <f t="shared" ca="1" si="51"/>
        <v>0</v>
      </c>
      <c r="BZ21" s="2761">
        <f t="shared" ca="1" si="51"/>
        <v>1.0990393571708086</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8.5465850503260477</v>
      </c>
    </row>
    <row r="22" spans="1:112" s="6" customFormat="1" ht="15.5">
      <c r="A22" s="4"/>
      <c r="B22" s="3"/>
      <c r="C22" s="607" t="s">
        <v>468</v>
      </c>
      <c r="D22" s="608" t="s">
        <v>359</v>
      </c>
      <c r="E22" s="201"/>
      <c r="G22" s="609">
        <f ca="1">G21</f>
        <v>0</v>
      </c>
      <c r="H22" s="609">
        <f t="shared" ref="H22:P22" ca="1" si="52">H21</f>
        <v>0</v>
      </c>
      <c r="I22" s="609">
        <f t="shared" ca="1" si="52"/>
        <v>36.200654875742146</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36.200654875742146</v>
      </c>
      <c r="S22" s="572">
        <f t="shared" ref="S22:AJ22" ca="1" si="53">S21</f>
        <v>-12.939749280324914</v>
      </c>
      <c r="T22" s="572">
        <f t="shared" ca="1" si="53"/>
        <v>0</v>
      </c>
      <c r="U22" s="572">
        <f t="shared" ca="1" si="53"/>
        <v>-4.3318213414220113</v>
      </c>
      <c r="V22" s="572">
        <f t="shared" ca="1" si="53"/>
        <v>-8.844715600652659</v>
      </c>
      <c r="W22" s="572">
        <f t="shared" ca="1" si="53"/>
        <v>-10.08436865334256</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-36.200654875742146</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5.8609475223170149</v>
      </c>
      <c r="BP22" s="2759">
        <f t="shared" ca="1" si="55"/>
        <v>2.9975997538087733E-3</v>
      </c>
      <c r="BQ22" s="2759">
        <f t="shared" ca="1" si="55"/>
        <v>4.0976628584388358E-2</v>
      </c>
      <c r="BR22" s="2759">
        <f t="shared" ca="1" si="55"/>
        <v>0</v>
      </c>
      <c r="BS22" s="2759">
        <f t="shared" ca="1" si="55"/>
        <v>0</v>
      </c>
      <c r="BT22" s="2759">
        <f t="shared" ca="1" si="55"/>
        <v>0</v>
      </c>
      <c r="BU22" s="2759">
        <f t="shared" ca="1" si="55"/>
        <v>0</v>
      </c>
      <c r="BV22" s="2759">
        <f t="shared" ca="1" si="55"/>
        <v>0</v>
      </c>
      <c r="BW22" s="2759">
        <f t="shared" ca="1" si="55"/>
        <v>1.5426239425000261</v>
      </c>
      <c r="BX22" s="2759">
        <f t="shared" ca="1" si="55"/>
        <v>0</v>
      </c>
      <c r="BY22" s="2759">
        <f t="shared" ca="1" si="55"/>
        <v>0</v>
      </c>
      <c r="BZ22" s="2759">
        <f t="shared" ca="1" si="55"/>
        <v>1.0990393571708086</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8.5465850503260477</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24.036435649412958</v>
      </c>
      <c r="K24" s="580">
        <f t="shared" ca="1" si="56"/>
        <v>0.53298540885835932</v>
      </c>
      <c r="L24" s="580">
        <f t="shared" ca="1" si="56"/>
        <v>2.7773770259370195E-2</v>
      </c>
      <c r="M24" s="580">
        <f t="shared" ca="1" si="56"/>
        <v>0</v>
      </c>
      <c r="N24" s="580">
        <f t="shared" ca="1" si="56"/>
        <v>0</v>
      </c>
      <c r="O24" s="580">
        <f t="shared" ca="1" si="56"/>
        <v>0</v>
      </c>
      <c r="P24" s="580">
        <f t="shared" ca="1" si="56"/>
        <v>0</v>
      </c>
      <c r="Q24" s="581">
        <f t="shared" ref="Q24:Q32" ca="1" si="57">SUM(G24:P24)</f>
        <v>24.597194828530686</v>
      </c>
      <c r="S24" s="582">
        <f t="shared" ref="S24:AJ30" ca="1" si="58">IFERROR(INDEX(INDIRECT($C24&amp;".Outputs["&amp;this.Year&amp;"]"), MATCH(S$5, INDIRECT($C24&amp;".Outputs[Vector]"), 0)), 0)</f>
        <v>-0.85486832975631022</v>
      </c>
      <c r="T24" s="582">
        <f t="shared" ca="1" si="58"/>
        <v>0</v>
      </c>
      <c r="U24" s="582">
        <f t="shared" ca="1" si="58"/>
        <v>0</v>
      </c>
      <c r="V24" s="582">
        <f t="shared" ca="1" si="58"/>
        <v>-23.742326498774375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-24.597194828530686</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6.2651251164965807</v>
      </c>
      <c r="BP24" s="2759">
        <f t="shared" ca="1" si="66"/>
        <v>5.3847596499220288E-3</v>
      </c>
      <c r="BQ24" s="2759">
        <f t="shared" ca="1" si="66"/>
        <v>1.5897861823579322E-2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6.286407737970082</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21.29454185847861</v>
      </c>
      <c r="K25" s="580">
        <f t="shared" ca="1" si="56"/>
        <v>5.9500416899839117E-3</v>
      </c>
      <c r="L25" s="580">
        <f t="shared" ca="1" si="56"/>
        <v>0</v>
      </c>
      <c r="M25" s="580">
        <f t="shared" ca="1" si="56"/>
        <v>0.66</v>
      </c>
      <c r="N25" s="580">
        <f t="shared" ca="1" si="56"/>
        <v>0</v>
      </c>
      <c r="O25" s="580">
        <f t="shared" ca="1" si="56"/>
        <v>0</v>
      </c>
      <c r="P25" s="580">
        <f t="shared" ca="1" si="56"/>
        <v>0</v>
      </c>
      <c r="Q25" s="581">
        <f t="shared" ca="1" si="57"/>
        <v>21.960491900168595</v>
      </c>
      <c r="S25" s="582">
        <f t="shared" ca="1" si="58"/>
        <v>-0.21973350873395048</v>
      </c>
      <c r="T25" s="582">
        <f t="shared" ca="1" si="58"/>
        <v>0</v>
      </c>
      <c r="U25" s="582">
        <f t="shared" ca="1" si="58"/>
        <v>0</v>
      </c>
      <c r="V25" s="582">
        <f t="shared" ca="1" si="58"/>
        <v>-21.740758391434643</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-21.960491900168591</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4.1577980189717971</v>
      </c>
      <c r="BP25" s="2759">
        <f t="shared" ca="1" si="66"/>
        <v>3.5735508212172348E-3</v>
      </c>
      <c r="BQ25" s="2759">
        <f t="shared" ca="1" si="66"/>
        <v>1.0550483376927074E-2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4.1719220531699417</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9.4283309514618914</v>
      </c>
      <c r="O26" s="580">
        <f t="shared" ca="1" si="56"/>
        <v>0</v>
      </c>
      <c r="P26" s="580">
        <f t="shared" ca="1" si="56"/>
        <v>0</v>
      </c>
      <c r="Q26" s="581">
        <f t="shared" ca="1" si="57"/>
        <v>9.4283309514618914</v>
      </c>
      <c r="S26" s="582">
        <f t="shared" ca="1" si="58"/>
        <v>0</v>
      </c>
      <c r="T26" s="582">
        <f t="shared" ca="1" si="58"/>
        <v>0</v>
      </c>
      <c r="U26" s="582">
        <f t="shared" ca="1" si="58"/>
        <v>0</v>
      </c>
      <c r="V26" s="582">
        <f t="shared" ca="1" si="58"/>
        <v>-9.4283309514618914</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-9.4283309514618914</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2.4879479714717636</v>
      </c>
      <c r="CV26" s="2759">
        <f t="shared" ca="1" si="69"/>
        <v>2.1383454597915571E-3</v>
      </c>
      <c r="CW26" s="2759">
        <f t="shared" ca="1" si="69"/>
        <v>6.3132104050988829E-3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2.4963995273366537</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9.4283309514618914</v>
      </c>
      <c r="O28" s="581">
        <f ca="1">SUM(O26:O27)</f>
        <v>0</v>
      </c>
      <c r="P28" s="581">
        <f t="shared" ca="1" si="70"/>
        <v>0</v>
      </c>
      <c r="Q28" s="581">
        <f t="shared" ca="1" si="57"/>
        <v>9.4283309514618914</v>
      </c>
      <c r="S28" s="583">
        <f t="shared" ref="S28:AJ28" ca="1" si="71">SUM(S26:S27)</f>
        <v>0</v>
      </c>
      <c r="T28" s="583">
        <f t="shared" ca="1" si="71"/>
        <v>0</v>
      </c>
      <c r="U28" s="583">
        <f t="shared" ca="1" si="71"/>
        <v>0</v>
      </c>
      <c r="V28" s="583">
        <f t="shared" ca="1" si="71"/>
        <v>-9.4283309514618914</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-9.4283309514618914</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2.4879479714717636</v>
      </c>
      <c r="CV28" s="2759">
        <f t="shared" ca="1" si="73"/>
        <v>2.1383454597915571E-3</v>
      </c>
      <c r="CW28" s="2759">
        <f t="shared" ca="1" si="73"/>
        <v>6.3132104050988829E-3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2.4963995273366537</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45.330977507891568</v>
      </c>
      <c r="K32" s="609">
        <f t="shared" ca="1" si="85"/>
        <v>0.53893545054834324</v>
      </c>
      <c r="L32" s="609">
        <f t="shared" ca="1" si="85"/>
        <v>2.7773770259370195E-2</v>
      </c>
      <c r="M32" s="609">
        <f t="shared" ca="1" si="85"/>
        <v>0.66</v>
      </c>
      <c r="N32" s="609">
        <f t="shared" ca="1" si="85"/>
        <v>9.4283309514618914</v>
      </c>
      <c r="O32" s="609">
        <f t="shared" ca="1" si="85"/>
        <v>0</v>
      </c>
      <c r="P32" s="609">
        <f t="shared" ca="1" si="85"/>
        <v>0</v>
      </c>
      <c r="Q32" s="609">
        <f t="shared" ca="1" si="57"/>
        <v>55.986017680161169</v>
      </c>
      <c r="S32" s="572">
        <f t="shared" ref="S32:AJ32" ca="1" si="86">S24+S25+S28+S31</f>
        <v>-1.0746018384902607</v>
      </c>
      <c r="T32" s="572">
        <f t="shared" ca="1" si="86"/>
        <v>0</v>
      </c>
      <c r="U32" s="572">
        <f t="shared" ca="1" si="86"/>
        <v>0</v>
      </c>
      <c r="V32" s="572">
        <f t="shared" ca="1" si="86"/>
        <v>-54.911415841670902</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-55.986017680161162</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7.1054273576010019E-15</v>
      </c>
      <c r="BM32" s="575"/>
      <c r="BN32" s="404"/>
      <c r="BO32" s="2759">
        <f t="shared" ref="BO32:DF32" ca="1" si="88">BO24+BO25+BO28+BO31</f>
        <v>10.422923135468377</v>
      </c>
      <c r="BP32" s="2759">
        <f t="shared" ca="1" si="88"/>
        <v>8.9583104711392636E-3</v>
      </c>
      <c r="BQ32" s="2759">
        <f t="shared" ca="1" si="88"/>
        <v>2.6448345200506394E-2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2.4879479714717636</v>
      </c>
      <c r="CV32" s="2759">
        <f t="shared" ca="1" si="88"/>
        <v>2.1383454597915571E-3</v>
      </c>
      <c r="CW32" s="2759">
        <f t="shared" ca="1" si="88"/>
        <v>6.3132104050988829E-3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12.954729318476677</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43.41920856398503</v>
      </c>
      <c r="H40" s="624">
        <f t="shared" ca="1" si="107"/>
        <v>11.298738229607793</v>
      </c>
      <c r="I40" s="624">
        <f t="shared" ca="1" si="107"/>
        <v>36.200654875742146</v>
      </c>
      <c r="J40" s="624">
        <f t="shared" ca="1" si="107"/>
        <v>45.330977507891568</v>
      </c>
      <c r="K40" s="624">
        <f t="shared" ca="1" si="107"/>
        <v>0.53893545054834324</v>
      </c>
      <c r="L40" s="624">
        <f t="shared" ca="1" si="107"/>
        <v>2.7773770259370195E-2</v>
      </c>
      <c r="M40" s="624">
        <f t="shared" ca="1" si="107"/>
        <v>0.66</v>
      </c>
      <c r="N40" s="624">
        <f t="shared" ca="1" si="107"/>
        <v>9.4283309514618914</v>
      </c>
      <c r="O40" s="624">
        <f t="shared" ca="1" si="107"/>
        <v>0</v>
      </c>
      <c r="P40" s="624">
        <f t="shared" ca="1" si="107"/>
        <v>0</v>
      </c>
      <c r="Q40" s="624">
        <f t="shared" ca="1" si="107"/>
        <v>146.90461934949616</v>
      </c>
      <c r="S40" s="625">
        <f t="shared" ref="S40:AJ40" ca="1" si="108">S$15+S$19+S$22+S$32+S$35+S$38</f>
        <v>-30.965812139244065</v>
      </c>
      <c r="T40" s="625">
        <f t="shared" ca="1" si="108"/>
        <v>0</v>
      </c>
      <c r="U40" s="625">
        <f t="shared" ca="1" si="108"/>
        <v>-4.6809644035740403</v>
      </c>
      <c r="V40" s="625">
        <f t="shared" ca="1" si="108"/>
        <v>-71.542725648039351</v>
      </c>
      <c r="W40" s="625">
        <f t="shared" ca="1" si="108"/>
        <v>-39.088682274975717</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-7.3391639360886121E-2</v>
      </c>
      <c r="AJ40" s="625">
        <f t="shared" ca="1" si="108"/>
        <v>0</v>
      </c>
      <c r="AK40" s="625">
        <f ca="1">SUM(S40:AJ40)</f>
        <v>-146.35157610519406</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-0.55304324430206342</v>
      </c>
      <c r="BD40" s="626">
        <f t="shared" ca="1" si="109"/>
        <v>0</v>
      </c>
      <c r="BE40" s="626">
        <f t="shared" ca="1" si="109"/>
        <v>0</v>
      </c>
      <c r="BF40" s="626">
        <f ca="1">SUM(AM40:BE40)</f>
        <v>-0.55304324430206342</v>
      </c>
      <c r="BH40" s="3432">
        <f ca="1">BH$15+BH$19+BH$22+BH$32+BH$35+BH$38</f>
        <v>0</v>
      </c>
      <c r="BI40" s="3432">
        <f ca="1">BI$15+BI$19+BI$22+BI$32+BI$35+BI$38</f>
        <v>0</v>
      </c>
      <c r="BJ40" s="3432">
        <f ca="1">SUM(BH40:BI40)</f>
        <v>0</v>
      </c>
      <c r="BL40" s="3446">
        <f t="shared" ca="1" si="10"/>
        <v>3.9301895071730542E-14</v>
      </c>
      <c r="BM40" s="627"/>
      <c r="BO40" s="2762">
        <f t="shared" ref="BO40:DF40" ca="1" si="110">BO$15+BO$19+BO$22+BO$32+BO$35+BO$38</f>
        <v>24.394273545173878</v>
      </c>
      <c r="BP40" s="2762">
        <f t="shared" ca="1" si="110"/>
        <v>1.5933112551448931E-2</v>
      </c>
      <c r="BQ40" s="2762">
        <f t="shared" ca="1" si="110"/>
        <v>0.16670325969877645</v>
      </c>
      <c r="BR40" s="2762">
        <f t="shared" ca="1" si="110"/>
        <v>0</v>
      </c>
      <c r="BS40" s="2762">
        <f t="shared" ca="1" si="110"/>
        <v>0</v>
      </c>
      <c r="BT40" s="2762">
        <f t="shared" ca="1" si="110"/>
        <v>0</v>
      </c>
      <c r="BU40" s="2762">
        <f t="shared" ca="1" si="110"/>
        <v>0</v>
      </c>
      <c r="BV40" s="2762">
        <f t="shared" ca="1" si="110"/>
        <v>0</v>
      </c>
      <c r="BW40" s="2762">
        <f t="shared" ca="1" si="110"/>
        <v>1.5426239425000261</v>
      </c>
      <c r="BX40" s="2762">
        <f t="shared" ca="1" si="110"/>
        <v>0</v>
      </c>
      <c r="BY40" s="2762">
        <f t="shared" ca="1" si="110"/>
        <v>0</v>
      </c>
      <c r="BZ40" s="2762">
        <f t="shared" ca="1" si="110"/>
        <v>1.0990393571708086</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2.4879479714717636</v>
      </c>
      <c r="CV40" s="2762">
        <f t="shared" ca="1" si="110"/>
        <v>2.1383454597915571E-3</v>
      </c>
      <c r="CW40" s="2762">
        <f t="shared" ca="1" si="110"/>
        <v>6.3132104050988829E-3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29.714972744431595</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0.2451416184971098</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0.43772900174909557</v>
      </c>
      <c r="AG49" s="582">
        <f t="shared" ca="1" si="122"/>
        <v>5.9736975718930642E-2</v>
      </c>
      <c r="AH49" s="582">
        <f t="shared" ca="1" si="122"/>
        <v>0.12398271823418237</v>
      </c>
      <c r="AI49" s="582">
        <f t="shared" ca="1" si="122"/>
        <v>0</v>
      </c>
      <c r="AJ49" s="582">
        <f t="shared" ca="1" si="122"/>
        <v>0</v>
      </c>
      <c r="AK49" s="583">
        <f ca="1">SUM(S49:AJ49)</f>
        <v>0.86659031419931842</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-0.86659031419931842</v>
      </c>
      <c r="BF49" s="600">
        <f ca="1">SUM(AM49:BE49)</f>
        <v>-0.86659031419931842</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0.61797262540539744</v>
      </c>
      <c r="CO49" s="2759">
        <f t="shared" ca="1" si="129"/>
        <v>5.9899473214285702E-2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0.67787209861968312</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3.003992534198983</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3.003992534198983</v>
      </c>
      <c r="S50" s="611">
        <f t="shared" ref="S50:AJ50" ca="1" si="132">IFERROR(INDEX(INDIRECT($C50&amp;".Outputs["&amp;this.Year&amp;"]"), MATCH(S$5, INDIRECT($C50&amp;".Outputs[Vector]"), 0)), 0)</f>
        <v>-0.63083843218178637</v>
      </c>
      <c r="T50" s="611">
        <f t="shared" ca="1" si="132"/>
        <v>0</v>
      </c>
      <c r="U50" s="611">
        <f t="shared" ca="1" si="132"/>
        <v>0</v>
      </c>
      <c r="V50" s="611">
        <f t="shared" ca="1" si="132"/>
        <v>-2.3731541020171969</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0.17915938209945831</v>
      </c>
      <c r="AE50" s="611">
        <f t="shared" ca="1" si="132"/>
        <v>0.19806101343062021</v>
      </c>
      <c r="AF50" s="611">
        <f t="shared" ca="1" si="132"/>
        <v>2.1003123918918916</v>
      </c>
      <c r="AG50" s="611">
        <f t="shared" ca="1" si="132"/>
        <v>0.48120379839822636</v>
      </c>
      <c r="AH50" s="611">
        <f t="shared" ca="1" si="132"/>
        <v>0</v>
      </c>
      <c r="AI50" s="611">
        <f t="shared" ca="1" si="132"/>
        <v>0</v>
      </c>
      <c r="AJ50" s="611">
        <f t="shared" ca="1" si="132"/>
        <v>0</v>
      </c>
      <c r="AK50" s="604">
        <f ca="1">SUM(S50:AJ50)</f>
        <v>-4.525594837878677E-2</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-0.37722039553007852</v>
      </c>
      <c r="BE50" s="612">
        <f t="shared" ca="1" si="133"/>
        <v>-2.581516190290118</v>
      </c>
      <c r="BF50" s="606">
        <f ca="1">SUM(AM50:BE50)</f>
        <v>-2.9587365858201964</v>
      </c>
      <c r="BH50" s="3441">
        <f t="shared" ca="1" si="126"/>
        <v>0</v>
      </c>
      <c r="BI50" s="3441">
        <f t="shared" ca="1" si="126"/>
        <v>0</v>
      </c>
      <c r="BJ50" s="3430">
        <f ca="1">SUM(BH50:BI50)</f>
        <v>0</v>
      </c>
      <c r="BL50" s="601">
        <f ca="1">Q50+AK50+BF50+BJ50</f>
        <v>0</v>
      </c>
      <c r="BM50" s="601"/>
      <c r="BN50" s="404"/>
      <c r="BO50" s="2760">
        <f t="shared" ca="1" si="127"/>
        <v>0.62622790444029774</v>
      </c>
      <c r="BP50" s="2761">
        <f t="shared" ca="1" si="127"/>
        <v>5.3823135033750024E-4</v>
      </c>
      <c r="BQ50" s="2761">
        <f t="shared" ca="1" si="127"/>
        <v>1.589063986710715E-3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10.634382090757413</v>
      </c>
      <c r="CG50" s="2761">
        <f t="shared" ca="1" si="128"/>
        <v>5.6603978384106233</v>
      </c>
      <c r="CH50" s="2761">
        <f t="shared" ca="1" si="128"/>
        <v>0</v>
      </c>
      <c r="CI50" s="2761">
        <f t="shared" ca="1" si="129"/>
        <v>3.007792752618919</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19.930927881564301</v>
      </c>
    </row>
    <row r="51" spans="1:112" s="6" customFormat="1" ht="15.5">
      <c r="A51" s="4"/>
      <c r="B51" s="3"/>
      <c r="C51" s="607" t="s">
        <v>503</v>
      </c>
      <c r="D51" s="608" t="s">
        <v>504</v>
      </c>
      <c r="E51" s="201"/>
      <c r="G51" s="609">
        <f ca="1">SUM(G48:G50)</f>
        <v>0</v>
      </c>
      <c r="H51" s="609">
        <f t="shared" ref="H51:P51" ca="1" si="134">SUM(H48:H50)</f>
        <v>0</v>
      </c>
      <c r="I51" s="609">
        <f t="shared" ca="1" si="134"/>
        <v>3.003992534198983</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3.003992534198983</v>
      </c>
      <c r="S51" s="572">
        <f t="shared" ref="S51:AJ51" ca="1" si="135">SUM(S48:S50)</f>
        <v>-0.63083843218178637</v>
      </c>
      <c r="T51" s="572">
        <f t="shared" ca="1" si="135"/>
        <v>0</v>
      </c>
      <c r="U51" s="572">
        <f t="shared" ca="1" si="135"/>
        <v>0</v>
      </c>
      <c r="V51" s="572">
        <f t="shared" ca="1" si="135"/>
        <v>-2.3731541020171969</v>
      </c>
      <c r="W51" s="572">
        <f t="shared" ca="1" si="135"/>
        <v>0</v>
      </c>
      <c r="X51" s="572">
        <f t="shared" ca="1" si="135"/>
        <v>0.2451416184971098</v>
      </c>
      <c r="Y51" s="572">
        <f t="shared" ca="1" si="135"/>
        <v>0</v>
      </c>
      <c r="Z51" s="572">
        <f t="shared" ca="1" si="135"/>
        <v>0</v>
      </c>
      <c r="AA51" s="572">
        <f t="shared" ca="1" si="135"/>
        <v>0</v>
      </c>
      <c r="AB51" s="572">
        <f t="shared" ca="1" si="135"/>
        <v>0</v>
      </c>
      <c r="AC51" s="572">
        <f t="shared" ca="1" si="135"/>
        <v>0</v>
      </c>
      <c r="AD51" s="572">
        <f t="shared" ca="1" si="135"/>
        <v>0.17915938209945831</v>
      </c>
      <c r="AE51" s="572">
        <f ca="1">SUM(AE48:AE50)</f>
        <v>0.19806101343062021</v>
      </c>
      <c r="AF51" s="572">
        <f t="shared" ca="1" si="135"/>
        <v>2.5380413936409871</v>
      </c>
      <c r="AG51" s="572">
        <f t="shared" ca="1" si="135"/>
        <v>0.54094077411715702</v>
      </c>
      <c r="AH51" s="572">
        <f ca="1">SUM(AH48:AH50)</f>
        <v>0.12398271823418237</v>
      </c>
      <c r="AI51" s="572">
        <f t="shared" ca="1" si="135"/>
        <v>0</v>
      </c>
      <c r="AJ51" s="572">
        <f t="shared" ca="1" si="135"/>
        <v>0</v>
      </c>
      <c r="AK51" s="572">
        <f ca="1">SUM(S51:AJ51)</f>
        <v>0.82133436582053165</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-0.37722039553007852</v>
      </c>
      <c r="BE51" s="573">
        <f t="shared" ca="1" si="136"/>
        <v>-3.4481065044894366</v>
      </c>
      <c r="BF51" s="573">
        <f ca="1">SUM(AM51:BE51)</f>
        <v>-3.8253269000195149</v>
      </c>
      <c r="BH51" s="3431">
        <f ca="1">SUM(BH48:BH50)</f>
        <v>0</v>
      </c>
      <c r="BI51" s="3431">
        <f ca="1">SUM(BI48:BI50)</f>
        <v>0</v>
      </c>
      <c r="BJ51" s="3431">
        <f ca="1">SUM(BH51:BI51)</f>
        <v>0</v>
      </c>
      <c r="BL51" s="3445">
        <f ca="1">Q51+AK51+BF51+BJ51</f>
        <v>-4.4408920985006262E-16</v>
      </c>
      <c r="BM51" s="575"/>
      <c r="BN51" s="404"/>
      <c r="BO51" s="2759">
        <f t="shared" ref="BO51:DF51" ca="1" si="137">SUM(BO48:BO50)</f>
        <v>0.62622790444029774</v>
      </c>
      <c r="BP51" s="2759">
        <f t="shared" ca="1" si="137"/>
        <v>5.3823135033750024E-4</v>
      </c>
      <c r="BQ51" s="2759">
        <f t="shared" ca="1" si="137"/>
        <v>1.589063986710715E-3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10.634382090757413</v>
      </c>
      <c r="CG51" s="2759">
        <f t="shared" ca="1" si="137"/>
        <v>5.6603978384106233</v>
      </c>
      <c r="CH51" s="2759">
        <f t="shared" ca="1" si="137"/>
        <v>0</v>
      </c>
      <c r="CI51" s="2759">
        <f t="shared" ca="1" si="137"/>
        <v>3.007792752618919</v>
      </c>
      <c r="CJ51" s="2759">
        <f t="shared" ca="1" si="137"/>
        <v>0</v>
      </c>
      <c r="CK51" s="2759">
        <f t="shared" ca="1" si="137"/>
        <v>0</v>
      </c>
      <c r="CL51" s="2759">
        <f t="shared" ca="1" si="137"/>
        <v>0</v>
      </c>
      <c r="CM51" s="2759">
        <f t="shared" ca="1" si="137"/>
        <v>0</v>
      </c>
      <c r="CN51" s="2759">
        <f t="shared" ca="1" si="137"/>
        <v>0.61797262540539744</v>
      </c>
      <c r="CO51" s="2759">
        <f t="shared" ca="1" si="137"/>
        <v>5.9899473214285702E-2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20.608799980183985</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0.33310800000000007</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0.33310800000000007</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-0.33310800000000007</v>
      </c>
      <c r="BC59" s="584">
        <f t="shared" ca="1" si="158"/>
        <v>0</v>
      </c>
      <c r="BD59" s="584">
        <f t="shared" ca="1" si="158"/>
        <v>0</v>
      </c>
      <c r="BE59" s="584">
        <f t="shared" ca="1" si="158"/>
        <v>0</v>
      </c>
      <c r="BF59" s="600">
        <f t="shared" ca="1" si="159"/>
        <v>-0.33310800000000007</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0.38491505999999981</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0.38491505999999981</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-1.3017510000000001E-2</v>
      </c>
      <c r="BA63" s="573">
        <f t="shared" ca="1" si="168"/>
        <v>0</v>
      </c>
      <c r="BB63" s="573">
        <f t="shared" ca="1" si="168"/>
        <v>-0.33310800000000007</v>
      </c>
      <c r="BC63" s="573">
        <f t="shared" ca="1" si="168"/>
        <v>0</v>
      </c>
      <c r="BD63" s="573">
        <f t="shared" ca="1" si="168"/>
        <v>0</v>
      </c>
      <c r="BE63" s="573">
        <f t="shared" ca="1" si="168"/>
        <v>0</v>
      </c>
      <c r="BF63" s="573">
        <f t="shared" ca="1" si="159"/>
        <v>-0.38491505999999981</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5.2422599543490087E-3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5.2422599543490087E-3</v>
      </c>
      <c r="S66" s="651">
        <f t="shared" ca="1" si="171"/>
        <v>-5.2422599543490087E-3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7.3391639360886121E-2</v>
      </c>
      <c r="AJ66" s="651">
        <f t="shared" ca="1" si="171"/>
        <v>0</v>
      </c>
      <c r="AK66" s="652">
        <f ca="1">SUM(S66:AJ66)</f>
        <v>6.8149379406537119E-2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-7.3391639360886121E-2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-7.3391639360886121E-2</v>
      </c>
      <c r="BH66" s="654">
        <f t="shared" ca="1" si="175"/>
        <v>0</v>
      </c>
      <c r="BI66" s="654">
        <f t="shared" ca="1" si="175"/>
        <v>0</v>
      </c>
      <c r="BJ66" s="655">
        <f ca="1">SUM(BH66:BI66)</f>
        <v>0</v>
      </c>
      <c r="BL66" s="601">
        <f t="shared" ca="1" si="176"/>
        <v>1.3877787807814457E-17</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5.2422599543490087E-3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5.2422599543490087E-3</v>
      </c>
      <c r="S68" s="572">
        <f t="shared" ref="S68:AJ68" ca="1" si="179">SUM(S65:S67)</f>
        <v>-5.2422599543490087E-3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7.3391639360886121E-2</v>
      </c>
      <c r="AJ68" s="572">
        <f t="shared" ca="1" si="179"/>
        <v>0</v>
      </c>
      <c r="AK68" s="572">
        <f ca="1">SUM(S68:AJ68)</f>
        <v>6.8149379406537119E-2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-7.3391639360886121E-2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-7.3391639360886121E-2</v>
      </c>
      <c r="BH68" s="3431">
        <f ca="1">SUM(BH65:BH67)</f>
        <v>0</v>
      </c>
      <c r="BI68" s="3431">
        <f ca="1">SUM(BI65:BI67)</f>
        <v>0</v>
      </c>
      <c r="BJ68" s="3431">
        <f ca="1">SUM(BH68:BI68)</f>
        <v>0</v>
      </c>
      <c r="BL68" s="3445">
        <f t="shared" ca="1" si="176"/>
        <v>1.3877787807814457E-17</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-31.827880936203822</v>
      </c>
      <c r="T74" s="662">
        <f ca="1">T$40+T$46+T$51+T$99+T$55+T$93+T$63+T$68+T$72</f>
        <v>-4.1646645764390726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-31.827880936203822</v>
      </c>
      <c r="T78" s="662">
        <f ca="1">T$74+T$76</f>
        <v>-4.1646645764390726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-31.827880936203822</v>
      </c>
      <c r="T80" s="636">
        <f ca="1">T78+T79</f>
        <v>-4.1646645764390726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35.992545512642891</v>
      </c>
      <c r="U81" s="611">
        <f t="shared" ca="1" si="207"/>
        <v>0</v>
      </c>
      <c r="V81" s="611">
        <f t="shared" ca="1" si="207"/>
        <v>0</v>
      </c>
      <c r="W81" s="611">
        <f t="shared" ca="1" si="207"/>
        <v>-66.74981167799227</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-30.757266165349378</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30.037415255096519</v>
      </c>
      <c r="BI81" s="3441">
        <f ca="1">IFERROR(INDEX(INDIRECT($C81&amp;".Outputs["&amp;this.Year&amp;"]"), MATCH(BI$5, INDIRECT($C81&amp;".Outputs[Vector]"), 0)), 0)</f>
        <v>0.71985091025285786</v>
      </c>
      <c r="BJ81" s="3430">
        <f ca="1">SUM(BH81:BI81)</f>
        <v>30.757266165349378</v>
      </c>
      <c r="BK81" s="6"/>
      <c r="BL81" s="601">
        <f t="shared" ca="1" si="191"/>
        <v>0</v>
      </c>
      <c r="BM81" s="601"/>
      <c r="BN81" s="404"/>
      <c r="BO81" s="2760">
        <f t="shared" ref="BO81:DF81" ca="1" si="210">IFERROR(SUMIFS(INDIRECT($C81&amp;".Emissions["&amp;this.Year&amp;"]"), INDIRECT($C81&amp;".Emissions[GHG]"), BO$6, INDIRECT($C81&amp;".Emissions[IPCC Sector]"), BO$5),0)</f>
        <v>13.66510154649259</v>
      </c>
      <c r="BP81" s="2761">
        <f t="shared" ca="1" si="210"/>
        <v>5.0462857628562159E-3</v>
      </c>
      <c r="BQ81" s="2761">
        <f t="shared" ca="1" si="210"/>
        <v>0.21602909051465419</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13.886176922770101</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35.992545512642891</v>
      </c>
      <c r="U82" s="572">
        <f t="shared" ca="1" si="212"/>
        <v>0</v>
      </c>
      <c r="V82" s="572">
        <f t="shared" ca="1" si="212"/>
        <v>0</v>
      </c>
      <c r="W82" s="572">
        <f t="shared" ca="1" si="212"/>
        <v>-66.74981167799227</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-30.757266165349378</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30.037415255096519</v>
      </c>
      <c r="BI82" s="3431">
        <f ca="1">BI79+BI81</f>
        <v>0.71985091025285786</v>
      </c>
      <c r="BJ82" s="3431">
        <f ca="1">SUM(BH82:BI82)</f>
        <v>30.757266165349378</v>
      </c>
      <c r="BL82" s="3445">
        <f t="shared" ca="1" si="191"/>
        <v>0</v>
      </c>
      <c r="BM82" s="575"/>
      <c r="BN82" s="404"/>
      <c r="BO82" s="2759">
        <f t="shared" ref="BO82:DF82" ca="1" si="214">BO79+BO81</f>
        <v>13.66510154649259</v>
      </c>
      <c r="BP82" s="2759">
        <f t="shared" ca="1" si="214"/>
        <v>5.0462857628562159E-3</v>
      </c>
      <c r="BQ82" s="2759">
        <f t="shared" ca="1" si="214"/>
        <v>0.21602909051465419</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13.886176922770101</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5.2422599543490087E-3</v>
      </c>
      <c r="I84" s="671">
        <f t="shared" ca="1" si="215"/>
        <v>3.003992534198983</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3.0092347941533322</v>
      </c>
      <c r="S84" s="625">
        <f t="shared" ref="S84:AJ84" ca="1" si="216">S$51+S$55+S$63+S$68+S$72+S$76+S$82+S$46</f>
        <v>-0.86206879695975569</v>
      </c>
      <c r="T84" s="625">
        <f t="shared" ca="1" si="216"/>
        <v>36.373669429825114</v>
      </c>
      <c r="U84" s="625">
        <f t="shared" ca="1" si="216"/>
        <v>0</v>
      </c>
      <c r="V84" s="625">
        <f t="shared" ca="1" si="216"/>
        <v>-4.225439915606068</v>
      </c>
      <c r="W84" s="625">
        <f t="shared" ca="1" si="216"/>
        <v>-66.832213631240975</v>
      </c>
      <c r="X84" s="625">
        <f t="shared" ca="1" si="216"/>
        <v>0.2451416184971098</v>
      </c>
      <c r="Y84" s="625">
        <f t="shared" ca="1" si="216"/>
        <v>0</v>
      </c>
      <c r="Z84" s="625">
        <f t="shared" ca="1" si="216"/>
        <v>0</v>
      </c>
      <c r="AA84" s="625">
        <f t="shared" ca="1" si="216"/>
        <v>0</v>
      </c>
      <c r="AB84" s="625">
        <f t="shared" ca="1" si="216"/>
        <v>0</v>
      </c>
      <c r="AC84" s="625">
        <f t="shared" ca="1" si="216"/>
        <v>0</v>
      </c>
      <c r="AD84" s="625">
        <f t="shared" ca="1" si="216"/>
        <v>0.17915938209945831</v>
      </c>
      <c r="AE84" s="625">
        <f t="shared" ca="1" si="216"/>
        <v>0.19806101343062021</v>
      </c>
      <c r="AF84" s="625">
        <f t="shared" ca="1" si="216"/>
        <v>2.5380413936409871</v>
      </c>
      <c r="AG84" s="625">
        <f t="shared" ca="1" si="216"/>
        <v>0.54094077411715702</v>
      </c>
      <c r="AH84" s="625">
        <f t="shared" ca="1" si="216"/>
        <v>0.12398271823418237</v>
      </c>
      <c r="AI84" s="625">
        <f t="shared" ca="1" si="216"/>
        <v>7.3391639360886121E-2</v>
      </c>
      <c r="AJ84" s="625">
        <f t="shared" ca="1" si="216"/>
        <v>0</v>
      </c>
      <c r="AK84" s="625">
        <f ca="1">SUM(S84:AJ84)</f>
        <v>-31.647334374601289</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-7.3391639360886121E-2</v>
      </c>
      <c r="AX84" s="626">
        <f t="shared" ca="1" si="217"/>
        <v>-3.8789549999999742E-2</v>
      </c>
      <c r="AY84" s="626">
        <f t="shared" ca="1" si="217"/>
        <v>0</v>
      </c>
      <c r="AZ84" s="626">
        <f t="shared" ca="1" si="217"/>
        <v>-1.3017510000000001E-2</v>
      </c>
      <c r="BA84" s="626">
        <f t="shared" ca="1" si="217"/>
        <v>0</v>
      </c>
      <c r="BB84" s="626">
        <f t="shared" ca="1" si="217"/>
        <v>-0.33310800000000007</v>
      </c>
      <c r="BC84" s="626">
        <f t="shared" ca="1" si="217"/>
        <v>0</v>
      </c>
      <c r="BD84" s="626">
        <f t="shared" ca="1" si="217"/>
        <v>-0.37722039553007852</v>
      </c>
      <c r="BE84" s="626">
        <f t="shared" ca="1" si="217"/>
        <v>-3.4481065044894366</v>
      </c>
      <c r="BF84" s="626">
        <f ca="1">SUM(AM84:BE84)</f>
        <v>-4.2836335993804013</v>
      </c>
      <c r="BH84" s="3432">
        <f ca="1">BH$51+BH$55+BH$63+BH$68+BH$72+BH$76+BH$82+BH$46</f>
        <v>30.014668398189873</v>
      </c>
      <c r="BI84" s="3432">
        <f ca="1">BI$51+BI$55+BI$63+BI$68+BI$72+BI$76+BI$82+BI$46</f>
        <v>2.9070647816384723</v>
      </c>
      <c r="BJ84" s="3432">
        <f ca="1">SUM(BH84:BI84)</f>
        <v>32.921733179828344</v>
      </c>
      <c r="BL84" s="3446">
        <f t="shared" ca="1" si="191"/>
        <v>0</v>
      </c>
      <c r="BM84" s="627"/>
      <c r="BO84" s="2762">
        <f t="shared" ref="BO84:DE84" ca="1" si="218">BO$51+BO$55+BO$63+BO$68+BO$72+BO$76+BO$82+BO$46</f>
        <v>14.796980058174137</v>
      </c>
      <c r="BP84" s="2762">
        <f t="shared" ca="1" si="218"/>
        <v>6.0108451233812739E-3</v>
      </c>
      <c r="BQ84" s="2762">
        <f t="shared" ca="1" si="218"/>
        <v>0.21912513076363813</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10.634382090757413</v>
      </c>
      <c r="CG84" s="2762">
        <f t="shared" ca="1" si="218"/>
        <v>5.6603978384106233</v>
      </c>
      <c r="CH84" s="2762">
        <f t="shared" ca="1" si="218"/>
        <v>0</v>
      </c>
      <c r="CI84" s="2762">
        <f t="shared" ca="1" si="218"/>
        <v>3.007792752618919</v>
      </c>
      <c r="CJ84" s="2762">
        <f t="shared" ca="1" si="218"/>
        <v>0</v>
      </c>
      <c r="CK84" s="2762">
        <f t="shared" ca="1" si="218"/>
        <v>0</v>
      </c>
      <c r="CL84" s="2762">
        <f t="shared" ca="1" si="218"/>
        <v>0</v>
      </c>
      <c r="CM84" s="2762">
        <f t="shared" ca="1" si="218"/>
        <v>0</v>
      </c>
      <c r="CN84" s="2762">
        <f t="shared" ca="1" si="218"/>
        <v>0.61797262540539744</v>
      </c>
      <c r="CO84" s="2762">
        <f t="shared" ca="1" si="218"/>
        <v>5.9899473214285702E-2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35.002560814467799</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-31.822638676249472</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-4.5457884936212984</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-4.5457884936212984</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4.5457884936212993</v>
      </c>
      <c r="BJ91" s="3428">
        <f ca="1">SUM(BH91:BI91)</f>
        <v>4.5457884936212993</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-4.5457884936212984</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-4.5457884936212984</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4.5457884936212993</v>
      </c>
      <c r="BJ93" s="3431">
        <f ca="1">SUM(BH93:BI93)</f>
        <v>4.5457884936212993</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-4.6809644035740403</v>
      </c>
      <c r="V95" s="636">
        <f ca="1">(V$40+V$84+V$93)</f>
        <v>-75.768165563645425</v>
      </c>
      <c r="W95" s="636">
        <f ca="1">(W$40+W$84+W$93)</f>
        <v>-105.92089590621669</v>
      </c>
      <c r="X95" s="636"/>
      <c r="Y95" s="636"/>
      <c r="Z95" s="636"/>
      <c r="AA95" s="636"/>
      <c r="AB95" s="636"/>
      <c r="AC95" s="636">
        <f t="shared" ref="AC95:AH95" ca="1" si="239">(AC$40+AC$84+AC$93)</f>
        <v>0</v>
      </c>
      <c r="AD95" s="636">
        <f t="shared" ca="1" si="239"/>
        <v>0.17915938209945831</v>
      </c>
      <c r="AE95" s="636">
        <f t="shared" ca="1" si="239"/>
        <v>0.19806101343062021</v>
      </c>
      <c r="AF95" s="636">
        <f t="shared" ca="1" si="239"/>
        <v>2.5380413936409871</v>
      </c>
      <c r="AG95" s="636">
        <f t="shared" ca="1" si="239"/>
        <v>0.54094077411715702</v>
      </c>
      <c r="AH95" s="636">
        <f t="shared" ca="1" si="239"/>
        <v>0.12398271823418237</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-3.4481065044894366</v>
      </c>
      <c r="BF95" s="637">
        <f ca="1">SUM(AM95:BE95)</f>
        <v>-3.4481065044894366</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2.4111393239589378</v>
      </c>
      <c r="V96" s="689">
        <f t="shared" ca="1" si="241"/>
        <v>0.14320900218883223</v>
      </c>
      <c r="W96" s="689">
        <f t="shared" ca="1" si="241"/>
        <v>0.58378237623376583</v>
      </c>
      <c r="X96" s="689">
        <f t="shared" ca="1" si="241"/>
        <v>0</v>
      </c>
      <c r="Y96" s="689">
        <f t="shared" ca="1" si="241"/>
        <v>0</v>
      </c>
      <c r="Z96" s="689">
        <f t="shared" ca="1" si="241"/>
        <v>0</v>
      </c>
      <c r="AA96" s="689">
        <f t="shared" ca="1" si="241"/>
        <v>0</v>
      </c>
      <c r="AB96" s="689">
        <f t="shared" ca="1" si="241"/>
        <v>0</v>
      </c>
      <c r="AC96" s="689">
        <f t="shared" ca="1" si="241"/>
        <v>0</v>
      </c>
      <c r="AD96" s="689">
        <f t="shared" ca="1" si="241"/>
        <v>-0.17915938209945831</v>
      </c>
      <c r="AE96" s="689">
        <f t="shared" ca="1" si="241"/>
        <v>-0.19806101343062021</v>
      </c>
      <c r="AF96" s="689">
        <f t="shared" ca="1" si="241"/>
        <v>-2.5380413936409871</v>
      </c>
      <c r="AG96" s="689">
        <f t="shared" ca="1" si="241"/>
        <v>-0.54094077411715702</v>
      </c>
      <c r="AH96" s="689">
        <f t="shared" ca="1" si="241"/>
        <v>-0.12398271823418237</v>
      </c>
      <c r="AI96" s="689">
        <f t="shared" ca="1" si="241"/>
        <v>0</v>
      </c>
      <c r="AJ96" s="689">
        <f t="shared" ca="1" si="241"/>
        <v>0</v>
      </c>
      <c r="AK96" s="690">
        <f ca="1">SUM(S96:AJ96)</f>
        <v>-0.44205457914086899</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0.44205457914086876</v>
      </c>
      <c r="BI96" s="3444">
        <f ca="1">IFERROR(INDEX(INDIRECT($C96&amp;".Outputs["&amp;this.Year&amp;"]"), MATCH(BI$5, INDIRECT($C96&amp;".Outputs[Vector]"), 0)), 0)</f>
        <v>0</v>
      </c>
      <c r="BJ96" s="3436">
        <f ca="1">SUM(BH96:BI96)</f>
        <v>0.44205457914086876</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-0.97135726538841116</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-0.97135726538841116</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-2.2698250796151025</v>
      </c>
      <c r="V97" s="636">
        <f ca="1">V$95+V$96</f>
        <v>-75.6249565614566</v>
      </c>
      <c r="W97" s="636">
        <f ca="1">W$95+W$96</f>
        <v>-105.33711352998291</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-0.86659031419931842</v>
      </c>
      <c r="BF97" s="637">
        <f ca="1">SUM(AM97:BE97)</f>
        <v>-0.86659031419931842</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1</v>
      </c>
      <c r="V98" s="611">
        <f t="shared" ca="1" si="246"/>
        <v>0.44999999999999996</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1.45</v>
      </c>
      <c r="AM98" s="612">
        <f t="shared" ref="AM98:BE98" ca="1" si="247">IFERROR(INDEX(INDIRECT($C98&amp;".Outputs["&amp;this.Year&amp;"]"), MATCH(AM$5, INDIRECT($C98&amp;".Outputs[Vector]"), 0)), 0)</f>
        <v>0</v>
      </c>
      <c r="AN98" s="612">
        <f t="shared" ca="1" si="247"/>
        <v>0</v>
      </c>
      <c r="AO98" s="612">
        <f t="shared" ca="1" si="247"/>
        <v>0</v>
      </c>
      <c r="AP98" s="612">
        <f t="shared" ca="1" si="247"/>
        <v>-1.45</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-1.45</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-0.45636840000000001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-0.45636840000000001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3.4111393239589378</v>
      </c>
      <c r="V99" s="572">
        <f t="shared" ca="1" si="250"/>
        <v>0.59320900218883221</v>
      </c>
      <c r="W99" s="572">
        <f t="shared" ca="1" si="250"/>
        <v>0.58378237623376583</v>
      </c>
      <c r="X99" s="572">
        <f t="shared" ca="1" si="250"/>
        <v>0</v>
      </c>
      <c r="Y99" s="572">
        <f t="shared" ca="1" si="250"/>
        <v>0</v>
      </c>
      <c r="Z99" s="572">
        <f t="shared" ca="1" si="250"/>
        <v>0</v>
      </c>
      <c r="AA99" s="572">
        <f t="shared" ca="1" si="250"/>
        <v>0</v>
      </c>
      <c r="AB99" s="572">
        <f t="shared" ca="1" si="250"/>
        <v>0</v>
      </c>
      <c r="AC99" s="572">
        <f t="shared" ca="1" si="250"/>
        <v>0</v>
      </c>
      <c r="AD99" s="572">
        <f ca="1">AD$96+AD98</f>
        <v>-0.17915938209945831</v>
      </c>
      <c r="AE99" s="572">
        <f ca="1">AE$96+AE98</f>
        <v>-0.19806101343062021</v>
      </c>
      <c r="AF99" s="572">
        <f t="shared" ca="1" si="250"/>
        <v>-2.5380413936409871</v>
      </c>
      <c r="AG99" s="572">
        <f t="shared" ca="1" si="250"/>
        <v>-0.54094077411715702</v>
      </c>
      <c r="AH99" s="572">
        <f ca="1">AH$96+AH98</f>
        <v>-0.12398271823418237</v>
      </c>
      <c r="AI99" s="572">
        <f t="shared" ca="1" si="250"/>
        <v>0</v>
      </c>
      <c r="AJ99" s="572">
        <f t="shared" ca="1" si="250"/>
        <v>0</v>
      </c>
      <c r="AK99" s="572">
        <f ca="1">SUM(S99:AJ99)</f>
        <v>1.0079454208591316</v>
      </c>
      <c r="AM99" s="573">
        <f t="shared" ref="AM99:BE99" ca="1" si="251">AM$96+AM98</f>
        <v>0</v>
      </c>
      <c r="AN99" s="573">
        <f t="shared" ca="1" si="251"/>
        <v>0</v>
      </c>
      <c r="AO99" s="573">
        <f t="shared" ca="1" si="251"/>
        <v>0</v>
      </c>
      <c r="AP99" s="573">
        <f t="shared" ca="1" si="251"/>
        <v>-1.45</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-1.45</v>
      </c>
      <c r="BH99" s="3431">
        <f ca="1">BH$96+BH98</f>
        <v>0.44205457914086876</v>
      </c>
      <c r="BI99" s="3431">
        <f ca="1">BI$96+BI98</f>
        <v>0</v>
      </c>
      <c r="BJ99" s="3431">
        <f ca="1">SUM(BH99:BI99)</f>
        <v>0.44205457914086876</v>
      </c>
      <c r="BL99" s="3445">
        <f ca="1">Q99+AK99+BF99+BJ99</f>
        <v>4.4408920985006262E-16</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-1.4277256653884112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-1.4277256653884112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-31.827880936203819</v>
      </c>
      <c r="T101" s="636">
        <f ca="1">(T$40+T$84+T$93+T$99)</f>
        <v>31.827880936203815</v>
      </c>
      <c r="U101" s="636">
        <f ca="1">(U$40+U$84+U$93+U$99)</f>
        <v>-1.2698250796151025</v>
      </c>
      <c r="V101" s="636">
        <f ca="1">(V$40+V$84+V$93+V$99)</f>
        <v>-75.174956561456597</v>
      </c>
      <c r="W101" s="636">
        <f ca="1">(W$40+W$84+W$93+W$99)</f>
        <v>-105.33711352998291</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1.2698250796151025</v>
      </c>
      <c r="V102" s="652">
        <f t="shared" ca="1" si="254"/>
        <v>75.174956561456597</v>
      </c>
      <c r="W102" s="652">
        <f t="shared" ca="1" si="254"/>
        <v>105.33711352998291</v>
      </c>
      <c r="X102" s="652">
        <f t="shared" ca="1" si="254"/>
        <v>-1.2698250796151025</v>
      </c>
      <c r="Y102" s="652">
        <f t="shared" ca="1" si="254"/>
        <v>-75.174956561456597</v>
      </c>
      <c r="Z102" s="652">
        <f t="shared" ca="1" si="254"/>
        <v>-106.91717023293266</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-1.5800567029497472</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1.5800567029497437</v>
      </c>
      <c r="BJ102" s="655">
        <f ca="1">SUM(BH102:BI102)</f>
        <v>1.5800567029497437</v>
      </c>
      <c r="BK102" s="6"/>
      <c r="BL102" s="3445">
        <f t="shared" ref="BL102:BL109" ca="1" si="256">Q102+AK102+BF102+BJ102</f>
        <v>-3.5527136788005009E-15</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4.5042771399935073E-2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4.5042771399935073E-2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1.0246834611179927</v>
      </c>
      <c r="Y103" s="702">
        <f ca="1">-(Y$40+Y$84+Y$93+Y$99+Y$102)</f>
        <v>75.174956561456597</v>
      </c>
      <c r="Z103" s="702">
        <f ca="1">-(Z$40+Z$84+Z$93+Z$99+Z$102)</f>
        <v>106.91717023293266</v>
      </c>
      <c r="AA103" s="702"/>
      <c r="AB103" s="702"/>
      <c r="AC103" s="702"/>
      <c r="AD103" s="702"/>
      <c r="AE103" s="702"/>
      <c r="AF103" s="702"/>
      <c r="AG103" s="702"/>
      <c r="AH103" s="702"/>
      <c r="AI103" s="702"/>
      <c r="AJ103" s="702"/>
      <c r="AK103" s="702">
        <f ca="1">SUM(S103:AJ103)</f>
        <v>183.11681025550726</v>
      </c>
      <c r="AL103" s="6"/>
      <c r="AM103" s="606"/>
      <c r="AN103" s="606"/>
      <c r="AO103" s="606"/>
      <c r="AP103" s="606"/>
      <c r="AQ103" s="606">
        <f ca="1">-T103</f>
        <v>-3.5527136788005009E-15</v>
      </c>
      <c r="AR103" s="606">
        <f>-V103</f>
        <v>0</v>
      </c>
      <c r="AS103" s="606">
        <f ca="1">-X103</f>
        <v>-1.0246834611179927</v>
      </c>
      <c r="AT103" s="606">
        <f ca="1">-Y103</f>
        <v>-75.174956561456597</v>
      </c>
      <c r="AU103" s="606">
        <f ca="1">-Z103</f>
        <v>-106.91717023293266</v>
      </c>
      <c r="AV103" s="606"/>
      <c r="AW103" s="606"/>
      <c r="AX103" s="606"/>
      <c r="AY103" s="606"/>
      <c r="AZ103" s="606"/>
      <c r="BA103" s="606"/>
      <c r="BB103" s="606"/>
      <c r="BC103" s="606"/>
      <c r="BD103" s="606"/>
      <c r="BE103" s="606"/>
      <c r="BF103" s="606">
        <f ca="1">SUM(AM103:BE103)</f>
        <v>-183.11681025550726</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3.5527136788005009E-15</v>
      </c>
      <c r="U104" s="572">
        <f t="shared" ca="1" si="262"/>
        <v>1.2698250796151025</v>
      </c>
      <c r="V104" s="572">
        <f t="shared" ca="1" si="262"/>
        <v>75.174956561456597</v>
      </c>
      <c r="W104" s="572">
        <f t="shared" ca="1" si="262"/>
        <v>105.33711352998291</v>
      </c>
      <c r="X104" s="572">
        <f t="shared" ca="1" si="262"/>
        <v>-0.2451416184971098</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181.53675355255749</v>
      </c>
      <c r="AM104" s="573">
        <f t="shared" ref="AM104:BE104" ca="1" si="263">SUM(AM102:AM103)</f>
        <v>0</v>
      </c>
      <c r="AN104" s="573">
        <f t="shared" ca="1" si="263"/>
        <v>0</v>
      </c>
      <c r="AO104" s="573">
        <f t="shared" ca="1" si="263"/>
        <v>0</v>
      </c>
      <c r="AP104" s="573">
        <f t="shared" ca="1" si="263"/>
        <v>0</v>
      </c>
      <c r="AQ104" s="573">
        <f t="shared" ca="1" si="263"/>
        <v>-3.5527136788005009E-15</v>
      </c>
      <c r="AR104" s="573">
        <f t="shared" ca="1" si="263"/>
        <v>0</v>
      </c>
      <c r="AS104" s="573">
        <f t="shared" ca="1" si="263"/>
        <v>-1.0246834611179927</v>
      </c>
      <c r="AT104" s="573">
        <f t="shared" ca="1" si="263"/>
        <v>-75.174956561456597</v>
      </c>
      <c r="AU104" s="573">
        <f t="shared" ca="1" si="263"/>
        <v>-106.91717023293266</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-183.11681025550726</v>
      </c>
      <c r="BH104" s="3431">
        <f ca="1">SUM(BH102:BH103)</f>
        <v>0</v>
      </c>
      <c r="BI104" s="3431">
        <f ca="1">SUM(BI102:BI103)</f>
        <v>1.5800567029497437</v>
      </c>
      <c r="BJ104" s="3431">
        <f ca="1">SUM(BH104:BI104)</f>
        <v>1.5800567029497437</v>
      </c>
      <c r="BL104" s="3445">
        <f t="shared" ca="1" si="256"/>
        <v>-3.1974423109204508E-14</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4.5042771399935073E-2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4.5042771399935073E-2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-4.5457884936212949</v>
      </c>
      <c r="U106" s="625">
        <f t="shared" ca="1" si="266"/>
        <v>4.6809644035740403</v>
      </c>
      <c r="V106" s="625">
        <f t="shared" ca="1" si="266"/>
        <v>75.768165563645425</v>
      </c>
      <c r="W106" s="625">
        <f t="shared" ca="1" si="266"/>
        <v>105.92089590621669</v>
      </c>
      <c r="X106" s="625">
        <f t="shared" ca="1" si="266"/>
        <v>-0.2451416184971098</v>
      </c>
      <c r="Y106" s="625">
        <f t="shared" ca="1" si="266"/>
        <v>0</v>
      </c>
      <c r="Z106" s="625">
        <f t="shared" ca="1" si="266"/>
        <v>0</v>
      </c>
      <c r="AA106" s="625">
        <f t="shared" ca="1" si="266"/>
        <v>0</v>
      </c>
      <c r="AB106" s="625">
        <f t="shared" ca="1" si="266"/>
        <v>0</v>
      </c>
      <c r="AC106" s="625">
        <f t="shared" ca="1" si="266"/>
        <v>0</v>
      </c>
      <c r="AD106" s="625">
        <f t="shared" ca="1" si="266"/>
        <v>-0.17915938209945831</v>
      </c>
      <c r="AE106" s="625">
        <f t="shared" ca="1" si="266"/>
        <v>-0.19806101343062021</v>
      </c>
      <c r="AF106" s="625">
        <f t="shared" ca="1" si="266"/>
        <v>-2.5380413936409871</v>
      </c>
      <c r="AG106" s="625">
        <f t="shared" ca="1" si="266"/>
        <v>-0.54094077411715702</v>
      </c>
      <c r="AH106" s="625">
        <f t="shared" ca="1" si="266"/>
        <v>-0.12398271823418237</v>
      </c>
      <c r="AI106" s="625">
        <f t="shared" ca="1" si="266"/>
        <v>0</v>
      </c>
      <c r="AJ106" s="625">
        <f t="shared" ca="1" si="266"/>
        <v>0</v>
      </c>
      <c r="AK106" s="625">
        <f ca="1">SUM(S106:AJ106)</f>
        <v>177.99891047979534</v>
      </c>
      <c r="AM106" s="626">
        <f t="shared" ref="AM106:BE106" ca="1" si="267">AM$93+AM$99+AM$104</f>
        <v>0</v>
      </c>
      <c r="AN106" s="626">
        <f t="shared" ca="1" si="267"/>
        <v>0</v>
      </c>
      <c r="AO106" s="626">
        <f t="shared" ca="1" si="267"/>
        <v>0</v>
      </c>
      <c r="AP106" s="626">
        <f t="shared" ca="1" si="267"/>
        <v>-1.45</v>
      </c>
      <c r="AQ106" s="626">
        <f t="shared" ca="1" si="267"/>
        <v>-3.5527136788005009E-15</v>
      </c>
      <c r="AR106" s="626">
        <f t="shared" ca="1" si="267"/>
        <v>0</v>
      </c>
      <c r="AS106" s="626">
        <f t="shared" ca="1" si="267"/>
        <v>-1.0246834611179927</v>
      </c>
      <c r="AT106" s="626">
        <f t="shared" ca="1" si="267"/>
        <v>-75.174956561456597</v>
      </c>
      <c r="AU106" s="626">
        <f t="shared" ca="1" si="267"/>
        <v>-106.91717023293266</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-184.56681025550725</v>
      </c>
      <c r="BH106" s="3432">
        <f ca="1">BH$93+BH$99+BH$104</f>
        <v>0.44205457914086876</v>
      </c>
      <c r="BI106" s="3432">
        <f ca="1">BI$93+BI$99+BI$104</f>
        <v>6.125845196571043</v>
      </c>
      <c r="BJ106" s="3432">
        <f ca="1">SUM(BH106:BI106)</f>
        <v>6.5678997757119113</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4.5042771399935073E-2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-1.4277256653884112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-1.3826828939884761</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43.41920856398503</v>
      </c>
      <c r="H109" s="705">
        <f t="shared" ca="1" si="269"/>
        <v>11.303980489562141</v>
      </c>
      <c r="I109" s="705">
        <f t="shared" ca="1" si="269"/>
        <v>39.204647409941131</v>
      </c>
      <c r="J109" s="705">
        <f t="shared" ca="1" si="269"/>
        <v>45.330977507891568</v>
      </c>
      <c r="K109" s="705">
        <f t="shared" ca="1" si="269"/>
        <v>0.53893545054834324</v>
      </c>
      <c r="L109" s="705">
        <f t="shared" ca="1" si="269"/>
        <v>2.7773770259370195E-2</v>
      </c>
      <c r="M109" s="705">
        <f t="shared" ca="1" si="269"/>
        <v>0.66</v>
      </c>
      <c r="N109" s="705">
        <f t="shared" ca="1" si="269"/>
        <v>9.4283309514618914</v>
      </c>
      <c r="O109" s="705">
        <f t="shared" ca="1" si="269"/>
        <v>0</v>
      </c>
      <c r="P109" s="705">
        <f t="shared" ca="1" si="269"/>
        <v>0</v>
      </c>
      <c r="Q109" s="705">
        <f ca="1">SUM(G109:P109)</f>
        <v>149.91385414364947</v>
      </c>
      <c r="S109" s="706">
        <f t="shared" ref="S109:AJ109" ca="1" si="270">S$40+S$84+S$106</f>
        <v>-31.827880936203819</v>
      </c>
      <c r="T109" s="706">
        <f t="shared" ca="1" si="270"/>
        <v>31.827880936203819</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-1.45</v>
      </c>
      <c r="AQ109" s="707">
        <f t="shared" ca="1" si="271"/>
        <v>-3.5527136788005009E-15</v>
      </c>
      <c r="AR109" s="707">
        <f t="shared" ca="1" si="271"/>
        <v>0</v>
      </c>
      <c r="AS109" s="707">
        <f t="shared" ca="1" si="271"/>
        <v>-1.0246834611179927</v>
      </c>
      <c r="AT109" s="707">
        <f t="shared" ca="1" si="271"/>
        <v>-75.174956561456597</v>
      </c>
      <c r="AU109" s="707">
        <f t="shared" ca="1" si="271"/>
        <v>-106.91717023293266</v>
      </c>
      <c r="AV109" s="707">
        <f t="shared" ca="1" si="271"/>
        <v>0</v>
      </c>
      <c r="AW109" s="707">
        <f t="shared" ca="1" si="271"/>
        <v>-7.3391639360886121E-2</v>
      </c>
      <c r="AX109" s="707">
        <f t="shared" ca="1" si="271"/>
        <v>-3.8789549999999742E-2</v>
      </c>
      <c r="AY109" s="707">
        <f t="shared" ca="1" si="271"/>
        <v>0</v>
      </c>
      <c r="AZ109" s="707">
        <f t="shared" ca="1" si="271"/>
        <v>-1.3017510000000001E-2</v>
      </c>
      <c r="BA109" s="707">
        <f t="shared" ca="1" si="271"/>
        <v>0</v>
      </c>
      <c r="BB109" s="707">
        <f t="shared" ca="1" si="271"/>
        <v>-0.33310800000000007</v>
      </c>
      <c r="BC109" s="707">
        <f t="shared" ca="1" si="271"/>
        <v>-0.55304324430206342</v>
      </c>
      <c r="BD109" s="707">
        <f t="shared" ca="1" si="271"/>
        <v>-0.37722039553007852</v>
      </c>
      <c r="BE109" s="707">
        <f t="shared" ca="1" si="271"/>
        <v>-3.4481065044894366</v>
      </c>
      <c r="BF109" s="707">
        <f ca="1">SUM(AM109:BE109)</f>
        <v>-189.40348709918973</v>
      </c>
      <c r="BH109" s="3437">
        <f ca="1">BH$40+BH$84+BH$106</f>
        <v>30.456722977330742</v>
      </c>
      <c r="BI109" s="3437">
        <f ca="1">BI$40+BI$84+BI$106</f>
        <v>9.0329099782095152</v>
      </c>
      <c r="BJ109" s="3437">
        <f ca="1">SUM(BH109:BI109)</f>
        <v>39.489632955540259</v>
      </c>
      <c r="BL109" s="3447">
        <f t="shared" ca="1" si="256"/>
        <v>0</v>
      </c>
      <c r="BM109" s="568"/>
      <c r="BO109" s="2767">
        <f t="shared" ref="BO109:DF109" ca="1" si="272">BO$40+BO$84+BO$106</f>
        <v>39.191253603348017</v>
      </c>
      <c r="BP109" s="2767">
        <f t="shared" ca="1" si="272"/>
        <v>2.1943957674830206E-2</v>
      </c>
      <c r="BQ109" s="2767">
        <f t="shared" ca="1" si="272"/>
        <v>0.38582839046241457</v>
      </c>
      <c r="BR109" s="2767">
        <f t="shared" ca="1" si="272"/>
        <v>0</v>
      </c>
      <c r="BS109" s="2767">
        <f t="shared" ca="1" si="272"/>
        <v>0</v>
      </c>
      <c r="BT109" s="2767">
        <f t="shared" ca="1" si="272"/>
        <v>4.5042771399935073E-2</v>
      </c>
      <c r="BU109" s="2767">
        <f t="shared" ca="1" si="272"/>
        <v>0</v>
      </c>
      <c r="BV109" s="2767">
        <f t="shared" ca="1" si="272"/>
        <v>0</v>
      </c>
      <c r="BW109" s="2767">
        <f t="shared" ca="1" si="272"/>
        <v>1.5426239425000261</v>
      </c>
      <c r="BX109" s="2767">
        <f t="shared" ca="1" si="272"/>
        <v>0</v>
      </c>
      <c r="BY109" s="2767">
        <f t="shared" ca="1" si="272"/>
        <v>0</v>
      </c>
      <c r="BZ109" s="2767">
        <f t="shared" ca="1" si="272"/>
        <v>1.0990393571708086</v>
      </c>
      <c r="CA109" s="2767">
        <f t="shared" ca="1" si="272"/>
        <v>0</v>
      </c>
      <c r="CB109" s="2767">
        <f t="shared" ca="1" si="272"/>
        <v>0</v>
      </c>
      <c r="CC109" s="2767">
        <f t="shared" ca="1" si="272"/>
        <v>0</v>
      </c>
      <c r="CD109" s="2767">
        <f t="shared" ca="1" si="272"/>
        <v>0</v>
      </c>
      <c r="CE109" s="2767">
        <f t="shared" ca="1" si="272"/>
        <v>0</v>
      </c>
      <c r="CF109" s="2767">
        <f t="shared" ca="1" si="272"/>
        <v>10.634382090757413</v>
      </c>
      <c r="CG109" s="2767">
        <f t="shared" ca="1" si="272"/>
        <v>5.6603978384106233</v>
      </c>
      <c r="CH109" s="2767">
        <f t="shared" ca="1" si="272"/>
        <v>0</v>
      </c>
      <c r="CI109" s="2767">
        <f t="shared" ca="1" si="272"/>
        <v>3.007792752618919</v>
      </c>
      <c r="CJ109" s="2767">
        <f t="shared" ca="1" si="272"/>
        <v>0</v>
      </c>
      <c r="CK109" s="2767">
        <f t="shared" ca="1" si="272"/>
        <v>0</v>
      </c>
      <c r="CL109" s="2767">
        <f t="shared" ca="1" si="272"/>
        <v>0</v>
      </c>
      <c r="CM109" s="2767">
        <f t="shared" ca="1" si="272"/>
        <v>0</v>
      </c>
      <c r="CN109" s="2767">
        <f t="shared" ca="1" si="272"/>
        <v>0.61797262540539744</v>
      </c>
      <c r="CO109" s="2767">
        <f t="shared" ca="1" si="272"/>
        <v>5.9899473214285702E-2</v>
      </c>
      <c r="CP109" s="2767">
        <f t="shared" ca="1" si="272"/>
        <v>0</v>
      </c>
      <c r="CQ109" s="2767">
        <f t="shared" ca="1" si="272"/>
        <v>0</v>
      </c>
      <c r="CR109" s="2767">
        <f t="shared" ca="1" si="272"/>
        <v>0</v>
      </c>
      <c r="CS109" s="2767">
        <f t="shared" ca="1" si="272"/>
        <v>0</v>
      </c>
      <c r="CT109" s="2767">
        <f t="shared" ca="1" si="272"/>
        <v>0</v>
      </c>
      <c r="CU109" s="2767">
        <f t="shared" ca="1" si="272"/>
        <v>2.4879479714717636</v>
      </c>
      <c r="CV109" s="2767">
        <f t="shared" ca="1" si="272"/>
        <v>2.1383454597915571E-3</v>
      </c>
      <c r="CW109" s="2767">
        <f t="shared" ca="1" si="272"/>
        <v>6.3132104050988829E-3</v>
      </c>
      <c r="CX109" s="2767">
        <f t="shared" ca="1" si="272"/>
        <v>0</v>
      </c>
      <c r="CY109" s="2767">
        <f t="shared" ca="1" si="272"/>
        <v>-1.4277256653884112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63.334850664910931</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13.886176922770101</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31.831672079021594</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0.43623774736991194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2040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28.704710927201262</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28.704710927201262</v>
      </c>
      <c r="S9" s="582">
        <f t="shared" ref="S9:AJ13" ca="1" si="2">IFERROR(INDEX(INDIRECT($C9&amp;".Outputs["&amp;this.Year&amp;"]"), MATCH(S$5, INDIRECT($C9&amp;".Outputs[Vector]"), 0)), 0)</f>
        <v>-2.1804320076135117</v>
      </c>
      <c r="T9" s="582">
        <f t="shared" ca="1" si="2"/>
        <v>0</v>
      </c>
      <c r="U9" s="582">
        <f t="shared" ca="1" si="2"/>
        <v>-0.12248271111511547</v>
      </c>
      <c r="V9" s="582">
        <f t="shared" ca="1" si="2"/>
        <v>-4.5333755612936892</v>
      </c>
      <c r="W9" s="582">
        <f t="shared" ca="1" si="2"/>
        <v>-21.776894734744477</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-7.68227714428798E-2</v>
      </c>
      <c r="AJ9" s="582">
        <f t="shared" ca="1" si="2"/>
        <v>0</v>
      </c>
      <c r="AK9" s="583">
        <f t="shared" ref="AK9:AK15" ca="1" si="4">SUM(S9:AJ9)</f>
        <v>-28.690007786209673</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-1.4703140991588266E-2</v>
      </c>
      <c r="BD9" s="584">
        <f t="shared" ca="1" si="6"/>
        <v>0</v>
      </c>
      <c r="BE9" s="584">
        <f t="shared" ca="1" si="6"/>
        <v>0</v>
      </c>
      <c r="BF9" s="585">
        <f t="shared" ref="BF9:BF15" ca="1" si="7">SUM(AM9:BE9)</f>
        <v>-1.4703140991588266E-2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7.1470607210244452E-16</v>
      </c>
      <c r="BM9" s="586"/>
      <c r="BN9" s="404"/>
      <c r="BO9" s="2758">
        <f t="shared" ref="BO9:BX10" ca="1" si="11">IFERROR(SUMIFS(INDIRECT($C9&amp;".Emissions["&amp;this.Year&amp;"]"), INDIRECT($C9&amp;".Emissions[GHG]"), BO$6, INDIRECT($C9&amp;".Emissions[IPCC Sector]"), BO$5),0)</f>
        <v>5.6958120723699412</v>
      </c>
      <c r="BP9" s="2759">
        <f t="shared" ca="1" si="11"/>
        <v>2.680984604320303E-3</v>
      </c>
      <c r="BQ9" s="2759">
        <f t="shared" ca="1" si="11"/>
        <v>7.3582635748171518E-2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28.704710927201262</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28.704710927201262</v>
      </c>
      <c r="S11" s="583">
        <f ca="1">SUM(S9:S10)</f>
        <v>-2.1804320076135117</v>
      </c>
      <c r="T11" s="583">
        <f t="shared" ref="T11:AJ11" ca="1" si="16">SUM(T9:T10)</f>
        <v>0</v>
      </c>
      <c r="U11" s="583">
        <f t="shared" ca="1" si="16"/>
        <v>-0.12248271111511547</v>
      </c>
      <c r="V11" s="583">
        <f t="shared" ca="1" si="16"/>
        <v>-4.5333755612936892</v>
      </c>
      <c r="W11" s="583">
        <f t="shared" ca="1" si="16"/>
        <v>-21.776894734744477</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-7.68227714428798E-2</v>
      </c>
      <c r="AJ11" s="583">
        <f t="shared" ca="1" si="16"/>
        <v>0</v>
      </c>
      <c r="AK11" s="583">
        <f t="shared" ca="1" si="4"/>
        <v>-28.690007786209673</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-1.4703140991588266E-2</v>
      </c>
      <c r="BD11" s="599">
        <f ca="1">SUM(BD9:BD10)</f>
        <v>0</v>
      </c>
      <c r="BE11" s="599">
        <f t="shared" ca="1" si="17"/>
        <v>0</v>
      </c>
      <c r="BF11" s="600">
        <f t="shared" ca="1" si="7"/>
        <v>-1.4703140991588266E-2</v>
      </c>
      <c r="BH11" s="3428">
        <f ca="1">SUM(BH9:BH10)</f>
        <v>0</v>
      </c>
      <c r="BI11" s="3428">
        <f ca="1">SUM(BI9:BI10)</f>
        <v>0</v>
      </c>
      <c r="BJ11" s="3428">
        <f t="shared" ca="1" si="9"/>
        <v>0</v>
      </c>
      <c r="BL11" s="601">
        <f t="shared" ca="1" si="10"/>
        <v>7.1470607210244452E-16</v>
      </c>
      <c r="BM11" s="601"/>
      <c r="BN11" s="404"/>
      <c r="BO11" s="2758">
        <f t="shared" ref="BO11:DF11" ca="1" si="18">SUM(BO9:BO10)</f>
        <v>5.6958120723699412</v>
      </c>
      <c r="BP11" s="2759">
        <f t="shared" ca="1" si="18"/>
        <v>2.680984604320303E-3</v>
      </c>
      <c r="BQ11" s="2759">
        <f t="shared" ca="1" si="18"/>
        <v>7.3582635748171518E-2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16.286896295460174</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16.286896295460174</v>
      </c>
      <c r="S12" s="582">
        <f t="shared" ca="1" si="2"/>
        <v>-4.7595988175675679</v>
      </c>
      <c r="T12" s="582">
        <f t="shared" ca="1" si="2"/>
        <v>0</v>
      </c>
      <c r="U12" s="582">
        <f t="shared" ca="1" si="2"/>
        <v>-0.11852283317800553</v>
      </c>
      <c r="V12" s="582">
        <f t="shared" ca="1" si="2"/>
        <v>-0.81499721370855327</v>
      </c>
      <c r="W12" s="582">
        <f t="shared" ca="1" si="2"/>
        <v>-9.931788410735777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-15.624907275189903</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-0.66198902027027007</v>
      </c>
      <c r="BD12" s="584">
        <f t="shared" ca="1" si="6"/>
        <v>0</v>
      </c>
      <c r="BE12" s="584">
        <f t="shared" ca="1" si="6"/>
        <v>0</v>
      </c>
      <c r="BF12" s="585">
        <f t="shared" ca="1" si="7"/>
        <v>-0.66198902027027007</v>
      </c>
      <c r="BH12" s="3439">
        <f t="shared" ca="1" si="8"/>
        <v>0</v>
      </c>
      <c r="BI12" s="3439">
        <f t="shared" ca="1" si="8"/>
        <v>0</v>
      </c>
      <c r="BJ12" s="3428">
        <f t="shared" ca="1" si="9"/>
        <v>0</v>
      </c>
      <c r="BL12" s="586">
        <f t="shared" ca="1" si="10"/>
        <v>8.8817841970012523E-16</v>
      </c>
      <c r="BM12" s="586"/>
      <c r="BN12" s="404"/>
      <c r="BO12" s="2758">
        <f t="shared" ref="BO12:BX13" ca="1" si="21">IFERROR(SUMIFS(INDIRECT($C12&amp;".Emissions["&amp;this.Year&amp;"]"), INDIRECT($C12&amp;".Emissions[GHG]"), BO$6, INDIRECT($C12&amp;".Emissions[IPCC Sector]"), BO$5),0)</f>
        <v>2.288325069737692</v>
      </c>
      <c r="BP12" s="2759">
        <f t="shared" ca="1" si="21"/>
        <v>9.4195680025250476E-4</v>
      </c>
      <c r="BQ12" s="2759">
        <f t="shared" ca="1" si="21"/>
        <v>3.2755097887717848E-2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16.286896295460174</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16.286896295460174</v>
      </c>
      <c r="S14" s="604">
        <f t="shared" ref="S14:AJ14" ca="1" si="26">SUM(S12:S13)</f>
        <v>-4.7595988175675679</v>
      </c>
      <c r="T14" s="604">
        <f t="shared" ca="1" si="26"/>
        <v>0</v>
      </c>
      <c r="U14" s="604">
        <f t="shared" ca="1" si="26"/>
        <v>-0.11852283317800553</v>
      </c>
      <c r="V14" s="604">
        <f t="shared" ca="1" si="26"/>
        <v>-0.81499721370855327</v>
      </c>
      <c r="W14" s="604">
        <f t="shared" ca="1" si="26"/>
        <v>-9.931788410735777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-15.624907275189903</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-0.66198902027027007</v>
      </c>
      <c r="BD14" s="605">
        <f ca="1">SUM(BD12:BD13)</f>
        <v>0</v>
      </c>
      <c r="BE14" s="605">
        <f t="shared" ca="1" si="27"/>
        <v>0</v>
      </c>
      <c r="BF14" s="606">
        <f t="shared" ca="1" si="7"/>
        <v>-0.66198902027027007</v>
      </c>
      <c r="BH14" s="3430">
        <f ca="1">SUM(BH12:BH13)</f>
        <v>0</v>
      </c>
      <c r="BI14" s="3430">
        <f ca="1">SUM(BI12:BI13)</f>
        <v>0</v>
      </c>
      <c r="BJ14" s="3430">
        <f t="shared" ca="1" si="9"/>
        <v>0</v>
      </c>
      <c r="BL14" s="601">
        <f t="shared" ca="1" si="10"/>
        <v>8.8817841970012523E-16</v>
      </c>
      <c r="BM14" s="601"/>
      <c r="BN14" s="404"/>
      <c r="BO14" s="2760">
        <f t="shared" ref="BO14:DF14" ca="1" si="28">SUM(BO12:BO13)</f>
        <v>2.288325069737692</v>
      </c>
      <c r="BP14" s="2761">
        <f t="shared" ca="1" si="28"/>
        <v>9.4195680025250476E-4</v>
      </c>
      <c r="BQ14" s="2761">
        <f t="shared" ca="1" si="28"/>
        <v>3.2755097887717848E-2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44.991607222661436</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44.991607222661436</v>
      </c>
      <c r="S15" s="572">
        <f t="shared" ref="S15:AJ15" ca="1" si="30">S14+S11</f>
        <v>-6.9400308251810792</v>
      </c>
      <c r="T15" s="572">
        <f t="shared" ca="1" si="30"/>
        <v>0</v>
      </c>
      <c r="U15" s="572">
        <f t="shared" ca="1" si="30"/>
        <v>-0.24100554429312099</v>
      </c>
      <c r="V15" s="572">
        <f t="shared" ca="1" si="30"/>
        <v>-5.3483727750022423</v>
      </c>
      <c r="W15" s="572">
        <f t="shared" ca="1" si="30"/>
        <v>-31.708683145480254</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-7.68227714428798E-2</v>
      </c>
      <c r="AJ15" s="572">
        <f t="shared" ca="1" si="30"/>
        <v>0</v>
      </c>
      <c r="AK15" s="572">
        <f t="shared" ca="1" si="4"/>
        <v>-44.314915061399574</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-0.67669216126185838</v>
      </c>
      <c r="BD15" s="573">
        <f ca="1">BD14+BD11</f>
        <v>0</v>
      </c>
      <c r="BE15" s="573">
        <f t="shared" ca="1" si="31"/>
        <v>0</v>
      </c>
      <c r="BF15" s="573">
        <f t="shared" ca="1" si="7"/>
        <v>-0.67669216126185838</v>
      </c>
      <c r="BH15" s="3431">
        <f ca="1">BH14+BH11</f>
        <v>0</v>
      </c>
      <c r="BI15" s="3431">
        <f ca="1">BI14+BI11</f>
        <v>0</v>
      </c>
      <c r="BJ15" s="3431">
        <f t="shared" ca="1" si="9"/>
        <v>0</v>
      </c>
      <c r="BL15" s="3445">
        <f t="shared" ca="1" si="10"/>
        <v>3.3306690738754696E-15</v>
      </c>
      <c r="BM15" s="575"/>
      <c r="BN15" s="404"/>
      <c r="BO15" s="2759">
        <f t="shared" ref="BO15:DF15" ca="1" si="32">BO14+BO11</f>
        <v>7.9841371421076328</v>
      </c>
      <c r="BP15" s="2759">
        <f t="shared" ca="1" si="32"/>
        <v>3.6229414045728077E-3</v>
      </c>
      <c r="BQ15" s="2759">
        <f t="shared" ca="1" si="32"/>
        <v>0.10633773363588936</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8.0940978171480946</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6.31927287656963</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6.31927287656963</v>
      </c>
      <c r="S17" s="582">
        <f t="shared" ref="S17:AJ18" ca="1" si="35">IFERROR(INDEX(INDIRECT($C17&amp;".Outputs["&amp;this.Year&amp;"]"), MATCH(S$5, INDIRECT($C17&amp;".Outputs[Vector]"), 0)), 0)</f>
        <v>-5.8515274564846518</v>
      </c>
      <c r="T17" s="582">
        <f t="shared" ca="1" si="35"/>
        <v>0</v>
      </c>
      <c r="U17" s="582">
        <f t="shared" ca="1" si="35"/>
        <v>0</v>
      </c>
      <c r="V17" s="582">
        <f t="shared" ca="1" si="35"/>
        <v>0</v>
      </c>
      <c r="W17" s="582">
        <f t="shared" ca="1" si="35"/>
        <v>-0.46774542008497805</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-6.31927287656963</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9.5757403694300802E-2</v>
      </c>
      <c r="BP17" s="2759">
        <f t="shared" ca="1" si="39"/>
        <v>3.5361553758424345E-5</v>
      </c>
      <c r="BQ17" s="2759">
        <f t="shared" ca="1" si="39"/>
        <v>1.513811277563023E-3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9.7306576525622246E-2</v>
      </c>
    </row>
    <row r="18" spans="1:112" s="6" customFormat="1" ht="12.75" customHeight="1" outlineLevel="1">
      <c r="A18" s="598"/>
      <c r="B18" s="598"/>
      <c r="C18" s="578" t="s">
        <v>463</v>
      </c>
      <c r="D18" s="602" t="s">
        <v>464</v>
      </c>
      <c r="E18" s="602"/>
      <c r="G18" s="610">
        <f t="shared" ca="1" si="34"/>
        <v>0</v>
      </c>
      <c r="H18" s="610">
        <f t="shared" ca="1" si="34"/>
        <v>5.2581765737061597</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5.2581765737061597</v>
      </c>
      <c r="S18" s="611">
        <f t="shared" ca="1" si="35"/>
        <v>-4.7637429350982234</v>
      </c>
      <c r="T18" s="611">
        <f t="shared" ca="1" si="35"/>
        <v>0</v>
      </c>
      <c r="U18" s="611">
        <f t="shared" ca="1" si="35"/>
        <v>0</v>
      </c>
      <c r="V18" s="611">
        <f t="shared" ca="1" si="35"/>
        <v>0</v>
      </c>
      <c r="W18" s="611">
        <f t="shared" ca="1" si="35"/>
        <v>-0.49443363860793604</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-5.2581765737061597</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0.10122104781618299</v>
      </c>
      <c r="BP18" s="2761">
        <f t="shared" ca="1" si="39"/>
        <v>3.7379183078759966E-5</v>
      </c>
      <c r="BQ18" s="2761">
        <f t="shared" ca="1" si="39"/>
        <v>1.6001850279907242E-3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0.10285861202725248</v>
      </c>
    </row>
    <row r="19" spans="1:112" s="6" customFormat="1" ht="15.5">
      <c r="A19" s="4"/>
      <c r="B19" s="3"/>
      <c r="C19" s="607" t="s">
        <v>465</v>
      </c>
      <c r="D19" s="608" t="s">
        <v>82</v>
      </c>
      <c r="E19" s="201"/>
      <c r="G19" s="609">
        <f ca="1">G17+G18</f>
        <v>0</v>
      </c>
      <c r="H19" s="609">
        <f t="shared" ref="H19:P19" ca="1" si="43">H17+H18</f>
        <v>11.57744945027579</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11.57744945027579</v>
      </c>
      <c r="S19" s="572">
        <f ca="1">S17+S18</f>
        <v>-10.615270391582875</v>
      </c>
      <c r="T19" s="572">
        <f t="shared" ref="T19:AJ19" ca="1" si="44">T17+T18</f>
        <v>0</v>
      </c>
      <c r="U19" s="572">
        <f t="shared" ca="1" si="44"/>
        <v>0</v>
      </c>
      <c r="V19" s="572">
        <f t="shared" ca="1" si="44"/>
        <v>0</v>
      </c>
      <c r="W19" s="572">
        <f t="shared" ca="1" si="44"/>
        <v>-0.96217905869291409</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-11.57744945027579</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0</v>
      </c>
      <c r="BM19" s="575"/>
      <c r="BN19" s="404"/>
      <c r="BO19" s="2759">
        <f t="shared" ref="BO19:DF19" ca="1" si="46">BO17+BO18</f>
        <v>0.19697845151048379</v>
      </c>
      <c r="BP19" s="2759">
        <f t="shared" ca="1" si="46"/>
        <v>7.274073683718431E-5</v>
      </c>
      <c r="BQ19" s="2759">
        <f t="shared" ca="1" si="46"/>
        <v>3.1139963055537472E-3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0.20016518855287474</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39.193222476967343</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39.193222476967343</v>
      </c>
      <c r="S21" s="611">
        <f t="shared" ref="S21:AJ21" ca="1" si="48">IFERROR(INDEX(INDIRECT($C21&amp;".Outputs["&amp;this.Year&amp;"]"), MATCH(S$5, INDIRECT($C21&amp;".Outputs[Vector]"), 0)), 0)</f>
        <v>-14.009428118931382</v>
      </c>
      <c r="T21" s="611">
        <f t="shared" ca="1" si="48"/>
        <v>0</v>
      </c>
      <c r="U21" s="611">
        <f t="shared" ca="1" si="48"/>
        <v>-4.6899161948198707</v>
      </c>
      <c r="V21" s="611">
        <f t="shared" ca="1" si="48"/>
        <v>-9.5758739026064887</v>
      </c>
      <c r="W21" s="611">
        <f t="shared" ca="1" si="48"/>
        <v>-10.918004260609603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-39.19322247696735</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-7.1054273576010019E-15</v>
      </c>
      <c r="BM21" s="601"/>
      <c r="BN21" s="404"/>
      <c r="BO21" s="2760">
        <f t="shared" ref="BO21:DF21" ca="1" si="51">IFERROR(SUMIFS(INDIRECT($C21&amp;".Emissions["&amp;this.Year&amp;"]"), INDIRECT($C21&amp;".Emissions[GHG]"), BO$6, INDIRECT($C21&amp;".Emissions[IPCC Sector]"), BO$5),0)</f>
        <v>6.3454493007508628</v>
      </c>
      <c r="BP21" s="2761">
        <f t="shared" ca="1" si="51"/>
        <v>3.2453996882431057E-3</v>
      </c>
      <c r="BQ21" s="2761">
        <f t="shared" ca="1" si="51"/>
        <v>4.4364007390931715E-2</v>
      </c>
      <c r="BR21" s="2761">
        <f t="shared" ca="1" si="51"/>
        <v>0</v>
      </c>
      <c r="BS21" s="2761">
        <f t="shared" ca="1" si="51"/>
        <v>0</v>
      </c>
      <c r="BT21" s="2761">
        <f t="shared" ca="1" si="51"/>
        <v>0</v>
      </c>
      <c r="BU21" s="2761">
        <f t="shared" ca="1" si="51"/>
        <v>0</v>
      </c>
      <c r="BV21" s="2761">
        <f t="shared" ca="1" si="51"/>
        <v>0</v>
      </c>
      <c r="BW21" s="2761">
        <f t="shared" ca="1" si="51"/>
        <v>1.6618440972643267</v>
      </c>
      <c r="BX21" s="2761">
        <f t="shared" ca="1" si="51"/>
        <v>0</v>
      </c>
      <c r="BY21" s="2761">
        <f t="shared" ca="1" si="51"/>
        <v>0</v>
      </c>
      <c r="BZ21" s="2761">
        <f t="shared" ca="1" si="51"/>
        <v>1.0934088626751839</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9.1483116677695477</v>
      </c>
    </row>
    <row r="22" spans="1:112" s="6" customFormat="1" ht="15.5">
      <c r="A22" s="4"/>
      <c r="B22" s="3"/>
      <c r="C22" s="607" t="s">
        <v>468</v>
      </c>
      <c r="D22" s="608" t="s">
        <v>359</v>
      </c>
      <c r="E22" s="201"/>
      <c r="G22" s="609">
        <f ca="1">G21</f>
        <v>0</v>
      </c>
      <c r="H22" s="609">
        <f t="shared" ref="H22:P22" ca="1" si="52">H21</f>
        <v>0</v>
      </c>
      <c r="I22" s="609">
        <f t="shared" ca="1" si="52"/>
        <v>39.193222476967343</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39.193222476967343</v>
      </c>
      <c r="S22" s="572">
        <f t="shared" ref="S22:AJ22" ca="1" si="53">S21</f>
        <v>-14.009428118931382</v>
      </c>
      <c r="T22" s="572">
        <f t="shared" ca="1" si="53"/>
        <v>0</v>
      </c>
      <c r="U22" s="572">
        <f t="shared" ca="1" si="53"/>
        <v>-4.6899161948198707</v>
      </c>
      <c r="V22" s="572">
        <f t="shared" ca="1" si="53"/>
        <v>-9.5758739026064887</v>
      </c>
      <c r="W22" s="572">
        <f t="shared" ca="1" si="53"/>
        <v>-10.918004260609603</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-39.19322247696735</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-7.1054273576010019E-15</v>
      </c>
      <c r="BM22" s="575"/>
      <c r="BN22" s="404"/>
      <c r="BO22" s="2759">
        <f t="shared" ref="BO22:DF22" ca="1" si="55">BO21</f>
        <v>6.3454493007508628</v>
      </c>
      <c r="BP22" s="2759">
        <f t="shared" ca="1" si="55"/>
        <v>3.2453996882431057E-3</v>
      </c>
      <c r="BQ22" s="2759">
        <f t="shared" ca="1" si="55"/>
        <v>4.4364007390931715E-2</v>
      </c>
      <c r="BR22" s="2759">
        <f t="shared" ca="1" si="55"/>
        <v>0</v>
      </c>
      <c r="BS22" s="2759">
        <f t="shared" ca="1" si="55"/>
        <v>0</v>
      </c>
      <c r="BT22" s="2759">
        <f t="shared" ca="1" si="55"/>
        <v>0</v>
      </c>
      <c r="BU22" s="2759">
        <f t="shared" ca="1" si="55"/>
        <v>0</v>
      </c>
      <c r="BV22" s="2759">
        <f t="shared" ca="1" si="55"/>
        <v>0</v>
      </c>
      <c r="BW22" s="2759">
        <f t="shared" ca="1" si="55"/>
        <v>1.6618440972643267</v>
      </c>
      <c r="BX22" s="2759">
        <f t="shared" ca="1" si="55"/>
        <v>0</v>
      </c>
      <c r="BY22" s="2759">
        <f t="shared" ca="1" si="55"/>
        <v>0</v>
      </c>
      <c r="BZ22" s="2759">
        <f t="shared" ca="1" si="55"/>
        <v>1.0934088626751839</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9.1483116677695477</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23.485168305437998</v>
      </c>
      <c r="K24" s="580">
        <f t="shared" ca="1" si="56"/>
        <v>0.50846034261174167</v>
      </c>
      <c r="L24" s="580">
        <f t="shared" ca="1" si="56"/>
        <v>2.7351212236636904E-2</v>
      </c>
      <c r="M24" s="580">
        <f t="shared" ca="1" si="56"/>
        <v>0</v>
      </c>
      <c r="N24" s="580">
        <f t="shared" ca="1" si="56"/>
        <v>0</v>
      </c>
      <c r="O24" s="580">
        <f t="shared" ca="1" si="56"/>
        <v>0</v>
      </c>
      <c r="P24" s="580">
        <f t="shared" ca="1" si="56"/>
        <v>0</v>
      </c>
      <c r="Q24" s="581">
        <f t="shared" ref="Q24:Q32" ca="1" si="57">SUM(G24:P24)</f>
        <v>24.020979860286378</v>
      </c>
      <c r="S24" s="582">
        <f t="shared" ref="S24:AJ30" ca="1" si="58">IFERROR(INDEX(INDIRECT($C24&amp;".Outputs["&amp;this.Year&amp;"]"), MATCH(S$5, INDIRECT($C24&amp;".Outputs[Vector]"), 0)), 0)</f>
        <v>-1.179728224252236</v>
      </c>
      <c r="T24" s="582">
        <f t="shared" ca="1" si="58"/>
        <v>0</v>
      </c>
      <c r="U24" s="582">
        <f t="shared" ca="1" si="58"/>
        <v>0</v>
      </c>
      <c r="V24" s="582">
        <f t="shared" ca="1" si="58"/>
        <v>-22.841251636034144</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-24.020979860286381</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-3.5527136788005009E-15</v>
      </c>
      <c r="BM24" s="601"/>
      <c r="BN24" s="404"/>
      <c r="BO24" s="2758">
        <f t="shared" ref="BO24:BX27" ca="1" si="66">IFERROR(SUMIFS(INDIRECT($C24&amp;".Emissions["&amp;this.Year&amp;"]"), INDIRECT($C24&amp;".Emissions[GHG]"), BO$6, INDIRECT($C24&amp;".Emissions[IPCC Sector]"), BO$5),0)</f>
        <v>6.0273494817166888</v>
      </c>
      <c r="BP24" s="2759">
        <f t="shared" ca="1" si="66"/>
        <v>5.1803958710525443E-3</v>
      </c>
      <c r="BQ24" s="2759">
        <f t="shared" ca="1" si="66"/>
        <v>1.5294502095488464E-2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6.0478243796832301</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22.874234771261563</v>
      </c>
      <c r="K25" s="580">
        <f t="shared" ca="1" si="56"/>
        <v>6.15351461824243E-3</v>
      </c>
      <c r="L25" s="580">
        <f t="shared" ca="1" si="56"/>
        <v>0</v>
      </c>
      <c r="M25" s="580">
        <f t="shared" ca="1" si="56"/>
        <v>0.66</v>
      </c>
      <c r="N25" s="580">
        <f t="shared" ca="1" si="56"/>
        <v>0</v>
      </c>
      <c r="O25" s="580">
        <f t="shared" ca="1" si="56"/>
        <v>0</v>
      </c>
      <c r="P25" s="580">
        <f t="shared" ca="1" si="56"/>
        <v>0</v>
      </c>
      <c r="Q25" s="581">
        <f t="shared" ca="1" si="57"/>
        <v>23.540388285879803</v>
      </c>
      <c r="S25" s="582">
        <f t="shared" ca="1" si="58"/>
        <v>-0.31883822263246137</v>
      </c>
      <c r="T25" s="582">
        <f t="shared" ca="1" si="58"/>
        <v>0</v>
      </c>
      <c r="U25" s="582">
        <f t="shared" ca="1" si="58"/>
        <v>0</v>
      </c>
      <c r="V25" s="582">
        <f t="shared" ca="1" si="58"/>
        <v>-23.221550063247342</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-23.540388285879803</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0</v>
      </c>
      <c r="BM25" s="601"/>
      <c r="BN25" s="404"/>
      <c r="BO25" s="2758">
        <f t="shared" ca="1" si="66"/>
        <v>4.482715770628416</v>
      </c>
      <c r="BP25" s="2759">
        <f t="shared" ca="1" si="66"/>
        <v>3.852811644605597E-3</v>
      </c>
      <c r="BQ25" s="2759">
        <f t="shared" ca="1" si="66"/>
        <v>1.1374967712645095E-2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4.497943549985667</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10.195826064607054</v>
      </c>
      <c r="O26" s="580">
        <f t="shared" ca="1" si="56"/>
        <v>0</v>
      </c>
      <c r="P26" s="580">
        <f t="shared" ca="1" si="56"/>
        <v>0</v>
      </c>
      <c r="Q26" s="581">
        <f t="shared" ca="1" si="57"/>
        <v>10.195826064607054</v>
      </c>
      <c r="S26" s="582">
        <f t="shared" ca="1" si="58"/>
        <v>0</v>
      </c>
      <c r="T26" s="582">
        <f t="shared" ca="1" si="58"/>
        <v>0</v>
      </c>
      <c r="U26" s="582">
        <f t="shared" ca="1" si="58"/>
        <v>0</v>
      </c>
      <c r="V26" s="582">
        <f t="shared" ca="1" si="58"/>
        <v>-10.195826064607054</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-10.195826064607054</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2.690474581928509</v>
      </c>
      <c r="CV26" s="2759">
        <f t="shared" ca="1" si="69"/>
        <v>2.31241335145288E-3</v>
      </c>
      <c r="CW26" s="2759">
        <f t="shared" ca="1" si="69"/>
        <v>6.8271251328608836E-3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2.6996141204128228</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10.195826064607054</v>
      </c>
      <c r="O28" s="581">
        <f ca="1">SUM(O26:O27)</f>
        <v>0</v>
      </c>
      <c r="P28" s="581">
        <f t="shared" ca="1" si="70"/>
        <v>0</v>
      </c>
      <c r="Q28" s="581">
        <f t="shared" ca="1" si="57"/>
        <v>10.195826064607054</v>
      </c>
      <c r="S28" s="583">
        <f t="shared" ref="S28:AJ28" ca="1" si="71">SUM(S26:S27)</f>
        <v>0</v>
      </c>
      <c r="T28" s="583">
        <f t="shared" ca="1" si="71"/>
        <v>0</v>
      </c>
      <c r="U28" s="583">
        <f t="shared" ca="1" si="71"/>
        <v>0</v>
      </c>
      <c r="V28" s="583">
        <f t="shared" ca="1" si="71"/>
        <v>-10.195826064607054</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-10.195826064607054</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2.690474581928509</v>
      </c>
      <c r="CV28" s="2759">
        <f t="shared" ca="1" si="73"/>
        <v>2.31241335145288E-3</v>
      </c>
      <c r="CW28" s="2759">
        <f t="shared" ca="1" si="73"/>
        <v>6.8271251328608836E-3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2.6996141204128228</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46.359403076699564</v>
      </c>
      <c r="K32" s="609">
        <f t="shared" ca="1" si="85"/>
        <v>0.5146138572299841</v>
      </c>
      <c r="L32" s="609">
        <f t="shared" ca="1" si="85"/>
        <v>2.7351212236636904E-2</v>
      </c>
      <c r="M32" s="609">
        <f t="shared" ca="1" si="85"/>
        <v>0.66</v>
      </c>
      <c r="N32" s="609">
        <f t="shared" ca="1" si="85"/>
        <v>10.195826064607054</v>
      </c>
      <c r="O32" s="609">
        <f t="shared" ca="1" si="85"/>
        <v>0</v>
      </c>
      <c r="P32" s="609">
        <f t="shared" ca="1" si="85"/>
        <v>0</v>
      </c>
      <c r="Q32" s="609">
        <f t="shared" ca="1" si="57"/>
        <v>57.757194210773235</v>
      </c>
      <c r="S32" s="572">
        <f t="shared" ref="S32:AJ32" ca="1" si="86">S24+S25+S28+S31</f>
        <v>-1.4985664468846973</v>
      </c>
      <c r="T32" s="572">
        <f t="shared" ca="1" si="86"/>
        <v>0</v>
      </c>
      <c r="U32" s="572">
        <f t="shared" ca="1" si="86"/>
        <v>0</v>
      </c>
      <c r="V32" s="572">
        <f t="shared" ca="1" si="86"/>
        <v>-56.258627763888541</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-57.757194210773235</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10.510065252345104</v>
      </c>
      <c r="BP32" s="2759">
        <f t="shared" ca="1" si="88"/>
        <v>9.0332075156581409E-3</v>
      </c>
      <c r="BQ32" s="2759">
        <f t="shared" ca="1" si="88"/>
        <v>2.6669469808133561E-2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2.690474581928509</v>
      </c>
      <c r="CV32" s="2759">
        <f t="shared" ca="1" si="88"/>
        <v>2.31241335145288E-3</v>
      </c>
      <c r="CW32" s="2759">
        <f t="shared" ca="1" si="88"/>
        <v>6.8271251328608836E-3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13.245382050081719</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44.991607222661436</v>
      </c>
      <c r="H40" s="624">
        <f t="shared" ca="1" si="107"/>
        <v>11.57744945027579</v>
      </c>
      <c r="I40" s="624">
        <f t="shared" ca="1" si="107"/>
        <v>39.193222476967343</v>
      </c>
      <c r="J40" s="624">
        <f t="shared" ca="1" si="107"/>
        <v>46.359403076699564</v>
      </c>
      <c r="K40" s="624">
        <f t="shared" ca="1" si="107"/>
        <v>0.5146138572299841</v>
      </c>
      <c r="L40" s="624">
        <f t="shared" ca="1" si="107"/>
        <v>2.7351212236636904E-2</v>
      </c>
      <c r="M40" s="624">
        <f t="shared" ca="1" si="107"/>
        <v>0.66</v>
      </c>
      <c r="N40" s="624">
        <f t="shared" ca="1" si="107"/>
        <v>10.195826064607054</v>
      </c>
      <c r="O40" s="624">
        <f t="shared" ca="1" si="107"/>
        <v>0</v>
      </c>
      <c r="P40" s="624">
        <f t="shared" ca="1" si="107"/>
        <v>0</v>
      </c>
      <c r="Q40" s="624">
        <f t="shared" ca="1" si="107"/>
        <v>153.51947336067781</v>
      </c>
      <c r="S40" s="625">
        <f t="shared" ref="S40:AJ40" ca="1" si="108">S$15+S$19+S$22+S$32+S$35+S$38</f>
        <v>-33.063295782580035</v>
      </c>
      <c r="T40" s="625">
        <f t="shared" ca="1" si="108"/>
        <v>0</v>
      </c>
      <c r="U40" s="625">
        <f t="shared" ca="1" si="108"/>
        <v>-4.9309217391129918</v>
      </c>
      <c r="V40" s="625">
        <f t="shared" ca="1" si="108"/>
        <v>-71.182874441497276</v>
      </c>
      <c r="W40" s="625">
        <f t="shared" ca="1" si="108"/>
        <v>-43.588866464782768</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-7.68227714428798E-2</v>
      </c>
      <c r="AJ40" s="625">
        <f t="shared" ca="1" si="108"/>
        <v>0</v>
      </c>
      <c r="AK40" s="625">
        <f ca="1">SUM(S40:AJ40)</f>
        <v>-152.84278119941595</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-0.67669216126185838</v>
      </c>
      <c r="BD40" s="626">
        <f t="shared" ca="1" si="109"/>
        <v>0</v>
      </c>
      <c r="BE40" s="626">
        <f t="shared" ca="1" si="109"/>
        <v>0</v>
      </c>
      <c r="BF40" s="626">
        <f ca="1">SUM(AM40:BE40)</f>
        <v>-0.67669216126185838</v>
      </c>
      <c r="BH40" s="3432">
        <f ca="1">BH$15+BH$19+BH$22+BH$32+BH$35+BH$38</f>
        <v>0</v>
      </c>
      <c r="BI40" s="3432">
        <f ca="1">BI$15+BI$19+BI$22+BI$32+BI$35+BI$38</f>
        <v>0</v>
      </c>
      <c r="BJ40" s="3432">
        <f ca="1">SUM(BH40:BI40)</f>
        <v>0</v>
      </c>
      <c r="BL40" s="3446">
        <f t="shared" ca="1" si="10"/>
        <v>-3.7747582837255322E-15</v>
      </c>
      <c r="BM40" s="627"/>
      <c r="BO40" s="2762">
        <f t="shared" ref="BO40:DF40" ca="1" si="110">BO$15+BO$19+BO$22+BO$32+BO$35+BO$38</f>
        <v>25.036630146714081</v>
      </c>
      <c r="BP40" s="2762">
        <f t="shared" ca="1" si="110"/>
        <v>1.5974289345311241E-2</v>
      </c>
      <c r="BQ40" s="2762">
        <f t="shared" ca="1" si="110"/>
        <v>0.18048520714050836</v>
      </c>
      <c r="BR40" s="2762">
        <f t="shared" ca="1" si="110"/>
        <v>0</v>
      </c>
      <c r="BS40" s="2762">
        <f t="shared" ca="1" si="110"/>
        <v>0</v>
      </c>
      <c r="BT40" s="2762">
        <f t="shared" ca="1" si="110"/>
        <v>0</v>
      </c>
      <c r="BU40" s="2762">
        <f t="shared" ca="1" si="110"/>
        <v>0</v>
      </c>
      <c r="BV40" s="2762">
        <f t="shared" ca="1" si="110"/>
        <v>0</v>
      </c>
      <c r="BW40" s="2762">
        <f t="shared" ca="1" si="110"/>
        <v>1.6618440972643267</v>
      </c>
      <c r="BX40" s="2762">
        <f t="shared" ca="1" si="110"/>
        <v>0</v>
      </c>
      <c r="BY40" s="2762">
        <f t="shared" ca="1" si="110"/>
        <v>0</v>
      </c>
      <c r="BZ40" s="2762">
        <f t="shared" ca="1" si="110"/>
        <v>1.0934088626751839</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2.690474581928509</v>
      </c>
      <c r="CV40" s="2762">
        <f t="shared" ca="1" si="110"/>
        <v>2.31241335145288E-3</v>
      </c>
      <c r="CW40" s="2762">
        <f t="shared" ca="1" si="110"/>
        <v>6.8271251328608836E-3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30.68795672355224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0.24498066298342538</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0.45664881855372935</v>
      </c>
      <c r="AG49" s="582">
        <f t="shared" ca="1" si="122"/>
        <v>7.2968114003990198E-2</v>
      </c>
      <c r="AH49" s="582">
        <f t="shared" ca="1" si="122"/>
        <v>0.11082645052521456</v>
      </c>
      <c r="AI49" s="582">
        <f t="shared" ca="1" si="122"/>
        <v>0</v>
      </c>
      <c r="AJ49" s="582">
        <f t="shared" ca="1" si="122"/>
        <v>0</v>
      </c>
      <c r="AK49" s="583">
        <f ca="1">SUM(S49:AJ49)</f>
        <v>0.88542404606635949</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-0.88542404606635949</v>
      </c>
      <c r="BF49" s="600">
        <f ca="1">SUM(AM49:BE49)</f>
        <v>-0.88542404606635949</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0.5865390600095971</v>
      </c>
      <c r="CO49" s="2759">
        <f t="shared" ca="1" si="129"/>
        <v>6.1171082142857144E-2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0.64771014215245426</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3.1062162937684992</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3.1062162937684992</v>
      </c>
      <c r="S50" s="611">
        <f t="shared" ref="S50:AJ50" ca="1" si="132">IFERROR(INDEX(INDIRECT($C50&amp;".Outputs["&amp;this.Year&amp;"]"), MATCH(S$5, INDIRECT($C50&amp;".Outputs[Vector]"), 0)), 0)</f>
        <v>-0.65230542169138483</v>
      </c>
      <c r="T50" s="611">
        <f t="shared" ca="1" si="132"/>
        <v>0</v>
      </c>
      <c r="U50" s="611">
        <f t="shared" ca="1" si="132"/>
        <v>0</v>
      </c>
      <c r="V50" s="611">
        <f t="shared" ca="1" si="132"/>
        <v>-2.4539108720771146</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0.18141009986574574</v>
      </c>
      <c r="AE50" s="611">
        <f t="shared" ca="1" si="132"/>
        <v>0.21311065065624191</v>
      </c>
      <c r="AF50" s="611">
        <f t="shared" ca="1" si="132"/>
        <v>2.1483484279279286</v>
      </c>
      <c r="AG50" s="611">
        <f t="shared" ca="1" si="132"/>
        <v>0.66126214591446264</v>
      </c>
      <c r="AH50" s="611">
        <f t="shared" ca="1" si="132"/>
        <v>0</v>
      </c>
      <c r="AI50" s="611">
        <f t="shared" ca="1" si="132"/>
        <v>0</v>
      </c>
      <c r="AJ50" s="611">
        <f t="shared" ca="1" si="132"/>
        <v>0</v>
      </c>
      <c r="AK50" s="604">
        <f ca="1">SUM(S50:AJ50)</f>
        <v>9.7915030595879693E-2</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-0.39452075052198765</v>
      </c>
      <c r="BE50" s="612">
        <f t="shared" ca="1" si="133"/>
        <v>-2.8096105738423911</v>
      </c>
      <c r="BF50" s="606">
        <f ca="1">SUM(AM50:BE50)</f>
        <v>-3.2041313243643788</v>
      </c>
      <c r="BH50" s="3441">
        <f t="shared" ca="1" si="126"/>
        <v>0</v>
      </c>
      <c r="BI50" s="3441">
        <f t="shared" ca="1" si="126"/>
        <v>0</v>
      </c>
      <c r="BJ50" s="3430">
        <f ca="1">SUM(BH50:BI50)</f>
        <v>0</v>
      </c>
      <c r="BL50" s="601">
        <f ca="1">Q50+AK50+BF50+BJ50</f>
        <v>0</v>
      </c>
      <c r="BM50" s="601"/>
      <c r="BN50" s="404"/>
      <c r="BO50" s="2760">
        <f t="shared" ca="1" si="127"/>
        <v>0.64753800092370883</v>
      </c>
      <c r="BP50" s="2761">
        <f t="shared" ca="1" si="127"/>
        <v>5.5654698578708965E-4</v>
      </c>
      <c r="BQ50" s="2761">
        <f t="shared" ca="1" si="127"/>
        <v>1.643138719942836E-3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10.68825882883333</v>
      </c>
      <c r="CG50" s="2761">
        <f t="shared" ca="1" si="128"/>
        <v>5.6603978384106233</v>
      </c>
      <c r="CH50" s="2761">
        <f t="shared" ca="1" si="128"/>
        <v>0</v>
      </c>
      <c r="CI50" s="2761">
        <f t="shared" ca="1" si="129"/>
        <v>2.8476979236686719</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19.846092277542066</v>
      </c>
    </row>
    <row r="51" spans="1:112" s="6" customFormat="1" ht="15.5">
      <c r="A51" s="4"/>
      <c r="B51" s="3"/>
      <c r="C51" s="607" t="s">
        <v>503</v>
      </c>
      <c r="D51" s="608" t="s">
        <v>504</v>
      </c>
      <c r="E51" s="201"/>
      <c r="G51" s="609">
        <f ca="1">SUM(G48:G50)</f>
        <v>0</v>
      </c>
      <c r="H51" s="609">
        <f t="shared" ref="H51:P51" ca="1" si="134">SUM(H48:H50)</f>
        <v>0</v>
      </c>
      <c r="I51" s="609">
        <f t="shared" ca="1" si="134"/>
        <v>3.1062162937684992</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3.1062162937684992</v>
      </c>
      <c r="S51" s="572">
        <f t="shared" ref="S51:AJ51" ca="1" si="135">SUM(S48:S50)</f>
        <v>-0.65230542169138483</v>
      </c>
      <c r="T51" s="572">
        <f t="shared" ca="1" si="135"/>
        <v>0</v>
      </c>
      <c r="U51" s="572">
        <f t="shared" ca="1" si="135"/>
        <v>0</v>
      </c>
      <c r="V51" s="572">
        <f t="shared" ca="1" si="135"/>
        <v>-2.4539108720771146</v>
      </c>
      <c r="W51" s="572">
        <f t="shared" ca="1" si="135"/>
        <v>0</v>
      </c>
      <c r="X51" s="572">
        <f t="shared" ca="1" si="135"/>
        <v>0.24498066298342538</v>
      </c>
      <c r="Y51" s="572">
        <f t="shared" ca="1" si="135"/>
        <v>0</v>
      </c>
      <c r="Z51" s="572">
        <f t="shared" ca="1" si="135"/>
        <v>0</v>
      </c>
      <c r="AA51" s="572">
        <f t="shared" ca="1" si="135"/>
        <v>0</v>
      </c>
      <c r="AB51" s="572">
        <f t="shared" ca="1" si="135"/>
        <v>0</v>
      </c>
      <c r="AC51" s="572">
        <f t="shared" ca="1" si="135"/>
        <v>0</v>
      </c>
      <c r="AD51" s="572">
        <f t="shared" ca="1" si="135"/>
        <v>0.18141009986574574</v>
      </c>
      <c r="AE51" s="572">
        <f ca="1">SUM(AE48:AE50)</f>
        <v>0.21311065065624191</v>
      </c>
      <c r="AF51" s="572">
        <f t="shared" ca="1" si="135"/>
        <v>2.6049972464816578</v>
      </c>
      <c r="AG51" s="572">
        <f t="shared" ca="1" si="135"/>
        <v>0.73423025991845281</v>
      </c>
      <c r="AH51" s="572">
        <f ca="1">SUM(AH48:AH50)</f>
        <v>0.11082645052521456</v>
      </c>
      <c r="AI51" s="572">
        <f t="shared" ca="1" si="135"/>
        <v>0</v>
      </c>
      <c r="AJ51" s="572">
        <f t="shared" ca="1" si="135"/>
        <v>0</v>
      </c>
      <c r="AK51" s="572">
        <f ca="1">SUM(S51:AJ51)</f>
        <v>0.98333907666223908</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-0.39452075052198765</v>
      </c>
      <c r="BE51" s="573">
        <f t="shared" ca="1" si="136"/>
        <v>-3.6950346199087507</v>
      </c>
      <c r="BF51" s="573">
        <f ca="1">SUM(AM51:BE51)</f>
        <v>-4.0895553704307384</v>
      </c>
      <c r="BH51" s="3431">
        <f ca="1">SUM(BH48:BH50)</f>
        <v>0</v>
      </c>
      <c r="BI51" s="3431">
        <f ca="1">SUM(BI48:BI50)</f>
        <v>0</v>
      </c>
      <c r="BJ51" s="3431">
        <f ca="1">SUM(BH51:BI51)</f>
        <v>0</v>
      </c>
      <c r="BL51" s="3445">
        <f ca="1">Q51+AK51+BF51+BJ51</f>
        <v>0</v>
      </c>
      <c r="BM51" s="575"/>
      <c r="BN51" s="404"/>
      <c r="BO51" s="2759">
        <f t="shared" ref="BO51:DF51" ca="1" si="137">SUM(BO48:BO50)</f>
        <v>0.64753800092370883</v>
      </c>
      <c r="BP51" s="2759">
        <f t="shared" ca="1" si="137"/>
        <v>5.5654698578708965E-4</v>
      </c>
      <c r="BQ51" s="2759">
        <f t="shared" ca="1" si="137"/>
        <v>1.643138719942836E-3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10.68825882883333</v>
      </c>
      <c r="CG51" s="2759">
        <f t="shared" ca="1" si="137"/>
        <v>5.6603978384106233</v>
      </c>
      <c r="CH51" s="2759">
        <f t="shared" ca="1" si="137"/>
        <v>0</v>
      </c>
      <c r="CI51" s="2759">
        <f t="shared" ca="1" si="137"/>
        <v>2.8476979236686719</v>
      </c>
      <c r="CJ51" s="2759">
        <f t="shared" ca="1" si="137"/>
        <v>0</v>
      </c>
      <c r="CK51" s="2759">
        <f t="shared" ca="1" si="137"/>
        <v>0</v>
      </c>
      <c r="CL51" s="2759">
        <f t="shared" ca="1" si="137"/>
        <v>0</v>
      </c>
      <c r="CM51" s="2759">
        <f t="shared" ca="1" si="137"/>
        <v>0</v>
      </c>
      <c r="CN51" s="2759">
        <f t="shared" ca="1" si="137"/>
        <v>0.5865390600095971</v>
      </c>
      <c r="CO51" s="2759">
        <f t="shared" ca="1" si="137"/>
        <v>6.1171082142857144E-2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20.493802419694518</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0.23317560000000004</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0.23317560000000004</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-0.23317560000000004</v>
      </c>
      <c r="BC59" s="584">
        <f t="shared" ca="1" si="158"/>
        <v>0</v>
      </c>
      <c r="BD59" s="584">
        <f t="shared" ca="1" si="158"/>
        <v>0</v>
      </c>
      <c r="BE59" s="584">
        <f t="shared" ca="1" si="158"/>
        <v>0</v>
      </c>
      <c r="BF59" s="600">
        <f t="shared" ca="1" si="159"/>
        <v>-0.23317560000000004</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0.28498265999999978</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0.28498265999999978</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-1.3017510000000001E-2</v>
      </c>
      <c r="BA63" s="573">
        <f t="shared" ca="1" si="168"/>
        <v>0</v>
      </c>
      <c r="BB63" s="573">
        <f t="shared" ca="1" si="168"/>
        <v>-0.23317560000000004</v>
      </c>
      <c r="BC63" s="573">
        <f t="shared" ca="1" si="168"/>
        <v>0</v>
      </c>
      <c r="BD63" s="573">
        <f t="shared" ca="1" si="168"/>
        <v>0</v>
      </c>
      <c r="BE63" s="573">
        <f t="shared" ca="1" si="168"/>
        <v>0</v>
      </c>
      <c r="BF63" s="573">
        <f t="shared" ca="1" si="159"/>
        <v>-0.28498265999999978</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5.4873408173485572E-3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5.4873408173485572E-3</v>
      </c>
      <c r="S66" s="651">
        <f t="shared" ca="1" si="171"/>
        <v>-5.4873408173485572E-3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7.68227714428798E-2</v>
      </c>
      <c r="AJ66" s="651">
        <f t="shared" ca="1" si="171"/>
        <v>0</v>
      </c>
      <c r="AK66" s="652">
        <f ca="1">SUM(S66:AJ66)</f>
        <v>7.1335430625531243E-2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-7.68227714428798E-2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-7.68227714428798E-2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5.4873408173485572E-3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5.4873408173485572E-3</v>
      </c>
      <c r="S68" s="572">
        <f t="shared" ref="S68:AJ68" ca="1" si="179">SUM(S65:S67)</f>
        <v>-5.4873408173485572E-3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7.68227714428798E-2</v>
      </c>
      <c r="AJ68" s="572">
        <f t="shared" ca="1" si="179"/>
        <v>0</v>
      </c>
      <c r="AK68" s="572">
        <f ca="1">SUM(S68:AJ68)</f>
        <v>7.1335430625531243E-2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-7.68227714428798E-2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-7.68227714428798E-2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-33.94707664991239</v>
      </c>
      <c r="T74" s="662">
        <f ca="1">T$40+T$46+T$51+T$99+T$55+T$93+T$63+T$68+T$72</f>
        <v>-4.5672840509879826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-33.94707664991239</v>
      </c>
      <c r="T78" s="662">
        <f ca="1">T$74+T$76</f>
        <v>-4.5672840509879826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-33.94707664991239</v>
      </c>
      <c r="T80" s="636">
        <f ca="1">T78+T79</f>
        <v>-4.5672840509879826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38.514360700900369</v>
      </c>
      <c r="U81" s="611">
        <f t="shared" ca="1" si="207"/>
        <v>0</v>
      </c>
      <c r="V81" s="611">
        <f t="shared" ca="1" si="207"/>
        <v>0</v>
      </c>
      <c r="W81" s="611">
        <f t="shared" ca="1" si="207"/>
        <v>-71.426632572578853</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-32.912271871678485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32.14198465766048</v>
      </c>
      <c r="BI81" s="3441">
        <f ca="1">IFERROR(INDEX(INDIRECT($C81&amp;".Outputs["&amp;this.Year&amp;"]"), MATCH(BI$5, INDIRECT($C81&amp;".Outputs[Vector]"), 0)), 0)</f>
        <v>0.77028721401800737</v>
      </c>
      <c r="BJ81" s="3430">
        <f ca="1">SUM(BH81:BI81)</f>
        <v>32.912271871678485</v>
      </c>
      <c r="BK81" s="6"/>
      <c r="BL81" s="601">
        <f t="shared" ca="1" si="191"/>
        <v>0</v>
      </c>
      <c r="BM81" s="601"/>
      <c r="BN81" s="404"/>
      <c r="BO81" s="2760">
        <f t="shared" ref="BO81:DF81" ca="1" si="210">IFERROR(SUMIFS(INDIRECT($C81&amp;".Emissions["&amp;this.Year&amp;"]"), INDIRECT($C81&amp;".Emissions[GHG]"), BO$6, INDIRECT($C81&amp;".Emissions[IPCC Sector]"), BO$5),0)</f>
        <v>14.622545932217429</v>
      </c>
      <c r="BP81" s="2761">
        <f t="shared" ca="1" si="210"/>
        <v>5.3998534224869617E-3</v>
      </c>
      <c r="BQ81" s="2761">
        <f t="shared" ca="1" si="210"/>
        <v>0.2311651536578942</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14.85911093929781</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38.514360700900369</v>
      </c>
      <c r="U82" s="572">
        <f t="shared" ca="1" si="212"/>
        <v>0</v>
      </c>
      <c r="V82" s="572">
        <f t="shared" ca="1" si="212"/>
        <v>0</v>
      </c>
      <c r="W82" s="572">
        <f t="shared" ca="1" si="212"/>
        <v>-71.426632572578853</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-32.912271871678485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32.14198465766048</v>
      </c>
      <c r="BI82" s="3431">
        <f ca="1">BI79+BI81</f>
        <v>0.77028721401800737</v>
      </c>
      <c r="BJ82" s="3431">
        <f ca="1">SUM(BH82:BI82)</f>
        <v>32.912271871678485</v>
      </c>
      <c r="BL82" s="3445">
        <f t="shared" ca="1" si="191"/>
        <v>0</v>
      </c>
      <c r="BM82" s="575"/>
      <c r="BN82" s="404"/>
      <c r="BO82" s="2759">
        <f t="shared" ref="BO82:DF82" ca="1" si="214">BO79+BO81</f>
        <v>14.622545932217429</v>
      </c>
      <c r="BP82" s="2759">
        <f t="shared" ca="1" si="214"/>
        <v>5.3998534224869617E-3</v>
      </c>
      <c r="BQ82" s="2759">
        <f t="shared" ca="1" si="214"/>
        <v>0.2311651536578942</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14.85911093929781</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5.4873408173485572E-3</v>
      </c>
      <c r="I84" s="671">
        <f t="shared" ca="1" si="215"/>
        <v>3.1062162937684992</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3.1117036345858478</v>
      </c>
      <c r="S84" s="625">
        <f t="shared" ref="S84:AJ84" ca="1" si="216">S$51+S$55+S$63+S$68+S$72+S$76+S$82+S$46</f>
        <v>-0.88378086733235373</v>
      </c>
      <c r="T84" s="625">
        <f t="shared" ca="1" si="216"/>
        <v>38.795552218082591</v>
      </c>
      <c r="U84" s="625">
        <f t="shared" ca="1" si="216"/>
        <v>0</v>
      </c>
      <c r="V84" s="625">
        <f t="shared" ca="1" si="216"/>
        <v>-4.3061966856659861</v>
      </c>
      <c r="W84" s="625">
        <f t="shared" ca="1" si="216"/>
        <v>-71.509034525827559</v>
      </c>
      <c r="X84" s="625">
        <f t="shared" ca="1" si="216"/>
        <v>0.24498066298342538</v>
      </c>
      <c r="Y84" s="625">
        <f t="shared" ca="1" si="216"/>
        <v>0</v>
      </c>
      <c r="Z84" s="625">
        <f t="shared" ca="1" si="216"/>
        <v>0</v>
      </c>
      <c r="AA84" s="625">
        <f t="shared" ca="1" si="216"/>
        <v>0</v>
      </c>
      <c r="AB84" s="625">
        <f t="shared" ca="1" si="216"/>
        <v>0</v>
      </c>
      <c r="AC84" s="625">
        <f t="shared" ca="1" si="216"/>
        <v>0</v>
      </c>
      <c r="AD84" s="625">
        <f t="shared" ca="1" si="216"/>
        <v>0.18141009986574574</v>
      </c>
      <c r="AE84" s="625">
        <f t="shared" ca="1" si="216"/>
        <v>0.21311065065624191</v>
      </c>
      <c r="AF84" s="625">
        <f t="shared" ca="1" si="216"/>
        <v>2.6049972464816578</v>
      </c>
      <c r="AG84" s="625">
        <f t="shared" ca="1" si="216"/>
        <v>0.73423025991845281</v>
      </c>
      <c r="AH84" s="625">
        <f t="shared" ca="1" si="216"/>
        <v>0.11082645052521456</v>
      </c>
      <c r="AI84" s="625">
        <f t="shared" ca="1" si="216"/>
        <v>7.68227714428798E-2</v>
      </c>
      <c r="AJ84" s="625">
        <f t="shared" ca="1" si="216"/>
        <v>0</v>
      </c>
      <c r="AK84" s="625">
        <f ca="1">SUM(S84:AJ84)</f>
        <v>-33.737081718869696</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-7.68227714428798E-2</v>
      </c>
      <c r="AX84" s="626">
        <f t="shared" ca="1" si="217"/>
        <v>-3.8789549999999742E-2</v>
      </c>
      <c r="AY84" s="626">
        <f t="shared" ca="1" si="217"/>
        <v>0</v>
      </c>
      <c r="AZ84" s="626">
        <f t="shared" ca="1" si="217"/>
        <v>-1.3017510000000001E-2</v>
      </c>
      <c r="BA84" s="626">
        <f t="shared" ca="1" si="217"/>
        <v>0</v>
      </c>
      <c r="BB84" s="626">
        <f t="shared" ca="1" si="217"/>
        <v>-0.23317560000000004</v>
      </c>
      <c r="BC84" s="626">
        <f t="shared" ca="1" si="217"/>
        <v>0</v>
      </c>
      <c r="BD84" s="626">
        <f t="shared" ca="1" si="217"/>
        <v>-0.39452075052198765</v>
      </c>
      <c r="BE84" s="626">
        <f t="shared" ca="1" si="217"/>
        <v>-3.6950346199087507</v>
      </c>
      <c r="BF84" s="626">
        <f ca="1">SUM(AM84:BE84)</f>
        <v>-4.4513608018736175</v>
      </c>
      <c r="BH84" s="3432">
        <f ca="1">BH$51+BH$55+BH$63+BH$68+BH$72+BH$76+BH$82+BH$46</f>
        <v>32.119237800753837</v>
      </c>
      <c r="BI84" s="3432">
        <f ca="1">BI$51+BI$55+BI$63+BI$68+BI$72+BI$76+BI$82+BI$46</f>
        <v>2.9575010854036221</v>
      </c>
      <c r="BJ84" s="3432">
        <f ca="1">SUM(BH84:BI84)</f>
        <v>35.076738886157457</v>
      </c>
      <c r="BL84" s="3446">
        <f t="shared" ca="1" si="191"/>
        <v>0</v>
      </c>
      <c r="BM84" s="627"/>
      <c r="BO84" s="2762">
        <f t="shared" ref="BO84:DE84" ca="1" si="218">BO$51+BO$55+BO$63+BO$68+BO$72+BO$76+BO$82+BO$46</f>
        <v>15.775734540382388</v>
      </c>
      <c r="BP84" s="2762">
        <f t="shared" ca="1" si="218"/>
        <v>6.3827284184616098E-3</v>
      </c>
      <c r="BQ84" s="2762">
        <f t="shared" ca="1" si="218"/>
        <v>0.23431526864011024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10.68825882883333</v>
      </c>
      <c r="CG84" s="2762">
        <f t="shared" ca="1" si="218"/>
        <v>5.6603978384106233</v>
      </c>
      <c r="CH84" s="2762">
        <f t="shared" ca="1" si="218"/>
        <v>0</v>
      </c>
      <c r="CI84" s="2762">
        <f t="shared" ca="1" si="218"/>
        <v>2.8476979236686719</v>
      </c>
      <c r="CJ84" s="2762">
        <f t="shared" ca="1" si="218"/>
        <v>0</v>
      </c>
      <c r="CK84" s="2762">
        <f t="shared" ca="1" si="218"/>
        <v>0</v>
      </c>
      <c r="CL84" s="2762">
        <f t="shared" ca="1" si="218"/>
        <v>0</v>
      </c>
      <c r="CM84" s="2762">
        <f t="shared" ca="1" si="218"/>
        <v>0</v>
      </c>
      <c r="CN84" s="2762">
        <f t="shared" ca="1" si="218"/>
        <v>0.5865390600095971</v>
      </c>
      <c r="CO84" s="2762">
        <f t="shared" ca="1" si="218"/>
        <v>6.1171082142857144E-2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35.860497270506038</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-33.941589309095043</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-4.8484755681702083</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-4.8484755681702083</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4.8484755681702092</v>
      </c>
      <c r="BJ91" s="3428">
        <f ca="1">SUM(BH91:BI91)</f>
        <v>4.8484755681702092</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-4.8484755681702083</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-4.8484755681702083</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4.8484755681702092</v>
      </c>
      <c r="BJ93" s="3431">
        <f ca="1">SUM(BH93:BI93)</f>
        <v>4.8484755681702092</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-4.9309217391129918</v>
      </c>
      <c r="V95" s="636">
        <f ca="1">(V$40+V$84+V$93)</f>
        <v>-75.489071127163257</v>
      </c>
      <c r="W95" s="636">
        <f ca="1">(W$40+W$84+W$93)</f>
        <v>-115.09790099061033</v>
      </c>
      <c r="X95" s="636"/>
      <c r="Y95" s="636"/>
      <c r="Z95" s="636"/>
      <c r="AA95" s="636"/>
      <c r="AB95" s="636"/>
      <c r="AC95" s="636">
        <f t="shared" ref="AC95:AH95" ca="1" si="239">(AC$40+AC$84+AC$93)</f>
        <v>0</v>
      </c>
      <c r="AD95" s="636">
        <f t="shared" ca="1" si="239"/>
        <v>0.18141009986574574</v>
      </c>
      <c r="AE95" s="636">
        <f t="shared" ca="1" si="239"/>
        <v>0.21311065065624191</v>
      </c>
      <c r="AF95" s="636">
        <f t="shared" ca="1" si="239"/>
        <v>2.6049972464816578</v>
      </c>
      <c r="AG95" s="636">
        <f t="shared" ca="1" si="239"/>
        <v>0.73423025991845281</v>
      </c>
      <c r="AH95" s="636">
        <f t="shared" ca="1" si="239"/>
        <v>0.11082645052521456</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-3.6950346199087507</v>
      </c>
      <c r="BF95" s="637">
        <f ca="1">SUM(AM95:BE95)</f>
        <v>-3.6950346199087507</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2.4747473841575749</v>
      </c>
      <c r="V96" s="689">
        <f t="shared" ca="1" si="241"/>
        <v>0.14897751054695804</v>
      </c>
      <c r="W96" s="689">
        <f t="shared" ca="1" si="241"/>
        <v>0.73492217145589944</v>
      </c>
      <c r="X96" s="689">
        <f t="shared" ca="1" si="241"/>
        <v>0</v>
      </c>
      <c r="Y96" s="689">
        <f t="shared" ca="1" si="241"/>
        <v>0</v>
      </c>
      <c r="Z96" s="689">
        <f t="shared" ca="1" si="241"/>
        <v>0</v>
      </c>
      <c r="AA96" s="689">
        <f t="shared" ca="1" si="241"/>
        <v>0</v>
      </c>
      <c r="AB96" s="689">
        <f t="shared" ca="1" si="241"/>
        <v>0</v>
      </c>
      <c r="AC96" s="689">
        <f t="shared" ca="1" si="241"/>
        <v>0</v>
      </c>
      <c r="AD96" s="689">
        <f t="shared" ca="1" si="241"/>
        <v>-0.18141009986574574</v>
      </c>
      <c r="AE96" s="689">
        <f t="shared" ca="1" si="241"/>
        <v>-0.21311065065624191</v>
      </c>
      <c r="AF96" s="689">
        <f t="shared" ca="1" si="241"/>
        <v>-2.6049972464816578</v>
      </c>
      <c r="AG96" s="689">
        <f t="shared" ca="1" si="241"/>
        <v>-0.73423025991845281</v>
      </c>
      <c r="AH96" s="689">
        <f t="shared" ca="1" si="241"/>
        <v>-0.11082645052521456</v>
      </c>
      <c r="AI96" s="689">
        <f t="shared" ca="1" si="241"/>
        <v>0</v>
      </c>
      <c r="AJ96" s="689">
        <f t="shared" ca="1" si="241"/>
        <v>0</v>
      </c>
      <c r="AK96" s="690">
        <f ca="1">SUM(S96:AJ96)</f>
        <v>-0.4859276412868806</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0.48592764128688071</v>
      </c>
      <c r="BI96" s="3444">
        <f ca="1">IFERROR(INDEX(INDIRECT($C96&amp;".Outputs["&amp;this.Year&amp;"]"), MATCH(BI$5, INDIRECT($C96&amp;".Outputs[Vector]"), 0)), 0)</f>
        <v>0</v>
      </c>
      <c r="BJ96" s="3436">
        <f ca="1">SUM(BH96:BI96)</f>
        <v>0.48592764128688071</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-1.0252964855631914</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-1.0252964855631914</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-2.4561743549554169</v>
      </c>
      <c r="V97" s="636">
        <f ca="1">V$95+V$96</f>
        <v>-75.340093616616301</v>
      </c>
      <c r="W97" s="636">
        <f ca="1">W$95+W$96</f>
        <v>-114.36297881915442</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-0.88542404606635949</v>
      </c>
      <c r="BF97" s="637">
        <f ca="1">SUM(AM97:BE97)</f>
        <v>-0.88542404606635949</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0.5</v>
      </c>
      <c r="V98" s="611">
        <f t="shared" ca="1" si="246"/>
        <v>0.29999999999999993</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0.79999999999999993</v>
      </c>
      <c r="AM98" s="612">
        <f t="shared" ref="AM98:BE98" ca="1" si="247">IFERROR(INDEX(INDIRECT($C98&amp;".Outputs["&amp;this.Year&amp;"]"), MATCH(AM$5, INDIRECT($C98&amp;".Outputs[Vector]"), 0)), 0)</f>
        <v>0</v>
      </c>
      <c r="AN98" s="612">
        <f t="shared" ca="1" si="247"/>
        <v>0</v>
      </c>
      <c r="AO98" s="612">
        <f t="shared" ca="1" si="247"/>
        <v>0</v>
      </c>
      <c r="AP98" s="612">
        <f t="shared" ca="1" si="247"/>
        <v>-0.79999999999999993</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-0.79999999999999993</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-0.24797520000000001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-0.24797520000000001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2.9747473841575749</v>
      </c>
      <c r="V99" s="572">
        <f t="shared" ca="1" si="250"/>
        <v>0.448977510546958</v>
      </c>
      <c r="W99" s="572">
        <f t="shared" ca="1" si="250"/>
        <v>0.73492217145589944</v>
      </c>
      <c r="X99" s="572">
        <f t="shared" ca="1" si="250"/>
        <v>0</v>
      </c>
      <c r="Y99" s="572">
        <f t="shared" ca="1" si="250"/>
        <v>0</v>
      </c>
      <c r="Z99" s="572">
        <f t="shared" ca="1" si="250"/>
        <v>0</v>
      </c>
      <c r="AA99" s="572">
        <f t="shared" ca="1" si="250"/>
        <v>0</v>
      </c>
      <c r="AB99" s="572">
        <f t="shared" ca="1" si="250"/>
        <v>0</v>
      </c>
      <c r="AC99" s="572">
        <f t="shared" ca="1" si="250"/>
        <v>0</v>
      </c>
      <c r="AD99" s="572">
        <f ca="1">AD$96+AD98</f>
        <v>-0.18141009986574574</v>
      </c>
      <c r="AE99" s="572">
        <f ca="1">AE$96+AE98</f>
        <v>-0.21311065065624191</v>
      </c>
      <c r="AF99" s="572">
        <f t="shared" ca="1" si="250"/>
        <v>-2.6049972464816578</v>
      </c>
      <c r="AG99" s="572">
        <f t="shared" ca="1" si="250"/>
        <v>-0.73423025991845281</v>
      </c>
      <c r="AH99" s="572">
        <f ca="1">AH$96+AH98</f>
        <v>-0.11082645052521456</v>
      </c>
      <c r="AI99" s="572">
        <f t="shared" ca="1" si="250"/>
        <v>0</v>
      </c>
      <c r="AJ99" s="572">
        <f t="shared" ca="1" si="250"/>
        <v>0</v>
      </c>
      <c r="AK99" s="572">
        <f ca="1">SUM(S99:AJ99)</f>
        <v>0.31407235871311923</v>
      </c>
      <c r="AM99" s="573">
        <f t="shared" ref="AM99:BE99" ca="1" si="251">AM$96+AM98</f>
        <v>0</v>
      </c>
      <c r="AN99" s="573">
        <f t="shared" ca="1" si="251"/>
        <v>0</v>
      </c>
      <c r="AO99" s="573">
        <f t="shared" ca="1" si="251"/>
        <v>0</v>
      </c>
      <c r="AP99" s="573">
        <f t="shared" ca="1" si="251"/>
        <v>-0.79999999999999993</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-0.79999999999999993</v>
      </c>
      <c r="BH99" s="3431">
        <f ca="1">BH$96+BH98</f>
        <v>0.48592764128688071</v>
      </c>
      <c r="BI99" s="3431">
        <f ca="1">BI$96+BI98</f>
        <v>0</v>
      </c>
      <c r="BJ99" s="3431">
        <f ca="1">SUM(BH99:BI99)</f>
        <v>0.48592764128688071</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-1.2732716855631914</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-1.2732716855631914</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-33.94707664991239</v>
      </c>
      <c r="T101" s="636">
        <f ca="1">(T$40+T$84+T$93+T$99)</f>
        <v>33.947076649912383</v>
      </c>
      <c r="U101" s="636">
        <f ca="1">(U$40+U$84+U$93+U$99)</f>
        <v>-1.9561743549554169</v>
      </c>
      <c r="V101" s="636">
        <f ca="1">(V$40+V$84+V$93+V$99)</f>
        <v>-75.040093616616304</v>
      </c>
      <c r="W101" s="636">
        <f ca="1">(W$40+W$84+W$93+W$99)</f>
        <v>-114.36297881915442</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1.9561743549554169</v>
      </c>
      <c r="V102" s="652">
        <f t="shared" ca="1" si="254"/>
        <v>75.040093616616304</v>
      </c>
      <c r="W102" s="652">
        <f t="shared" ca="1" si="254"/>
        <v>114.36297881915442</v>
      </c>
      <c r="X102" s="652">
        <f t="shared" ca="1" si="254"/>
        <v>-1.9561743549554169</v>
      </c>
      <c r="Y102" s="652">
        <f t="shared" ca="1" si="254"/>
        <v>-75.040093616616304</v>
      </c>
      <c r="Z102" s="652">
        <f t="shared" ca="1" si="254"/>
        <v>-116.07842350144173</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-1.7154446822872842</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1.7154446822873162</v>
      </c>
      <c r="BJ102" s="655">
        <f ca="1">SUM(BH102:BI102)</f>
        <v>1.7154446822873162</v>
      </c>
      <c r="BK102" s="6"/>
      <c r="BL102" s="3445">
        <f t="shared" ref="BL102:BL109" ca="1" si="256">Q102+AK102+BF102+BJ102</f>
        <v>3.1974423109204508E-14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4.8902284664374789E-2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4.8902284664374789E-2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7.1054273576010019E-15</v>
      </c>
      <c r="U103" s="702"/>
      <c r="V103" s="702"/>
      <c r="W103" s="702"/>
      <c r="X103" s="702">
        <f ca="1">-(X$40+X$84+X$93+X$99+X$102)</f>
        <v>1.7111936919719914</v>
      </c>
      <c r="Y103" s="702">
        <f ca="1">-(Y$40+Y$84+Y$93+Y$99+Y$102)</f>
        <v>75.040093616616304</v>
      </c>
      <c r="Z103" s="702">
        <f ca="1">-(Z$40+Z$84+Z$93+Z$99+Z$102)</f>
        <v>116.07842350144173</v>
      </c>
      <c r="AA103" s="702"/>
      <c r="AB103" s="702"/>
      <c r="AC103" s="702"/>
      <c r="AD103" s="702"/>
      <c r="AE103" s="702"/>
      <c r="AF103" s="702"/>
      <c r="AG103" s="702"/>
      <c r="AH103" s="702"/>
      <c r="AI103" s="702"/>
      <c r="AJ103" s="702"/>
      <c r="AK103" s="702">
        <f ca="1">SUM(S103:AJ103)</f>
        <v>192.82971081003004</v>
      </c>
      <c r="AL103" s="6"/>
      <c r="AM103" s="606"/>
      <c r="AN103" s="606"/>
      <c r="AO103" s="606"/>
      <c r="AP103" s="606"/>
      <c r="AQ103" s="606">
        <f ca="1">-T103</f>
        <v>-7.1054273576010019E-15</v>
      </c>
      <c r="AR103" s="606">
        <f>-V103</f>
        <v>0</v>
      </c>
      <c r="AS103" s="606">
        <f ca="1">-X103</f>
        <v>-1.7111936919719914</v>
      </c>
      <c r="AT103" s="606">
        <f ca="1">-Y103</f>
        <v>-75.040093616616304</v>
      </c>
      <c r="AU103" s="606">
        <f ca="1">-Z103</f>
        <v>-116.07842350144173</v>
      </c>
      <c r="AV103" s="606"/>
      <c r="AW103" s="606"/>
      <c r="AX103" s="606"/>
      <c r="AY103" s="606"/>
      <c r="AZ103" s="606"/>
      <c r="BA103" s="606"/>
      <c r="BB103" s="606"/>
      <c r="BC103" s="606"/>
      <c r="BD103" s="606"/>
      <c r="BE103" s="606"/>
      <c r="BF103" s="606">
        <f ca="1">SUM(AM103:BE103)</f>
        <v>-192.82971081003004</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7.1054273576010019E-15</v>
      </c>
      <c r="U104" s="572">
        <f t="shared" ca="1" si="262"/>
        <v>1.9561743549554169</v>
      </c>
      <c r="V104" s="572">
        <f t="shared" ca="1" si="262"/>
        <v>75.040093616616304</v>
      </c>
      <c r="W104" s="572">
        <f t="shared" ca="1" si="262"/>
        <v>114.36297881915442</v>
      </c>
      <c r="X104" s="572">
        <f t="shared" ca="1" si="262"/>
        <v>-0.24498066298342547</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191.11426612774272</v>
      </c>
      <c r="AM104" s="573">
        <f t="shared" ref="AM104:BE104" ca="1" si="263">SUM(AM102:AM103)</f>
        <v>0</v>
      </c>
      <c r="AN104" s="573">
        <f t="shared" ca="1" si="263"/>
        <v>0</v>
      </c>
      <c r="AO104" s="573">
        <f t="shared" ca="1" si="263"/>
        <v>0</v>
      </c>
      <c r="AP104" s="573">
        <f t="shared" ca="1" si="263"/>
        <v>0</v>
      </c>
      <c r="AQ104" s="573">
        <f t="shared" ca="1" si="263"/>
        <v>-7.1054273576010019E-15</v>
      </c>
      <c r="AR104" s="573">
        <f t="shared" ca="1" si="263"/>
        <v>0</v>
      </c>
      <c r="AS104" s="573">
        <f t="shared" ca="1" si="263"/>
        <v>-1.7111936919719914</v>
      </c>
      <c r="AT104" s="573">
        <f t="shared" ca="1" si="263"/>
        <v>-75.040093616616304</v>
      </c>
      <c r="AU104" s="573">
        <f t="shared" ca="1" si="263"/>
        <v>-116.07842350144173</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-192.82971081003004</v>
      </c>
      <c r="BH104" s="3431">
        <f ca="1">SUM(BH102:BH103)</f>
        <v>0</v>
      </c>
      <c r="BI104" s="3431">
        <f ca="1">SUM(BI102:BI103)</f>
        <v>1.7154446822873162</v>
      </c>
      <c r="BJ104" s="3431">
        <f ca="1">SUM(BH104:BI104)</f>
        <v>1.7154446822873162</v>
      </c>
      <c r="BL104" s="3445">
        <f t="shared" ca="1" si="256"/>
        <v>3.5527136788005009E-15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4.8902284664374789E-2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4.8902284664374789E-2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-4.8484755681702012</v>
      </c>
      <c r="U106" s="625">
        <f t="shared" ca="1" si="266"/>
        <v>4.9309217391129918</v>
      </c>
      <c r="V106" s="625">
        <f t="shared" ca="1" si="266"/>
        <v>75.489071127163257</v>
      </c>
      <c r="W106" s="625">
        <f t="shared" ca="1" si="266"/>
        <v>115.09790099061033</v>
      </c>
      <c r="X106" s="625">
        <f t="shared" ca="1" si="266"/>
        <v>-0.24498066298342547</v>
      </c>
      <c r="Y106" s="625">
        <f t="shared" ca="1" si="266"/>
        <v>0</v>
      </c>
      <c r="Z106" s="625">
        <f t="shared" ca="1" si="266"/>
        <v>0</v>
      </c>
      <c r="AA106" s="625">
        <f t="shared" ca="1" si="266"/>
        <v>0</v>
      </c>
      <c r="AB106" s="625">
        <f t="shared" ca="1" si="266"/>
        <v>0</v>
      </c>
      <c r="AC106" s="625">
        <f t="shared" ca="1" si="266"/>
        <v>0</v>
      </c>
      <c r="AD106" s="625">
        <f t="shared" ca="1" si="266"/>
        <v>-0.18141009986574574</v>
      </c>
      <c r="AE106" s="625">
        <f t="shared" ca="1" si="266"/>
        <v>-0.21311065065624191</v>
      </c>
      <c r="AF106" s="625">
        <f t="shared" ca="1" si="266"/>
        <v>-2.6049972464816578</v>
      </c>
      <c r="AG106" s="625">
        <f t="shared" ca="1" si="266"/>
        <v>-0.73423025991845281</v>
      </c>
      <c r="AH106" s="625">
        <f t="shared" ca="1" si="266"/>
        <v>-0.11082645052521456</v>
      </c>
      <c r="AI106" s="625">
        <f t="shared" ca="1" si="266"/>
        <v>0</v>
      </c>
      <c r="AJ106" s="625">
        <f t="shared" ca="1" si="266"/>
        <v>0</v>
      </c>
      <c r="AK106" s="625">
        <f ca="1">SUM(S106:AJ106)</f>
        <v>186.57986291828561</v>
      </c>
      <c r="AM106" s="626">
        <f t="shared" ref="AM106:BE106" ca="1" si="267">AM$93+AM$99+AM$104</f>
        <v>0</v>
      </c>
      <c r="AN106" s="626">
        <f t="shared" ca="1" si="267"/>
        <v>0</v>
      </c>
      <c r="AO106" s="626">
        <f t="shared" ca="1" si="267"/>
        <v>0</v>
      </c>
      <c r="AP106" s="626">
        <f t="shared" ca="1" si="267"/>
        <v>-0.79999999999999993</v>
      </c>
      <c r="AQ106" s="626">
        <f t="shared" ca="1" si="267"/>
        <v>-7.1054273576010019E-15</v>
      </c>
      <c r="AR106" s="626">
        <f t="shared" ca="1" si="267"/>
        <v>0</v>
      </c>
      <c r="AS106" s="626">
        <f t="shared" ca="1" si="267"/>
        <v>-1.7111936919719914</v>
      </c>
      <c r="AT106" s="626">
        <f t="shared" ca="1" si="267"/>
        <v>-75.040093616616304</v>
      </c>
      <c r="AU106" s="626">
        <f t="shared" ca="1" si="267"/>
        <v>-116.07842350144173</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-193.62971081003002</v>
      </c>
      <c r="BH106" s="3432">
        <f ca="1">BH$93+BH$99+BH$104</f>
        <v>0.48592764128688071</v>
      </c>
      <c r="BI106" s="3432">
        <f ca="1">BI$93+BI$99+BI$104</f>
        <v>6.5639202504575254</v>
      </c>
      <c r="BJ106" s="3432">
        <f ca="1">SUM(BH106:BI106)</f>
        <v>7.0498478917444061</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4.8902284664374789E-2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-1.2732716855631914</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-1.2243694008988166</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44.991607222661436</v>
      </c>
      <c r="H109" s="705">
        <f t="shared" ca="1" si="269"/>
        <v>11.582936791093138</v>
      </c>
      <c r="I109" s="705">
        <f t="shared" ca="1" si="269"/>
        <v>42.29943877073584</v>
      </c>
      <c r="J109" s="705">
        <f t="shared" ca="1" si="269"/>
        <v>46.359403076699564</v>
      </c>
      <c r="K109" s="705">
        <f t="shared" ca="1" si="269"/>
        <v>0.5146138572299841</v>
      </c>
      <c r="L109" s="705">
        <f t="shared" ca="1" si="269"/>
        <v>2.7351212236636904E-2</v>
      </c>
      <c r="M109" s="705">
        <f t="shared" ca="1" si="269"/>
        <v>0.66</v>
      </c>
      <c r="N109" s="705">
        <f t="shared" ca="1" si="269"/>
        <v>10.195826064607054</v>
      </c>
      <c r="O109" s="705">
        <f t="shared" ca="1" si="269"/>
        <v>0</v>
      </c>
      <c r="P109" s="705">
        <f t="shared" ca="1" si="269"/>
        <v>0</v>
      </c>
      <c r="Q109" s="705">
        <f ca="1">SUM(G109:P109)</f>
        <v>156.63117699526362</v>
      </c>
      <c r="S109" s="706">
        <f t="shared" ref="S109:AJ109" ca="1" si="270">S$40+S$84+S$106</f>
        <v>-33.94707664991239</v>
      </c>
      <c r="T109" s="706">
        <f t="shared" ca="1" si="270"/>
        <v>33.94707664991239</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-0.79999999999999993</v>
      </c>
      <c r="AQ109" s="707">
        <f t="shared" ca="1" si="271"/>
        <v>-7.1054273576010019E-15</v>
      </c>
      <c r="AR109" s="707">
        <f t="shared" ca="1" si="271"/>
        <v>0</v>
      </c>
      <c r="AS109" s="707">
        <f t="shared" ca="1" si="271"/>
        <v>-1.7111936919719914</v>
      </c>
      <c r="AT109" s="707">
        <f t="shared" ca="1" si="271"/>
        <v>-75.040093616616304</v>
      </c>
      <c r="AU109" s="707">
        <f t="shared" ca="1" si="271"/>
        <v>-116.07842350144173</v>
      </c>
      <c r="AV109" s="707">
        <f t="shared" ca="1" si="271"/>
        <v>0</v>
      </c>
      <c r="AW109" s="707">
        <f t="shared" ca="1" si="271"/>
        <v>-7.68227714428798E-2</v>
      </c>
      <c r="AX109" s="707">
        <f t="shared" ca="1" si="271"/>
        <v>-3.8789549999999742E-2</v>
      </c>
      <c r="AY109" s="707">
        <f t="shared" ca="1" si="271"/>
        <v>0</v>
      </c>
      <c r="AZ109" s="707">
        <f t="shared" ca="1" si="271"/>
        <v>-1.3017510000000001E-2</v>
      </c>
      <c r="BA109" s="707">
        <f t="shared" ca="1" si="271"/>
        <v>0</v>
      </c>
      <c r="BB109" s="707">
        <f t="shared" ca="1" si="271"/>
        <v>-0.23317560000000004</v>
      </c>
      <c r="BC109" s="707">
        <f t="shared" ca="1" si="271"/>
        <v>-0.67669216126185838</v>
      </c>
      <c r="BD109" s="707">
        <f t="shared" ca="1" si="271"/>
        <v>-0.39452075052198765</v>
      </c>
      <c r="BE109" s="707">
        <f t="shared" ca="1" si="271"/>
        <v>-3.6950346199087507</v>
      </c>
      <c r="BF109" s="707">
        <f ca="1">SUM(AM109:BE109)</f>
        <v>-198.75776377316549</v>
      </c>
      <c r="BH109" s="3437">
        <f ca="1">BH$40+BH$84+BH$106</f>
        <v>32.605165442040715</v>
      </c>
      <c r="BI109" s="3437">
        <f ca="1">BI$40+BI$84+BI$106</f>
        <v>9.521421335861147</v>
      </c>
      <c r="BJ109" s="3437">
        <f ca="1">SUM(BH109:BI109)</f>
        <v>42.126586777901863</v>
      </c>
      <c r="BL109" s="3447">
        <f t="shared" ca="1" si="256"/>
        <v>0</v>
      </c>
      <c r="BM109" s="568"/>
      <c r="BO109" s="2767">
        <f t="shared" ref="BO109:DF109" ca="1" si="272">BO$40+BO$84+BO$106</f>
        <v>40.812364687096469</v>
      </c>
      <c r="BP109" s="2767">
        <f t="shared" ca="1" si="272"/>
        <v>2.235701776377285E-2</v>
      </c>
      <c r="BQ109" s="2767">
        <f t="shared" ca="1" si="272"/>
        <v>0.41480047578061863</v>
      </c>
      <c r="BR109" s="2767">
        <f t="shared" ca="1" si="272"/>
        <v>0</v>
      </c>
      <c r="BS109" s="2767">
        <f t="shared" ca="1" si="272"/>
        <v>0</v>
      </c>
      <c r="BT109" s="2767">
        <f t="shared" ca="1" si="272"/>
        <v>4.8902284664374789E-2</v>
      </c>
      <c r="BU109" s="2767">
        <f t="shared" ca="1" si="272"/>
        <v>0</v>
      </c>
      <c r="BV109" s="2767">
        <f t="shared" ca="1" si="272"/>
        <v>0</v>
      </c>
      <c r="BW109" s="2767">
        <f t="shared" ca="1" si="272"/>
        <v>1.6618440972643267</v>
      </c>
      <c r="BX109" s="2767">
        <f t="shared" ca="1" si="272"/>
        <v>0</v>
      </c>
      <c r="BY109" s="2767">
        <f t="shared" ca="1" si="272"/>
        <v>0</v>
      </c>
      <c r="BZ109" s="2767">
        <f t="shared" ca="1" si="272"/>
        <v>1.0934088626751839</v>
      </c>
      <c r="CA109" s="2767">
        <f t="shared" ca="1" si="272"/>
        <v>0</v>
      </c>
      <c r="CB109" s="2767">
        <f t="shared" ca="1" si="272"/>
        <v>0</v>
      </c>
      <c r="CC109" s="2767">
        <f t="shared" ca="1" si="272"/>
        <v>0</v>
      </c>
      <c r="CD109" s="2767">
        <f t="shared" ca="1" si="272"/>
        <v>0</v>
      </c>
      <c r="CE109" s="2767">
        <f t="shared" ca="1" si="272"/>
        <v>0</v>
      </c>
      <c r="CF109" s="2767">
        <f t="shared" ca="1" si="272"/>
        <v>10.68825882883333</v>
      </c>
      <c r="CG109" s="2767">
        <f t="shared" ca="1" si="272"/>
        <v>5.6603978384106233</v>
      </c>
      <c r="CH109" s="2767">
        <f t="shared" ca="1" si="272"/>
        <v>0</v>
      </c>
      <c r="CI109" s="2767">
        <f t="shared" ca="1" si="272"/>
        <v>2.8476979236686719</v>
      </c>
      <c r="CJ109" s="2767">
        <f t="shared" ca="1" si="272"/>
        <v>0</v>
      </c>
      <c r="CK109" s="2767">
        <f t="shared" ca="1" si="272"/>
        <v>0</v>
      </c>
      <c r="CL109" s="2767">
        <f t="shared" ca="1" si="272"/>
        <v>0</v>
      </c>
      <c r="CM109" s="2767">
        <f t="shared" ca="1" si="272"/>
        <v>0</v>
      </c>
      <c r="CN109" s="2767">
        <f t="shared" ca="1" si="272"/>
        <v>0.5865390600095971</v>
      </c>
      <c r="CO109" s="2767">
        <f t="shared" ca="1" si="272"/>
        <v>6.1171082142857144E-2</v>
      </c>
      <c r="CP109" s="2767">
        <f t="shared" ca="1" si="272"/>
        <v>0</v>
      </c>
      <c r="CQ109" s="2767">
        <f t="shared" ca="1" si="272"/>
        <v>0</v>
      </c>
      <c r="CR109" s="2767">
        <f t="shared" ca="1" si="272"/>
        <v>0</v>
      </c>
      <c r="CS109" s="2767">
        <f t="shared" ca="1" si="272"/>
        <v>0</v>
      </c>
      <c r="CT109" s="2767">
        <f t="shared" ca="1" si="272"/>
        <v>0</v>
      </c>
      <c r="CU109" s="2767">
        <f t="shared" ca="1" si="272"/>
        <v>2.690474581928509</v>
      </c>
      <c r="CV109" s="2767">
        <f t="shared" ca="1" si="272"/>
        <v>2.31241335145288E-3</v>
      </c>
      <c r="CW109" s="2767">
        <f t="shared" ca="1" si="272"/>
        <v>6.8271251328608836E-3</v>
      </c>
      <c r="CX109" s="2767">
        <f t="shared" ca="1" si="272"/>
        <v>0</v>
      </c>
      <c r="CY109" s="2767">
        <f t="shared" ca="1" si="272"/>
        <v>-1.2732716855631914</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65.324084593159441</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14.85911093929781</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33.950867792730165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0.43766512921002754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2045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29.439064524193139</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29.439064524193139</v>
      </c>
      <c r="S9" s="582">
        <f t="shared" ref="S9:AJ13" ca="1" si="2">IFERROR(INDEX(INDIRECT($C9&amp;".Outputs["&amp;this.Year&amp;"]"), MATCH(S$5, INDIRECT($C9&amp;".Outputs[Vector]"), 0)), 0)</f>
        <v>-2.4660030407149582</v>
      </c>
      <c r="T9" s="582">
        <f t="shared" ca="1" si="2"/>
        <v>0</v>
      </c>
      <c r="U9" s="582">
        <f t="shared" ca="1" si="2"/>
        <v>-6.2808803458401619E-2</v>
      </c>
      <c r="V9" s="582">
        <f t="shared" ca="1" si="2"/>
        <v>-2.324702744086121</v>
      </c>
      <c r="W9" s="582">
        <f t="shared" ca="1" si="2"/>
        <v>-24.497783683989923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-8.0232994859916751E-2</v>
      </c>
      <c r="AJ9" s="582">
        <f t="shared" ca="1" si="2"/>
        <v>0</v>
      </c>
      <c r="AK9" s="583">
        <f t="shared" ref="AK9:AK15" ca="1" si="4">SUM(S9:AJ9)</f>
        <v>-29.431531267109317</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-7.5332570838156426E-3</v>
      </c>
      <c r="BD9" s="584">
        <f t="shared" ca="1" si="6"/>
        <v>0</v>
      </c>
      <c r="BE9" s="584">
        <f t="shared" ca="1" si="6"/>
        <v>0</v>
      </c>
      <c r="BF9" s="585">
        <f t="shared" ref="BF9:BF15" ca="1" si="7">SUM(AM9:BE9)</f>
        <v>-7.5332570838156426E-3</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5.7115770446536374E-15</v>
      </c>
      <c r="BM9" s="586"/>
      <c r="BN9" s="404"/>
      <c r="BO9" s="2758">
        <f t="shared" ref="BO9:BX10" ca="1" si="11">IFERROR(SUMIFS(INDIRECT($C9&amp;".Emissions["&amp;this.Year&amp;"]"), INDIRECT($C9&amp;".Emissions[GHG]"), BO$6, INDIRECT($C9&amp;".Emissions[IPCC Sector]"), BO$5),0)</f>
        <v>5.6498638922010365</v>
      </c>
      <c r="BP9" s="2759">
        <f t="shared" ca="1" si="11"/>
        <v>2.3825988707473892E-3</v>
      </c>
      <c r="BQ9" s="2759">
        <f t="shared" ca="1" si="11"/>
        <v>8.0876295384634839E-2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29.439064524193139</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29.439064524193139</v>
      </c>
      <c r="S11" s="583">
        <f ca="1">SUM(S9:S10)</f>
        <v>-2.4660030407149582</v>
      </c>
      <c r="T11" s="583">
        <f t="shared" ref="T11:AJ11" ca="1" si="16">SUM(T9:T10)</f>
        <v>0</v>
      </c>
      <c r="U11" s="583">
        <f t="shared" ca="1" si="16"/>
        <v>-6.2808803458401619E-2</v>
      </c>
      <c r="V11" s="583">
        <f t="shared" ca="1" si="16"/>
        <v>-2.324702744086121</v>
      </c>
      <c r="W11" s="583">
        <f t="shared" ca="1" si="16"/>
        <v>-24.497783683989923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-8.0232994859916751E-2</v>
      </c>
      <c r="AJ11" s="583">
        <f t="shared" ca="1" si="16"/>
        <v>0</v>
      </c>
      <c r="AK11" s="583">
        <f t="shared" ca="1" si="4"/>
        <v>-29.431531267109317</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-7.5332570838156426E-3</v>
      </c>
      <c r="BD11" s="599">
        <f ca="1">SUM(BD9:BD10)</f>
        <v>0</v>
      </c>
      <c r="BE11" s="599">
        <f t="shared" ca="1" si="17"/>
        <v>0</v>
      </c>
      <c r="BF11" s="600">
        <f t="shared" ca="1" si="7"/>
        <v>-7.5332570838156426E-3</v>
      </c>
      <c r="BH11" s="3428">
        <f ca="1">SUM(BH9:BH10)</f>
        <v>0</v>
      </c>
      <c r="BI11" s="3428">
        <f ca="1">SUM(BI9:BI10)</f>
        <v>0</v>
      </c>
      <c r="BJ11" s="3428">
        <f t="shared" ca="1" si="9"/>
        <v>0</v>
      </c>
      <c r="BL11" s="601">
        <f t="shared" ca="1" si="10"/>
        <v>5.7115770446536374E-15</v>
      </c>
      <c r="BM11" s="601"/>
      <c r="BN11" s="404"/>
      <c r="BO11" s="2758">
        <f t="shared" ref="BO11:DF11" ca="1" si="18">SUM(BO9:BO10)</f>
        <v>5.6498638922010365</v>
      </c>
      <c r="BP11" s="2759">
        <f t="shared" ca="1" si="18"/>
        <v>2.3825988707473892E-3</v>
      </c>
      <c r="BQ11" s="2759">
        <f t="shared" ca="1" si="18"/>
        <v>8.0876295384634839E-2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17.074502522205087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17.074502522205087</v>
      </c>
      <c r="S12" s="582">
        <f t="shared" ca="1" si="2"/>
        <v>-4.7943181306306304</v>
      </c>
      <c r="T12" s="582">
        <f t="shared" ca="1" si="2"/>
        <v>0</v>
      </c>
      <c r="U12" s="582">
        <f t="shared" ca="1" si="2"/>
        <v>-6.1713653308480845E-2</v>
      </c>
      <c r="V12" s="582">
        <f t="shared" ca="1" si="2"/>
        <v>-0.42436089439955366</v>
      </c>
      <c r="W12" s="582">
        <f t="shared" ca="1" si="2"/>
        <v>-10.992811420442997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-16.273204098781662</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-0.8012984234234235</v>
      </c>
      <c r="BD12" s="584">
        <f t="shared" ca="1" si="6"/>
        <v>0</v>
      </c>
      <c r="BE12" s="584">
        <f t="shared" ca="1" si="6"/>
        <v>0</v>
      </c>
      <c r="BF12" s="585">
        <f t="shared" ca="1" si="7"/>
        <v>-0.8012984234234235</v>
      </c>
      <c r="BH12" s="3439">
        <f t="shared" ca="1" si="8"/>
        <v>0</v>
      </c>
      <c r="BI12" s="3439">
        <f t="shared" ca="1" si="8"/>
        <v>0</v>
      </c>
      <c r="BJ12" s="3428">
        <f t="shared" ca="1" si="9"/>
        <v>0</v>
      </c>
      <c r="BL12" s="586">
        <f t="shared" ca="1" si="10"/>
        <v>1.7763568394002505E-15</v>
      </c>
      <c r="BM12" s="586"/>
      <c r="BN12" s="404"/>
      <c r="BO12" s="2758">
        <f t="shared" ref="BO12:BX13" ca="1" si="21">IFERROR(SUMIFS(INDIRECT($C12&amp;".Emissions["&amp;this.Year&amp;"]"), INDIRECT($C12&amp;".Emissions[GHG]"), BO$6, INDIRECT($C12&amp;".Emissions[IPCC Sector]"), BO$5),0)</f>
        <v>2.3832778099237264</v>
      </c>
      <c r="BP12" s="2759">
        <f t="shared" ca="1" si="21"/>
        <v>9.3056748076839426E-4</v>
      </c>
      <c r="BQ12" s="2759">
        <f t="shared" ca="1" si="21"/>
        <v>3.5895723154557788E-2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17.074502522205087</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17.074502522205087</v>
      </c>
      <c r="S14" s="604">
        <f t="shared" ref="S14:AJ14" ca="1" si="26">SUM(S12:S13)</f>
        <v>-4.7943181306306304</v>
      </c>
      <c r="T14" s="604">
        <f t="shared" ca="1" si="26"/>
        <v>0</v>
      </c>
      <c r="U14" s="604">
        <f t="shared" ca="1" si="26"/>
        <v>-6.1713653308480845E-2</v>
      </c>
      <c r="V14" s="604">
        <f t="shared" ca="1" si="26"/>
        <v>-0.42436089439955366</v>
      </c>
      <c r="W14" s="604">
        <f t="shared" ca="1" si="26"/>
        <v>-10.992811420442997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-16.273204098781662</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-0.8012984234234235</v>
      </c>
      <c r="BD14" s="605">
        <f ca="1">SUM(BD12:BD13)</f>
        <v>0</v>
      </c>
      <c r="BE14" s="605">
        <f t="shared" ca="1" si="27"/>
        <v>0</v>
      </c>
      <c r="BF14" s="606">
        <f t="shared" ca="1" si="7"/>
        <v>-0.8012984234234235</v>
      </c>
      <c r="BH14" s="3430">
        <f ca="1">SUM(BH12:BH13)</f>
        <v>0</v>
      </c>
      <c r="BI14" s="3430">
        <f ca="1">SUM(BI12:BI13)</f>
        <v>0</v>
      </c>
      <c r="BJ14" s="3430">
        <f t="shared" ca="1" si="9"/>
        <v>0</v>
      </c>
      <c r="BL14" s="601">
        <f t="shared" ca="1" si="10"/>
        <v>1.7763568394002505E-15</v>
      </c>
      <c r="BM14" s="601"/>
      <c r="BN14" s="404"/>
      <c r="BO14" s="2760">
        <f t="shared" ref="BO14:DF14" ca="1" si="28">SUM(BO12:BO13)</f>
        <v>2.3832778099237264</v>
      </c>
      <c r="BP14" s="2761">
        <f t="shared" ca="1" si="28"/>
        <v>9.3056748076839426E-4</v>
      </c>
      <c r="BQ14" s="2761">
        <f t="shared" ca="1" si="28"/>
        <v>3.5895723154557788E-2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46.513567046398222</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46.513567046398222</v>
      </c>
      <c r="S15" s="572">
        <f t="shared" ref="S15:AJ15" ca="1" si="30">S14+S11</f>
        <v>-7.2603211713455886</v>
      </c>
      <c r="T15" s="572">
        <f t="shared" ca="1" si="30"/>
        <v>0</v>
      </c>
      <c r="U15" s="572">
        <f t="shared" ca="1" si="30"/>
        <v>-0.12452245676688246</v>
      </c>
      <c r="V15" s="572">
        <f t="shared" ca="1" si="30"/>
        <v>-2.7490636384856746</v>
      </c>
      <c r="W15" s="572">
        <f t="shared" ca="1" si="30"/>
        <v>-35.49059510443292</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-8.0232994859916751E-2</v>
      </c>
      <c r="AJ15" s="572">
        <f t="shared" ca="1" si="30"/>
        <v>0</v>
      </c>
      <c r="AK15" s="572">
        <f t="shared" ca="1" si="4"/>
        <v>-45.70473536589099</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-0.80883168050723919</v>
      </c>
      <c r="BD15" s="573">
        <f ca="1">BD14+BD11</f>
        <v>0</v>
      </c>
      <c r="BE15" s="573">
        <f t="shared" ca="1" si="31"/>
        <v>0</v>
      </c>
      <c r="BF15" s="573">
        <f t="shared" ca="1" si="7"/>
        <v>-0.80883168050723919</v>
      </c>
      <c r="BH15" s="3431">
        <f ca="1">BH14+BH11</f>
        <v>0</v>
      </c>
      <c r="BI15" s="3431">
        <f ca="1">BI14+BI11</f>
        <v>0</v>
      </c>
      <c r="BJ15" s="3431">
        <f t="shared" ca="1" si="9"/>
        <v>0</v>
      </c>
      <c r="BL15" s="3445">
        <f t="shared" ca="1" si="10"/>
        <v>-6.7723604502134549E-15</v>
      </c>
      <c r="BM15" s="575"/>
      <c r="BN15" s="404"/>
      <c r="BO15" s="2759">
        <f t="shared" ref="BO15:DF15" ca="1" si="32">BO14+BO11</f>
        <v>8.0331417021247624</v>
      </c>
      <c r="BP15" s="2759">
        <f t="shared" ca="1" si="32"/>
        <v>3.3131663515157837E-3</v>
      </c>
      <c r="BQ15" s="2759">
        <f t="shared" ca="1" si="32"/>
        <v>0.11677201853919263</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8.1532268870154709</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6.4548726310669586</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6.4548726310669586</v>
      </c>
      <c r="S17" s="582">
        <f t="shared" ref="S17:AJ18" ca="1" si="35">IFERROR(INDEX(INDIRECT($C17&amp;".Outputs["&amp;this.Year&amp;"]"), MATCH(S$5, INDIRECT($C17&amp;".Outputs[Vector]"), 0)), 0)</f>
        <v>-5.9765991111064452</v>
      </c>
      <c r="T17" s="582">
        <f t="shared" ca="1" si="35"/>
        <v>0</v>
      </c>
      <c r="U17" s="582">
        <f t="shared" ca="1" si="35"/>
        <v>0</v>
      </c>
      <c r="V17" s="582">
        <f t="shared" ca="1" si="35"/>
        <v>0</v>
      </c>
      <c r="W17" s="582">
        <f t="shared" ca="1" si="35"/>
        <v>-0.47827351996051393</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-6.4548726310669586</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9.7912728934540366E-2</v>
      </c>
      <c r="BP17" s="2759">
        <f t="shared" ca="1" si="39"/>
        <v>3.6157478109014855E-5</v>
      </c>
      <c r="BQ17" s="2759">
        <f t="shared" ca="1" si="39"/>
        <v>1.5478844200002072E-3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9.9496770832649586E-2</v>
      </c>
    </row>
    <row r="18" spans="1:112" s="6" customFormat="1" ht="12.75" customHeight="1" outlineLevel="1">
      <c r="A18" s="598"/>
      <c r="B18" s="598"/>
      <c r="C18" s="578" t="s">
        <v>463</v>
      </c>
      <c r="D18" s="602" t="s">
        <v>464</v>
      </c>
      <c r="E18" s="602"/>
      <c r="G18" s="610">
        <f t="shared" ca="1" si="34"/>
        <v>0</v>
      </c>
      <c r="H18" s="610">
        <f t="shared" ca="1" si="34"/>
        <v>5.3911722355035998</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5.3911722355035998</v>
      </c>
      <c r="S18" s="611">
        <f t="shared" ca="1" si="35"/>
        <v>-4.8962879230793801</v>
      </c>
      <c r="T18" s="611">
        <f t="shared" ca="1" si="35"/>
        <v>0</v>
      </c>
      <c r="U18" s="611">
        <f t="shared" ca="1" si="35"/>
        <v>0</v>
      </c>
      <c r="V18" s="611">
        <f t="shared" ca="1" si="35"/>
        <v>0</v>
      </c>
      <c r="W18" s="611">
        <f t="shared" ca="1" si="35"/>
        <v>-0.49488431242421999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-5.3911722355035998</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0.10131331030066122</v>
      </c>
      <c r="BP18" s="2761">
        <f t="shared" ca="1" si="39"/>
        <v>3.7413254019271034E-5</v>
      </c>
      <c r="BQ18" s="2761">
        <f t="shared" ca="1" si="39"/>
        <v>1.6016435887297455E-3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0.10295236714341024</v>
      </c>
    </row>
    <row r="19" spans="1:112" s="6" customFormat="1" ht="15.5">
      <c r="A19" s="4"/>
      <c r="B19" s="3"/>
      <c r="C19" s="607" t="s">
        <v>465</v>
      </c>
      <c r="D19" s="608" t="s">
        <v>82</v>
      </c>
      <c r="E19" s="201"/>
      <c r="G19" s="609">
        <f ca="1">G17+G18</f>
        <v>0</v>
      </c>
      <c r="H19" s="609">
        <f t="shared" ref="H19:P19" ca="1" si="43">H17+H18</f>
        <v>11.846044866570558</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11.846044866570558</v>
      </c>
      <c r="S19" s="572">
        <f ca="1">S17+S18</f>
        <v>-10.872887034185826</v>
      </c>
      <c r="T19" s="572">
        <f t="shared" ref="T19:AJ19" ca="1" si="44">T17+T18</f>
        <v>0</v>
      </c>
      <c r="U19" s="572">
        <f t="shared" ca="1" si="44"/>
        <v>0</v>
      </c>
      <c r="V19" s="572">
        <f t="shared" ca="1" si="44"/>
        <v>0</v>
      </c>
      <c r="W19" s="572">
        <f t="shared" ca="1" si="44"/>
        <v>-0.97315783238473386</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-11.84604486657056</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0.1992260392352016</v>
      </c>
      <c r="BP19" s="2759">
        <f t="shared" ca="1" si="46"/>
        <v>7.3570732128285882E-5</v>
      </c>
      <c r="BQ19" s="2759">
        <f t="shared" ca="1" si="46"/>
        <v>3.1495280087299529E-3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0.20244913797605985</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42.49163076252465</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42.49163076252465</v>
      </c>
      <c r="S21" s="611">
        <f t="shared" ref="S21:AJ21" ca="1" si="48">IFERROR(INDEX(INDIRECT($C21&amp;".Outputs["&amp;this.Year&amp;"]"), MATCH(S$5, INDIRECT($C21&amp;".Outputs[Vector]"), 0)), 0)</f>
        <v>-15.188428233314889</v>
      </c>
      <c r="T21" s="611">
        <f t="shared" ca="1" si="48"/>
        <v>0</v>
      </c>
      <c r="U21" s="611">
        <f t="shared" ca="1" si="48"/>
        <v>-5.0846083752001414</v>
      </c>
      <c r="V21" s="611">
        <f t="shared" ca="1" si="48"/>
        <v>-10.381756650328262</v>
      </c>
      <c r="W21" s="611">
        <f t="shared" ca="1" si="48"/>
        <v>-11.836837503681357</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-42.49163076252465</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6.8794672055424453</v>
      </c>
      <c r="BP21" s="2761">
        <f t="shared" ca="1" si="51"/>
        <v>3.5185247987883522E-3</v>
      </c>
      <c r="BQ21" s="2761">
        <f t="shared" ca="1" si="51"/>
        <v>4.8097576623335823E-2</v>
      </c>
      <c r="BR21" s="2761">
        <f t="shared" ca="1" si="51"/>
        <v>0</v>
      </c>
      <c r="BS21" s="2761">
        <f t="shared" ca="1" si="51"/>
        <v>0</v>
      </c>
      <c r="BT21" s="2761">
        <f t="shared" ca="1" si="51"/>
        <v>0</v>
      </c>
      <c r="BU21" s="2761">
        <f t="shared" ca="1" si="51"/>
        <v>0</v>
      </c>
      <c r="BV21" s="2761">
        <f t="shared" ca="1" si="51"/>
        <v>0</v>
      </c>
      <c r="BW21" s="2761">
        <f t="shared" ca="1" si="51"/>
        <v>1.7902780629325272</v>
      </c>
      <c r="BX21" s="2761">
        <f t="shared" ca="1" si="51"/>
        <v>0</v>
      </c>
      <c r="BY21" s="2761">
        <f t="shared" ca="1" si="51"/>
        <v>0</v>
      </c>
      <c r="BZ21" s="2761">
        <f t="shared" ca="1" si="51"/>
        <v>1.0878072137964687</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9.8091685836935643</v>
      </c>
    </row>
    <row r="22" spans="1:112" s="6" customFormat="1" ht="15.5">
      <c r="A22" s="4"/>
      <c r="B22" s="3"/>
      <c r="C22" s="607" t="s">
        <v>468</v>
      </c>
      <c r="D22" s="608" t="s">
        <v>359</v>
      </c>
      <c r="E22" s="201"/>
      <c r="G22" s="609">
        <f ca="1">G21</f>
        <v>0</v>
      </c>
      <c r="H22" s="609">
        <f t="shared" ref="H22:P22" ca="1" si="52">H21</f>
        <v>0</v>
      </c>
      <c r="I22" s="609">
        <f t="shared" ca="1" si="52"/>
        <v>42.49163076252465</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42.49163076252465</v>
      </c>
      <c r="S22" s="572">
        <f t="shared" ref="S22:AJ22" ca="1" si="53">S21</f>
        <v>-15.188428233314889</v>
      </c>
      <c r="T22" s="572">
        <f t="shared" ca="1" si="53"/>
        <v>0</v>
      </c>
      <c r="U22" s="572">
        <f t="shared" ca="1" si="53"/>
        <v>-5.0846083752001414</v>
      </c>
      <c r="V22" s="572">
        <f t="shared" ca="1" si="53"/>
        <v>-10.381756650328262</v>
      </c>
      <c r="W22" s="572">
        <f t="shared" ca="1" si="53"/>
        <v>-11.836837503681357</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-42.49163076252465</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6.8794672055424453</v>
      </c>
      <c r="BP22" s="2759">
        <f t="shared" ca="1" si="55"/>
        <v>3.5185247987883522E-3</v>
      </c>
      <c r="BQ22" s="2759">
        <f t="shared" ca="1" si="55"/>
        <v>4.8097576623335823E-2</v>
      </c>
      <c r="BR22" s="2759">
        <f t="shared" ca="1" si="55"/>
        <v>0</v>
      </c>
      <c r="BS22" s="2759">
        <f t="shared" ca="1" si="55"/>
        <v>0</v>
      </c>
      <c r="BT22" s="2759">
        <f t="shared" ca="1" si="55"/>
        <v>0</v>
      </c>
      <c r="BU22" s="2759">
        <f t="shared" ca="1" si="55"/>
        <v>0</v>
      </c>
      <c r="BV22" s="2759">
        <f t="shared" ca="1" si="55"/>
        <v>0</v>
      </c>
      <c r="BW22" s="2759">
        <f t="shared" ca="1" si="55"/>
        <v>1.7902780629325272</v>
      </c>
      <c r="BX22" s="2759">
        <f t="shared" ca="1" si="55"/>
        <v>0</v>
      </c>
      <c r="BY22" s="2759">
        <f t="shared" ca="1" si="55"/>
        <v>0</v>
      </c>
      <c r="BZ22" s="2759">
        <f t="shared" ca="1" si="55"/>
        <v>1.0878072137964687</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9.8091685836935643</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22.977819262804069</v>
      </c>
      <c r="K24" s="580">
        <f t="shared" ca="1" si="56"/>
        <v>0.48238649157428115</v>
      </c>
      <c r="L24" s="580">
        <f t="shared" ca="1" si="56"/>
        <v>2.6897963862265332E-2</v>
      </c>
      <c r="M24" s="580">
        <f t="shared" ca="1" si="56"/>
        <v>0</v>
      </c>
      <c r="N24" s="580">
        <f t="shared" ca="1" si="56"/>
        <v>0</v>
      </c>
      <c r="O24" s="580">
        <f t="shared" ca="1" si="56"/>
        <v>0</v>
      </c>
      <c r="P24" s="580">
        <f t="shared" ca="1" si="56"/>
        <v>0</v>
      </c>
      <c r="Q24" s="581">
        <f t="shared" ref="Q24:Q32" ca="1" si="57">SUM(G24:P24)</f>
        <v>23.487103718240615</v>
      </c>
      <c r="S24" s="582">
        <f t="shared" ref="S24:AJ30" ca="1" si="58">IFERROR(INDEX(INDIRECT($C24&amp;".Outputs["&amp;this.Year&amp;"]"), MATCH(S$5, INDIRECT($C24&amp;".Outputs[Vector]"), 0)), 0)</f>
        <v>-1.500922690987198</v>
      </c>
      <c r="T24" s="582">
        <f t="shared" ca="1" si="58"/>
        <v>0</v>
      </c>
      <c r="U24" s="582">
        <f t="shared" ca="1" si="58"/>
        <v>0</v>
      </c>
      <c r="V24" s="582">
        <f t="shared" ca="1" si="58"/>
        <v>-21.986181027253416</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-23.487103718240615</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5.80171344947163</v>
      </c>
      <c r="BP24" s="2759">
        <f t="shared" ca="1" si="66"/>
        <v>4.9864658569810753E-3</v>
      </c>
      <c r="BQ24" s="2759">
        <f t="shared" ca="1" si="66"/>
        <v>1.4721946815848888E-2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5.8214218621444598</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24.579873131285559</v>
      </c>
      <c r="K25" s="580">
        <f t="shared" ca="1" si="56"/>
        <v>6.3569875465009466E-3</v>
      </c>
      <c r="L25" s="580">
        <f t="shared" ca="1" si="56"/>
        <v>0</v>
      </c>
      <c r="M25" s="580">
        <f t="shared" ca="1" si="56"/>
        <v>0.66</v>
      </c>
      <c r="N25" s="580">
        <f t="shared" ca="1" si="56"/>
        <v>0</v>
      </c>
      <c r="O25" s="580">
        <f t="shared" ca="1" si="56"/>
        <v>0</v>
      </c>
      <c r="P25" s="580">
        <f t="shared" ca="1" si="56"/>
        <v>0</v>
      </c>
      <c r="Q25" s="581">
        <f t="shared" ca="1" si="57"/>
        <v>25.246230118832059</v>
      </c>
      <c r="S25" s="582">
        <f t="shared" ca="1" si="58"/>
        <v>-0.43372628734384555</v>
      </c>
      <c r="T25" s="582">
        <f t="shared" ca="1" si="58"/>
        <v>0</v>
      </c>
      <c r="U25" s="582">
        <f t="shared" ca="1" si="58"/>
        <v>0</v>
      </c>
      <c r="V25" s="582">
        <f t="shared" ca="1" si="58"/>
        <v>-24.812503831488218</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-25.246230118832063</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4.833958551533577</v>
      </c>
      <c r="BP25" s="2759">
        <f t="shared" ca="1" si="66"/>
        <v>4.1546983457928432E-3</v>
      </c>
      <c r="BQ25" s="2759">
        <f t="shared" ca="1" si="66"/>
        <v>1.2266252259007441E-2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4.8503795021383773</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11.025797638510145</v>
      </c>
      <c r="O26" s="580">
        <f t="shared" ca="1" si="56"/>
        <v>0</v>
      </c>
      <c r="P26" s="580">
        <f t="shared" ca="1" si="56"/>
        <v>0</v>
      </c>
      <c r="Q26" s="581">
        <f t="shared" ca="1" si="57"/>
        <v>11.025797638510145</v>
      </c>
      <c r="S26" s="582">
        <f t="shared" ca="1" si="58"/>
        <v>0</v>
      </c>
      <c r="T26" s="582">
        <f t="shared" ca="1" si="58"/>
        <v>0</v>
      </c>
      <c r="U26" s="582">
        <f t="shared" ca="1" si="58"/>
        <v>0</v>
      </c>
      <c r="V26" s="582">
        <f t="shared" ca="1" si="58"/>
        <v>-11.025797638510145</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-11.025797638510145</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2.9094874808500566</v>
      </c>
      <c r="CV26" s="2759">
        <f t="shared" ca="1" si="69"/>
        <v>2.500650904414101E-3</v>
      </c>
      <c r="CW26" s="2759">
        <f t="shared" ca="1" si="69"/>
        <v>7.3828740987463932E-3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2.9193710058532174</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11.025797638510145</v>
      </c>
      <c r="O28" s="581">
        <f ca="1">SUM(O26:O27)</f>
        <v>0</v>
      </c>
      <c r="P28" s="581">
        <f t="shared" ca="1" si="70"/>
        <v>0</v>
      </c>
      <c r="Q28" s="581">
        <f t="shared" ca="1" si="57"/>
        <v>11.025797638510145</v>
      </c>
      <c r="S28" s="583">
        <f t="shared" ref="S28:AJ28" ca="1" si="71">SUM(S26:S27)</f>
        <v>0</v>
      </c>
      <c r="T28" s="583">
        <f t="shared" ca="1" si="71"/>
        <v>0</v>
      </c>
      <c r="U28" s="583">
        <f t="shared" ca="1" si="71"/>
        <v>0</v>
      </c>
      <c r="V28" s="583">
        <f t="shared" ca="1" si="71"/>
        <v>-11.025797638510145</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-11.025797638510145</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2.9094874808500566</v>
      </c>
      <c r="CV28" s="2759">
        <f t="shared" ca="1" si="73"/>
        <v>2.500650904414101E-3</v>
      </c>
      <c r="CW28" s="2759">
        <f t="shared" ca="1" si="73"/>
        <v>7.3828740987463932E-3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2.9193710058532174</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47.557692394089628</v>
      </c>
      <c r="K32" s="609">
        <f t="shared" ca="1" si="85"/>
        <v>0.48874347912078209</v>
      </c>
      <c r="L32" s="609">
        <f t="shared" ca="1" si="85"/>
        <v>2.6897963862265332E-2</v>
      </c>
      <c r="M32" s="609">
        <f t="shared" ca="1" si="85"/>
        <v>0.66</v>
      </c>
      <c r="N32" s="609">
        <f t="shared" ca="1" si="85"/>
        <v>11.025797638510145</v>
      </c>
      <c r="O32" s="609">
        <f t="shared" ca="1" si="85"/>
        <v>0</v>
      </c>
      <c r="P32" s="609">
        <f t="shared" ca="1" si="85"/>
        <v>0</v>
      </c>
      <c r="Q32" s="609">
        <f t="shared" ca="1" si="57"/>
        <v>59.759131475582819</v>
      </c>
      <c r="S32" s="572">
        <f t="shared" ref="S32:AJ32" ca="1" si="86">S24+S25+S28+S31</f>
        <v>-1.9346489783310434</v>
      </c>
      <c r="T32" s="572">
        <f t="shared" ca="1" si="86"/>
        <v>0</v>
      </c>
      <c r="U32" s="572">
        <f t="shared" ca="1" si="86"/>
        <v>0</v>
      </c>
      <c r="V32" s="572">
        <f t="shared" ca="1" si="86"/>
        <v>-57.824482497251779</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-59.759131475582819</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10.635672001005208</v>
      </c>
      <c r="BP32" s="2759">
        <f t="shared" ca="1" si="88"/>
        <v>9.1411642027739194E-3</v>
      </c>
      <c r="BQ32" s="2759">
        <f t="shared" ca="1" si="88"/>
        <v>2.6988199074856327E-2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2.9094874808500566</v>
      </c>
      <c r="CV32" s="2759">
        <f t="shared" ca="1" si="88"/>
        <v>2.500650904414101E-3</v>
      </c>
      <c r="CW32" s="2759">
        <f t="shared" ca="1" si="88"/>
        <v>7.3828740987463932E-3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13.591172370136055</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46.513567046398222</v>
      </c>
      <c r="H40" s="624">
        <f t="shared" ca="1" si="107"/>
        <v>11.846044866570558</v>
      </c>
      <c r="I40" s="624">
        <f t="shared" ca="1" si="107"/>
        <v>42.49163076252465</v>
      </c>
      <c r="J40" s="624">
        <f t="shared" ca="1" si="107"/>
        <v>47.557692394089628</v>
      </c>
      <c r="K40" s="624">
        <f t="shared" ca="1" si="107"/>
        <v>0.48874347912078209</v>
      </c>
      <c r="L40" s="624">
        <f t="shared" ca="1" si="107"/>
        <v>2.6897963862265332E-2</v>
      </c>
      <c r="M40" s="624">
        <f t="shared" ca="1" si="107"/>
        <v>0.66</v>
      </c>
      <c r="N40" s="624">
        <f t="shared" ca="1" si="107"/>
        <v>11.025797638510145</v>
      </c>
      <c r="O40" s="624">
        <f t="shared" ca="1" si="107"/>
        <v>0</v>
      </c>
      <c r="P40" s="624">
        <f t="shared" ca="1" si="107"/>
        <v>0</v>
      </c>
      <c r="Q40" s="624">
        <f t="shared" ca="1" si="107"/>
        <v>160.61037415107626</v>
      </c>
      <c r="S40" s="625">
        <f t="shared" ref="S40:AJ40" ca="1" si="108">S$15+S$19+S$22+S$32+S$35+S$38</f>
        <v>-35.256285417177345</v>
      </c>
      <c r="T40" s="625">
        <f t="shared" ca="1" si="108"/>
        <v>0</v>
      </c>
      <c r="U40" s="625">
        <f t="shared" ca="1" si="108"/>
        <v>-5.2091308319670242</v>
      </c>
      <c r="V40" s="625">
        <f t="shared" ca="1" si="108"/>
        <v>-70.955302786065715</v>
      </c>
      <c r="W40" s="625">
        <f t="shared" ca="1" si="108"/>
        <v>-48.300590440499015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-8.0232994859916751E-2</v>
      </c>
      <c r="AJ40" s="625">
        <f t="shared" ca="1" si="108"/>
        <v>0</v>
      </c>
      <c r="AK40" s="625">
        <f ca="1">SUM(S40:AJ40)</f>
        <v>-159.80154247056902</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-0.80883168050723919</v>
      </c>
      <c r="BD40" s="626">
        <f t="shared" ca="1" si="109"/>
        <v>0</v>
      </c>
      <c r="BE40" s="626">
        <f t="shared" ca="1" si="109"/>
        <v>0</v>
      </c>
      <c r="BF40" s="626">
        <f ca="1">SUM(AM40:BE40)</f>
        <v>-0.80883168050723919</v>
      </c>
      <c r="BH40" s="3432">
        <f ca="1">BH$15+BH$19+BH$22+BH$32+BH$35+BH$38</f>
        <v>0</v>
      </c>
      <c r="BI40" s="3432">
        <f ca="1">BI$15+BI$19+BI$22+BI$32+BI$35+BI$38</f>
        <v>0</v>
      </c>
      <c r="BJ40" s="3432">
        <f ca="1">SUM(BH40:BI40)</f>
        <v>0</v>
      </c>
      <c r="BL40" s="3446">
        <f t="shared" ca="1" si="10"/>
        <v>3.3306690738754696E-16</v>
      </c>
      <c r="BM40" s="627"/>
      <c r="BO40" s="2762">
        <f t="shared" ref="BO40:DF40" ca="1" si="110">BO$15+BO$19+BO$22+BO$32+BO$35+BO$38</f>
        <v>25.747506947907617</v>
      </c>
      <c r="BP40" s="2762">
        <f t="shared" ca="1" si="110"/>
        <v>1.6046426085206341E-2</v>
      </c>
      <c r="BQ40" s="2762">
        <f t="shared" ca="1" si="110"/>
        <v>0.19500732224611475</v>
      </c>
      <c r="BR40" s="2762">
        <f t="shared" ca="1" si="110"/>
        <v>0</v>
      </c>
      <c r="BS40" s="2762">
        <f t="shared" ca="1" si="110"/>
        <v>0</v>
      </c>
      <c r="BT40" s="2762">
        <f t="shared" ca="1" si="110"/>
        <v>0</v>
      </c>
      <c r="BU40" s="2762">
        <f t="shared" ca="1" si="110"/>
        <v>0</v>
      </c>
      <c r="BV40" s="2762">
        <f t="shared" ca="1" si="110"/>
        <v>0</v>
      </c>
      <c r="BW40" s="2762">
        <f t="shared" ca="1" si="110"/>
        <v>1.7902780629325272</v>
      </c>
      <c r="BX40" s="2762">
        <f t="shared" ca="1" si="110"/>
        <v>0</v>
      </c>
      <c r="BY40" s="2762">
        <f t="shared" ca="1" si="110"/>
        <v>0</v>
      </c>
      <c r="BZ40" s="2762">
        <f t="shared" ca="1" si="110"/>
        <v>1.0878072137964687</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2.9094874808500566</v>
      </c>
      <c r="CV40" s="2762">
        <f t="shared" ca="1" si="110"/>
        <v>2.500650904414101E-3</v>
      </c>
      <c r="CW40" s="2762">
        <f t="shared" ca="1" si="110"/>
        <v>7.3828740987463932E-3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31.756016978821151</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0.24440897097625325</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0.47824089716941076</v>
      </c>
      <c r="AG49" s="582">
        <f t="shared" ca="1" si="122"/>
        <v>8.6553531864006161E-2</v>
      </c>
      <c r="AH49" s="582">
        <f t="shared" ca="1" si="122"/>
        <v>9.816795346147611E-2</v>
      </c>
      <c r="AI49" s="582">
        <f t="shared" ca="1" si="122"/>
        <v>0</v>
      </c>
      <c r="AJ49" s="582">
        <f t="shared" ca="1" si="122"/>
        <v>0</v>
      </c>
      <c r="AK49" s="583">
        <f ca="1">SUM(S49:AJ49)</f>
        <v>0.90737135347114628</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-0.90737135347114628</v>
      </c>
      <c r="BF49" s="600">
        <f ca="1">SUM(AM49:BE49)</f>
        <v>-0.90737135347114628</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0.54947996945483712</v>
      </c>
      <c r="CO49" s="2759">
        <f t="shared" ca="1" si="129"/>
        <v>6.2442691071428566E-2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0.61192266052626565</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3.213654492435067</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3.213654492435067</v>
      </c>
      <c r="S50" s="611">
        <f t="shared" ref="S50:AJ50" ca="1" si="132">IFERROR(INDEX(INDIRECT($C50&amp;".Outputs["&amp;this.Year&amp;"]"), MATCH(S$5, INDIRECT($C50&amp;".Outputs[Vector]"), 0)), 0)</f>
        <v>-0.67486744341136407</v>
      </c>
      <c r="T50" s="611">
        <f t="shared" ca="1" si="132"/>
        <v>0</v>
      </c>
      <c r="U50" s="611">
        <f t="shared" ca="1" si="132"/>
        <v>0</v>
      </c>
      <c r="V50" s="611">
        <f t="shared" ca="1" si="132"/>
        <v>-2.538787049023703</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0.18368909262608663</v>
      </c>
      <c r="AE50" s="611">
        <f t="shared" ca="1" si="132"/>
        <v>0.22930383237201715</v>
      </c>
      <c r="AF50" s="611">
        <f t="shared" ca="1" si="132"/>
        <v>2.1963844639639629</v>
      </c>
      <c r="AG50" s="611">
        <f t="shared" ca="1" si="132"/>
        <v>0.85515858196743577</v>
      </c>
      <c r="AH50" s="611">
        <f t="shared" ca="1" si="132"/>
        <v>0</v>
      </c>
      <c r="AI50" s="611">
        <f t="shared" ca="1" si="132"/>
        <v>0</v>
      </c>
      <c r="AJ50" s="611">
        <f t="shared" ca="1" si="132"/>
        <v>0</v>
      </c>
      <c r="AK50" s="604">
        <f ca="1">SUM(S50:AJ50)</f>
        <v>0.25088147849443565</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-0.41299292499810381</v>
      </c>
      <c r="BE50" s="612">
        <f t="shared" ca="1" si="133"/>
        <v>-3.0515430459313988</v>
      </c>
      <c r="BF50" s="606">
        <f ca="1">SUM(AM50:BE50)</f>
        <v>-3.4645359709295027</v>
      </c>
      <c r="BH50" s="3441">
        <f t="shared" ca="1" si="126"/>
        <v>0</v>
      </c>
      <c r="BI50" s="3441">
        <f t="shared" ca="1" si="126"/>
        <v>0</v>
      </c>
      <c r="BJ50" s="3430">
        <f ca="1">SUM(BH50:BI50)</f>
        <v>0</v>
      </c>
      <c r="BL50" s="601">
        <f ca="1">Q50+AK50+BF50+BJ50</f>
        <v>0</v>
      </c>
      <c r="BM50" s="601"/>
      <c r="BN50" s="404"/>
      <c r="BO50" s="2760">
        <f t="shared" ca="1" si="127"/>
        <v>0.66993512649637466</v>
      </c>
      <c r="BP50" s="2761">
        <f t="shared" ca="1" si="127"/>
        <v>5.7579690271857584E-4</v>
      </c>
      <c r="BQ50" s="2761">
        <f t="shared" ca="1" si="127"/>
        <v>1.6999718080262715E-3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10.746907314681932</v>
      </c>
      <c r="CG50" s="2761">
        <f t="shared" ca="1" si="128"/>
        <v>5.6603978384106233</v>
      </c>
      <c r="CH50" s="2761">
        <f t="shared" ca="1" si="128"/>
        <v>0</v>
      </c>
      <c r="CI50" s="2761">
        <f t="shared" ca="1" si="129"/>
        <v>2.6876030947184297</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19.767119143018103</v>
      </c>
    </row>
    <row r="51" spans="1:112" s="6" customFormat="1" ht="15.5">
      <c r="A51" s="4"/>
      <c r="B51" s="3"/>
      <c r="C51" s="607" t="s">
        <v>503</v>
      </c>
      <c r="D51" s="608" t="s">
        <v>504</v>
      </c>
      <c r="E51" s="201"/>
      <c r="G51" s="609">
        <f ca="1">SUM(G48:G50)</f>
        <v>0</v>
      </c>
      <c r="H51" s="609">
        <f t="shared" ref="H51:P51" ca="1" si="134">SUM(H48:H50)</f>
        <v>0</v>
      </c>
      <c r="I51" s="609">
        <f t="shared" ca="1" si="134"/>
        <v>3.213654492435067</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3.213654492435067</v>
      </c>
      <c r="S51" s="572">
        <f t="shared" ref="S51:AJ51" ca="1" si="135">SUM(S48:S50)</f>
        <v>-0.67486744341136407</v>
      </c>
      <c r="T51" s="572">
        <f t="shared" ca="1" si="135"/>
        <v>0</v>
      </c>
      <c r="U51" s="572">
        <f t="shared" ca="1" si="135"/>
        <v>0</v>
      </c>
      <c r="V51" s="572">
        <f t="shared" ca="1" si="135"/>
        <v>-2.538787049023703</v>
      </c>
      <c r="W51" s="572">
        <f t="shared" ca="1" si="135"/>
        <v>0</v>
      </c>
      <c r="X51" s="572">
        <f t="shared" ca="1" si="135"/>
        <v>0.24440897097625325</v>
      </c>
      <c r="Y51" s="572">
        <f t="shared" ca="1" si="135"/>
        <v>0</v>
      </c>
      <c r="Z51" s="572">
        <f t="shared" ca="1" si="135"/>
        <v>0</v>
      </c>
      <c r="AA51" s="572">
        <f t="shared" ca="1" si="135"/>
        <v>0</v>
      </c>
      <c r="AB51" s="572">
        <f t="shared" ca="1" si="135"/>
        <v>0</v>
      </c>
      <c r="AC51" s="572">
        <f t="shared" ca="1" si="135"/>
        <v>0</v>
      </c>
      <c r="AD51" s="572">
        <f t="shared" ca="1" si="135"/>
        <v>0.18368909262608663</v>
      </c>
      <c r="AE51" s="572">
        <f ca="1">SUM(AE48:AE50)</f>
        <v>0.22930383237201715</v>
      </c>
      <c r="AF51" s="572">
        <f t="shared" ca="1" si="135"/>
        <v>2.6746253611333737</v>
      </c>
      <c r="AG51" s="572">
        <f t="shared" ca="1" si="135"/>
        <v>0.94171211383144193</v>
      </c>
      <c r="AH51" s="572">
        <f ca="1">SUM(AH48:AH50)</f>
        <v>9.816795346147611E-2</v>
      </c>
      <c r="AI51" s="572">
        <f t="shared" ca="1" si="135"/>
        <v>0</v>
      </c>
      <c r="AJ51" s="572">
        <f t="shared" ca="1" si="135"/>
        <v>0</v>
      </c>
      <c r="AK51" s="572">
        <f ca="1">SUM(S51:AJ51)</f>
        <v>1.1582528319655818</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-0.41299292499810381</v>
      </c>
      <c r="BE51" s="573">
        <f t="shared" ca="1" si="136"/>
        <v>-3.9589143994025449</v>
      </c>
      <c r="BF51" s="573">
        <f ca="1">SUM(AM51:BE51)</f>
        <v>-4.3719073244006488</v>
      </c>
      <c r="BH51" s="3431">
        <f ca="1">SUM(BH48:BH50)</f>
        <v>0</v>
      </c>
      <c r="BI51" s="3431">
        <f ca="1">SUM(BI48:BI50)</f>
        <v>0</v>
      </c>
      <c r="BJ51" s="3431">
        <f ca="1">SUM(BH51:BI51)</f>
        <v>0</v>
      </c>
      <c r="BL51" s="3445">
        <f ca="1">Q51+AK51+BF51+BJ51</f>
        <v>0</v>
      </c>
      <c r="BM51" s="575"/>
      <c r="BN51" s="404"/>
      <c r="BO51" s="2759">
        <f t="shared" ref="BO51:DF51" ca="1" si="137">SUM(BO48:BO50)</f>
        <v>0.66993512649637466</v>
      </c>
      <c r="BP51" s="2759">
        <f t="shared" ca="1" si="137"/>
        <v>5.7579690271857584E-4</v>
      </c>
      <c r="BQ51" s="2759">
        <f t="shared" ca="1" si="137"/>
        <v>1.6999718080262715E-3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10.746907314681932</v>
      </c>
      <c r="CG51" s="2759">
        <f t="shared" ca="1" si="137"/>
        <v>5.6603978384106233</v>
      </c>
      <c r="CH51" s="2759">
        <f t="shared" ca="1" si="137"/>
        <v>0</v>
      </c>
      <c r="CI51" s="2759">
        <f t="shared" ca="1" si="137"/>
        <v>2.6876030947184297</v>
      </c>
      <c r="CJ51" s="2759">
        <f t="shared" ca="1" si="137"/>
        <v>0</v>
      </c>
      <c r="CK51" s="2759">
        <f t="shared" ca="1" si="137"/>
        <v>0</v>
      </c>
      <c r="CL51" s="2759">
        <f t="shared" ca="1" si="137"/>
        <v>0</v>
      </c>
      <c r="CM51" s="2759">
        <f t="shared" ca="1" si="137"/>
        <v>0</v>
      </c>
      <c r="CN51" s="2759">
        <f t="shared" ca="1" si="137"/>
        <v>0.54947996945483712</v>
      </c>
      <c r="CO51" s="2759">
        <f t="shared" ca="1" si="137"/>
        <v>6.2442691071428566E-2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20.379041803544368</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0.16655400000000004</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0.16655400000000004</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-0.16655400000000004</v>
      </c>
      <c r="BC59" s="584">
        <f t="shared" ca="1" si="158"/>
        <v>0</v>
      </c>
      <c r="BD59" s="584">
        <f t="shared" ca="1" si="158"/>
        <v>0</v>
      </c>
      <c r="BE59" s="584">
        <f t="shared" ca="1" si="158"/>
        <v>0</v>
      </c>
      <c r="BF59" s="600">
        <f t="shared" ca="1" si="159"/>
        <v>-0.16655400000000004</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0</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0</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0</v>
      </c>
      <c r="BA60" s="584">
        <f t="shared" ca="1" si="158"/>
        <v>0</v>
      </c>
      <c r="BB60" s="584">
        <f t="shared" ca="1" si="158"/>
        <v>0</v>
      </c>
      <c r="BC60" s="584">
        <f t="shared" ca="1" si="158"/>
        <v>0</v>
      </c>
      <c r="BD60" s="584">
        <f t="shared" ca="1" si="158"/>
        <v>0</v>
      </c>
      <c r="BE60" s="584">
        <f t="shared" ca="1" si="158"/>
        <v>0</v>
      </c>
      <c r="BF60" s="600">
        <f t="shared" ca="1" si="159"/>
        <v>0</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0.20534354999999976</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0.20534354999999976</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0</v>
      </c>
      <c r="BA63" s="573">
        <f t="shared" ca="1" si="168"/>
        <v>0</v>
      </c>
      <c r="BB63" s="573">
        <f t="shared" ca="1" si="168"/>
        <v>-0.16655400000000004</v>
      </c>
      <c r="BC63" s="573">
        <f t="shared" ca="1" si="168"/>
        <v>0</v>
      </c>
      <c r="BD63" s="573">
        <f t="shared" ca="1" si="168"/>
        <v>0</v>
      </c>
      <c r="BE63" s="573">
        <f t="shared" ca="1" si="168"/>
        <v>0</v>
      </c>
      <c r="BF63" s="573">
        <f t="shared" ca="1" si="159"/>
        <v>-0.20534354999999976</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5.7309282042797673E-3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5.7309282042797673E-3</v>
      </c>
      <c r="S66" s="651">
        <f t="shared" ca="1" si="171"/>
        <v>-5.7309282042797673E-3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8.0232994859916751E-2</v>
      </c>
      <c r="AJ66" s="651">
        <f t="shared" ca="1" si="171"/>
        <v>0</v>
      </c>
      <c r="AK66" s="652">
        <f ca="1">SUM(S66:AJ66)</f>
        <v>7.4502066655636981E-2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-8.0232994859916751E-2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-8.0232994859916751E-2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5.7309282042797673E-3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5.7309282042797673E-3</v>
      </c>
      <c r="S68" s="572">
        <f t="shared" ref="S68:AJ68" ca="1" si="179">SUM(S65:S67)</f>
        <v>-5.7309282042797673E-3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8.0232994859916751E-2</v>
      </c>
      <c r="AJ68" s="572">
        <f t="shared" ca="1" si="179"/>
        <v>0</v>
      </c>
      <c r="AK68" s="572">
        <f ca="1">SUM(S68:AJ68)</f>
        <v>7.4502066655636981E-2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-8.0232994859916751E-2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-8.0232994859916751E-2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-36.162871893616611</v>
      </c>
      <c r="T74" s="662">
        <f ca="1">T$40+T$46+T$51+T$99+T$55+T$93+T$63+T$68+T$72</f>
        <v>-4.9634094627297518</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-36.162871893616611</v>
      </c>
      <c r="T78" s="662">
        <f ca="1">T$74+T$76</f>
        <v>-4.9634094627297518</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-36.162871893616611</v>
      </c>
      <c r="T80" s="636">
        <f ca="1">T78+T79</f>
        <v>-4.9634094627297518</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41.126281356346361</v>
      </c>
      <c r="U81" s="611">
        <f t="shared" ca="1" si="207"/>
        <v>0</v>
      </c>
      <c r="V81" s="611">
        <f t="shared" ca="1" si="207"/>
        <v>0</v>
      </c>
      <c r="W81" s="611">
        <f t="shared" ca="1" si="207"/>
        <v>-76.270558151769606</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-35.144276795423245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34.321751168296316</v>
      </c>
      <c r="BI81" s="3441">
        <f ca="1">IFERROR(INDEX(INDIRECT($C81&amp;".Outputs["&amp;this.Year&amp;"]"), MATCH(BI$5, INDIRECT($C81&amp;".Outputs[Vector]"), 0)), 0)</f>
        <v>0.82252562712692723</v>
      </c>
      <c r="BJ81" s="3430">
        <f ca="1">SUM(BH81:BI81)</f>
        <v>35.144276795423245</v>
      </c>
      <c r="BK81" s="6"/>
      <c r="BL81" s="601">
        <f t="shared" ca="1" si="191"/>
        <v>0</v>
      </c>
      <c r="BM81" s="601"/>
      <c r="BN81" s="404"/>
      <c r="BO81" s="2760">
        <f t="shared" ref="BO81:DF81" ca="1" si="210">IFERROR(SUMIFS(INDIRECT($C81&amp;".Emissions["&amp;this.Year&amp;"]"), INDIRECT($C81&amp;".Emissions[GHG]"), BO$6, INDIRECT($C81&amp;".Emissions[IPCC Sector]"), BO$5),0)</f>
        <v>15.614200189500055</v>
      </c>
      <c r="BP81" s="2761">
        <f t="shared" ca="1" si="210"/>
        <v>5.7660541962737824E-3</v>
      </c>
      <c r="BQ81" s="2761">
        <f t="shared" ca="1" si="210"/>
        <v>0.24684203440238714</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15.866808278098716</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41.126281356346361</v>
      </c>
      <c r="U82" s="572">
        <f t="shared" ca="1" si="212"/>
        <v>0</v>
      </c>
      <c r="V82" s="572">
        <f t="shared" ca="1" si="212"/>
        <v>0</v>
      </c>
      <c r="W82" s="572">
        <f t="shared" ca="1" si="212"/>
        <v>-76.270558151769606</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-35.144276795423245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34.321751168296316</v>
      </c>
      <c r="BI82" s="3431">
        <f ca="1">BI79+BI81</f>
        <v>0.82252562712692723</v>
      </c>
      <c r="BJ82" s="3431">
        <f ca="1">SUM(BH82:BI82)</f>
        <v>35.144276795423245</v>
      </c>
      <c r="BL82" s="3445">
        <f t="shared" ca="1" si="191"/>
        <v>0</v>
      </c>
      <c r="BM82" s="575"/>
      <c r="BN82" s="404"/>
      <c r="BO82" s="2759">
        <f t="shared" ref="BO82:DF82" ca="1" si="214">BO79+BO81</f>
        <v>15.614200189500055</v>
      </c>
      <c r="BP82" s="2759">
        <f t="shared" ca="1" si="214"/>
        <v>5.7660541962737824E-3</v>
      </c>
      <c r="BQ82" s="2759">
        <f t="shared" ca="1" si="214"/>
        <v>0.24684203440238714</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15.866808278098716</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5.7309282042797673E-3</v>
      </c>
      <c r="I84" s="671">
        <f t="shared" ca="1" si="215"/>
        <v>3.213654492435067</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3.2193854206393469</v>
      </c>
      <c r="S84" s="625">
        <f t="shared" ref="S84:AJ84" ca="1" si="216">S$51+S$55+S$63+S$68+S$72+S$76+S$82+S$46</f>
        <v>-0.90658647643926416</v>
      </c>
      <c r="T84" s="625">
        <f t="shared" ca="1" si="216"/>
        <v>41.327833763528588</v>
      </c>
      <c r="U84" s="625">
        <f t="shared" ca="1" si="216"/>
        <v>0</v>
      </c>
      <c r="V84" s="625">
        <f t="shared" ca="1" si="216"/>
        <v>-4.3910728626125746</v>
      </c>
      <c r="W84" s="625">
        <f t="shared" ca="1" si="216"/>
        <v>-76.352960105018312</v>
      </c>
      <c r="X84" s="625">
        <f t="shared" ca="1" si="216"/>
        <v>0.24440897097625325</v>
      </c>
      <c r="Y84" s="625">
        <f t="shared" ca="1" si="216"/>
        <v>0</v>
      </c>
      <c r="Z84" s="625">
        <f t="shared" ca="1" si="216"/>
        <v>0</v>
      </c>
      <c r="AA84" s="625">
        <f t="shared" ca="1" si="216"/>
        <v>0</v>
      </c>
      <c r="AB84" s="625">
        <f t="shared" ca="1" si="216"/>
        <v>0</v>
      </c>
      <c r="AC84" s="625">
        <f t="shared" ca="1" si="216"/>
        <v>0</v>
      </c>
      <c r="AD84" s="625">
        <f t="shared" ca="1" si="216"/>
        <v>0.18368909262608663</v>
      </c>
      <c r="AE84" s="625">
        <f t="shared" ca="1" si="216"/>
        <v>0.22930383237201715</v>
      </c>
      <c r="AF84" s="625">
        <f t="shared" ca="1" si="216"/>
        <v>2.6746253611333737</v>
      </c>
      <c r="AG84" s="625">
        <f t="shared" ca="1" si="216"/>
        <v>0.94171211383144193</v>
      </c>
      <c r="AH84" s="625">
        <f t="shared" ca="1" si="216"/>
        <v>9.816795346147611E-2</v>
      </c>
      <c r="AI84" s="625">
        <f t="shared" ca="1" si="216"/>
        <v>8.0232994859916751E-2</v>
      </c>
      <c r="AJ84" s="625">
        <f t="shared" ca="1" si="216"/>
        <v>0</v>
      </c>
      <c r="AK84" s="625">
        <f ca="1">SUM(S84:AJ84)</f>
        <v>-35.870645361280992</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-8.0232994859916751E-2</v>
      </c>
      <c r="AX84" s="626">
        <f t="shared" ca="1" si="217"/>
        <v>-3.8789549999999742E-2</v>
      </c>
      <c r="AY84" s="626">
        <f t="shared" ca="1" si="217"/>
        <v>0</v>
      </c>
      <c r="AZ84" s="626">
        <f t="shared" ca="1" si="217"/>
        <v>0</v>
      </c>
      <c r="BA84" s="626">
        <f t="shared" ca="1" si="217"/>
        <v>0</v>
      </c>
      <c r="BB84" s="626">
        <f t="shared" ca="1" si="217"/>
        <v>-0.16655400000000004</v>
      </c>
      <c r="BC84" s="626">
        <f t="shared" ca="1" si="217"/>
        <v>0</v>
      </c>
      <c r="BD84" s="626">
        <f t="shared" ca="1" si="217"/>
        <v>-0.41299292499810381</v>
      </c>
      <c r="BE84" s="626">
        <f t="shared" ca="1" si="217"/>
        <v>-3.9589143994025449</v>
      </c>
      <c r="BF84" s="626">
        <f ca="1">SUM(AM84:BE84)</f>
        <v>-4.6574838692605649</v>
      </c>
      <c r="BH84" s="3432">
        <f ca="1">BH$51+BH$55+BH$63+BH$68+BH$72+BH$76+BH$82+BH$46</f>
        <v>34.299004311389673</v>
      </c>
      <c r="BI84" s="3432">
        <f ca="1">BI$51+BI$55+BI$63+BI$68+BI$72+BI$76+BI$82+BI$46</f>
        <v>3.0097394985125421</v>
      </c>
      <c r="BJ84" s="3432">
        <f ca="1">SUM(BH84:BI84)</f>
        <v>37.308743809902218</v>
      </c>
      <c r="BL84" s="3446">
        <f t="shared" ca="1" si="191"/>
        <v>0</v>
      </c>
      <c r="BM84" s="627"/>
      <c r="BO84" s="2762">
        <f t="shared" ref="BO84:DE84" ca="1" si="218">BO$51+BO$55+BO$63+BO$68+BO$72+BO$76+BO$82+BO$46</f>
        <v>16.78978592323768</v>
      </c>
      <c r="BP84" s="2762">
        <f t="shared" ca="1" si="218"/>
        <v>6.768179109179916E-3</v>
      </c>
      <c r="BQ84" s="2762">
        <f t="shared" ca="1" si="218"/>
        <v>0.25004898247268664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10.746907314681932</v>
      </c>
      <c r="CG84" s="2762">
        <f t="shared" ca="1" si="218"/>
        <v>5.6603978384106233</v>
      </c>
      <c r="CH84" s="2762">
        <f t="shared" ca="1" si="218"/>
        <v>0</v>
      </c>
      <c r="CI84" s="2762">
        <f t="shared" ca="1" si="218"/>
        <v>2.6876030947184297</v>
      </c>
      <c r="CJ84" s="2762">
        <f t="shared" ca="1" si="218"/>
        <v>0</v>
      </c>
      <c r="CK84" s="2762">
        <f t="shared" ca="1" si="218"/>
        <v>0</v>
      </c>
      <c r="CL84" s="2762">
        <f t="shared" ca="1" si="218"/>
        <v>0</v>
      </c>
      <c r="CM84" s="2762">
        <f t="shared" ca="1" si="218"/>
        <v>0</v>
      </c>
      <c r="CN84" s="2762">
        <f t="shared" ca="1" si="218"/>
        <v>0.54947996945483712</v>
      </c>
      <c r="CO84" s="2762">
        <f t="shared" ca="1" si="218"/>
        <v>6.2442691071428566E-2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36.753433993156797</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-36.157140965412331</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-5.164961869911977</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-5.164961869911977</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5.164961869911977</v>
      </c>
      <c r="BJ91" s="3428">
        <f ca="1">SUM(BH91:BI91)</f>
        <v>5.164961869911977</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-5.164961869911977</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-5.164961869911977</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5.164961869911977</v>
      </c>
      <c r="BJ93" s="3431">
        <f ca="1">SUM(BH93:BI93)</f>
        <v>5.164961869911977</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-5.2091308319670242</v>
      </c>
      <c r="V95" s="636">
        <f ca="1">(V$40+V$84+V$93)</f>
        <v>-75.34637564867829</v>
      </c>
      <c r="W95" s="636">
        <f ca="1">(W$40+W$84+W$93)</f>
        <v>-124.65355054551733</v>
      </c>
      <c r="X95" s="636"/>
      <c r="Y95" s="636"/>
      <c r="Z95" s="636"/>
      <c r="AA95" s="636"/>
      <c r="AB95" s="636"/>
      <c r="AC95" s="636">
        <f t="shared" ref="AC95:AH95" ca="1" si="239">(AC$40+AC$84+AC$93)</f>
        <v>0</v>
      </c>
      <c r="AD95" s="636">
        <f t="shared" ca="1" si="239"/>
        <v>0.18368909262608663</v>
      </c>
      <c r="AE95" s="636">
        <f t="shared" ca="1" si="239"/>
        <v>0.22930383237201715</v>
      </c>
      <c r="AF95" s="636">
        <f t="shared" ca="1" si="239"/>
        <v>2.6746253611333737</v>
      </c>
      <c r="AG95" s="636">
        <f t="shared" ca="1" si="239"/>
        <v>0.94171211383144193</v>
      </c>
      <c r="AH95" s="636">
        <f t="shared" ca="1" si="239"/>
        <v>9.816795346147611E-2</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-3.9589143994025449</v>
      </c>
      <c r="BF95" s="637">
        <f ca="1">SUM(AM95:BE95)</f>
        <v>-3.9589143994025449</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2.5408940930767048</v>
      </c>
      <c r="V96" s="689">
        <f t="shared" ca="1" si="241"/>
        <v>0.15512010271129639</v>
      </c>
      <c r="W96" s="689">
        <f t="shared" ca="1" si="241"/>
        <v>0.89862325021820177</v>
      </c>
      <c r="X96" s="689">
        <f t="shared" ca="1" si="241"/>
        <v>0</v>
      </c>
      <c r="Y96" s="689">
        <f t="shared" ca="1" si="241"/>
        <v>0</v>
      </c>
      <c r="Z96" s="689">
        <f t="shared" ca="1" si="241"/>
        <v>0</v>
      </c>
      <c r="AA96" s="689">
        <f t="shared" ca="1" si="241"/>
        <v>0</v>
      </c>
      <c r="AB96" s="689">
        <f t="shared" ca="1" si="241"/>
        <v>0</v>
      </c>
      <c r="AC96" s="689">
        <f t="shared" ca="1" si="241"/>
        <v>0</v>
      </c>
      <c r="AD96" s="689">
        <f t="shared" ca="1" si="241"/>
        <v>-0.18368909262608663</v>
      </c>
      <c r="AE96" s="689">
        <f t="shared" ca="1" si="241"/>
        <v>-0.22930383237201715</v>
      </c>
      <c r="AF96" s="689">
        <f t="shared" ca="1" si="241"/>
        <v>-2.6746253611333737</v>
      </c>
      <c r="AG96" s="689">
        <f t="shared" ca="1" si="241"/>
        <v>-0.94171211383144193</v>
      </c>
      <c r="AH96" s="689">
        <f t="shared" ca="1" si="241"/>
        <v>-9.816795346147611E-2</v>
      </c>
      <c r="AI96" s="689">
        <f t="shared" ca="1" si="241"/>
        <v>0</v>
      </c>
      <c r="AJ96" s="689">
        <f t="shared" ca="1" si="241"/>
        <v>0</v>
      </c>
      <c r="AK96" s="690">
        <f ca="1">SUM(S96:AJ96)</f>
        <v>-0.53286090741819248</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0.53286090741819248</v>
      </c>
      <c r="BI96" s="3444">
        <f ca="1">IFERROR(INDEX(INDIRECT($C96&amp;".Outputs["&amp;this.Year&amp;"]"), MATCH(BI$5, INDIRECT($C96&amp;".Outputs[Vector]"), 0)), 0)</f>
        <v>0</v>
      </c>
      <c r="BJ96" s="3436">
        <f ca="1">SUM(BH96:BI96)</f>
        <v>0.53286090741819248</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-1.082763084686408</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-1.082763084686408</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-2.6682367388903194</v>
      </c>
      <c r="V97" s="636">
        <f ca="1">V$95+V$96</f>
        <v>-75.191255545966996</v>
      </c>
      <c r="W97" s="636">
        <f ca="1">W$95+W$96</f>
        <v>-123.75492729529913</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-0.90737135347114628</v>
      </c>
      <c r="BF97" s="637">
        <f ca="1">SUM(AM97:BE97)</f>
        <v>-0.90737135347114628</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v>
      </c>
      <c r="V98" s="611">
        <f t="shared" ca="1" si="246"/>
        <v>0.14999999999999991</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0.14999999999999991</v>
      </c>
      <c r="AM98" s="612">
        <f t="shared" ref="AM98:BE98" ca="1" si="247">IFERROR(INDEX(INDIRECT($C98&amp;".Outputs["&amp;this.Year&amp;"]"), MATCH(AM$5, INDIRECT($C98&amp;".Outputs[Vector]"), 0)), 0)</f>
        <v>0</v>
      </c>
      <c r="AN98" s="612">
        <f t="shared" ca="1" si="247"/>
        <v>0</v>
      </c>
      <c r="AO98" s="612">
        <f t="shared" ca="1" si="247"/>
        <v>0</v>
      </c>
      <c r="AP98" s="612">
        <f t="shared" ca="1" si="247"/>
        <v>-0.14999999999999991</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-0.14999999999999991</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-3.9581999999999971E-2</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-3.9581999999999971E-2</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2.5408940930767048</v>
      </c>
      <c r="V99" s="572">
        <f t="shared" ca="1" si="250"/>
        <v>0.3051201027112963</v>
      </c>
      <c r="W99" s="572">
        <f t="shared" ca="1" si="250"/>
        <v>0.89862325021820177</v>
      </c>
      <c r="X99" s="572">
        <f t="shared" ca="1" si="250"/>
        <v>0</v>
      </c>
      <c r="Y99" s="572">
        <f t="shared" ca="1" si="250"/>
        <v>0</v>
      </c>
      <c r="Z99" s="572">
        <f t="shared" ca="1" si="250"/>
        <v>0</v>
      </c>
      <c r="AA99" s="572">
        <f t="shared" ca="1" si="250"/>
        <v>0</v>
      </c>
      <c r="AB99" s="572">
        <f t="shared" ca="1" si="250"/>
        <v>0</v>
      </c>
      <c r="AC99" s="572">
        <f t="shared" ca="1" si="250"/>
        <v>0</v>
      </c>
      <c r="AD99" s="572">
        <f ca="1">AD$96+AD98</f>
        <v>-0.18368909262608663</v>
      </c>
      <c r="AE99" s="572">
        <f ca="1">AE$96+AE98</f>
        <v>-0.22930383237201715</v>
      </c>
      <c r="AF99" s="572">
        <f t="shared" ca="1" si="250"/>
        <v>-2.6746253611333737</v>
      </c>
      <c r="AG99" s="572">
        <f t="shared" ca="1" si="250"/>
        <v>-0.94171211383144193</v>
      </c>
      <c r="AH99" s="572">
        <f ca="1">AH$96+AH98</f>
        <v>-9.816795346147611E-2</v>
      </c>
      <c r="AI99" s="572">
        <f t="shared" ca="1" si="250"/>
        <v>0</v>
      </c>
      <c r="AJ99" s="572">
        <f t="shared" ca="1" si="250"/>
        <v>0</v>
      </c>
      <c r="AK99" s="572">
        <f ca="1">SUM(S99:AJ99)</f>
        <v>-0.38286090741819256</v>
      </c>
      <c r="AM99" s="573">
        <f t="shared" ref="AM99:BE99" ca="1" si="251">AM$96+AM98</f>
        <v>0</v>
      </c>
      <c r="AN99" s="573">
        <f t="shared" ca="1" si="251"/>
        <v>0</v>
      </c>
      <c r="AO99" s="573">
        <f t="shared" ca="1" si="251"/>
        <v>0</v>
      </c>
      <c r="AP99" s="573">
        <f t="shared" ca="1" si="251"/>
        <v>-0.14999999999999991</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-0.14999999999999991</v>
      </c>
      <c r="BH99" s="3431">
        <f ca="1">BH$96+BH98</f>
        <v>0.53286090741819248</v>
      </c>
      <c r="BI99" s="3431">
        <f ca="1">BI$96+BI98</f>
        <v>0</v>
      </c>
      <c r="BJ99" s="3431">
        <f ca="1">SUM(BH99:BI99)</f>
        <v>0.53286090741819248</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-1.122345084686408</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-1.122345084686408</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-36.162871893616611</v>
      </c>
      <c r="T101" s="636">
        <f ca="1">(T$40+T$84+T$93+T$99)</f>
        <v>36.162871893616611</v>
      </c>
      <c r="U101" s="636">
        <f ca="1">(U$40+U$84+U$93+U$99)</f>
        <v>-2.6682367388903194</v>
      </c>
      <c r="V101" s="636">
        <f ca="1">(V$40+V$84+V$93+V$99)</f>
        <v>-75.04125554596699</v>
      </c>
      <c r="W101" s="636">
        <f ca="1">(W$40+W$84+W$93+W$99)</f>
        <v>-123.75492729529913</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2.6682367388903194</v>
      </c>
      <c r="V102" s="652">
        <f t="shared" ca="1" si="254"/>
        <v>75.04125554596699</v>
      </c>
      <c r="W102" s="652">
        <f t="shared" ca="1" si="254"/>
        <v>123.75492729529913</v>
      </c>
      <c r="X102" s="652">
        <f t="shared" ca="1" si="254"/>
        <v>-2.6682367388903194</v>
      </c>
      <c r="Y102" s="652">
        <f t="shared" ca="1" si="254"/>
        <v>-75.04125554596699</v>
      </c>
      <c r="Z102" s="652">
        <f t="shared" ca="1" si="254"/>
        <v>-125.61125120472862</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-1.8563239094295056</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1.8563239094294868</v>
      </c>
      <c r="BJ102" s="655">
        <f ca="1">SUM(BH102:BI102)</f>
        <v>1.8563239094294868</v>
      </c>
      <c r="BK102" s="6"/>
      <c r="BL102" s="3445">
        <f t="shared" ref="BL102:BL109" ca="1" si="256">Q102+AK102+BF102+BJ102</f>
        <v>-1.8873791418627661E-14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5.2918337260030368E-2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5.2918337260030368E-2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2.4238277679140663</v>
      </c>
      <c r="Y103" s="702">
        <f ca="1">-(Y$40+Y$84+Y$93+Y$99+Y$102)</f>
        <v>75.04125554596699</v>
      </c>
      <c r="Z103" s="702">
        <f ca="1">-(Z$40+Z$84+Z$93+Z$99+Z$102)</f>
        <v>125.61125120472862</v>
      </c>
      <c r="AA103" s="702"/>
      <c r="AB103" s="702"/>
      <c r="AC103" s="702"/>
      <c r="AD103" s="702"/>
      <c r="AE103" s="702"/>
      <c r="AF103" s="702"/>
      <c r="AG103" s="702"/>
      <c r="AH103" s="702"/>
      <c r="AI103" s="702"/>
      <c r="AJ103" s="702"/>
      <c r="AK103" s="702">
        <f ca="1">SUM(S103:AJ103)</f>
        <v>203.07633451860966</v>
      </c>
      <c r="AL103" s="6"/>
      <c r="AM103" s="606"/>
      <c r="AN103" s="606"/>
      <c r="AO103" s="606"/>
      <c r="AP103" s="606"/>
      <c r="AQ103" s="606">
        <f ca="1">-T103</f>
        <v>0</v>
      </c>
      <c r="AR103" s="606">
        <f>-V103</f>
        <v>0</v>
      </c>
      <c r="AS103" s="606">
        <f ca="1">-X103</f>
        <v>-2.4238277679140663</v>
      </c>
      <c r="AT103" s="606">
        <f ca="1">-Y103</f>
        <v>-75.04125554596699</v>
      </c>
      <c r="AU103" s="606">
        <f ca="1">-Z103</f>
        <v>-125.61125120472862</v>
      </c>
      <c r="AV103" s="606"/>
      <c r="AW103" s="606"/>
      <c r="AX103" s="606"/>
      <c r="AY103" s="606"/>
      <c r="AZ103" s="606"/>
      <c r="BA103" s="606"/>
      <c r="BB103" s="606"/>
      <c r="BC103" s="606"/>
      <c r="BD103" s="606"/>
      <c r="BE103" s="606"/>
      <c r="BF103" s="606">
        <f ca="1">SUM(AM103:BE103)</f>
        <v>-203.07633451860966</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2.6682367388903194</v>
      </c>
      <c r="V104" s="572">
        <f t="shared" ca="1" si="262"/>
        <v>75.04125554596699</v>
      </c>
      <c r="W104" s="572">
        <f t="shared" ca="1" si="262"/>
        <v>123.75492729529913</v>
      </c>
      <c r="X104" s="572">
        <f t="shared" ca="1" si="262"/>
        <v>-0.24440897097625314</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201.22001060918018</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t="shared" ca="1" si="263"/>
        <v>-2.4238277679140663</v>
      </c>
      <c r="AT104" s="573">
        <f t="shared" ca="1" si="263"/>
        <v>-75.04125554596699</v>
      </c>
      <c r="AU104" s="573">
        <f t="shared" ca="1" si="263"/>
        <v>-125.61125120472862</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-203.07633451860966</v>
      </c>
      <c r="BH104" s="3431">
        <f ca="1">SUM(BH102:BH103)</f>
        <v>0</v>
      </c>
      <c r="BI104" s="3431">
        <f ca="1">SUM(BI102:BI103)</f>
        <v>1.8563239094294868</v>
      </c>
      <c r="BJ104" s="3431">
        <f ca="1">SUM(BH104:BI104)</f>
        <v>1.8563239094294868</v>
      </c>
      <c r="BL104" s="3445">
        <f t="shared" ca="1" si="256"/>
        <v>9.5479180117763462E-15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5.2918337260030368E-2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5.2918337260030368E-2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-5.164961869911977</v>
      </c>
      <c r="U106" s="625">
        <f t="shared" ca="1" si="266"/>
        <v>5.2091308319670242</v>
      </c>
      <c r="V106" s="625">
        <f t="shared" ca="1" si="266"/>
        <v>75.34637564867829</v>
      </c>
      <c r="W106" s="625">
        <f t="shared" ca="1" si="266"/>
        <v>124.65355054551733</v>
      </c>
      <c r="X106" s="625">
        <f t="shared" ca="1" si="266"/>
        <v>-0.24440897097625314</v>
      </c>
      <c r="Y106" s="625">
        <f t="shared" ca="1" si="266"/>
        <v>0</v>
      </c>
      <c r="Z106" s="625">
        <f t="shared" ca="1" si="266"/>
        <v>0</v>
      </c>
      <c r="AA106" s="625">
        <f t="shared" ca="1" si="266"/>
        <v>0</v>
      </c>
      <c r="AB106" s="625">
        <f t="shared" ca="1" si="266"/>
        <v>0</v>
      </c>
      <c r="AC106" s="625">
        <f t="shared" ca="1" si="266"/>
        <v>0</v>
      </c>
      <c r="AD106" s="625">
        <f t="shared" ca="1" si="266"/>
        <v>-0.18368909262608663</v>
      </c>
      <c r="AE106" s="625">
        <f t="shared" ca="1" si="266"/>
        <v>-0.22930383237201715</v>
      </c>
      <c r="AF106" s="625">
        <f t="shared" ca="1" si="266"/>
        <v>-2.6746253611333737</v>
      </c>
      <c r="AG106" s="625">
        <f t="shared" ca="1" si="266"/>
        <v>-0.94171211383144193</v>
      </c>
      <c r="AH106" s="625">
        <f t="shared" ca="1" si="266"/>
        <v>-9.816795346147611E-2</v>
      </c>
      <c r="AI106" s="625">
        <f t="shared" ca="1" si="266"/>
        <v>0</v>
      </c>
      <c r="AJ106" s="625">
        <f t="shared" ca="1" si="266"/>
        <v>0</v>
      </c>
      <c r="AK106" s="625">
        <f ca="1">SUM(S106:AJ106)</f>
        <v>195.67218783185004</v>
      </c>
      <c r="AM106" s="626">
        <f t="shared" ref="AM106:BE106" ca="1" si="267">AM$93+AM$99+AM$104</f>
        <v>0</v>
      </c>
      <c r="AN106" s="626">
        <f t="shared" ca="1" si="267"/>
        <v>0</v>
      </c>
      <c r="AO106" s="626">
        <f t="shared" ca="1" si="267"/>
        <v>0</v>
      </c>
      <c r="AP106" s="626">
        <f t="shared" ca="1" si="267"/>
        <v>-0.14999999999999991</v>
      </c>
      <c r="AQ106" s="626">
        <f t="shared" ca="1" si="267"/>
        <v>0</v>
      </c>
      <c r="AR106" s="626">
        <f t="shared" ca="1" si="267"/>
        <v>0</v>
      </c>
      <c r="AS106" s="626">
        <f t="shared" ca="1" si="267"/>
        <v>-2.4238277679140663</v>
      </c>
      <c r="AT106" s="626">
        <f t="shared" ca="1" si="267"/>
        <v>-75.04125554596699</v>
      </c>
      <c r="AU106" s="626">
        <f t="shared" ca="1" si="267"/>
        <v>-125.61125120472862</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-203.22633451860969</v>
      </c>
      <c r="BH106" s="3432">
        <f ca="1">BH$93+BH$99+BH$104</f>
        <v>0.53286090741819248</v>
      </c>
      <c r="BI106" s="3432">
        <f ca="1">BI$93+BI$99+BI$104</f>
        <v>7.021285779341464</v>
      </c>
      <c r="BJ106" s="3432">
        <f ca="1">SUM(BH106:BI106)</f>
        <v>7.5541466867596565</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5.2918337260030368E-2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-1.122345084686408</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-1.0694267474263777</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46.513567046398222</v>
      </c>
      <c r="H109" s="705">
        <f t="shared" ca="1" si="269"/>
        <v>11.851775794774838</v>
      </c>
      <c r="I109" s="705">
        <f t="shared" ca="1" si="269"/>
        <v>45.705285254959719</v>
      </c>
      <c r="J109" s="705">
        <f t="shared" ca="1" si="269"/>
        <v>47.557692394089628</v>
      </c>
      <c r="K109" s="705">
        <f t="shared" ca="1" si="269"/>
        <v>0.48874347912078209</v>
      </c>
      <c r="L109" s="705">
        <f t="shared" ca="1" si="269"/>
        <v>2.6897963862265332E-2</v>
      </c>
      <c r="M109" s="705">
        <f t="shared" ca="1" si="269"/>
        <v>0.66</v>
      </c>
      <c r="N109" s="705">
        <f t="shared" ca="1" si="269"/>
        <v>11.025797638510145</v>
      </c>
      <c r="O109" s="705">
        <f t="shared" ca="1" si="269"/>
        <v>0</v>
      </c>
      <c r="P109" s="705">
        <f t="shared" ca="1" si="269"/>
        <v>0</v>
      </c>
      <c r="Q109" s="705">
        <f ca="1">SUM(G109:P109)</f>
        <v>163.82975957171558</v>
      </c>
      <c r="S109" s="706">
        <f t="shared" ref="S109:AJ109" ca="1" si="270">S$40+S$84+S$106</f>
        <v>-36.162871893616611</v>
      </c>
      <c r="T109" s="706">
        <f t="shared" ca="1" si="270"/>
        <v>36.162871893616611</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-0.14999999999999991</v>
      </c>
      <c r="AQ109" s="707">
        <f t="shared" ca="1" si="271"/>
        <v>0</v>
      </c>
      <c r="AR109" s="707">
        <f t="shared" ca="1" si="271"/>
        <v>0</v>
      </c>
      <c r="AS109" s="707">
        <f t="shared" ca="1" si="271"/>
        <v>-2.4238277679140663</v>
      </c>
      <c r="AT109" s="707">
        <f t="shared" ca="1" si="271"/>
        <v>-75.04125554596699</v>
      </c>
      <c r="AU109" s="707">
        <f t="shared" ca="1" si="271"/>
        <v>-125.61125120472862</v>
      </c>
      <c r="AV109" s="707">
        <f t="shared" ca="1" si="271"/>
        <v>0</v>
      </c>
      <c r="AW109" s="707">
        <f t="shared" ca="1" si="271"/>
        <v>-8.0232994859916751E-2</v>
      </c>
      <c r="AX109" s="707">
        <f t="shared" ca="1" si="271"/>
        <v>-3.8789549999999742E-2</v>
      </c>
      <c r="AY109" s="707">
        <f t="shared" ca="1" si="271"/>
        <v>0</v>
      </c>
      <c r="AZ109" s="707">
        <f t="shared" ca="1" si="271"/>
        <v>0</v>
      </c>
      <c r="BA109" s="707">
        <f t="shared" ca="1" si="271"/>
        <v>0</v>
      </c>
      <c r="BB109" s="707">
        <f t="shared" ca="1" si="271"/>
        <v>-0.16655400000000004</v>
      </c>
      <c r="BC109" s="707">
        <f t="shared" ca="1" si="271"/>
        <v>-0.80883168050723919</v>
      </c>
      <c r="BD109" s="707">
        <f t="shared" ca="1" si="271"/>
        <v>-0.41299292499810381</v>
      </c>
      <c r="BE109" s="707">
        <f t="shared" ca="1" si="271"/>
        <v>-3.9589143994025449</v>
      </c>
      <c r="BF109" s="707">
        <f ca="1">SUM(AM109:BE109)</f>
        <v>-208.69265006837747</v>
      </c>
      <c r="BH109" s="3437">
        <f ca="1">BH$40+BH$84+BH$106</f>
        <v>34.831865218807863</v>
      </c>
      <c r="BI109" s="3437">
        <f ca="1">BI$40+BI$84+BI$106</f>
        <v>10.031025277854006</v>
      </c>
      <c r="BJ109" s="3437">
        <f ca="1">SUM(BH109:BI109)</f>
        <v>44.862890496661869</v>
      </c>
      <c r="BL109" s="3447">
        <f t="shared" ca="1" si="256"/>
        <v>0</v>
      </c>
      <c r="BM109" s="568"/>
      <c r="BO109" s="2767">
        <f t="shared" ref="BO109:DF109" ca="1" si="272">BO$40+BO$84+BO$106</f>
        <v>42.537292871145297</v>
      </c>
      <c r="BP109" s="2767">
        <f t="shared" ca="1" si="272"/>
        <v>2.2814605194386259E-2</v>
      </c>
      <c r="BQ109" s="2767">
        <f t="shared" ca="1" si="272"/>
        <v>0.44505630471880142</v>
      </c>
      <c r="BR109" s="2767">
        <f t="shared" ca="1" si="272"/>
        <v>0</v>
      </c>
      <c r="BS109" s="2767">
        <f t="shared" ca="1" si="272"/>
        <v>0</v>
      </c>
      <c r="BT109" s="2767">
        <f t="shared" ca="1" si="272"/>
        <v>5.2918337260030368E-2</v>
      </c>
      <c r="BU109" s="2767">
        <f t="shared" ca="1" si="272"/>
        <v>0</v>
      </c>
      <c r="BV109" s="2767">
        <f t="shared" ca="1" si="272"/>
        <v>0</v>
      </c>
      <c r="BW109" s="2767">
        <f t="shared" ca="1" si="272"/>
        <v>1.7902780629325272</v>
      </c>
      <c r="BX109" s="2767">
        <f t="shared" ca="1" si="272"/>
        <v>0</v>
      </c>
      <c r="BY109" s="2767">
        <f t="shared" ca="1" si="272"/>
        <v>0</v>
      </c>
      <c r="BZ109" s="2767">
        <f t="shared" ca="1" si="272"/>
        <v>1.0878072137964687</v>
      </c>
      <c r="CA109" s="2767">
        <f t="shared" ca="1" si="272"/>
        <v>0</v>
      </c>
      <c r="CB109" s="2767">
        <f t="shared" ca="1" si="272"/>
        <v>0</v>
      </c>
      <c r="CC109" s="2767">
        <f t="shared" ca="1" si="272"/>
        <v>0</v>
      </c>
      <c r="CD109" s="2767">
        <f t="shared" ca="1" si="272"/>
        <v>0</v>
      </c>
      <c r="CE109" s="2767">
        <f t="shared" ca="1" si="272"/>
        <v>0</v>
      </c>
      <c r="CF109" s="2767">
        <f t="shared" ca="1" si="272"/>
        <v>10.746907314681932</v>
      </c>
      <c r="CG109" s="2767">
        <f t="shared" ca="1" si="272"/>
        <v>5.6603978384106233</v>
      </c>
      <c r="CH109" s="2767">
        <f t="shared" ca="1" si="272"/>
        <v>0</v>
      </c>
      <c r="CI109" s="2767">
        <f t="shared" ca="1" si="272"/>
        <v>2.6876030947184297</v>
      </c>
      <c r="CJ109" s="2767">
        <f t="shared" ca="1" si="272"/>
        <v>0</v>
      </c>
      <c r="CK109" s="2767">
        <f t="shared" ca="1" si="272"/>
        <v>0</v>
      </c>
      <c r="CL109" s="2767">
        <f t="shared" ca="1" si="272"/>
        <v>0</v>
      </c>
      <c r="CM109" s="2767">
        <f t="shared" ca="1" si="272"/>
        <v>0</v>
      </c>
      <c r="CN109" s="2767">
        <f t="shared" ca="1" si="272"/>
        <v>0.54947996945483712</v>
      </c>
      <c r="CO109" s="2767">
        <f t="shared" ca="1" si="272"/>
        <v>6.2442691071428566E-2</v>
      </c>
      <c r="CP109" s="2767">
        <f t="shared" ca="1" si="272"/>
        <v>0</v>
      </c>
      <c r="CQ109" s="2767">
        <f t="shared" ca="1" si="272"/>
        <v>0</v>
      </c>
      <c r="CR109" s="2767">
        <f t="shared" ca="1" si="272"/>
        <v>0</v>
      </c>
      <c r="CS109" s="2767">
        <f t="shared" ca="1" si="272"/>
        <v>0</v>
      </c>
      <c r="CT109" s="2767">
        <f t="shared" ca="1" si="272"/>
        <v>0</v>
      </c>
      <c r="CU109" s="2767">
        <f t="shared" ca="1" si="272"/>
        <v>2.9094874808500566</v>
      </c>
      <c r="CV109" s="2767">
        <f t="shared" ca="1" si="272"/>
        <v>2.500650904414101E-3</v>
      </c>
      <c r="CW109" s="2767">
        <f t="shared" ca="1" si="272"/>
        <v>7.3828740987463932E-3</v>
      </c>
      <c r="CX109" s="2767">
        <f t="shared" ca="1" si="272"/>
        <v>0</v>
      </c>
      <c r="CY109" s="2767">
        <f t="shared" ca="1" si="272"/>
        <v>-1.122345084686408</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67.440024224551578</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15.866808278098716</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36.166663036434386</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0.43871363697874072</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2:DH148"/>
  <sheetViews>
    <sheetView topLeftCell="I3" workbookViewId="0">
      <selection activeCell="L15" sqref="L15"/>
    </sheetView>
  </sheetViews>
  <sheetFormatPr defaultColWidth="8.81640625" defaultRowHeight="14.5"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2" spans="1:112" ht="22.5">
      <c r="D2" s="512"/>
      <c r="E2" s="513">
        <v>2050</v>
      </c>
      <c r="G2" t="s">
        <v>5</v>
      </c>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30.198388473432065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30.198388473432065</v>
      </c>
      <c r="S9" s="582">
        <f t="shared" ref="S9:AJ13" ca="1" si="2">IFERROR(INDEX(INDIRECT($C9&amp;".Outputs["&amp;this.Year&amp;"]"), MATCH(S$5, INDIRECT($C9&amp;".Outputs[Vector]"), 0)), 0)</f>
        <v>-2.76531347349606</v>
      </c>
      <c r="T9" s="582">
        <f t="shared" ca="1" si="2"/>
        <v>0</v>
      </c>
      <c r="U9" s="582">
        <f t="shared" ca="1" si="2"/>
        <v>0</v>
      </c>
      <c r="V9" s="582">
        <f t="shared" ca="1" si="2"/>
        <v>0</v>
      </c>
      <c r="W9" s="582">
        <f t="shared" ca="1" si="2"/>
        <v>-27.349254133477515</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-8.3820866458489254E-2</v>
      </c>
      <c r="AJ9" s="582">
        <f t="shared" ca="1" si="2"/>
        <v>0</v>
      </c>
      <c r="AK9" s="583">
        <f t="shared" ref="AK9:AK15" ca="1" si="3">SUM(S9:AJ9)</f>
        <v>-30.198388473432065</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0</v>
      </c>
      <c r="BD9" s="584">
        <f t="shared" ca="1" si="5"/>
        <v>0</v>
      </c>
      <c r="BE9" s="584">
        <f t="shared" ca="1" si="5"/>
        <v>0</v>
      </c>
      <c r="BF9" s="585">
        <f t="shared" ref="BF9:BF15" ca="1" si="6">SUM(AM9:BE9)</f>
        <v>0</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0</v>
      </c>
      <c r="BM9" s="586"/>
      <c r="BN9" s="404"/>
      <c r="BO9" s="2758">
        <f t="shared" ref="BO9:BX10" ca="1" si="10">IFERROR(SUMIFS(INDIRECT($C9&amp;".Emissions["&amp;this.Year&amp;"]"), INDIRECT($C9&amp;".Emissions[GHG]"), BO$6, INDIRECT($C9&amp;".Emissions[IPCC Sector]"), BO$5),0)</f>
        <v>5.5989721253104765</v>
      </c>
      <c r="BP9" s="2759">
        <f t="shared" ca="1" si="10"/>
        <v>2.0676036124909003E-3</v>
      </c>
      <c r="BQ9" s="2759">
        <f t="shared" ca="1" si="10"/>
        <v>8.8513126077586629E-2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30.198388473432065</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30.198388473432065</v>
      </c>
      <c r="S11" s="583">
        <f ca="1">SUM(S9:S10)</f>
        <v>-2.76531347349606</v>
      </c>
      <c r="T11" s="583">
        <f t="shared" ref="T11:AJ11" ca="1" si="15">SUM(T9:T10)</f>
        <v>0</v>
      </c>
      <c r="U11" s="583">
        <f t="shared" ca="1" si="15"/>
        <v>0</v>
      </c>
      <c r="V11" s="583">
        <f t="shared" ca="1" si="15"/>
        <v>0</v>
      </c>
      <c r="W11" s="583">
        <f t="shared" ca="1" si="15"/>
        <v>-27.349254133477515</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-8.3820866458489254E-2</v>
      </c>
      <c r="AJ11" s="583">
        <f t="shared" ca="1" si="15"/>
        <v>0</v>
      </c>
      <c r="AK11" s="583">
        <f t="shared" ca="1" si="3"/>
        <v>-30.198388473432065</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0</v>
      </c>
      <c r="BD11" s="599">
        <f ca="1">SUM(BD9:BD10)</f>
        <v>0</v>
      </c>
      <c r="BE11" s="599">
        <f t="shared" ca="1" si="16"/>
        <v>0</v>
      </c>
      <c r="BF11" s="600">
        <f t="shared" ca="1" si="6"/>
        <v>0</v>
      </c>
      <c r="BH11" s="3428">
        <f ca="1">SUM(BH9:BH10)</f>
        <v>0</v>
      </c>
      <c r="BI11" s="3428">
        <f ca="1">SUM(BI9:BI10)</f>
        <v>0</v>
      </c>
      <c r="BJ11" s="3428">
        <f t="shared" ca="1" si="8"/>
        <v>0</v>
      </c>
      <c r="BL11" s="601">
        <f t="shared" ca="1" si="9"/>
        <v>0</v>
      </c>
      <c r="BM11" s="601"/>
      <c r="BN11" s="404"/>
      <c r="BO11" s="2758">
        <f t="shared" ref="BO11:DF11" ca="1" si="17">SUM(BO9:BO10)</f>
        <v>5.5989721253104765</v>
      </c>
      <c r="BP11" s="2759">
        <f t="shared" ca="1" si="17"/>
        <v>2.0676036124909003E-3</v>
      </c>
      <c r="BQ11" s="2759">
        <f t="shared" ca="1" si="17"/>
        <v>8.8513126077586629E-2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17.859494505494506</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17.859494505494506</v>
      </c>
      <c r="S12" s="582">
        <f t="shared" ca="1" si="2"/>
        <v>-4.8045</v>
      </c>
      <c r="T12" s="582">
        <f t="shared" ca="1" si="2"/>
        <v>0</v>
      </c>
      <c r="U12" s="582">
        <f t="shared" ca="1" si="2"/>
        <v>0</v>
      </c>
      <c r="V12" s="582">
        <f t="shared" ca="1" si="2"/>
        <v>0</v>
      </c>
      <c r="W12" s="582">
        <f t="shared" ca="1" si="2"/>
        <v>-12.105494505494505</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-16.909994505494506</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-0.9494999999999999</v>
      </c>
      <c r="BD12" s="584">
        <f t="shared" ca="1" si="19"/>
        <v>0</v>
      </c>
      <c r="BE12" s="584">
        <f t="shared" ca="1" si="19"/>
        <v>0</v>
      </c>
      <c r="BF12" s="585">
        <f t="shared" ca="1" si="6"/>
        <v>-0.9494999999999999</v>
      </c>
      <c r="BH12" s="3439">
        <f t="shared" ca="1" si="7"/>
        <v>0</v>
      </c>
      <c r="BI12" s="3439">
        <f t="shared" ca="1" si="7"/>
        <v>0</v>
      </c>
      <c r="BJ12" s="3428">
        <f t="shared" ca="1" si="8"/>
        <v>0</v>
      </c>
      <c r="BL12" s="586">
        <f t="shared" ca="1" si="9"/>
        <v>5.5511151231257827E-16</v>
      </c>
      <c r="BM12" s="586"/>
      <c r="BN12" s="404"/>
      <c r="BO12" s="2758">
        <f t="shared" ref="BO12:BX13" ca="1" si="20">IFERROR(SUMIFS(INDIRECT($C12&amp;".Emissions["&amp;this.Year&amp;"]"), INDIRECT($C12&amp;".Emissions[GHG]"), BO$6, INDIRECT($C12&amp;".Emissions[IPCC Sector]"), BO$5),0)</f>
        <v>2.4782513617582418</v>
      </c>
      <c r="BP12" s="2759">
        <f t="shared" ca="1" si="20"/>
        <v>9.1517538461538463E-4</v>
      </c>
      <c r="BQ12" s="2759">
        <f t="shared" ca="1" si="20"/>
        <v>3.9178222417582419E-2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17.859494505494506</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17.859494505494506</v>
      </c>
      <c r="S14" s="604">
        <f t="shared" ref="S14:AJ14" ca="1" si="25">SUM(S12:S13)</f>
        <v>-4.8045</v>
      </c>
      <c r="T14" s="604">
        <f t="shared" ca="1" si="25"/>
        <v>0</v>
      </c>
      <c r="U14" s="604">
        <f t="shared" ca="1" si="25"/>
        <v>0</v>
      </c>
      <c r="V14" s="604">
        <f t="shared" ca="1" si="25"/>
        <v>0</v>
      </c>
      <c r="W14" s="604">
        <f t="shared" ca="1" si="25"/>
        <v>-12.105494505494505</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-16.909994505494506</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-0.9494999999999999</v>
      </c>
      <c r="BD14" s="605">
        <f ca="1">SUM(BD12:BD13)</f>
        <v>0</v>
      </c>
      <c r="BE14" s="605">
        <f t="shared" ca="1" si="26"/>
        <v>0</v>
      </c>
      <c r="BF14" s="606">
        <f t="shared" ca="1" si="6"/>
        <v>-0.9494999999999999</v>
      </c>
      <c r="BH14" s="3430">
        <f ca="1">SUM(BH12:BH13)</f>
        <v>0</v>
      </c>
      <c r="BI14" s="3430">
        <f ca="1">SUM(BI12:BI13)</f>
        <v>0</v>
      </c>
      <c r="BJ14" s="3430">
        <f t="shared" ca="1" si="8"/>
        <v>0</v>
      </c>
      <c r="BL14" s="601">
        <f t="shared" ca="1" si="9"/>
        <v>5.5511151231257827E-16</v>
      </c>
      <c r="BM14" s="601"/>
      <c r="BN14" s="404"/>
      <c r="BO14" s="2760">
        <f t="shared" ref="BO14:DF14" ca="1" si="27">SUM(BO12:BO13)</f>
        <v>2.4782513617582418</v>
      </c>
      <c r="BP14" s="2761">
        <f t="shared" ca="1" si="27"/>
        <v>9.1517538461538463E-4</v>
      </c>
      <c r="BQ14" s="2761">
        <f t="shared" ca="1" si="27"/>
        <v>3.9178222417582419E-2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48.057882978926571</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48.057882978926571</v>
      </c>
      <c r="S15" s="572">
        <f t="shared" ref="S15:AJ15" ca="1" si="29">S14+S11</f>
        <v>-7.56981347349606</v>
      </c>
      <c r="T15" s="572">
        <f t="shared" ca="1" si="29"/>
        <v>0</v>
      </c>
      <c r="U15" s="572">
        <f t="shared" ca="1" si="29"/>
        <v>0</v>
      </c>
      <c r="V15" s="572">
        <f t="shared" ca="1" si="29"/>
        <v>0</v>
      </c>
      <c r="W15" s="572">
        <f t="shared" ca="1" si="29"/>
        <v>-39.454748638972021</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-8.3820866458489254E-2</v>
      </c>
      <c r="AJ15" s="572">
        <f t="shared" ca="1" si="29"/>
        <v>0</v>
      </c>
      <c r="AK15" s="572">
        <f t="shared" ca="1" si="3"/>
        <v>-47.108382978926571</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-0.9494999999999999</v>
      </c>
      <c r="BD15" s="573">
        <f ca="1">BD14+BD11</f>
        <v>0</v>
      </c>
      <c r="BE15" s="573">
        <f t="shared" ca="1" si="30"/>
        <v>0</v>
      </c>
      <c r="BF15" s="573">
        <f t="shared" ca="1" si="6"/>
        <v>-0.9494999999999999</v>
      </c>
      <c r="BH15" s="3431">
        <f ca="1">BH14+BH11</f>
        <v>0</v>
      </c>
      <c r="BI15" s="3431">
        <f ca="1">BI14+BI11</f>
        <v>0</v>
      </c>
      <c r="BJ15" s="3431">
        <f t="shared" ca="1" si="8"/>
        <v>0</v>
      </c>
      <c r="BL15" s="3445">
        <f t="shared" ca="1" si="9"/>
        <v>5.5511151231257827E-16</v>
      </c>
      <c r="BM15" s="575"/>
      <c r="BN15" s="404"/>
      <c r="BO15" s="2759">
        <f t="shared" ref="BO15:DF15" ca="1" si="31">BO14+BO11</f>
        <v>8.0772234870687178</v>
      </c>
      <c r="BP15" s="2759">
        <f t="shared" ca="1" si="31"/>
        <v>2.9827789971062849E-3</v>
      </c>
      <c r="BQ15" s="2759">
        <f t="shared" ca="1" si="31"/>
        <v>0.12769134849516905</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8.2078976145609932</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6.6255593298842577</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6.6255593298842577</v>
      </c>
      <c r="S17" s="582">
        <f t="shared" ref="S17:AJ18" ca="1" si="34">IFERROR(INDEX(INDIRECT($C17&amp;".Outputs["&amp;this.Year&amp;"]"), MATCH(S$5, INDIRECT($C17&amp;".Outputs[Vector]"), 0)), 0)</f>
        <v>-6.1340795367240126</v>
      </c>
      <c r="T17" s="582">
        <f t="shared" ca="1" si="34"/>
        <v>0</v>
      </c>
      <c r="U17" s="582">
        <f t="shared" ca="1" si="34"/>
        <v>0</v>
      </c>
      <c r="V17" s="582">
        <f t="shared" ca="1" si="34"/>
        <v>0</v>
      </c>
      <c r="W17" s="582">
        <f t="shared" ca="1" si="34"/>
        <v>-0.49147979316024482</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-6.6255593298842577</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0.10061633303151711</v>
      </c>
      <c r="BP17" s="2759">
        <f t="shared" ca="1" si="37"/>
        <v>3.715587236291451E-5</v>
      </c>
      <c r="BQ17" s="2759">
        <f t="shared" ca="1" si="37"/>
        <v>1.5906252025838163E-3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0.10224411410646385</v>
      </c>
    </row>
    <row r="18" spans="1:112" s="6" customFormat="1">
      <c r="A18" s="598"/>
      <c r="B18" s="598"/>
      <c r="C18" s="578" t="s">
        <v>463</v>
      </c>
      <c r="D18" s="602" t="s">
        <v>464</v>
      </c>
      <c r="E18" s="602"/>
      <c r="G18" s="610">
        <f t="shared" ca="1" si="33"/>
        <v>0</v>
      </c>
      <c r="H18" s="610">
        <f t="shared" ca="1" si="33"/>
        <v>5.5241678973010302</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5.5241678973010302</v>
      </c>
      <c r="S18" s="611">
        <f t="shared" ca="1" si="34"/>
        <v>-5.0288329110605261</v>
      </c>
      <c r="T18" s="611">
        <f t="shared" ca="1" si="34"/>
        <v>0</v>
      </c>
      <c r="U18" s="611">
        <f t="shared" ca="1" si="34"/>
        <v>0</v>
      </c>
      <c r="V18" s="611">
        <f t="shared" ca="1" si="34"/>
        <v>0</v>
      </c>
      <c r="W18" s="611">
        <f t="shared" ca="1" si="34"/>
        <v>-0.49533498624050404</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-5.5241678973010302</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0.10140557278513947</v>
      </c>
      <c r="BP18" s="2761">
        <f t="shared" ca="1" si="37"/>
        <v>3.7447324959782108E-5</v>
      </c>
      <c r="BQ18" s="2761">
        <f t="shared" ca="1" si="37"/>
        <v>1.6031021494687674E-3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0.10304612225956801</v>
      </c>
    </row>
    <row r="19" spans="1:112" s="6" customFormat="1" ht="15.5">
      <c r="A19" s="4"/>
      <c r="B19" s="3"/>
      <c r="C19" s="607" t="s">
        <v>465</v>
      </c>
      <c r="D19" s="608" t="s">
        <v>82</v>
      </c>
      <c r="E19" s="201"/>
      <c r="G19" s="609">
        <f ca="1">G17+G18</f>
        <v>0</v>
      </c>
      <c r="H19" s="609">
        <f t="shared" ref="H19:P19" ca="1" si="41">H17+H18</f>
        <v>12.149727227185288</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12.149727227185288</v>
      </c>
      <c r="S19" s="572">
        <f ca="1">S17+S18</f>
        <v>-11.162912447784539</v>
      </c>
      <c r="T19" s="572">
        <f t="shared" ref="T19:AJ19" ca="1" si="42">T17+T18</f>
        <v>0</v>
      </c>
      <c r="U19" s="572">
        <f t="shared" ca="1" si="42"/>
        <v>0</v>
      </c>
      <c r="V19" s="572">
        <f t="shared" ca="1" si="42"/>
        <v>0</v>
      </c>
      <c r="W19" s="572">
        <f t="shared" ca="1" si="42"/>
        <v>-0.98681477940074891</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-12.149727227185288</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0</v>
      </c>
      <c r="BM19" s="575"/>
      <c r="BN19" s="404"/>
      <c r="BO19" s="2759">
        <f t="shared" ref="BO19:DF19" ca="1" si="44">BO17+BO18</f>
        <v>0.20202190581665658</v>
      </c>
      <c r="BP19" s="2759">
        <f t="shared" ca="1" si="44"/>
        <v>7.4603197322696611E-5</v>
      </c>
      <c r="BQ19" s="2759">
        <f t="shared" ca="1" si="44"/>
        <v>3.1937273520525836E-3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0.20529023636603186</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46.12790249119287</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46.12790249119287</v>
      </c>
      <c r="S21" s="611">
        <f t="shared" ref="S21:AJ21" ca="1" si="46">IFERROR(INDEX(INDIRECT($C21&amp;".Outputs["&amp;this.Year&amp;"]"), MATCH(S$5, INDIRECT($C21&amp;".Outputs[Vector]"), 0)), 0)</f>
        <v>-16.488196003970057</v>
      </c>
      <c r="T21" s="611">
        <f t="shared" ca="1" si="46"/>
        <v>0</v>
      </c>
      <c r="U21" s="611">
        <f t="shared" ca="1" si="46"/>
        <v>-5.5197297709738296</v>
      </c>
      <c r="V21" s="611">
        <f t="shared" ca="1" si="46"/>
        <v>-11.270187796039812</v>
      </c>
      <c r="W21" s="611">
        <f t="shared" ca="1" si="46"/>
        <v>-12.849788920209173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-46.12790249119287</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7.4681857757385455</v>
      </c>
      <c r="BP21" s="2761">
        <f t="shared" ca="1" si="48"/>
        <v>3.8196267339895779E-3</v>
      </c>
      <c r="BQ21" s="2761">
        <f t="shared" ca="1" si="48"/>
        <v>5.2213583821796625E-2</v>
      </c>
      <c r="BR21" s="2761">
        <f t="shared" ca="1" si="48"/>
        <v>0</v>
      </c>
      <c r="BS21" s="2761">
        <f t="shared" ca="1" si="48"/>
        <v>0</v>
      </c>
      <c r="BT21" s="2761">
        <f t="shared" ca="1" si="48"/>
        <v>0</v>
      </c>
      <c r="BU21" s="2761">
        <f t="shared" ca="1" si="48"/>
        <v>0</v>
      </c>
      <c r="BV21" s="2761">
        <f t="shared" ca="1" si="48"/>
        <v>0</v>
      </c>
      <c r="BW21" s="2761">
        <f t="shared" ca="1" si="48"/>
        <v>1.9286379197023151</v>
      </c>
      <c r="BX21" s="2761">
        <f t="shared" ca="1" si="48"/>
        <v>0</v>
      </c>
      <c r="BY21" s="2761">
        <f t="shared" ca="1" si="48"/>
        <v>0</v>
      </c>
      <c r="BZ21" s="2761">
        <f t="shared" ca="1" si="48"/>
        <v>1.0822342627555264</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10.535091168752171</v>
      </c>
    </row>
    <row r="22" spans="1:112" s="6" customFormat="1" ht="15.5">
      <c r="A22" s="4"/>
      <c r="B22" s="3"/>
      <c r="C22" s="607" t="s">
        <v>468</v>
      </c>
      <c r="D22" s="608" t="s">
        <v>359</v>
      </c>
      <c r="E22" s="201"/>
      <c r="G22" s="609">
        <f ca="1">G21</f>
        <v>0</v>
      </c>
      <c r="H22" s="609">
        <f t="shared" ref="H22:P22" ca="1" si="49">H21</f>
        <v>0</v>
      </c>
      <c r="I22" s="609">
        <f t="shared" ca="1" si="49"/>
        <v>46.12790249119287</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46.12790249119287</v>
      </c>
      <c r="S22" s="572">
        <f t="shared" ref="S22:AJ22" ca="1" si="50">S21</f>
        <v>-16.488196003970057</v>
      </c>
      <c r="T22" s="572">
        <f t="shared" ca="1" si="50"/>
        <v>0</v>
      </c>
      <c r="U22" s="572">
        <f t="shared" ca="1" si="50"/>
        <v>-5.5197297709738296</v>
      </c>
      <c r="V22" s="572">
        <f t="shared" ca="1" si="50"/>
        <v>-11.270187796039812</v>
      </c>
      <c r="W22" s="572">
        <f t="shared" ca="1" si="50"/>
        <v>-12.849788920209173</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-46.12790249119287</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7.4681857757385455</v>
      </c>
      <c r="BP22" s="2759">
        <f t="shared" ca="1" si="52"/>
        <v>3.8196267339895779E-3</v>
      </c>
      <c r="BQ22" s="2759">
        <f t="shared" ca="1" si="52"/>
        <v>5.2213583821796625E-2</v>
      </c>
      <c r="BR22" s="2759">
        <f t="shared" ca="1" si="52"/>
        <v>0</v>
      </c>
      <c r="BS22" s="2759">
        <f t="shared" ca="1" si="52"/>
        <v>0</v>
      </c>
      <c r="BT22" s="2759">
        <f t="shared" ca="1" si="52"/>
        <v>0</v>
      </c>
      <c r="BU22" s="2759">
        <f t="shared" ca="1" si="52"/>
        <v>0</v>
      </c>
      <c r="BV22" s="2759">
        <f t="shared" ca="1" si="52"/>
        <v>0</v>
      </c>
      <c r="BW22" s="2759">
        <f t="shared" ca="1" si="52"/>
        <v>1.9286379197023151</v>
      </c>
      <c r="BX22" s="2759">
        <f t="shared" ca="1" si="52"/>
        <v>0</v>
      </c>
      <c r="BY22" s="2759">
        <f t="shared" ca="1" si="52"/>
        <v>0</v>
      </c>
      <c r="BZ22" s="2759">
        <f t="shared" ca="1" si="52"/>
        <v>1.0822342627555264</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10.535091168752171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21.697953571852743</v>
      </c>
      <c r="K24" s="580">
        <f t="shared" ca="1" si="53"/>
        <v>0.41789968327415872</v>
      </c>
      <c r="L24" s="580">
        <f t="shared" ca="1" si="53"/>
        <v>2.5579695995584108E-2</v>
      </c>
      <c r="M24" s="580">
        <f t="shared" ca="1" si="53"/>
        <v>0</v>
      </c>
      <c r="N24" s="580">
        <f t="shared" ca="1" si="53"/>
        <v>0</v>
      </c>
      <c r="O24" s="580">
        <f t="shared" ca="1" si="53"/>
        <v>0</v>
      </c>
      <c r="P24" s="580">
        <f t="shared" ca="1" si="53"/>
        <v>0</v>
      </c>
      <c r="Q24" s="581">
        <f t="shared" ref="Q24:Q32" ca="1" si="54">SUM(G24:P24)</f>
        <v>22.141432951122486</v>
      </c>
      <c r="S24" s="582">
        <f t="shared" ref="S24:AJ30" ca="1" si="55">IFERROR(INDEX(INDIRECT($C24&amp;".Outputs["&amp;this.Year&amp;"]"), MATCH(S$5, INDIRECT($C24&amp;".Outputs[Vector]"), 0)), 0)</f>
        <v>-1.6704305219751758</v>
      </c>
      <c r="T24" s="582">
        <f t="shared" ca="1" si="55"/>
        <v>0</v>
      </c>
      <c r="U24" s="582">
        <f t="shared" ca="1" si="55"/>
        <v>0</v>
      </c>
      <c r="V24" s="582">
        <f t="shared" ca="1" si="55"/>
        <v>-20.471002429147308</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-22.141432951122486</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5.4018881210033909</v>
      </c>
      <c r="BP24" s="2759">
        <f t="shared" ca="1" si="62"/>
        <v>4.64282335093061E-3</v>
      </c>
      <c r="BQ24" s="2759">
        <f t="shared" ca="1" si="62"/>
        <v>1.3707383226557037E-2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5.4202383275808792</v>
      </c>
    </row>
    <row r="25" spans="1:112" s="6" customFormat="1">
      <c r="A25" s="598"/>
      <c r="B25" s="598"/>
      <c r="C25" s="578" t="s">
        <v>471</v>
      </c>
      <c r="D25" s="614" t="s">
        <v>472</v>
      </c>
      <c r="E25" s="590"/>
      <c r="G25" s="580">
        <f t="shared" ca="1" si="53"/>
        <v>0</v>
      </c>
      <c r="H25" s="580">
        <f t="shared" ca="1" si="53"/>
        <v>0</v>
      </c>
      <c r="I25" s="580">
        <f t="shared" ca="1" si="53"/>
        <v>0</v>
      </c>
      <c r="J25" s="580">
        <f t="shared" ca="1" si="53"/>
        <v>26.421924357985812</v>
      </c>
      <c r="K25" s="580">
        <f t="shared" ca="1" si="53"/>
        <v>6.5604604747594641E-3</v>
      </c>
      <c r="L25" s="580">
        <f t="shared" ca="1" si="53"/>
        <v>0</v>
      </c>
      <c r="M25" s="580">
        <f t="shared" ca="1" si="53"/>
        <v>0.66</v>
      </c>
      <c r="N25" s="580">
        <f t="shared" ca="1" si="53"/>
        <v>0</v>
      </c>
      <c r="O25" s="580">
        <f t="shared" ca="1" si="53"/>
        <v>0</v>
      </c>
      <c r="P25" s="580">
        <f t="shared" ca="1" si="53"/>
        <v>0</v>
      </c>
      <c r="Q25" s="581">
        <f t="shared" ca="1" si="54"/>
        <v>27.088484818460572</v>
      </c>
      <c r="S25" s="582">
        <f t="shared" ca="1" si="55"/>
        <v>-0.56641186602000015</v>
      </c>
      <c r="T25" s="582">
        <f t="shared" ca="1" si="55"/>
        <v>0</v>
      </c>
      <c r="U25" s="582">
        <f t="shared" ca="1" si="55"/>
        <v>0</v>
      </c>
      <c r="V25" s="582">
        <f t="shared" ca="1" si="55"/>
        <v>-26.522072952440571</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-27.088484818460572</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5.2136425892247686</v>
      </c>
      <c r="BP25" s="2759">
        <f t="shared" ca="1" si="62"/>
        <v>4.481029783371903E-3</v>
      </c>
      <c r="BQ25" s="2759">
        <f t="shared" ca="1" si="62"/>
        <v>1.3229706979478952E-2</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5.2313533259876195</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11.923331449069897</v>
      </c>
      <c r="O26" s="580">
        <f t="shared" ca="1" si="53"/>
        <v>0</v>
      </c>
      <c r="P26" s="580">
        <f t="shared" ca="1" si="53"/>
        <v>0</v>
      </c>
      <c r="Q26" s="581">
        <f t="shared" ca="1" si="54"/>
        <v>11.923331449069897</v>
      </c>
      <c r="S26" s="582">
        <f t="shared" ca="1" si="55"/>
        <v>0</v>
      </c>
      <c r="T26" s="582">
        <f t="shared" ca="1" si="55"/>
        <v>0</v>
      </c>
      <c r="U26" s="582">
        <f t="shared" ca="1" si="55"/>
        <v>0</v>
      </c>
      <c r="V26" s="582">
        <f t="shared" ca="1" si="55"/>
        <v>-11.923331449069897</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-11.923331449069897</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3.146328702780564</v>
      </c>
      <c r="CV26" s="2759">
        <f t="shared" ca="1" si="65"/>
        <v>2.7042115726490529E-3</v>
      </c>
      <c r="CW26" s="2759">
        <f t="shared" ca="1" si="65"/>
        <v>7.9838627382972024E-3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3.1570167770915103</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11.923331449069897</v>
      </c>
      <c r="O28" s="581">
        <f ca="1">SUM(O26:O27)</f>
        <v>0</v>
      </c>
      <c r="P28" s="581">
        <f t="shared" ca="1" si="66"/>
        <v>0</v>
      </c>
      <c r="Q28" s="581">
        <f t="shared" ca="1" si="54"/>
        <v>11.923331449069897</v>
      </c>
      <c r="S28" s="583">
        <f t="shared" ref="S28:AJ28" ca="1" si="67">SUM(S26:S27)</f>
        <v>0</v>
      </c>
      <c r="T28" s="583">
        <f t="shared" ca="1" si="67"/>
        <v>0</v>
      </c>
      <c r="U28" s="583">
        <f t="shared" ca="1" si="67"/>
        <v>0</v>
      </c>
      <c r="V28" s="583">
        <f t="shared" ca="1" si="67"/>
        <v>-11.923331449069897</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-11.923331449069897</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3.146328702780564</v>
      </c>
      <c r="CV28" s="2759">
        <f t="shared" ca="1" si="69"/>
        <v>2.7042115726490529E-3</v>
      </c>
      <c r="CW28" s="2759">
        <f t="shared" ca="1" si="69"/>
        <v>7.9838627382972024E-3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3.1570167770915103</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48.119877929838552</v>
      </c>
      <c r="K32" s="609">
        <f t="shared" ca="1" si="81"/>
        <v>0.42446014374891816</v>
      </c>
      <c r="L32" s="609">
        <f t="shared" ca="1" si="81"/>
        <v>2.5579695995584108E-2</v>
      </c>
      <c r="M32" s="609">
        <f t="shared" ca="1" si="81"/>
        <v>0.66</v>
      </c>
      <c r="N32" s="609">
        <f t="shared" ca="1" si="81"/>
        <v>11.923331449069897</v>
      </c>
      <c r="O32" s="609">
        <f t="shared" ca="1" si="81"/>
        <v>0</v>
      </c>
      <c r="P32" s="609">
        <f t="shared" ca="1" si="81"/>
        <v>0</v>
      </c>
      <c r="Q32" s="609">
        <f t="shared" ca="1" si="54"/>
        <v>61.153249218652945</v>
      </c>
      <c r="S32" s="572">
        <f t="shared" ref="S32:AJ32" ca="1" si="82">S24+S25+S28+S31</f>
        <v>-2.2368423879951758</v>
      </c>
      <c r="T32" s="572">
        <f t="shared" ca="1" si="82"/>
        <v>0</v>
      </c>
      <c r="U32" s="572">
        <f t="shared" ca="1" si="82"/>
        <v>0</v>
      </c>
      <c r="V32" s="572">
        <f t="shared" ca="1" si="82"/>
        <v>-58.916406830657778</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-61.153249218652952</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-7.1054273576010019E-15</v>
      </c>
      <c r="BM32" s="575"/>
      <c r="BN32" s="404"/>
      <c r="BO32" s="2759">
        <f t="shared" ref="BO32:DF32" ca="1" si="84">BO24+BO25+BO28+BO31</f>
        <v>10.61553071022816</v>
      </c>
      <c r="BP32" s="2759">
        <f t="shared" ca="1" si="84"/>
        <v>9.123853134302513E-3</v>
      </c>
      <c r="BQ32" s="2759">
        <f t="shared" ca="1" si="84"/>
        <v>2.6937090206035991E-2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3.146328702780564</v>
      </c>
      <c r="CV32" s="2759">
        <f t="shared" ca="1" si="84"/>
        <v>2.7042115726490529E-3</v>
      </c>
      <c r="CW32" s="2759">
        <f t="shared" ca="1" si="84"/>
        <v>7.9838627382972024E-3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13.80860843066001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48.057882978926571</v>
      </c>
      <c r="H40" s="624">
        <f t="shared" ca="1" si="101"/>
        <v>12.149727227185288</v>
      </c>
      <c r="I40" s="624">
        <f t="shared" ca="1" si="101"/>
        <v>46.12790249119287</v>
      </c>
      <c r="J40" s="624">
        <f t="shared" ca="1" si="101"/>
        <v>48.119877929838552</v>
      </c>
      <c r="K40" s="624">
        <f t="shared" ca="1" si="101"/>
        <v>0.42446014374891816</v>
      </c>
      <c r="L40" s="624">
        <f t="shared" ca="1" si="101"/>
        <v>2.5579695995584108E-2</v>
      </c>
      <c r="M40" s="624">
        <f t="shared" ca="1" si="101"/>
        <v>0.66</v>
      </c>
      <c r="N40" s="624">
        <f t="shared" ca="1" si="101"/>
        <v>11.923331449069897</v>
      </c>
      <c r="O40" s="624">
        <f t="shared" ca="1" si="101"/>
        <v>0</v>
      </c>
      <c r="P40" s="624">
        <f t="shared" ca="1" si="101"/>
        <v>0</v>
      </c>
      <c r="Q40" s="624">
        <f t="shared" ca="1" si="101"/>
        <v>167.48876191595767</v>
      </c>
      <c r="S40" s="625">
        <f t="shared" ref="S40:AJ40" ca="1" si="102">S$15+S$19+S$22+S$32+S$35+S$38</f>
        <v>-37.457764313245825</v>
      </c>
      <c r="T40" s="625">
        <f t="shared" ca="1" si="102"/>
        <v>0</v>
      </c>
      <c r="U40" s="625">
        <f t="shared" ca="1" si="102"/>
        <v>-5.5197297709738296</v>
      </c>
      <c r="V40" s="625">
        <f t="shared" ca="1" si="102"/>
        <v>-70.186594626697584</v>
      </c>
      <c r="W40" s="625">
        <f t="shared" ca="1" si="102"/>
        <v>-53.291352338581937</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-8.3820866458489254E-2</v>
      </c>
      <c r="AJ40" s="625">
        <f t="shared" ca="1" si="102"/>
        <v>0</v>
      </c>
      <c r="AK40" s="625">
        <f ca="1">SUM(S40:AJ40)</f>
        <v>-166.53926191595767</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-0.9494999999999999</v>
      </c>
      <c r="BD40" s="626">
        <f t="shared" ca="1" si="103"/>
        <v>0</v>
      </c>
      <c r="BE40" s="626">
        <f t="shared" ca="1" si="103"/>
        <v>0</v>
      </c>
      <c r="BF40" s="626">
        <f ca="1">SUM(AM40:BE40)</f>
        <v>-0.9494999999999999</v>
      </c>
      <c r="BH40" s="3432">
        <f ca="1">BH$15+BH$19+BH$22+BH$32+BH$35+BH$38</f>
        <v>0</v>
      </c>
      <c r="BI40" s="3432">
        <f ca="1">BI$15+BI$19+BI$22+BI$32+BI$35+BI$38</f>
        <v>0</v>
      </c>
      <c r="BJ40" s="3432">
        <f ca="1">SUM(BH40:BI40)</f>
        <v>0</v>
      </c>
      <c r="BL40" s="3446">
        <f t="shared" ca="1" si="9"/>
        <v>5.5511151231257827E-16</v>
      </c>
      <c r="BM40" s="627"/>
      <c r="BO40" s="2762">
        <f t="shared" ref="BO40:DF40" ca="1" si="104">BO$15+BO$19+BO$22+BO$32+BO$35+BO$38</f>
        <v>26.362961878852083</v>
      </c>
      <c r="BP40" s="2762">
        <f t="shared" ca="1" si="104"/>
        <v>1.6000862062721073E-2</v>
      </c>
      <c r="BQ40" s="2762">
        <f t="shared" ca="1" si="104"/>
        <v>0.21003574987505427</v>
      </c>
      <c r="BR40" s="2762">
        <f t="shared" ca="1" si="104"/>
        <v>0</v>
      </c>
      <c r="BS40" s="2762">
        <f t="shared" ca="1" si="104"/>
        <v>0</v>
      </c>
      <c r="BT40" s="2762">
        <f t="shared" ca="1" si="104"/>
        <v>0</v>
      </c>
      <c r="BU40" s="2762">
        <f t="shared" ca="1" si="104"/>
        <v>0</v>
      </c>
      <c r="BV40" s="2762">
        <f t="shared" ca="1" si="104"/>
        <v>0</v>
      </c>
      <c r="BW40" s="2762">
        <f t="shared" ca="1" si="104"/>
        <v>1.9286379197023151</v>
      </c>
      <c r="BX40" s="2762">
        <f t="shared" ca="1" si="104"/>
        <v>0</v>
      </c>
      <c r="BY40" s="2762">
        <f t="shared" ca="1" si="104"/>
        <v>0</v>
      </c>
      <c r="BZ40" s="2762">
        <f t="shared" ca="1" si="104"/>
        <v>1.0822342627555264</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3.146328702780564</v>
      </c>
      <c r="CV40" s="2762">
        <f t="shared" ca="1" si="104"/>
        <v>2.7042115726490529E-3</v>
      </c>
      <c r="CW40" s="2762">
        <f t="shared" ca="1" si="104"/>
        <v>7.9838627382972024E-3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32.756887450339214</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0.24387437185929645</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0.50324978226921668</v>
      </c>
      <c r="AG49" s="582">
        <f t="shared" ca="1" si="115"/>
        <v>0.10050562121719711</v>
      </c>
      <c r="AH49" s="582">
        <f t="shared" ca="1" si="115"/>
        <v>8.6007227042966941E-2</v>
      </c>
      <c r="AI49" s="582">
        <f t="shared" ca="1" si="115"/>
        <v>0</v>
      </c>
      <c r="AJ49" s="582">
        <f t="shared" ca="1" si="115"/>
        <v>0</v>
      </c>
      <c r="AK49" s="583">
        <f ca="1">SUM(S49:AJ49)</f>
        <v>0.9336370023886772</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-0.9336370023886772</v>
      </c>
      <c r="BF49" s="600">
        <f ca="1">SUM(AM49:BE49)</f>
        <v>-0.9336370023886772</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0.5067953537411175</v>
      </c>
      <c r="CO49" s="2759">
        <f t="shared" ca="1" si="121"/>
        <v>6.3714299999999988E-2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0.57050965374111751</v>
      </c>
    </row>
    <row r="50" spans="1:112" s="6" customFormat="1">
      <c r="A50" s="598"/>
      <c r="B50" s="598"/>
      <c r="C50" s="578" t="s">
        <v>501</v>
      </c>
      <c r="D50" s="602" t="s">
        <v>502</v>
      </c>
      <c r="E50" s="602"/>
      <c r="G50" s="610">
        <f t="shared" ca="1" si="114"/>
        <v>0</v>
      </c>
      <c r="H50" s="610">
        <f t="shared" ca="1" si="114"/>
        <v>0</v>
      </c>
      <c r="I50" s="610">
        <f t="shared" ca="1" si="114"/>
        <v>3.3265731189982697</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3.3265731189982697</v>
      </c>
      <c r="S50" s="611">
        <f t="shared" ca="1" si="115"/>
        <v>-0.69858035498963655</v>
      </c>
      <c r="T50" s="611">
        <f t="shared" ca="1" si="115"/>
        <v>0</v>
      </c>
      <c r="U50" s="611">
        <f t="shared" ca="1" si="115"/>
        <v>0</v>
      </c>
      <c r="V50" s="611">
        <f t="shared" ca="1" si="115"/>
        <v>-2.6279927640086331</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0.18599671558951725</v>
      </c>
      <c r="AE50" s="611">
        <f t="shared" ca="1" si="115"/>
        <v>0.24672745063928636</v>
      </c>
      <c r="AF50" s="611">
        <f t="shared" ca="1" si="115"/>
        <v>2.2444204999999999</v>
      </c>
      <c r="AG50" s="611">
        <f t="shared" ca="1" si="115"/>
        <v>0.89728670788832465</v>
      </c>
      <c r="AH50" s="611">
        <f t="shared" ca="1" si="115"/>
        <v>0</v>
      </c>
      <c r="AI50" s="611">
        <f t="shared" ca="1" si="115"/>
        <v>0</v>
      </c>
      <c r="AJ50" s="611">
        <f t="shared" ca="1" si="115"/>
        <v>0</v>
      </c>
      <c r="AK50" s="604">
        <f ca="1">SUM(S50:AJ50)</f>
        <v>0.24785825511885839</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-0.43272416622880361</v>
      </c>
      <c r="BE50" s="612">
        <f t="shared" ca="1" si="117"/>
        <v>-3.1417072078883246</v>
      </c>
      <c r="BF50" s="606">
        <f ca="1">SUM(AM50:BE50)</f>
        <v>-3.5744313741171281</v>
      </c>
      <c r="BH50" s="3441">
        <f t="shared" ca="1" si="118"/>
        <v>0</v>
      </c>
      <c r="BI50" s="3441">
        <f t="shared" ca="1" si="118"/>
        <v>0</v>
      </c>
      <c r="BJ50" s="3430">
        <f ca="1">SUM(BH50:BI50)</f>
        <v>0</v>
      </c>
      <c r="BL50" s="601">
        <f ca="1">Q50+AK50+BF50+BJ50</f>
        <v>0</v>
      </c>
      <c r="BM50" s="601"/>
      <c r="BN50" s="404"/>
      <c r="BO50" s="2760">
        <f t="shared" ca="1" si="119"/>
        <v>0.69347473056659792</v>
      </c>
      <c r="BP50" s="2761">
        <f t="shared" ca="1" si="119"/>
        <v>5.9602875887715802E-4</v>
      </c>
      <c r="BQ50" s="2761">
        <f t="shared" ca="1" si="119"/>
        <v>1.7597039547801807E-3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10.810586337355634</v>
      </c>
      <c r="CG50" s="2761">
        <f t="shared" ca="1" si="120"/>
        <v>5.6603978384106233</v>
      </c>
      <c r="CH50" s="2761">
        <f t="shared" ca="1" si="120"/>
        <v>0</v>
      </c>
      <c r="CI50" s="2761">
        <f t="shared" ca="1" si="121"/>
        <v>2.527508265768164</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19.694322904814676</v>
      </c>
    </row>
    <row r="51" spans="1:112" s="6" customFormat="1" ht="15.5">
      <c r="A51" s="4"/>
      <c r="B51" s="3"/>
      <c r="C51" s="607" t="s">
        <v>503</v>
      </c>
      <c r="D51" s="608" t="s">
        <v>504</v>
      </c>
      <c r="E51" s="201"/>
      <c r="G51" s="609">
        <f ca="1">SUM(G48:G50)</f>
        <v>0</v>
      </c>
      <c r="H51" s="609">
        <f t="shared" ref="H51:P51" ca="1" si="123">SUM(H48:H50)</f>
        <v>0</v>
      </c>
      <c r="I51" s="609">
        <f t="shared" ca="1" si="123"/>
        <v>3.3265731189982697</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3.3265731189982697</v>
      </c>
      <c r="S51" s="572">
        <f t="shared" ref="S51:AJ51" ca="1" si="124">SUM(S48:S50)</f>
        <v>-0.69858035498963655</v>
      </c>
      <c r="T51" s="572">
        <f t="shared" ca="1" si="124"/>
        <v>0</v>
      </c>
      <c r="U51" s="572">
        <f t="shared" ca="1" si="124"/>
        <v>0</v>
      </c>
      <c r="V51" s="572">
        <f t="shared" ca="1" si="124"/>
        <v>-2.6279927640086331</v>
      </c>
      <c r="W51" s="572">
        <f t="shared" ca="1" si="124"/>
        <v>0</v>
      </c>
      <c r="X51" s="572">
        <f t="shared" ca="1" si="124"/>
        <v>0.24387437185929645</v>
      </c>
      <c r="Y51" s="572">
        <f t="shared" ca="1" si="124"/>
        <v>0</v>
      </c>
      <c r="Z51" s="572">
        <f t="shared" ca="1" si="124"/>
        <v>0</v>
      </c>
      <c r="AA51" s="572">
        <f t="shared" ca="1" si="124"/>
        <v>0</v>
      </c>
      <c r="AB51" s="572">
        <f t="shared" ca="1" si="124"/>
        <v>0</v>
      </c>
      <c r="AC51" s="572">
        <f t="shared" ca="1" si="124"/>
        <v>0</v>
      </c>
      <c r="AD51" s="572">
        <f t="shared" ca="1" si="124"/>
        <v>0.18599671558951725</v>
      </c>
      <c r="AE51" s="572">
        <f ca="1">SUM(AE48:AE50)</f>
        <v>0.24672745063928636</v>
      </c>
      <c r="AF51" s="572">
        <f t="shared" ca="1" si="124"/>
        <v>2.7476702822692167</v>
      </c>
      <c r="AG51" s="572">
        <f t="shared" ca="1" si="124"/>
        <v>0.99779232910552174</v>
      </c>
      <c r="AH51" s="572">
        <f ca="1">SUM(AH48:AH50)</f>
        <v>8.6007227042966941E-2</v>
      </c>
      <c r="AI51" s="572">
        <f t="shared" ca="1" si="124"/>
        <v>0</v>
      </c>
      <c r="AJ51" s="572">
        <f t="shared" ca="1" si="124"/>
        <v>0</v>
      </c>
      <c r="AK51" s="572">
        <f ca="1">SUM(S51:AJ51)</f>
        <v>1.1814952575075359</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-0.43272416622880361</v>
      </c>
      <c r="BE51" s="573">
        <f t="shared" ca="1" si="125"/>
        <v>-4.0753442102770014</v>
      </c>
      <c r="BF51" s="573">
        <f ca="1">SUM(AM51:BE51)</f>
        <v>-4.5080683765058049</v>
      </c>
      <c r="BH51" s="3431">
        <f ca="1">SUM(BH48:BH50)</f>
        <v>0</v>
      </c>
      <c r="BI51" s="3431">
        <f ca="1">SUM(BI48:BI50)</f>
        <v>0</v>
      </c>
      <c r="BJ51" s="3431">
        <f ca="1">SUM(BH51:BI51)</f>
        <v>0</v>
      </c>
      <c r="BL51" s="3445">
        <f ca="1">Q51+AK51+BF51+BJ51</f>
        <v>8.8817841970012523E-16</v>
      </c>
      <c r="BM51" s="575"/>
      <c r="BN51" s="404"/>
      <c r="BO51" s="2759">
        <f t="shared" ref="BO51:DF51" ca="1" si="126">SUM(BO48:BO50)</f>
        <v>0.69347473056659792</v>
      </c>
      <c r="BP51" s="2759">
        <f t="shared" ca="1" si="126"/>
        <v>5.9602875887715802E-4</v>
      </c>
      <c r="BQ51" s="2759">
        <f t="shared" ca="1" si="126"/>
        <v>1.7597039547801807E-3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10.810586337355634</v>
      </c>
      <c r="CG51" s="2759">
        <f t="shared" ca="1" si="126"/>
        <v>5.6603978384106233</v>
      </c>
      <c r="CH51" s="2759">
        <f t="shared" ca="1" si="126"/>
        <v>0</v>
      </c>
      <c r="CI51" s="2759">
        <f t="shared" ca="1" si="126"/>
        <v>2.527508265768164</v>
      </c>
      <c r="CJ51" s="2759">
        <f t="shared" ca="1" si="126"/>
        <v>0</v>
      </c>
      <c r="CK51" s="2759">
        <f t="shared" ca="1" si="126"/>
        <v>0</v>
      </c>
      <c r="CL51" s="2759">
        <f t="shared" ca="1" si="126"/>
        <v>0</v>
      </c>
      <c r="CM51" s="2759">
        <f t="shared" ca="1" si="126"/>
        <v>0</v>
      </c>
      <c r="CN51" s="2759">
        <f t="shared" ca="1" si="126"/>
        <v>0.5067953537411175</v>
      </c>
      <c r="CO51" s="2759">
        <f t="shared" ca="1" si="126"/>
        <v>6.3714299999999988E-2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20.264832558555796</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v>
      </c>
      <c r="S54" s="611">
        <f t="shared" ca="1" si="128"/>
        <v>0</v>
      </c>
      <c r="T54" s="611">
        <f t="shared" ca="1" si="128"/>
        <v>0</v>
      </c>
      <c r="U54" s="611">
        <f t="shared" ca="1" si="128"/>
        <v>0</v>
      </c>
      <c r="V54" s="611">
        <f t="shared" ca="1" si="128"/>
        <v>0</v>
      </c>
      <c r="W54" s="611">
        <f t="shared" ca="1" si="128"/>
        <v>0</v>
      </c>
      <c r="X54" s="611">
        <f t="shared" ca="1" si="128"/>
        <v>0</v>
      </c>
      <c r="Y54" s="611">
        <f t="shared" ca="1" si="128"/>
        <v>0</v>
      </c>
      <c r="Z54" s="611">
        <f t="shared" ca="1" si="128"/>
        <v>0</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0</v>
      </c>
      <c r="AM54" s="612">
        <f t="shared" ca="1" si="129"/>
        <v>0</v>
      </c>
      <c r="AN54" s="612">
        <f t="shared" ca="1" si="129"/>
        <v>0</v>
      </c>
      <c r="AO54" s="612">
        <f t="shared" ca="1" si="129"/>
        <v>0</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v>
      </c>
      <c r="BP54" s="2761">
        <f t="shared" ca="1" si="131"/>
        <v>0</v>
      </c>
      <c r="BQ54" s="2761">
        <f t="shared" ca="1" si="131"/>
        <v>0</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v>
      </c>
    </row>
    <row r="55" spans="1:112" s="6" customFormat="1" ht="15.5">
      <c r="A55" s="643"/>
      <c r="B55" s="644"/>
      <c r="C55" s="607" t="s">
        <v>509</v>
      </c>
      <c r="D55" s="608" t="s">
        <v>510</v>
      </c>
      <c r="E55" s="201"/>
      <c r="G55" s="609">
        <f ca="1">SUM(G53:G54)</f>
        <v>0</v>
      </c>
      <c r="H55" s="609">
        <f t="shared" ref="H55:P55" ca="1" si="135">SUM(H53:H54)</f>
        <v>0</v>
      </c>
      <c r="I55" s="609">
        <f t="shared" ca="1" si="135"/>
        <v>0</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v>
      </c>
      <c r="S55" s="572">
        <f t="shared" ref="S55:AJ55" ca="1" si="136">SUM(S53:S54)</f>
        <v>-0.22598810482362028</v>
      </c>
      <c r="T55" s="572">
        <f t="shared" ca="1" si="136"/>
        <v>0</v>
      </c>
      <c r="U55" s="572">
        <f t="shared" ca="1" si="136"/>
        <v>0</v>
      </c>
      <c r="V55" s="572">
        <f t="shared" ca="1" si="136"/>
        <v>-1.8522858135888711</v>
      </c>
      <c r="W55" s="572">
        <f t="shared" ca="1" si="136"/>
        <v>-8.2401953248703863E-2</v>
      </c>
      <c r="X55" s="572">
        <f ca="1">SUM(X53:X54)</f>
        <v>0</v>
      </c>
      <c r="Y55" s="572">
        <f ca="1">SUM(Y53:Y54)</f>
        <v>0</v>
      </c>
      <c r="Z55" s="572">
        <f ca="1">SUM(Z53:Z54)</f>
        <v>0</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-2.1872138713856146</v>
      </c>
      <c r="AM55" s="573">
        <f t="shared" ref="AM55:BE55" ca="1" si="137">SUM(AM53:AM54)</f>
        <v>0</v>
      </c>
      <c r="AN55" s="573">
        <f t="shared" ca="1" si="137"/>
        <v>0</v>
      </c>
      <c r="AO55" s="573">
        <f t="shared" ca="1" si="137"/>
        <v>0</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0</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0.50565060724124977</v>
      </c>
      <c r="BP55" s="2759">
        <f t="shared" ca="1" si="139"/>
        <v>4.2632801018755801E-4</v>
      </c>
      <c r="BQ55" s="2759">
        <f t="shared" ca="1" si="139"/>
        <v>1.5069762622732133E-3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0.50758391151371063</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3.8789549999999742E-2</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3.8789549999999742E-2</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-3.8789549999999742E-2</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-3.8789549999999742E-2</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0</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0</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0</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0</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v>
      </c>
      <c r="BC59" s="584">
        <f t="shared" ca="1" si="145"/>
        <v>0</v>
      </c>
      <c r="BD59" s="584">
        <f t="shared" ca="1" si="145"/>
        <v>0</v>
      </c>
      <c r="BE59" s="584">
        <f t="shared" ca="1" si="145"/>
        <v>0</v>
      </c>
      <c r="BF59" s="600">
        <f t="shared" ca="1" si="146"/>
        <v>0</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0</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0</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0</v>
      </c>
      <c r="BA60" s="584">
        <f t="shared" ca="1" si="144"/>
        <v>0</v>
      </c>
      <c r="BB60" s="584">
        <f t="shared" ca="1" si="144"/>
        <v>0</v>
      </c>
      <c r="BC60" s="584">
        <f t="shared" ca="1" si="145"/>
        <v>0</v>
      </c>
      <c r="BD60" s="584">
        <f t="shared" ca="1" si="145"/>
        <v>0</v>
      </c>
      <c r="BE60" s="584">
        <f t="shared" ca="1" si="145"/>
        <v>0</v>
      </c>
      <c r="BF60" s="600">
        <f t="shared" ca="1" si="146"/>
        <v>0</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3.8789549999999742E-2</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3.8789549999999742E-2</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-3.8789549999999742E-2</v>
      </c>
      <c r="AY63" s="573">
        <f t="shared" ca="1" si="155"/>
        <v>0</v>
      </c>
      <c r="AZ63" s="573">
        <f t="shared" ca="1" si="155"/>
        <v>0</v>
      </c>
      <c r="BA63" s="573">
        <f t="shared" ca="1" si="155"/>
        <v>0</v>
      </c>
      <c r="BB63" s="573">
        <f t="shared" ca="1" si="155"/>
        <v>0</v>
      </c>
      <c r="BC63" s="573">
        <f t="shared" ca="1" si="155"/>
        <v>0</v>
      </c>
      <c r="BD63" s="573">
        <f t="shared" ca="1" si="155"/>
        <v>0</v>
      </c>
      <c r="BE63" s="573">
        <f t="shared" ca="1" si="155"/>
        <v>0</v>
      </c>
      <c r="BF63" s="573">
        <f t="shared" ca="1" si="146"/>
        <v>-3.8789549999999742E-2</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5.9872047470349464E-3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5.9872047470349464E-3</v>
      </c>
      <c r="S66" s="651">
        <f t="shared" ca="1" si="158"/>
        <v>-5.9872047470349464E-3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8.3820866458489254E-2</v>
      </c>
      <c r="AJ66" s="651">
        <f t="shared" ca="1" si="158"/>
        <v>0</v>
      </c>
      <c r="AK66" s="652">
        <f ca="1">SUM(S66:AJ66)</f>
        <v>7.7833661711454311E-2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-8.3820866458489254E-2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-8.3820866458489254E-2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5.9872047470349464E-3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5.9872047470349464E-3</v>
      </c>
      <c r="S68" s="572">
        <f t="shared" ref="S68:AJ68" ca="1" si="165">SUM(S65:S67)</f>
        <v>-5.9872047470349464E-3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8.3820866458489254E-2</v>
      </c>
      <c r="AJ68" s="572">
        <f t="shared" ca="1" si="165"/>
        <v>0</v>
      </c>
      <c r="AK68" s="572">
        <f ca="1">SUM(S68:AJ68)</f>
        <v>7.7833661711454311E-2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-8.3820866458489254E-2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-8.3820866458489254E-2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-38.38831997780612</v>
      </c>
      <c r="T74" s="662">
        <f ca="1">T$40+T$46+T$51+T$99+T$55+T$93+T$63+T$68+T$72</f>
        <v>-5.4478268372352225</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-38.38831997780612</v>
      </c>
      <c r="T78" s="662">
        <f ca="1">T$74+T$76</f>
        <v>-5.4478268372352225</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-38.38831997780612</v>
      </c>
      <c r="T80" s="636">
        <f ca="1">T78+T79</f>
        <v>-5.4478268372352225</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43.836146815041346</v>
      </c>
      <c r="U81" s="611">
        <f t="shared" ca="1" si="190"/>
        <v>0</v>
      </c>
      <c r="V81" s="611">
        <f t="shared" ca="1" si="190"/>
        <v>0</v>
      </c>
      <c r="W81" s="611">
        <f t="shared" ca="1" si="190"/>
        <v>-81.296126820622135</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-37.459980005580789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36.583257069279959</v>
      </c>
      <c r="BI81" s="3441">
        <f ca="1">IFERROR(INDEX(INDIRECT($C81&amp;".Outputs["&amp;this.Year&amp;"]"), MATCH(BI$5, INDIRECT($C81&amp;".Outputs[Vector]"), 0)), 0)</f>
        <v>0.87672293630082698</v>
      </c>
      <c r="BJ81" s="3430">
        <f ca="1">SUM(BH81:BI81)</f>
        <v>37.459980005580789</v>
      </c>
      <c r="BK81" s="6"/>
      <c r="BL81" s="601">
        <f t="shared" ca="1" si="176"/>
        <v>0</v>
      </c>
      <c r="BM81" s="601"/>
      <c r="BN81" s="404"/>
      <c r="BO81" s="2760">
        <f t="shared" ref="BO81:DF81" ca="1" si="192">IFERROR(SUMIFS(INDIRECT($C81&amp;".Emissions["&amp;this.Year&amp;"]"), INDIRECT($C81&amp;".Emissions[GHG]"), BO$6, INDIRECT($C81&amp;".Emissions[IPCC Sector]"), BO$5),0)</f>
        <v>16.643040638069948</v>
      </c>
      <c r="BP81" s="2761">
        <f t="shared" ca="1" si="192"/>
        <v>6.145987187639034E-3</v>
      </c>
      <c r="BQ81" s="2761">
        <f t="shared" ca="1" si="192"/>
        <v>0.26310678484226147</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16.912293410099849</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43.836146815041346</v>
      </c>
      <c r="U82" s="572">
        <f t="shared" ca="1" si="194"/>
        <v>0</v>
      </c>
      <c r="V82" s="572">
        <f t="shared" ca="1" si="194"/>
        <v>0</v>
      </c>
      <c r="W82" s="572">
        <f t="shared" ca="1" si="194"/>
        <v>-81.296126820622135</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-37.459980005580789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36.583257069279959</v>
      </c>
      <c r="BI82" s="3431">
        <f ca="1">BI79+BI81</f>
        <v>0.87672293630082698</v>
      </c>
      <c r="BJ82" s="3431">
        <f ca="1">SUM(BH82:BI82)</f>
        <v>37.459980005580789</v>
      </c>
      <c r="BL82" s="3445">
        <f t="shared" ca="1" si="176"/>
        <v>0</v>
      </c>
      <c r="BM82" s="575"/>
      <c r="BN82" s="404"/>
      <c r="BO82" s="2759">
        <f t="shared" ref="BO82:DF82" ca="1" si="196">BO79+BO81</f>
        <v>16.643040638069948</v>
      </c>
      <c r="BP82" s="2759">
        <f t="shared" ca="1" si="196"/>
        <v>6.145987187639034E-3</v>
      </c>
      <c r="BQ82" s="2759">
        <f t="shared" ca="1" si="196"/>
        <v>0.26310678484226147</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16.912293410099849</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5.9872047470349464E-3</v>
      </c>
      <c r="I84" s="671">
        <f t="shared" ca="1" si="197"/>
        <v>3.3265731189982697</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3.3325603237453048</v>
      </c>
      <c r="S84" s="625">
        <f t="shared" ref="S84:AJ84" ca="1" si="198">S$51+S$55+S$63+S$68+S$72+S$76+S$82+S$46</f>
        <v>-0.93055566456029182</v>
      </c>
      <c r="T84" s="625">
        <f t="shared" ca="1" si="198"/>
        <v>43.871145222223568</v>
      </c>
      <c r="U84" s="625">
        <f t="shared" ca="1" si="198"/>
        <v>0</v>
      </c>
      <c r="V84" s="625">
        <f t="shared" ca="1" si="198"/>
        <v>-4.4802785775975043</v>
      </c>
      <c r="W84" s="625">
        <f t="shared" ca="1" si="198"/>
        <v>-81.37852877387084</v>
      </c>
      <c r="X84" s="625">
        <f t="shared" ca="1" si="198"/>
        <v>0.24387437185929645</v>
      </c>
      <c r="Y84" s="625">
        <f t="shared" ca="1" si="198"/>
        <v>0</v>
      </c>
      <c r="Z84" s="625">
        <f t="shared" ca="1" si="198"/>
        <v>0</v>
      </c>
      <c r="AA84" s="625">
        <f t="shared" ca="1" si="198"/>
        <v>0</v>
      </c>
      <c r="AB84" s="625">
        <f t="shared" ca="1" si="198"/>
        <v>0</v>
      </c>
      <c r="AC84" s="625">
        <f t="shared" ca="1" si="198"/>
        <v>0</v>
      </c>
      <c r="AD84" s="625">
        <f t="shared" ca="1" si="198"/>
        <v>0.18599671558951725</v>
      </c>
      <c r="AE84" s="625">
        <f t="shared" ca="1" si="198"/>
        <v>0.24672745063928636</v>
      </c>
      <c r="AF84" s="625">
        <f t="shared" ca="1" si="198"/>
        <v>2.7476702822692167</v>
      </c>
      <c r="AG84" s="625">
        <f t="shared" ca="1" si="198"/>
        <v>0.99779232910552174</v>
      </c>
      <c r="AH84" s="625">
        <f t="shared" ca="1" si="198"/>
        <v>8.6007227042966941E-2</v>
      </c>
      <c r="AI84" s="625">
        <f t="shared" ca="1" si="198"/>
        <v>8.3820866458489254E-2</v>
      </c>
      <c r="AJ84" s="625">
        <f t="shared" ca="1" si="198"/>
        <v>0</v>
      </c>
      <c r="AK84" s="625">
        <f ca="1">SUM(S84:AJ84)</f>
        <v>-38.326328550840771</v>
      </c>
      <c r="AM84" s="626">
        <f t="shared" ref="AM84:BE84" ca="1" si="199">AM$51+AM$55+AM$63+AM$68+AM$72+AM$76+AM$82+AM$46</f>
        <v>0</v>
      </c>
      <c r="AN84" s="626">
        <f t="shared" ca="1" si="199"/>
        <v>0</v>
      </c>
      <c r="AO84" s="626">
        <f t="shared" ca="1" si="199"/>
        <v>0</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-8.3820866458489254E-2</v>
      </c>
      <c r="AX84" s="626">
        <f t="shared" ca="1" si="199"/>
        <v>-3.8789549999999742E-2</v>
      </c>
      <c r="AY84" s="626">
        <f t="shared" ca="1" si="199"/>
        <v>0</v>
      </c>
      <c r="AZ84" s="626">
        <f t="shared" ca="1" si="199"/>
        <v>0</v>
      </c>
      <c r="BA84" s="626">
        <f t="shared" ca="1" si="199"/>
        <v>0</v>
      </c>
      <c r="BB84" s="626">
        <f t="shared" ca="1" si="199"/>
        <v>0</v>
      </c>
      <c r="BC84" s="626">
        <f t="shared" ca="1" si="199"/>
        <v>0</v>
      </c>
      <c r="BD84" s="626">
        <f t="shared" ca="1" si="199"/>
        <v>-0.43272416622880361</v>
      </c>
      <c r="BE84" s="626">
        <f t="shared" ca="1" si="199"/>
        <v>-4.0753442102770014</v>
      </c>
      <c r="BF84" s="626">
        <f ca="1">SUM(AM84:BE84)</f>
        <v>-4.6306787929642939</v>
      </c>
      <c r="BH84" s="3432">
        <f ca="1">BH$51+BH$55+BH$63+BH$68+BH$72+BH$76+BH$82+BH$46</f>
        <v>36.560510212373316</v>
      </c>
      <c r="BI84" s="3432">
        <f ca="1">BI$51+BI$55+BI$63+BI$68+BI$72+BI$76+BI$82+BI$46</f>
        <v>3.0639368076864417</v>
      </c>
      <c r="BJ84" s="3432">
        <f ca="1">SUM(BH84:BI84)</f>
        <v>39.624447020059755</v>
      </c>
      <c r="BL84" s="3446">
        <f t="shared" ca="1" si="176"/>
        <v>0</v>
      </c>
      <c r="BM84" s="627"/>
      <c r="BO84" s="2762">
        <f t="shared" ref="BO84:DE84" ca="1" si="200">BO$51+BO$55+BO$63+BO$68+BO$72+BO$76+BO$82+BO$46</f>
        <v>17.842165975877794</v>
      </c>
      <c r="BP84" s="2762">
        <f t="shared" ca="1" si="200"/>
        <v>7.1683439567037498E-3</v>
      </c>
      <c r="BQ84" s="2762">
        <f t="shared" ca="1" si="200"/>
        <v>0.26637346505931486</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10.810586337355634</v>
      </c>
      <c r="CG84" s="2762">
        <f t="shared" ca="1" si="200"/>
        <v>5.6603978384106233</v>
      </c>
      <c r="CH84" s="2762">
        <f t="shared" ca="1" si="200"/>
        <v>0</v>
      </c>
      <c r="CI84" s="2762">
        <f t="shared" ca="1" si="200"/>
        <v>2.527508265768164</v>
      </c>
      <c r="CJ84" s="2762">
        <f t="shared" ca="1" si="200"/>
        <v>0</v>
      </c>
      <c r="CK84" s="2762">
        <f t="shared" ca="1" si="200"/>
        <v>0</v>
      </c>
      <c r="CL84" s="2762">
        <f t="shared" ca="1" si="200"/>
        <v>0</v>
      </c>
      <c r="CM84" s="2762">
        <f t="shared" ca="1" si="200"/>
        <v>0</v>
      </c>
      <c r="CN84" s="2762">
        <f t="shared" ca="1" si="200"/>
        <v>0.5067953537411175</v>
      </c>
      <c r="CO84" s="2762">
        <f t="shared" ca="1" si="200"/>
        <v>6.3714299999999988E-2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37.684709880169351</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0</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0</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0</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-38.382332773059083</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-5.4828252444174481</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-5.4828252444174481</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5.482825244417449</v>
      </c>
      <c r="BJ91" s="3428">
        <f ca="1">SUM(BH91:BI91)</f>
        <v>5.482825244417449</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04"/>
        <v>0</v>
      </c>
      <c r="BM92" s="601"/>
      <c r="BO92" s="2760">
        <f t="shared" ca="1" si="210"/>
        <v>0</v>
      </c>
      <c r="BP92" s="2761">
        <f t="shared" ca="1" si="210"/>
        <v>0</v>
      </c>
      <c r="BQ92" s="2761">
        <f t="shared" ca="1" si="210"/>
        <v>0</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-5.4828252444174481</v>
      </c>
      <c r="U93" s="572">
        <f t="shared" ca="1" si="215"/>
        <v>0</v>
      </c>
      <c r="V93" s="572">
        <f t="shared" ca="1" si="215"/>
        <v>0</v>
      </c>
      <c r="W93" s="572">
        <f t="shared" ca="1" si="215"/>
        <v>0</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-5.4828252444174481</v>
      </c>
      <c r="AL93" s="6"/>
      <c r="AM93" s="573">
        <f t="shared" ref="AM93:BE93" ca="1" si="216">AM$89+AM$91+AM$92</f>
        <v>0</v>
      </c>
      <c r="AN93" s="573">
        <f t="shared" ca="1" si="216"/>
        <v>0</v>
      </c>
      <c r="AO93" s="573">
        <f t="shared" ca="1" si="216"/>
        <v>0</v>
      </c>
      <c r="AP93" s="573">
        <f t="shared" ca="1" si="216"/>
        <v>0</v>
      </c>
      <c r="AQ93" s="573">
        <f t="shared" ca="1" si="216"/>
        <v>0</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0</v>
      </c>
      <c r="BG93" s="6"/>
      <c r="BH93" s="3431">
        <f ca="1">BH$89+BH$91+BH$92</f>
        <v>0</v>
      </c>
      <c r="BI93" s="3431">
        <f ca="1">BI$89+BI$91+BI$92</f>
        <v>5.482825244417449</v>
      </c>
      <c r="BJ93" s="3431">
        <f ca="1">SUM(BH93:BI93)</f>
        <v>5.482825244417449</v>
      </c>
      <c r="BK93" s="6"/>
      <c r="BL93" s="3445">
        <f t="shared" ca="1" si="204"/>
        <v>0</v>
      </c>
      <c r="BM93" s="575"/>
      <c r="BN93" s="404"/>
      <c r="BO93" s="2759">
        <f t="shared" ref="BO93:DF93" ca="1" si="217">BO$89+BO$91+BO$92</f>
        <v>0</v>
      </c>
      <c r="BP93" s="2759">
        <f t="shared" ca="1" si="217"/>
        <v>0</v>
      </c>
      <c r="BQ93" s="2759">
        <f t="shared" ca="1" si="217"/>
        <v>0</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0</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-5.5197297709738296</v>
      </c>
      <c r="V95" s="636">
        <f ca="1">(V$40+V$84+V$93)</f>
        <v>-74.666873204295086</v>
      </c>
      <c r="W95" s="636">
        <f ca="1">(W$40+W$84+W$93)</f>
        <v>-134.66988111245277</v>
      </c>
      <c r="X95" s="636"/>
      <c r="Y95" s="636"/>
      <c r="Z95" s="636"/>
      <c r="AA95" s="636"/>
      <c r="AB95" s="636"/>
      <c r="AC95" s="636">
        <f t="shared" ref="AC95:AH95" ca="1" si="219">(AC$40+AC$84+AC$93)</f>
        <v>0</v>
      </c>
      <c r="AD95" s="636">
        <f t="shared" ca="1" si="219"/>
        <v>0.18599671558951725</v>
      </c>
      <c r="AE95" s="636">
        <f t="shared" ca="1" si="219"/>
        <v>0.24672745063928636</v>
      </c>
      <c r="AF95" s="636">
        <f t="shared" ca="1" si="219"/>
        <v>2.7476702822692167</v>
      </c>
      <c r="AG95" s="636">
        <f t="shared" ca="1" si="219"/>
        <v>0.99779232910552174</v>
      </c>
      <c r="AH95" s="636">
        <f t="shared" ca="1" si="219"/>
        <v>8.6007227042966941E-2</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-4.0753442102770014</v>
      </c>
      <c r="BF95" s="637">
        <f ca="1">SUM(AM95:BE95)</f>
        <v>-4.0753442102770014</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3919">
        <f ca="1">IFERROR(INDEX(INDIRECT($C96&amp;".Outputs["&amp;this.Year&amp;"]"), MATCH(U$5, INDIRECT($C96&amp;".Outputs[Vector]"), 0)), 0)</f>
        <v>2.6102867681557558</v>
      </c>
      <c r="V96" s="689">
        <f t="shared" ca="1" si="221"/>
        <v>0.16166439641729724</v>
      </c>
      <c r="W96" s="689">
        <f t="shared" ca="1" si="221"/>
        <v>0.93413070678266041</v>
      </c>
      <c r="X96" s="689">
        <f t="shared" ca="1" si="221"/>
        <v>0</v>
      </c>
      <c r="Y96" s="689">
        <f t="shared" ca="1" si="221"/>
        <v>0</v>
      </c>
      <c r="Z96" s="689">
        <f t="shared" ca="1" si="221"/>
        <v>0</v>
      </c>
      <c r="AA96" s="689">
        <f t="shared" ca="1" si="221"/>
        <v>0</v>
      </c>
      <c r="AB96" s="689">
        <f t="shared" ca="1" si="221"/>
        <v>0</v>
      </c>
      <c r="AC96" s="689">
        <f t="shared" ca="1" si="221"/>
        <v>0</v>
      </c>
      <c r="AD96" s="689">
        <f t="shared" ca="1" si="221"/>
        <v>-0.18599671558951725</v>
      </c>
      <c r="AE96" s="689">
        <f t="shared" ca="1" si="221"/>
        <v>-0.24672745063928636</v>
      </c>
      <c r="AF96" s="689">
        <f t="shared" ca="1" si="221"/>
        <v>-2.7476702822692167</v>
      </c>
      <c r="AG96" s="689">
        <f t="shared" ca="1" si="221"/>
        <v>-0.99779232910552174</v>
      </c>
      <c r="AH96" s="689">
        <f t="shared" ca="1" si="221"/>
        <v>-8.6007227042966941E-2</v>
      </c>
      <c r="AI96" s="689">
        <f t="shared" ca="1" si="221"/>
        <v>0</v>
      </c>
      <c r="AJ96" s="689">
        <f t="shared" ca="1" si="221"/>
        <v>0</v>
      </c>
      <c r="AK96" s="690">
        <f ca="1">SUM(S96:AJ96)</f>
        <v>-0.55811213329079534</v>
      </c>
      <c r="AM96" s="691">
        <f t="shared" ref="AM96:BE96" ca="1" si="222">IFERROR(INDEX(INDIRECT($C96&amp;".Outputs["&amp;this.Year&amp;"]"), MATCH(AM$5, INDIRECT($C96&amp;".Outputs[Vector]"), 0)), 0)</f>
        <v>0</v>
      </c>
      <c r="AN96" s="691">
        <f t="shared" ca="1" si="222"/>
        <v>0</v>
      </c>
      <c r="AO96" s="691">
        <f t="shared" ca="1" si="222"/>
        <v>0</v>
      </c>
      <c r="AP96" s="691">
        <f ca="1">IFERROR(INDEX(INDIRECT($C96&amp;".Outputs["&amp;this.Year&amp;"]"), MATCH(AP$5, INDIRECT($C96&amp;".Outputs[Vector]"), 0)), 0)</f>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0.55811213329079612</v>
      </c>
      <c r="BI96" s="3444">
        <f ca="1">IFERROR(INDEX(INDIRECT($C96&amp;".Outputs["&amp;this.Year&amp;"]"), MATCH(BI$5, INDIRECT($C96&amp;".Outputs[Vector]"), 0)), 0)</f>
        <v>0</v>
      </c>
      <c r="BJ96" s="3436">
        <f ca="1">SUM(BH96:BI96)</f>
        <v>0.55811213329079612</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-1.1151876435289807</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-1.1151876435289807</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-2.9094430028180738</v>
      </c>
      <c r="V97" s="636">
        <f ca="1">V$95+V$96</f>
        <v>-74.505208807877793</v>
      </c>
      <c r="W97" s="636">
        <f ca="1">W$95+W$96</f>
        <v>-133.7357504056701</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-0.9336370023886772</v>
      </c>
      <c r="BF97" s="637">
        <f ca="1">SUM(AM97:BE97)</f>
        <v>-0.9336370023886772</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3920">
        <f ca="1">IFERROR(INDEX(INDIRECT($C98&amp;".Outputs["&amp;this.Year&amp;"]"), MATCH(U$5, INDIRECT($C98&amp;".Outputs[Vector]"), 0)), 0)</f>
        <v>0</v>
      </c>
      <c r="V98" s="611">
        <f t="shared" ca="1" si="226"/>
        <v>0</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0</v>
      </c>
      <c r="AM98" s="612">
        <f t="shared" ref="AM98:BE98" ca="1" si="227">IFERROR(INDEX(INDIRECT($C98&amp;".Outputs["&amp;this.Year&amp;"]"), MATCH(AM$5, INDIRECT($C98&amp;".Outputs[Vector]"), 0)), 0)</f>
        <v>0</v>
      </c>
      <c r="AN98" s="612">
        <f t="shared" ca="1" si="227"/>
        <v>0</v>
      </c>
      <c r="AO98" s="612">
        <f t="shared" ca="1" si="227"/>
        <v>0</v>
      </c>
      <c r="AP98" s="612">
        <f t="shared" ca="1" si="227"/>
        <v>0</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0</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3921">
        <f t="shared" ca="1" si="230"/>
        <v>2.6102867681557558</v>
      </c>
      <c r="V99" s="572">
        <f t="shared" ca="1" si="230"/>
        <v>0.16166439641729724</v>
      </c>
      <c r="W99" s="572">
        <f t="shared" ca="1" si="230"/>
        <v>0.93413070678266041</v>
      </c>
      <c r="X99" s="572">
        <f t="shared" ca="1" si="230"/>
        <v>0</v>
      </c>
      <c r="Y99" s="572">
        <f t="shared" ca="1" si="230"/>
        <v>0</v>
      </c>
      <c r="Z99" s="572">
        <f t="shared" ca="1" si="230"/>
        <v>0</v>
      </c>
      <c r="AA99" s="572">
        <f t="shared" ca="1" si="230"/>
        <v>0</v>
      </c>
      <c r="AB99" s="572">
        <f t="shared" ca="1" si="230"/>
        <v>0</v>
      </c>
      <c r="AC99" s="572">
        <f t="shared" ca="1" si="230"/>
        <v>0</v>
      </c>
      <c r="AD99" s="572">
        <f ca="1">AD$96+AD98</f>
        <v>-0.18599671558951725</v>
      </c>
      <c r="AE99" s="572">
        <f ca="1">AE$96+AE98</f>
        <v>-0.24672745063928636</v>
      </c>
      <c r="AF99" s="572">
        <f t="shared" ca="1" si="230"/>
        <v>-2.7476702822692167</v>
      </c>
      <c r="AG99" s="572">
        <f t="shared" ca="1" si="230"/>
        <v>-0.99779232910552174</v>
      </c>
      <c r="AH99" s="572">
        <f ca="1">AH$96+AH98</f>
        <v>-8.6007227042966941E-2</v>
      </c>
      <c r="AI99" s="572">
        <f t="shared" ca="1" si="230"/>
        <v>0</v>
      </c>
      <c r="AJ99" s="572">
        <f t="shared" ca="1" si="230"/>
        <v>0</v>
      </c>
      <c r="AK99" s="572">
        <f ca="1">SUM(S99:AJ99)</f>
        <v>-0.55811213329079534</v>
      </c>
      <c r="AM99" s="573">
        <f t="shared" ref="AM99:BE99" ca="1" si="231">AM$96+AM98</f>
        <v>0</v>
      </c>
      <c r="AN99" s="573">
        <f t="shared" ca="1" si="231"/>
        <v>0</v>
      </c>
      <c r="AO99" s="573">
        <f t="shared" ca="1" si="231"/>
        <v>0</v>
      </c>
      <c r="AP99" s="573">
        <f ca="1">AP$96+AP98</f>
        <v>0</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0</v>
      </c>
      <c r="BH99" s="3431">
        <f ca="1">BH$96+BH98</f>
        <v>0.55811213329079612</v>
      </c>
      <c r="BI99" s="3431">
        <f ca="1">BI$96+BI98</f>
        <v>0</v>
      </c>
      <c r="BJ99" s="3431">
        <f ca="1">SUM(BH99:BI99)</f>
        <v>0.55811213329079612</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-1.1151876435289807</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-1.1151876435289807</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3921"/>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-38.38831997780612</v>
      </c>
      <c r="T101" s="636">
        <f ca="1">(T$40+T$84+T$93+T$99)</f>
        <v>38.38831997780612</v>
      </c>
      <c r="U101" s="636">
        <f ca="1">(U$40+U$84+U$93+U$99)</f>
        <v>-2.9094430028180738</v>
      </c>
      <c r="V101" s="636">
        <f ca="1">(V$40+V$84+V$93+V$99)</f>
        <v>-74.505208807877793</v>
      </c>
      <c r="W101" s="636">
        <f ca="1">(W$40+W$84+W$93+W$99)</f>
        <v>-133.7357504056701</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ca="1">IFERROR(INDEX(INDIRECT($C102&amp;".Outputs["&amp;this.Year&amp;"]"), MATCH(U$5, INDIRECT($C102&amp;".Outputs[Vector]"), 0)), 0)</f>
        <v>2.9094430028180738</v>
      </c>
      <c r="V102" s="652">
        <f t="shared" ca="1" si="234"/>
        <v>74.505208807877793</v>
      </c>
      <c r="W102" s="652">
        <f t="shared" ca="1" si="234"/>
        <v>133.7357504056701</v>
      </c>
      <c r="X102" s="652">
        <f t="shared" ca="1" si="234"/>
        <v>-2.9094430028180738</v>
      </c>
      <c r="Y102" s="652">
        <f t="shared" ca="1" si="234"/>
        <v>-74.505208807877793</v>
      </c>
      <c r="Z102" s="652">
        <f t="shared" ca="1" si="234"/>
        <v>-135.74178666175516</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-2.0060362560850535</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2.0060362560850513</v>
      </c>
      <c r="BJ102" s="655">
        <f ca="1">SUM(BH102:BI102)</f>
        <v>2.0060362560850513</v>
      </c>
      <c r="BK102" s="6"/>
      <c r="BL102" s="3445">
        <f t="shared" ref="BL102:BL109" ca="1" si="236">Q102+AK102+BF102+BJ102</f>
        <v>0</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5.71861961245669E-2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5.71861961245669E-2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2.6655686309587772</v>
      </c>
      <c r="Y103" s="702">
        <f ca="1">-(Y$40+Y$84+Y$93+Y$99+Y$102)</f>
        <v>74.505208807877793</v>
      </c>
      <c r="Z103" s="702">
        <f ca="1">-(Z$40+Z$84+Z$93+Z$99+Z$102)</f>
        <v>135.74178666175516</v>
      </c>
      <c r="AA103" s="702"/>
      <c r="AB103" s="702"/>
      <c r="AC103" s="702"/>
      <c r="AD103" s="702"/>
      <c r="AE103" s="702"/>
      <c r="AF103" s="702"/>
      <c r="AG103" s="702"/>
      <c r="AH103" s="702"/>
      <c r="AI103" s="702"/>
      <c r="AJ103" s="702"/>
      <c r="AK103" s="702">
        <f ca="1">SUM(S103:AJ103)</f>
        <v>212.91256410059174</v>
      </c>
      <c r="AL103" s="6"/>
      <c r="AM103" s="606"/>
      <c r="AN103" s="606"/>
      <c r="AO103" s="606"/>
      <c r="AP103" s="606" t="s">
        <v>5</v>
      </c>
      <c r="AQ103" s="606">
        <f ca="1">-T103</f>
        <v>0</v>
      </c>
      <c r="AR103" s="606">
        <f>-V103</f>
        <v>0</v>
      </c>
      <c r="AS103" s="606">
        <f ca="1">-X103</f>
        <v>-2.6655686309587772</v>
      </c>
      <c r="AT103" s="606">
        <f ca="1">-Y103</f>
        <v>-74.505208807877793</v>
      </c>
      <c r="AU103" s="606">
        <f ca="1">-Z103</f>
        <v>-135.74178666175516</v>
      </c>
      <c r="AV103" s="606"/>
      <c r="AW103" s="606"/>
      <c r="AX103" s="606"/>
      <c r="AY103" s="606"/>
      <c r="AZ103" s="606"/>
      <c r="BA103" s="606"/>
      <c r="BB103" s="606"/>
      <c r="BC103" s="606"/>
      <c r="BD103" s="606"/>
      <c r="BE103" s="606"/>
      <c r="BF103" s="606">
        <f ca="1">SUM(AM103:BE103)</f>
        <v>-212.91256410059174</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0</v>
      </c>
      <c r="U104" s="3921">
        <f t="shared" ca="1" si="242"/>
        <v>2.9094430028180738</v>
      </c>
      <c r="V104" s="572">
        <f ca="1">SUM(V102:V103)</f>
        <v>74.505208807877793</v>
      </c>
      <c r="W104" s="572">
        <f t="shared" ca="1" si="242"/>
        <v>133.7357504056701</v>
      </c>
      <c r="X104" s="4103">
        <f t="shared" ca="1" si="242"/>
        <v>-0.24387437185929661</v>
      </c>
      <c r="Y104" s="572">
        <f t="shared" ca="1" si="242"/>
        <v>0</v>
      </c>
      <c r="Z104" s="572">
        <f t="shared" ca="1" si="242"/>
        <v>0</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210.90652784450668</v>
      </c>
      <c r="AM104" s="573">
        <f t="shared" ref="AM104:BE104" ca="1" si="243">SUM(AM102:AM103)</f>
        <v>0</v>
      </c>
      <c r="AN104" s="573">
        <f t="shared" ca="1" si="243"/>
        <v>0</v>
      </c>
      <c r="AO104" s="573">
        <f t="shared" ca="1" si="243"/>
        <v>0</v>
      </c>
      <c r="AP104" s="573">
        <f t="shared" ca="1" si="243"/>
        <v>0</v>
      </c>
      <c r="AQ104" s="573">
        <f t="shared" ca="1" si="243"/>
        <v>0</v>
      </c>
      <c r="AR104" s="573">
        <f t="shared" ca="1" si="243"/>
        <v>0</v>
      </c>
      <c r="AS104" s="573">
        <f t="shared" ca="1" si="243"/>
        <v>-2.6655686309587772</v>
      </c>
      <c r="AT104" s="573">
        <f t="shared" ca="1" si="243"/>
        <v>-74.505208807877793</v>
      </c>
      <c r="AU104" s="573">
        <f t="shared" ca="1" si="243"/>
        <v>-135.74178666175516</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-212.91256410059174</v>
      </c>
      <c r="BH104" s="3431">
        <f ca="1">SUM(BH102:BH103)</f>
        <v>0</v>
      </c>
      <c r="BI104" s="3431">
        <f ca="1">SUM(BI102:BI103)</f>
        <v>2.0060362560850513</v>
      </c>
      <c r="BJ104" s="3431">
        <f ca="1">SUM(BH104:BI104)</f>
        <v>2.0060362560850513</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5.71861961245669E-2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5.71861961245669E-2</v>
      </c>
    </row>
    <row r="105" spans="1:112" s="6" customFormat="1">
      <c r="C105" s="509"/>
      <c r="D105" s="510"/>
      <c r="E105" s="510"/>
      <c r="G105" s="570"/>
      <c r="H105" s="570"/>
      <c r="I105" s="570"/>
      <c r="J105" s="570"/>
      <c r="K105" s="629"/>
      <c r="L105" s="570"/>
      <c r="M105" s="570"/>
      <c r="N105" s="570"/>
      <c r="O105" s="570"/>
      <c r="P105" s="570"/>
      <c r="Q105" s="570"/>
      <c r="S105" s="572"/>
      <c r="T105" s="572"/>
      <c r="U105" s="3921"/>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-5.4828252444174481</v>
      </c>
      <c r="U106" s="3922">
        <f t="shared" ca="1" si="246"/>
        <v>5.5197297709738296</v>
      </c>
      <c r="V106" s="625">
        <f t="shared" ca="1" si="246"/>
        <v>74.666873204295086</v>
      </c>
      <c r="W106" s="625">
        <f ca="1">W$93+W$99+W$104</f>
        <v>134.66988111245277</v>
      </c>
      <c r="X106" s="625">
        <f t="shared" ca="1" si="246"/>
        <v>-0.24387437185929661</v>
      </c>
      <c r="Y106" s="625">
        <f t="shared" ca="1" si="246"/>
        <v>0</v>
      </c>
      <c r="Z106" s="625">
        <f t="shared" ca="1" si="246"/>
        <v>0</v>
      </c>
      <c r="AA106" s="625">
        <f t="shared" ca="1" si="246"/>
        <v>0</v>
      </c>
      <c r="AB106" s="625">
        <f t="shared" ca="1" si="246"/>
        <v>0</v>
      </c>
      <c r="AC106" s="625">
        <f t="shared" ca="1" si="246"/>
        <v>0</v>
      </c>
      <c r="AD106" s="625">
        <f t="shared" ca="1" si="246"/>
        <v>-0.18599671558951725</v>
      </c>
      <c r="AE106" s="625">
        <f t="shared" ca="1" si="246"/>
        <v>-0.24672745063928636</v>
      </c>
      <c r="AF106" s="625">
        <f t="shared" ca="1" si="246"/>
        <v>-2.7476702822692167</v>
      </c>
      <c r="AG106" s="625">
        <f t="shared" ca="1" si="246"/>
        <v>-0.99779232910552174</v>
      </c>
      <c r="AH106" s="625">
        <f t="shared" ca="1" si="246"/>
        <v>-8.6007227042966941E-2</v>
      </c>
      <c r="AI106" s="625">
        <f t="shared" ca="1" si="246"/>
        <v>0</v>
      </c>
      <c r="AJ106" s="625">
        <f t="shared" ca="1" si="246"/>
        <v>0</v>
      </c>
      <c r="AK106" s="625">
        <f ca="1">SUM(S106:AJ106)</f>
        <v>204.86559046679844</v>
      </c>
      <c r="AM106" s="626">
        <f t="shared" ref="AM106:BE106" ca="1" si="247">AM$93+AM$99+AM$104</f>
        <v>0</v>
      </c>
      <c r="AN106" s="626">
        <f t="shared" ca="1" si="247"/>
        <v>0</v>
      </c>
      <c r="AO106" s="626">
        <f t="shared" ca="1" si="247"/>
        <v>0</v>
      </c>
      <c r="AP106" s="626">
        <f ca="1">AP$93+AP$99+AP$104</f>
        <v>0</v>
      </c>
      <c r="AQ106" s="626">
        <f t="shared" ca="1" si="247"/>
        <v>0</v>
      </c>
      <c r="AR106" s="626">
        <f t="shared" ca="1" si="247"/>
        <v>0</v>
      </c>
      <c r="AS106" s="626">
        <f t="shared" ca="1" si="247"/>
        <v>-2.6655686309587772</v>
      </c>
      <c r="AT106" s="626">
        <f t="shared" ca="1" si="247"/>
        <v>-74.505208807877793</v>
      </c>
      <c r="AU106" s="626">
        <f t="shared" ca="1" si="247"/>
        <v>-135.74178666175516</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-212.91256410059174</v>
      </c>
      <c r="BH106" s="3432">
        <f ca="1">BH$93+BH$99+BH$104</f>
        <v>0.55811213329079612</v>
      </c>
      <c r="BI106" s="3432">
        <f ca="1">BI$93+BI$99+BI$104</f>
        <v>7.4888615005024999</v>
      </c>
      <c r="BJ106" s="3432">
        <f ca="1">SUM(BH106:BI106)</f>
        <v>8.0469736337932964</v>
      </c>
      <c r="BL106" s="3446">
        <f t="shared" ca="1" si="236"/>
        <v>0</v>
      </c>
      <c r="BM106" s="627"/>
      <c r="BO106" s="2762">
        <f t="shared" ref="BO106:DE106" ca="1" si="248">BO$93+BO$99+BO$104</f>
        <v>0</v>
      </c>
      <c r="BP106" s="2762">
        <f t="shared" ca="1" si="248"/>
        <v>0</v>
      </c>
      <c r="BQ106" s="2762">
        <f t="shared" ca="1" si="248"/>
        <v>0</v>
      </c>
      <c r="BR106" s="2762">
        <f t="shared" ca="1" si="248"/>
        <v>0</v>
      </c>
      <c r="BS106" s="2762">
        <f t="shared" ca="1" si="248"/>
        <v>0</v>
      </c>
      <c r="BT106" s="2762">
        <f t="shared" ca="1" si="248"/>
        <v>5.71861961245669E-2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-1.1151876435289807</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-1.0580014474044137</v>
      </c>
    </row>
    <row r="107" spans="1:112" s="6" customFormat="1">
      <c r="C107" s="509"/>
      <c r="D107" s="510"/>
      <c r="E107" s="510"/>
      <c r="G107" s="570"/>
      <c r="H107" s="570"/>
      <c r="I107" s="570"/>
      <c r="J107" s="570"/>
      <c r="K107" s="629"/>
      <c r="L107" s="570"/>
      <c r="M107" s="570"/>
      <c r="N107" s="570"/>
      <c r="O107" s="570"/>
      <c r="P107" s="570"/>
      <c r="Q107" s="570"/>
      <c r="S107" s="572"/>
      <c r="T107" s="572"/>
      <c r="U107" s="3921"/>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3921"/>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48.057882978926571</v>
      </c>
      <c r="H109" s="705">
        <f t="shared" ca="1" si="249"/>
        <v>12.155714431932322</v>
      </c>
      <c r="I109" s="705">
        <f t="shared" ca="1" si="249"/>
        <v>49.454475610191139</v>
      </c>
      <c r="J109" s="705">
        <f t="shared" ca="1" si="249"/>
        <v>48.119877929838552</v>
      </c>
      <c r="K109" s="705">
        <f t="shared" ca="1" si="249"/>
        <v>0.42446014374891816</v>
      </c>
      <c r="L109" s="705">
        <f t="shared" ca="1" si="249"/>
        <v>2.5579695995584108E-2</v>
      </c>
      <c r="M109" s="705">
        <f t="shared" ca="1" si="249"/>
        <v>0.66</v>
      </c>
      <c r="N109" s="705">
        <f t="shared" ca="1" si="249"/>
        <v>11.923331449069897</v>
      </c>
      <c r="O109" s="705">
        <f t="shared" ca="1" si="249"/>
        <v>0</v>
      </c>
      <c r="P109" s="705">
        <f t="shared" ca="1" si="249"/>
        <v>0</v>
      </c>
      <c r="Q109" s="705">
        <f ca="1">SUM(G109:P109)</f>
        <v>170.82132223970299</v>
      </c>
      <c r="S109" s="706">
        <f t="shared" ref="S109:AJ109" ca="1" si="250">S$40+S$84+S$106</f>
        <v>-38.38831997780612</v>
      </c>
      <c r="T109" s="706">
        <f t="shared" ca="1" si="250"/>
        <v>38.38831997780612</v>
      </c>
      <c r="U109" s="3949">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0</v>
      </c>
      <c r="AN109" s="707">
        <f t="shared" ca="1" si="251"/>
        <v>0</v>
      </c>
      <c r="AO109" s="707">
        <f t="shared" ca="1" si="251"/>
        <v>0</v>
      </c>
      <c r="AP109" s="707">
        <f t="shared" ca="1" si="251"/>
        <v>0</v>
      </c>
      <c r="AQ109" s="707">
        <f t="shared" ca="1" si="251"/>
        <v>0</v>
      </c>
      <c r="AR109" s="707">
        <f t="shared" ca="1" si="251"/>
        <v>0</v>
      </c>
      <c r="AS109" s="707">
        <f t="shared" ca="1" si="251"/>
        <v>-2.6655686309587772</v>
      </c>
      <c r="AT109" s="707">
        <f t="shared" ca="1" si="251"/>
        <v>-74.505208807877793</v>
      </c>
      <c r="AU109" s="707">
        <f t="shared" ca="1" si="251"/>
        <v>-135.74178666175516</v>
      </c>
      <c r="AV109" s="707">
        <f t="shared" ca="1" si="251"/>
        <v>0</v>
      </c>
      <c r="AW109" s="707">
        <f t="shared" ca="1" si="251"/>
        <v>-8.3820866458489254E-2</v>
      </c>
      <c r="AX109" s="707">
        <f t="shared" ca="1" si="251"/>
        <v>-3.8789549999999742E-2</v>
      </c>
      <c r="AY109" s="707">
        <f t="shared" ca="1" si="251"/>
        <v>0</v>
      </c>
      <c r="AZ109" s="707">
        <f t="shared" ca="1" si="251"/>
        <v>0</v>
      </c>
      <c r="BA109" s="707">
        <f t="shared" ca="1" si="251"/>
        <v>0</v>
      </c>
      <c r="BB109" s="707">
        <f t="shared" ca="1" si="251"/>
        <v>0</v>
      </c>
      <c r="BC109" s="707">
        <f t="shared" ca="1" si="251"/>
        <v>-0.9494999999999999</v>
      </c>
      <c r="BD109" s="707">
        <f t="shared" ca="1" si="251"/>
        <v>-0.43272416622880361</v>
      </c>
      <c r="BE109" s="707">
        <f t="shared" ca="1" si="251"/>
        <v>-4.0753442102770014</v>
      </c>
      <c r="BF109" s="707">
        <f ca="1">SUM(AM109:BE109)</f>
        <v>-218.49274289355603</v>
      </c>
      <c r="BH109" s="3437">
        <f ca="1">BH$40+BH$84+BH$106</f>
        <v>37.118622345664114</v>
      </c>
      <c r="BI109" s="3437">
        <f ca="1">BI$40+BI$84+BI$106</f>
        <v>10.552798308188942</v>
      </c>
      <c r="BJ109" s="3437">
        <f ca="1">SUM(BH109:BI109)</f>
        <v>47.671420653853055</v>
      </c>
      <c r="BL109" s="3447">
        <f t="shared" ca="1" si="236"/>
        <v>0</v>
      </c>
      <c r="BM109" s="568"/>
      <c r="BO109" s="2767">
        <f t="shared" ref="BO109:DF109" ca="1" si="252">BO$40+BO$84+BO$106</f>
        <v>44.205127854729881</v>
      </c>
      <c r="BP109" s="2767">
        <f t="shared" ca="1" si="252"/>
        <v>2.3169206019424821E-2</v>
      </c>
      <c r="BQ109" s="2767">
        <f t="shared" ca="1" si="252"/>
        <v>0.47640921493436916</v>
      </c>
      <c r="BR109" s="2767">
        <f t="shared" ca="1" si="252"/>
        <v>0</v>
      </c>
      <c r="BS109" s="2767">
        <f t="shared" ca="1" si="252"/>
        <v>0</v>
      </c>
      <c r="BT109" s="2767">
        <f t="shared" ca="1" si="252"/>
        <v>5.71861961245669E-2</v>
      </c>
      <c r="BU109" s="2767">
        <f t="shared" ca="1" si="252"/>
        <v>0</v>
      </c>
      <c r="BV109" s="2767">
        <f t="shared" ca="1" si="252"/>
        <v>0</v>
      </c>
      <c r="BW109" s="2767">
        <f t="shared" ca="1" si="252"/>
        <v>1.9286379197023151</v>
      </c>
      <c r="BX109" s="2767">
        <f t="shared" ca="1" si="252"/>
        <v>0</v>
      </c>
      <c r="BY109" s="2767">
        <f t="shared" ca="1" si="252"/>
        <v>0</v>
      </c>
      <c r="BZ109" s="2767">
        <f t="shared" ca="1" si="252"/>
        <v>1.0822342627555264</v>
      </c>
      <c r="CA109" s="2767">
        <f t="shared" ca="1" si="252"/>
        <v>0</v>
      </c>
      <c r="CB109" s="2767">
        <f t="shared" ca="1" si="252"/>
        <v>0</v>
      </c>
      <c r="CC109" s="2767">
        <f t="shared" ca="1" si="252"/>
        <v>0</v>
      </c>
      <c r="CD109" s="2767">
        <f t="shared" ca="1" si="252"/>
        <v>0</v>
      </c>
      <c r="CE109" s="2767">
        <f t="shared" ca="1" si="252"/>
        <v>0</v>
      </c>
      <c r="CF109" s="2767">
        <f t="shared" ca="1" si="252"/>
        <v>10.810586337355634</v>
      </c>
      <c r="CG109" s="2767">
        <f t="shared" ca="1" si="252"/>
        <v>5.6603978384106233</v>
      </c>
      <c r="CH109" s="2767">
        <f t="shared" ca="1" si="252"/>
        <v>0</v>
      </c>
      <c r="CI109" s="2767">
        <f t="shared" ca="1" si="252"/>
        <v>2.527508265768164</v>
      </c>
      <c r="CJ109" s="2767">
        <f t="shared" ca="1" si="252"/>
        <v>0</v>
      </c>
      <c r="CK109" s="2767">
        <f t="shared" ca="1" si="252"/>
        <v>0</v>
      </c>
      <c r="CL109" s="2767">
        <f t="shared" ca="1" si="252"/>
        <v>0</v>
      </c>
      <c r="CM109" s="2767">
        <f t="shared" ca="1" si="252"/>
        <v>0</v>
      </c>
      <c r="CN109" s="2767">
        <f t="shared" ca="1" si="252"/>
        <v>0.5067953537411175</v>
      </c>
      <c r="CO109" s="2767">
        <f t="shared" ca="1" si="252"/>
        <v>6.3714299999999988E-2</v>
      </c>
      <c r="CP109" s="2767">
        <f t="shared" ca="1" si="252"/>
        <v>0</v>
      </c>
      <c r="CQ109" s="2767">
        <f t="shared" ca="1" si="252"/>
        <v>0</v>
      </c>
      <c r="CR109" s="2767">
        <f t="shared" ca="1" si="252"/>
        <v>0</v>
      </c>
      <c r="CS109" s="2767">
        <f t="shared" ca="1" si="252"/>
        <v>0</v>
      </c>
      <c r="CT109" s="2767">
        <f t="shared" ca="1" si="252"/>
        <v>0</v>
      </c>
      <c r="CU109" s="2767">
        <f t="shared" ca="1" si="252"/>
        <v>3.146328702780564</v>
      </c>
      <c r="CV109" s="2767">
        <f t="shared" ca="1" si="252"/>
        <v>2.7042115726490529E-3</v>
      </c>
      <c r="CW109" s="2767">
        <f t="shared" ca="1" si="252"/>
        <v>7.9838627382972024E-3</v>
      </c>
      <c r="CX109" s="2767">
        <f t="shared" ca="1" si="252"/>
        <v>0</v>
      </c>
      <c r="CY109" s="2767">
        <f t="shared" ca="1" si="252"/>
        <v>-1.1151876435289807</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69.383595883104149</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t="s">
        <v>5</v>
      </c>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16.912293410099849</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38.392111120623895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0.44051480672587234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Y62"/>
  <sheetViews>
    <sheetView topLeftCell="W34" workbookViewId="0">
      <selection activeCell="AK27" sqref="AK27"/>
    </sheetView>
  </sheetViews>
  <sheetFormatPr defaultRowHeight="14.5"/>
  <cols>
    <col min="1" max="1" width="47.54296875" customWidth="1"/>
    <col min="2" max="2" width="10.54296875" customWidth="1"/>
    <col min="44" max="44" width="17" customWidth="1"/>
    <col min="45" max="45" width="18.26953125" customWidth="1"/>
    <col min="46" max="46" width="18.7265625" customWidth="1"/>
    <col min="47" max="47" width="28.54296875" customWidth="1"/>
    <col min="48" max="48" width="15.26953125" customWidth="1"/>
    <col min="49" max="49" width="18.7265625" customWidth="1"/>
  </cols>
  <sheetData>
    <row r="1" spans="1:51" ht="66.5" thickBot="1">
      <c r="A1" s="1741" t="s">
        <v>1331</v>
      </c>
      <c r="B1" s="1742" t="s">
        <v>1332</v>
      </c>
      <c r="C1" s="1743" t="s">
        <v>1333</v>
      </c>
      <c r="D1" s="1744" t="s">
        <v>1334</v>
      </c>
      <c r="E1" s="1745" t="s">
        <v>1335</v>
      </c>
      <c r="F1" s="1746" t="s">
        <v>1336</v>
      </c>
      <c r="G1" s="1746" t="s">
        <v>1337</v>
      </c>
      <c r="H1" s="1747" t="s">
        <v>1338</v>
      </c>
      <c r="I1" s="1744" t="s">
        <v>1339</v>
      </c>
      <c r="J1" s="1745" t="s">
        <v>1340</v>
      </c>
      <c r="K1" s="1745" t="s">
        <v>1341</v>
      </c>
      <c r="L1" s="1747" t="s">
        <v>1342</v>
      </c>
      <c r="M1" s="1744" t="s">
        <v>1343</v>
      </c>
      <c r="N1" s="1745" t="s">
        <v>1344</v>
      </c>
      <c r="O1" s="1745" t="s">
        <v>1345</v>
      </c>
      <c r="P1" s="1745" t="s">
        <v>1346</v>
      </c>
      <c r="Q1" s="1745" t="s">
        <v>1347</v>
      </c>
      <c r="R1" s="1745" t="s">
        <v>1348</v>
      </c>
      <c r="S1" s="1745" t="s">
        <v>1349</v>
      </c>
      <c r="T1" s="1745" t="s">
        <v>1350</v>
      </c>
      <c r="U1" s="1745" t="s">
        <v>1351</v>
      </c>
      <c r="V1" s="1746" t="s">
        <v>1352</v>
      </c>
      <c r="W1" s="1746" t="s">
        <v>1353</v>
      </c>
      <c r="X1" s="1746" t="s">
        <v>1354</v>
      </c>
      <c r="Y1" s="1745" t="s">
        <v>1355</v>
      </c>
      <c r="Z1" s="1747" t="s">
        <v>1356</v>
      </c>
      <c r="AA1" s="1748" t="s">
        <v>1357</v>
      </c>
      <c r="AB1" s="1749" t="s">
        <v>1358</v>
      </c>
      <c r="AC1" s="1750" t="s">
        <v>1359</v>
      </c>
      <c r="AD1" s="1750" t="s">
        <v>1360</v>
      </c>
      <c r="AE1" s="1750" t="s">
        <v>1361</v>
      </c>
      <c r="AF1" s="1750" t="s">
        <v>1362</v>
      </c>
      <c r="AG1" s="1750" t="s">
        <v>1363</v>
      </c>
      <c r="AH1" s="1750" t="s">
        <v>1364</v>
      </c>
      <c r="AI1" s="1751" t="s">
        <v>1365</v>
      </c>
      <c r="AJ1" s="1752" t="s">
        <v>1366</v>
      </c>
      <c r="AK1" s="1753" t="s">
        <v>1367</v>
      </c>
      <c r="AL1" s="1748" t="s">
        <v>1368</v>
      </c>
      <c r="AM1" s="1754" t="s">
        <v>1369</v>
      </c>
    </row>
    <row r="2" spans="1:51">
      <c r="A2" s="1755" t="s">
        <v>1370</v>
      </c>
      <c r="B2" s="1756"/>
      <c r="C2" s="1757">
        <f>SUM(D2:G2)</f>
        <v>0</v>
      </c>
      <c r="D2" s="1758">
        <v>0</v>
      </c>
      <c r="E2" s="1759"/>
      <c r="F2" s="1760"/>
      <c r="G2" s="1760"/>
      <c r="H2" s="1761">
        <f>SUM(I2:K2)</f>
        <v>1291.5250271244345</v>
      </c>
      <c r="I2" s="1762">
        <v>1163.8210271244345</v>
      </c>
      <c r="J2" s="1763">
        <v>127.70399999999999</v>
      </c>
      <c r="K2" s="1763"/>
      <c r="L2" s="1761">
        <f>SUM(M2:Y2)</f>
        <v>0</v>
      </c>
      <c r="M2" s="1762"/>
      <c r="N2" s="1764"/>
      <c r="O2" s="1764"/>
      <c r="P2" s="1764"/>
      <c r="Q2" s="1764"/>
      <c r="R2" s="1764"/>
      <c r="S2" s="1764"/>
      <c r="T2" s="1764"/>
      <c r="U2" s="1764"/>
      <c r="V2" s="1760"/>
      <c r="W2" s="1760"/>
      <c r="X2" s="1760"/>
      <c r="Y2" s="1763"/>
      <c r="Z2" s="1761">
        <v>150.94825893491125</v>
      </c>
      <c r="AA2" s="1765">
        <f>SUM(AB2:AI2)</f>
        <v>798.43730982459965</v>
      </c>
      <c r="AB2" s="1766">
        <v>49.749924665631987</v>
      </c>
      <c r="AC2" s="1763">
        <v>390.57024527999988</v>
      </c>
      <c r="AD2" s="1763">
        <v>243.90218344113782</v>
      </c>
      <c r="AE2" s="1763">
        <v>36.754687451319768</v>
      </c>
      <c r="AF2" s="1763">
        <v>11.415308141561425</v>
      </c>
      <c r="AG2" s="1763">
        <v>21.538181185398855</v>
      </c>
      <c r="AH2" s="1762">
        <v>11.278273490844283</v>
      </c>
      <c r="AI2" s="1760">
        <v>33.2285061687056</v>
      </c>
      <c r="AJ2" s="1767">
        <v>57.7445443207259</v>
      </c>
      <c r="AK2" s="1767"/>
      <c r="AL2" s="1765"/>
      <c r="AM2" s="1768">
        <f>C2+H2+L2+Z2+AA2+AJ2+AK2+AL2</f>
        <v>2298.6551402046712</v>
      </c>
    </row>
    <row r="3" spans="1:51">
      <c r="A3" s="1769" t="s">
        <v>1371</v>
      </c>
      <c r="B3" s="1770"/>
      <c r="C3" s="1771">
        <f>SUM(D3:G3)</f>
        <v>1495.6519584700479</v>
      </c>
      <c r="D3" s="1772">
        <v>1407.1792459806832</v>
      </c>
      <c r="E3" s="1773">
        <v>66.669393419996794</v>
      </c>
      <c r="F3" s="1774"/>
      <c r="G3" s="1774">
        <v>21.803319069367976</v>
      </c>
      <c r="H3" s="1775">
        <f>SUM(I3:K3)</f>
        <v>0</v>
      </c>
      <c r="I3" s="1776"/>
      <c r="J3" s="1777"/>
      <c r="K3" s="1777"/>
      <c r="L3" s="1775">
        <f>SUM(M3:Y3)</f>
        <v>7973.2043617664303</v>
      </c>
      <c r="M3" s="1776">
        <v>3224.7393668824002</v>
      </c>
      <c r="N3" s="1777">
        <v>0</v>
      </c>
      <c r="O3" s="1777">
        <v>672.44586902222215</v>
      </c>
      <c r="P3" s="1777">
        <v>426.61337191200005</v>
      </c>
      <c r="Q3" s="1777">
        <v>886.62171108431994</v>
      </c>
      <c r="R3" s="1777">
        <v>181.42774736016949</v>
      </c>
      <c r="S3" s="1777">
        <v>102.62516826266319</v>
      </c>
      <c r="T3" s="1777">
        <v>2077.1194601068387</v>
      </c>
      <c r="U3" s="1777">
        <v>112.17522150345074</v>
      </c>
      <c r="V3" s="1774">
        <v>0</v>
      </c>
      <c r="W3" s="1774">
        <v>250.68723663236631</v>
      </c>
      <c r="X3" s="1774">
        <v>1.049949</v>
      </c>
      <c r="Y3" s="1777">
        <v>37.699260000000002</v>
      </c>
      <c r="Z3" s="1775">
        <v>3717.3683218661595</v>
      </c>
      <c r="AA3" s="1778">
        <f>SUM(AB3:AI3)</f>
        <v>114.408490001616</v>
      </c>
      <c r="AB3" s="1779"/>
      <c r="AC3" s="1777"/>
      <c r="AD3" s="1777">
        <v>35.751513688319996</v>
      </c>
      <c r="AE3" s="1777"/>
      <c r="AF3" s="1777"/>
      <c r="AG3" s="1777">
        <v>78.656976313295999</v>
      </c>
      <c r="AH3" s="1776"/>
      <c r="AI3" s="1774"/>
      <c r="AJ3" s="1780"/>
      <c r="AK3" s="1781">
        <v>215.64743121999993</v>
      </c>
      <c r="AL3" s="1778"/>
      <c r="AM3" s="1782">
        <f t="shared" ref="AM3:AM21" si="0">C3+H3+L3+Z3+AA3+AJ3+AK3+AL3</f>
        <v>13516.280563324255</v>
      </c>
    </row>
    <row r="4" spans="1:51">
      <c r="A4" s="1769" t="s">
        <v>1372</v>
      </c>
      <c r="B4" s="1770"/>
      <c r="C4" s="1771">
        <f>SUM(D4:G4)</f>
        <v>10.263011098368001</v>
      </c>
      <c r="D4" s="1772">
        <v>0</v>
      </c>
      <c r="E4" s="1783">
        <v>9.6257199599999996</v>
      </c>
      <c r="F4" s="1774"/>
      <c r="G4" s="1774">
        <v>0.637291138368</v>
      </c>
      <c r="H4" s="1775">
        <f>SUM(I4:K4)</f>
        <v>8.5388249999999992</v>
      </c>
      <c r="I4" s="1776"/>
      <c r="J4" s="1777"/>
      <c r="K4" s="1777">
        <v>8.5388249999999992</v>
      </c>
      <c r="L4" s="1775">
        <f>SUM(M4:Y4)</f>
        <v>1212.1096577161268</v>
      </c>
      <c r="M4" s="1776">
        <v>227.26246140660001</v>
      </c>
      <c r="N4" s="1777"/>
      <c r="O4" s="1777">
        <v>12.611409711111111</v>
      </c>
      <c r="P4" s="1777">
        <v>4.0942298924800005</v>
      </c>
      <c r="Q4" s="1777">
        <v>0.41725173407999999</v>
      </c>
      <c r="R4" s="1777">
        <v>900.69753438870055</v>
      </c>
      <c r="S4" s="1777">
        <v>31.383906037754567</v>
      </c>
      <c r="T4" s="1777">
        <v>0.3500507614213198</v>
      </c>
      <c r="U4" s="1777">
        <v>8.3976696266481812E-2</v>
      </c>
      <c r="V4" s="1774">
        <v>28.401526478591158</v>
      </c>
      <c r="W4" s="1774">
        <v>6.6473609121520005E-2</v>
      </c>
      <c r="X4" s="1774">
        <v>2.8376999999999999E-2</v>
      </c>
      <c r="Y4" s="1777">
        <v>6.7124600000000001</v>
      </c>
      <c r="Z4" s="1775">
        <v>0</v>
      </c>
      <c r="AA4" s="1778">
        <f>SUM(AB4:AI4)</f>
        <v>5.0090687999999987E-3</v>
      </c>
      <c r="AB4" s="1779"/>
      <c r="AC4" s="1777"/>
      <c r="AD4" s="1777">
        <v>5.0090687999999987E-3</v>
      </c>
      <c r="AE4" s="1777"/>
      <c r="AF4" s="1777"/>
      <c r="AG4" s="1777">
        <v>0</v>
      </c>
      <c r="AH4" s="1776"/>
      <c r="AI4" s="1774"/>
      <c r="AJ4" s="1780"/>
      <c r="AK4" s="1781">
        <v>33.406600239999996</v>
      </c>
      <c r="AL4" s="1778"/>
      <c r="AM4" s="1782">
        <f t="shared" si="0"/>
        <v>1264.3231031232949</v>
      </c>
    </row>
    <row r="5" spans="1:51">
      <c r="A5" s="1769" t="s">
        <v>1373</v>
      </c>
      <c r="B5" s="1770"/>
      <c r="C5" s="1771">
        <f>SUM(D5:G5)</f>
        <v>0</v>
      </c>
      <c r="D5" s="1772"/>
      <c r="E5" s="1783"/>
      <c r="F5" s="1774"/>
      <c r="G5" s="1774"/>
      <c r="H5" s="1775">
        <f>SUM(I5:K5)</f>
        <v>0</v>
      </c>
      <c r="I5" s="1776"/>
      <c r="J5" s="1777"/>
      <c r="K5" s="1777"/>
      <c r="L5" s="1775">
        <f>SUM(M5:Y5)</f>
        <v>142.79955220087902</v>
      </c>
      <c r="M5" s="1776"/>
      <c r="N5" s="1777"/>
      <c r="O5" s="1777"/>
      <c r="P5" s="1777"/>
      <c r="Q5" s="1777"/>
      <c r="R5" s="1777">
        <v>18.117529486158194</v>
      </c>
      <c r="S5" s="1777"/>
      <c r="T5" s="1777">
        <v>124.68202271472082</v>
      </c>
      <c r="U5" s="1777"/>
      <c r="V5" s="1774"/>
      <c r="W5" s="1774"/>
      <c r="X5" s="1774"/>
      <c r="Y5" s="1777"/>
      <c r="Z5" s="1775"/>
      <c r="AA5" s="1778">
        <f>SUM(AB5:AI5)</f>
        <v>0</v>
      </c>
      <c r="AB5" s="1779"/>
      <c r="AC5" s="1777"/>
      <c r="AD5" s="1777"/>
      <c r="AE5" s="1777"/>
      <c r="AF5" s="1777"/>
      <c r="AG5" s="1777"/>
      <c r="AH5" s="1776"/>
      <c r="AI5" s="1774"/>
      <c r="AJ5" s="1780"/>
      <c r="AK5" s="1780"/>
      <c r="AL5" s="1778"/>
      <c r="AM5" s="1782">
        <f t="shared" si="0"/>
        <v>142.79955220087902</v>
      </c>
    </row>
    <row r="6" spans="1:51" ht="15" thickBot="1">
      <c r="A6" s="1784" t="s">
        <v>1374</v>
      </c>
      <c r="B6" s="1785"/>
      <c r="C6" s="1771">
        <f>SUM(D6:G6)</f>
        <v>-161.76508111963093</v>
      </c>
      <c r="D6" s="1786">
        <v>-146.91938918054831</v>
      </c>
      <c r="E6" s="1774">
        <v>-11.02502576225352</v>
      </c>
      <c r="F6" s="1787"/>
      <c r="G6" s="1787">
        <v>-3.8206661768291252</v>
      </c>
      <c r="H6" s="1788">
        <f>SUM(I6:K6)</f>
        <v>-559.86079957754225</v>
      </c>
      <c r="I6" s="1789">
        <v>-547.20118857754221</v>
      </c>
      <c r="J6" s="1789">
        <v>0</v>
      </c>
      <c r="K6" s="1789">
        <v>-12.659611000000002</v>
      </c>
      <c r="L6" s="1788">
        <f>SUM(M6:Y6)</f>
        <v>-73.496162448448004</v>
      </c>
      <c r="M6" s="1776">
        <v>-97.146999999999991</v>
      </c>
      <c r="N6" s="1777"/>
      <c r="O6" s="1777">
        <v>-5.4982683999999997</v>
      </c>
      <c r="P6" s="1777">
        <v>18.634508488960002</v>
      </c>
      <c r="Q6" s="1777">
        <v>5.2533480748799999</v>
      </c>
      <c r="R6" s="1777">
        <v>-1.6827368912429379</v>
      </c>
      <c r="S6" s="1777">
        <v>-2.3111387808355093</v>
      </c>
      <c r="T6" s="1777">
        <v>-3.6414216756057693</v>
      </c>
      <c r="U6" s="1777">
        <v>11.487319046860302</v>
      </c>
      <c r="V6" s="1787">
        <v>1.4092276885359116</v>
      </c>
      <c r="W6" s="1787">
        <v>0</v>
      </c>
      <c r="X6" s="1787">
        <v>0</v>
      </c>
      <c r="Y6" s="1789">
        <v>0</v>
      </c>
      <c r="Z6" s="1788">
        <v>3.6022639520810023</v>
      </c>
      <c r="AA6" s="1790">
        <f>SUM(AB6:AI6)</f>
        <v>-1.7920866927126005</v>
      </c>
      <c r="AB6" s="1791"/>
      <c r="AC6" s="1792"/>
      <c r="AD6" s="1792">
        <v>-0.95381526554460039</v>
      </c>
      <c r="AE6" s="1792"/>
      <c r="AF6" s="1792"/>
      <c r="AG6" s="1792">
        <v>-0.83827142716799996</v>
      </c>
      <c r="AH6" s="1789"/>
      <c r="AI6" s="1787"/>
      <c r="AJ6" s="1793"/>
      <c r="AK6" s="1793"/>
      <c r="AL6" s="1790"/>
      <c r="AM6" s="1794">
        <f t="shared" si="0"/>
        <v>-793.3118658862528</v>
      </c>
    </row>
    <row r="7" spans="1:51" s="39" customFormat="1">
      <c r="A7" s="1795" t="s">
        <v>1375</v>
      </c>
      <c r="B7" s="1796"/>
      <c r="C7" s="1797">
        <f t="shared" ref="C7:AL7" si="1">C2+C3-C4-C5+C6</f>
        <v>1323.6238662520491</v>
      </c>
      <c r="D7" s="1798">
        <f t="shared" si="1"/>
        <v>1260.2598568001349</v>
      </c>
      <c r="E7" s="1799">
        <f t="shared" si="1"/>
        <v>46.018647697743276</v>
      </c>
      <c r="F7" s="1799">
        <f t="shared" si="1"/>
        <v>0</v>
      </c>
      <c r="G7" s="1799">
        <f t="shared" si="1"/>
        <v>17.345361754170852</v>
      </c>
      <c r="H7" s="1800">
        <f t="shared" si="1"/>
        <v>723.12540254689213</v>
      </c>
      <c r="I7" s="1798">
        <f t="shared" si="1"/>
        <v>616.61983854689231</v>
      </c>
      <c r="J7" s="1799">
        <f t="shared" si="1"/>
        <v>127.70399999999999</v>
      </c>
      <c r="K7" s="1799">
        <f t="shared" si="1"/>
        <v>-21.198436000000001</v>
      </c>
      <c r="L7" s="1800">
        <f t="shared" si="1"/>
        <v>6544.798989400977</v>
      </c>
      <c r="M7" s="1798">
        <f t="shared" si="1"/>
        <v>2900.3299054758004</v>
      </c>
      <c r="N7" s="1799">
        <f t="shared" si="1"/>
        <v>0</v>
      </c>
      <c r="O7" s="1799">
        <f t="shared" si="1"/>
        <v>654.33619091111098</v>
      </c>
      <c r="P7" s="1799">
        <f t="shared" si="1"/>
        <v>441.1536505084801</v>
      </c>
      <c r="Q7" s="1799">
        <f t="shared" si="1"/>
        <v>891.45780742512</v>
      </c>
      <c r="R7" s="1799">
        <f t="shared" si="1"/>
        <v>-739.07005340593219</v>
      </c>
      <c r="S7" s="1799">
        <f t="shared" si="1"/>
        <v>68.930123444073118</v>
      </c>
      <c r="T7" s="1799">
        <f t="shared" si="1"/>
        <v>1948.4459649550909</v>
      </c>
      <c r="U7" s="1799">
        <f t="shared" si="1"/>
        <v>123.57856385404457</v>
      </c>
      <c r="V7" s="1799">
        <f t="shared" si="1"/>
        <v>-26.992298790055248</v>
      </c>
      <c r="W7" s="1799">
        <f t="shared" si="1"/>
        <v>250.62076302324479</v>
      </c>
      <c r="X7" s="1799">
        <f t="shared" si="1"/>
        <v>1.0215719999999999</v>
      </c>
      <c r="Y7" s="1799">
        <f t="shared" si="1"/>
        <v>30.986800000000002</v>
      </c>
      <c r="Z7" s="1800">
        <f t="shared" si="1"/>
        <v>3871.9188447531519</v>
      </c>
      <c r="AA7" s="1800">
        <f t="shared" si="1"/>
        <v>911.04870406470309</v>
      </c>
      <c r="AB7" s="1801">
        <f t="shared" si="1"/>
        <v>49.749924665631987</v>
      </c>
      <c r="AC7" s="1802">
        <f t="shared" si="1"/>
        <v>390.57024527999988</v>
      </c>
      <c r="AD7" s="1799">
        <f t="shared" si="1"/>
        <v>278.69487279511321</v>
      </c>
      <c r="AE7" s="1799">
        <f t="shared" si="1"/>
        <v>36.754687451319768</v>
      </c>
      <c r="AF7" s="1799">
        <f t="shared" si="1"/>
        <v>11.415308141561425</v>
      </c>
      <c r="AG7" s="1799">
        <f t="shared" si="1"/>
        <v>99.356886071526858</v>
      </c>
      <c r="AH7" s="1803">
        <f t="shared" si="1"/>
        <v>11.278273490844283</v>
      </c>
      <c r="AI7" s="1798">
        <f t="shared" si="1"/>
        <v>33.2285061687056</v>
      </c>
      <c r="AJ7" s="1800">
        <f t="shared" si="1"/>
        <v>57.7445443207259</v>
      </c>
      <c r="AK7" s="1804">
        <f>AK2+AK3-AK4-AK5+AK6</f>
        <v>182.24083097999994</v>
      </c>
      <c r="AL7" s="1805">
        <f t="shared" si="1"/>
        <v>0</v>
      </c>
      <c r="AM7" s="1806">
        <f>C7+H7+L7+Z7+AA7+AJ7+AK7+AL7</f>
        <v>13614.5011823185</v>
      </c>
      <c r="AR7"/>
      <c r="AS7"/>
      <c r="AT7"/>
      <c r="AU7"/>
      <c r="AV7"/>
      <c r="AW7"/>
      <c r="AX7"/>
      <c r="AY7"/>
    </row>
    <row r="8" spans="1:51" s="39" customFormat="1" ht="15" thickBot="1">
      <c r="A8" s="1807" t="s">
        <v>1377</v>
      </c>
      <c r="B8" s="1808"/>
      <c r="C8" s="1809">
        <f t="shared" ref="C8:AL8" si="2">C7-C28</f>
        <v>1323.6238662520491</v>
      </c>
      <c r="D8" s="1810">
        <f>D7-D28</f>
        <v>1260.2598568001349</v>
      </c>
      <c r="E8" s="1811">
        <f t="shared" si="2"/>
        <v>46.018647697743276</v>
      </c>
      <c r="F8" s="1812">
        <f t="shared" si="2"/>
        <v>0</v>
      </c>
      <c r="G8" s="1812">
        <f t="shared" si="2"/>
        <v>17.345361754170852</v>
      </c>
      <c r="H8" s="1813">
        <f t="shared" si="2"/>
        <v>723.12540254689213</v>
      </c>
      <c r="I8" s="1810">
        <f t="shared" si="2"/>
        <v>616.61983854689231</v>
      </c>
      <c r="J8" s="1811">
        <f t="shared" si="2"/>
        <v>127.70399999999999</v>
      </c>
      <c r="K8" s="1811">
        <f t="shared" si="2"/>
        <v>-21.198436000000001</v>
      </c>
      <c r="L8" s="1813">
        <f t="shared" si="2"/>
        <v>6262.169854377732</v>
      </c>
      <c r="M8" s="1810">
        <f t="shared" si="2"/>
        <v>2900.3299054758004</v>
      </c>
      <c r="N8" s="1811">
        <f t="shared" si="2"/>
        <v>0</v>
      </c>
      <c r="O8" s="1811">
        <f t="shared" si="2"/>
        <v>654.33619091111098</v>
      </c>
      <c r="P8" s="1811">
        <f t="shared" si="2"/>
        <v>441.1536505084801</v>
      </c>
      <c r="Q8" s="1811">
        <f t="shared" si="2"/>
        <v>891.45780742512</v>
      </c>
      <c r="R8" s="1811">
        <f t="shared" si="2"/>
        <v>-739.07005340593219</v>
      </c>
      <c r="S8" s="1811">
        <f t="shared" si="2"/>
        <v>68.930123444073118</v>
      </c>
      <c r="T8" s="1811">
        <f t="shared" si="2"/>
        <v>1948.4459649550909</v>
      </c>
      <c r="U8" s="1811">
        <f t="shared" si="2"/>
        <v>123.57856385404457</v>
      </c>
      <c r="V8" s="1812">
        <f t="shared" si="2"/>
        <v>-26.992298790055248</v>
      </c>
      <c r="W8" s="1812">
        <f t="shared" si="2"/>
        <v>0</v>
      </c>
      <c r="X8" s="1812">
        <f t="shared" si="2"/>
        <v>0</v>
      </c>
      <c r="Y8" s="1811">
        <f t="shared" si="2"/>
        <v>0</v>
      </c>
      <c r="Z8" s="1813">
        <f t="shared" si="2"/>
        <v>3871.9188447531519</v>
      </c>
      <c r="AA8" s="1814">
        <f t="shared" si="2"/>
        <v>911.04870406470309</v>
      </c>
      <c r="AB8" s="1810">
        <f t="shared" si="2"/>
        <v>49.749924665631987</v>
      </c>
      <c r="AC8" s="1811">
        <f t="shared" si="2"/>
        <v>390.57024527999988</v>
      </c>
      <c r="AD8" s="1811">
        <f t="shared" si="2"/>
        <v>278.69487279511321</v>
      </c>
      <c r="AE8" s="1811">
        <f t="shared" si="2"/>
        <v>36.754687451319768</v>
      </c>
      <c r="AF8" s="1811">
        <f t="shared" si="2"/>
        <v>11.415308141561425</v>
      </c>
      <c r="AG8" s="1811">
        <f t="shared" si="2"/>
        <v>99.356886071526858</v>
      </c>
      <c r="AH8" s="1815">
        <f t="shared" si="2"/>
        <v>11.278273490844283</v>
      </c>
      <c r="AI8" s="1810">
        <f t="shared" si="2"/>
        <v>33.2285061687056</v>
      </c>
      <c r="AJ8" s="1813">
        <f t="shared" si="2"/>
        <v>57.7445443207259</v>
      </c>
      <c r="AK8" s="1813">
        <f t="shared" si="2"/>
        <v>182.24083097999994</v>
      </c>
      <c r="AL8" s="1810">
        <f t="shared" si="2"/>
        <v>0</v>
      </c>
      <c r="AM8" s="1816">
        <f t="shared" si="0"/>
        <v>13331.872047295254</v>
      </c>
      <c r="AR8"/>
      <c r="AS8"/>
      <c r="AT8"/>
      <c r="AU8"/>
      <c r="AV8"/>
      <c r="AW8"/>
      <c r="AX8"/>
      <c r="AY8"/>
    </row>
    <row r="9" spans="1:51">
      <c r="A9" s="1795" t="s">
        <v>1378</v>
      </c>
      <c r="B9" s="1796"/>
      <c r="C9" s="1797">
        <f t="shared" ref="C9:AL9" si="3">SUM(C10:C14)</f>
        <v>970.32299165317386</v>
      </c>
      <c r="D9" s="1803">
        <f t="shared" si="3"/>
        <v>970.32299165317386</v>
      </c>
      <c r="E9" s="1799">
        <f t="shared" si="3"/>
        <v>0</v>
      </c>
      <c r="F9" s="1817">
        <f t="shared" si="3"/>
        <v>0</v>
      </c>
      <c r="G9" s="1817">
        <f t="shared" si="3"/>
        <v>0</v>
      </c>
      <c r="H9" s="1800">
        <f t="shared" si="3"/>
        <v>638.55291862312038</v>
      </c>
      <c r="I9" s="1803">
        <f t="shared" si="3"/>
        <v>638.55291862312038</v>
      </c>
      <c r="J9" s="1799">
        <f t="shared" si="3"/>
        <v>0</v>
      </c>
      <c r="K9" s="1799">
        <f t="shared" si="3"/>
        <v>0</v>
      </c>
      <c r="L9" s="1800">
        <f t="shared" si="3"/>
        <v>2945.5902206998644</v>
      </c>
      <c r="M9" s="1799">
        <f t="shared" si="3"/>
        <v>2902.1387999999997</v>
      </c>
      <c r="N9" s="1799">
        <f t="shared" si="3"/>
        <v>5.0546089151999993</v>
      </c>
      <c r="O9" s="1799">
        <f t="shared" si="3"/>
        <v>0</v>
      </c>
      <c r="P9" s="1799">
        <f t="shared" si="3"/>
        <v>0</v>
      </c>
      <c r="Q9" s="1799">
        <f t="shared" si="3"/>
        <v>0</v>
      </c>
      <c r="R9" s="1799">
        <f t="shared" si="3"/>
        <v>33.292608944288524</v>
      </c>
      <c r="S9" s="1799">
        <f t="shared" si="3"/>
        <v>0.61192773760319985</v>
      </c>
      <c r="T9" s="1799">
        <f t="shared" si="3"/>
        <v>4.4922751027731254</v>
      </c>
      <c r="U9" s="1799">
        <f t="shared" si="3"/>
        <v>0</v>
      </c>
      <c r="V9" s="1817">
        <f t="shared" si="3"/>
        <v>0</v>
      </c>
      <c r="W9" s="1817">
        <f t="shared" si="3"/>
        <v>0</v>
      </c>
      <c r="X9" s="1817">
        <f t="shared" si="3"/>
        <v>0</v>
      </c>
      <c r="Y9" s="1799">
        <f t="shared" si="3"/>
        <v>0</v>
      </c>
      <c r="Z9" s="1800">
        <f t="shared" si="3"/>
        <v>2154.6991028483581</v>
      </c>
      <c r="AA9" s="1798">
        <f t="shared" si="3"/>
        <v>118.216008915424</v>
      </c>
      <c r="AB9" s="1818">
        <f t="shared" si="3"/>
        <v>0</v>
      </c>
      <c r="AC9" s="1799">
        <f t="shared" si="3"/>
        <v>0</v>
      </c>
      <c r="AD9" s="1799">
        <f t="shared" si="3"/>
        <v>77.110661205077406</v>
      </c>
      <c r="AE9" s="1799">
        <f t="shared" si="3"/>
        <v>36.754687451319768</v>
      </c>
      <c r="AF9" s="1799">
        <f t="shared" si="3"/>
        <v>4.3506602590268377</v>
      </c>
      <c r="AG9" s="1799">
        <f t="shared" si="3"/>
        <v>0</v>
      </c>
      <c r="AH9" s="1803">
        <f t="shared" si="3"/>
        <v>0</v>
      </c>
      <c r="AI9" s="1817">
        <f t="shared" si="3"/>
        <v>0</v>
      </c>
      <c r="AJ9" s="1800">
        <f t="shared" si="3"/>
        <v>22.857128964614091</v>
      </c>
      <c r="AK9" s="1804">
        <f t="shared" si="3"/>
        <v>67.803114660000006</v>
      </c>
      <c r="AL9" s="1798">
        <f t="shared" si="3"/>
        <v>0</v>
      </c>
      <c r="AM9" s="1819">
        <f t="shared" si="0"/>
        <v>6918.0414863645547</v>
      </c>
    </row>
    <row r="10" spans="1:51">
      <c r="A10" s="1820" t="s">
        <v>1379</v>
      </c>
      <c r="B10" s="1821"/>
      <c r="C10" s="1822">
        <f>SUM(D10:G10)</f>
        <v>970.32299165317386</v>
      </c>
      <c r="D10" s="1823">
        <v>970.32299165317386</v>
      </c>
      <c r="E10" s="1824"/>
      <c r="F10" s="1825"/>
      <c r="G10" s="1825"/>
      <c r="H10" s="1826">
        <f>SUM(I10:K10)</f>
        <v>497.52552670669769</v>
      </c>
      <c r="I10" s="1823">
        <v>497.52552670669769</v>
      </c>
      <c r="J10" s="1824">
        <v>0</v>
      </c>
      <c r="K10" s="1824"/>
      <c r="L10" s="1826">
        <f>SUM(M10:Y10)</f>
        <v>37.784884047061652</v>
      </c>
      <c r="M10" s="1824"/>
      <c r="N10" s="1824"/>
      <c r="O10" s="1824"/>
      <c r="P10" s="1824"/>
      <c r="Q10" s="1824"/>
      <c r="R10" s="3384">
        <v>33.292608944288524</v>
      </c>
      <c r="S10" s="1824"/>
      <c r="T10" s="1824">
        <v>4.4922751027731254</v>
      </c>
      <c r="U10" s="1824"/>
      <c r="V10" s="1825"/>
      <c r="W10" s="1825"/>
      <c r="X10" s="1825"/>
      <c r="Y10" s="1824"/>
      <c r="Z10" s="1826">
        <v>1829.9457145389074</v>
      </c>
      <c r="AA10" s="1827">
        <f>SUM(AB10:AI10)</f>
        <v>109.74668205542056</v>
      </c>
      <c r="AB10" s="1828"/>
      <c r="AC10" s="1824"/>
      <c r="AD10" s="1829">
        <v>72.991994604100796</v>
      </c>
      <c r="AE10" s="1829">
        <v>36.754687451319768</v>
      </c>
      <c r="AF10" s="1824"/>
      <c r="AG10" s="1824"/>
      <c r="AH10" s="1823"/>
      <c r="AI10" s="1825"/>
      <c r="AJ10" s="1830">
        <v>22.857128964614091</v>
      </c>
      <c r="AK10" s="1831"/>
      <c r="AL10" s="1827"/>
      <c r="AM10" s="1832">
        <f t="shared" si="0"/>
        <v>3468.1829279658755</v>
      </c>
    </row>
    <row r="11" spans="1:51">
      <c r="A11" s="1769" t="s">
        <v>1380</v>
      </c>
      <c r="B11" s="1770"/>
      <c r="C11" s="1833">
        <f>SUM(D11:G11)</f>
        <v>0</v>
      </c>
      <c r="D11" s="1776">
        <v>0</v>
      </c>
      <c r="E11" s="1777"/>
      <c r="F11" s="1774"/>
      <c r="G11" s="1774"/>
      <c r="H11" s="1834">
        <f>SUM(I11:K11)</f>
        <v>9.4132356226773783</v>
      </c>
      <c r="I11" s="1776">
        <v>9.4132356226773783</v>
      </c>
      <c r="J11" s="1777"/>
      <c r="K11" s="1777"/>
      <c r="L11" s="1834">
        <f>SUM(M11:Y11)</f>
        <v>5.6665366528031988</v>
      </c>
      <c r="M11" s="1777"/>
      <c r="N11" s="1835">
        <v>5.0546089151999993</v>
      </c>
      <c r="O11" s="1777"/>
      <c r="P11" s="1777"/>
      <c r="Q11" s="1777"/>
      <c r="R11" s="3385">
        <v>0</v>
      </c>
      <c r="S11" s="1777">
        <v>0.61192773760319985</v>
      </c>
      <c r="T11" s="1777">
        <v>0</v>
      </c>
      <c r="U11" s="1777"/>
      <c r="V11" s="1774"/>
      <c r="W11" s="1774"/>
      <c r="X11" s="1774"/>
      <c r="Y11" s="1777"/>
      <c r="Z11" s="1834">
        <v>268.07429530517408</v>
      </c>
      <c r="AA11" s="1778">
        <f>SUM(AB11:AI11)</f>
        <v>8.4693268600034415</v>
      </c>
      <c r="AB11" s="1779"/>
      <c r="AC11" s="1777"/>
      <c r="AD11" s="1836">
        <v>4.1186666009766029</v>
      </c>
      <c r="AE11" s="1777"/>
      <c r="AF11" s="1836">
        <v>4.3506602590268377</v>
      </c>
      <c r="AG11" s="1777"/>
      <c r="AH11" s="1776"/>
      <c r="AI11" s="1774"/>
      <c r="AJ11" s="1780"/>
      <c r="AK11" s="1780"/>
      <c r="AL11" s="1778"/>
      <c r="AM11" s="1782">
        <f t="shared" si="0"/>
        <v>291.6233944406581</v>
      </c>
    </row>
    <row r="12" spans="1:51">
      <c r="A12" s="1769" t="s">
        <v>1381</v>
      </c>
      <c r="B12" s="1770"/>
      <c r="C12" s="1771"/>
      <c r="D12" s="1776"/>
      <c r="E12" s="1777"/>
      <c r="F12" s="1774"/>
      <c r="G12" s="1774"/>
      <c r="H12" s="1775"/>
      <c r="I12" s="1776"/>
      <c r="J12" s="1777"/>
      <c r="K12" s="1777"/>
      <c r="L12" s="1775"/>
      <c r="M12" s="1777"/>
      <c r="N12" s="1835"/>
      <c r="O12" s="1777"/>
      <c r="P12" s="1777"/>
      <c r="Q12" s="1777"/>
      <c r="R12" s="1777"/>
      <c r="S12" s="1777"/>
      <c r="T12" s="1777"/>
      <c r="U12" s="1777"/>
      <c r="V12" s="1774"/>
      <c r="W12" s="1774"/>
      <c r="X12" s="1774"/>
      <c r="Y12" s="1777"/>
      <c r="Z12" s="1775"/>
      <c r="AA12" s="1778"/>
      <c r="AB12" s="1779"/>
      <c r="AC12" s="1777"/>
      <c r="AD12" s="1777"/>
      <c r="AE12" s="1777"/>
      <c r="AF12" s="1777"/>
      <c r="AG12" s="1777"/>
      <c r="AH12" s="1776"/>
      <c r="AI12" s="1774"/>
      <c r="AJ12" s="1780"/>
      <c r="AK12" s="1780">
        <v>50.326280660000002</v>
      </c>
      <c r="AL12" s="1778"/>
      <c r="AM12" s="1782">
        <f t="shared" si="0"/>
        <v>50.326280660000002</v>
      </c>
    </row>
    <row r="13" spans="1:51">
      <c r="A13" s="1769" t="s">
        <v>1382</v>
      </c>
      <c r="B13" s="1770"/>
      <c r="C13" s="1771">
        <f>SUM(D13:G13)</f>
        <v>0</v>
      </c>
      <c r="D13" s="1776"/>
      <c r="E13" s="1774"/>
      <c r="F13" s="1774"/>
      <c r="G13" s="1774"/>
      <c r="H13" s="1775">
        <f>SUM(I13:K13)</f>
        <v>131.61415629374525</v>
      </c>
      <c r="I13" s="1776">
        <v>131.61415629374525</v>
      </c>
      <c r="J13" s="1777"/>
      <c r="K13" s="1777"/>
      <c r="L13" s="1775">
        <f>SUM(M13:Y13)</f>
        <v>0</v>
      </c>
      <c r="M13" s="1777"/>
      <c r="N13" s="1777"/>
      <c r="O13" s="1777"/>
      <c r="P13" s="1777"/>
      <c r="Q13" s="1777"/>
      <c r="R13" s="1777"/>
      <c r="S13" s="1777"/>
      <c r="T13" s="1777"/>
      <c r="U13" s="1777"/>
      <c r="V13" s="1774"/>
      <c r="W13" s="1774"/>
      <c r="X13" s="1774"/>
      <c r="Y13" s="1777"/>
      <c r="Z13" s="1775"/>
      <c r="AA13" s="1778">
        <f>SUM(AB13:AI13)</f>
        <v>0</v>
      </c>
      <c r="AB13" s="1779"/>
      <c r="AC13" s="1777"/>
      <c r="AD13" s="1777"/>
      <c r="AE13" s="1777"/>
      <c r="AF13" s="1777"/>
      <c r="AG13" s="1777"/>
      <c r="AH13" s="1776"/>
      <c r="AI13" s="1774"/>
      <c r="AJ13" s="1780"/>
      <c r="AK13" s="1780"/>
      <c r="AL13" s="1778"/>
      <c r="AM13" s="1782">
        <f t="shared" si="0"/>
        <v>131.61415629374525</v>
      </c>
    </row>
    <row r="14" spans="1:51">
      <c r="A14" s="1837" t="s">
        <v>1383</v>
      </c>
      <c r="B14" s="1838"/>
      <c r="C14" s="1839">
        <f>SUM(D14:G14)</f>
        <v>0</v>
      </c>
      <c r="D14" s="1840"/>
      <c r="E14" s="1841"/>
      <c r="F14" s="1842"/>
      <c r="G14" s="1842"/>
      <c r="H14" s="1843">
        <f>SUM(I14:K14)</f>
        <v>0</v>
      </c>
      <c r="I14" s="1840"/>
      <c r="J14" s="1841"/>
      <c r="K14" s="1841"/>
      <c r="L14" s="1843">
        <f>SUM(M14:Y14)</f>
        <v>2902.1387999999997</v>
      </c>
      <c r="M14" s="1841">
        <v>2902.1387999999997</v>
      </c>
      <c r="N14" s="1841"/>
      <c r="O14" s="1841"/>
      <c r="P14" s="1841"/>
      <c r="Q14" s="1841"/>
      <c r="R14" s="1841"/>
      <c r="S14" s="1841"/>
      <c r="T14" s="1841"/>
      <c r="U14" s="1841"/>
      <c r="V14" s="1842"/>
      <c r="W14" s="1842"/>
      <c r="X14" s="1842"/>
      <c r="Y14" s="1841"/>
      <c r="Z14" s="1843">
        <v>56.679093004276822</v>
      </c>
      <c r="AA14" s="1844">
        <f>SUM(AB14:AI14)</f>
        <v>0</v>
      </c>
      <c r="AB14" s="1845"/>
      <c r="AC14" s="1841"/>
      <c r="AD14" s="1841"/>
      <c r="AE14" s="1841"/>
      <c r="AF14" s="1841"/>
      <c r="AG14" s="1841"/>
      <c r="AH14" s="1840"/>
      <c r="AI14" s="1842"/>
      <c r="AJ14" s="1846"/>
      <c r="AK14" s="1846">
        <v>17.476834</v>
      </c>
      <c r="AL14" s="1844"/>
      <c r="AM14" s="1847">
        <f t="shared" si="0"/>
        <v>2976.2947270042764</v>
      </c>
    </row>
    <row r="15" spans="1:51">
      <c r="A15" s="1848" t="s">
        <v>1384</v>
      </c>
      <c r="B15" s="1849"/>
      <c r="C15" s="1850">
        <f t="shared" ref="C15:AL15" si="4">SUM(C16:C21)</f>
        <v>0</v>
      </c>
      <c r="D15" s="1851">
        <f t="shared" si="4"/>
        <v>0</v>
      </c>
      <c r="E15" s="1852">
        <f t="shared" si="4"/>
        <v>0</v>
      </c>
      <c r="F15" s="1853">
        <f t="shared" si="4"/>
        <v>0</v>
      </c>
      <c r="G15" s="1853">
        <f t="shared" si="4"/>
        <v>0</v>
      </c>
      <c r="H15" s="1854">
        <f t="shared" si="4"/>
        <v>106.10514499999999</v>
      </c>
      <c r="I15" s="1851">
        <f t="shared" si="4"/>
        <v>0</v>
      </c>
      <c r="J15" s="1852">
        <f t="shared" si="4"/>
        <v>0</v>
      </c>
      <c r="K15" s="1852">
        <f t="shared" si="4"/>
        <v>106.10514499999999</v>
      </c>
      <c r="L15" s="1854">
        <f t="shared" si="4"/>
        <v>2931.9411907781869</v>
      </c>
      <c r="M15" s="1852">
        <f t="shared" si="4"/>
        <v>0</v>
      </c>
      <c r="N15" s="1852">
        <f t="shared" si="4"/>
        <v>69.086897826126389</v>
      </c>
      <c r="O15" s="1852">
        <f t="shared" si="4"/>
        <v>562.92173059764002</v>
      </c>
      <c r="P15" s="1852">
        <f t="shared" si="4"/>
        <v>111.32215516240002</v>
      </c>
      <c r="Q15" s="1852">
        <f t="shared" si="4"/>
        <v>0</v>
      </c>
      <c r="R15" s="1852">
        <f t="shared" si="4"/>
        <v>916.87017170280012</v>
      </c>
      <c r="S15" s="1852">
        <f t="shared" si="4"/>
        <v>70.984914459900011</v>
      </c>
      <c r="T15" s="1852">
        <f t="shared" si="4"/>
        <v>1179.2461476955775</v>
      </c>
      <c r="U15" s="1852">
        <f t="shared" si="4"/>
        <v>0</v>
      </c>
      <c r="V15" s="1853">
        <f t="shared" si="4"/>
        <v>21.509173333743</v>
      </c>
      <c r="W15" s="1853">
        <f t="shared" si="4"/>
        <v>0</v>
      </c>
      <c r="X15" s="1853">
        <f t="shared" si="4"/>
        <v>0</v>
      </c>
      <c r="Y15" s="1852">
        <f t="shared" si="4"/>
        <v>0</v>
      </c>
      <c r="Z15" s="1854">
        <f t="shared" si="4"/>
        <v>0</v>
      </c>
      <c r="AA15" s="1855">
        <f t="shared" si="4"/>
        <v>41.371915039624923</v>
      </c>
      <c r="AB15" s="1856">
        <f t="shared" si="4"/>
        <v>0</v>
      </c>
      <c r="AC15" s="1852">
        <f t="shared" si="4"/>
        <v>0</v>
      </c>
      <c r="AD15" s="1852">
        <f t="shared" si="4"/>
        <v>25.744375002468466</v>
      </c>
      <c r="AE15" s="1857">
        <f t="shared" si="4"/>
        <v>13.557483702156457</v>
      </c>
      <c r="AF15" s="1857">
        <f t="shared" si="4"/>
        <v>2.0700563349999994</v>
      </c>
      <c r="AG15" s="1857">
        <f t="shared" si="4"/>
        <v>0</v>
      </c>
      <c r="AH15" s="1851">
        <f t="shared" si="4"/>
        <v>0</v>
      </c>
      <c r="AI15" s="1853">
        <f t="shared" si="4"/>
        <v>0</v>
      </c>
      <c r="AJ15" s="1854">
        <f t="shared" si="4"/>
        <v>5.2130909864396546</v>
      </c>
      <c r="AK15" s="1858">
        <f>SUM(AK16:AK21)</f>
        <v>1806.0112535105843</v>
      </c>
      <c r="AL15" s="1855">
        <f t="shared" si="4"/>
        <v>0</v>
      </c>
      <c r="AM15" s="1859">
        <f t="shared" si="0"/>
        <v>4890.6425953148355</v>
      </c>
    </row>
    <row r="16" spans="1:51">
      <c r="A16" s="1820" t="s">
        <v>1379</v>
      </c>
      <c r="B16" s="1821"/>
      <c r="C16" s="1860">
        <f>SUM(D16:G16)</f>
        <v>0</v>
      </c>
      <c r="D16" s="1823"/>
      <c r="E16" s="1824"/>
      <c r="F16" s="1825"/>
      <c r="G16" s="1825"/>
      <c r="H16" s="1831">
        <f>SUM(I16:K16)</f>
        <v>0</v>
      </c>
      <c r="I16" s="1823"/>
      <c r="J16" s="1824"/>
      <c r="K16" s="1824"/>
      <c r="L16" s="1831">
        <f>SUM(M16:Y16)</f>
        <v>0</v>
      </c>
      <c r="M16" s="1824"/>
      <c r="N16" s="1824"/>
      <c r="O16" s="1824"/>
      <c r="P16" s="1824"/>
      <c r="Q16" s="1824"/>
      <c r="R16" s="1824"/>
      <c r="S16" s="1824"/>
      <c r="T16" s="1824"/>
      <c r="U16" s="1824"/>
      <c r="V16" s="1825"/>
      <c r="W16" s="1825"/>
      <c r="X16" s="1825"/>
      <c r="Y16" s="1824" t="s">
        <v>5</v>
      </c>
      <c r="Z16" s="1831"/>
      <c r="AA16" s="1827">
        <f>SUM(AB16:AI16)</f>
        <v>37.973653720624924</v>
      </c>
      <c r="AB16" s="1828"/>
      <c r="AC16" s="1824"/>
      <c r="AD16" s="1824">
        <v>24.416170018468467</v>
      </c>
      <c r="AE16" s="1835">
        <v>13.557483702156457</v>
      </c>
      <c r="AF16" s="1835"/>
      <c r="AG16" s="1835" t="s">
        <v>5</v>
      </c>
      <c r="AH16" s="1823"/>
      <c r="AI16" s="1825"/>
      <c r="AJ16" s="1861">
        <v>5.2130909864396546</v>
      </c>
      <c r="AK16" s="1861">
        <v>1599.486447405845</v>
      </c>
      <c r="AL16" s="1827"/>
      <c r="AM16" s="1862">
        <f>C16+H16+L16+Z16+AK16+AL16</f>
        <v>1599.486447405845</v>
      </c>
    </row>
    <row r="17" spans="1:51">
      <c r="A17" s="1769" t="s">
        <v>1385</v>
      </c>
      <c r="B17" s="1770"/>
      <c r="C17" s="1771">
        <f>SUM(D17:G17)</f>
        <v>0</v>
      </c>
      <c r="D17" s="1776"/>
      <c r="E17" s="1777"/>
      <c r="F17" s="1774"/>
      <c r="G17" s="1774"/>
      <c r="H17" s="1775">
        <f>SUM(I17:K17)</f>
        <v>0</v>
      </c>
      <c r="I17" s="1776"/>
      <c r="J17" s="1777"/>
      <c r="K17" s="1777"/>
      <c r="L17" s="1775">
        <f>SUM(M17:Y17)</f>
        <v>0</v>
      </c>
      <c r="M17" s="1777"/>
      <c r="N17" s="1777"/>
      <c r="O17" s="1777"/>
      <c r="P17" s="1777"/>
      <c r="Q17" s="1777"/>
      <c r="R17" s="1777"/>
      <c r="S17" s="1777"/>
      <c r="T17" s="1777"/>
      <c r="U17" s="1777"/>
      <c r="V17" s="1774"/>
      <c r="W17" s="1774"/>
      <c r="X17" s="1774"/>
      <c r="Y17" s="1777"/>
      <c r="Z17" s="1775"/>
      <c r="AA17" s="1778">
        <f>SUM(AB17:AI17)</f>
        <v>3.3982613189999995</v>
      </c>
      <c r="AB17" s="1779"/>
      <c r="AC17" s="1777"/>
      <c r="AD17" s="1777">
        <v>1.3282049839999999</v>
      </c>
      <c r="AE17" s="1777"/>
      <c r="AF17" s="1777">
        <v>2.0700563349999994</v>
      </c>
      <c r="AG17" s="1777"/>
      <c r="AH17" s="1776"/>
      <c r="AI17" s="1774"/>
      <c r="AJ17" s="1780"/>
      <c r="AK17" s="1863">
        <v>176.87821724765129</v>
      </c>
      <c r="AL17" s="1778"/>
      <c r="AM17" s="1782">
        <f>C17+H17+L17+Z17+AK17+AL17</f>
        <v>176.87821724765129</v>
      </c>
    </row>
    <row r="18" spans="1:51">
      <c r="A18" s="1769" t="s">
        <v>1386</v>
      </c>
      <c r="B18" s="1770"/>
      <c r="C18" s="1771"/>
      <c r="D18" s="1776"/>
      <c r="E18" s="1777"/>
      <c r="F18" s="1774"/>
      <c r="G18" s="1774"/>
      <c r="H18" s="1775"/>
      <c r="I18" s="1776"/>
      <c r="J18" s="1777"/>
      <c r="K18" s="1777"/>
      <c r="L18" s="1775"/>
      <c r="M18" s="1777"/>
      <c r="N18" s="1777"/>
      <c r="O18" s="1777"/>
      <c r="P18" s="1777"/>
      <c r="Q18" s="1777"/>
      <c r="R18" s="1777"/>
      <c r="S18" s="1777"/>
      <c r="T18" s="1777"/>
      <c r="U18" s="1777"/>
      <c r="V18" s="1774"/>
      <c r="W18" s="1774"/>
      <c r="X18" s="1774"/>
      <c r="Y18" s="1777"/>
      <c r="Z18" s="1775"/>
      <c r="AA18" s="1778">
        <f>SUM(AB18:AI18)</f>
        <v>0</v>
      </c>
      <c r="AB18" s="1779"/>
      <c r="AC18" s="1777"/>
      <c r="AD18" s="1777"/>
      <c r="AE18" s="1777"/>
      <c r="AF18" s="1777"/>
      <c r="AG18" s="1777"/>
      <c r="AH18" s="1776"/>
      <c r="AI18" s="1774"/>
      <c r="AJ18" s="1780"/>
      <c r="AK18" s="1780"/>
      <c r="AL18" s="1778"/>
      <c r="AM18" s="1782">
        <f t="shared" si="0"/>
        <v>0</v>
      </c>
    </row>
    <row r="19" spans="1:51">
      <c r="A19" s="1769" t="s">
        <v>1387</v>
      </c>
      <c r="B19" s="1770"/>
      <c r="C19" s="1771"/>
      <c r="D19" s="1776"/>
      <c r="E19" s="1777"/>
      <c r="F19" s="1774"/>
      <c r="G19" s="1774"/>
      <c r="H19" s="1775"/>
      <c r="I19" s="1776"/>
      <c r="J19" s="1777"/>
      <c r="K19" s="1777"/>
      <c r="L19" s="1775"/>
      <c r="M19" s="1777"/>
      <c r="N19" s="1777"/>
      <c r="O19" s="1777"/>
      <c r="P19" s="1777"/>
      <c r="Q19" s="1777"/>
      <c r="R19" s="1777"/>
      <c r="S19" s="1777"/>
      <c r="T19" s="1777"/>
      <c r="U19" s="1777"/>
      <c r="V19" s="1774"/>
      <c r="W19" s="1774"/>
      <c r="X19" s="1774"/>
      <c r="Y19" s="1777"/>
      <c r="Z19" s="1775"/>
      <c r="AA19" s="1778"/>
      <c r="AB19" s="1779"/>
      <c r="AC19" s="1777"/>
      <c r="AD19" s="1777"/>
      <c r="AE19" s="1777"/>
      <c r="AF19" s="1777"/>
      <c r="AG19" s="1777"/>
      <c r="AH19" s="1776"/>
      <c r="AI19" s="1774"/>
      <c r="AJ19" s="1780"/>
      <c r="AK19" s="1780">
        <v>29.646588857087998</v>
      </c>
      <c r="AL19" s="1778"/>
      <c r="AM19" s="1782">
        <f t="shared" si="0"/>
        <v>29.646588857087998</v>
      </c>
    </row>
    <row r="20" spans="1:51">
      <c r="A20" s="1769" t="s">
        <v>1382</v>
      </c>
      <c r="B20" s="1770"/>
      <c r="C20" s="1771"/>
      <c r="D20" s="1864"/>
      <c r="E20" s="1777"/>
      <c r="F20" s="1774"/>
      <c r="G20" s="1774"/>
      <c r="H20" s="1775">
        <f>SUM(I20:K20)</f>
        <v>106.10514499999999</v>
      </c>
      <c r="I20" s="1776"/>
      <c r="J20" s="1777"/>
      <c r="K20" s="1777">
        <v>106.10514499999999</v>
      </c>
      <c r="L20" s="1775">
        <f>SUM(M20:Y20)</f>
        <v>0</v>
      </c>
      <c r="M20" s="1777"/>
      <c r="N20" s="1777"/>
      <c r="O20" s="1777"/>
      <c r="P20" s="1777"/>
      <c r="Q20" s="1777"/>
      <c r="R20" s="1777"/>
      <c r="S20" s="1777"/>
      <c r="T20" s="1777"/>
      <c r="U20" s="1777"/>
      <c r="V20" s="1774"/>
      <c r="W20" s="1774"/>
      <c r="X20" s="1774"/>
      <c r="Y20" s="1777"/>
      <c r="Z20" s="1775"/>
      <c r="AA20" s="1778">
        <f>SUM(AB20:AI20)</f>
        <v>0</v>
      </c>
      <c r="AB20" s="1779"/>
      <c r="AC20" s="1777"/>
      <c r="AD20" s="1777"/>
      <c r="AE20" s="1777"/>
      <c r="AF20" s="1777" t="s">
        <v>5</v>
      </c>
      <c r="AG20" s="1777"/>
      <c r="AH20" s="1776"/>
      <c r="AI20" s="1774"/>
      <c r="AJ20" s="1780"/>
      <c r="AK20" s="1780"/>
      <c r="AL20" s="1778"/>
      <c r="AM20" s="1782">
        <f t="shared" si="0"/>
        <v>106.10514499999999</v>
      </c>
    </row>
    <row r="21" spans="1:51">
      <c r="A21" s="1837" t="s">
        <v>1388</v>
      </c>
      <c r="B21" s="1838"/>
      <c r="C21" s="1839"/>
      <c r="D21" s="1840"/>
      <c r="E21" s="1841"/>
      <c r="F21" s="1842"/>
      <c r="G21" s="1842"/>
      <c r="H21" s="1843">
        <f>SUM(I21:K21)</f>
        <v>0</v>
      </c>
      <c r="I21" s="1840"/>
      <c r="J21" s="1841"/>
      <c r="K21" s="1841"/>
      <c r="L21" s="1843">
        <f>SUM(M21:Y21)</f>
        <v>2931.9411907781869</v>
      </c>
      <c r="M21" s="1841"/>
      <c r="N21" s="1841">
        <v>69.086897826126389</v>
      </c>
      <c r="O21" s="1841">
        <v>562.92173059764002</v>
      </c>
      <c r="P21" s="1841">
        <v>111.32215516240002</v>
      </c>
      <c r="Q21" s="1841">
        <v>0</v>
      </c>
      <c r="R21" s="1841">
        <v>916.87017170280012</v>
      </c>
      <c r="S21" s="1841">
        <v>70.984914459900011</v>
      </c>
      <c r="T21" s="1841">
        <v>1179.2461476955775</v>
      </c>
      <c r="U21" s="1841"/>
      <c r="V21" s="1842">
        <v>21.509173333743</v>
      </c>
      <c r="W21" s="1842"/>
      <c r="X21" s="1842"/>
      <c r="Y21" s="1841"/>
      <c r="Z21" s="1843"/>
      <c r="AA21" s="1844">
        <f>SUM(AB21:AI21)</f>
        <v>0</v>
      </c>
      <c r="AB21" s="1845"/>
      <c r="AC21" s="1841"/>
      <c r="AD21" s="1841"/>
      <c r="AE21" s="1841"/>
      <c r="AF21" s="1841"/>
      <c r="AG21" s="1841"/>
      <c r="AH21" s="1840"/>
      <c r="AI21" s="1842"/>
      <c r="AJ21" s="1846"/>
      <c r="AK21" s="1846"/>
      <c r="AL21" s="1844"/>
      <c r="AM21" s="1847">
        <f t="shared" si="0"/>
        <v>2931.9411907781869</v>
      </c>
    </row>
    <row r="22" spans="1:51">
      <c r="A22" s="1865" t="s">
        <v>1389</v>
      </c>
      <c r="B22" s="1866"/>
      <c r="C22" s="1867">
        <f>SUM(C23:C25)</f>
        <v>23.921544282453681</v>
      </c>
      <c r="D22" s="1868">
        <f>SUM(D23:D25)</f>
        <v>-14.006230000000002</v>
      </c>
      <c r="E22" s="1869">
        <f>SUM(E23:E25)</f>
        <v>37.927774282453683</v>
      </c>
      <c r="F22" s="1870">
        <f>SUM(F23:F25)</f>
        <v>0</v>
      </c>
      <c r="G22" s="1870">
        <f>SUM(G23:G25)</f>
        <v>0</v>
      </c>
      <c r="H22" s="1871">
        <f>SUM(I22:K22)</f>
        <v>0</v>
      </c>
      <c r="I22" s="1868">
        <f>SUM(I23:I25)</f>
        <v>0</v>
      </c>
      <c r="J22" s="1869">
        <f>SUM(J23:J25)</f>
        <v>0</v>
      </c>
      <c r="K22" s="1869">
        <f>SUM(K23:K25)</f>
        <v>0</v>
      </c>
      <c r="L22" s="1871">
        <f>SUM(M22:Y22)</f>
        <v>-25.785691024854437</v>
      </c>
      <c r="M22" s="1869">
        <f t="shared" ref="M22:AM22" si="5">SUM(M23:M25)</f>
        <v>0</v>
      </c>
      <c r="N22" s="1869">
        <f t="shared" si="5"/>
        <v>0</v>
      </c>
      <c r="O22" s="1869">
        <f t="shared" si="5"/>
        <v>0.27860952222222218</v>
      </c>
      <c r="P22" s="1869">
        <f t="shared" si="5"/>
        <v>218.03413355360001</v>
      </c>
      <c r="Q22" s="1869">
        <f t="shared" si="5"/>
        <v>-217.84516094495999</v>
      </c>
      <c r="R22" s="1869">
        <f t="shared" si="5"/>
        <v>1.7216905209039548</v>
      </c>
      <c r="S22" s="1869">
        <f t="shared" si="5"/>
        <v>0</v>
      </c>
      <c r="T22" s="1869">
        <f t="shared" si="5"/>
        <v>-4.0534193941669514</v>
      </c>
      <c r="U22" s="1869">
        <f t="shared" si="5"/>
        <v>-23.921544282453681</v>
      </c>
      <c r="V22" s="1870">
        <f t="shared" si="5"/>
        <v>0</v>
      </c>
      <c r="W22" s="1870">
        <f t="shared" si="5"/>
        <v>0</v>
      </c>
      <c r="X22" s="1870">
        <f t="shared" si="5"/>
        <v>0</v>
      </c>
      <c r="Y22" s="1869">
        <f t="shared" si="5"/>
        <v>0</v>
      </c>
      <c r="Z22" s="1871">
        <f t="shared" si="5"/>
        <v>0</v>
      </c>
      <c r="AA22" s="1872">
        <f t="shared" si="5"/>
        <v>-440.32016994563185</v>
      </c>
      <c r="AB22" s="1873">
        <f t="shared" si="5"/>
        <v>-49.749924665631987</v>
      </c>
      <c r="AC22" s="1869">
        <f t="shared" si="5"/>
        <v>-390.57024527999988</v>
      </c>
      <c r="AD22" s="1869">
        <f t="shared" si="5"/>
        <v>0</v>
      </c>
      <c r="AE22" s="1874">
        <f t="shared" si="5"/>
        <v>0</v>
      </c>
      <c r="AF22" s="1874">
        <f t="shared" si="5"/>
        <v>0</v>
      </c>
      <c r="AG22" s="1874">
        <f t="shared" si="5"/>
        <v>0</v>
      </c>
      <c r="AH22" s="1868">
        <f t="shared" si="5"/>
        <v>0</v>
      </c>
      <c r="AI22" s="1870">
        <f t="shared" si="5"/>
        <v>0</v>
      </c>
      <c r="AJ22" s="1875">
        <f t="shared" si="5"/>
        <v>0</v>
      </c>
      <c r="AK22" s="1876">
        <f t="shared" si="5"/>
        <v>440.32016994563185</v>
      </c>
      <c r="AL22" s="1872">
        <f t="shared" si="5"/>
        <v>0</v>
      </c>
      <c r="AM22" s="1877">
        <f t="shared" si="5"/>
        <v>-1.8641467424007558</v>
      </c>
    </row>
    <row r="23" spans="1:51">
      <c r="A23" s="1820" t="s">
        <v>1217</v>
      </c>
      <c r="B23" s="1821"/>
      <c r="C23" s="1878"/>
      <c r="D23" s="1879"/>
      <c r="E23" s="1880"/>
      <c r="F23" s="1825"/>
      <c r="G23" s="1825"/>
      <c r="H23" s="1831"/>
      <c r="I23" s="1881"/>
      <c r="J23" s="1824"/>
      <c r="K23" s="1824"/>
      <c r="L23" s="1831"/>
      <c r="M23" s="1824"/>
      <c r="N23" s="1824"/>
      <c r="O23" s="1824"/>
      <c r="P23" s="1824"/>
      <c r="Q23" s="1824"/>
      <c r="R23" s="1824"/>
      <c r="S23" s="1824"/>
      <c r="T23" s="1824"/>
      <c r="U23" s="1824"/>
      <c r="V23" s="1825"/>
      <c r="W23" s="1825"/>
      <c r="X23" s="1825"/>
      <c r="Y23" s="1824"/>
      <c r="Z23" s="1831"/>
      <c r="AA23" s="1827">
        <f>SUM(AB23:AI23)</f>
        <v>-440.32016994563185</v>
      </c>
      <c r="AB23" s="1828">
        <f>-AB2</f>
        <v>-49.749924665631987</v>
      </c>
      <c r="AC23" s="1824">
        <f>-AC2</f>
        <v>-390.57024527999988</v>
      </c>
      <c r="AD23" s="1824"/>
      <c r="AE23" s="1835"/>
      <c r="AF23" s="1835"/>
      <c r="AG23" s="1835"/>
      <c r="AH23" s="1823"/>
      <c r="AI23" s="1825"/>
      <c r="AJ23" s="1861"/>
      <c r="AK23" s="1831">
        <f>-(C23+H23+L23+Z23+AA23)</f>
        <v>440.32016994563185</v>
      </c>
      <c r="AL23" s="1827"/>
      <c r="AM23" s="1862">
        <f>C23+H23+L23+Z23+AA23+AJ23+AK23+AL23</f>
        <v>0</v>
      </c>
    </row>
    <row r="24" spans="1:51">
      <c r="A24" s="1882" t="s">
        <v>1390</v>
      </c>
      <c r="B24" s="1849"/>
      <c r="C24" s="1883"/>
      <c r="D24" s="1884"/>
      <c r="E24" s="1852"/>
      <c r="F24" s="1885"/>
      <c r="G24" s="1885"/>
      <c r="H24" s="1854"/>
      <c r="I24" s="1886"/>
      <c r="J24" s="1887"/>
      <c r="K24" s="1887"/>
      <c r="L24" s="1854"/>
      <c r="M24" s="1887"/>
      <c r="N24" s="1887"/>
      <c r="O24" s="1887"/>
      <c r="P24" s="1887"/>
      <c r="Q24" s="1887"/>
      <c r="R24" s="1887"/>
      <c r="S24" s="1887"/>
      <c r="T24" s="1887"/>
      <c r="U24" s="1887"/>
      <c r="V24" s="1885"/>
      <c r="W24" s="1885"/>
      <c r="X24" s="1885"/>
      <c r="Y24" s="1887"/>
      <c r="Z24" s="1854"/>
      <c r="AA24" s="1855"/>
      <c r="AB24" s="1888"/>
      <c r="AC24" s="1887"/>
      <c r="AD24" s="1887"/>
      <c r="AE24" s="1887"/>
      <c r="AF24" s="1887"/>
      <c r="AG24" s="1887"/>
      <c r="AH24" s="1889"/>
      <c r="AI24" s="1885"/>
      <c r="AJ24" s="1890"/>
      <c r="AK24" s="1854"/>
      <c r="AL24" s="1855"/>
      <c r="AM24" s="1891">
        <f>C24+H24+L24+Z24+AA24+AJ24+AK24+AL24</f>
        <v>0</v>
      </c>
      <c r="AO24" t="s">
        <v>5</v>
      </c>
    </row>
    <row r="25" spans="1:51" ht="15" thickBot="1">
      <c r="A25" s="1784" t="s">
        <v>1391</v>
      </c>
      <c r="B25" s="1785"/>
      <c r="C25" s="1892">
        <f>SUM(D25:G25)</f>
        <v>23.921544282453681</v>
      </c>
      <c r="D25" s="1893">
        <v>-14.006230000000002</v>
      </c>
      <c r="E25" s="1792">
        <f>-D25-U25</f>
        <v>37.927774282453683</v>
      </c>
      <c r="F25" s="1787"/>
      <c r="G25" s="1787"/>
      <c r="H25" s="1788"/>
      <c r="I25" s="1894"/>
      <c r="J25" s="1792"/>
      <c r="K25" s="1792"/>
      <c r="L25" s="1788">
        <f>SUM(N25:Y25)</f>
        <v>-25.785691024854437</v>
      </c>
      <c r="M25" s="1792"/>
      <c r="N25" s="1792"/>
      <c r="O25" s="1792">
        <v>0.27860952222222218</v>
      </c>
      <c r="P25" s="1792">
        <v>218.03413355360001</v>
      </c>
      <c r="Q25" s="1792">
        <v>-217.84516094495999</v>
      </c>
      <c r="R25" s="1792">
        <v>1.7216905209039548</v>
      </c>
      <c r="S25" s="1792"/>
      <c r="T25" s="1792">
        <v>-4.0534193941669514</v>
      </c>
      <c r="U25" s="1787">
        <v>-23.921544282453681</v>
      </c>
      <c r="V25" s="1787"/>
      <c r="W25" s="1787"/>
      <c r="X25" s="1787"/>
      <c r="Y25" s="1792"/>
      <c r="Z25" s="1788"/>
      <c r="AA25" s="1788">
        <f>SUM(AB25:AI25)</f>
        <v>0</v>
      </c>
      <c r="AB25" s="1791"/>
      <c r="AC25" s="1792"/>
      <c r="AD25" s="1792"/>
      <c r="AE25" s="1792"/>
      <c r="AF25" s="1792"/>
      <c r="AG25" s="1792"/>
      <c r="AH25" s="1789"/>
      <c r="AI25" s="1787"/>
      <c r="AJ25" s="1793"/>
      <c r="AK25" s="1788"/>
      <c r="AL25" s="1790"/>
      <c r="AM25" s="1794">
        <f>C25+H25+L25+Z25+AA25+AJ25+AK25+AL25</f>
        <v>-1.8641467424007558</v>
      </c>
    </row>
    <row r="26" spans="1:51" ht="15" thickBot="1">
      <c r="A26" s="1848" t="s">
        <v>1392</v>
      </c>
      <c r="B26" s="1849"/>
      <c r="C26" s="1850">
        <f>SUM(D26:G26)</f>
        <v>0</v>
      </c>
      <c r="D26" s="1851"/>
      <c r="E26" s="1852"/>
      <c r="F26" s="1885"/>
      <c r="G26" s="1885"/>
      <c r="H26" s="1854">
        <f>SUM(I26:K26)</f>
        <v>16.322798391725023</v>
      </c>
      <c r="I26" s="1885">
        <v>16.322798391725023</v>
      </c>
      <c r="J26" s="1887"/>
      <c r="K26" s="1887"/>
      <c r="L26" s="1854">
        <f>SUM(N26:Y26)</f>
        <v>64.173292484910377</v>
      </c>
      <c r="M26" s="1887"/>
      <c r="N26" s="1887">
        <v>64.032288910926383</v>
      </c>
      <c r="O26" s="1887"/>
      <c r="P26" s="1887"/>
      <c r="Q26" s="1887"/>
      <c r="R26" s="1887">
        <v>0</v>
      </c>
      <c r="S26" s="1887">
        <v>0</v>
      </c>
      <c r="T26" s="1887">
        <v>0.14100357398400004</v>
      </c>
      <c r="U26" s="1887"/>
      <c r="V26" s="1885"/>
      <c r="W26" s="1885"/>
      <c r="X26" s="1885"/>
      <c r="Y26" s="1887"/>
      <c r="Z26" s="1854">
        <v>64.533120959999991</v>
      </c>
      <c r="AA26" s="1855">
        <f>SUM(AB26:AG26)</f>
        <v>0</v>
      </c>
      <c r="AB26" s="1856"/>
      <c r="AC26" s="1887"/>
      <c r="AD26" s="1887"/>
      <c r="AE26" s="1887"/>
      <c r="AF26" s="1887"/>
      <c r="AG26" s="1887"/>
      <c r="AH26" s="1889"/>
      <c r="AI26" s="1885"/>
      <c r="AJ26" s="1890"/>
      <c r="AK26" s="1858">
        <v>262.29409552794607</v>
      </c>
      <c r="AL26" s="1855"/>
      <c r="AM26" s="1891">
        <f>C26+H26+L26+Z26+AA26+AJ26+AK26+AL26</f>
        <v>407.32330736458147</v>
      </c>
    </row>
    <row r="27" spans="1:51" ht="15" thickBot="1">
      <c r="A27" s="1895" t="s">
        <v>1393</v>
      </c>
      <c r="B27" s="1896"/>
      <c r="C27" s="1897">
        <f>C7-C9+C15+C22-C26</f>
        <v>377.22241888132891</v>
      </c>
      <c r="D27" s="1898">
        <f t="shared" ref="D27:AL27" si="6">D7-D9+D15+D22-D26</f>
        <v>275.93063514696104</v>
      </c>
      <c r="E27" s="1899">
        <f t="shared" si="6"/>
        <v>83.946421980196959</v>
      </c>
      <c r="F27" s="1899">
        <f t="shared" si="6"/>
        <v>0</v>
      </c>
      <c r="G27" s="1899">
        <f t="shared" si="6"/>
        <v>17.345361754170852</v>
      </c>
      <c r="H27" s="1900">
        <f>H7-H9+H15+H22-H26</f>
        <v>174.35483053204672</v>
      </c>
      <c r="I27" s="1898">
        <f t="shared" si="6"/>
        <v>-38.255878467953089</v>
      </c>
      <c r="J27" s="1899">
        <f t="shared" si="6"/>
        <v>127.70399999999999</v>
      </c>
      <c r="K27" s="1899">
        <f t="shared" si="6"/>
        <v>84.906708999999992</v>
      </c>
      <c r="L27" s="1900">
        <f t="shared" si="6"/>
        <v>6441.1909759695345</v>
      </c>
      <c r="M27" s="1899">
        <f t="shared" si="6"/>
        <v>-1.8088945241993315</v>
      </c>
      <c r="N27" s="1899">
        <f t="shared" si="6"/>
        <v>0</v>
      </c>
      <c r="O27" s="1899">
        <f t="shared" si="6"/>
        <v>1217.5365310309733</v>
      </c>
      <c r="P27" s="1899">
        <f t="shared" si="6"/>
        <v>770.50993922448015</v>
      </c>
      <c r="Q27" s="1899">
        <f t="shared" si="6"/>
        <v>673.61264648016004</v>
      </c>
      <c r="R27" s="1899">
        <f t="shared" si="6"/>
        <v>146.22919987348337</v>
      </c>
      <c r="S27" s="1899">
        <f t="shared" si="6"/>
        <v>139.30311016636995</v>
      </c>
      <c r="T27" s="1899">
        <f t="shared" si="6"/>
        <v>3119.005414579744</v>
      </c>
      <c r="U27" s="1899">
        <f t="shared" si="6"/>
        <v>99.657019571590894</v>
      </c>
      <c r="V27" s="1899">
        <f t="shared" si="6"/>
        <v>-5.4831254563122478</v>
      </c>
      <c r="W27" s="1899">
        <f t="shared" si="6"/>
        <v>250.62076302324479</v>
      </c>
      <c r="X27" s="1899">
        <f t="shared" si="6"/>
        <v>1.0215719999999999</v>
      </c>
      <c r="Y27" s="1899">
        <f t="shared" si="6"/>
        <v>30.986800000000002</v>
      </c>
      <c r="Z27" s="1900">
        <f t="shared" si="6"/>
        <v>1652.686620944794</v>
      </c>
      <c r="AA27" s="1901">
        <f t="shared" ref="AA27:AJ27" si="7">AA7-AA9+AA22-AA26</f>
        <v>352.51252520364721</v>
      </c>
      <c r="AB27" s="1902">
        <f t="shared" si="7"/>
        <v>0</v>
      </c>
      <c r="AC27" s="1903">
        <f t="shared" si="7"/>
        <v>0</v>
      </c>
      <c r="AD27" s="1903">
        <f t="shared" si="7"/>
        <v>201.58421159003581</v>
      </c>
      <c r="AE27" s="1903">
        <f t="shared" si="7"/>
        <v>0</v>
      </c>
      <c r="AF27" s="1903">
        <f t="shared" si="7"/>
        <v>7.0646478825345875</v>
      </c>
      <c r="AG27" s="1903">
        <f t="shared" si="7"/>
        <v>99.356886071526858</v>
      </c>
      <c r="AH27" s="1904">
        <f t="shared" si="7"/>
        <v>11.278273490844283</v>
      </c>
      <c r="AI27" s="1905">
        <f t="shared" si="7"/>
        <v>33.2285061687056</v>
      </c>
      <c r="AJ27" s="1900">
        <f t="shared" si="7"/>
        <v>34.887415356111809</v>
      </c>
      <c r="AK27" s="1900">
        <f>AK7-AK9+AK15+AK22-AK26</f>
        <v>2098.47504424827</v>
      </c>
      <c r="AL27" s="1901">
        <f t="shared" si="6"/>
        <v>0</v>
      </c>
      <c r="AM27" s="1906">
        <f>C27+H27+L27+Z27+AA27+AJ27+AK27+AL27</f>
        <v>11131.329831135732</v>
      </c>
      <c r="AN27" t="s">
        <v>5</v>
      </c>
    </row>
    <row r="28" spans="1:51">
      <c r="A28" s="1907" t="s">
        <v>1394</v>
      </c>
      <c r="B28" s="1908"/>
      <c r="C28" s="1909">
        <f t="shared" ref="C28:U28" si="8">C29</f>
        <v>0</v>
      </c>
      <c r="D28" s="1904">
        <f t="shared" si="8"/>
        <v>0</v>
      </c>
      <c r="E28" s="1903">
        <f t="shared" si="8"/>
        <v>0</v>
      </c>
      <c r="F28" s="1910">
        <f t="shared" si="8"/>
        <v>0</v>
      </c>
      <c r="G28" s="1910">
        <f t="shared" si="8"/>
        <v>0</v>
      </c>
      <c r="H28" s="1804">
        <f t="shared" si="8"/>
        <v>0</v>
      </c>
      <c r="I28" s="1904">
        <f t="shared" si="8"/>
        <v>0</v>
      </c>
      <c r="J28" s="1903">
        <f t="shared" si="8"/>
        <v>0</v>
      </c>
      <c r="K28" s="1903">
        <f t="shared" si="8"/>
        <v>0</v>
      </c>
      <c r="L28" s="1804">
        <f t="shared" si="8"/>
        <v>282.62913502324477</v>
      </c>
      <c r="M28" s="1903">
        <f t="shared" si="8"/>
        <v>0</v>
      </c>
      <c r="N28" s="1903">
        <f t="shared" si="8"/>
        <v>0</v>
      </c>
      <c r="O28" s="1903">
        <f t="shared" si="8"/>
        <v>0</v>
      </c>
      <c r="P28" s="1903">
        <f t="shared" si="8"/>
        <v>0</v>
      </c>
      <c r="Q28" s="1903">
        <f t="shared" si="8"/>
        <v>0</v>
      </c>
      <c r="R28" s="1903">
        <f t="shared" si="8"/>
        <v>0</v>
      </c>
      <c r="S28" s="1903">
        <f t="shared" si="8"/>
        <v>0</v>
      </c>
      <c r="T28" s="1903">
        <f t="shared" si="8"/>
        <v>0</v>
      </c>
      <c r="U28" s="1903">
        <f t="shared" si="8"/>
        <v>0</v>
      </c>
      <c r="V28" s="1910"/>
      <c r="W28" s="1910">
        <f t="shared" ref="W28:AM28" si="9">W29</f>
        <v>250.62076302324479</v>
      </c>
      <c r="X28" s="1910">
        <f t="shared" si="9"/>
        <v>1.0215719999999999</v>
      </c>
      <c r="Y28" s="1903">
        <f t="shared" si="9"/>
        <v>30.986800000000002</v>
      </c>
      <c r="Z28" s="1804">
        <f t="shared" si="9"/>
        <v>0</v>
      </c>
      <c r="AA28" s="1911">
        <f t="shared" si="9"/>
        <v>0</v>
      </c>
      <c r="AB28" s="1902">
        <f t="shared" si="9"/>
        <v>0</v>
      </c>
      <c r="AC28" s="1903">
        <f t="shared" si="9"/>
        <v>0</v>
      </c>
      <c r="AD28" s="1903">
        <f t="shared" si="9"/>
        <v>0</v>
      </c>
      <c r="AE28" s="1903">
        <f t="shared" si="9"/>
        <v>0</v>
      </c>
      <c r="AF28" s="1903">
        <f t="shared" si="9"/>
        <v>0</v>
      </c>
      <c r="AG28" s="1903">
        <f t="shared" si="9"/>
        <v>0</v>
      </c>
      <c r="AH28" s="1904">
        <f t="shared" si="9"/>
        <v>0</v>
      </c>
      <c r="AI28" s="1910">
        <f t="shared" si="9"/>
        <v>0</v>
      </c>
      <c r="AJ28" s="1804">
        <f t="shared" si="9"/>
        <v>0</v>
      </c>
      <c r="AK28" s="1804">
        <f t="shared" si="9"/>
        <v>0</v>
      </c>
      <c r="AL28" s="1911">
        <f t="shared" si="9"/>
        <v>0</v>
      </c>
      <c r="AM28" s="1912">
        <f t="shared" si="9"/>
        <v>282.62913502324477</v>
      </c>
    </row>
    <row r="29" spans="1:51" ht="15" thickBot="1">
      <c r="A29" s="1913" t="s">
        <v>1395</v>
      </c>
      <c r="B29" s="1914"/>
      <c r="C29" s="1915">
        <f>SUM(D29:G29)</f>
        <v>0</v>
      </c>
      <c r="D29" s="1916"/>
      <c r="E29" s="1917"/>
      <c r="F29" s="1918"/>
      <c r="G29" s="1918"/>
      <c r="H29" s="1919">
        <f>SUM(I29:K29)</f>
        <v>0</v>
      </c>
      <c r="I29" s="1916"/>
      <c r="J29" s="1917"/>
      <c r="K29" s="1917"/>
      <c r="L29" s="1919">
        <f>SUM(M29:Y29)</f>
        <v>282.62913502324477</v>
      </c>
      <c r="M29" s="1917"/>
      <c r="N29" s="1917"/>
      <c r="O29" s="1917"/>
      <c r="P29" s="1917"/>
      <c r="Q29" s="1917"/>
      <c r="R29" s="1917"/>
      <c r="S29" s="1917"/>
      <c r="T29" s="1917"/>
      <c r="U29" s="1917"/>
      <c r="V29" s="1918"/>
      <c r="W29" s="1918">
        <f>W27</f>
        <v>250.62076302324479</v>
      </c>
      <c r="X29" s="1918">
        <f>X27</f>
        <v>1.0215719999999999</v>
      </c>
      <c r="Y29" s="1917">
        <f>Y27</f>
        <v>30.986800000000002</v>
      </c>
      <c r="Z29" s="1919">
        <v>0</v>
      </c>
      <c r="AA29" s="1920">
        <f>SUM(AB29:AG29)</f>
        <v>0</v>
      </c>
      <c r="AB29" s="1921"/>
      <c r="AC29" s="1917"/>
      <c r="AD29" s="1917"/>
      <c r="AE29" s="1917"/>
      <c r="AF29" s="1917"/>
      <c r="AG29" s="1917"/>
      <c r="AH29" s="1916"/>
      <c r="AI29" s="1918"/>
      <c r="AJ29" s="1919"/>
      <c r="AK29" s="1919"/>
      <c r="AL29" s="1920"/>
      <c r="AM29" s="1877">
        <f t="shared" ref="AM29:AM62" si="10">C29+H29+L29+Z29+AA29+AJ29+AK29+AL29</f>
        <v>282.62913502324477</v>
      </c>
      <c r="AQ29" t="s">
        <v>5</v>
      </c>
    </row>
    <row r="30" spans="1:51" s="39" customFormat="1" ht="15" thickBot="1">
      <c r="A30" s="1907" t="s">
        <v>1396</v>
      </c>
      <c r="B30" s="1908"/>
      <c r="C30" s="1909">
        <f>C31+C45+C56+C57+C60+C61</f>
        <v>355.24694530978604</v>
      </c>
      <c r="D30" s="1904">
        <f t="shared" ref="D30:AL30" si="11">D31+D45+D56+D57+D60+D61</f>
        <v>255.21025153970891</v>
      </c>
      <c r="E30" s="1903">
        <f t="shared" si="11"/>
        <v>82.736016353226802</v>
      </c>
      <c r="F30" s="1910">
        <f t="shared" si="11"/>
        <v>0</v>
      </c>
      <c r="G30" s="1910">
        <f t="shared" si="11"/>
        <v>17.300677416850384</v>
      </c>
      <c r="H30" s="1804">
        <f t="shared" si="11"/>
        <v>218.42612737107996</v>
      </c>
      <c r="I30" s="1904">
        <f t="shared" si="11"/>
        <v>0.48878637108</v>
      </c>
      <c r="J30" s="1904">
        <f t="shared" si="11"/>
        <v>127.70399999999999</v>
      </c>
      <c r="K30" s="1904">
        <f t="shared" si="11"/>
        <v>90.233340999999996</v>
      </c>
      <c r="L30" s="1804">
        <f t="shared" si="11"/>
        <v>6144.6053284692634</v>
      </c>
      <c r="M30" s="1903">
        <f t="shared" si="11"/>
        <v>0</v>
      </c>
      <c r="N30" s="1903">
        <f t="shared" si="11"/>
        <v>0</v>
      </c>
      <c r="O30" s="1903">
        <f t="shared" si="11"/>
        <v>1198.0684966718206</v>
      </c>
      <c r="P30" s="1903">
        <f t="shared" si="11"/>
        <v>784.43709282848022</v>
      </c>
      <c r="Q30" s="1903">
        <f t="shared" si="11"/>
        <v>605.67408192143989</v>
      </c>
      <c r="R30" s="1903">
        <f t="shared" si="11"/>
        <v>147.65848836278562</v>
      </c>
      <c r="S30" s="1903">
        <f t="shared" si="11"/>
        <v>166.03841963942563</v>
      </c>
      <c r="T30" s="1903">
        <f t="shared" si="11"/>
        <v>3143.3549979626691</v>
      </c>
      <c r="U30" s="1903">
        <f t="shared" si="11"/>
        <v>99.373081447071655</v>
      </c>
      <c r="V30" s="1910">
        <f t="shared" si="11"/>
        <v>0</v>
      </c>
      <c r="W30" s="1910">
        <f t="shared" si="11"/>
        <v>0</v>
      </c>
      <c r="X30" s="1910">
        <f t="shared" si="11"/>
        <v>0</v>
      </c>
      <c r="Y30" s="1904">
        <f t="shared" si="11"/>
        <v>0</v>
      </c>
      <c r="Z30" s="1900">
        <f t="shared" si="11"/>
        <v>1632.8307557916416</v>
      </c>
      <c r="AA30" s="1911">
        <f t="shared" si="11"/>
        <v>357.25490730694713</v>
      </c>
      <c r="AB30" s="1902">
        <f t="shared" si="11"/>
        <v>0</v>
      </c>
      <c r="AC30" s="1903">
        <f t="shared" si="11"/>
        <v>0</v>
      </c>
      <c r="AD30" s="1903">
        <f t="shared" si="11"/>
        <v>203.43893457881464</v>
      </c>
      <c r="AE30" s="1903">
        <f t="shared" si="11"/>
        <v>0</v>
      </c>
      <c r="AF30" s="1903">
        <f t="shared" si="11"/>
        <v>7.0646478825345884</v>
      </c>
      <c r="AG30" s="1903">
        <f t="shared" si="11"/>
        <v>102.24454518604799</v>
      </c>
      <c r="AH30" s="1911">
        <f t="shared" si="11"/>
        <v>11.278273490844281</v>
      </c>
      <c r="AI30" s="1911">
        <f t="shared" si="11"/>
        <v>33.2285061687056</v>
      </c>
      <c r="AJ30" s="1911">
        <f t="shared" si="11"/>
        <v>34.887415356111802</v>
      </c>
      <c r="AK30" s="1922">
        <f>AK31+AK45+AK56+AK57+AK60+AK61</f>
        <v>2081.4627342139997</v>
      </c>
      <c r="AL30" s="1911">
        <f t="shared" si="11"/>
        <v>0</v>
      </c>
      <c r="AM30" s="1906">
        <f t="shared" si="10"/>
        <v>10824.71421381883</v>
      </c>
      <c r="AR30"/>
      <c r="AS30"/>
      <c r="AT30"/>
      <c r="AU30"/>
      <c r="AV30"/>
      <c r="AW30"/>
      <c r="AX30"/>
      <c r="AY30"/>
    </row>
    <row r="31" spans="1:51">
      <c r="A31" s="1923" t="s">
        <v>1397</v>
      </c>
      <c r="B31" s="1924"/>
      <c r="C31" s="1925">
        <f>SUM(C32:C44)</f>
        <v>82.219260042000002</v>
      </c>
      <c r="D31" s="1926">
        <v>82.219260042000016</v>
      </c>
      <c r="E31" s="1926">
        <v>0</v>
      </c>
      <c r="F31" s="1927"/>
      <c r="G31" s="1927"/>
      <c r="H31" s="1928">
        <f t="shared" ref="H31:N31" si="12">SUM(H32:H44)</f>
        <v>0.52245437108000004</v>
      </c>
      <c r="I31" s="1929">
        <f t="shared" si="12"/>
        <v>0.48878637108</v>
      </c>
      <c r="J31" s="1926">
        <f t="shared" si="12"/>
        <v>0</v>
      </c>
      <c r="K31" s="1926">
        <f t="shared" si="12"/>
        <v>3.3667999999999997E-2</v>
      </c>
      <c r="L31" s="1928">
        <f t="shared" si="12"/>
        <v>545.57278694212334</v>
      </c>
      <c r="M31" s="1926">
        <f t="shared" si="12"/>
        <v>0</v>
      </c>
      <c r="N31" s="1926">
        <f t="shared" si="12"/>
        <v>0</v>
      </c>
      <c r="O31" s="1926">
        <v>0</v>
      </c>
      <c r="P31" s="1926">
        <v>78.443709282848019</v>
      </c>
      <c r="Q31" s="1926">
        <f>SUM(Q32:Q44)</f>
        <v>0</v>
      </c>
      <c r="R31" s="1926">
        <v>137.80948836278563</v>
      </c>
      <c r="S31" s="1926">
        <v>116.04864852827433</v>
      </c>
      <c r="T31" s="1926">
        <v>124.83742705869309</v>
      </c>
      <c r="U31" s="1926">
        <v>88.433513709522217</v>
      </c>
      <c r="V31" s="1927">
        <f>SUM(V32:V44)</f>
        <v>0</v>
      </c>
      <c r="W31" s="1927">
        <f>SUM(W32:W44)</f>
        <v>0</v>
      </c>
      <c r="X31" s="1927">
        <f>SUM(X32:X44)</f>
        <v>0</v>
      </c>
      <c r="Y31" s="1926">
        <f>SUM(Y32:Y44)</f>
        <v>0</v>
      </c>
      <c r="Z31" s="1928">
        <v>619.79891206117952</v>
      </c>
      <c r="AA31" s="1930">
        <f>SUM(AA32:AA44)</f>
        <v>152.56353231765456</v>
      </c>
      <c r="AB31" s="1931">
        <f>SUM(AB32:AB44)</f>
        <v>0</v>
      </c>
      <c r="AC31" s="1926">
        <f>SUM(AC32:AC44)</f>
        <v>0</v>
      </c>
      <c r="AD31" s="1926">
        <f>SUM(AD32:AD44)</f>
        <v>149.91866249310343</v>
      </c>
      <c r="AE31" s="1926"/>
      <c r="AF31" s="1926">
        <f>SUM(AF32:AF44)</f>
        <v>2.6448698245511522</v>
      </c>
      <c r="AG31" s="1926">
        <f>SUM(AG32:AG44)</f>
        <v>0</v>
      </c>
      <c r="AH31" s="1930">
        <f>SUM(AH32:AH44)</f>
        <v>0</v>
      </c>
      <c r="AI31" s="1926">
        <f>SUM(AI32:AI44)</f>
        <v>0</v>
      </c>
      <c r="AJ31" s="1928">
        <f>SUM(AJ32:AJ44)</f>
        <v>34.887415356111802</v>
      </c>
      <c r="AK31" s="1928">
        <v>798.88824686564658</v>
      </c>
      <c r="AL31" s="1930">
        <f>SUM(AL32:AL44)</f>
        <v>0</v>
      </c>
      <c r="AM31" s="1819">
        <f t="shared" si="10"/>
        <v>2234.4526079557959</v>
      </c>
    </row>
    <row r="32" spans="1:51">
      <c r="A32" s="1932" t="s">
        <v>1398</v>
      </c>
      <c r="B32" s="1933" t="s">
        <v>1399</v>
      </c>
      <c r="C32" s="1934">
        <f t="shared" ref="C32:C44" si="13">SUM(D32:G32)</f>
        <v>0</v>
      </c>
      <c r="D32" s="1835">
        <v>0</v>
      </c>
      <c r="E32" s="1835"/>
      <c r="F32" s="1935"/>
      <c r="G32" s="1935"/>
      <c r="H32" s="1936">
        <f t="shared" ref="H32:H44" si="14">SUM(I32:K32)</f>
        <v>0</v>
      </c>
      <c r="I32" s="1937"/>
      <c r="J32" s="1835"/>
      <c r="K32" s="1835"/>
      <c r="L32" s="1938">
        <f t="shared" ref="L32:L44" si="15">SUM(M32:Y32)</f>
        <v>33.98910728771299</v>
      </c>
      <c r="M32" s="1835"/>
      <c r="N32" s="1835"/>
      <c r="O32" s="1835"/>
      <c r="P32" s="1835">
        <v>2.4754363462996674</v>
      </c>
      <c r="Q32" s="1835"/>
      <c r="R32" s="1835">
        <v>1.5844179946268726</v>
      </c>
      <c r="S32" s="1835">
        <v>0.19745914179573543</v>
      </c>
      <c r="T32" s="1835">
        <v>29.731793804990716</v>
      </c>
      <c r="U32" s="1835">
        <v>0</v>
      </c>
      <c r="V32" s="1935"/>
      <c r="W32" s="1935"/>
      <c r="X32" s="1935"/>
      <c r="Y32" s="1835"/>
      <c r="Z32" s="1939">
        <v>10.292115108272071</v>
      </c>
      <c r="AA32" s="1940">
        <f t="shared" ref="AA32:AA44" si="16">SUM(AB32:AI32)</f>
        <v>0</v>
      </c>
      <c r="AB32" s="1941"/>
      <c r="AC32" s="1835"/>
      <c r="AD32" s="1835"/>
      <c r="AE32" s="1835"/>
      <c r="AF32" s="1835"/>
      <c r="AG32" s="1835"/>
      <c r="AH32" s="1881"/>
      <c r="AI32" s="1835"/>
      <c r="AJ32" s="1861"/>
      <c r="AK32" s="1939">
        <v>57.286633006758159</v>
      </c>
      <c r="AL32" s="1940"/>
      <c r="AM32" s="1832">
        <f t="shared" si="10"/>
        <v>101.56785540274322</v>
      </c>
    </row>
    <row r="33" spans="1:39">
      <c r="A33" s="1942" t="s">
        <v>1400</v>
      </c>
      <c r="B33" s="1943" t="s">
        <v>1401</v>
      </c>
      <c r="C33" s="1771">
        <f t="shared" si="13"/>
        <v>20.726781422000002</v>
      </c>
      <c r="D33" s="1835">
        <v>20.726781422000002</v>
      </c>
      <c r="E33" s="1777"/>
      <c r="F33" s="1774"/>
      <c r="G33" s="1774"/>
      <c r="H33" s="1775">
        <f t="shared" si="14"/>
        <v>0.48878637108</v>
      </c>
      <c r="I33" s="1776">
        <v>0.48878637108</v>
      </c>
      <c r="J33" s="1777"/>
      <c r="K33" s="1777"/>
      <c r="L33" s="1944">
        <f t="shared" si="15"/>
        <v>136.94424575818903</v>
      </c>
      <c r="M33" s="1777"/>
      <c r="N33" s="1777"/>
      <c r="O33" s="1835"/>
      <c r="P33" s="1835">
        <v>46.083753569176373</v>
      </c>
      <c r="Q33" s="1777"/>
      <c r="R33" s="1835">
        <v>29.496184995465192</v>
      </c>
      <c r="S33" s="1835">
        <v>33.090330375124047</v>
      </c>
      <c r="T33" s="1835">
        <v>28.273976818423428</v>
      </c>
      <c r="U33" s="1835">
        <v>0</v>
      </c>
      <c r="V33" s="1774"/>
      <c r="W33" s="1774"/>
      <c r="X33" s="1774"/>
      <c r="Y33" s="1777"/>
      <c r="Z33" s="1945">
        <v>90.492345917750342</v>
      </c>
      <c r="AA33" s="1778">
        <f t="shared" si="16"/>
        <v>27.819140998903151</v>
      </c>
      <c r="AB33" s="1779"/>
      <c r="AC33" s="1777"/>
      <c r="AD33" s="1777">
        <v>25.174271174352</v>
      </c>
      <c r="AE33" s="1835"/>
      <c r="AF33" s="1835">
        <v>2.6448698245511522</v>
      </c>
      <c r="AG33" s="1835"/>
      <c r="AH33" s="1946"/>
      <c r="AI33" s="1777"/>
      <c r="AJ33" s="1780"/>
      <c r="AK33" s="1945">
        <v>170.29995014929091</v>
      </c>
      <c r="AL33" s="1778"/>
      <c r="AM33" s="1782">
        <f t="shared" si="10"/>
        <v>446.77125061721341</v>
      </c>
    </row>
    <row r="34" spans="1:39">
      <c r="A34" s="1942" t="s">
        <v>1402</v>
      </c>
      <c r="B34" s="1947" t="s">
        <v>1403</v>
      </c>
      <c r="C34" s="1771">
        <f t="shared" si="13"/>
        <v>0</v>
      </c>
      <c r="D34" s="1835">
        <v>0</v>
      </c>
      <c r="E34" s="1777"/>
      <c r="F34" s="1774"/>
      <c r="G34" s="1774"/>
      <c r="H34" s="1775">
        <f t="shared" si="14"/>
        <v>0</v>
      </c>
      <c r="I34" s="1776"/>
      <c r="J34" s="1777"/>
      <c r="K34" s="1777"/>
      <c r="L34" s="1944">
        <f t="shared" si="15"/>
        <v>2.5857396525613354</v>
      </c>
      <c r="M34" s="1777"/>
      <c r="N34" s="1777"/>
      <c r="O34" s="1835"/>
      <c r="P34" s="1835">
        <v>1.0199222714367728</v>
      </c>
      <c r="Q34" s="1777"/>
      <c r="R34" s="1835">
        <v>0.65280741409519216</v>
      </c>
      <c r="S34" s="1835">
        <v>5.0957197882770429E-2</v>
      </c>
      <c r="T34" s="1835">
        <v>0.8620527691465999</v>
      </c>
      <c r="U34" s="1835">
        <v>0</v>
      </c>
      <c r="V34" s="1774"/>
      <c r="W34" s="1774"/>
      <c r="X34" s="1774"/>
      <c r="Y34" s="1777"/>
      <c r="Z34" s="1945">
        <v>0.98616464155306549</v>
      </c>
      <c r="AA34" s="1778">
        <f t="shared" si="16"/>
        <v>0</v>
      </c>
      <c r="AB34" s="1779"/>
      <c r="AC34" s="1777"/>
      <c r="AD34" s="1777"/>
      <c r="AE34" s="1835"/>
      <c r="AF34" s="1835"/>
      <c r="AG34" s="1835"/>
      <c r="AH34" s="1946"/>
      <c r="AI34" s="1777"/>
      <c r="AJ34" s="1780"/>
      <c r="AK34" s="1945">
        <v>10.191824006623628</v>
      </c>
      <c r="AL34" s="1778"/>
      <c r="AM34" s="1782">
        <f t="shared" si="10"/>
        <v>13.763728300738029</v>
      </c>
    </row>
    <row r="35" spans="1:39">
      <c r="A35" s="1942" t="s">
        <v>1404</v>
      </c>
      <c r="B35" s="1947" t="s">
        <v>1405</v>
      </c>
      <c r="C35" s="1771">
        <f t="shared" si="13"/>
        <v>6.2991078500984742E-3</v>
      </c>
      <c r="D35" s="1835">
        <v>6.2991078500984742E-3</v>
      </c>
      <c r="E35" s="1777"/>
      <c r="F35" s="1774"/>
      <c r="G35" s="1774"/>
      <c r="H35" s="1775">
        <f t="shared" si="14"/>
        <v>0</v>
      </c>
      <c r="I35" s="1776"/>
      <c r="J35" s="1777"/>
      <c r="K35" s="1777"/>
      <c r="L35" s="1944">
        <f t="shared" si="15"/>
        <v>2.6924553401377853</v>
      </c>
      <c r="M35" s="1777"/>
      <c r="N35" s="1777"/>
      <c r="O35" s="1835"/>
      <c r="P35" s="1835">
        <v>0.3598944473429237</v>
      </c>
      <c r="Q35" s="1777"/>
      <c r="R35" s="1835">
        <v>0.23035261617161076</v>
      </c>
      <c r="S35" s="1835">
        <v>0.26752528888454474</v>
      </c>
      <c r="T35" s="1835">
        <v>1.8346829877387061</v>
      </c>
      <c r="U35" s="1835">
        <v>0</v>
      </c>
      <c r="V35" s="1774"/>
      <c r="W35" s="1774"/>
      <c r="X35" s="1774"/>
      <c r="Y35" s="1777"/>
      <c r="Z35" s="1945">
        <v>1.7594429477867393</v>
      </c>
      <c r="AA35" s="1778">
        <f t="shared" si="16"/>
        <v>100.24032135906658</v>
      </c>
      <c r="AB35" s="1779"/>
      <c r="AC35" s="1777"/>
      <c r="AD35" s="1777">
        <v>100.24032135906658</v>
      </c>
      <c r="AE35" s="1835"/>
      <c r="AF35" s="1835"/>
      <c r="AG35" s="1835"/>
      <c r="AH35" s="1946"/>
      <c r="AI35" s="1777"/>
      <c r="AJ35" s="1780"/>
      <c r="AK35" s="1945">
        <v>34.257235844547893</v>
      </c>
      <c r="AL35" s="1778"/>
      <c r="AM35" s="1782">
        <f t="shared" si="10"/>
        <v>138.95575459938908</v>
      </c>
    </row>
    <row r="36" spans="1:39">
      <c r="A36" s="1942" t="s">
        <v>1406</v>
      </c>
      <c r="B36" s="1947" t="s">
        <v>1407</v>
      </c>
      <c r="C36" s="1771">
        <f t="shared" si="13"/>
        <v>2.7558596844180827E-2</v>
      </c>
      <c r="D36" s="1835">
        <v>2.7558596844180827E-2</v>
      </c>
      <c r="E36" s="1777"/>
      <c r="F36" s="1774"/>
      <c r="G36" s="1774"/>
      <c r="H36" s="1775">
        <f t="shared" si="14"/>
        <v>0</v>
      </c>
      <c r="I36" s="1776"/>
      <c r="J36" s="1777"/>
      <c r="K36" s="1777"/>
      <c r="L36" s="1944">
        <f t="shared" si="15"/>
        <v>2.9630604818839315</v>
      </c>
      <c r="M36" s="1777"/>
      <c r="N36" s="1777"/>
      <c r="O36" s="1835"/>
      <c r="P36" s="1835">
        <v>0.83399894070611102</v>
      </c>
      <c r="Q36" s="1777"/>
      <c r="R36" s="1835">
        <v>0.5338060625674228</v>
      </c>
      <c r="S36" s="1835">
        <v>0.25478598941385211</v>
      </c>
      <c r="T36" s="1835">
        <v>1.3404694891965454</v>
      </c>
      <c r="U36" s="1835">
        <v>0</v>
      </c>
      <c r="V36" s="1774"/>
      <c r="W36" s="1774"/>
      <c r="X36" s="1774"/>
      <c r="Y36" s="1777"/>
      <c r="Z36" s="1945">
        <v>2.9099683629319819</v>
      </c>
      <c r="AA36" s="1778">
        <f t="shared" si="16"/>
        <v>0</v>
      </c>
      <c r="AB36" s="1779"/>
      <c r="AC36" s="1777"/>
      <c r="AD36" s="1777"/>
      <c r="AE36" s="1835"/>
      <c r="AF36" s="1835"/>
      <c r="AG36" s="1835"/>
      <c r="AH36" s="1946"/>
      <c r="AI36" s="1777"/>
      <c r="AJ36" s="1780"/>
      <c r="AK36" s="1945">
        <v>18.696864393635085</v>
      </c>
      <c r="AL36" s="1778"/>
      <c r="AM36" s="1782">
        <f t="shared" si="10"/>
        <v>24.597451835295178</v>
      </c>
    </row>
    <row r="37" spans="1:39">
      <c r="A37" s="1942" t="s">
        <v>1408</v>
      </c>
      <c r="B37" s="1947" t="s">
        <v>1409</v>
      </c>
      <c r="C37" s="1771">
        <f t="shared" si="13"/>
        <v>0</v>
      </c>
      <c r="D37" s="1835">
        <v>0</v>
      </c>
      <c r="E37" s="1777"/>
      <c r="F37" s="1774"/>
      <c r="G37" s="1774"/>
      <c r="H37" s="1775">
        <f t="shared" si="14"/>
        <v>0</v>
      </c>
      <c r="I37" s="1776"/>
      <c r="J37" s="1777"/>
      <c r="K37" s="1777"/>
      <c r="L37" s="1944">
        <f t="shared" si="15"/>
        <v>28.914267279747541</v>
      </c>
      <c r="M37" s="1777"/>
      <c r="N37" s="1777"/>
      <c r="O37" s="1835"/>
      <c r="P37" s="1835">
        <v>10.962836394154372</v>
      </c>
      <c r="Q37" s="1777"/>
      <c r="R37" s="1835">
        <v>7.0168296918695452</v>
      </c>
      <c r="S37" s="1835">
        <v>3.000105025348109</v>
      </c>
      <c r="T37" s="1835">
        <v>7.934496168375512</v>
      </c>
      <c r="U37" s="1835">
        <v>0</v>
      </c>
      <c r="V37" s="1774"/>
      <c r="W37" s="1774"/>
      <c r="X37" s="1774"/>
      <c r="Y37" s="1777"/>
      <c r="Z37" s="1948">
        <v>55.874836317835992</v>
      </c>
      <c r="AA37" s="1778">
        <f t="shared" si="16"/>
        <v>1.2895199999999999E-3</v>
      </c>
      <c r="AB37" s="1779"/>
      <c r="AC37" s="1777"/>
      <c r="AD37" s="1777">
        <v>1.2895199999999999E-3</v>
      </c>
      <c r="AE37" s="1835"/>
      <c r="AF37" s="1835"/>
      <c r="AG37" s="1835"/>
      <c r="AH37" s="1949"/>
      <c r="AI37" s="1777"/>
      <c r="AJ37" s="1950"/>
      <c r="AK37" s="1948">
        <v>145.10725003149935</v>
      </c>
      <c r="AL37" s="1778"/>
      <c r="AM37" s="1782">
        <f t="shared" si="10"/>
        <v>229.89764314908288</v>
      </c>
    </row>
    <row r="38" spans="1:39">
      <c r="A38" s="1942" t="s">
        <v>1410</v>
      </c>
      <c r="B38" s="1947" t="s">
        <v>1411</v>
      </c>
      <c r="C38" s="1771">
        <f t="shared" si="13"/>
        <v>0</v>
      </c>
      <c r="D38" s="1835">
        <v>0</v>
      </c>
      <c r="E38" s="1777"/>
      <c r="F38" s="1774"/>
      <c r="G38" s="1774"/>
      <c r="H38" s="1775">
        <f t="shared" si="14"/>
        <v>0</v>
      </c>
      <c r="I38" s="1776"/>
      <c r="J38" s="1777"/>
      <c r="K38" s="1777"/>
      <c r="L38" s="1944">
        <f t="shared" si="15"/>
        <v>9.5849678400073621</v>
      </c>
      <c r="M38" s="1777"/>
      <c r="N38" s="1777"/>
      <c r="O38" s="1835"/>
      <c r="P38" s="1835">
        <v>7.0385260919464801E-2</v>
      </c>
      <c r="Q38" s="1777"/>
      <c r="R38" s="1835">
        <v>4.5050511649798418E-2</v>
      </c>
      <c r="S38" s="1835">
        <v>5.9874707512255245</v>
      </c>
      <c r="T38" s="1835">
        <v>3.4820613162125746</v>
      </c>
      <c r="U38" s="1835">
        <v>0</v>
      </c>
      <c r="V38" s="1774"/>
      <c r="W38" s="1774"/>
      <c r="X38" s="1774"/>
      <c r="Y38" s="1777"/>
      <c r="Z38" s="1945">
        <v>3.8648261904674901</v>
      </c>
      <c r="AA38" s="1778">
        <f t="shared" si="16"/>
        <v>0</v>
      </c>
      <c r="AB38" s="1779"/>
      <c r="AC38" s="1777"/>
      <c r="AD38" s="1777"/>
      <c r="AE38" s="1835"/>
      <c r="AF38" s="1835"/>
      <c r="AG38" s="1835"/>
      <c r="AH38" s="1946"/>
      <c r="AI38" s="1777"/>
      <c r="AJ38" s="1780"/>
      <c r="AK38" s="1945">
        <v>35.084625139340091</v>
      </c>
      <c r="AL38" s="1778"/>
      <c r="AM38" s="1782">
        <f t="shared" si="10"/>
        <v>48.534419169814939</v>
      </c>
    </row>
    <row r="39" spans="1:39">
      <c r="A39" s="1942" t="s">
        <v>1413</v>
      </c>
      <c r="B39" s="1947" t="s">
        <v>1414</v>
      </c>
      <c r="C39" s="1771">
        <f t="shared" si="13"/>
        <v>61.292875640000013</v>
      </c>
      <c r="D39" s="1776">
        <v>61.292875640000013</v>
      </c>
      <c r="E39" s="1777"/>
      <c r="F39" s="1774"/>
      <c r="G39" s="1774"/>
      <c r="H39" s="1775">
        <f t="shared" si="14"/>
        <v>0</v>
      </c>
      <c r="I39" s="1776"/>
      <c r="J39" s="1777"/>
      <c r="K39" s="1777"/>
      <c r="L39" s="1944">
        <f t="shared" si="15"/>
        <v>141.29540018676045</v>
      </c>
      <c r="M39" s="1777"/>
      <c r="N39" s="1777"/>
      <c r="O39" s="1835"/>
      <c r="P39" s="1776">
        <v>7.4223249675262011</v>
      </c>
      <c r="Q39" s="1777"/>
      <c r="R39" s="1776">
        <v>4.7507039549193086</v>
      </c>
      <c r="S39" s="1776">
        <v>1.3503657438934162</v>
      </c>
      <c r="T39" s="1776">
        <v>39.338491810899292</v>
      </c>
      <c r="U39" s="1776">
        <v>88.433513709522217</v>
      </c>
      <c r="V39" s="1774"/>
      <c r="W39" s="1774"/>
      <c r="X39" s="1774"/>
      <c r="Y39" s="1777"/>
      <c r="Z39" s="1945">
        <v>14.567060562369569</v>
      </c>
      <c r="AA39" s="1778">
        <f t="shared" si="16"/>
        <v>24.50278043968483</v>
      </c>
      <c r="AB39" s="1779"/>
      <c r="AC39" s="1777"/>
      <c r="AD39" s="1777">
        <v>24.50278043968483</v>
      </c>
      <c r="AE39" s="1835"/>
      <c r="AF39" s="1835"/>
      <c r="AG39" s="1835"/>
      <c r="AH39" s="1946"/>
      <c r="AI39" s="1777"/>
      <c r="AJ39" s="1780">
        <v>34.887415356111802</v>
      </c>
      <c r="AK39" s="1945">
        <v>50.805021740391801</v>
      </c>
      <c r="AL39" s="1778"/>
      <c r="AM39" s="1782">
        <f t="shared" si="10"/>
        <v>327.35055392531842</v>
      </c>
    </row>
    <row r="40" spans="1:39">
      <c r="A40" s="1942" t="s">
        <v>1415</v>
      </c>
      <c r="B40" s="1947" t="s">
        <v>1416</v>
      </c>
      <c r="C40" s="1771">
        <f t="shared" si="13"/>
        <v>0</v>
      </c>
      <c r="D40" s="1835">
        <v>0</v>
      </c>
      <c r="E40" s="1777"/>
      <c r="F40" s="1774"/>
      <c r="G40" s="1774"/>
      <c r="H40" s="1775">
        <f t="shared" si="14"/>
        <v>0</v>
      </c>
      <c r="I40" s="1776"/>
      <c r="J40" s="1777"/>
      <c r="K40" s="1777"/>
      <c r="L40" s="1944">
        <f t="shared" si="15"/>
        <v>95.628522186794427</v>
      </c>
      <c r="M40" s="1777"/>
      <c r="N40" s="1777"/>
      <c r="O40" s="1835"/>
      <c r="P40" s="1835">
        <v>0</v>
      </c>
      <c r="Q40" s="1777"/>
      <c r="R40" s="1835">
        <v>87.601118133912209</v>
      </c>
      <c r="S40" s="1835">
        <v>5.5224863205452461</v>
      </c>
      <c r="T40" s="1835">
        <v>2.5049177323369789</v>
      </c>
      <c r="U40" s="1835">
        <v>0</v>
      </c>
      <c r="V40" s="1774"/>
      <c r="W40" s="1774"/>
      <c r="X40" s="1774"/>
      <c r="Y40" s="1777"/>
      <c r="Z40" s="1945">
        <v>320.88771318434272</v>
      </c>
      <c r="AA40" s="1778">
        <f t="shared" si="16"/>
        <v>0</v>
      </c>
      <c r="AB40" s="1779"/>
      <c r="AC40" s="1777"/>
      <c r="AD40" s="1777"/>
      <c r="AE40" s="1835"/>
      <c r="AF40" s="1835"/>
      <c r="AG40" s="1835"/>
      <c r="AH40" s="1946"/>
      <c r="AI40" s="1777"/>
      <c r="AJ40" s="1780"/>
      <c r="AK40" s="1945">
        <v>63.755229185746337</v>
      </c>
      <c r="AL40" s="1778"/>
      <c r="AM40" s="1782">
        <f t="shared" si="10"/>
        <v>480.27146455688347</v>
      </c>
    </row>
    <row r="41" spans="1:39">
      <c r="A41" s="1942" t="s">
        <v>1417</v>
      </c>
      <c r="B41" s="1947" t="s">
        <v>1418</v>
      </c>
      <c r="C41" s="1771">
        <f t="shared" si="13"/>
        <v>0</v>
      </c>
      <c r="D41" s="1835">
        <v>0</v>
      </c>
      <c r="E41" s="1777"/>
      <c r="F41" s="1774"/>
      <c r="G41" s="1774"/>
      <c r="H41" s="1775">
        <f t="shared" si="14"/>
        <v>0</v>
      </c>
      <c r="I41" s="1776"/>
      <c r="J41" s="1777"/>
      <c r="K41" s="1777"/>
      <c r="L41" s="1944">
        <f t="shared" si="15"/>
        <v>5.5513061561845136</v>
      </c>
      <c r="M41" s="1777"/>
      <c r="N41" s="1777"/>
      <c r="O41" s="1835"/>
      <c r="P41" s="1835">
        <v>0.38379887557972303</v>
      </c>
      <c r="Q41" s="1777"/>
      <c r="R41" s="1835">
        <v>0.24565278993946685</v>
      </c>
      <c r="S41" s="1835">
        <v>2.2612256560479382</v>
      </c>
      <c r="T41" s="1835">
        <v>2.6606288346173854</v>
      </c>
      <c r="U41" s="1835">
        <v>0</v>
      </c>
      <c r="V41" s="1774"/>
      <c r="W41" s="1774"/>
      <c r="X41" s="1774"/>
      <c r="Y41" s="1777"/>
      <c r="Z41" s="1945">
        <v>4.7226328945485685</v>
      </c>
      <c r="AA41" s="1778">
        <f t="shared" si="16"/>
        <v>0</v>
      </c>
      <c r="AB41" s="1779"/>
      <c r="AC41" s="1777"/>
      <c r="AD41" s="1777"/>
      <c r="AE41" s="1835"/>
      <c r="AF41" s="1835"/>
      <c r="AG41" s="1835"/>
      <c r="AH41" s="1946"/>
      <c r="AI41" s="1777"/>
      <c r="AJ41" s="1780"/>
      <c r="AK41" s="1945">
        <v>20.354013726184498</v>
      </c>
      <c r="AL41" s="1778"/>
      <c r="AM41" s="1782">
        <f t="shared" si="10"/>
        <v>30.627952776917581</v>
      </c>
    </row>
    <row r="42" spans="1:39">
      <c r="A42" s="1942" t="s">
        <v>1419</v>
      </c>
      <c r="B42" s="1947" t="s">
        <v>1420</v>
      </c>
      <c r="C42" s="1771">
        <f t="shared" si="13"/>
        <v>7.8738848126230928E-4</v>
      </c>
      <c r="D42" s="1835">
        <v>7.8738848126230928E-4</v>
      </c>
      <c r="E42" s="1777"/>
      <c r="F42" s="1774"/>
      <c r="G42" s="1774"/>
      <c r="H42" s="1775">
        <f t="shared" si="14"/>
        <v>0</v>
      </c>
      <c r="I42" s="1776"/>
      <c r="J42" s="1777"/>
      <c r="K42" s="1777"/>
      <c r="L42" s="1944">
        <f t="shared" si="15"/>
        <v>42.026502563420557</v>
      </c>
      <c r="M42" s="1777"/>
      <c r="N42" s="1777"/>
      <c r="O42" s="1835"/>
      <c r="P42" s="1835">
        <v>0.31739768603305824</v>
      </c>
      <c r="Q42" s="1777"/>
      <c r="R42" s="1835">
        <v>0.20315230725097777</v>
      </c>
      <c r="S42" s="1835">
        <v>39.975921739033396</v>
      </c>
      <c r="T42" s="1835">
        <v>1.5300308311031277</v>
      </c>
      <c r="U42" s="1835">
        <v>0</v>
      </c>
      <c r="V42" s="1774"/>
      <c r="W42" s="1774"/>
      <c r="X42" s="1774"/>
      <c r="Y42" s="1777"/>
      <c r="Z42" s="1948">
        <v>106.26784950119762</v>
      </c>
      <c r="AA42" s="1778">
        <f t="shared" si="16"/>
        <v>0</v>
      </c>
      <c r="AB42" s="1779"/>
      <c r="AC42" s="1777"/>
      <c r="AD42" s="1777"/>
      <c r="AE42" s="1835"/>
      <c r="AF42" s="1835"/>
      <c r="AG42" s="1835"/>
      <c r="AH42" s="1949"/>
      <c r="AI42" s="1777"/>
      <c r="AJ42" s="1950"/>
      <c r="AK42" s="1948">
        <v>98.613424372997528</v>
      </c>
      <c r="AL42" s="1778"/>
      <c r="AM42" s="1782">
        <f t="shared" si="10"/>
        <v>246.90856382609695</v>
      </c>
    </row>
    <row r="43" spans="1:39">
      <c r="A43" s="1942" t="s">
        <v>1421</v>
      </c>
      <c r="B43" s="1947" t="s">
        <v>1422</v>
      </c>
      <c r="C43" s="1771">
        <f t="shared" si="13"/>
        <v>0</v>
      </c>
      <c r="D43" s="1835">
        <v>0</v>
      </c>
      <c r="E43" s="1777"/>
      <c r="F43" s="1774"/>
      <c r="G43" s="1774"/>
      <c r="H43" s="1775">
        <f t="shared" si="14"/>
        <v>0</v>
      </c>
      <c r="I43" s="1776"/>
      <c r="J43" s="1777"/>
      <c r="K43" s="1777"/>
      <c r="L43" s="1944">
        <f t="shared" si="15"/>
        <v>4.7143423059481862</v>
      </c>
      <c r="M43" s="1777"/>
      <c r="N43" s="1777"/>
      <c r="O43" s="1835"/>
      <c r="P43" s="1835">
        <v>0.24834044890452672</v>
      </c>
      <c r="Q43" s="1777"/>
      <c r="R43" s="1835">
        <v>0.15895180525494915</v>
      </c>
      <c r="S43" s="1835">
        <v>3.6052217502060078</v>
      </c>
      <c r="T43" s="1835">
        <v>0.70182830158270293</v>
      </c>
      <c r="U43" s="1835">
        <v>0</v>
      </c>
      <c r="V43" s="1774"/>
      <c r="W43" s="1774"/>
      <c r="X43" s="1774"/>
      <c r="Y43" s="1777"/>
      <c r="Z43" s="1951">
        <v>1.6060395591007064</v>
      </c>
      <c r="AA43" s="1778">
        <f t="shared" si="16"/>
        <v>0</v>
      </c>
      <c r="AB43" s="1779"/>
      <c r="AC43" s="1777"/>
      <c r="AD43" s="1777"/>
      <c r="AE43" s="1835"/>
      <c r="AF43" s="1835"/>
      <c r="AG43" s="1835"/>
      <c r="AH43" s="1886"/>
      <c r="AI43" s="1777"/>
      <c r="AJ43" s="1890"/>
      <c r="AK43" s="1951">
        <v>16.869021567604193</v>
      </c>
      <c r="AL43" s="1778"/>
      <c r="AM43" s="1782">
        <f t="shared" si="10"/>
        <v>23.189403432653087</v>
      </c>
    </row>
    <row r="44" spans="1:39">
      <c r="A44" s="1952" t="s">
        <v>1423</v>
      </c>
      <c r="B44" s="1953" t="s">
        <v>1424</v>
      </c>
      <c r="C44" s="1954">
        <f t="shared" si="13"/>
        <v>0.16495788682445381</v>
      </c>
      <c r="D44" s="1955">
        <v>0.16495788682445381</v>
      </c>
      <c r="E44" s="1955"/>
      <c r="F44" s="1956"/>
      <c r="G44" s="1956"/>
      <c r="H44" s="1957">
        <f t="shared" si="14"/>
        <v>3.3667999999999997E-2</v>
      </c>
      <c r="I44" s="1958"/>
      <c r="J44" s="1955"/>
      <c r="K44" s="1955">
        <v>3.3667999999999997E-2</v>
      </c>
      <c r="L44" s="1959">
        <f t="shared" si="15"/>
        <v>38.682869902775195</v>
      </c>
      <c r="M44" s="1955"/>
      <c r="N44" s="1955"/>
      <c r="O44" s="1835"/>
      <c r="P44" s="1955">
        <v>8.2656200747688455</v>
      </c>
      <c r="Q44" s="1955"/>
      <c r="R44" s="1955">
        <v>5.2904600850631196</v>
      </c>
      <c r="S44" s="1955">
        <v>20.484793548873711</v>
      </c>
      <c r="T44" s="1955">
        <v>4.6419961940695185</v>
      </c>
      <c r="U44" s="1955">
        <v>0</v>
      </c>
      <c r="V44" s="1956"/>
      <c r="W44" s="1956"/>
      <c r="X44" s="1956"/>
      <c r="Y44" s="1955"/>
      <c r="Z44" s="1960">
        <v>5.5679168730226261</v>
      </c>
      <c r="AA44" s="1961">
        <f t="shared" si="16"/>
        <v>0</v>
      </c>
      <c r="AB44" s="1962"/>
      <c r="AC44" s="1955"/>
      <c r="AD44" s="1955"/>
      <c r="AE44" s="1887"/>
      <c r="AF44" s="1887"/>
      <c r="AG44" s="1887"/>
      <c r="AH44" s="1963"/>
      <c r="AI44" s="1955"/>
      <c r="AJ44" s="1846"/>
      <c r="AK44" s="1960">
        <v>77.56715370102701</v>
      </c>
      <c r="AL44" s="1961"/>
      <c r="AM44" s="1964">
        <f t="shared" si="10"/>
        <v>122.01656636364928</v>
      </c>
    </row>
    <row r="45" spans="1:39">
      <c r="A45" s="1965" t="s">
        <v>482</v>
      </c>
      <c r="B45" s="1966"/>
      <c r="C45" s="1967">
        <f t="shared" ref="C45:AL45" si="17">SUM(C46:C55)</f>
        <v>0</v>
      </c>
      <c r="D45" s="1857">
        <f t="shared" si="17"/>
        <v>0</v>
      </c>
      <c r="E45" s="1857">
        <f t="shared" si="17"/>
        <v>0</v>
      </c>
      <c r="F45" s="1968">
        <f t="shared" si="17"/>
        <v>0</v>
      </c>
      <c r="G45" s="1968">
        <f t="shared" si="17"/>
        <v>0</v>
      </c>
      <c r="H45" s="1969">
        <f t="shared" si="17"/>
        <v>0</v>
      </c>
      <c r="I45" s="1970">
        <f t="shared" si="17"/>
        <v>0</v>
      </c>
      <c r="J45" s="1857">
        <f t="shared" si="17"/>
        <v>0</v>
      </c>
      <c r="K45" s="1857">
        <f t="shared" si="17"/>
        <v>0</v>
      </c>
      <c r="L45" s="1969">
        <f t="shared" si="17"/>
        <v>4172.8051045915236</v>
      </c>
      <c r="M45" s="1857">
        <f t="shared" si="17"/>
        <v>0</v>
      </c>
      <c r="N45" s="1857">
        <f t="shared" si="17"/>
        <v>0</v>
      </c>
      <c r="O45" s="1857">
        <f t="shared" si="17"/>
        <v>1198.0684966718206</v>
      </c>
      <c r="P45" s="1857">
        <f t="shared" si="17"/>
        <v>0</v>
      </c>
      <c r="Q45" s="1857">
        <f t="shared" si="17"/>
        <v>605.67408192143989</v>
      </c>
      <c r="R45" s="1857">
        <f t="shared" si="17"/>
        <v>0</v>
      </c>
      <c r="S45" s="1857">
        <f t="shared" si="17"/>
        <v>1.303455521148825</v>
      </c>
      <c r="T45" s="1857">
        <f>SUM(T46:T55)</f>
        <v>2367.7590704771155</v>
      </c>
      <c r="U45" s="1857">
        <f t="shared" si="17"/>
        <v>0</v>
      </c>
      <c r="V45" s="1968">
        <f t="shared" si="17"/>
        <v>0</v>
      </c>
      <c r="W45" s="1968">
        <f t="shared" si="17"/>
        <v>0</v>
      </c>
      <c r="X45" s="1968">
        <f t="shared" si="17"/>
        <v>0</v>
      </c>
      <c r="Y45" s="1857">
        <f t="shared" si="17"/>
        <v>0</v>
      </c>
      <c r="Z45" s="1969">
        <f t="shared" si="17"/>
        <v>0</v>
      </c>
      <c r="AA45" s="1971">
        <f t="shared" si="17"/>
        <v>102.24454518604799</v>
      </c>
      <c r="AB45" s="1972">
        <f t="shared" si="17"/>
        <v>0</v>
      </c>
      <c r="AC45" s="1857">
        <f t="shared" si="17"/>
        <v>0</v>
      </c>
      <c r="AD45" s="1857">
        <f t="shared" si="17"/>
        <v>0</v>
      </c>
      <c r="AE45" s="1857">
        <f t="shared" si="17"/>
        <v>0</v>
      </c>
      <c r="AF45" s="1857">
        <f t="shared" si="17"/>
        <v>0</v>
      </c>
      <c r="AG45" s="1857">
        <f t="shared" si="17"/>
        <v>102.24454518604799</v>
      </c>
      <c r="AH45" s="1971">
        <f t="shared" si="17"/>
        <v>0</v>
      </c>
      <c r="AI45" s="1857">
        <f t="shared" si="17"/>
        <v>0</v>
      </c>
      <c r="AJ45" s="1969">
        <f t="shared" si="17"/>
        <v>0</v>
      </c>
      <c r="AK45" s="1969">
        <f t="shared" si="17"/>
        <v>3.5964616060000001</v>
      </c>
      <c r="AL45" s="1971">
        <f t="shared" si="17"/>
        <v>0</v>
      </c>
      <c r="AM45" s="1973">
        <f t="shared" si="10"/>
        <v>4278.6461113835712</v>
      </c>
    </row>
    <row r="46" spans="1:39">
      <c r="A46" s="1974" t="s">
        <v>1252</v>
      </c>
      <c r="B46" s="1975"/>
      <c r="C46" s="1860">
        <f t="shared" ref="C46:C56" si="18">SUM(D46:G46)</f>
        <v>0</v>
      </c>
      <c r="D46" s="1976"/>
      <c r="E46" s="1880"/>
      <c r="F46" s="1825"/>
      <c r="G46" s="1825"/>
      <c r="H46" s="1831">
        <f t="shared" ref="H46:H56" si="19">SUM(I46:K46)</f>
        <v>0</v>
      </c>
      <c r="I46" s="1823"/>
      <c r="J46" s="1824"/>
      <c r="K46" s="1824"/>
      <c r="L46" s="1831">
        <f t="shared" ref="L46:L56" si="20">SUM(M46:Y46)</f>
        <v>562.34059775589515</v>
      </c>
      <c r="M46" s="1824"/>
      <c r="N46" s="1824"/>
      <c r="O46" s="1824"/>
      <c r="P46" s="1824"/>
      <c r="Q46" s="1824"/>
      <c r="R46" s="1824"/>
      <c r="S46" s="1824"/>
      <c r="T46" s="1824">
        <v>562.34059775589515</v>
      </c>
      <c r="U46" s="1824"/>
      <c r="V46" s="1825"/>
      <c r="W46" s="1825"/>
      <c r="X46" s="1825"/>
      <c r="Y46" s="1824"/>
      <c r="Z46" s="1831"/>
      <c r="AA46" s="1827">
        <f t="shared" ref="AA46:AA56" si="21">SUM(AB46:AI46)</f>
        <v>18.225712432775889</v>
      </c>
      <c r="AB46" s="1828"/>
      <c r="AC46" s="1824"/>
      <c r="AD46" s="1824"/>
      <c r="AE46" s="1824"/>
      <c r="AF46" s="1824"/>
      <c r="AG46" s="1824">
        <v>18.225712432775889</v>
      </c>
      <c r="AH46" s="1881"/>
      <c r="AI46" s="1824"/>
      <c r="AJ46" s="1831"/>
      <c r="AK46" s="1861"/>
      <c r="AL46" s="1827"/>
      <c r="AM46" s="1862">
        <f t="shared" si="10"/>
        <v>580.56631018867108</v>
      </c>
    </row>
    <row r="47" spans="1:39">
      <c r="A47" s="1977" t="s">
        <v>1425</v>
      </c>
      <c r="B47" s="1978"/>
      <c r="C47" s="1934"/>
      <c r="D47" s="1979"/>
      <c r="E47" s="1980"/>
      <c r="F47" s="1935"/>
      <c r="G47" s="1935"/>
      <c r="H47" s="1936"/>
      <c r="I47" s="1937"/>
      <c r="J47" s="1835"/>
      <c r="K47" s="1835"/>
      <c r="L47" s="1936">
        <f t="shared" si="20"/>
        <v>309.08555013234491</v>
      </c>
      <c r="M47" s="1835"/>
      <c r="N47" s="1835"/>
      <c r="O47" s="1835"/>
      <c r="P47" s="1835"/>
      <c r="Q47" s="1835"/>
      <c r="R47" s="1835"/>
      <c r="S47" s="1835"/>
      <c r="T47" s="1835">
        <v>309.08555013234491</v>
      </c>
      <c r="U47" s="1835"/>
      <c r="V47" s="1935"/>
      <c r="W47" s="1935"/>
      <c r="X47" s="1935"/>
      <c r="Y47" s="1835"/>
      <c r="Z47" s="1936"/>
      <c r="AA47" s="1940">
        <f t="shared" si="21"/>
        <v>10.017602101500415</v>
      </c>
      <c r="AB47" s="1941"/>
      <c r="AC47" s="1835"/>
      <c r="AD47" s="1835"/>
      <c r="AE47" s="1835"/>
      <c r="AF47" s="1835"/>
      <c r="AG47" s="1835">
        <v>10.017602101500415</v>
      </c>
      <c r="AH47" s="1949"/>
      <c r="AI47" s="1835"/>
      <c r="AJ47" s="1936"/>
      <c r="AK47" s="1950"/>
      <c r="AL47" s="1940"/>
      <c r="AM47" s="1832">
        <f t="shared" si="10"/>
        <v>319.10315223384532</v>
      </c>
    </row>
    <row r="48" spans="1:39">
      <c r="A48" s="1981" t="s">
        <v>1426</v>
      </c>
      <c r="B48" s="1982"/>
      <c r="C48" s="1771">
        <f t="shared" si="18"/>
        <v>0</v>
      </c>
      <c r="D48" s="1772"/>
      <c r="E48" s="1783"/>
      <c r="F48" s="1774"/>
      <c r="G48" s="1774"/>
      <c r="H48" s="1775">
        <f t="shared" si="19"/>
        <v>0</v>
      </c>
      <c r="I48" s="1776"/>
      <c r="J48" s="1777"/>
      <c r="K48" s="1777"/>
      <c r="L48" s="1775">
        <f t="shared" si="20"/>
        <v>1791.4925276992453</v>
      </c>
      <c r="M48" s="1777"/>
      <c r="N48" s="1777"/>
      <c r="O48" s="1777">
        <v>918.06853680755819</v>
      </c>
      <c r="P48" s="1777"/>
      <c r="Q48" s="1777"/>
      <c r="R48" s="1777"/>
      <c r="S48" s="1777">
        <v>1.303455521148825</v>
      </c>
      <c r="T48" s="1777">
        <v>872.12053537053839</v>
      </c>
      <c r="U48" s="1777"/>
      <c r="V48" s="1774"/>
      <c r="W48" s="1774"/>
      <c r="X48" s="1774"/>
      <c r="Y48" s="1777"/>
      <c r="Z48" s="1775"/>
      <c r="AA48" s="1778">
        <f t="shared" si="21"/>
        <v>50.210666754332713</v>
      </c>
      <c r="AB48" s="1779"/>
      <c r="AC48" s="1777"/>
      <c r="AD48" s="1777"/>
      <c r="AE48" s="1777"/>
      <c r="AF48" s="1777"/>
      <c r="AG48" s="1777">
        <v>50.210666754332713</v>
      </c>
      <c r="AH48" s="1946"/>
      <c r="AI48" s="1777"/>
      <c r="AJ48" s="1775"/>
      <c r="AK48" s="1780"/>
      <c r="AL48" s="1778"/>
      <c r="AM48" s="1782">
        <f t="shared" si="10"/>
        <v>1841.7031944535781</v>
      </c>
    </row>
    <row r="49" spans="1:39">
      <c r="A49" s="1981" t="s">
        <v>1427</v>
      </c>
      <c r="B49" s="1982"/>
      <c r="C49" s="1771">
        <f t="shared" si="18"/>
        <v>0</v>
      </c>
      <c r="D49" s="1772"/>
      <c r="E49" s="1783"/>
      <c r="F49" s="1774"/>
      <c r="G49" s="1774"/>
      <c r="H49" s="1775">
        <f t="shared" si="19"/>
        <v>0</v>
      </c>
      <c r="I49" s="1776"/>
      <c r="J49" s="1777"/>
      <c r="K49" s="1777"/>
      <c r="L49" s="1775">
        <f t="shared" si="20"/>
        <v>146.82951938990453</v>
      </c>
      <c r="M49" s="1777"/>
      <c r="N49" s="1777"/>
      <c r="O49" s="1777">
        <v>20.191672933750159</v>
      </c>
      <c r="P49" s="1777"/>
      <c r="Q49" s="1777"/>
      <c r="R49" s="1777"/>
      <c r="S49" s="1777"/>
      <c r="T49" s="1777">
        <v>126.63784645615438</v>
      </c>
      <c r="U49" s="1777"/>
      <c r="V49" s="1774"/>
      <c r="W49" s="1774"/>
      <c r="X49" s="1774"/>
      <c r="Y49" s="1777"/>
      <c r="Z49" s="1775"/>
      <c r="AA49" s="1778">
        <f t="shared" si="21"/>
        <v>4.5859206561279002</v>
      </c>
      <c r="AB49" s="1779"/>
      <c r="AC49" s="1777"/>
      <c r="AD49" s="1777"/>
      <c r="AE49" s="1777"/>
      <c r="AF49" s="1777"/>
      <c r="AG49" s="1777">
        <v>4.5859206561279002</v>
      </c>
      <c r="AH49" s="1946"/>
      <c r="AI49" s="1777"/>
      <c r="AJ49" s="1775"/>
      <c r="AK49" s="1780"/>
      <c r="AL49" s="1778"/>
      <c r="AM49" s="1782">
        <f t="shared" si="10"/>
        <v>151.41544004603244</v>
      </c>
    </row>
    <row r="50" spans="1:39">
      <c r="A50" s="1981" t="s">
        <v>1221</v>
      </c>
      <c r="B50" s="1982"/>
      <c r="C50" s="1771">
        <f t="shared" si="18"/>
        <v>0</v>
      </c>
      <c r="D50" s="1772"/>
      <c r="E50" s="1783"/>
      <c r="F50" s="1774"/>
      <c r="G50" s="1774"/>
      <c r="H50" s="1775">
        <f t="shared" si="19"/>
        <v>0</v>
      </c>
      <c r="I50" s="1776"/>
      <c r="J50" s="1777"/>
      <c r="K50" s="1777"/>
      <c r="L50" s="1775">
        <f t="shared" si="20"/>
        <v>38.335782008121818</v>
      </c>
      <c r="M50" s="1777"/>
      <c r="N50" s="1777"/>
      <c r="O50" s="1777"/>
      <c r="P50" s="1777"/>
      <c r="Q50" s="1955"/>
      <c r="R50" s="1777"/>
      <c r="S50" s="1777"/>
      <c r="T50" s="1777">
        <v>38.335782008121818</v>
      </c>
      <c r="U50" s="1777"/>
      <c r="V50" s="1774"/>
      <c r="W50" s="1774"/>
      <c r="X50" s="1774"/>
      <c r="Y50" s="1777"/>
      <c r="Z50" s="1775"/>
      <c r="AA50" s="1778">
        <f t="shared" si="21"/>
        <v>0</v>
      </c>
      <c r="AB50" s="1779"/>
      <c r="AC50" s="1777"/>
      <c r="AD50" s="1777"/>
      <c r="AE50" s="1777"/>
      <c r="AF50" s="1777"/>
      <c r="AG50" s="1777">
        <v>0</v>
      </c>
      <c r="AH50" s="1946"/>
      <c r="AI50" s="1777"/>
      <c r="AJ50" s="1775"/>
      <c r="AK50" s="1780">
        <v>3.5964616060000001</v>
      </c>
      <c r="AL50" s="1778"/>
      <c r="AM50" s="1782">
        <f t="shared" si="10"/>
        <v>41.932243614121816</v>
      </c>
    </row>
    <row r="51" spans="1:39">
      <c r="A51" s="1981" t="s">
        <v>1428</v>
      </c>
      <c r="B51" s="1982"/>
      <c r="C51" s="1771">
        <f t="shared" si="18"/>
        <v>0</v>
      </c>
      <c r="D51" s="1772"/>
      <c r="E51" s="1783"/>
      <c r="F51" s="1774"/>
      <c r="G51" s="1774"/>
      <c r="H51" s="1775">
        <f t="shared" si="19"/>
        <v>0</v>
      </c>
      <c r="I51" s="1776"/>
      <c r="J51" s="1777"/>
      <c r="K51" s="1777"/>
      <c r="L51" s="1775">
        <f t="shared" si="20"/>
        <v>3.3492872386419079</v>
      </c>
      <c r="M51" s="1777"/>
      <c r="N51" s="1777"/>
      <c r="O51" s="1777">
        <v>0.90091111111111111</v>
      </c>
      <c r="P51" s="1777"/>
      <c r="Q51" s="1777">
        <v>2.4483761275307967</v>
      </c>
      <c r="R51" s="1777"/>
      <c r="S51" s="1777"/>
      <c r="T51" s="1777"/>
      <c r="U51" s="1777"/>
      <c r="V51" s="1774"/>
      <c r="W51" s="1774"/>
      <c r="X51" s="1774"/>
      <c r="Y51" s="1777"/>
      <c r="Z51" s="1775"/>
      <c r="AA51" s="1778">
        <f t="shared" si="21"/>
        <v>0</v>
      </c>
      <c r="AB51" s="1779"/>
      <c r="AC51" s="1777"/>
      <c r="AD51" s="1777"/>
      <c r="AE51" s="1777"/>
      <c r="AF51" s="1777"/>
      <c r="AG51" s="1777"/>
      <c r="AH51" s="1946"/>
      <c r="AI51" s="1777"/>
      <c r="AJ51" s="1775"/>
      <c r="AK51" s="1780"/>
      <c r="AL51" s="1778"/>
      <c r="AM51" s="1782">
        <f t="shared" si="10"/>
        <v>3.3492872386419079</v>
      </c>
    </row>
    <row r="52" spans="1:39">
      <c r="A52" s="1981" t="s">
        <v>1429</v>
      </c>
      <c r="B52" s="1983"/>
      <c r="C52" s="1954">
        <f t="shared" si="18"/>
        <v>0</v>
      </c>
      <c r="D52" s="1955"/>
      <c r="E52" s="1955"/>
      <c r="F52" s="1956"/>
      <c r="G52" s="1956"/>
      <c r="H52" s="1957">
        <f t="shared" si="19"/>
        <v>0</v>
      </c>
      <c r="I52" s="1958"/>
      <c r="J52" s="1955"/>
      <c r="K52" s="1955"/>
      <c r="L52" s="1957">
        <f t="shared" si="20"/>
        <v>603.22570579390913</v>
      </c>
      <c r="M52" s="1955"/>
      <c r="N52" s="1955"/>
      <c r="O52" s="1835"/>
      <c r="P52" s="1955"/>
      <c r="Q52" s="1955">
        <v>603.22570579390913</v>
      </c>
      <c r="R52" s="1955"/>
      <c r="S52" s="1955"/>
      <c r="T52" s="1955"/>
      <c r="U52" s="1955"/>
      <c r="V52" s="1956"/>
      <c r="W52" s="1956"/>
      <c r="X52" s="1956"/>
      <c r="Y52" s="1955"/>
      <c r="Z52" s="1950"/>
      <c r="AA52" s="1961">
        <f t="shared" si="21"/>
        <v>0</v>
      </c>
      <c r="AB52" s="1962"/>
      <c r="AC52" s="1955"/>
      <c r="AD52" s="1955"/>
      <c r="AE52" s="1955"/>
      <c r="AF52" s="1955"/>
      <c r="AG52" s="1955"/>
      <c r="AH52" s="1949"/>
      <c r="AI52" s="1955"/>
      <c r="AJ52" s="1950"/>
      <c r="AK52" s="1950"/>
      <c r="AL52" s="1961"/>
      <c r="AM52" s="1964">
        <f t="shared" si="10"/>
        <v>603.22570579390913</v>
      </c>
    </row>
    <row r="53" spans="1:39">
      <c r="A53" s="1981" t="s">
        <v>1430</v>
      </c>
      <c r="B53" s="1983"/>
      <c r="C53" s="1954">
        <f t="shared" si="18"/>
        <v>0</v>
      </c>
      <c r="D53" s="1958"/>
      <c r="E53" s="1955"/>
      <c r="F53" s="1956"/>
      <c r="G53" s="1956"/>
      <c r="H53" s="1957">
        <f t="shared" si="19"/>
        <v>0</v>
      </c>
      <c r="I53" s="1958"/>
      <c r="J53" s="1955"/>
      <c r="K53" s="1955"/>
      <c r="L53" s="1957">
        <f t="shared" si="20"/>
        <v>243.10216359793375</v>
      </c>
      <c r="M53" s="1955"/>
      <c r="N53" s="1955"/>
      <c r="O53" s="1955">
        <v>108.76902188010735</v>
      </c>
      <c r="P53" s="1955"/>
      <c r="Q53" s="1955"/>
      <c r="R53" s="1955"/>
      <c r="S53" s="1955"/>
      <c r="T53" s="1955">
        <v>134.33314171782641</v>
      </c>
      <c r="U53" s="1955"/>
      <c r="V53" s="1956"/>
      <c r="W53" s="1956"/>
      <c r="X53" s="1956"/>
      <c r="Y53" s="1955"/>
      <c r="Z53" s="1950"/>
      <c r="AA53" s="1961">
        <f t="shared" si="21"/>
        <v>6.9477208819029528</v>
      </c>
      <c r="AB53" s="1962"/>
      <c r="AC53" s="1955"/>
      <c r="AD53" s="1955"/>
      <c r="AE53" s="1955"/>
      <c r="AF53" s="1955"/>
      <c r="AG53" s="1777">
        <v>6.9477208819029528</v>
      </c>
      <c r="AH53" s="1955"/>
      <c r="AI53" s="1955"/>
      <c r="AJ53" s="1950"/>
      <c r="AK53" s="1780"/>
      <c r="AL53" s="1961"/>
      <c r="AM53" s="1964">
        <f t="shared" si="10"/>
        <v>250.04988447983669</v>
      </c>
    </row>
    <row r="54" spans="1:39">
      <c r="A54" s="1984" t="s">
        <v>1431</v>
      </c>
      <c r="B54" s="1982"/>
      <c r="C54" s="1954">
        <f t="shared" si="18"/>
        <v>0</v>
      </c>
      <c r="D54" s="1958"/>
      <c r="E54" s="1955"/>
      <c r="F54" s="1956"/>
      <c r="G54" s="1956"/>
      <c r="H54" s="1957">
        <f t="shared" si="19"/>
        <v>0</v>
      </c>
      <c r="I54" s="1958"/>
      <c r="J54" s="1955"/>
      <c r="K54" s="1955"/>
      <c r="L54" s="1957">
        <f t="shared" si="20"/>
        <v>57.20111881388604</v>
      </c>
      <c r="M54" s="1955"/>
      <c r="N54" s="1955"/>
      <c r="O54" s="1955"/>
      <c r="P54" s="1955"/>
      <c r="Q54" s="1955"/>
      <c r="R54" s="1955"/>
      <c r="S54" s="1955"/>
      <c r="T54" s="1955">
        <v>57.20111881388604</v>
      </c>
      <c r="U54" s="1955"/>
      <c r="V54" s="1956"/>
      <c r="W54" s="1956"/>
      <c r="X54" s="1956"/>
      <c r="Y54" s="1955"/>
      <c r="Z54" s="1890"/>
      <c r="AA54" s="1961">
        <f t="shared" si="21"/>
        <v>0</v>
      </c>
      <c r="AB54" s="1962"/>
      <c r="AC54" s="1955"/>
      <c r="AD54" s="1955"/>
      <c r="AE54" s="1955"/>
      <c r="AF54" s="1955"/>
      <c r="AG54" s="1955"/>
      <c r="AH54" s="1955"/>
      <c r="AI54" s="1955"/>
      <c r="AJ54" s="1890"/>
      <c r="AK54" s="1950"/>
      <c r="AL54" s="1961"/>
      <c r="AM54" s="1964">
        <f t="shared" si="10"/>
        <v>57.20111881388604</v>
      </c>
    </row>
    <row r="55" spans="1:39">
      <c r="A55" s="1985" t="s">
        <v>1432</v>
      </c>
      <c r="B55" s="1986"/>
      <c r="C55" s="1839">
        <f t="shared" si="18"/>
        <v>0</v>
      </c>
      <c r="D55" s="1987"/>
      <c r="E55" s="1988"/>
      <c r="F55" s="1842"/>
      <c r="G55" s="1842"/>
      <c r="H55" s="1843">
        <f t="shared" si="19"/>
        <v>0</v>
      </c>
      <c r="I55" s="1840"/>
      <c r="J55" s="1841"/>
      <c r="K55" s="1841"/>
      <c r="L55" s="1843">
        <f t="shared" si="20"/>
        <v>417.84285216164199</v>
      </c>
      <c r="M55" s="1841"/>
      <c r="N55" s="1841"/>
      <c r="O55" s="1841">
        <v>150.13835393929381</v>
      </c>
      <c r="P55" s="1841"/>
      <c r="Q55" s="1841"/>
      <c r="R55" s="1841">
        <v>0</v>
      </c>
      <c r="S55" s="1841"/>
      <c r="T55" s="1841">
        <v>267.70449822234821</v>
      </c>
      <c r="U55" s="1841"/>
      <c r="V55" s="1842"/>
      <c r="W55" s="1842"/>
      <c r="X55" s="1842"/>
      <c r="Y55" s="1841"/>
      <c r="Z55" s="1843"/>
      <c r="AA55" s="1844">
        <f t="shared" si="21"/>
        <v>12.256922359408126</v>
      </c>
      <c r="AB55" s="1845"/>
      <c r="AC55" s="1841"/>
      <c r="AD55" s="1841"/>
      <c r="AE55" s="1841"/>
      <c r="AF55" s="1841"/>
      <c r="AG55" s="1841">
        <v>12.256922359408126</v>
      </c>
      <c r="AH55" s="1963"/>
      <c r="AI55" s="1841"/>
      <c r="AJ55" s="1843"/>
      <c r="AK55" s="1846"/>
      <c r="AL55" s="1844"/>
      <c r="AM55" s="1847">
        <f t="shared" si="10"/>
        <v>430.09977452105011</v>
      </c>
    </row>
    <row r="56" spans="1:39">
      <c r="A56" s="1989" t="s">
        <v>1433</v>
      </c>
      <c r="B56" s="1990"/>
      <c r="C56" s="1967">
        <f t="shared" si="18"/>
        <v>273.02768526778607</v>
      </c>
      <c r="D56" s="1970">
        <v>172.9909914977089</v>
      </c>
      <c r="E56" s="1773">
        <v>82.736016353226802</v>
      </c>
      <c r="F56" s="1968"/>
      <c r="G56" s="1968">
        <v>17.300677416850384</v>
      </c>
      <c r="H56" s="1969">
        <f t="shared" si="19"/>
        <v>217.90367299999997</v>
      </c>
      <c r="I56" s="1970"/>
      <c r="J56" s="1857">
        <v>127.70399999999999</v>
      </c>
      <c r="K56" s="1857">
        <v>90.19967299999999</v>
      </c>
      <c r="L56" s="1969">
        <f t="shared" si="20"/>
        <v>917.94652763222655</v>
      </c>
      <c r="M56" s="1857"/>
      <c r="N56" s="1857"/>
      <c r="O56" s="1857">
        <v>0</v>
      </c>
      <c r="P56" s="1857">
        <v>705.99338354563224</v>
      </c>
      <c r="Q56" s="1857"/>
      <c r="R56" s="1857">
        <v>0</v>
      </c>
      <c r="S56" s="1857">
        <v>40.039192091386376</v>
      </c>
      <c r="T56" s="1857">
        <v>160.97457699673581</v>
      </c>
      <c r="U56" s="1857">
        <v>10.939374998472235</v>
      </c>
      <c r="V56" s="1968"/>
      <c r="W56" s="1968"/>
      <c r="X56" s="1968"/>
      <c r="Y56" s="1857"/>
      <c r="Z56" s="1969">
        <v>606.21500544000003</v>
      </c>
      <c r="AA56" s="1971">
        <f t="shared" si="21"/>
        <v>64.103806692707678</v>
      </c>
      <c r="AB56" s="1972"/>
      <c r="AC56" s="1857"/>
      <c r="AD56" s="1857">
        <v>28.434876468519207</v>
      </c>
      <c r="AE56" s="1857"/>
      <c r="AF56" s="1857"/>
      <c r="AG56" s="1857"/>
      <c r="AH56" s="1971">
        <v>11.112130410109572</v>
      </c>
      <c r="AI56" s="1857">
        <v>24.556799814078893</v>
      </c>
      <c r="AJ56" s="1969"/>
      <c r="AK56" s="1969">
        <v>683.505898</v>
      </c>
      <c r="AL56" s="1971"/>
      <c r="AM56" s="1859">
        <f t="shared" si="10"/>
        <v>2762.7025960327201</v>
      </c>
    </row>
    <row r="57" spans="1:39">
      <c r="A57" s="1991" t="s">
        <v>1434</v>
      </c>
      <c r="B57" s="1992"/>
      <c r="C57" s="1967">
        <f t="shared" ref="C57:N57" si="22">SUM(C58:C59)</f>
        <v>0</v>
      </c>
      <c r="D57" s="1857">
        <f t="shared" si="22"/>
        <v>0</v>
      </c>
      <c r="E57" s="1857">
        <f t="shared" si="22"/>
        <v>0</v>
      </c>
      <c r="F57" s="1968">
        <f t="shared" si="22"/>
        <v>0</v>
      </c>
      <c r="G57" s="1968">
        <f t="shared" si="22"/>
        <v>0</v>
      </c>
      <c r="H57" s="1969">
        <f t="shared" si="22"/>
        <v>0</v>
      </c>
      <c r="I57" s="1970">
        <f t="shared" si="22"/>
        <v>0</v>
      </c>
      <c r="J57" s="1970">
        <f t="shared" si="22"/>
        <v>0</v>
      </c>
      <c r="K57" s="1970">
        <f t="shared" si="22"/>
        <v>0</v>
      </c>
      <c r="L57" s="1969">
        <f t="shared" si="22"/>
        <v>307.41487498345867</v>
      </c>
      <c r="M57" s="1857">
        <f t="shared" si="22"/>
        <v>0</v>
      </c>
      <c r="N57" s="1857">
        <f t="shared" si="22"/>
        <v>0</v>
      </c>
      <c r="O57" s="1857">
        <v>0</v>
      </c>
      <c r="P57" s="1857">
        <f>SUM(P58:P59)</f>
        <v>0</v>
      </c>
      <c r="Q57" s="1857">
        <f>SUM(Q58:Q59)</f>
        <v>0</v>
      </c>
      <c r="R57" s="1857">
        <v>9.8490000000000002</v>
      </c>
      <c r="S57" s="1857">
        <v>8.6471234986161019</v>
      </c>
      <c r="T57" s="1857">
        <v>288.9178891101929</v>
      </c>
      <c r="U57" s="1857">
        <f>SUM(U58:U59)</f>
        <v>1.9273907720592222E-4</v>
      </c>
      <c r="V57" s="1968">
        <f>SUM(V58:V59)</f>
        <v>0</v>
      </c>
      <c r="W57" s="1968">
        <f>SUM(W58:W59)</f>
        <v>0</v>
      </c>
      <c r="X57" s="1968">
        <f>SUM(X58:X59)</f>
        <v>0</v>
      </c>
      <c r="Y57" s="1970">
        <f>SUM(Y58:Y59)</f>
        <v>0</v>
      </c>
      <c r="Z57" s="1969">
        <v>406.8168382904621</v>
      </c>
      <c r="AA57" s="1971">
        <f>SUM(AA58:AA59)</f>
        <v>38.343023110536855</v>
      </c>
      <c r="AB57" s="1972">
        <f>SUM(AB58:AB59)</f>
        <v>0</v>
      </c>
      <c r="AC57" s="1857">
        <f>SUM(AC58:AC59)</f>
        <v>0</v>
      </c>
      <c r="AD57" s="1857">
        <f>SUM(AD58:AD59)</f>
        <v>25.085395617191999</v>
      </c>
      <c r="AE57" s="1857">
        <f>SUM(AE58:AE59)</f>
        <v>0</v>
      </c>
      <c r="AF57" s="1857">
        <f>SUM(AF59:AF59)</f>
        <v>4.4197780579834358</v>
      </c>
      <c r="AG57" s="1857">
        <f>SUM(AG58:AG59)</f>
        <v>0</v>
      </c>
      <c r="AH57" s="1857">
        <f>SUM(AH58:AH59)</f>
        <v>0.16614308073470971</v>
      </c>
      <c r="AI57" s="1970">
        <f>SUM(AI58:AI59)</f>
        <v>8.6717063546267088</v>
      </c>
      <c r="AJ57" s="1969">
        <f>SUM(AJ58:AJ59)</f>
        <v>0</v>
      </c>
      <c r="AK57" s="1969">
        <v>547.48412774235317</v>
      </c>
      <c r="AL57" s="1971">
        <f>SUM(AL58:AL59)</f>
        <v>0</v>
      </c>
      <c r="AM57" s="1973">
        <f t="shared" si="10"/>
        <v>1300.0588641268109</v>
      </c>
    </row>
    <row r="58" spans="1:39">
      <c r="A58" s="1993" t="s">
        <v>1435</v>
      </c>
      <c r="B58" s="1994"/>
      <c r="C58" s="1860">
        <f>SUM(D58:G58)</f>
        <v>0</v>
      </c>
      <c r="D58" s="1823">
        <v>0</v>
      </c>
      <c r="E58" s="1824">
        <v>0</v>
      </c>
      <c r="F58" s="1825"/>
      <c r="G58" s="1825">
        <v>0</v>
      </c>
      <c r="H58" s="1831">
        <f>SUM(I58:K58)</f>
        <v>0</v>
      </c>
      <c r="I58" s="1823"/>
      <c r="J58" s="1824"/>
      <c r="K58" s="1824"/>
      <c r="L58" s="1831">
        <f>SUM(M58:Y58)</f>
        <v>198.26494716850374</v>
      </c>
      <c r="M58" s="1824"/>
      <c r="N58" s="1824"/>
      <c r="O58" s="1824"/>
      <c r="P58" s="1824">
        <v>0</v>
      </c>
      <c r="Q58" s="1824"/>
      <c r="R58" s="1824">
        <f>R57*14.35/147.08</f>
        <v>0.96092704650530303</v>
      </c>
      <c r="S58" s="1824">
        <f>S57*7.63/10.25</f>
        <v>6.4368343701893513</v>
      </c>
      <c r="T58" s="1824">
        <f>T57*319.4/483.48</f>
        <v>190.86699301273188</v>
      </c>
      <c r="U58" s="1824">
        <v>1.9273907720592222E-4</v>
      </c>
      <c r="V58" s="1825"/>
      <c r="W58" s="1825"/>
      <c r="X58" s="1825"/>
      <c r="Y58" s="1824"/>
      <c r="Z58" s="1831">
        <f>Z57*37.95/86.59</f>
        <v>178.29655864560615</v>
      </c>
      <c r="AA58" s="1827">
        <f>SUM(AB58:AI58)</f>
        <v>33.923245052553419</v>
      </c>
      <c r="AB58" s="1828"/>
      <c r="AC58" s="1824"/>
      <c r="AD58" s="1824">
        <v>25.085395617191999</v>
      </c>
      <c r="AE58" s="1835"/>
      <c r="AF58" s="1835"/>
      <c r="AG58" s="1835"/>
      <c r="AH58" s="1881">
        <v>0.16614308073470971</v>
      </c>
      <c r="AI58" s="1824">
        <v>8.6717063546267088</v>
      </c>
      <c r="AJ58" s="1831"/>
      <c r="AK58" s="1861">
        <f>AK57*172.28/240.3</f>
        <v>392.51171671848772</v>
      </c>
      <c r="AL58" s="1827"/>
      <c r="AM58" s="1862">
        <f t="shared" si="10"/>
        <v>802.99646758515098</v>
      </c>
    </row>
    <row r="59" spans="1:39">
      <c r="A59" s="1952" t="s">
        <v>1436</v>
      </c>
      <c r="B59" s="1995"/>
      <c r="C59" s="1839">
        <f>SUM(D59:G59)</f>
        <v>0</v>
      </c>
      <c r="D59" s="1840"/>
      <c r="E59" s="1841"/>
      <c r="F59" s="1842"/>
      <c r="G59" s="1842"/>
      <c r="H59" s="1843">
        <f>SUM(I59:K59)</f>
        <v>0</v>
      </c>
      <c r="I59" s="1840"/>
      <c r="J59" s="1841">
        <v>0</v>
      </c>
      <c r="K59" s="1841">
        <v>0</v>
      </c>
      <c r="L59" s="1843">
        <f>SUM(M59:Y59)</f>
        <v>109.14992781495495</v>
      </c>
      <c r="M59" s="1841"/>
      <c r="N59" s="1841"/>
      <c r="O59" s="1841"/>
      <c r="P59" s="1841"/>
      <c r="Q59" s="1841"/>
      <c r="R59" s="1841">
        <f>R57*132.74/147.08</f>
        <v>8.8887425890671743</v>
      </c>
      <c r="S59" s="1841">
        <f>S57*2.62/10.25</f>
        <v>2.2102891284267501</v>
      </c>
      <c r="T59" s="1841">
        <f>T57*164.08/483.48</f>
        <v>98.05089609746102</v>
      </c>
      <c r="U59" s="1841"/>
      <c r="V59" s="1842"/>
      <c r="W59" s="1842"/>
      <c r="X59" s="1842"/>
      <c r="Y59" s="1841"/>
      <c r="Z59" s="1843">
        <f>Z57*48.65/86.59</f>
        <v>228.56726161024346</v>
      </c>
      <c r="AA59" s="1844">
        <f>SUM(AB59:AI59)</f>
        <v>4.4197780579834358</v>
      </c>
      <c r="AB59" s="1845"/>
      <c r="AC59" s="1841"/>
      <c r="AD59" s="1841"/>
      <c r="AE59" s="1841"/>
      <c r="AF59" s="1841">
        <v>4.4197780579834358</v>
      </c>
      <c r="AG59" s="1841"/>
      <c r="AH59" s="1963"/>
      <c r="AI59" s="1841"/>
      <c r="AJ59" s="1843"/>
      <c r="AK59" s="1846">
        <f>AK57*68.03/240.3</f>
        <v>154.99519438332203</v>
      </c>
      <c r="AL59" s="1844"/>
      <c r="AM59" s="1847">
        <f t="shared" si="10"/>
        <v>497.13216186650385</v>
      </c>
    </row>
    <row r="60" spans="1:39">
      <c r="A60" s="1996" t="s">
        <v>1437</v>
      </c>
      <c r="B60" s="1997"/>
      <c r="C60" s="1867">
        <f>SUM(D60:G60)</f>
        <v>0</v>
      </c>
      <c r="D60" s="1998">
        <v>0</v>
      </c>
      <c r="E60" s="1999"/>
      <c r="F60" s="2000"/>
      <c r="G60" s="2000"/>
      <c r="H60" s="1871">
        <f>SUM(I60:K60)</f>
        <v>0</v>
      </c>
      <c r="I60" s="1998"/>
      <c r="J60" s="1999"/>
      <c r="K60" s="1999"/>
      <c r="L60" s="1871">
        <f>SUM(M60:Y60)</f>
        <v>176.57925537907244</v>
      </c>
      <c r="M60" s="1999"/>
      <c r="N60" s="1999"/>
      <c r="O60" s="1999">
        <v>0</v>
      </c>
      <c r="P60" s="1999">
        <v>0</v>
      </c>
      <c r="Q60" s="1999"/>
      <c r="R60" s="1999"/>
      <c r="S60" s="1999">
        <v>0</v>
      </c>
      <c r="T60" s="1999">
        <v>176.57925537907244</v>
      </c>
      <c r="U60" s="1824"/>
      <c r="V60" s="2000"/>
      <c r="W60" s="2000"/>
      <c r="X60" s="2000"/>
      <c r="Y60" s="1999"/>
      <c r="Z60" s="1871">
        <v>0</v>
      </c>
      <c r="AA60" s="1872">
        <f>SUM(AB60:AI60)</f>
        <v>0</v>
      </c>
      <c r="AB60" s="2001"/>
      <c r="AC60" s="1999"/>
      <c r="AD60" s="1999"/>
      <c r="AE60" s="1999"/>
      <c r="AF60" s="1999"/>
      <c r="AG60" s="1999"/>
      <c r="AH60" s="1872"/>
      <c r="AI60" s="1999"/>
      <c r="AJ60" s="1871"/>
      <c r="AK60" s="1871">
        <v>47.988</v>
      </c>
      <c r="AL60" s="1872"/>
      <c r="AM60" s="1859">
        <f t="shared" si="10"/>
        <v>224.56725537907244</v>
      </c>
    </row>
    <row r="61" spans="1:39" ht="15" thickBot="1">
      <c r="A61" s="2002" t="s">
        <v>1438</v>
      </c>
      <c r="B61" s="1995"/>
      <c r="C61" s="1839">
        <f>SUM(D61:G61)</f>
        <v>0</v>
      </c>
      <c r="D61" s="1840"/>
      <c r="E61" s="1841"/>
      <c r="F61" s="1842"/>
      <c r="G61" s="1842"/>
      <c r="H61" s="1843">
        <f>SUM(I61:K61)</f>
        <v>0</v>
      </c>
      <c r="I61" s="1840"/>
      <c r="J61" s="1841"/>
      <c r="K61" s="1841"/>
      <c r="L61" s="1843">
        <f>SUM(M61:Y61)</f>
        <v>24.28677894085908</v>
      </c>
      <c r="M61" s="1841"/>
      <c r="N61" s="1841"/>
      <c r="O61" s="1841"/>
      <c r="P61" s="1841"/>
      <c r="Q61" s="1841"/>
      <c r="R61" s="1841"/>
      <c r="S61" s="1841"/>
      <c r="T61" s="1988">
        <v>24.28677894085908</v>
      </c>
      <c r="U61" s="1841"/>
      <c r="V61" s="1842"/>
      <c r="W61" s="1842"/>
      <c r="X61" s="1842"/>
      <c r="Y61" s="1841"/>
      <c r="Z61" s="1843"/>
      <c r="AA61" s="1844">
        <f>SUM(AB61:AI61)</f>
        <v>0</v>
      </c>
      <c r="AB61" s="1845"/>
      <c r="AC61" s="1841"/>
      <c r="AD61" s="1841"/>
      <c r="AE61" s="1841"/>
      <c r="AF61" s="1841"/>
      <c r="AG61" s="1841"/>
      <c r="AH61" s="1963"/>
      <c r="AI61" s="1841"/>
      <c r="AJ61" s="1843"/>
      <c r="AK61" s="1846"/>
      <c r="AL61" s="1844"/>
      <c r="AM61" s="2003">
        <f t="shared" si="10"/>
        <v>24.28677894085908</v>
      </c>
    </row>
    <row r="62" spans="1:39" ht="15" thickBot="1">
      <c r="A62" s="2004" t="s">
        <v>1439</v>
      </c>
      <c r="B62" s="2005"/>
      <c r="C62" s="2006">
        <f>C27-C28-C30</f>
        <v>21.975473571542864</v>
      </c>
      <c r="D62" s="2007">
        <f t="shared" ref="D62:AL62" si="23">D27-D28-D30</f>
        <v>20.720383607252131</v>
      </c>
      <c r="E62" s="2008">
        <f t="shared" si="23"/>
        <v>1.2104056269701573</v>
      </c>
      <c r="F62" s="2009">
        <f t="shared" si="23"/>
        <v>0</v>
      </c>
      <c r="G62" s="2009">
        <f t="shared" si="23"/>
        <v>4.4684337320468615E-2</v>
      </c>
      <c r="H62" s="2010">
        <f t="shared" si="23"/>
        <v>-44.071296839033238</v>
      </c>
      <c r="I62" s="2007">
        <f t="shared" si="23"/>
        <v>-38.744664839033092</v>
      </c>
      <c r="J62" s="2008">
        <f t="shared" si="23"/>
        <v>0</v>
      </c>
      <c r="K62" s="2008">
        <f t="shared" si="23"/>
        <v>-5.3266320000000036</v>
      </c>
      <c r="L62" s="2010">
        <f t="shared" si="23"/>
        <v>13.956512477026081</v>
      </c>
      <c r="M62" s="2008">
        <f t="shared" si="23"/>
        <v>-1.8088945241993315</v>
      </c>
      <c r="N62" s="2008">
        <f t="shared" si="23"/>
        <v>0</v>
      </c>
      <c r="O62" s="2008">
        <f t="shared" si="23"/>
        <v>19.468034359152625</v>
      </c>
      <c r="P62" s="2008">
        <f t="shared" si="23"/>
        <v>-13.927153604000068</v>
      </c>
      <c r="Q62" s="2008">
        <f t="shared" si="23"/>
        <v>67.938564558720145</v>
      </c>
      <c r="R62" s="2008">
        <f t="shared" si="23"/>
        <v>-1.4292884893022517</v>
      </c>
      <c r="S62" s="2008">
        <f t="shared" si="23"/>
        <v>-26.735309473055679</v>
      </c>
      <c r="T62" s="2008">
        <f t="shared" si="23"/>
        <v>-24.349583382925175</v>
      </c>
      <c r="U62" s="2008">
        <f t="shared" si="23"/>
        <v>0.2839381245192385</v>
      </c>
      <c r="V62" s="2009">
        <f t="shared" si="23"/>
        <v>-5.4831254563122478</v>
      </c>
      <c r="W62" s="2009">
        <f t="shared" si="23"/>
        <v>0</v>
      </c>
      <c r="X62" s="2009">
        <f t="shared" si="23"/>
        <v>0</v>
      </c>
      <c r="Y62" s="2008">
        <f t="shared" si="23"/>
        <v>0</v>
      </c>
      <c r="Z62" s="2010">
        <f t="shared" si="23"/>
        <v>19.855865153152308</v>
      </c>
      <c r="AA62" s="2011">
        <f t="shared" si="23"/>
        <v>-4.7423821032999172</v>
      </c>
      <c r="AB62" s="2012">
        <f t="shared" si="23"/>
        <v>0</v>
      </c>
      <c r="AC62" s="2008">
        <f t="shared" si="23"/>
        <v>0</v>
      </c>
      <c r="AD62" s="2008">
        <f t="shared" si="23"/>
        <v>-1.8547229887788319</v>
      </c>
      <c r="AE62" s="2008">
        <f t="shared" si="23"/>
        <v>0</v>
      </c>
      <c r="AF62" s="2008">
        <f t="shared" si="23"/>
        <v>0</v>
      </c>
      <c r="AG62" s="2008">
        <f t="shared" si="23"/>
        <v>-2.8876591145211279</v>
      </c>
      <c r="AH62" s="2011">
        <f t="shared" si="23"/>
        <v>0</v>
      </c>
      <c r="AI62" s="2008">
        <f t="shared" si="23"/>
        <v>0</v>
      </c>
      <c r="AJ62" s="2010">
        <f t="shared" si="23"/>
        <v>0</v>
      </c>
      <c r="AK62" s="2010">
        <f t="shared" si="23"/>
        <v>17.012310034270286</v>
      </c>
      <c r="AL62" s="2011">
        <f t="shared" si="23"/>
        <v>0</v>
      </c>
      <c r="AM62" s="1906">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V62"/>
  <sheetViews>
    <sheetView zoomScale="90" zoomScaleNormal="90" workbookViewId="0">
      <selection activeCell="Y63" sqref="Y63"/>
    </sheetView>
  </sheetViews>
  <sheetFormatPr defaultColWidth="9.1796875" defaultRowHeight="14.5"/>
  <cols>
    <col min="1" max="1" width="47.54296875" style="2473" customWidth="1"/>
    <col min="2" max="2" width="54.453125" style="2473" customWidth="1"/>
    <col min="3" max="44" width="9.1796875" style="2473"/>
    <col min="45" max="45" width="12.54296875" style="2473" customWidth="1"/>
    <col min="46" max="46" width="12.81640625" style="2473" customWidth="1"/>
    <col min="47" max="47" width="11.81640625" style="2473" customWidth="1"/>
    <col min="48" max="16384" width="9.1796875" style="2473"/>
  </cols>
  <sheetData>
    <row r="1" spans="1:48" ht="66.5" thickBot="1">
      <c r="A1" s="1741" t="s">
        <v>2102</v>
      </c>
      <c r="B1" s="1742" t="s">
        <v>1332</v>
      </c>
      <c r="C1" s="1743" t="s">
        <v>1333</v>
      </c>
      <c r="D1" s="1744" t="s">
        <v>1334</v>
      </c>
      <c r="E1" s="1745" t="s">
        <v>1335</v>
      </c>
      <c r="F1" s="1746" t="s">
        <v>1336</v>
      </c>
      <c r="G1" s="1746" t="s">
        <v>1337</v>
      </c>
      <c r="H1" s="1747" t="s">
        <v>1338</v>
      </c>
      <c r="I1" s="1744" t="s">
        <v>1339</v>
      </c>
      <c r="J1" s="1745" t="s">
        <v>1340</v>
      </c>
      <c r="K1" s="1745" t="s">
        <v>1341</v>
      </c>
      <c r="L1" s="1747" t="s">
        <v>1342</v>
      </c>
      <c r="M1" s="1744" t="s">
        <v>1343</v>
      </c>
      <c r="N1" s="1745" t="s">
        <v>1344</v>
      </c>
      <c r="O1" s="1745" t="s">
        <v>1345</v>
      </c>
      <c r="P1" s="1745" t="s">
        <v>1346</v>
      </c>
      <c r="Q1" s="1745" t="s">
        <v>1347</v>
      </c>
      <c r="R1" s="1745" t="s">
        <v>1348</v>
      </c>
      <c r="S1" s="1745" t="s">
        <v>1349</v>
      </c>
      <c r="T1" s="1745" t="s">
        <v>1350</v>
      </c>
      <c r="U1" s="1745" t="s">
        <v>1351</v>
      </c>
      <c r="V1" s="1746" t="s">
        <v>1352</v>
      </c>
      <c r="W1" s="1746" t="s">
        <v>1353</v>
      </c>
      <c r="X1" s="1746" t="s">
        <v>1354</v>
      </c>
      <c r="Y1" s="1745" t="s">
        <v>1355</v>
      </c>
      <c r="Z1" s="1747" t="s">
        <v>1356</v>
      </c>
      <c r="AA1" s="1748" t="s">
        <v>1357</v>
      </c>
      <c r="AB1" s="1749" t="s">
        <v>1358</v>
      </c>
      <c r="AC1" s="1750" t="s">
        <v>1359</v>
      </c>
      <c r="AD1" s="1750" t="s">
        <v>1360</v>
      </c>
      <c r="AE1" s="1750" t="s">
        <v>1361</v>
      </c>
      <c r="AF1" s="1750" t="s">
        <v>1362</v>
      </c>
      <c r="AG1" s="1750" t="s">
        <v>1363</v>
      </c>
      <c r="AH1" s="1750" t="s">
        <v>1364</v>
      </c>
      <c r="AI1" s="1751" t="s">
        <v>1365</v>
      </c>
      <c r="AJ1" s="1752" t="s">
        <v>1366</v>
      </c>
      <c r="AK1" s="1753" t="s">
        <v>1367</v>
      </c>
      <c r="AL1" s="1748" t="s">
        <v>1368</v>
      </c>
      <c r="AM1" s="1754" t="s">
        <v>1369</v>
      </c>
    </row>
    <row r="2" spans="1:48">
      <c r="A2" s="1755" t="s">
        <v>1370</v>
      </c>
      <c r="B2" s="1756"/>
      <c r="C2" s="1757">
        <f>'Irl. Energy Balance 2013 (ktoe)'!C2*0.01163</f>
        <v>0</v>
      </c>
      <c r="D2" s="1758">
        <f>'Irl. Energy Balance 2013 (ktoe)'!D2*0.01163</f>
        <v>0</v>
      </c>
      <c r="E2" s="1759">
        <f>'Irl. Energy Balance 2013 (ktoe)'!E2*0.01163</f>
        <v>0</v>
      </c>
      <c r="F2" s="1760">
        <f>'Irl. Energy Balance 2013 (ktoe)'!F2*0.01163</f>
        <v>0</v>
      </c>
      <c r="G2" s="1760">
        <f>'Irl. Energy Balance 2013 (ktoe)'!G2*0.01163</f>
        <v>0</v>
      </c>
      <c r="H2" s="1761">
        <f>'Irl. Energy Balance 2013 (ktoe)'!H2*0.01163</f>
        <v>15.020436065457172</v>
      </c>
      <c r="I2" s="1762">
        <f>'Irl. Energy Balance 2013 (ktoe)'!I2*0.01163</f>
        <v>13.535238545457172</v>
      </c>
      <c r="J2" s="1763">
        <f>'Irl. Energy Balance 2013 (ktoe)'!J2*0.01163</f>
        <v>1.4851975199999998</v>
      </c>
      <c r="K2" s="1763">
        <f>'Irl. Energy Balance 2013 (ktoe)'!K2*0.01163</f>
        <v>0</v>
      </c>
      <c r="L2" s="1761">
        <f>'Irl. Energy Balance 2013 (ktoe)'!L2*0.01163</f>
        <v>0</v>
      </c>
      <c r="M2" s="1762">
        <f>'Irl. Energy Balance 2013 (ktoe)'!M2*0.01163</f>
        <v>0</v>
      </c>
      <c r="N2" s="1764">
        <f>'Irl. Energy Balance 2013 (ktoe)'!N2*0.01163</f>
        <v>0</v>
      </c>
      <c r="O2" s="1764">
        <f>'Irl. Energy Balance 2013 (ktoe)'!O2*0.01163</f>
        <v>0</v>
      </c>
      <c r="P2" s="1764">
        <f>'Irl. Energy Balance 2013 (ktoe)'!P2*0.01163</f>
        <v>0</v>
      </c>
      <c r="Q2" s="1764">
        <f>'Irl. Energy Balance 2013 (ktoe)'!Q2*0.01163</f>
        <v>0</v>
      </c>
      <c r="R2" s="1764">
        <f>'Irl. Energy Balance 2013 (ktoe)'!R2*0.01163</f>
        <v>0</v>
      </c>
      <c r="S2" s="1764">
        <f>'Irl. Energy Balance 2013 (ktoe)'!S2*0.01163</f>
        <v>0</v>
      </c>
      <c r="T2" s="1764">
        <f>'Irl. Energy Balance 2013 (ktoe)'!T2*0.01163</f>
        <v>0</v>
      </c>
      <c r="U2" s="1764">
        <f>'Irl. Energy Balance 2013 (ktoe)'!U2*0.01163</f>
        <v>0</v>
      </c>
      <c r="V2" s="1760">
        <f>'Irl. Energy Balance 2013 (ktoe)'!V2*0.01163</f>
        <v>0</v>
      </c>
      <c r="W2" s="1760">
        <f>'Irl. Energy Balance 2013 (ktoe)'!W2*0.01163</f>
        <v>0</v>
      </c>
      <c r="X2" s="1760">
        <f>'Irl. Energy Balance 2013 (ktoe)'!X2*0.01163</f>
        <v>0</v>
      </c>
      <c r="Y2" s="1763">
        <f>'Irl. Energy Balance 2013 (ktoe)'!Y2*0.01163</f>
        <v>0</v>
      </c>
      <c r="Z2" s="1761">
        <f>'Irl. Energy Balance 2013 (ktoe)'!Z2*0.01163</f>
        <v>1.7555282514130177</v>
      </c>
      <c r="AA2" s="1765">
        <f>'Irl. Energy Balance 2013 (ktoe)'!AA2*0.01163</f>
        <v>9.2858259132600942</v>
      </c>
      <c r="AB2" s="2483">
        <f>'Irl. Energy Balance 2013 (ktoe)'!AB2*0.01163</f>
        <v>0.57859162386130003</v>
      </c>
      <c r="AC2" s="1763">
        <f>'Irl. Energy Balance 2013 (ktoe)'!AC2*0.01163</f>
        <v>4.5423319526063981</v>
      </c>
      <c r="AD2" s="1763">
        <f>'Irl. Energy Balance 2013 (ktoe)'!AD2*0.01163</f>
        <v>2.8365823934204326</v>
      </c>
      <c r="AE2" s="1763">
        <f>'Irl. Energy Balance 2013 (ktoe)'!AE2*0.01163</f>
        <v>0.42745701505884887</v>
      </c>
      <c r="AF2" s="1763">
        <f>'Irl. Energy Balance 2013 (ktoe)'!AF2*0.01163</f>
        <v>0.13276003368635939</v>
      </c>
      <c r="AG2" s="1763">
        <f>'Irl. Energy Balance 2013 (ktoe)'!AG2*0.01163</f>
        <v>0.2504890471861887</v>
      </c>
      <c r="AH2" s="1762">
        <f>'Irl. Energy Balance 2013 (ktoe)'!AH2*0.01163</f>
        <v>0.131166320698519</v>
      </c>
      <c r="AI2" s="1760">
        <f>'Irl. Energy Balance 2013 (ktoe)'!AI2*0.01163</f>
        <v>0.38644752674204613</v>
      </c>
      <c r="AJ2" s="1767">
        <f>'Irl. Energy Balance 2013 (ktoe)'!AJ2*0.01163</f>
        <v>0.67156905045004223</v>
      </c>
      <c r="AK2" s="1767">
        <f>'Irl. Energy Balance 2013 (ktoe)'!AK2*0.01163</f>
        <v>0</v>
      </c>
      <c r="AL2" s="1765">
        <f>'Irl. Energy Balance 2013 (ktoe)'!AL2*0.01163</f>
        <v>0</v>
      </c>
      <c r="AM2" s="1768">
        <f>'Irl. Energy Balance 2013 (ktoe)'!AM2*0.01163</f>
        <v>26.733359280580324</v>
      </c>
      <c r="AP2"/>
      <c r="AQ2"/>
      <c r="AR2"/>
      <c r="AS2"/>
      <c r="AT2"/>
      <c r="AU2"/>
      <c r="AV2"/>
    </row>
    <row r="3" spans="1:48">
      <c r="A3" s="1769" t="s">
        <v>1371</v>
      </c>
      <c r="B3" s="1770"/>
      <c r="C3" s="1771">
        <f>'Irl. Energy Balance 2013 (ktoe)'!C3*0.01163</f>
        <v>17.394432277006658</v>
      </c>
      <c r="D3" s="1772">
        <f>'Irl. Energy Balance 2013 (ktoe)'!D3*0.01163</f>
        <v>16.365494630755343</v>
      </c>
      <c r="E3" s="1773">
        <f>'Irl. Energy Balance 2013 (ktoe)'!E3*0.01163</f>
        <v>0.77536504547456264</v>
      </c>
      <c r="F3" s="1774">
        <f>'Irl. Energy Balance 2013 (ktoe)'!F3*0.01163</f>
        <v>0</v>
      </c>
      <c r="G3" s="1774">
        <f>'Irl. Energy Balance 2013 (ktoe)'!G3*0.01163</f>
        <v>0.25357260077674953</v>
      </c>
      <c r="H3" s="1775">
        <f>'Irl. Energy Balance 2013 (ktoe)'!H3*0.01163</f>
        <v>0</v>
      </c>
      <c r="I3" s="1776">
        <f>'Irl. Energy Balance 2013 (ktoe)'!I3*0.01163</f>
        <v>0</v>
      </c>
      <c r="J3" s="1777">
        <f>'Irl. Energy Balance 2013 (ktoe)'!J3*0.01163</f>
        <v>0</v>
      </c>
      <c r="K3" s="1777">
        <f>'Irl. Energy Balance 2013 (ktoe)'!K3*0.01163</f>
        <v>0</v>
      </c>
      <c r="L3" s="1775">
        <f>'Irl. Energy Balance 2013 (ktoe)'!L3*0.01163</f>
        <v>92.728366727343584</v>
      </c>
      <c r="M3" s="1776">
        <f>'Irl. Energy Balance 2013 (ktoe)'!M3*0.01163</f>
        <v>37.50371883684231</v>
      </c>
      <c r="N3" s="1777">
        <f>'Irl. Energy Balance 2013 (ktoe)'!N3*0.01163</f>
        <v>0</v>
      </c>
      <c r="O3" s="1777">
        <f>'Irl. Energy Balance 2013 (ktoe)'!O3*0.01163</f>
        <v>7.8205454567284436</v>
      </c>
      <c r="P3" s="1777">
        <f>'Irl. Energy Balance 2013 (ktoe)'!P3*0.01163</f>
        <v>4.9615135153365602</v>
      </c>
      <c r="Q3" s="1777">
        <f>'Irl. Energy Balance 2013 (ktoe)'!Q3*0.01163</f>
        <v>10.311410499910641</v>
      </c>
      <c r="R3" s="1777">
        <f>'Irl. Energy Balance 2013 (ktoe)'!R3*0.01163</f>
        <v>2.1100047017987711</v>
      </c>
      <c r="S3" s="1777">
        <f>'Irl. Energy Balance 2013 (ktoe)'!S3*0.01163</f>
        <v>1.1935307068947729</v>
      </c>
      <c r="T3" s="1777">
        <f>'Irl. Energy Balance 2013 (ktoe)'!T3*0.01163</f>
        <v>24.156899321042534</v>
      </c>
      <c r="U3" s="1777">
        <f>'Irl. Energy Balance 2013 (ktoe)'!U3*0.01163</f>
        <v>1.3045978260851321</v>
      </c>
      <c r="V3" s="1774">
        <f>'Irl. Energy Balance 2013 (ktoe)'!V3*0.01163</f>
        <v>0</v>
      </c>
      <c r="W3" s="1774">
        <f>'Irl. Energy Balance 2013 (ktoe)'!W3*0.01163</f>
        <v>2.9154925620344199</v>
      </c>
      <c r="X3" s="1774">
        <f>'Irl. Energy Balance 2013 (ktoe)'!X3*0.01163</f>
        <v>1.221090687E-2</v>
      </c>
      <c r="Y3" s="1777">
        <f>'Irl. Energy Balance 2013 (ktoe)'!Y3*0.01163</f>
        <v>0.4384423938</v>
      </c>
      <c r="Z3" s="1775">
        <f>'Irl. Energy Balance 2013 (ktoe)'!Z3*0.01163</f>
        <v>43.232993583303433</v>
      </c>
      <c r="AA3" s="1778">
        <f>'Irl. Energy Balance 2013 (ktoe)'!AA3*0.01163</f>
        <v>1.3305707387187942</v>
      </c>
      <c r="AB3" s="1779">
        <f>'Irl. Energy Balance 2013 (ktoe)'!AB3*0.01163</f>
        <v>0</v>
      </c>
      <c r="AC3" s="1777">
        <f>'Irl. Energy Balance 2013 (ktoe)'!AC3*0.01163</f>
        <v>0</v>
      </c>
      <c r="AD3" s="1777">
        <f>'Irl. Energy Balance 2013 (ktoe)'!AD3*0.01163</f>
        <v>0.41579010419516155</v>
      </c>
      <c r="AE3" s="1777">
        <f>'Irl. Energy Balance 2013 (ktoe)'!AE3*0.01163</f>
        <v>0</v>
      </c>
      <c r="AF3" s="1777">
        <f>'Irl. Energy Balance 2013 (ktoe)'!AF3*0.01163</f>
        <v>0</v>
      </c>
      <c r="AG3" s="3841">
        <f>'Irl. Energy Balance 2013 (ktoe)'!AG3*0.01163</f>
        <v>0.91478063452363245</v>
      </c>
      <c r="AH3" s="1776">
        <f>'Irl. Energy Balance 2013 (ktoe)'!AH3*0.01163</f>
        <v>0</v>
      </c>
      <c r="AI3" s="1774">
        <f>'Irl. Energy Balance 2013 (ktoe)'!AI3*0.01163</f>
        <v>0</v>
      </c>
      <c r="AJ3" s="1780">
        <f>'Irl. Energy Balance 2013 (ktoe)'!AJ3*0.01163</f>
        <v>0</v>
      </c>
      <c r="AK3" s="3427">
        <f>'Irl. Energy Balance 2013 (ktoe)'!AK3*0.01163</f>
        <v>2.5079796250885993</v>
      </c>
      <c r="AL3" s="1778">
        <f>'Irl. Energy Balance 2013 (ktoe)'!AL3*0.01163</f>
        <v>0</v>
      </c>
      <c r="AM3" s="1782">
        <f>'Irl. Energy Balance 2013 (ktoe)'!AM3*0.01163</f>
        <v>157.1943429514611</v>
      </c>
      <c r="AP3"/>
      <c r="AQ3"/>
      <c r="AR3"/>
      <c r="AS3"/>
      <c r="AT3"/>
      <c r="AU3"/>
      <c r="AV3"/>
    </row>
    <row r="4" spans="1:48">
      <c r="A4" s="1769" t="s">
        <v>1372</v>
      </c>
      <c r="B4" s="1770"/>
      <c r="C4" s="1771">
        <f>'Irl. Energy Balance 2013 (ktoe)'!C4*0.01163</f>
        <v>0.11935881907401984</v>
      </c>
      <c r="D4" s="1772">
        <f>'Irl. Energy Balance 2013 (ktoe)'!D4*0.01163</f>
        <v>0</v>
      </c>
      <c r="E4" s="1783">
        <f>'Irl. Energy Balance 2013 (ktoe)'!E4*0.01163</f>
        <v>0.11194712313479999</v>
      </c>
      <c r="F4" s="1774">
        <f>'Irl. Energy Balance 2013 (ktoe)'!F4*0.01163</f>
        <v>0</v>
      </c>
      <c r="G4" s="1774">
        <f>'Irl. Energy Balance 2013 (ktoe)'!G4*0.01163</f>
        <v>7.4116959392198402E-3</v>
      </c>
      <c r="H4" s="1775">
        <f>'Irl. Energy Balance 2013 (ktoe)'!H4*0.01163</f>
        <v>9.9306534749999995E-2</v>
      </c>
      <c r="I4" s="1776">
        <f>'Irl. Energy Balance 2013 (ktoe)'!I4*0.01163</f>
        <v>0</v>
      </c>
      <c r="J4" s="1777">
        <f>'Irl. Energy Balance 2013 (ktoe)'!J4*0.01163</f>
        <v>0</v>
      </c>
      <c r="K4" s="1777">
        <f>'Irl. Energy Balance 2013 (ktoe)'!K4*0.01163</f>
        <v>9.9306534749999995E-2</v>
      </c>
      <c r="L4" s="1775">
        <f>'Irl. Energy Balance 2013 (ktoe)'!L4*0.01163</f>
        <v>14.096835319238554</v>
      </c>
      <c r="M4" s="1776">
        <f>'Irl. Energy Balance 2013 (ktoe)'!M4*0.01163</f>
        <v>2.6430624261587581</v>
      </c>
      <c r="N4" s="1777">
        <f>'Irl. Energy Balance 2013 (ktoe)'!N4*0.01163</f>
        <v>0</v>
      </c>
      <c r="O4" s="1777">
        <f>'Irl. Energy Balance 2013 (ktoe)'!O4*0.01163</f>
        <v>0.14667069494022222</v>
      </c>
      <c r="P4" s="1777">
        <f>'Irl. Energy Balance 2013 (ktoe)'!P4*0.01163</f>
        <v>4.7615893649542405E-2</v>
      </c>
      <c r="Q4" s="1777">
        <f>'Irl. Energy Balance 2013 (ktoe)'!Q4*0.01163</f>
        <v>4.8526376673503997E-3</v>
      </c>
      <c r="R4" s="1777">
        <f>'Irl. Energy Balance 2013 (ktoe)'!R4*0.01163</f>
        <v>10.475112324940588</v>
      </c>
      <c r="S4" s="1777">
        <f>'Irl. Energy Balance 2013 (ktoe)'!S4*0.01163</f>
        <v>0.3649948272190856</v>
      </c>
      <c r="T4" s="1777">
        <f>'Irl. Energy Balance 2013 (ktoe)'!T4*0.01163</f>
        <v>4.0710903553299489E-3</v>
      </c>
      <c r="U4" s="1777">
        <f>'Irl. Energy Balance 2013 (ktoe)'!U4*0.01163</f>
        <v>9.766489775791835E-4</v>
      </c>
      <c r="V4" s="1774">
        <f>'Irl. Energy Balance 2013 (ktoe)'!V4*0.01163</f>
        <v>0.33030975294601517</v>
      </c>
      <c r="W4" s="1774">
        <f>'Irl. Energy Balance 2013 (ktoe)'!W4*0.01163</f>
        <v>7.7308807408327761E-4</v>
      </c>
      <c r="X4" s="1774">
        <f>'Irl. Energy Balance 2013 (ktoe)'!X4*0.01163</f>
        <v>3.3002450999999996E-4</v>
      </c>
      <c r="Y4" s="1777">
        <f>'Irl. Energy Balance 2013 (ktoe)'!Y4*0.01163</f>
        <v>7.80659098E-2</v>
      </c>
      <c r="Z4" s="1775">
        <f>'Irl. Energy Balance 2013 (ktoe)'!Z4*0.01163</f>
        <v>0</v>
      </c>
      <c r="AA4" s="1778">
        <f>'Irl. Energy Balance 2013 (ktoe)'!AA4*0.01163</f>
        <v>5.8255470143999981E-5</v>
      </c>
      <c r="AB4" s="1779">
        <f>'Irl. Energy Balance 2013 (ktoe)'!AB4*0.01163</f>
        <v>0</v>
      </c>
      <c r="AC4" s="1777">
        <f>'Irl. Energy Balance 2013 (ktoe)'!AC4*0.01163</f>
        <v>0</v>
      </c>
      <c r="AD4" s="1777">
        <f>'Irl. Energy Balance 2013 (ktoe)'!AD4*0.01163</f>
        <v>5.8255470143999981E-5</v>
      </c>
      <c r="AE4" s="1777">
        <f>'Irl. Energy Balance 2013 (ktoe)'!AE4*0.01163</f>
        <v>0</v>
      </c>
      <c r="AF4" s="1777">
        <f>'Irl. Energy Balance 2013 (ktoe)'!AF4*0.01163</f>
        <v>0</v>
      </c>
      <c r="AG4" s="1777">
        <f>'Irl. Energy Balance 2013 (ktoe)'!AG4*0.01163</f>
        <v>0</v>
      </c>
      <c r="AH4" s="1776">
        <f>'Irl. Energy Balance 2013 (ktoe)'!AH4*0.01163</f>
        <v>0</v>
      </c>
      <c r="AI4" s="1774">
        <f>'Irl. Energy Balance 2013 (ktoe)'!AI4*0.01163</f>
        <v>0</v>
      </c>
      <c r="AJ4" s="1780">
        <f>'Irl. Energy Balance 2013 (ktoe)'!AJ4*0.01163</f>
        <v>0</v>
      </c>
      <c r="AK4" s="3427">
        <f>'Irl. Energy Balance 2013 (ktoe)'!AK4*0.01163</f>
        <v>0.38851876079119996</v>
      </c>
      <c r="AL4" s="1778">
        <f>'Irl. Energy Balance 2013 (ktoe)'!AL4*0.01163</f>
        <v>0</v>
      </c>
      <c r="AM4" s="1782">
        <f>'Irl. Energy Balance 2013 (ktoe)'!AM4*0.01163</f>
        <v>14.704077689323919</v>
      </c>
      <c r="AP4"/>
      <c r="AQ4"/>
      <c r="AR4"/>
      <c r="AS4"/>
      <c r="AT4"/>
      <c r="AU4"/>
      <c r="AV4"/>
    </row>
    <row r="5" spans="1:48">
      <c r="A5" s="1769" t="s">
        <v>1373</v>
      </c>
      <c r="B5" s="1770"/>
      <c r="C5" s="1771">
        <f>'Irl. Energy Balance 2013 (ktoe)'!C5*0.01163</f>
        <v>0</v>
      </c>
      <c r="D5" s="1772">
        <f>'Irl. Energy Balance 2013 (ktoe)'!D5*0.01163</f>
        <v>0</v>
      </c>
      <c r="E5" s="1783">
        <f>'Irl. Energy Balance 2013 (ktoe)'!E5*0.01163</f>
        <v>0</v>
      </c>
      <c r="F5" s="1774">
        <f>'Irl. Energy Balance 2013 (ktoe)'!F5*0.01163</f>
        <v>0</v>
      </c>
      <c r="G5" s="1774">
        <f>'Irl. Energy Balance 2013 (ktoe)'!G5*0.01163</f>
        <v>0</v>
      </c>
      <c r="H5" s="1775">
        <f>'Irl. Energy Balance 2013 (ktoe)'!H5*0.01163</f>
        <v>0</v>
      </c>
      <c r="I5" s="1776">
        <f>'Irl. Energy Balance 2013 (ktoe)'!I5*0.01163</f>
        <v>0</v>
      </c>
      <c r="J5" s="1777">
        <f>'Irl. Energy Balance 2013 (ktoe)'!J5*0.01163</f>
        <v>0</v>
      </c>
      <c r="K5" s="1777">
        <f>'Irl. Energy Balance 2013 (ktoe)'!K5*0.01163</f>
        <v>0</v>
      </c>
      <c r="L5" s="1775">
        <f>'Irl. Energy Balance 2013 (ktoe)'!L5*0.01163</f>
        <v>1.660758792096223</v>
      </c>
      <c r="M5" s="1776">
        <f>'Irl. Energy Balance 2013 (ktoe)'!M5*0.01163</f>
        <v>0</v>
      </c>
      <c r="N5" s="1777">
        <f>'Irl. Energy Balance 2013 (ktoe)'!N5*0.01163</f>
        <v>0</v>
      </c>
      <c r="O5" s="1777">
        <f>'Irl. Energy Balance 2013 (ktoe)'!O5*0.01163</f>
        <v>0</v>
      </c>
      <c r="P5" s="1777">
        <f>'Irl. Energy Balance 2013 (ktoe)'!P5*0.01163</f>
        <v>0</v>
      </c>
      <c r="Q5" s="1777">
        <f>'Irl. Energy Balance 2013 (ktoe)'!Q5*0.01163</f>
        <v>0</v>
      </c>
      <c r="R5" s="1777">
        <f>'Irl. Energy Balance 2013 (ktoe)'!R5*0.01163</f>
        <v>0.2107068679240198</v>
      </c>
      <c r="S5" s="1777">
        <f>'Irl. Energy Balance 2013 (ktoe)'!S5*0.01163</f>
        <v>0</v>
      </c>
      <c r="T5" s="1777">
        <f>'Irl. Energy Balance 2013 (ktoe)'!T5*0.01163</f>
        <v>1.450051924172203</v>
      </c>
      <c r="U5" s="1777">
        <f>'Irl. Energy Balance 2013 (ktoe)'!U5*0.01163</f>
        <v>0</v>
      </c>
      <c r="V5" s="1774">
        <f>'Irl. Energy Balance 2013 (ktoe)'!V5*0.01163</f>
        <v>0</v>
      </c>
      <c r="W5" s="1774">
        <f>'Irl. Energy Balance 2013 (ktoe)'!W5*0.01163</f>
        <v>0</v>
      </c>
      <c r="X5" s="1774">
        <f>'Irl. Energy Balance 2013 (ktoe)'!X5*0.01163</f>
        <v>0</v>
      </c>
      <c r="Y5" s="1777">
        <f>'Irl. Energy Balance 2013 (ktoe)'!Y5*0.01163</f>
        <v>0</v>
      </c>
      <c r="Z5" s="1775">
        <f>'Irl. Energy Balance 2013 (ktoe)'!Z5*0.01163</f>
        <v>0</v>
      </c>
      <c r="AA5" s="1778">
        <f>'Irl. Energy Balance 2013 (ktoe)'!AA5*0.01163</f>
        <v>0</v>
      </c>
      <c r="AB5" s="1779">
        <f>'Irl. Energy Balance 2013 (ktoe)'!AB5*0.01163</f>
        <v>0</v>
      </c>
      <c r="AC5" s="1777">
        <f>'Irl. Energy Balance 2013 (ktoe)'!AC5*0.01163</f>
        <v>0</v>
      </c>
      <c r="AD5" s="1777">
        <f>'Irl. Energy Balance 2013 (ktoe)'!AD5*0.01163</f>
        <v>0</v>
      </c>
      <c r="AE5" s="1777">
        <f>'Irl. Energy Balance 2013 (ktoe)'!AE5*0.01163</f>
        <v>0</v>
      </c>
      <c r="AF5" s="1777">
        <f>'Irl. Energy Balance 2013 (ktoe)'!AF5*0.01163</f>
        <v>0</v>
      </c>
      <c r="AG5" s="1777">
        <f>'Irl. Energy Balance 2013 (ktoe)'!AG5*0.01163</f>
        <v>0</v>
      </c>
      <c r="AH5" s="1776">
        <f>'Irl. Energy Balance 2013 (ktoe)'!AH5*0.01163</f>
        <v>0</v>
      </c>
      <c r="AI5" s="1774">
        <f>'Irl. Energy Balance 2013 (ktoe)'!AI5*0.01163</f>
        <v>0</v>
      </c>
      <c r="AJ5" s="1780">
        <f>'Irl. Energy Balance 2013 (ktoe)'!AJ5*0.01163</f>
        <v>0</v>
      </c>
      <c r="AK5" s="1780">
        <f>'Irl. Energy Balance 2013 (ktoe)'!AK5*0.01163</f>
        <v>0</v>
      </c>
      <c r="AL5" s="1778">
        <f>'Irl. Energy Balance 2013 (ktoe)'!AL5*0.01163</f>
        <v>0</v>
      </c>
      <c r="AM5" s="1782">
        <f>'Irl. Energy Balance 2013 (ktoe)'!AM5*0.01163</f>
        <v>1.660758792096223</v>
      </c>
      <c r="AP5"/>
      <c r="AQ5"/>
      <c r="AR5"/>
      <c r="AS5"/>
      <c r="AT5"/>
      <c r="AU5"/>
      <c r="AV5"/>
    </row>
    <row r="6" spans="1:48" ht="15" thickBot="1">
      <c r="A6" s="1784" t="s">
        <v>1374</v>
      </c>
      <c r="B6" s="1785"/>
      <c r="C6" s="1771">
        <f>'Irl. Energy Balance 2013 (ktoe)'!C6*0.01163</f>
        <v>-1.8813278934213078</v>
      </c>
      <c r="D6" s="1786">
        <f>'Irl. Energy Balance 2013 (ktoe)'!D6*0.01163</f>
        <v>-1.7086724961697768</v>
      </c>
      <c r="E6" s="1774">
        <f>'Irl. Energy Balance 2013 (ktoe)'!E6*0.01163</f>
        <v>-0.12822104961500844</v>
      </c>
      <c r="F6" s="1787">
        <f>'Irl. Energy Balance 2013 (ktoe)'!F6*0.01163</f>
        <v>0</v>
      </c>
      <c r="G6" s="1787">
        <f>'Irl. Energy Balance 2013 (ktoe)'!G6*0.01163</f>
        <v>-4.4434347636522722E-2</v>
      </c>
      <c r="H6" s="1788">
        <f>'Irl. Energy Balance 2013 (ktoe)'!H6*0.01163</f>
        <v>-6.5111810990868166</v>
      </c>
      <c r="I6" s="1789">
        <f>'Irl. Energy Balance 2013 (ktoe)'!I6*0.01163</f>
        <v>-6.3639498231568155</v>
      </c>
      <c r="J6" s="1789">
        <f>'Irl. Energy Balance 2013 (ktoe)'!J6*0.01163</f>
        <v>0</v>
      </c>
      <c r="K6" s="1789">
        <f>'Irl. Energy Balance 2013 (ktoe)'!K6*0.01163</f>
        <v>-0.14723127593000002</v>
      </c>
      <c r="L6" s="1788">
        <f>'Irl. Energy Balance 2013 (ktoe)'!L6*0.01163</f>
        <v>-0.85476036927545029</v>
      </c>
      <c r="M6" s="1776">
        <f>'Irl. Energy Balance 2013 (ktoe)'!M6*0.01163</f>
        <v>-1.12981961</v>
      </c>
      <c r="N6" s="1777">
        <f>'Irl. Energy Balance 2013 (ktoe)'!N6*0.01163</f>
        <v>0</v>
      </c>
      <c r="O6" s="1777">
        <f>'Irl. Energy Balance 2013 (ktoe)'!O6*0.01163</f>
        <v>-6.3944861492000002E-2</v>
      </c>
      <c r="P6" s="1777">
        <f>'Irl. Energy Balance 2013 (ktoe)'!P6*0.01163</f>
        <v>0.21671933372660482</v>
      </c>
      <c r="Q6" s="1777">
        <f>'Irl. Energy Balance 2013 (ktoe)'!Q6*0.01163</f>
        <v>6.1096438110854398E-2</v>
      </c>
      <c r="R6" s="1777">
        <f>'Irl. Energy Balance 2013 (ktoe)'!R6*0.01163</f>
        <v>-1.9570230045155367E-2</v>
      </c>
      <c r="S6" s="1777">
        <f>'Irl. Energy Balance 2013 (ktoe)'!S6*0.01163</f>
        <v>-2.6878544021116973E-2</v>
      </c>
      <c r="T6" s="1777">
        <f>'Irl. Energy Balance 2013 (ktoe)'!T6*0.01163</f>
        <v>-4.2349734087295095E-2</v>
      </c>
      <c r="U6" s="1777">
        <f>'Irl. Energy Balance 2013 (ktoe)'!U6*0.01163</f>
        <v>0.1335975205149853</v>
      </c>
      <c r="V6" s="1787">
        <f>'Irl. Energy Balance 2013 (ktoe)'!V6*0.01163</f>
        <v>1.6389318017672651E-2</v>
      </c>
      <c r="W6" s="1787">
        <f>'Irl. Energy Balance 2013 (ktoe)'!W6*0.01163</f>
        <v>0</v>
      </c>
      <c r="X6" s="1787">
        <f>'Irl. Energy Balance 2013 (ktoe)'!X6*0.01163</f>
        <v>0</v>
      </c>
      <c r="Y6" s="1789">
        <f>'Irl. Energy Balance 2013 (ktoe)'!Y6*0.01163</f>
        <v>0</v>
      </c>
      <c r="Z6" s="1788">
        <f>'Irl. Energy Balance 2013 (ktoe)'!Z6*0.01163</f>
        <v>4.1894329762702055E-2</v>
      </c>
      <c r="AA6" s="1790">
        <f>'Irl. Energy Balance 2013 (ktoe)'!AA6*0.01163</f>
        <v>-2.0841968236247541E-2</v>
      </c>
      <c r="AB6" s="1791">
        <f>'Irl. Energy Balance 2013 (ktoe)'!AB6*0.01163</f>
        <v>0</v>
      </c>
      <c r="AC6" s="1792">
        <f>'Irl. Energy Balance 2013 (ktoe)'!AC6*0.01163</f>
        <v>0</v>
      </c>
      <c r="AD6" s="1792">
        <f>'Irl. Energy Balance 2013 (ktoe)'!AD6*0.01163</f>
        <v>-1.1092871538283703E-2</v>
      </c>
      <c r="AE6" s="1792">
        <f>'Irl. Energy Balance 2013 (ktoe)'!AE6*0.01163</f>
        <v>0</v>
      </c>
      <c r="AF6" s="1792">
        <f>'Irl. Energy Balance 2013 (ktoe)'!AF6*0.01163</f>
        <v>0</v>
      </c>
      <c r="AG6" s="1792">
        <f>'Irl. Energy Balance 2013 (ktoe)'!AG6*0.01163</f>
        <v>-9.74909669796384E-3</v>
      </c>
      <c r="AH6" s="1789">
        <f>'Irl. Energy Balance 2013 (ktoe)'!AH6*0.01163</f>
        <v>0</v>
      </c>
      <c r="AI6" s="1787">
        <f>'Irl. Energy Balance 2013 (ktoe)'!AI6*0.01163</f>
        <v>0</v>
      </c>
      <c r="AJ6" s="1793">
        <f>'Irl. Energy Balance 2013 (ktoe)'!AJ6*0.01163</f>
        <v>0</v>
      </c>
      <c r="AK6" s="1793">
        <f>'Irl. Energy Balance 2013 (ktoe)'!AK6*0.01163</f>
        <v>0</v>
      </c>
      <c r="AL6" s="1790">
        <f>'Irl. Energy Balance 2013 (ktoe)'!AL6*0.01163</f>
        <v>0</v>
      </c>
      <c r="AM6" s="1794">
        <f>'Irl. Energy Balance 2013 (ktoe)'!AM6*0.01163</f>
        <v>-9.2262170002571207</v>
      </c>
      <c r="AP6"/>
      <c r="AQ6"/>
      <c r="AR6"/>
      <c r="AS6"/>
      <c r="AT6"/>
      <c r="AU6"/>
      <c r="AV6"/>
    </row>
    <row r="7" spans="1:48" s="39" customFormat="1">
      <c r="A7" s="1795" t="s">
        <v>1375</v>
      </c>
      <c r="B7" s="1796"/>
      <c r="C7" s="1797">
        <f>'Irl. Energy Balance 2013 (ktoe)'!C7*0.01163</f>
        <v>15.393745564511331</v>
      </c>
      <c r="D7" s="1798">
        <f>'Irl. Energy Balance 2013 (ktoe)'!D7*0.01163</f>
        <v>14.656822134585569</v>
      </c>
      <c r="E7" s="1799">
        <f>'Irl. Energy Balance 2013 (ktoe)'!E7*0.01163</f>
        <v>0.53519687272475425</v>
      </c>
      <c r="F7" s="1799">
        <f>'Irl. Energy Balance 2013 (ktoe)'!F7*0.01163</f>
        <v>0</v>
      </c>
      <c r="G7" s="1799">
        <f>'Irl. Energy Balance 2013 (ktoe)'!G7*0.01163</f>
        <v>0.20172655720100702</v>
      </c>
      <c r="H7" s="1800">
        <f>'Irl. Energy Balance 2013 (ktoe)'!H7*0.01163</f>
        <v>8.4099484316203554</v>
      </c>
      <c r="I7" s="1798">
        <f>'Irl. Energy Balance 2013 (ktoe)'!I7*0.01163</f>
        <v>7.171288722300357</v>
      </c>
      <c r="J7" s="1799">
        <f>'Irl. Energy Balance 2013 (ktoe)'!J7*0.01163</f>
        <v>1.4851975199999998</v>
      </c>
      <c r="K7" s="1799">
        <f>'Irl. Energy Balance 2013 (ktoe)'!K7*0.01163</f>
        <v>-0.24653781068</v>
      </c>
      <c r="L7" s="1800">
        <f>'Irl. Energy Balance 2013 (ktoe)'!L7*0.01163</f>
        <v>76.116012246733362</v>
      </c>
      <c r="M7" s="1798">
        <f>'Irl. Energy Balance 2013 (ktoe)'!M7*0.01163</f>
        <v>33.730836800683555</v>
      </c>
      <c r="N7" s="1799">
        <f>'Irl. Energy Balance 2013 (ktoe)'!N7*0.01163</f>
        <v>0</v>
      </c>
      <c r="O7" s="1799">
        <f>'Irl. Energy Balance 2013 (ktoe)'!O7*0.01163</f>
        <v>7.6099299002962209</v>
      </c>
      <c r="P7" s="1799">
        <f>'Irl. Energy Balance 2013 (ktoe)'!P7*0.01163</f>
        <v>5.1306169554136236</v>
      </c>
      <c r="Q7" s="1799">
        <f>'Irl. Energy Balance 2013 (ktoe)'!Q7*0.01163</f>
        <v>10.367654300354145</v>
      </c>
      <c r="R7" s="1799">
        <f>'Irl. Energy Balance 2013 (ktoe)'!R7*0.01163</f>
        <v>-8.5953847211109906</v>
      </c>
      <c r="S7" s="1799">
        <f>'Irl. Energy Balance 2013 (ktoe)'!S7*0.01163</f>
        <v>0.80165733565457031</v>
      </c>
      <c r="T7" s="1799">
        <f>'Irl. Energy Balance 2013 (ktoe)'!T7*0.01163</f>
        <v>22.660426572427706</v>
      </c>
      <c r="U7" s="1799">
        <f>'Irl. Energy Balance 2013 (ktoe)'!U7*0.01163</f>
        <v>1.4372186976225383</v>
      </c>
      <c r="V7" s="1799">
        <f>'Irl. Energy Balance 2013 (ktoe)'!V7*0.01163</f>
        <v>-0.31392043492834254</v>
      </c>
      <c r="W7" s="1799">
        <f>'Irl. Energy Balance 2013 (ktoe)'!W7*0.01163</f>
        <v>2.914719473960337</v>
      </c>
      <c r="X7" s="1799">
        <f>'Irl. Energy Balance 2013 (ktoe)'!X7*0.01163</f>
        <v>1.1880882359999999E-2</v>
      </c>
      <c r="Y7" s="1799">
        <f>'Irl. Energy Balance 2013 (ktoe)'!Y7*0.01163</f>
        <v>0.360376484</v>
      </c>
      <c r="Z7" s="1800">
        <f>'Irl. Energy Balance 2013 (ktoe)'!Z7*0.01163</f>
        <v>45.030416164479156</v>
      </c>
      <c r="AA7" s="1800">
        <f>'Irl. Energy Balance 2013 (ktoe)'!AA7*0.01163</f>
        <v>10.595496428272497</v>
      </c>
      <c r="AB7" s="2482">
        <f>'Irl. Energy Balance 2013 (ktoe)'!AB7*0.01163</f>
        <v>0.57859162386130003</v>
      </c>
      <c r="AC7" s="3448">
        <f>'Irl. Energy Balance 2013 (ktoe)'!AC7*0.01163</f>
        <v>4.5423319526063981</v>
      </c>
      <c r="AD7" s="1799">
        <f>'Irl. Energy Balance 2013 (ktoe)'!AD7*0.01163</f>
        <v>3.2412213706071666</v>
      </c>
      <c r="AE7" s="1799">
        <f>'Irl. Energy Balance 2013 (ktoe)'!AE7*0.01163</f>
        <v>0.42745701505884887</v>
      </c>
      <c r="AF7" s="1799">
        <f>'Irl. Energy Balance 2013 (ktoe)'!AF7*0.01163</f>
        <v>0.13276003368635939</v>
      </c>
      <c r="AG7" s="1799">
        <f>'Irl. Energy Balance 2013 (ktoe)'!AG7*0.01163</f>
        <v>1.1555205850118573</v>
      </c>
      <c r="AH7" s="3449">
        <f>'Irl. Energy Balance 2013 (ktoe)'!AH7*0.01163</f>
        <v>0.131166320698519</v>
      </c>
      <c r="AI7" s="1798">
        <f>'Irl. Energy Balance 2013 (ktoe)'!AI7*0.01163</f>
        <v>0.38644752674204613</v>
      </c>
      <c r="AJ7" s="1800">
        <f>'Irl. Energy Balance 2013 (ktoe)'!AJ7*0.01163</f>
        <v>0.67156905045004223</v>
      </c>
      <c r="AK7" s="1804">
        <f>'Irl. Energy Balance 2013 (ktoe)'!AK7*0.01163</f>
        <v>2.1194608642973991</v>
      </c>
      <c r="AL7" s="1805">
        <f>'Irl. Energy Balance 2013 (ktoe)'!AL7*0.01163</f>
        <v>0</v>
      </c>
      <c r="AM7" s="1806">
        <f>'Irl. Energy Balance 2013 (ktoe)'!AM7*0.01163</f>
        <v>158.33664875036413</v>
      </c>
      <c r="AP7"/>
      <c r="AQ7"/>
      <c r="AR7"/>
      <c r="AS7"/>
      <c r="AT7"/>
      <c r="AU7"/>
      <c r="AV7"/>
    </row>
    <row r="8" spans="1:48" s="39" customFormat="1" ht="15" thickBot="1">
      <c r="A8" s="1807" t="s">
        <v>1377</v>
      </c>
      <c r="B8" s="1808"/>
      <c r="C8" s="1809">
        <f>'Irl. Energy Balance 2013 (ktoe)'!C8*0.01163</f>
        <v>15.393745564511331</v>
      </c>
      <c r="D8" s="1810">
        <f>'Irl. Energy Balance 2013 (ktoe)'!D8*0.01163</f>
        <v>14.656822134585569</v>
      </c>
      <c r="E8" s="1811">
        <f>'Irl. Energy Balance 2013 (ktoe)'!E8*0.01163</f>
        <v>0.53519687272475425</v>
      </c>
      <c r="F8" s="1812">
        <f>'Irl. Energy Balance 2013 (ktoe)'!F8*0.01163</f>
        <v>0</v>
      </c>
      <c r="G8" s="1812">
        <f>'Irl. Energy Balance 2013 (ktoe)'!G8*0.01163</f>
        <v>0.20172655720100702</v>
      </c>
      <c r="H8" s="1813">
        <f>'Irl. Energy Balance 2013 (ktoe)'!H8*0.01163</f>
        <v>8.4099484316203554</v>
      </c>
      <c r="I8" s="1810">
        <f>'Irl. Energy Balance 2013 (ktoe)'!I8*0.01163</f>
        <v>7.171288722300357</v>
      </c>
      <c r="J8" s="1811">
        <f>'Irl. Energy Balance 2013 (ktoe)'!J8*0.01163</f>
        <v>1.4851975199999998</v>
      </c>
      <c r="K8" s="1811">
        <f>'Irl. Energy Balance 2013 (ktoe)'!K8*0.01163</f>
        <v>-0.24653781068</v>
      </c>
      <c r="L8" s="1813">
        <f>'Irl. Energy Balance 2013 (ktoe)'!L8*0.01163</f>
        <v>72.829035406413027</v>
      </c>
      <c r="M8" s="1810">
        <f>'Irl. Energy Balance 2013 (ktoe)'!M8*0.01163</f>
        <v>33.730836800683555</v>
      </c>
      <c r="N8" s="1811">
        <f>'Irl. Energy Balance 2013 (ktoe)'!N8*0.01163</f>
        <v>0</v>
      </c>
      <c r="O8" s="1811">
        <f>'Irl. Energy Balance 2013 (ktoe)'!O8*0.01163</f>
        <v>7.6099299002962209</v>
      </c>
      <c r="P8" s="1811">
        <f>'Irl. Energy Balance 2013 (ktoe)'!P8*0.01163</f>
        <v>5.1306169554136236</v>
      </c>
      <c r="Q8" s="1811">
        <f>'Irl. Energy Balance 2013 (ktoe)'!Q8*0.01163</f>
        <v>10.367654300354145</v>
      </c>
      <c r="R8" s="1811">
        <f>'Irl. Energy Balance 2013 (ktoe)'!R8*0.01163</f>
        <v>-8.5953847211109906</v>
      </c>
      <c r="S8" s="1811">
        <f>'Irl. Energy Balance 2013 (ktoe)'!S8*0.01163</f>
        <v>0.80165733565457031</v>
      </c>
      <c r="T8" s="1811">
        <f>'Irl. Energy Balance 2013 (ktoe)'!T8*0.01163</f>
        <v>22.660426572427706</v>
      </c>
      <c r="U8" s="1811">
        <f>'Irl. Energy Balance 2013 (ktoe)'!U8*0.01163</f>
        <v>1.4372186976225383</v>
      </c>
      <c r="V8" s="1812">
        <f>'Irl. Energy Balance 2013 (ktoe)'!V8*0.01163</f>
        <v>-0.31392043492834254</v>
      </c>
      <c r="W8" s="1812">
        <f>'Irl. Energy Balance 2013 (ktoe)'!W8*0.01163</f>
        <v>0</v>
      </c>
      <c r="X8" s="1812">
        <f>'Irl. Energy Balance 2013 (ktoe)'!X8*0.01163</f>
        <v>0</v>
      </c>
      <c r="Y8" s="1811">
        <f>'Irl. Energy Balance 2013 (ktoe)'!Y8*0.01163</f>
        <v>0</v>
      </c>
      <c r="Z8" s="1813">
        <f>'Irl. Energy Balance 2013 (ktoe)'!Z8*0.01163</f>
        <v>45.030416164479156</v>
      </c>
      <c r="AA8" s="1814">
        <f>'Irl. Energy Balance 2013 (ktoe)'!AA8*0.01163</f>
        <v>10.595496428272497</v>
      </c>
      <c r="AB8" s="1810">
        <f>'Irl. Energy Balance 2013 (ktoe)'!AB8*0.01163</f>
        <v>0.57859162386130003</v>
      </c>
      <c r="AC8" s="1811">
        <f>'Irl. Energy Balance 2013 (ktoe)'!AC8*0.01163</f>
        <v>4.5423319526063981</v>
      </c>
      <c r="AD8" s="1811">
        <f>'Irl. Energy Balance 2013 (ktoe)'!AD8*0.01163</f>
        <v>3.2412213706071666</v>
      </c>
      <c r="AE8" s="1811">
        <f>'Irl. Energy Balance 2013 (ktoe)'!AE8*0.01163</f>
        <v>0.42745701505884887</v>
      </c>
      <c r="AF8" s="1811">
        <f>'Irl. Energy Balance 2013 (ktoe)'!AF8*0.01163</f>
        <v>0.13276003368635939</v>
      </c>
      <c r="AG8" s="1811">
        <f>'Irl. Energy Balance 2013 (ktoe)'!AG8*0.01163</f>
        <v>1.1555205850118573</v>
      </c>
      <c r="AH8" s="1815">
        <f>'Irl. Energy Balance 2013 (ktoe)'!AH8*0.01163</f>
        <v>0.131166320698519</v>
      </c>
      <c r="AI8" s="1810">
        <f>'Irl. Energy Balance 2013 (ktoe)'!AI8*0.01163</f>
        <v>0.38644752674204613</v>
      </c>
      <c r="AJ8" s="1813">
        <f>'Irl. Energy Balance 2013 (ktoe)'!AJ8*0.01163</f>
        <v>0.67156905045004223</v>
      </c>
      <c r="AK8" s="1813">
        <f>'Irl. Energy Balance 2013 (ktoe)'!AK8*0.01163</f>
        <v>2.1194608642973991</v>
      </c>
      <c r="AL8" s="1810">
        <f>'Irl. Energy Balance 2013 (ktoe)'!AL8*0.01163</f>
        <v>0</v>
      </c>
      <c r="AM8" s="1816">
        <f>'Irl. Energy Balance 2013 (ktoe)'!AM8*0.01163</f>
        <v>155.0496719100438</v>
      </c>
      <c r="AP8"/>
      <c r="AQ8"/>
      <c r="AR8"/>
      <c r="AS8"/>
      <c r="AT8"/>
      <c r="AU8"/>
      <c r="AV8"/>
    </row>
    <row r="9" spans="1:48">
      <c r="A9" s="1795" t="s">
        <v>1378</v>
      </c>
      <c r="B9" s="1796"/>
      <c r="C9" s="1797">
        <f>'Irl. Energy Balance 2013 (ktoe)'!C9*0.01163</f>
        <v>11.284856392926411</v>
      </c>
      <c r="D9" s="1803">
        <f>'Irl. Energy Balance 2013 (ktoe)'!D9*0.01163</f>
        <v>11.284856392926411</v>
      </c>
      <c r="E9" s="1799">
        <f>'Irl. Energy Balance 2013 (ktoe)'!E9*0.01163</f>
        <v>0</v>
      </c>
      <c r="F9" s="1817">
        <f>'Irl. Energy Balance 2013 (ktoe)'!F9*0.01163</f>
        <v>0</v>
      </c>
      <c r="G9" s="1817">
        <f>'Irl. Energy Balance 2013 (ktoe)'!G9*0.01163</f>
        <v>0</v>
      </c>
      <c r="H9" s="1800">
        <f>'Irl. Energy Balance 2013 (ktoe)'!H9*0.01163</f>
        <v>7.4263704435868894</v>
      </c>
      <c r="I9" s="1803">
        <f>'Irl. Energy Balance 2013 (ktoe)'!I9*0.01163</f>
        <v>7.4263704435868894</v>
      </c>
      <c r="J9" s="1799">
        <f>'Irl. Energy Balance 2013 (ktoe)'!J9*0.01163</f>
        <v>0</v>
      </c>
      <c r="K9" s="1799">
        <f>'Irl. Energy Balance 2013 (ktoe)'!K9*0.01163</f>
        <v>0</v>
      </c>
      <c r="L9" s="1800">
        <f>'Irl. Energy Balance 2013 (ktoe)'!L9*0.01163</f>
        <v>34.257214266739425</v>
      </c>
      <c r="M9" s="1799">
        <f>'Irl. Energy Balance 2013 (ktoe)'!M9*0.01163</f>
        <v>33.751874243999993</v>
      </c>
      <c r="N9" s="1799">
        <f>'Irl. Energy Balance 2013 (ktoe)'!N9*0.01163</f>
        <v>5.8785101683775993E-2</v>
      </c>
      <c r="O9" s="1799">
        <f>'Irl. Energy Balance 2013 (ktoe)'!O9*0.01163</f>
        <v>0</v>
      </c>
      <c r="P9" s="1799">
        <f>'Irl. Energy Balance 2013 (ktoe)'!P9*0.01163</f>
        <v>0</v>
      </c>
      <c r="Q9" s="1799">
        <f>'Irl. Energy Balance 2013 (ktoe)'!Q9*0.01163</f>
        <v>0</v>
      </c>
      <c r="R9" s="1799">
        <f>'Irl. Energy Balance 2013 (ktoe)'!R9*0.01163</f>
        <v>0.38719304202207555</v>
      </c>
      <c r="S9" s="1799">
        <f>'Irl. Energy Balance 2013 (ktoe)'!S9*0.01163</f>
        <v>7.1167195883252137E-3</v>
      </c>
      <c r="T9" s="1799">
        <f>'Irl. Energy Balance 2013 (ktoe)'!T9*0.01163</f>
        <v>5.2245159445251446E-2</v>
      </c>
      <c r="U9" s="1799">
        <f>'Irl. Energy Balance 2013 (ktoe)'!U9*0.01163</f>
        <v>0</v>
      </c>
      <c r="V9" s="1817">
        <f>'Irl. Energy Balance 2013 (ktoe)'!V9*0.01163</f>
        <v>0</v>
      </c>
      <c r="W9" s="1817">
        <f>'Irl. Energy Balance 2013 (ktoe)'!W9*0.01163</f>
        <v>0</v>
      </c>
      <c r="X9" s="1817">
        <f>'Irl. Energy Balance 2013 (ktoe)'!X9*0.01163</f>
        <v>0</v>
      </c>
      <c r="Y9" s="1799">
        <f>'Irl. Energy Balance 2013 (ktoe)'!Y9*0.01163</f>
        <v>0</v>
      </c>
      <c r="Z9" s="1800">
        <f>'Irl. Energy Balance 2013 (ktoe)'!Z9*0.01163</f>
        <v>25.059150566126405</v>
      </c>
      <c r="AA9" s="1798">
        <f>'Irl. Energy Balance 2013 (ktoe)'!AA9*0.01163</f>
        <v>1.374852183686381</v>
      </c>
      <c r="AB9" s="1818">
        <f>'Irl. Energy Balance 2013 (ktoe)'!AB9*0.01163</f>
        <v>0</v>
      </c>
      <c r="AC9" s="1799">
        <f>'Irl. Energy Balance 2013 (ktoe)'!AC9*0.01163</f>
        <v>0</v>
      </c>
      <c r="AD9" s="1799">
        <f>'Irl. Energy Balance 2013 (ktoe)'!AD9*0.01163</f>
        <v>0.89679698981505018</v>
      </c>
      <c r="AE9" s="1799">
        <f>'Irl. Energy Balance 2013 (ktoe)'!AE9*0.01163</f>
        <v>0.42745701505884887</v>
      </c>
      <c r="AF9" s="1799">
        <f>'Irl. Energy Balance 2013 (ktoe)'!AF9*0.01163</f>
        <v>5.0598178812482124E-2</v>
      </c>
      <c r="AG9" s="1799">
        <f>'Irl. Energy Balance 2013 (ktoe)'!AG9*0.01163</f>
        <v>0</v>
      </c>
      <c r="AH9" s="1803">
        <f>'Irl. Energy Balance 2013 (ktoe)'!AH9*0.01163</f>
        <v>0</v>
      </c>
      <c r="AI9" s="1817">
        <f>'Irl. Energy Balance 2013 (ktoe)'!AI9*0.01163</f>
        <v>0</v>
      </c>
      <c r="AJ9" s="1800">
        <f>'Irl. Energy Balance 2013 (ktoe)'!AJ9*0.01163</f>
        <v>0.2658284098584619</v>
      </c>
      <c r="AK9" s="1804">
        <f>'Irl. Energy Balance 2013 (ktoe)'!AK9*0.01163</f>
        <v>0.78855022349580006</v>
      </c>
      <c r="AL9" s="1798">
        <f>'Irl. Energy Balance 2013 (ktoe)'!AL9*0.01163</f>
        <v>0</v>
      </c>
      <c r="AM9" s="1819">
        <f>'Irl. Energy Balance 2013 (ktoe)'!AM9*0.01163</f>
        <v>80.456822486419767</v>
      </c>
      <c r="AP9"/>
      <c r="AQ9"/>
      <c r="AR9"/>
      <c r="AS9"/>
      <c r="AT9"/>
      <c r="AU9"/>
      <c r="AV9"/>
    </row>
    <row r="10" spans="1:48">
      <c r="A10" s="1820" t="s">
        <v>1379</v>
      </c>
      <c r="B10" s="1821"/>
      <c r="C10" s="1822">
        <f>'Irl. Energy Balance 2013 (ktoe)'!C10*0.01163</f>
        <v>11.284856392926411</v>
      </c>
      <c r="D10" s="1823">
        <f>'Irl. Energy Balance 2013 (ktoe)'!D10*0.01163</f>
        <v>11.284856392926411</v>
      </c>
      <c r="E10" s="1824">
        <f>'Irl. Energy Balance 2013 (ktoe)'!E10*0.01163</f>
        <v>0</v>
      </c>
      <c r="F10" s="1825">
        <f>'Irl. Energy Balance 2013 (ktoe)'!F10*0.01163</f>
        <v>0</v>
      </c>
      <c r="G10" s="1825">
        <f>'Irl. Energy Balance 2013 (ktoe)'!G10*0.01163</f>
        <v>0</v>
      </c>
      <c r="H10" s="1826">
        <f>'Irl. Energy Balance 2013 (ktoe)'!H10*0.01163</f>
        <v>5.7862218755988941</v>
      </c>
      <c r="I10" s="1823">
        <f>'Irl. Energy Balance 2013 (ktoe)'!I10*0.01163</f>
        <v>5.7862218755988941</v>
      </c>
      <c r="J10" s="1824">
        <f>'Irl. Energy Balance 2013 (ktoe)'!J10*0.01163</f>
        <v>0</v>
      </c>
      <c r="K10" s="1824">
        <f>'Irl. Energy Balance 2013 (ktoe)'!K10*0.01163</f>
        <v>0</v>
      </c>
      <c r="L10" s="1826">
        <f>'Irl. Energy Balance 2013 (ktoe)'!L10*0.01163</f>
        <v>0.43943820146732698</v>
      </c>
      <c r="M10" s="1824">
        <f>'Irl. Energy Balance 2013 (ktoe)'!M10*0.01163</f>
        <v>0</v>
      </c>
      <c r="N10" s="1824">
        <f>'Irl. Energy Balance 2013 (ktoe)'!N10*0.01163</f>
        <v>0</v>
      </c>
      <c r="O10" s="1824">
        <f>'Irl. Energy Balance 2013 (ktoe)'!O10*0.01163</f>
        <v>0</v>
      </c>
      <c r="P10" s="1824">
        <f>'Irl. Energy Balance 2013 (ktoe)'!P10*0.01163</f>
        <v>0</v>
      </c>
      <c r="Q10" s="1824">
        <f>'Irl. Energy Balance 2013 (ktoe)'!Q10*0.01163</f>
        <v>0</v>
      </c>
      <c r="R10" s="1824">
        <f>'Irl. Energy Balance 2013 (ktoe)'!R10*0.01163</f>
        <v>0.38719304202207555</v>
      </c>
      <c r="S10" s="1824">
        <f>'Irl. Energy Balance 2013 (ktoe)'!S10*0.01163</f>
        <v>0</v>
      </c>
      <c r="T10" s="1824">
        <f>'Irl. Energy Balance 2013 (ktoe)'!T10*0.01163</f>
        <v>5.2245159445251446E-2</v>
      </c>
      <c r="U10" s="1824">
        <f>'Irl. Energy Balance 2013 (ktoe)'!U10*0.01163</f>
        <v>0</v>
      </c>
      <c r="V10" s="1825">
        <f>'Irl. Energy Balance 2013 (ktoe)'!V10*0.01163</f>
        <v>0</v>
      </c>
      <c r="W10" s="1825">
        <f>'Irl. Energy Balance 2013 (ktoe)'!W10*0.01163</f>
        <v>0</v>
      </c>
      <c r="X10" s="1825">
        <f>'Irl. Energy Balance 2013 (ktoe)'!X10*0.01163</f>
        <v>0</v>
      </c>
      <c r="Y10" s="1824">
        <f>'Irl. Energy Balance 2013 (ktoe)'!Y10*0.01163</f>
        <v>0</v>
      </c>
      <c r="Z10" s="1826">
        <f>'Irl. Energy Balance 2013 (ktoe)'!Z10*0.01163</f>
        <v>21.282268660087492</v>
      </c>
      <c r="AA10" s="1827">
        <f>'Irl. Energy Balance 2013 (ktoe)'!AA10*0.01163</f>
        <v>1.2763539123045411</v>
      </c>
      <c r="AB10" s="1828">
        <f>'Irl. Energy Balance 2013 (ktoe)'!AB10*0.01163</f>
        <v>0</v>
      </c>
      <c r="AC10" s="1824">
        <f>'Irl. Energy Balance 2013 (ktoe)'!AC10*0.01163</f>
        <v>0</v>
      </c>
      <c r="AD10" s="1829">
        <f>'Irl. Energy Balance 2013 (ktoe)'!AD10*0.01163</f>
        <v>0.84889689724569228</v>
      </c>
      <c r="AE10" s="1829">
        <f>'Irl. Energy Balance 2013 (ktoe)'!AE10*0.01163</f>
        <v>0.42745701505884887</v>
      </c>
      <c r="AF10" s="1824">
        <f>'Irl. Energy Balance 2013 (ktoe)'!AF10*0.01163</f>
        <v>0</v>
      </c>
      <c r="AG10" s="1824">
        <f>'Irl. Energy Balance 2013 (ktoe)'!AG10*0.01163</f>
        <v>0</v>
      </c>
      <c r="AH10" s="1823">
        <f>'Irl. Energy Balance 2013 (ktoe)'!AH10*0.01163</f>
        <v>0</v>
      </c>
      <c r="AI10" s="1825">
        <f>'Irl. Energy Balance 2013 (ktoe)'!AI10*0.01163</f>
        <v>0</v>
      </c>
      <c r="AJ10" s="1830">
        <f>'Irl. Energy Balance 2013 (ktoe)'!AJ10*0.01163</f>
        <v>0.2658284098584619</v>
      </c>
      <c r="AK10" s="1831">
        <f>'Irl. Energy Balance 2013 (ktoe)'!AK10*0.01163</f>
        <v>0</v>
      </c>
      <c r="AL10" s="1827">
        <f>'Irl. Energy Balance 2013 (ktoe)'!AL10*0.01163</f>
        <v>0</v>
      </c>
      <c r="AM10" s="1832">
        <f>'Irl. Energy Balance 2013 (ktoe)'!AM10*0.01163</f>
        <v>40.334967452243134</v>
      </c>
      <c r="AP10"/>
      <c r="AQ10"/>
      <c r="AR10"/>
      <c r="AS10"/>
      <c r="AT10"/>
      <c r="AU10"/>
      <c r="AV10"/>
    </row>
    <row r="11" spans="1:48">
      <c r="A11" s="1769" t="s">
        <v>1380</v>
      </c>
      <c r="B11" s="3689"/>
      <c r="C11" s="1833">
        <f>'Irl. Energy Balance 2013 (ktoe)'!C11*0.01163</f>
        <v>0</v>
      </c>
      <c r="D11" s="1776">
        <f>'Irl. Energy Balance 2013 (ktoe)'!D11*0.01163</f>
        <v>0</v>
      </c>
      <c r="E11" s="1777">
        <f>'Irl. Energy Balance 2013 (ktoe)'!E11*0.01163</f>
        <v>0</v>
      </c>
      <c r="F11" s="1774">
        <f>'Irl. Energy Balance 2013 (ktoe)'!F11*0.01163</f>
        <v>0</v>
      </c>
      <c r="G11" s="1774">
        <f>'Irl. Energy Balance 2013 (ktoe)'!G11*0.01163</f>
        <v>0</v>
      </c>
      <c r="H11" s="1834">
        <f>'Irl. Energy Balance 2013 (ktoe)'!H11*0.01163</f>
        <v>0.10947593029173791</v>
      </c>
      <c r="I11" s="1776">
        <f>'Irl. Energy Balance 2013 (ktoe)'!I11*0.01163</f>
        <v>0.10947593029173791</v>
      </c>
      <c r="J11" s="1777">
        <f>'Irl. Energy Balance 2013 (ktoe)'!J11*0.01163</f>
        <v>0</v>
      </c>
      <c r="K11" s="1777">
        <f>'Irl. Energy Balance 2013 (ktoe)'!K11*0.01163</f>
        <v>0</v>
      </c>
      <c r="L11" s="1834">
        <f>'Irl. Energy Balance 2013 (ktoe)'!L11*0.01163</f>
        <v>6.5901821272101202E-2</v>
      </c>
      <c r="M11" s="1777">
        <f>'Irl. Energy Balance 2013 (ktoe)'!M11*0.01163</f>
        <v>0</v>
      </c>
      <c r="N11" s="1835">
        <f>'Irl. Energy Balance 2013 (ktoe)'!N11*0.01163</f>
        <v>5.8785101683775993E-2</v>
      </c>
      <c r="O11" s="1777">
        <f>'Irl. Energy Balance 2013 (ktoe)'!O11*0.01163</f>
        <v>0</v>
      </c>
      <c r="P11" s="1777">
        <f>'Irl. Energy Balance 2013 (ktoe)'!P11*0.01163</f>
        <v>0</v>
      </c>
      <c r="Q11" s="1777">
        <f>'Irl. Energy Balance 2013 (ktoe)'!Q11*0.01163</f>
        <v>0</v>
      </c>
      <c r="R11" s="1777">
        <f>'Irl. Energy Balance 2013 (ktoe)'!R11*0.01163</f>
        <v>0</v>
      </c>
      <c r="S11" s="1777">
        <f>'Irl. Energy Balance 2013 (ktoe)'!S11*0.01163</f>
        <v>7.1167195883252137E-3</v>
      </c>
      <c r="T11" s="1777">
        <f>'Irl. Energy Balance 2013 (ktoe)'!T11*0.01163</f>
        <v>0</v>
      </c>
      <c r="U11" s="1777">
        <f>'Irl. Energy Balance 2013 (ktoe)'!U11*0.01163</f>
        <v>0</v>
      </c>
      <c r="V11" s="1774">
        <f>'Irl. Energy Balance 2013 (ktoe)'!V11*0.01163</f>
        <v>0</v>
      </c>
      <c r="W11" s="1774">
        <f>'Irl. Energy Balance 2013 (ktoe)'!W11*0.01163</f>
        <v>0</v>
      </c>
      <c r="X11" s="1774">
        <f>'Irl. Energy Balance 2013 (ktoe)'!X11*0.01163</f>
        <v>0</v>
      </c>
      <c r="Y11" s="1777">
        <f>'Irl. Energy Balance 2013 (ktoe)'!Y11*0.01163</f>
        <v>0</v>
      </c>
      <c r="Z11" s="1834">
        <f>'Irl. Energy Balance 2013 (ktoe)'!Z11*0.01163</f>
        <v>3.1177040543991743</v>
      </c>
      <c r="AA11" s="1778">
        <f>'Irl. Energy Balance 2013 (ktoe)'!AA11*0.01163</f>
        <v>9.8498271381840016E-2</v>
      </c>
      <c r="AB11" s="1779">
        <f>'Irl. Energy Balance 2013 (ktoe)'!AB11*0.01163</f>
        <v>0</v>
      </c>
      <c r="AC11" s="1777">
        <f>'Irl. Energy Balance 2013 (ktoe)'!AC11*0.01163</f>
        <v>0</v>
      </c>
      <c r="AD11" s="1836">
        <f>'Irl. Energy Balance 2013 (ktoe)'!AD11*0.01163</f>
        <v>4.7900092569357892E-2</v>
      </c>
      <c r="AE11" s="1777">
        <f>'Irl. Energy Balance 2013 (ktoe)'!AE11*0.01163</f>
        <v>0</v>
      </c>
      <c r="AF11" s="1836">
        <f>'Irl. Energy Balance 2013 (ktoe)'!AF11*0.01163</f>
        <v>5.0598178812482124E-2</v>
      </c>
      <c r="AG11" s="1777">
        <f>'Irl. Energy Balance 2013 (ktoe)'!AG11*0.01163</f>
        <v>0</v>
      </c>
      <c r="AH11" s="1776">
        <f>'Irl. Energy Balance 2013 (ktoe)'!AH11*0.01163</f>
        <v>0</v>
      </c>
      <c r="AI11" s="1774">
        <f>'Irl. Energy Balance 2013 (ktoe)'!AI11*0.01163</f>
        <v>0</v>
      </c>
      <c r="AJ11" s="1780">
        <f>'Irl. Energy Balance 2013 (ktoe)'!AJ11*0.01163</f>
        <v>0</v>
      </c>
      <c r="AK11" s="1780">
        <f>'Irl. Energy Balance 2013 (ktoe)'!AK11*0.01163</f>
        <v>0</v>
      </c>
      <c r="AL11" s="1778">
        <f>'Irl. Energy Balance 2013 (ktoe)'!AL11*0.01163</f>
        <v>0</v>
      </c>
      <c r="AM11" s="1782">
        <f>'Irl. Energy Balance 2013 (ktoe)'!AM11*0.01163</f>
        <v>3.3915800773448534</v>
      </c>
      <c r="AP11"/>
      <c r="AQ11"/>
      <c r="AR11"/>
      <c r="AS11"/>
      <c r="AT11"/>
      <c r="AU11"/>
      <c r="AV11"/>
    </row>
    <row r="12" spans="1:48">
      <c r="A12" s="1769" t="s">
        <v>1381</v>
      </c>
      <c r="B12" s="1770"/>
      <c r="C12" s="1771">
        <f>'Irl. Energy Balance 2013 (ktoe)'!C12*0.01163</f>
        <v>0</v>
      </c>
      <c r="D12" s="1776">
        <f>'Irl. Energy Balance 2013 (ktoe)'!D12*0.01163</f>
        <v>0</v>
      </c>
      <c r="E12" s="1777">
        <f>'Irl. Energy Balance 2013 (ktoe)'!E12*0.01163</f>
        <v>0</v>
      </c>
      <c r="F12" s="1774">
        <f>'Irl. Energy Balance 2013 (ktoe)'!F12*0.01163</f>
        <v>0</v>
      </c>
      <c r="G12" s="1774">
        <f>'Irl. Energy Balance 2013 (ktoe)'!G12*0.01163</f>
        <v>0</v>
      </c>
      <c r="H12" s="1775">
        <f>'Irl. Energy Balance 2013 (ktoe)'!H12*0.01163</f>
        <v>0</v>
      </c>
      <c r="I12" s="1776">
        <f>'Irl. Energy Balance 2013 (ktoe)'!I12*0.01163</f>
        <v>0</v>
      </c>
      <c r="J12" s="1777">
        <f>'Irl. Energy Balance 2013 (ktoe)'!J12*0.01163</f>
        <v>0</v>
      </c>
      <c r="K12" s="1777">
        <f>'Irl. Energy Balance 2013 (ktoe)'!K12*0.01163</f>
        <v>0</v>
      </c>
      <c r="L12" s="1775">
        <f>'Irl. Energy Balance 2013 (ktoe)'!L12*0.01163</f>
        <v>0</v>
      </c>
      <c r="M12" s="1777">
        <f>'Irl. Energy Balance 2013 (ktoe)'!M12*0.01163</f>
        <v>0</v>
      </c>
      <c r="N12" s="1835">
        <f>'Irl. Energy Balance 2013 (ktoe)'!N12*0.01163</f>
        <v>0</v>
      </c>
      <c r="O12" s="1777">
        <f>'Irl. Energy Balance 2013 (ktoe)'!O12*0.01163</f>
        <v>0</v>
      </c>
      <c r="P12" s="1777">
        <f>'Irl. Energy Balance 2013 (ktoe)'!P12*0.01163</f>
        <v>0</v>
      </c>
      <c r="Q12" s="1777">
        <f>'Irl. Energy Balance 2013 (ktoe)'!Q12*0.01163</f>
        <v>0</v>
      </c>
      <c r="R12" s="1777">
        <f>'Irl. Energy Balance 2013 (ktoe)'!R12*0.01163</f>
        <v>0</v>
      </c>
      <c r="S12" s="1777">
        <f>'Irl. Energy Balance 2013 (ktoe)'!S12*0.01163</f>
        <v>0</v>
      </c>
      <c r="T12" s="1777">
        <f>'Irl. Energy Balance 2013 (ktoe)'!T12*0.01163</f>
        <v>0</v>
      </c>
      <c r="U12" s="1777">
        <f>'Irl. Energy Balance 2013 (ktoe)'!U12*0.01163</f>
        <v>0</v>
      </c>
      <c r="V12" s="1774">
        <f>'Irl. Energy Balance 2013 (ktoe)'!V12*0.01163</f>
        <v>0</v>
      </c>
      <c r="W12" s="1774">
        <f>'Irl. Energy Balance 2013 (ktoe)'!W12*0.01163</f>
        <v>0</v>
      </c>
      <c r="X12" s="1774">
        <f>'Irl. Energy Balance 2013 (ktoe)'!X12*0.01163</f>
        <v>0</v>
      </c>
      <c r="Y12" s="1777">
        <f>'Irl. Energy Balance 2013 (ktoe)'!Y12*0.01163</f>
        <v>0</v>
      </c>
      <c r="Z12" s="1775">
        <f>'Irl. Energy Balance 2013 (ktoe)'!Z12*0.01163</f>
        <v>0</v>
      </c>
      <c r="AA12" s="1778">
        <f>'Irl. Energy Balance 2013 (ktoe)'!AA12*0.01163</f>
        <v>0</v>
      </c>
      <c r="AB12" s="1779">
        <f>'Irl. Energy Balance 2013 (ktoe)'!AB12*0.01163</f>
        <v>0</v>
      </c>
      <c r="AC12" s="1777">
        <f>'Irl. Energy Balance 2013 (ktoe)'!AC12*0.01163</f>
        <v>0</v>
      </c>
      <c r="AD12" s="1777">
        <f>'Irl. Energy Balance 2013 (ktoe)'!AD12*0.01163</f>
        <v>0</v>
      </c>
      <c r="AE12" s="1777">
        <f>'Irl. Energy Balance 2013 (ktoe)'!AE12*0.01163</f>
        <v>0</v>
      </c>
      <c r="AF12" s="1777">
        <f>'Irl. Energy Balance 2013 (ktoe)'!AF12*0.01163</f>
        <v>0</v>
      </c>
      <c r="AG12" s="1777">
        <f>'Irl. Energy Balance 2013 (ktoe)'!AG12*0.01163</f>
        <v>0</v>
      </c>
      <c r="AH12" s="1776">
        <f>'Irl. Energy Balance 2013 (ktoe)'!AH12*0.01163</f>
        <v>0</v>
      </c>
      <c r="AI12" s="1774">
        <f>'Irl. Energy Balance 2013 (ktoe)'!AI12*0.01163</f>
        <v>0</v>
      </c>
      <c r="AJ12" s="1780">
        <f>'Irl. Energy Balance 2013 (ktoe)'!AJ12*0.01163</f>
        <v>0</v>
      </c>
      <c r="AK12" s="3793">
        <f>'Irl. Energy Balance 2013 (ktoe)'!AK12*0.01163</f>
        <v>0.58529464407580001</v>
      </c>
      <c r="AL12" s="1778">
        <f>'Irl. Energy Balance 2013 (ktoe)'!AL12*0.01163</f>
        <v>0</v>
      </c>
      <c r="AM12" s="3349">
        <f>'Irl. Energy Balance 2013 (ktoe)'!AM12*0.01163</f>
        <v>0.58529464407580001</v>
      </c>
      <c r="AP12"/>
      <c r="AQ12"/>
      <c r="AR12"/>
      <c r="AS12"/>
      <c r="AT12"/>
      <c r="AU12"/>
      <c r="AV12"/>
    </row>
    <row r="13" spans="1:48">
      <c r="A13" s="1769" t="s">
        <v>1382</v>
      </c>
      <c r="B13" s="1770"/>
      <c r="C13" s="1771">
        <f>'Irl. Energy Balance 2013 (ktoe)'!C13*0.01163</f>
        <v>0</v>
      </c>
      <c r="D13" s="1776">
        <f>'Irl. Energy Balance 2013 (ktoe)'!D13*0.01163</f>
        <v>0</v>
      </c>
      <c r="E13" s="1774">
        <f>'Irl. Energy Balance 2013 (ktoe)'!E13*0.01163</f>
        <v>0</v>
      </c>
      <c r="F13" s="1774">
        <f>'Irl. Energy Balance 2013 (ktoe)'!F13*0.01163</f>
        <v>0</v>
      </c>
      <c r="G13" s="1774">
        <f>'Irl. Energy Balance 2013 (ktoe)'!G13*0.01163</f>
        <v>0</v>
      </c>
      <c r="H13" s="1775">
        <f>'Irl. Energy Balance 2013 (ktoe)'!H13*0.01163</f>
        <v>1.5306726376962572</v>
      </c>
      <c r="I13" s="1776">
        <f>'Irl. Energy Balance 2013 (ktoe)'!I13*0.01163</f>
        <v>1.5306726376962572</v>
      </c>
      <c r="J13" s="1777">
        <f>'Irl. Energy Balance 2013 (ktoe)'!J13*0.01163</f>
        <v>0</v>
      </c>
      <c r="K13" s="1777">
        <f>'Irl. Energy Balance 2013 (ktoe)'!K13*0.01163</f>
        <v>0</v>
      </c>
      <c r="L13" s="1775">
        <f>'Irl. Energy Balance 2013 (ktoe)'!L13*0.01163</f>
        <v>0</v>
      </c>
      <c r="M13" s="1777">
        <f>'Irl. Energy Balance 2013 (ktoe)'!M13*0.01163</f>
        <v>0</v>
      </c>
      <c r="N13" s="1777">
        <f>'Irl. Energy Balance 2013 (ktoe)'!N13*0.01163</f>
        <v>0</v>
      </c>
      <c r="O13" s="1777">
        <f>'Irl. Energy Balance 2013 (ktoe)'!O13*0.01163</f>
        <v>0</v>
      </c>
      <c r="P13" s="1777">
        <f>'Irl. Energy Balance 2013 (ktoe)'!P13*0.01163</f>
        <v>0</v>
      </c>
      <c r="Q13" s="1777">
        <f>'Irl. Energy Balance 2013 (ktoe)'!Q13*0.01163</f>
        <v>0</v>
      </c>
      <c r="R13" s="1777">
        <f>'Irl. Energy Balance 2013 (ktoe)'!R13*0.01163</f>
        <v>0</v>
      </c>
      <c r="S13" s="1777">
        <f>'Irl. Energy Balance 2013 (ktoe)'!S13*0.01163</f>
        <v>0</v>
      </c>
      <c r="T13" s="1777">
        <f>'Irl. Energy Balance 2013 (ktoe)'!T13*0.01163</f>
        <v>0</v>
      </c>
      <c r="U13" s="1777">
        <f>'Irl. Energy Balance 2013 (ktoe)'!U13*0.01163</f>
        <v>0</v>
      </c>
      <c r="V13" s="1774">
        <f>'Irl. Energy Balance 2013 (ktoe)'!V13*0.01163</f>
        <v>0</v>
      </c>
      <c r="W13" s="1774">
        <f>'Irl. Energy Balance 2013 (ktoe)'!W13*0.01163</f>
        <v>0</v>
      </c>
      <c r="X13" s="1774">
        <f>'Irl. Energy Balance 2013 (ktoe)'!X13*0.01163</f>
        <v>0</v>
      </c>
      <c r="Y13" s="1777">
        <f>'Irl. Energy Balance 2013 (ktoe)'!Y13*0.01163</f>
        <v>0</v>
      </c>
      <c r="Z13" s="1775">
        <f>'Irl. Energy Balance 2013 (ktoe)'!Z13*0.01163</f>
        <v>0</v>
      </c>
      <c r="AA13" s="1778">
        <f>'Irl. Energy Balance 2013 (ktoe)'!AA13*0.01163</f>
        <v>0</v>
      </c>
      <c r="AB13" s="1779">
        <f>'Irl. Energy Balance 2013 (ktoe)'!AB13*0.01163</f>
        <v>0</v>
      </c>
      <c r="AC13" s="1777">
        <f>'Irl. Energy Balance 2013 (ktoe)'!AC13*0.01163</f>
        <v>0</v>
      </c>
      <c r="AD13" s="1777">
        <f>'Irl. Energy Balance 2013 (ktoe)'!AD13*0.01163</f>
        <v>0</v>
      </c>
      <c r="AE13" s="1777">
        <f>'Irl. Energy Balance 2013 (ktoe)'!AE13*0.01163</f>
        <v>0</v>
      </c>
      <c r="AF13" s="1777">
        <f>'Irl. Energy Balance 2013 (ktoe)'!AF13*0.01163</f>
        <v>0</v>
      </c>
      <c r="AG13" s="1777">
        <f>'Irl. Energy Balance 2013 (ktoe)'!AG13*0.01163</f>
        <v>0</v>
      </c>
      <c r="AH13" s="1776">
        <f>'Irl. Energy Balance 2013 (ktoe)'!AH13*0.01163</f>
        <v>0</v>
      </c>
      <c r="AI13" s="1774">
        <f>'Irl. Energy Balance 2013 (ktoe)'!AI13*0.01163</f>
        <v>0</v>
      </c>
      <c r="AJ13" s="1780">
        <f>'Irl. Energy Balance 2013 (ktoe)'!AJ13*0.01163</f>
        <v>0</v>
      </c>
      <c r="AK13" s="1780">
        <f>'Irl. Energy Balance 2013 (ktoe)'!AK13*0.01163</f>
        <v>0</v>
      </c>
      <c r="AL13" s="1778">
        <f>'Irl. Energy Balance 2013 (ktoe)'!AL13*0.01163</f>
        <v>0</v>
      </c>
      <c r="AM13" s="1782">
        <f>'Irl. Energy Balance 2013 (ktoe)'!AM13*0.01163</f>
        <v>1.5306726376962572</v>
      </c>
      <c r="AP13"/>
      <c r="AQ13"/>
      <c r="AR13"/>
      <c r="AS13"/>
      <c r="AT13"/>
      <c r="AU13"/>
      <c r="AV13"/>
    </row>
    <row r="14" spans="1:48">
      <c r="A14" s="1837" t="s">
        <v>1383</v>
      </c>
      <c r="B14" s="1838"/>
      <c r="C14" s="1839">
        <f>'Irl. Energy Balance 2013 (ktoe)'!C14*0.01163</f>
        <v>0</v>
      </c>
      <c r="D14" s="1840">
        <f>'Irl. Energy Balance 2013 (ktoe)'!D14*0.01163</f>
        <v>0</v>
      </c>
      <c r="E14" s="1841">
        <f>'Irl. Energy Balance 2013 (ktoe)'!E14*0.01163</f>
        <v>0</v>
      </c>
      <c r="F14" s="1842">
        <f>'Irl. Energy Balance 2013 (ktoe)'!F14*0.01163</f>
        <v>0</v>
      </c>
      <c r="G14" s="1842">
        <f>'Irl. Energy Balance 2013 (ktoe)'!G14*0.01163</f>
        <v>0</v>
      </c>
      <c r="H14" s="1843">
        <f>'Irl. Energy Balance 2013 (ktoe)'!H14*0.01163</f>
        <v>0</v>
      </c>
      <c r="I14" s="1840">
        <f>'Irl. Energy Balance 2013 (ktoe)'!I14*0.01163</f>
        <v>0</v>
      </c>
      <c r="J14" s="1841">
        <f>'Irl. Energy Balance 2013 (ktoe)'!J14*0.01163</f>
        <v>0</v>
      </c>
      <c r="K14" s="1841">
        <f>'Irl. Energy Balance 2013 (ktoe)'!K14*0.01163</f>
        <v>0</v>
      </c>
      <c r="L14" s="1843">
        <f>'Irl. Energy Balance 2013 (ktoe)'!L14*0.01163</f>
        <v>33.751874243999993</v>
      </c>
      <c r="M14" s="1841">
        <f>'Irl. Energy Balance 2013 (ktoe)'!M14*0.01163</f>
        <v>33.751874243999993</v>
      </c>
      <c r="N14" s="1841">
        <f>'Irl. Energy Balance 2013 (ktoe)'!N14*0.01163</f>
        <v>0</v>
      </c>
      <c r="O14" s="1841">
        <f>'Irl. Energy Balance 2013 (ktoe)'!O14*0.01163</f>
        <v>0</v>
      </c>
      <c r="P14" s="1841">
        <f>'Irl. Energy Balance 2013 (ktoe)'!P14*0.01163</f>
        <v>0</v>
      </c>
      <c r="Q14" s="1841">
        <f>'Irl. Energy Balance 2013 (ktoe)'!Q14*0.01163</f>
        <v>0</v>
      </c>
      <c r="R14" s="1841">
        <f>'Irl. Energy Balance 2013 (ktoe)'!R14*0.01163</f>
        <v>0</v>
      </c>
      <c r="S14" s="1841">
        <f>'Irl. Energy Balance 2013 (ktoe)'!S14*0.01163</f>
        <v>0</v>
      </c>
      <c r="T14" s="1841">
        <f>'Irl. Energy Balance 2013 (ktoe)'!T14*0.01163</f>
        <v>0</v>
      </c>
      <c r="U14" s="1841">
        <f>'Irl. Energy Balance 2013 (ktoe)'!U14*0.01163</f>
        <v>0</v>
      </c>
      <c r="V14" s="1842">
        <f>'Irl. Energy Balance 2013 (ktoe)'!V14*0.01163</f>
        <v>0</v>
      </c>
      <c r="W14" s="1842">
        <f>'Irl. Energy Balance 2013 (ktoe)'!W14*0.01163</f>
        <v>0</v>
      </c>
      <c r="X14" s="1842">
        <f>'Irl. Energy Balance 2013 (ktoe)'!X14*0.01163</f>
        <v>0</v>
      </c>
      <c r="Y14" s="1841">
        <f>'Irl. Energy Balance 2013 (ktoe)'!Y14*0.01163</f>
        <v>0</v>
      </c>
      <c r="Z14" s="1843">
        <f>'Irl. Energy Balance 2013 (ktoe)'!Z14*0.01163</f>
        <v>0.65917785163973941</v>
      </c>
      <c r="AA14" s="1844">
        <f>'Irl. Energy Balance 2013 (ktoe)'!AA14*0.01163</f>
        <v>0</v>
      </c>
      <c r="AB14" s="1845">
        <f>'Irl. Energy Balance 2013 (ktoe)'!AB14*0.01163</f>
        <v>0</v>
      </c>
      <c r="AC14" s="1841">
        <f>'Irl. Energy Balance 2013 (ktoe)'!AC14*0.01163</f>
        <v>0</v>
      </c>
      <c r="AD14" s="1841">
        <f>'Irl. Energy Balance 2013 (ktoe)'!AD14*0.01163</f>
        <v>0</v>
      </c>
      <c r="AE14" s="1841">
        <f>'Irl. Energy Balance 2013 (ktoe)'!AE14*0.01163</f>
        <v>0</v>
      </c>
      <c r="AF14" s="1841">
        <f>'Irl. Energy Balance 2013 (ktoe)'!AF14*0.01163</f>
        <v>0</v>
      </c>
      <c r="AG14" s="1841">
        <f>'Irl. Energy Balance 2013 (ktoe)'!AG14*0.01163</f>
        <v>0</v>
      </c>
      <c r="AH14" s="1840">
        <f>'Irl. Energy Balance 2013 (ktoe)'!AH14*0.01163</f>
        <v>0</v>
      </c>
      <c r="AI14" s="1842">
        <f>'Irl. Energy Balance 2013 (ktoe)'!AI14*0.01163</f>
        <v>0</v>
      </c>
      <c r="AJ14" s="1846">
        <f>'Irl. Energy Balance 2013 (ktoe)'!AJ14*0.01163</f>
        <v>0</v>
      </c>
      <c r="AK14" s="1846">
        <f>'Irl. Energy Balance 2013 (ktoe)'!AK14*0.01163</f>
        <v>0.20325557942</v>
      </c>
      <c r="AL14" s="1844">
        <f>'Irl. Energy Balance 2013 (ktoe)'!AL14*0.01163</f>
        <v>0</v>
      </c>
      <c r="AM14" s="1847">
        <f>'Irl. Energy Balance 2013 (ktoe)'!AM14*0.01163</f>
        <v>34.614307675059734</v>
      </c>
      <c r="AP14"/>
      <c r="AQ14"/>
      <c r="AR14"/>
      <c r="AS14"/>
      <c r="AT14"/>
      <c r="AU14"/>
      <c r="AV14"/>
    </row>
    <row r="15" spans="1:48">
      <c r="A15" s="1848" t="s">
        <v>1384</v>
      </c>
      <c r="B15" s="1849"/>
      <c r="C15" s="1850">
        <f>'Irl. Energy Balance 2013 (ktoe)'!C15*0.01163</f>
        <v>0</v>
      </c>
      <c r="D15" s="1851">
        <f>'Irl. Energy Balance 2013 (ktoe)'!D15*0.01163</f>
        <v>0</v>
      </c>
      <c r="E15" s="1852">
        <f>'Irl. Energy Balance 2013 (ktoe)'!E15*0.01163</f>
        <v>0</v>
      </c>
      <c r="F15" s="1853">
        <f>'Irl. Energy Balance 2013 (ktoe)'!F15*0.01163</f>
        <v>0</v>
      </c>
      <c r="G15" s="1853">
        <f>'Irl. Energy Balance 2013 (ktoe)'!G15*0.01163</f>
        <v>0</v>
      </c>
      <c r="H15" s="1854">
        <f>'Irl. Energy Balance 2013 (ktoe)'!H15*0.01163</f>
        <v>1.23400283635</v>
      </c>
      <c r="I15" s="1851">
        <f>'Irl. Energy Balance 2013 (ktoe)'!I15*0.01163</f>
        <v>0</v>
      </c>
      <c r="J15" s="1852">
        <f>'Irl. Energy Balance 2013 (ktoe)'!J15*0.01163</f>
        <v>0</v>
      </c>
      <c r="K15" s="1852">
        <f>'Irl. Energy Balance 2013 (ktoe)'!K15*0.01163</f>
        <v>1.23400283635</v>
      </c>
      <c r="L15" s="1854">
        <f>'Irl. Energy Balance 2013 (ktoe)'!L15*0.01163</f>
        <v>34.098476048750314</v>
      </c>
      <c r="M15" s="1852">
        <f>'Irl. Energy Balance 2013 (ktoe)'!M15*0.01163</f>
        <v>0</v>
      </c>
      <c r="N15" s="1852">
        <f>'Irl. Energy Balance 2013 (ktoe)'!N15*0.01163</f>
        <v>0.80348062171784984</v>
      </c>
      <c r="O15" s="1852">
        <f>'Irl. Energy Balance 2013 (ktoe)'!O15*0.01163</f>
        <v>6.546779726850553</v>
      </c>
      <c r="P15" s="1852">
        <f>'Irl. Energy Balance 2013 (ktoe)'!P15*0.01163</f>
        <v>1.2946766645387122</v>
      </c>
      <c r="Q15" s="1852">
        <f>'Irl. Energy Balance 2013 (ktoe)'!Q15*0.01163</f>
        <v>0</v>
      </c>
      <c r="R15" s="1852">
        <f>'Irl. Energy Balance 2013 (ktoe)'!R15*0.01163</f>
        <v>10.663200096903566</v>
      </c>
      <c r="S15" s="1852">
        <f>'Irl. Energy Balance 2013 (ktoe)'!S15*0.01163</f>
        <v>0.82555455516863707</v>
      </c>
      <c r="T15" s="1852">
        <f>'Irl. Energy Balance 2013 (ktoe)'!T15*0.01163</f>
        <v>13.714632697699566</v>
      </c>
      <c r="U15" s="1852">
        <f>'Irl. Energy Balance 2013 (ktoe)'!U15*0.01163</f>
        <v>0</v>
      </c>
      <c r="V15" s="1853">
        <f>'Irl. Energy Balance 2013 (ktoe)'!V15*0.01163</f>
        <v>0.25015168587143111</v>
      </c>
      <c r="W15" s="1853">
        <f>'Irl. Energy Balance 2013 (ktoe)'!W15*0.01163</f>
        <v>0</v>
      </c>
      <c r="X15" s="1853">
        <f>'Irl. Energy Balance 2013 (ktoe)'!X15*0.01163</f>
        <v>0</v>
      </c>
      <c r="Y15" s="1852">
        <f>'Irl. Energy Balance 2013 (ktoe)'!Y15*0.01163</f>
        <v>0</v>
      </c>
      <c r="Z15" s="1854">
        <f>'Irl. Energy Balance 2013 (ktoe)'!Z15*0.01163</f>
        <v>0</v>
      </c>
      <c r="AA15" s="1855">
        <f>'Irl. Energy Balance 2013 (ktoe)'!AA15*0.01163</f>
        <v>0.48115537191083785</v>
      </c>
      <c r="AB15" s="1856">
        <f>'Irl. Energy Balance 2013 (ktoe)'!AB15*0.01163</f>
        <v>0</v>
      </c>
      <c r="AC15" s="1852">
        <f>'Irl. Energy Balance 2013 (ktoe)'!AC15*0.01163</f>
        <v>0</v>
      </c>
      <c r="AD15" s="1852">
        <f>'Irl. Energy Balance 2013 (ktoe)'!AD15*0.01163</f>
        <v>0.29940708127870824</v>
      </c>
      <c r="AE15" s="1857">
        <f>'Irl. Energy Balance 2013 (ktoe)'!AE15*0.01163</f>
        <v>0.15767353545607959</v>
      </c>
      <c r="AF15" s="1857">
        <f>'Irl. Energy Balance 2013 (ktoe)'!AF15*0.01163</f>
        <v>2.4074755176049994E-2</v>
      </c>
      <c r="AG15" s="1857">
        <f>'Irl. Energy Balance 2013 (ktoe)'!AG15*0.01163</f>
        <v>0</v>
      </c>
      <c r="AH15" s="1851">
        <f>'Irl. Energy Balance 2013 (ktoe)'!AH15*0.01163</f>
        <v>0</v>
      </c>
      <c r="AI15" s="1853">
        <f>'Irl. Energy Balance 2013 (ktoe)'!AI15*0.01163</f>
        <v>0</v>
      </c>
      <c r="AJ15" s="1854">
        <f>'Irl. Energy Balance 2013 (ktoe)'!AJ15*0.01163</f>
        <v>6.0628248172293182E-2</v>
      </c>
      <c r="AK15" s="1858">
        <f>'Irl. Energy Balance 2013 (ktoe)'!AK15*0.01163</f>
        <v>21.003910878328096</v>
      </c>
      <c r="AL15" s="1855">
        <f>'Irl. Energy Balance 2013 (ktoe)'!AL15*0.01163</f>
        <v>0</v>
      </c>
      <c r="AM15" s="1859">
        <f>'Irl. Energy Balance 2013 (ktoe)'!AM15*0.01163</f>
        <v>56.878173383511538</v>
      </c>
      <c r="AP15"/>
      <c r="AQ15"/>
      <c r="AR15"/>
      <c r="AS15"/>
      <c r="AT15"/>
      <c r="AU15"/>
      <c r="AV15"/>
    </row>
    <row r="16" spans="1:48">
      <c r="A16" s="1820" t="s">
        <v>1379</v>
      </c>
      <c r="B16" s="1821"/>
      <c r="C16" s="1860">
        <f>'Irl. Energy Balance 2013 (ktoe)'!C16*0.01163</f>
        <v>0</v>
      </c>
      <c r="D16" s="1823">
        <f>'Irl. Energy Balance 2013 (ktoe)'!D16*0.01163</f>
        <v>0</v>
      </c>
      <c r="E16" s="1824">
        <f>'Irl. Energy Balance 2013 (ktoe)'!E16*0.01163</f>
        <v>0</v>
      </c>
      <c r="F16" s="1825">
        <f>'Irl. Energy Balance 2013 (ktoe)'!F16*0.01163</f>
        <v>0</v>
      </c>
      <c r="G16" s="1825">
        <f>'Irl. Energy Balance 2013 (ktoe)'!G16*0.01163</f>
        <v>0</v>
      </c>
      <c r="H16" s="1831">
        <f>'Irl. Energy Balance 2013 (ktoe)'!H16*0.01163</f>
        <v>0</v>
      </c>
      <c r="I16" s="1823">
        <f>'Irl. Energy Balance 2013 (ktoe)'!I16*0.01163</f>
        <v>0</v>
      </c>
      <c r="J16" s="1824">
        <f>'Irl. Energy Balance 2013 (ktoe)'!J16*0.01163</f>
        <v>0</v>
      </c>
      <c r="K16" s="1824">
        <f>'Irl. Energy Balance 2013 (ktoe)'!K16*0.01163</f>
        <v>0</v>
      </c>
      <c r="L16" s="1831">
        <f>'Irl. Energy Balance 2013 (ktoe)'!L16*0.01163</f>
        <v>0</v>
      </c>
      <c r="M16" s="1824">
        <f>'Irl. Energy Balance 2013 (ktoe)'!M16*0.01163</f>
        <v>0</v>
      </c>
      <c r="N16" s="1824">
        <f>'Irl. Energy Balance 2013 (ktoe)'!N16*0.01163</f>
        <v>0</v>
      </c>
      <c r="O16" s="1824">
        <f>'Irl. Energy Balance 2013 (ktoe)'!O16*0.01163</f>
        <v>0</v>
      </c>
      <c r="P16" s="1824">
        <f>'Irl. Energy Balance 2013 (ktoe)'!P16*0.01163</f>
        <v>0</v>
      </c>
      <c r="Q16" s="1824">
        <f>'Irl. Energy Balance 2013 (ktoe)'!Q16*0.01163</f>
        <v>0</v>
      </c>
      <c r="R16" s="1824">
        <f>'Irl. Energy Balance 2013 (ktoe)'!R16*0.01163</f>
        <v>0</v>
      </c>
      <c r="S16" s="1824">
        <f>'Irl. Energy Balance 2013 (ktoe)'!S16*0.01163</f>
        <v>0</v>
      </c>
      <c r="T16" s="1824">
        <f>'Irl. Energy Balance 2013 (ktoe)'!T16*0.01163</f>
        <v>0</v>
      </c>
      <c r="U16" s="1824">
        <f>'Irl. Energy Balance 2013 (ktoe)'!U16*0.01163</f>
        <v>0</v>
      </c>
      <c r="V16" s="1825">
        <f>'Irl. Energy Balance 2013 (ktoe)'!V16*0.01163</f>
        <v>0</v>
      </c>
      <c r="W16" s="1825">
        <f>'Irl. Energy Balance 2013 (ktoe)'!W16*0.01163</f>
        <v>0</v>
      </c>
      <c r="X16" s="1825">
        <f>'Irl. Energy Balance 2013 (ktoe)'!X16*0.01163</f>
        <v>0</v>
      </c>
      <c r="Y16" s="1824" t="e">
        <f>'Irl. Energy Balance 2013 (ktoe)'!Y16*0.01163</f>
        <v>#VALUE!</v>
      </c>
      <c r="Z16" s="1831">
        <f>'Irl. Energy Balance 2013 (ktoe)'!Z16*0.01163</f>
        <v>0</v>
      </c>
      <c r="AA16" s="1827">
        <f>'Irl. Energy Balance 2013 (ktoe)'!AA16*0.01163</f>
        <v>0.44163359277086783</v>
      </c>
      <c r="AB16" s="1828">
        <f>'Irl. Energy Balance 2013 (ktoe)'!AB16*0.01163</f>
        <v>0</v>
      </c>
      <c r="AC16" s="1824">
        <f>'Irl. Energy Balance 2013 (ktoe)'!AC16*0.01163</f>
        <v>0</v>
      </c>
      <c r="AD16" s="1824">
        <f>'Irl. Energy Balance 2013 (ktoe)'!AD16*0.01163</f>
        <v>0.28396005731478824</v>
      </c>
      <c r="AE16" s="1835">
        <f>'Irl. Energy Balance 2013 (ktoe)'!AE16*0.01163</f>
        <v>0.15767353545607959</v>
      </c>
      <c r="AF16" s="1835">
        <f>'Irl. Energy Balance 2013 (ktoe)'!AF16*0.01163</f>
        <v>0</v>
      </c>
      <c r="AG16" s="1835" t="e">
        <f>'Irl. Energy Balance 2013 (ktoe)'!AG16*0.01163</f>
        <v>#VALUE!</v>
      </c>
      <c r="AH16" s="1823">
        <f>'Irl. Energy Balance 2013 (ktoe)'!AH16*0.01163</f>
        <v>0</v>
      </c>
      <c r="AI16" s="1825">
        <f>'Irl. Energy Balance 2013 (ktoe)'!AI16*0.01163</f>
        <v>0</v>
      </c>
      <c r="AJ16" s="1861">
        <f>'Irl. Energy Balance 2013 (ktoe)'!AJ16*0.01163</f>
        <v>6.0628248172293182E-2</v>
      </c>
      <c r="AK16" s="1861">
        <f>'Irl. Energy Balance 2013 (ktoe)'!AK16*0.01163</f>
        <v>18.602027383329975</v>
      </c>
      <c r="AL16" s="1827">
        <f>'Irl. Energy Balance 2013 (ktoe)'!AL16*0.01163</f>
        <v>0</v>
      </c>
      <c r="AM16" s="1862">
        <f>'Irl. Energy Balance 2013 (ktoe)'!AM16*0.01163</f>
        <v>18.602027383329975</v>
      </c>
      <c r="AP16"/>
      <c r="AQ16"/>
      <c r="AR16"/>
      <c r="AS16"/>
      <c r="AT16"/>
      <c r="AU16"/>
      <c r="AV16"/>
    </row>
    <row r="17" spans="1:48">
      <c r="A17" s="1769" t="s">
        <v>1385</v>
      </c>
      <c r="B17" s="1770"/>
      <c r="C17" s="1771">
        <f>'Irl. Energy Balance 2013 (ktoe)'!C17*0.01163</f>
        <v>0</v>
      </c>
      <c r="D17" s="1776">
        <f>'Irl. Energy Balance 2013 (ktoe)'!D17*0.01163</f>
        <v>0</v>
      </c>
      <c r="E17" s="1777">
        <f>'Irl. Energy Balance 2013 (ktoe)'!E17*0.01163</f>
        <v>0</v>
      </c>
      <c r="F17" s="1774">
        <f>'Irl. Energy Balance 2013 (ktoe)'!F17*0.01163</f>
        <v>0</v>
      </c>
      <c r="G17" s="1774">
        <f>'Irl. Energy Balance 2013 (ktoe)'!G17*0.01163</f>
        <v>0</v>
      </c>
      <c r="H17" s="1775">
        <f>'Irl. Energy Balance 2013 (ktoe)'!H17*0.01163</f>
        <v>0</v>
      </c>
      <c r="I17" s="1776">
        <f>'Irl. Energy Balance 2013 (ktoe)'!I17*0.01163</f>
        <v>0</v>
      </c>
      <c r="J17" s="1777">
        <f>'Irl. Energy Balance 2013 (ktoe)'!J17*0.01163</f>
        <v>0</v>
      </c>
      <c r="K17" s="1777">
        <f>'Irl. Energy Balance 2013 (ktoe)'!K17*0.01163</f>
        <v>0</v>
      </c>
      <c r="L17" s="1775">
        <f>'Irl. Energy Balance 2013 (ktoe)'!L17*0.01163</f>
        <v>0</v>
      </c>
      <c r="M17" s="1777">
        <f>'Irl. Energy Balance 2013 (ktoe)'!M17*0.01163</f>
        <v>0</v>
      </c>
      <c r="N17" s="1777">
        <f>'Irl. Energy Balance 2013 (ktoe)'!N17*0.01163</f>
        <v>0</v>
      </c>
      <c r="O17" s="1777">
        <f>'Irl. Energy Balance 2013 (ktoe)'!O17*0.01163</f>
        <v>0</v>
      </c>
      <c r="P17" s="1777">
        <f>'Irl. Energy Balance 2013 (ktoe)'!P17*0.01163</f>
        <v>0</v>
      </c>
      <c r="Q17" s="1777">
        <f>'Irl. Energy Balance 2013 (ktoe)'!Q17*0.01163</f>
        <v>0</v>
      </c>
      <c r="R17" s="1777">
        <f>'Irl. Energy Balance 2013 (ktoe)'!R17*0.01163</f>
        <v>0</v>
      </c>
      <c r="S17" s="1777">
        <f>'Irl. Energy Balance 2013 (ktoe)'!S17*0.01163</f>
        <v>0</v>
      </c>
      <c r="T17" s="1777">
        <f>'Irl. Energy Balance 2013 (ktoe)'!T17*0.01163</f>
        <v>0</v>
      </c>
      <c r="U17" s="1777">
        <f>'Irl. Energy Balance 2013 (ktoe)'!U17*0.01163</f>
        <v>0</v>
      </c>
      <c r="V17" s="1774">
        <f>'Irl. Energy Balance 2013 (ktoe)'!V17*0.01163</f>
        <v>0</v>
      </c>
      <c r="W17" s="1774">
        <f>'Irl. Energy Balance 2013 (ktoe)'!W17*0.01163</f>
        <v>0</v>
      </c>
      <c r="X17" s="1774">
        <f>'Irl. Energy Balance 2013 (ktoe)'!X17*0.01163</f>
        <v>0</v>
      </c>
      <c r="Y17" s="1777">
        <f>'Irl. Energy Balance 2013 (ktoe)'!Y17*0.01163</f>
        <v>0</v>
      </c>
      <c r="Z17" s="1775">
        <f>'Irl. Energy Balance 2013 (ktoe)'!Z17*0.01163</f>
        <v>0</v>
      </c>
      <c r="AA17" s="1778">
        <f>'Irl. Energy Balance 2013 (ktoe)'!AA17*0.01163</f>
        <v>3.9521779139969994E-2</v>
      </c>
      <c r="AB17" s="1779">
        <f>'Irl. Energy Balance 2013 (ktoe)'!AB17*0.01163</f>
        <v>0</v>
      </c>
      <c r="AC17" s="1777">
        <f>'Irl. Energy Balance 2013 (ktoe)'!AC17*0.01163</f>
        <v>0</v>
      </c>
      <c r="AD17" s="1777">
        <f>'Irl. Energy Balance 2013 (ktoe)'!AD17*0.01163</f>
        <v>1.5447023963919998E-2</v>
      </c>
      <c r="AE17" s="1777">
        <f>'Irl. Energy Balance 2013 (ktoe)'!AE17*0.01163</f>
        <v>0</v>
      </c>
      <c r="AF17" s="1777">
        <f>'Irl. Energy Balance 2013 (ktoe)'!AF17*0.01163</f>
        <v>2.4074755176049994E-2</v>
      </c>
      <c r="AG17" s="1777">
        <f>'Irl. Energy Balance 2013 (ktoe)'!AG17*0.01163</f>
        <v>0</v>
      </c>
      <c r="AH17" s="1776">
        <f>'Irl. Energy Balance 2013 (ktoe)'!AH17*0.01163</f>
        <v>0</v>
      </c>
      <c r="AI17" s="1774">
        <f>'Irl. Energy Balance 2013 (ktoe)'!AI17*0.01163</f>
        <v>0</v>
      </c>
      <c r="AJ17" s="1780">
        <f>'Irl. Energy Balance 2013 (ktoe)'!AJ17*0.01163</f>
        <v>0</v>
      </c>
      <c r="AK17" s="1863">
        <f>'Irl. Energy Balance 2013 (ktoe)'!AK17*0.01163</f>
        <v>2.0570936665901844</v>
      </c>
      <c r="AL17" s="1778">
        <f>'Irl. Energy Balance 2013 (ktoe)'!AL17*0.01163</f>
        <v>0</v>
      </c>
      <c r="AM17" s="1782">
        <f>'Irl. Energy Balance 2013 (ktoe)'!AM17*0.01163</f>
        <v>2.0570936665901844</v>
      </c>
      <c r="AP17"/>
      <c r="AQ17"/>
      <c r="AR17"/>
      <c r="AS17"/>
      <c r="AT17"/>
      <c r="AU17"/>
      <c r="AV17"/>
    </row>
    <row r="18" spans="1:48">
      <c r="A18" s="1769" t="s">
        <v>1386</v>
      </c>
      <c r="B18" s="1770"/>
      <c r="C18" s="1771">
        <f>'Irl. Energy Balance 2013 (ktoe)'!C18*0.01163</f>
        <v>0</v>
      </c>
      <c r="D18" s="1776">
        <f>'Irl. Energy Balance 2013 (ktoe)'!D18*0.01163</f>
        <v>0</v>
      </c>
      <c r="E18" s="1777">
        <f>'Irl. Energy Balance 2013 (ktoe)'!E18*0.01163</f>
        <v>0</v>
      </c>
      <c r="F18" s="1774">
        <f>'Irl. Energy Balance 2013 (ktoe)'!F18*0.01163</f>
        <v>0</v>
      </c>
      <c r="G18" s="1774">
        <f>'Irl. Energy Balance 2013 (ktoe)'!G18*0.01163</f>
        <v>0</v>
      </c>
      <c r="H18" s="1775">
        <f>'Irl. Energy Balance 2013 (ktoe)'!H18*0.01163</f>
        <v>0</v>
      </c>
      <c r="I18" s="1776">
        <f>'Irl. Energy Balance 2013 (ktoe)'!I18*0.01163</f>
        <v>0</v>
      </c>
      <c r="J18" s="1777">
        <f>'Irl. Energy Balance 2013 (ktoe)'!J18*0.01163</f>
        <v>0</v>
      </c>
      <c r="K18" s="1777">
        <f>'Irl. Energy Balance 2013 (ktoe)'!K18*0.01163</f>
        <v>0</v>
      </c>
      <c r="L18" s="1775">
        <f>'Irl. Energy Balance 2013 (ktoe)'!L18*0.01163</f>
        <v>0</v>
      </c>
      <c r="M18" s="1777">
        <f>'Irl. Energy Balance 2013 (ktoe)'!M18*0.01163</f>
        <v>0</v>
      </c>
      <c r="N18" s="1777">
        <f>'Irl. Energy Balance 2013 (ktoe)'!N18*0.01163</f>
        <v>0</v>
      </c>
      <c r="O18" s="1777">
        <f>'Irl. Energy Balance 2013 (ktoe)'!O18*0.01163</f>
        <v>0</v>
      </c>
      <c r="P18" s="1777">
        <f>'Irl. Energy Balance 2013 (ktoe)'!P18*0.01163</f>
        <v>0</v>
      </c>
      <c r="Q18" s="1777">
        <f>'Irl. Energy Balance 2013 (ktoe)'!Q18*0.01163</f>
        <v>0</v>
      </c>
      <c r="R18" s="1777">
        <f>'Irl. Energy Balance 2013 (ktoe)'!R18*0.01163</f>
        <v>0</v>
      </c>
      <c r="S18" s="1777">
        <f>'Irl. Energy Balance 2013 (ktoe)'!S18*0.01163</f>
        <v>0</v>
      </c>
      <c r="T18" s="1777">
        <f>'Irl. Energy Balance 2013 (ktoe)'!T18*0.01163</f>
        <v>0</v>
      </c>
      <c r="U18" s="1777">
        <f>'Irl. Energy Balance 2013 (ktoe)'!U18*0.01163</f>
        <v>0</v>
      </c>
      <c r="V18" s="1774">
        <f>'Irl. Energy Balance 2013 (ktoe)'!V18*0.01163</f>
        <v>0</v>
      </c>
      <c r="W18" s="1774">
        <f>'Irl. Energy Balance 2013 (ktoe)'!W18*0.01163</f>
        <v>0</v>
      </c>
      <c r="X18" s="1774">
        <f>'Irl. Energy Balance 2013 (ktoe)'!X18*0.01163</f>
        <v>0</v>
      </c>
      <c r="Y18" s="1777">
        <f>'Irl. Energy Balance 2013 (ktoe)'!Y18*0.01163</f>
        <v>0</v>
      </c>
      <c r="Z18" s="1775">
        <f>'Irl. Energy Balance 2013 (ktoe)'!Z18*0.01163</f>
        <v>0</v>
      </c>
      <c r="AA18" s="1778">
        <f>'Irl. Energy Balance 2013 (ktoe)'!AA18*0.01163</f>
        <v>0</v>
      </c>
      <c r="AB18" s="1779">
        <f>'Irl. Energy Balance 2013 (ktoe)'!AB18*0.01163</f>
        <v>0</v>
      </c>
      <c r="AC18" s="1777">
        <f>'Irl. Energy Balance 2013 (ktoe)'!AC18*0.01163</f>
        <v>0</v>
      </c>
      <c r="AD18" s="1777">
        <f>'Irl. Energy Balance 2013 (ktoe)'!AD18*0.01163</f>
        <v>0</v>
      </c>
      <c r="AE18" s="1777">
        <f>'Irl. Energy Balance 2013 (ktoe)'!AE18*0.01163</f>
        <v>0</v>
      </c>
      <c r="AF18" s="1777">
        <f>'Irl. Energy Balance 2013 (ktoe)'!AF18*0.01163</f>
        <v>0</v>
      </c>
      <c r="AG18" s="1777">
        <f>'Irl. Energy Balance 2013 (ktoe)'!AG18*0.01163</f>
        <v>0</v>
      </c>
      <c r="AH18" s="1776">
        <f>'Irl. Energy Balance 2013 (ktoe)'!AH18*0.01163</f>
        <v>0</v>
      </c>
      <c r="AI18" s="1774">
        <f>'Irl. Energy Balance 2013 (ktoe)'!AI18*0.01163</f>
        <v>0</v>
      </c>
      <c r="AJ18" s="1780">
        <f>'Irl. Energy Balance 2013 (ktoe)'!AJ18*0.01163</f>
        <v>0</v>
      </c>
      <c r="AK18" s="1780">
        <f>'Irl. Energy Balance 2013 (ktoe)'!AK18*0.01163</f>
        <v>0</v>
      </c>
      <c r="AL18" s="1778">
        <f>'Irl. Energy Balance 2013 (ktoe)'!AL18*0.01163</f>
        <v>0</v>
      </c>
      <c r="AM18" s="1782">
        <f>'Irl. Energy Balance 2013 (ktoe)'!AM18*0.01163</f>
        <v>0</v>
      </c>
      <c r="AP18"/>
      <c r="AQ18"/>
      <c r="AR18"/>
      <c r="AS18"/>
      <c r="AT18"/>
      <c r="AU18"/>
      <c r="AV18"/>
    </row>
    <row r="19" spans="1:48">
      <c r="A19" s="1769" t="s">
        <v>1387</v>
      </c>
      <c r="B19" s="1770"/>
      <c r="C19" s="1771">
        <f>'Irl. Energy Balance 2013 (ktoe)'!C19*0.01163</f>
        <v>0</v>
      </c>
      <c r="D19" s="1776">
        <f>'Irl. Energy Balance 2013 (ktoe)'!D19*0.01163</f>
        <v>0</v>
      </c>
      <c r="E19" s="1777">
        <f>'Irl. Energy Balance 2013 (ktoe)'!E19*0.01163</f>
        <v>0</v>
      </c>
      <c r="F19" s="1774">
        <f>'Irl. Energy Balance 2013 (ktoe)'!F19*0.01163</f>
        <v>0</v>
      </c>
      <c r="G19" s="1774">
        <f>'Irl. Energy Balance 2013 (ktoe)'!G19*0.01163</f>
        <v>0</v>
      </c>
      <c r="H19" s="1775">
        <f>'Irl. Energy Balance 2013 (ktoe)'!H19*0.01163</f>
        <v>0</v>
      </c>
      <c r="I19" s="1776">
        <f>'Irl. Energy Balance 2013 (ktoe)'!I19*0.01163</f>
        <v>0</v>
      </c>
      <c r="J19" s="1777">
        <f>'Irl. Energy Balance 2013 (ktoe)'!J19*0.01163</f>
        <v>0</v>
      </c>
      <c r="K19" s="1777">
        <f>'Irl. Energy Balance 2013 (ktoe)'!K19*0.01163</f>
        <v>0</v>
      </c>
      <c r="L19" s="1775">
        <f>'Irl. Energy Balance 2013 (ktoe)'!L19*0.01163</f>
        <v>0</v>
      </c>
      <c r="M19" s="1777">
        <f>'Irl. Energy Balance 2013 (ktoe)'!M19*0.01163</f>
        <v>0</v>
      </c>
      <c r="N19" s="1777">
        <f>'Irl. Energy Balance 2013 (ktoe)'!N19*0.01163</f>
        <v>0</v>
      </c>
      <c r="O19" s="1777">
        <f>'Irl. Energy Balance 2013 (ktoe)'!O19*0.01163</f>
        <v>0</v>
      </c>
      <c r="P19" s="1777">
        <f>'Irl. Energy Balance 2013 (ktoe)'!P19*0.01163</f>
        <v>0</v>
      </c>
      <c r="Q19" s="1777">
        <f>'Irl. Energy Balance 2013 (ktoe)'!Q19*0.01163</f>
        <v>0</v>
      </c>
      <c r="R19" s="1777">
        <f>'Irl. Energy Balance 2013 (ktoe)'!R19*0.01163</f>
        <v>0</v>
      </c>
      <c r="S19" s="1777">
        <f>'Irl. Energy Balance 2013 (ktoe)'!S19*0.01163</f>
        <v>0</v>
      </c>
      <c r="T19" s="1777">
        <f>'Irl. Energy Balance 2013 (ktoe)'!T19*0.01163</f>
        <v>0</v>
      </c>
      <c r="U19" s="1777">
        <f>'Irl. Energy Balance 2013 (ktoe)'!U19*0.01163</f>
        <v>0</v>
      </c>
      <c r="V19" s="1774">
        <f>'Irl. Energy Balance 2013 (ktoe)'!V19*0.01163</f>
        <v>0</v>
      </c>
      <c r="W19" s="1774">
        <f>'Irl. Energy Balance 2013 (ktoe)'!W19*0.01163</f>
        <v>0</v>
      </c>
      <c r="X19" s="1774">
        <f>'Irl. Energy Balance 2013 (ktoe)'!X19*0.01163</f>
        <v>0</v>
      </c>
      <c r="Y19" s="1777">
        <f>'Irl. Energy Balance 2013 (ktoe)'!Y19*0.01163</f>
        <v>0</v>
      </c>
      <c r="Z19" s="1775">
        <f>'Irl. Energy Balance 2013 (ktoe)'!Z19*0.01163</f>
        <v>0</v>
      </c>
      <c r="AA19" s="1778">
        <f>'Irl. Energy Balance 2013 (ktoe)'!AA19*0.01163</f>
        <v>0</v>
      </c>
      <c r="AB19" s="1779">
        <f>'Irl. Energy Balance 2013 (ktoe)'!AB19*0.01163</f>
        <v>0</v>
      </c>
      <c r="AC19" s="1777">
        <f>'Irl. Energy Balance 2013 (ktoe)'!AC19*0.01163</f>
        <v>0</v>
      </c>
      <c r="AD19" s="1777">
        <f>'Irl. Energy Balance 2013 (ktoe)'!AD19*0.01163</f>
        <v>0</v>
      </c>
      <c r="AE19" s="1777">
        <f>'Irl. Energy Balance 2013 (ktoe)'!AE19*0.01163</f>
        <v>0</v>
      </c>
      <c r="AF19" s="1777">
        <f>'Irl. Energy Balance 2013 (ktoe)'!AF19*0.01163</f>
        <v>0</v>
      </c>
      <c r="AG19" s="1777">
        <f>'Irl. Energy Balance 2013 (ktoe)'!AG19*0.01163</f>
        <v>0</v>
      </c>
      <c r="AH19" s="1776">
        <f>'Irl. Energy Balance 2013 (ktoe)'!AH19*0.01163</f>
        <v>0</v>
      </c>
      <c r="AI19" s="1774">
        <f>'Irl. Energy Balance 2013 (ktoe)'!AI19*0.01163</f>
        <v>0</v>
      </c>
      <c r="AJ19" s="1780">
        <f>'Irl. Energy Balance 2013 (ktoe)'!AJ19*0.01163</f>
        <v>0</v>
      </c>
      <c r="AK19" s="3793">
        <f>'Irl. Energy Balance 2013 (ktoe)'!AK19*0.01163</f>
        <v>0.34478982840793343</v>
      </c>
      <c r="AL19" s="1778">
        <f>'Irl. Energy Balance 2013 (ktoe)'!AL19*0.01163</f>
        <v>0</v>
      </c>
      <c r="AM19" s="3349">
        <f>'Irl. Energy Balance 2013 (ktoe)'!AM19*0.01163</f>
        <v>0.34478982840793343</v>
      </c>
      <c r="AP19"/>
      <c r="AQ19"/>
      <c r="AR19"/>
      <c r="AS19"/>
      <c r="AT19"/>
      <c r="AU19"/>
      <c r="AV19"/>
    </row>
    <row r="20" spans="1:48">
      <c r="A20" s="1769" t="s">
        <v>1382</v>
      </c>
      <c r="B20" s="1770"/>
      <c r="C20" s="1771">
        <f>'Irl. Energy Balance 2013 (ktoe)'!C20*0.01163</f>
        <v>0</v>
      </c>
      <c r="D20" s="1864">
        <f>'Irl. Energy Balance 2013 (ktoe)'!D20*0.01163</f>
        <v>0</v>
      </c>
      <c r="E20" s="1777">
        <f>'Irl. Energy Balance 2013 (ktoe)'!E20*0.01163</f>
        <v>0</v>
      </c>
      <c r="F20" s="1774">
        <f>'Irl. Energy Balance 2013 (ktoe)'!F20*0.01163</f>
        <v>0</v>
      </c>
      <c r="G20" s="1774">
        <f>'Irl. Energy Balance 2013 (ktoe)'!G20*0.01163</f>
        <v>0</v>
      </c>
      <c r="H20" s="1775">
        <f>'Irl. Energy Balance 2013 (ktoe)'!H20*0.01163</f>
        <v>1.23400283635</v>
      </c>
      <c r="I20" s="1776">
        <f>'Irl. Energy Balance 2013 (ktoe)'!I20*0.01163</f>
        <v>0</v>
      </c>
      <c r="J20" s="1777">
        <f>'Irl. Energy Balance 2013 (ktoe)'!J20*0.01163</f>
        <v>0</v>
      </c>
      <c r="K20" s="1777">
        <f>'Irl. Energy Balance 2013 (ktoe)'!K20*0.01163</f>
        <v>1.23400283635</v>
      </c>
      <c r="L20" s="1775">
        <f>'Irl. Energy Balance 2013 (ktoe)'!L20*0.01163</f>
        <v>0</v>
      </c>
      <c r="M20" s="1777">
        <f>'Irl. Energy Balance 2013 (ktoe)'!M20*0.01163</f>
        <v>0</v>
      </c>
      <c r="N20" s="1777">
        <f>'Irl. Energy Balance 2013 (ktoe)'!N20*0.01163</f>
        <v>0</v>
      </c>
      <c r="O20" s="1777">
        <f>'Irl. Energy Balance 2013 (ktoe)'!O20*0.01163</f>
        <v>0</v>
      </c>
      <c r="P20" s="1777">
        <f>'Irl. Energy Balance 2013 (ktoe)'!P20*0.01163</f>
        <v>0</v>
      </c>
      <c r="Q20" s="1777">
        <f>'Irl. Energy Balance 2013 (ktoe)'!Q20*0.01163</f>
        <v>0</v>
      </c>
      <c r="R20" s="1777">
        <f>'Irl. Energy Balance 2013 (ktoe)'!R20*0.01163</f>
        <v>0</v>
      </c>
      <c r="S20" s="1777">
        <f>'Irl. Energy Balance 2013 (ktoe)'!S20*0.01163</f>
        <v>0</v>
      </c>
      <c r="T20" s="1777">
        <f>'Irl. Energy Balance 2013 (ktoe)'!T20*0.01163</f>
        <v>0</v>
      </c>
      <c r="U20" s="1777">
        <f>'Irl. Energy Balance 2013 (ktoe)'!U20*0.01163</f>
        <v>0</v>
      </c>
      <c r="V20" s="1774">
        <f>'Irl. Energy Balance 2013 (ktoe)'!V20*0.01163</f>
        <v>0</v>
      </c>
      <c r="W20" s="1774">
        <f>'Irl. Energy Balance 2013 (ktoe)'!W20*0.01163</f>
        <v>0</v>
      </c>
      <c r="X20" s="1774">
        <f>'Irl. Energy Balance 2013 (ktoe)'!X20*0.01163</f>
        <v>0</v>
      </c>
      <c r="Y20" s="1777">
        <f>'Irl. Energy Balance 2013 (ktoe)'!Y20*0.01163</f>
        <v>0</v>
      </c>
      <c r="Z20" s="1775">
        <f>'Irl. Energy Balance 2013 (ktoe)'!Z20*0.01163</f>
        <v>0</v>
      </c>
      <c r="AA20" s="1778">
        <f>'Irl. Energy Balance 2013 (ktoe)'!AA20*0.01163</f>
        <v>0</v>
      </c>
      <c r="AB20" s="1779">
        <f>'Irl. Energy Balance 2013 (ktoe)'!AB20*0.01163</f>
        <v>0</v>
      </c>
      <c r="AC20" s="1777">
        <f>'Irl. Energy Balance 2013 (ktoe)'!AC20*0.01163</f>
        <v>0</v>
      </c>
      <c r="AD20" s="1777">
        <f>'Irl. Energy Balance 2013 (ktoe)'!AD20*0.01163</f>
        <v>0</v>
      </c>
      <c r="AE20" s="1777">
        <f>'Irl. Energy Balance 2013 (ktoe)'!AE20*0.01163</f>
        <v>0</v>
      </c>
      <c r="AF20" s="1777" t="e">
        <f>'Irl. Energy Balance 2013 (ktoe)'!AF20*0.01163</f>
        <v>#VALUE!</v>
      </c>
      <c r="AG20" s="1777">
        <f>'Irl. Energy Balance 2013 (ktoe)'!AG20*0.01163</f>
        <v>0</v>
      </c>
      <c r="AH20" s="1776">
        <f>'Irl. Energy Balance 2013 (ktoe)'!AH20*0.01163</f>
        <v>0</v>
      </c>
      <c r="AI20" s="1774">
        <f>'Irl. Energy Balance 2013 (ktoe)'!AI20*0.01163</f>
        <v>0</v>
      </c>
      <c r="AJ20" s="1780">
        <f>'Irl. Energy Balance 2013 (ktoe)'!AJ20*0.01163</f>
        <v>0</v>
      </c>
      <c r="AK20" s="1780">
        <f>'Irl. Energy Balance 2013 (ktoe)'!AK20*0.01163</f>
        <v>0</v>
      </c>
      <c r="AL20" s="1778">
        <f>'Irl. Energy Balance 2013 (ktoe)'!AL20*0.01163</f>
        <v>0</v>
      </c>
      <c r="AM20" s="1782">
        <f>'Irl. Energy Balance 2013 (ktoe)'!AM20*0.01163</f>
        <v>1.23400283635</v>
      </c>
      <c r="AP20"/>
      <c r="AQ20"/>
      <c r="AR20"/>
      <c r="AS20"/>
      <c r="AT20"/>
      <c r="AU20"/>
      <c r="AV20"/>
    </row>
    <row r="21" spans="1:48">
      <c r="A21" s="1837" t="s">
        <v>1388</v>
      </c>
      <c r="B21" s="1838"/>
      <c r="C21" s="1839">
        <f>'Irl. Energy Balance 2013 (ktoe)'!C21*0.01163</f>
        <v>0</v>
      </c>
      <c r="D21" s="1840">
        <f>'Irl. Energy Balance 2013 (ktoe)'!D21*0.01163</f>
        <v>0</v>
      </c>
      <c r="E21" s="1841">
        <f>'Irl. Energy Balance 2013 (ktoe)'!E21*0.01163</f>
        <v>0</v>
      </c>
      <c r="F21" s="1842">
        <f>'Irl. Energy Balance 2013 (ktoe)'!F21*0.01163</f>
        <v>0</v>
      </c>
      <c r="G21" s="1842">
        <f>'Irl. Energy Balance 2013 (ktoe)'!G21*0.01163</f>
        <v>0</v>
      </c>
      <c r="H21" s="1843">
        <f>'Irl. Energy Balance 2013 (ktoe)'!H21*0.01163</f>
        <v>0</v>
      </c>
      <c r="I21" s="1840">
        <f>'Irl. Energy Balance 2013 (ktoe)'!I21*0.01163</f>
        <v>0</v>
      </c>
      <c r="J21" s="1841">
        <f>'Irl. Energy Balance 2013 (ktoe)'!J21*0.01163</f>
        <v>0</v>
      </c>
      <c r="K21" s="1841">
        <f>'Irl. Energy Balance 2013 (ktoe)'!K21*0.01163</f>
        <v>0</v>
      </c>
      <c r="L21" s="1843">
        <f>'Irl. Energy Balance 2013 (ktoe)'!L21*0.01163</f>
        <v>34.098476048750314</v>
      </c>
      <c r="M21" s="1841">
        <f>'Irl. Energy Balance 2013 (ktoe)'!M21*0.01163</f>
        <v>0</v>
      </c>
      <c r="N21" s="1841">
        <f>'Irl. Energy Balance 2013 (ktoe)'!N21*0.01163</f>
        <v>0.80348062171784984</v>
      </c>
      <c r="O21" s="1841">
        <f>'Irl. Energy Balance 2013 (ktoe)'!O21*0.01163</f>
        <v>6.546779726850553</v>
      </c>
      <c r="P21" s="1841">
        <f>'Irl. Energy Balance 2013 (ktoe)'!P21*0.01163</f>
        <v>1.2946766645387122</v>
      </c>
      <c r="Q21" s="1841">
        <f>'Irl. Energy Balance 2013 (ktoe)'!Q21*0.01163</f>
        <v>0</v>
      </c>
      <c r="R21" s="1841">
        <f>'Irl. Energy Balance 2013 (ktoe)'!R21*0.01163</f>
        <v>10.663200096903566</v>
      </c>
      <c r="S21" s="1841">
        <f>'Irl. Energy Balance 2013 (ktoe)'!S21*0.01163</f>
        <v>0.82555455516863707</v>
      </c>
      <c r="T21" s="1841">
        <f>'Irl. Energy Balance 2013 (ktoe)'!T21*0.01163</f>
        <v>13.714632697699566</v>
      </c>
      <c r="U21" s="1841">
        <f>'Irl. Energy Balance 2013 (ktoe)'!U21*0.01163</f>
        <v>0</v>
      </c>
      <c r="V21" s="1842">
        <f>'Irl. Energy Balance 2013 (ktoe)'!V21*0.01163</f>
        <v>0.25015168587143111</v>
      </c>
      <c r="W21" s="1842">
        <f>'Irl. Energy Balance 2013 (ktoe)'!W21*0.01163</f>
        <v>0</v>
      </c>
      <c r="X21" s="1842">
        <f>'Irl. Energy Balance 2013 (ktoe)'!X21*0.01163</f>
        <v>0</v>
      </c>
      <c r="Y21" s="1841">
        <f>'Irl. Energy Balance 2013 (ktoe)'!Y21*0.01163</f>
        <v>0</v>
      </c>
      <c r="Z21" s="1843">
        <f>'Irl. Energy Balance 2013 (ktoe)'!Z21*0.01163</f>
        <v>0</v>
      </c>
      <c r="AA21" s="1844">
        <f>'Irl. Energy Balance 2013 (ktoe)'!AA21*0.01163</f>
        <v>0</v>
      </c>
      <c r="AB21" s="1845">
        <f>'Irl. Energy Balance 2013 (ktoe)'!AB21*0.01163</f>
        <v>0</v>
      </c>
      <c r="AC21" s="1841">
        <f>'Irl. Energy Balance 2013 (ktoe)'!AC21*0.01163</f>
        <v>0</v>
      </c>
      <c r="AD21" s="1841">
        <f>'Irl. Energy Balance 2013 (ktoe)'!AD21*0.01163</f>
        <v>0</v>
      </c>
      <c r="AE21" s="1841">
        <f>'Irl. Energy Balance 2013 (ktoe)'!AE21*0.01163</f>
        <v>0</v>
      </c>
      <c r="AF21" s="1841">
        <f>'Irl. Energy Balance 2013 (ktoe)'!AF21*0.01163</f>
        <v>0</v>
      </c>
      <c r="AG21" s="1841">
        <f>'Irl. Energy Balance 2013 (ktoe)'!AG21*0.01163</f>
        <v>0</v>
      </c>
      <c r="AH21" s="1840">
        <f>'Irl. Energy Balance 2013 (ktoe)'!AH21*0.01163</f>
        <v>0</v>
      </c>
      <c r="AI21" s="1842">
        <f>'Irl. Energy Balance 2013 (ktoe)'!AI21*0.01163</f>
        <v>0</v>
      </c>
      <c r="AJ21" s="1846">
        <f>'Irl. Energy Balance 2013 (ktoe)'!AJ21*0.01163</f>
        <v>0</v>
      </c>
      <c r="AK21" s="1846">
        <f>'Irl. Energy Balance 2013 (ktoe)'!AK21*0.01163</f>
        <v>0</v>
      </c>
      <c r="AL21" s="1844">
        <f>'Irl. Energy Balance 2013 (ktoe)'!AL21*0.01163</f>
        <v>0</v>
      </c>
      <c r="AM21" s="1847">
        <f>'Irl. Energy Balance 2013 (ktoe)'!AM21*0.01163</f>
        <v>34.098476048750314</v>
      </c>
      <c r="AP21"/>
      <c r="AQ21"/>
      <c r="AR21"/>
      <c r="AS21"/>
      <c r="AT21"/>
      <c r="AU21"/>
      <c r="AV21"/>
    </row>
    <row r="22" spans="1:48">
      <c r="A22" s="1865" t="s">
        <v>1389</v>
      </c>
      <c r="B22" s="1866"/>
      <c r="C22" s="1867">
        <f>'Irl. Energy Balance 2013 (ktoe)'!C22*0.01163</f>
        <v>0.27820756000493629</v>
      </c>
      <c r="D22" s="1868">
        <f>'Irl. Energy Balance 2013 (ktoe)'!D22*0.01163</f>
        <v>-0.16289245490000001</v>
      </c>
      <c r="E22" s="1869">
        <f>'Irl. Energy Balance 2013 (ktoe)'!E22*0.01163</f>
        <v>0.44110001490493633</v>
      </c>
      <c r="F22" s="1870">
        <f>'Irl. Energy Balance 2013 (ktoe)'!F22*0.01163</f>
        <v>0</v>
      </c>
      <c r="G22" s="1870">
        <f>'Irl. Energy Balance 2013 (ktoe)'!G22*0.01163</f>
        <v>0</v>
      </c>
      <c r="H22" s="1871">
        <f>'Irl. Energy Balance 2013 (ktoe)'!H22*0.01163</f>
        <v>0</v>
      </c>
      <c r="I22" s="1868">
        <f>'Irl. Energy Balance 2013 (ktoe)'!I22*0.01163</f>
        <v>0</v>
      </c>
      <c r="J22" s="1869">
        <f>'Irl. Energy Balance 2013 (ktoe)'!J22*0.01163</f>
        <v>0</v>
      </c>
      <c r="K22" s="1869">
        <f>'Irl. Energy Balance 2013 (ktoe)'!K22*0.01163</f>
        <v>0</v>
      </c>
      <c r="L22" s="1871">
        <f>'Irl. Energy Balance 2013 (ktoe)'!L22*0.01163</f>
        <v>-0.29988758661905707</v>
      </c>
      <c r="M22" s="1869">
        <f>'Irl. Energy Balance 2013 (ktoe)'!M22*0.01163</f>
        <v>0</v>
      </c>
      <c r="N22" s="1869">
        <f>'Irl. Energy Balance 2013 (ktoe)'!N22*0.01163</f>
        <v>0</v>
      </c>
      <c r="O22" s="1869">
        <f>'Irl. Energy Balance 2013 (ktoe)'!O22*0.01163</f>
        <v>3.240228743444444E-3</v>
      </c>
      <c r="P22" s="1869">
        <f>'Irl. Energy Balance 2013 (ktoe)'!P22*0.01163</f>
        <v>2.5357369732283681</v>
      </c>
      <c r="Q22" s="1869">
        <f>'Irl. Energy Balance 2013 (ktoe)'!Q22*0.01163</f>
        <v>-2.5335392217898844</v>
      </c>
      <c r="R22" s="1869">
        <f>'Irl. Energy Balance 2013 (ktoe)'!R22*0.01163</f>
        <v>2.0023260758112994E-2</v>
      </c>
      <c r="S22" s="1869">
        <f>'Irl. Energy Balance 2013 (ktoe)'!S22*0.01163</f>
        <v>0</v>
      </c>
      <c r="T22" s="1869">
        <f>'Irl. Energy Balance 2013 (ktoe)'!T22*0.01163</f>
        <v>-4.7141267554161641E-2</v>
      </c>
      <c r="U22" s="1869">
        <f>'Irl. Energy Balance 2013 (ktoe)'!U22*0.01163</f>
        <v>-0.27820756000493629</v>
      </c>
      <c r="V22" s="1870">
        <f>'Irl. Energy Balance 2013 (ktoe)'!V22*0.01163</f>
        <v>0</v>
      </c>
      <c r="W22" s="1870">
        <f>'Irl. Energy Balance 2013 (ktoe)'!W22*0.01163</f>
        <v>0</v>
      </c>
      <c r="X22" s="1870">
        <f>'Irl. Energy Balance 2013 (ktoe)'!X22*0.01163</f>
        <v>0</v>
      </c>
      <c r="Y22" s="1869">
        <f>'Irl. Energy Balance 2013 (ktoe)'!Y22*0.01163</f>
        <v>0</v>
      </c>
      <c r="Z22" s="1871">
        <f>'Irl. Energy Balance 2013 (ktoe)'!Z22*0.01163</f>
        <v>0</v>
      </c>
      <c r="AA22" s="1872">
        <f>'Irl. Energy Balance 2013 (ktoe)'!AA22*0.01163</f>
        <v>-5.1209235764676979</v>
      </c>
      <c r="AB22" s="1873">
        <f>'Irl. Energy Balance 2013 (ktoe)'!AB22*0.01163</f>
        <v>-0.57859162386130003</v>
      </c>
      <c r="AC22" s="1869">
        <f>'Irl. Energy Balance 2013 (ktoe)'!AC22*0.01163</f>
        <v>-4.5423319526063981</v>
      </c>
      <c r="AD22" s="1869">
        <f>'Irl. Energy Balance 2013 (ktoe)'!AD22*0.01163</f>
        <v>0</v>
      </c>
      <c r="AE22" s="1874">
        <f>'Irl. Energy Balance 2013 (ktoe)'!AE22*0.01163</f>
        <v>0</v>
      </c>
      <c r="AF22" s="1874">
        <f>'Irl. Energy Balance 2013 (ktoe)'!AF22*0.01163</f>
        <v>0</v>
      </c>
      <c r="AG22" s="1874">
        <f>'Irl. Energy Balance 2013 (ktoe)'!AG22*0.01163</f>
        <v>0</v>
      </c>
      <c r="AH22" s="1868">
        <f>'Irl. Energy Balance 2013 (ktoe)'!AH22*0.01163</f>
        <v>0</v>
      </c>
      <c r="AI22" s="1870">
        <f>'Irl. Energy Balance 2013 (ktoe)'!AI22*0.01163</f>
        <v>0</v>
      </c>
      <c r="AJ22" s="1875">
        <f>'Irl. Energy Balance 2013 (ktoe)'!AJ22*0.01163</f>
        <v>0</v>
      </c>
      <c r="AK22" s="1876">
        <f>'Irl. Energy Balance 2013 (ktoe)'!AK22*0.01163</f>
        <v>5.1209235764676979</v>
      </c>
      <c r="AL22" s="1872">
        <f>'Irl. Energy Balance 2013 (ktoe)'!AL22*0.01163</f>
        <v>0</v>
      </c>
      <c r="AM22" s="1877">
        <f>'Irl. Energy Balance 2013 (ktoe)'!AM22*0.01163</f>
        <v>-2.168002661412079E-2</v>
      </c>
      <c r="AP22"/>
      <c r="AQ22"/>
      <c r="AR22"/>
      <c r="AS22"/>
      <c r="AT22"/>
      <c r="AU22"/>
      <c r="AV22"/>
    </row>
    <row r="23" spans="1:48">
      <c r="A23" s="1820" t="s">
        <v>1217</v>
      </c>
      <c r="B23" s="1821"/>
      <c r="C23" s="1878">
        <f>'Irl. Energy Balance 2013 (ktoe)'!C23*0.01163</f>
        <v>0</v>
      </c>
      <c r="D23" s="1879">
        <f>'Irl. Energy Balance 2013 (ktoe)'!D23*0.01163</f>
        <v>0</v>
      </c>
      <c r="E23" s="1880">
        <f>'Irl. Energy Balance 2013 (ktoe)'!E23*0.01163</f>
        <v>0</v>
      </c>
      <c r="F23" s="1825">
        <f>'Irl. Energy Balance 2013 (ktoe)'!F23*0.01163</f>
        <v>0</v>
      </c>
      <c r="G23" s="1825">
        <f>'Irl. Energy Balance 2013 (ktoe)'!G23*0.01163</f>
        <v>0</v>
      </c>
      <c r="H23" s="1831">
        <f>'Irl. Energy Balance 2013 (ktoe)'!H23*0.01163</f>
        <v>0</v>
      </c>
      <c r="I23" s="1881">
        <f>'Irl. Energy Balance 2013 (ktoe)'!I23*0.01163</f>
        <v>0</v>
      </c>
      <c r="J23" s="1824">
        <f>'Irl. Energy Balance 2013 (ktoe)'!J23*0.01163</f>
        <v>0</v>
      </c>
      <c r="K23" s="1824">
        <f>'Irl. Energy Balance 2013 (ktoe)'!K23*0.01163</f>
        <v>0</v>
      </c>
      <c r="L23" s="1831">
        <f>'Irl. Energy Balance 2013 (ktoe)'!L23*0.01163</f>
        <v>0</v>
      </c>
      <c r="M23" s="1824">
        <f>'Irl. Energy Balance 2013 (ktoe)'!M23*0.01163</f>
        <v>0</v>
      </c>
      <c r="N23" s="1824">
        <f>'Irl. Energy Balance 2013 (ktoe)'!N23*0.01163</f>
        <v>0</v>
      </c>
      <c r="O23" s="1824">
        <f>'Irl. Energy Balance 2013 (ktoe)'!O23*0.01163</f>
        <v>0</v>
      </c>
      <c r="P23" s="1824">
        <f>'Irl. Energy Balance 2013 (ktoe)'!P23*0.01163</f>
        <v>0</v>
      </c>
      <c r="Q23" s="1824">
        <f>'Irl. Energy Balance 2013 (ktoe)'!Q23*0.01163</f>
        <v>0</v>
      </c>
      <c r="R23" s="1824">
        <f>'Irl. Energy Balance 2013 (ktoe)'!R23*0.01163</f>
        <v>0</v>
      </c>
      <c r="S23" s="1824">
        <f>'Irl. Energy Balance 2013 (ktoe)'!S23*0.01163</f>
        <v>0</v>
      </c>
      <c r="T23" s="1824">
        <f>'Irl. Energy Balance 2013 (ktoe)'!T23*0.01163</f>
        <v>0</v>
      </c>
      <c r="U23" s="1824">
        <f>'Irl. Energy Balance 2013 (ktoe)'!U23*0.01163</f>
        <v>0</v>
      </c>
      <c r="V23" s="1825">
        <f>'Irl. Energy Balance 2013 (ktoe)'!V23*0.01163</f>
        <v>0</v>
      </c>
      <c r="W23" s="1825">
        <f>'Irl. Energy Balance 2013 (ktoe)'!W23*0.01163</f>
        <v>0</v>
      </c>
      <c r="X23" s="1825">
        <f>'Irl. Energy Balance 2013 (ktoe)'!X23*0.01163</f>
        <v>0</v>
      </c>
      <c r="Y23" s="1824">
        <f>'Irl. Energy Balance 2013 (ktoe)'!Y23*0.01163</f>
        <v>0</v>
      </c>
      <c r="Z23" s="1831">
        <f>'Irl. Energy Balance 2013 (ktoe)'!Z23*0.01163</f>
        <v>0</v>
      </c>
      <c r="AA23" s="1827">
        <f>'Irl. Energy Balance 2013 (ktoe)'!AA23*0.01163</f>
        <v>-5.1209235764676979</v>
      </c>
      <c r="AB23" s="1828">
        <f>'Irl. Energy Balance 2013 (ktoe)'!AB23*0.01163</f>
        <v>-0.57859162386130003</v>
      </c>
      <c r="AC23" s="1824">
        <f>'Irl. Energy Balance 2013 (ktoe)'!AC23*0.01163</f>
        <v>-4.5423319526063981</v>
      </c>
      <c r="AD23" s="1824">
        <f>'Irl. Energy Balance 2013 (ktoe)'!AD23*0.01163</f>
        <v>0</v>
      </c>
      <c r="AE23" s="1835">
        <f>'Irl. Energy Balance 2013 (ktoe)'!AE23*0.01163</f>
        <v>0</v>
      </c>
      <c r="AF23" s="1835">
        <f>'Irl. Energy Balance 2013 (ktoe)'!AF23*0.01163</f>
        <v>0</v>
      </c>
      <c r="AG23" s="1835">
        <f>'Irl. Energy Balance 2013 (ktoe)'!AG23*0.01163</f>
        <v>0</v>
      </c>
      <c r="AH23" s="1823">
        <f>'Irl. Energy Balance 2013 (ktoe)'!AH23*0.01163</f>
        <v>0</v>
      </c>
      <c r="AI23" s="1825">
        <f>'Irl. Energy Balance 2013 (ktoe)'!AI23*0.01163</f>
        <v>0</v>
      </c>
      <c r="AJ23" s="1861">
        <f>'Irl. Energy Balance 2013 (ktoe)'!AJ23*0.01163</f>
        <v>0</v>
      </c>
      <c r="AK23" s="1831">
        <f>'Irl. Energy Balance 2013 (ktoe)'!AK23*0.01163</f>
        <v>5.1209235764676979</v>
      </c>
      <c r="AL23" s="1827">
        <f>'Irl. Energy Balance 2013 (ktoe)'!AL23*0.01163</f>
        <v>0</v>
      </c>
      <c r="AM23" s="1862">
        <f>'Irl. Energy Balance 2013 (ktoe)'!AM23*0.01163</f>
        <v>0</v>
      </c>
      <c r="AP23"/>
      <c r="AQ23"/>
      <c r="AR23"/>
      <c r="AS23"/>
      <c r="AT23"/>
      <c r="AU23"/>
      <c r="AV23"/>
    </row>
    <row r="24" spans="1:48">
      <c r="A24" s="1882" t="s">
        <v>1390</v>
      </c>
      <c r="B24" s="1849"/>
      <c r="C24" s="1883">
        <f>'Irl. Energy Balance 2013 (ktoe)'!C24*0.01163</f>
        <v>0</v>
      </c>
      <c r="D24" s="1884">
        <f>'Irl. Energy Balance 2013 (ktoe)'!D24*0.01163</f>
        <v>0</v>
      </c>
      <c r="E24" s="1852">
        <f>'Irl. Energy Balance 2013 (ktoe)'!E24*0.01163</f>
        <v>0</v>
      </c>
      <c r="F24" s="1885">
        <f>'Irl. Energy Balance 2013 (ktoe)'!F24*0.01163</f>
        <v>0</v>
      </c>
      <c r="G24" s="1885">
        <f>'Irl. Energy Balance 2013 (ktoe)'!G24*0.01163</f>
        <v>0</v>
      </c>
      <c r="H24" s="1854">
        <f>'Irl. Energy Balance 2013 (ktoe)'!H24*0.01163</f>
        <v>0</v>
      </c>
      <c r="I24" s="1886">
        <f>'Irl. Energy Balance 2013 (ktoe)'!I24*0.01163</f>
        <v>0</v>
      </c>
      <c r="J24" s="1887">
        <f>'Irl. Energy Balance 2013 (ktoe)'!J24*0.01163</f>
        <v>0</v>
      </c>
      <c r="K24" s="1887">
        <f>'Irl. Energy Balance 2013 (ktoe)'!K24*0.01163</f>
        <v>0</v>
      </c>
      <c r="L24" s="1854">
        <f>'Irl. Energy Balance 2013 (ktoe)'!L24*0.01163</f>
        <v>0</v>
      </c>
      <c r="M24" s="1887">
        <f>'Irl. Energy Balance 2013 (ktoe)'!M24*0.01163</f>
        <v>0</v>
      </c>
      <c r="N24" s="1887">
        <f>'Irl. Energy Balance 2013 (ktoe)'!N24*0.01163</f>
        <v>0</v>
      </c>
      <c r="O24" s="1887">
        <f>'Irl. Energy Balance 2013 (ktoe)'!O24*0.01163</f>
        <v>0</v>
      </c>
      <c r="P24" s="1887">
        <f>'Irl. Energy Balance 2013 (ktoe)'!P24*0.01163</f>
        <v>0</v>
      </c>
      <c r="Q24" s="1887">
        <f>'Irl. Energy Balance 2013 (ktoe)'!Q24*0.01163</f>
        <v>0</v>
      </c>
      <c r="R24" s="1887">
        <f>'Irl. Energy Balance 2013 (ktoe)'!R24*0.01163</f>
        <v>0</v>
      </c>
      <c r="S24" s="1887">
        <f>'Irl. Energy Balance 2013 (ktoe)'!S24*0.01163</f>
        <v>0</v>
      </c>
      <c r="T24" s="1887">
        <f>'Irl. Energy Balance 2013 (ktoe)'!T24*0.01163</f>
        <v>0</v>
      </c>
      <c r="U24" s="1887">
        <f>'Irl. Energy Balance 2013 (ktoe)'!U24*0.01163</f>
        <v>0</v>
      </c>
      <c r="V24" s="1885">
        <f>'Irl. Energy Balance 2013 (ktoe)'!V24*0.01163</f>
        <v>0</v>
      </c>
      <c r="W24" s="1885">
        <f>'Irl. Energy Balance 2013 (ktoe)'!W24*0.01163</f>
        <v>0</v>
      </c>
      <c r="X24" s="1885">
        <f>'Irl. Energy Balance 2013 (ktoe)'!X24*0.01163</f>
        <v>0</v>
      </c>
      <c r="Y24" s="1887">
        <f>'Irl. Energy Balance 2013 (ktoe)'!Y24*0.01163</f>
        <v>0</v>
      </c>
      <c r="Z24" s="1854">
        <f>'Irl. Energy Balance 2013 (ktoe)'!Z24*0.01163</f>
        <v>0</v>
      </c>
      <c r="AA24" s="1855">
        <f>'Irl. Energy Balance 2013 (ktoe)'!AA24*0.01163</f>
        <v>0</v>
      </c>
      <c r="AB24" s="1888">
        <f>'Irl. Energy Balance 2013 (ktoe)'!AB24*0.01163</f>
        <v>0</v>
      </c>
      <c r="AC24" s="1887">
        <f>'Irl. Energy Balance 2013 (ktoe)'!AC24*0.01163</f>
        <v>0</v>
      </c>
      <c r="AD24" s="1887">
        <f>'Irl. Energy Balance 2013 (ktoe)'!AD24*0.01163</f>
        <v>0</v>
      </c>
      <c r="AE24" s="1887">
        <f>'Irl. Energy Balance 2013 (ktoe)'!AE24*0.01163</f>
        <v>0</v>
      </c>
      <c r="AF24" s="1887">
        <f>'Irl. Energy Balance 2013 (ktoe)'!AF24*0.01163</f>
        <v>0</v>
      </c>
      <c r="AG24" s="1887">
        <f>'Irl. Energy Balance 2013 (ktoe)'!AG24*0.01163</f>
        <v>0</v>
      </c>
      <c r="AH24" s="1889">
        <f>'Irl. Energy Balance 2013 (ktoe)'!AH24*0.01163</f>
        <v>0</v>
      </c>
      <c r="AI24" s="1885">
        <f>'Irl. Energy Balance 2013 (ktoe)'!AI24*0.01163</f>
        <v>0</v>
      </c>
      <c r="AJ24" s="1890">
        <f>'Irl. Energy Balance 2013 (ktoe)'!AJ24*0.01163</f>
        <v>0</v>
      </c>
      <c r="AK24" s="1854">
        <f>'Irl. Energy Balance 2013 (ktoe)'!AK24*0.01163</f>
        <v>0</v>
      </c>
      <c r="AL24" s="1855">
        <f>'Irl. Energy Balance 2013 (ktoe)'!AL24*0.01163</f>
        <v>0</v>
      </c>
      <c r="AM24" s="1891">
        <f>'Irl. Energy Balance 2013 (ktoe)'!AM24*0.01163</f>
        <v>0</v>
      </c>
      <c r="AO24" s="2473" t="s">
        <v>5</v>
      </c>
      <c r="AP24"/>
      <c r="AQ24"/>
      <c r="AR24"/>
      <c r="AS24"/>
      <c r="AT24"/>
      <c r="AU24"/>
      <c r="AV24"/>
    </row>
    <row r="25" spans="1:48" ht="15" thickBot="1">
      <c r="A25" s="1784" t="s">
        <v>1391</v>
      </c>
      <c r="B25" s="1785"/>
      <c r="C25" s="1892">
        <f>'Irl. Energy Balance 2013 (ktoe)'!C25*0.01163</f>
        <v>0.27820756000493629</v>
      </c>
      <c r="D25" s="1893">
        <f>'Irl. Energy Balance 2013 (ktoe)'!D25*0.01163</f>
        <v>-0.16289245490000001</v>
      </c>
      <c r="E25" s="1792">
        <f>'Irl. Energy Balance 2013 (ktoe)'!E25*0.01163</f>
        <v>0.44110001490493633</v>
      </c>
      <c r="F25" s="1787">
        <f>'Irl. Energy Balance 2013 (ktoe)'!F25*0.01163</f>
        <v>0</v>
      </c>
      <c r="G25" s="1787">
        <f>'Irl. Energy Balance 2013 (ktoe)'!G25*0.01163</f>
        <v>0</v>
      </c>
      <c r="H25" s="1788">
        <f>'Irl. Energy Balance 2013 (ktoe)'!H25*0.01163</f>
        <v>0</v>
      </c>
      <c r="I25" s="1894">
        <f>'Irl. Energy Balance 2013 (ktoe)'!I25*0.01163</f>
        <v>0</v>
      </c>
      <c r="J25" s="1792">
        <f>'Irl. Energy Balance 2013 (ktoe)'!J25*0.01163</f>
        <v>0</v>
      </c>
      <c r="K25" s="1792">
        <f>'Irl. Energy Balance 2013 (ktoe)'!K25*0.01163</f>
        <v>0</v>
      </c>
      <c r="L25" s="1788">
        <f>'Irl. Energy Balance 2013 (ktoe)'!L25*0.01163</f>
        <v>-0.29988758661905707</v>
      </c>
      <c r="M25" s="1792">
        <f>'Irl. Energy Balance 2013 (ktoe)'!M25*0.01163</f>
        <v>0</v>
      </c>
      <c r="N25" s="1792">
        <f>'Irl. Energy Balance 2013 (ktoe)'!N25*0.01163</f>
        <v>0</v>
      </c>
      <c r="O25" s="1792">
        <f>'Irl. Energy Balance 2013 (ktoe)'!O25*0.01163</f>
        <v>3.240228743444444E-3</v>
      </c>
      <c r="P25" s="1792">
        <f>'Irl. Energy Balance 2013 (ktoe)'!P25*0.01163</f>
        <v>2.5357369732283681</v>
      </c>
      <c r="Q25" s="1792">
        <f>'Irl. Energy Balance 2013 (ktoe)'!Q25*0.01163</f>
        <v>-2.5335392217898844</v>
      </c>
      <c r="R25" s="1792">
        <f>'Irl. Energy Balance 2013 (ktoe)'!R25*0.01163</f>
        <v>2.0023260758112994E-2</v>
      </c>
      <c r="S25" s="1792">
        <f>'Irl. Energy Balance 2013 (ktoe)'!S25*0.01163</f>
        <v>0</v>
      </c>
      <c r="T25" s="1792">
        <f>'Irl. Energy Balance 2013 (ktoe)'!T25*0.01163</f>
        <v>-4.7141267554161641E-2</v>
      </c>
      <c r="U25" s="1787">
        <f>'Irl. Energy Balance 2013 (ktoe)'!U25*0.01163</f>
        <v>-0.27820756000493629</v>
      </c>
      <c r="V25" s="1787">
        <f>'Irl. Energy Balance 2013 (ktoe)'!V25*0.01163</f>
        <v>0</v>
      </c>
      <c r="W25" s="1787">
        <f>'Irl. Energy Balance 2013 (ktoe)'!W25*0.01163</f>
        <v>0</v>
      </c>
      <c r="X25" s="1787">
        <f>'Irl. Energy Balance 2013 (ktoe)'!X25*0.01163</f>
        <v>0</v>
      </c>
      <c r="Y25" s="1792">
        <f>'Irl. Energy Balance 2013 (ktoe)'!Y25*0.01163</f>
        <v>0</v>
      </c>
      <c r="Z25" s="1788">
        <f>'Irl. Energy Balance 2013 (ktoe)'!Z25*0.01163</f>
        <v>0</v>
      </c>
      <c r="AA25" s="1788">
        <f>'Irl. Energy Balance 2013 (ktoe)'!AA25*0.01163</f>
        <v>0</v>
      </c>
      <c r="AB25" s="1791">
        <f>'Irl. Energy Balance 2013 (ktoe)'!AB25*0.01163</f>
        <v>0</v>
      </c>
      <c r="AC25" s="1792">
        <f>'Irl. Energy Balance 2013 (ktoe)'!AC25*0.01163</f>
        <v>0</v>
      </c>
      <c r="AD25" s="1792">
        <f>'Irl. Energy Balance 2013 (ktoe)'!AD25*0.01163</f>
        <v>0</v>
      </c>
      <c r="AE25" s="1792">
        <f>'Irl. Energy Balance 2013 (ktoe)'!AE25*0.01163</f>
        <v>0</v>
      </c>
      <c r="AF25" s="1792">
        <f>'Irl. Energy Balance 2013 (ktoe)'!AF25*0.01163</f>
        <v>0</v>
      </c>
      <c r="AG25" s="1792">
        <f>'Irl. Energy Balance 2013 (ktoe)'!AG25*0.01163</f>
        <v>0</v>
      </c>
      <c r="AH25" s="1789">
        <f>'Irl. Energy Balance 2013 (ktoe)'!AH25*0.01163</f>
        <v>0</v>
      </c>
      <c r="AI25" s="1787">
        <f>'Irl. Energy Balance 2013 (ktoe)'!AI25*0.01163</f>
        <v>0</v>
      </c>
      <c r="AJ25" s="1793">
        <f>'Irl. Energy Balance 2013 (ktoe)'!AJ25*0.01163</f>
        <v>0</v>
      </c>
      <c r="AK25" s="1788">
        <f>'Irl. Energy Balance 2013 (ktoe)'!AK25*0.01163</f>
        <v>0</v>
      </c>
      <c r="AL25" s="1790">
        <f>'Irl. Energy Balance 2013 (ktoe)'!AL25*0.01163</f>
        <v>0</v>
      </c>
      <c r="AM25" s="1794">
        <f>'Irl. Energy Balance 2013 (ktoe)'!AM25*0.01163</f>
        <v>-2.168002661412079E-2</v>
      </c>
      <c r="AP25"/>
      <c r="AQ25"/>
      <c r="AR25"/>
      <c r="AS25"/>
      <c r="AT25"/>
      <c r="AU25"/>
      <c r="AV25"/>
    </row>
    <row r="26" spans="1:48" ht="15" thickBot="1">
      <c r="A26" s="1848" t="s">
        <v>1392</v>
      </c>
      <c r="B26" s="1849"/>
      <c r="C26" s="1850">
        <f>'Irl. Energy Balance 2013 (ktoe)'!C26*0.01163</f>
        <v>0</v>
      </c>
      <c r="D26" s="1851">
        <f>'Irl. Energy Balance 2013 (ktoe)'!D26*0.01163</f>
        <v>0</v>
      </c>
      <c r="E26" s="1852">
        <f>'Irl. Energy Balance 2013 (ktoe)'!E26*0.01163</f>
        <v>0</v>
      </c>
      <c r="F26" s="1885">
        <f>'Irl. Energy Balance 2013 (ktoe)'!F26*0.01163</f>
        <v>0</v>
      </c>
      <c r="G26" s="1885">
        <f>'Irl. Energy Balance 2013 (ktoe)'!G26*0.01163</f>
        <v>0</v>
      </c>
      <c r="H26" s="1854">
        <f>'Irl. Energy Balance 2013 (ktoe)'!H26*0.01163</f>
        <v>0.18983414529576201</v>
      </c>
      <c r="I26" s="1885">
        <f>'Irl. Energy Balance 2013 (ktoe)'!I26*0.01163</f>
        <v>0.18983414529576201</v>
      </c>
      <c r="J26" s="1887">
        <f>'Irl. Energy Balance 2013 (ktoe)'!J26*0.01163</f>
        <v>0</v>
      </c>
      <c r="K26" s="1887">
        <f>'Irl. Energy Balance 2013 (ktoe)'!K26*0.01163</f>
        <v>0</v>
      </c>
      <c r="L26" s="1854">
        <f>'Irl. Energy Balance 2013 (ktoe)'!L26*0.01163</f>
        <v>0.74633539159950768</v>
      </c>
      <c r="M26" s="1887">
        <f>'Irl. Energy Balance 2013 (ktoe)'!M26*0.01163</f>
        <v>0</v>
      </c>
      <c r="N26" s="1887">
        <f>'Irl. Energy Balance 2013 (ktoe)'!N26*0.01163</f>
        <v>0.7446955200340738</v>
      </c>
      <c r="O26" s="1887">
        <f>'Irl. Energy Balance 2013 (ktoe)'!O26*0.01163</f>
        <v>0</v>
      </c>
      <c r="P26" s="1887">
        <f>'Irl. Energy Balance 2013 (ktoe)'!P26*0.01163</f>
        <v>0</v>
      </c>
      <c r="Q26" s="1887">
        <f>'Irl. Energy Balance 2013 (ktoe)'!Q26*0.01163</f>
        <v>0</v>
      </c>
      <c r="R26" s="1887">
        <f>'Irl. Energy Balance 2013 (ktoe)'!R26*0.01163</f>
        <v>0</v>
      </c>
      <c r="S26" s="1887">
        <f>'Irl. Energy Balance 2013 (ktoe)'!S26*0.01163</f>
        <v>0</v>
      </c>
      <c r="T26" s="1887">
        <f>'Irl. Energy Balance 2013 (ktoe)'!T26*0.01163</f>
        <v>1.6398715654339204E-3</v>
      </c>
      <c r="U26" s="1887">
        <f>'Irl. Energy Balance 2013 (ktoe)'!U26*0.01163</f>
        <v>0</v>
      </c>
      <c r="V26" s="1885">
        <f>'Irl. Energy Balance 2013 (ktoe)'!V26*0.01163</f>
        <v>0</v>
      </c>
      <c r="W26" s="1885">
        <f>'Irl. Energy Balance 2013 (ktoe)'!W26*0.01163</f>
        <v>0</v>
      </c>
      <c r="X26" s="1885">
        <f>'Irl. Energy Balance 2013 (ktoe)'!X26*0.01163</f>
        <v>0</v>
      </c>
      <c r="Y26" s="1887">
        <f>'Irl. Energy Balance 2013 (ktoe)'!Y26*0.01163</f>
        <v>0</v>
      </c>
      <c r="Z26" s="1854">
        <f>'Irl. Energy Balance 2013 (ktoe)'!Z26*0.01163</f>
        <v>0.75052019676479986</v>
      </c>
      <c r="AA26" s="1855">
        <f>'Irl. Energy Balance 2013 (ktoe)'!AA26*0.01163</f>
        <v>0</v>
      </c>
      <c r="AB26" s="1856">
        <f>'Irl. Energy Balance 2013 (ktoe)'!AB26*0.01163</f>
        <v>0</v>
      </c>
      <c r="AC26" s="1887">
        <f>'Irl. Energy Balance 2013 (ktoe)'!AC26*0.01163</f>
        <v>0</v>
      </c>
      <c r="AD26" s="1887">
        <f>'Irl. Energy Balance 2013 (ktoe)'!AD26*0.01163</f>
        <v>0</v>
      </c>
      <c r="AE26" s="1887">
        <f>'Irl. Energy Balance 2013 (ktoe)'!AE26*0.01163</f>
        <v>0</v>
      </c>
      <c r="AF26" s="1887">
        <f>'Irl. Energy Balance 2013 (ktoe)'!AF26*0.01163</f>
        <v>0</v>
      </c>
      <c r="AG26" s="1887">
        <f>'Irl. Energy Balance 2013 (ktoe)'!AG26*0.01163</f>
        <v>0</v>
      </c>
      <c r="AH26" s="1889">
        <f>'Irl. Energy Balance 2013 (ktoe)'!AH26*0.01163</f>
        <v>0</v>
      </c>
      <c r="AI26" s="1885">
        <f>'Irl. Energy Balance 2013 (ktoe)'!AI26*0.01163</f>
        <v>0</v>
      </c>
      <c r="AJ26" s="1890">
        <f>'Irl. Energy Balance 2013 (ktoe)'!AJ26*0.01163</f>
        <v>0</v>
      </c>
      <c r="AK26" s="1858">
        <f>'Irl. Energy Balance 2013 (ktoe)'!AK26*0.01163</f>
        <v>3.0504803309900126</v>
      </c>
      <c r="AL26" s="1855">
        <f>'Irl. Energy Balance 2013 (ktoe)'!AL26*0.01163</f>
        <v>0</v>
      </c>
      <c r="AM26" s="1891">
        <f>'Irl. Energy Balance 2013 (ktoe)'!AM26*0.01163</f>
        <v>4.7371700646500825</v>
      </c>
      <c r="AO26" s="3381"/>
      <c r="AP26"/>
      <c r="AQ26"/>
      <c r="AR26"/>
      <c r="AS26"/>
      <c r="AT26"/>
      <c r="AU26"/>
      <c r="AV26"/>
    </row>
    <row r="27" spans="1:48" ht="15" thickBot="1">
      <c r="A27" s="1895" t="s">
        <v>1393</v>
      </c>
      <c r="B27" s="1896"/>
      <c r="C27" s="1897">
        <f>'Irl. Energy Balance 2013 (ktoe)'!C27*0.01163</f>
        <v>4.387096731589855</v>
      </c>
      <c r="D27" s="1898">
        <f>'Irl. Energy Balance 2013 (ktoe)'!D27*0.01163</f>
        <v>3.2090732867591569</v>
      </c>
      <c r="E27" s="1899">
        <f>'Irl. Energy Balance 2013 (ktoe)'!E27*0.01163</f>
        <v>0.97629688762969058</v>
      </c>
      <c r="F27" s="1899">
        <f>'Irl. Energy Balance 2013 (ktoe)'!F27*0.01163</f>
        <v>0</v>
      </c>
      <c r="G27" s="1899">
        <f>'Irl. Energy Balance 2013 (ktoe)'!G27*0.01163</f>
        <v>0.20172655720100702</v>
      </c>
      <c r="H27" s="1900">
        <f>'Irl. Energy Balance 2013 (ktoe)'!H27*0.01163</f>
        <v>2.0277466790877035</v>
      </c>
      <c r="I27" s="1898">
        <f>'Irl. Energy Balance 2013 (ktoe)'!I27*0.01163</f>
        <v>-0.44491586658229443</v>
      </c>
      <c r="J27" s="1899">
        <f>'Irl. Energy Balance 2013 (ktoe)'!J27*0.01163</f>
        <v>1.4851975199999998</v>
      </c>
      <c r="K27" s="1899">
        <f>'Irl. Energy Balance 2013 (ktoe)'!K27*0.01163</f>
        <v>0.98746502566999983</v>
      </c>
      <c r="L27" s="1900">
        <f>'Irl. Energy Balance 2013 (ktoe)'!L27*0.01163</f>
        <v>74.911051050525685</v>
      </c>
      <c r="M27" s="1899">
        <f>'Irl. Energy Balance 2013 (ktoe)'!M27*0.01163</f>
        <v>-2.1037443316438226E-2</v>
      </c>
      <c r="N27" s="1899">
        <f>'Irl. Energy Balance 2013 (ktoe)'!N27*0.01163</f>
        <v>0</v>
      </c>
      <c r="O27" s="1899">
        <f>'Irl. Energy Balance 2013 (ktoe)'!O27*0.01163</f>
        <v>14.159949855890218</v>
      </c>
      <c r="P27" s="1899">
        <f>'Irl. Energy Balance 2013 (ktoe)'!P27*0.01163</f>
        <v>8.9610305931807037</v>
      </c>
      <c r="Q27" s="1899">
        <f>'Irl. Energy Balance 2013 (ktoe)'!Q27*0.01163</f>
        <v>7.8341150785642615</v>
      </c>
      <c r="R27" s="1899">
        <f>'Irl. Energy Balance 2013 (ktoe)'!R27*0.01163</f>
        <v>1.7006455945286114</v>
      </c>
      <c r="S27" s="1899">
        <f>'Irl. Energy Balance 2013 (ktoe)'!S27*0.01163</f>
        <v>1.6200951712348826</v>
      </c>
      <c r="T27" s="1899">
        <f>'Irl. Energy Balance 2013 (ktoe)'!T27*0.01163</f>
        <v>36.27403297156242</v>
      </c>
      <c r="U27" s="1899">
        <f>'Irl. Energy Balance 2013 (ktoe)'!U27*0.01163</f>
        <v>1.159011137617602</v>
      </c>
      <c r="V27" s="1899">
        <f>'Irl. Energy Balance 2013 (ktoe)'!V27*0.01163</f>
        <v>-6.3768749056911433E-2</v>
      </c>
      <c r="W27" s="1899">
        <f>'Irl. Energy Balance 2013 (ktoe)'!W27*0.01163</f>
        <v>2.914719473960337</v>
      </c>
      <c r="X27" s="1899">
        <f>'Irl. Energy Balance 2013 (ktoe)'!X27*0.01163</f>
        <v>1.1880882359999999E-2</v>
      </c>
      <c r="Y27" s="1899">
        <f>'Irl. Energy Balance 2013 (ktoe)'!Y27*0.01163</f>
        <v>0.360376484</v>
      </c>
      <c r="Z27" s="1900">
        <f>'Irl. Energy Balance 2013 (ktoe)'!Z27*0.01163</f>
        <v>19.220745401587955</v>
      </c>
      <c r="AA27" s="1901">
        <f>'Irl. Energy Balance 2013 (ktoe)'!AA27*0.01163</f>
        <v>4.0997206681184171</v>
      </c>
      <c r="AB27" s="1902">
        <f>'Irl. Energy Balance 2013 (ktoe)'!AB27*0.01163</f>
        <v>0</v>
      </c>
      <c r="AC27" s="1903">
        <f>'Irl. Energy Balance 2013 (ktoe)'!AC27*0.01163</f>
        <v>0</v>
      </c>
      <c r="AD27" s="1903">
        <f>'Irl. Energy Balance 2013 (ktoe)'!AD27*0.01163</f>
        <v>2.3444243807921166</v>
      </c>
      <c r="AE27" s="1903">
        <f>'Irl. Energy Balance 2013 (ktoe)'!AE27*0.01163</f>
        <v>0</v>
      </c>
      <c r="AF27" s="1903">
        <f>'Irl. Energy Balance 2013 (ktoe)'!AF27*0.01163</f>
        <v>8.2161854873877255E-2</v>
      </c>
      <c r="AG27" s="1903">
        <f>'Irl. Energy Balance 2013 (ktoe)'!AG27*0.01163</f>
        <v>1.1555205850118573</v>
      </c>
      <c r="AH27" s="3497">
        <f>'Irl. Energy Balance 2013 (ktoe)'!AH27*0.01163</f>
        <v>0.131166320698519</v>
      </c>
      <c r="AI27" s="1905">
        <f>'Irl. Energy Balance 2013 (ktoe)'!AI27*0.01163</f>
        <v>0.38644752674204613</v>
      </c>
      <c r="AJ27" s="1900">
        <f>'Irl. Energy Balance 2013 (ktoe)'!AJ27*0.01163</f>
        <v>0.40574064059158033</v>
      </c>
      <c r="AK27" s="1900">
        <f>'Irl. Energy Balance 2013 (ktoe)'!AK27*0.01163</f>
        <v>24.405264764607381</v>
      </c>
      <c r="AL27" s="1901">
        <f>'Irl. Energy Balance 2013 (ktoe)'!AL27*0.01163</f>
        <v>0</v>
      </c>
      <c r="AM27" s="1906">
        <f>'Irl. Energy Balance 2013 (ktoe)'!AM27*0.01163</f>
        <v>129.45736593610857</v>
      </c>
      <c r="AN27" s="2473" t="s">
        <v>5</v>
      </c>
      <c r="AP27"/>
      <c r="AQ27"/>
      <c r="AR27"/>
      <c r="AS27"/>
      <c r="AT27"/>
      <c r="AU27"/>
      <c r="AV27"/>
    </row>
    <row r="28" spans="1:48">
      <c r="A28" s="1907" t="s">
        <v>1394</v>
      </c>
      <c r="B28" s="1908"/>
      <c r="C28" s="1909">
        <f>'Irl. Energy Balance 2013 (ktoe)'!C28*0.01163</f>
        <v>0</v>
      </c>
      <c r="D28" s="1904">
        <f>'Irl. Energy Balance 2013 (ktoe)'!D28*0.01163</f>
        <v>0</v>
      </c>
      <c r="E28" s="1903">
        <f>'Irl. Energy Balance 2013 (ktoe)'!E28*0.01163</f>
        <v>0</v>
      </c>
      <c r="F28" s="1910">
        <f>'Irl. Energy Balance 2013 (ktoe)'!F28*0.01163</f>
        <v>0</v>
      </c>
      <c r="G28" s="1910">
        <f>'Irl. Energy Balance 2013 (ktoe)'!G28*0.01163</f>
        <v>0</v>
      </c>
      <c r="H28" s="1804">
        <f>'Irl. Energy Balance 2013 (ktoe)'!H28*0.01163</f>
        <v>0</v>
      </c>
      <c r="I28" s="1904">
        <f>'Irl. Energy Balance 2013 (ktoe)'!I28*0.01163</f>
        <v>0</v>
      </c>
      <c r="J28" s="1903">
        <f>'Irl. Energy Balance 2013 (ktoe)'!J28*0.01163</f>
        <v>0</v>
      </c>
      <c r="K28" s="1903">
        <f>'Irl. Energy Balance 2013 (ktoe)'!K28*0.01163</f>
        <v>0</v>
      </c>
      <c r="L28" s="1804">
        <f>'Irl. Energy Balance 2013 (ktoe)'!L28*0.01163</f>
        <v>3.2869768403203365</v>
      </c>
      <c r="M28" s="1903">
        <f>'Irl. Energy Balance 2013 (ktoe)'!M28*0.01163</f>
        <v>0</v>
      </c>
      <c r="N28" s="1903">
        <f>'Irl. Energy Balance 2013 (ktoe)'!N28*0.01163</f>
        <v>0</v>
      </c>
      <c r="O28" s="1903">
        <f>'Irl. Energy Balance 2013 (ktoe)'!O28*0.01163</f>
        <v>0</v>
      </c>
      <c r="P28" s="1903">
        <f>'Irl. Energy Balance 2013 (ktoe)'!P28*0.01163</f>
        <v>0</v>
      </c>
      <c r="Q28" s="1903">
        <f>'Irl. Energy Balance 2013 (ktoe)'!Q28*0.01163</f>
        <v>0</v>
      </c>
      <c r="R28" s="1903">
        <f>'Irl. Energy Balance 2013 (ktoe)'!R28*0.01163</f>
        <v>0</v>
      </c>
      <c r="S28" s="1903">
        <f>'Irl. Energy Balance 2013 (ktoe)'!S28*0.01163</f>
        <v>0</v>
      </c>
      <c r="T28" s="1903">
        <f>'Irl. Energy Balance 2013 (ktoe)'!T28*0.01163</f>
        <v>0</v>
      </c>
      <c r="U28" s="1903">
        <f>'Irl. Energy Balance 2013 (ktoe)'!U28*0.01163</f>
        <v>0</v>
      </c>
      <c r="V28" s="1910">
        <f>'Irl. Energy Balance 2013 (ktoe)'!V28*0.01163</f>
        <v>0</v>
      </c>
      <c r="W28" s="1910">
        <f>'Irl. Energy Balance 2013 (ktoe)'!W28*0.01163</f>
        <v>2.914719473960337</v>
      </c>
      <c r="X28" s="1910">
        <f>'Irl. Energy Balance 2013 (ktoe)'!X28*0.01163</f>
        <v>1.1880882359999999E-2</v>
      </c>
      <c r="Y28" s="1903">
        <f>'Irl. Energy Balance 2013 (ktoe)'!Y28*0.01163</f>
        <v>0.360376484</v>
      </c>
      <c r="Z28" s="1804">
        <f>'Irl. Energy Balance 2013 (ktoe)'!Z28*0.01163</f>
        <v>0</v>
      </c>
      <c r="AA28" s="1911">
        <f>'Irl. Energy Balance 2013 (ktoe)'!AA28*0.01163</f>
        <v>0</v>
      </c>
      <c r="AB28" s="1902">
        <f>'Irl. Energy Balance 2013 (ktoe)'!AB28*0.01163</f>
        <v>0</v>
      </c>
      <c r="AC28" s="1903">
        <f>'Irl. Energy Balance 2013 (ktoe)'!AC28*0.01163</f>
        <v>0</v>
      </c>
      <c r="AD28" s="1903">
        <f>'Irl. Energy Balance 2013 (ktoe)'!AD28*0.01163</f>
        <v>0</v>
      </c>
      <c r="AE28" s="1903">
        <f>'Irl. Energy Balance 2013 (ktoe)'!AE28*0.01163</f>
        <v>0</v>
      </c>
      <c r="AF28" s="1903">
        <f>'Irl. Energy Balance 2013 (ktoe)'!AF28*0.01163</f>
        <v>0</v>
      </c>
      <c r="AG28" s="1903">
        <f>'Irl. Energy Balance 2013 (ktoe)'!AG28*0.01163</f>
        <v>0</v>
      </c>
      <c r="AH28" s="3497">
        <f>'Irl. Energy Balance 2013 (ktoe)'!AH28*0.01163</f>
        <v>0</v>
      </c>
      <c r="AI28" s="1910">
        <f>'Irl. Energy Balance 2013 (ktoe)'!AI28*0.01163</f>
        <v>0</v>
      </c>
      <c r="AJ28" s="1804">
        <f>'Irl. Energy Balance 2013 (ktoe)'!AJ28*0.01163</f>
        <v>0</v>
      </c>
      <c r="AK28" s="1804">
        <f>'Irl. Energy Balance 2013 (ktoe)'!AK28*0.01163</f>
        <v>0</v>
      </c>
      <c r="AL28" s="1911">
        <f>'Irl. Energy Balance 2013 (ktoe)'!AL28*0.01163</f>
        <v>0</v>
      </c>
      <c r="AM28" s="1912">
        <f>'Irl. Energy Balance 2013 (ktoe)'!AM28*0.01163</f>
        <v>3.2869768403203365</v>
      </c>
      <c r="AP28"/>
      <c r="AQ28"/>
      <c r="AR28"/>
      <c r="AS28"/>
      <c r="AT28"/>
      <c r="AU28"/>
      <c r="AV28"/>
    </row>
    <row r="29" spans="1:48" ht="15" thickBot="1">
      <c r="A29" s="1913" t="s">
        <v>1395</v>
      </c>
      <c r="B29" s="1914"/>
      <c r="C29" s="1915">
        <f>'Irl. Energy Balance 2013 (ktoe)'!C29*0.01163</f>
        <v>0</v>
      </c>
      <c r="D29" s="1916">
        <f>'Irl. Energy Balance 2013 (ktoe)'!D29*0.01163</f>
        <v>0</v>
      </c>
      <c r="E29" s="1917">
        <f>'Irl. Energy Balance 2013 (ktoe)'!E29*0.01163</f>
        <v>0</v>
      </c>
      <c r="F29" s="1918">
        <f>'Irl. Energy Balance 2013 (ktoe)'!F29*0.01163</f>
        <v>0</v>
      </c>
      <c r="G29" s="1918">
        <f>'Irl. Energy Balance 2013 (ktoe)'!G29*0.01163</f>
        <v>0</v>
      </c>
      <c r="H29" s="1919">
        <f>'Irl. Energy Balance 2013 (ktoe)'!H29*0.01163</f>
        <v>0</v>
      </c>
      <c r="I29" s="1916">
        <f>'Irl. Energy Balance 2013 (ktoe)'!I29*0.01163</f>
        <v>0</v>
      </c>
      <c r="J29" s="1917">
        <f>'Irl. Energy Balance 2013 (ktoe)'!J29*0.01163</f>
        <v>0</v>
      </c>
      <c r="K29" s="1917">
        <f>'Irl. Energy Balance 2013 (ktoe)'!K29*0.01163</f>
        <v>0</v>
      </c>
      <c r="L29" s="1919">
        <f>'Irl. Energy Balance 2013 (ktoe)'!L29*0.01163</f>
        <v>3.2869768403203365</v>
      </c>
      <c r="M29" s="1917">
        <f>'Irl. Energy Balance 2013 (ktoe)'!M29*0.01163</f>
        <v>0</v>
      </c>
      <c r="N29" s="1917">
        <f>'Irl. Energy Balance 2013 (ktoe)'!N29*0.01163</f>
        <v>0</v>
      </c>
      <c r="O29" s="1917">
        <f>'Irl. Energy Balance 2013 (ktoe)'!O29*0.01163</f>
        <v>0</v>
      </c>
      <c r="P29" s="1917">
        <f>'Irl. Energy Balance 2013 (ktoe)'!P29*0.01163</f>
        <v>0</v>
      </c>
      <c r="Q29" s="1917">
        <f>'Irl. Energy Balance 2013 (ktoe)'!Q29*0.01163</f>
        <v>0</v>
      </c>
      <c r="R29" s="1917">
        <f>'Irl. Energy Balance 2013 (ktoe)'!R29*0.01163</f>
        <v>0</v>
      </c>
      <c r="S29" s="1917">
        <f>'Irl. Energy Balance 2013 (ktoe)'!S29*0.01163</f>
        <v>0</v>
      </c>
      <c r="T29" s="1917">
        <f>'Irl. Energy Balance 2013 (ktoe)'!T29*0.01163</f>
        <v>0</v>
      </c>
      <c r="U29" s="1917">
        <f>'Irl. Energy Balance 2013 (ktoe)'!U29*0.01163</f>
        <v>0</v>
      </c>
      <c r="V29" s="1918">
        <f>'Irl. Energy Balance 2013 (ktoe)'!V29*0.01163</f>
        <v>0</v>
      </c>
      <c r="W29" s="1918">
        <f>'Irl. Energy Balance 2013 (ktoe)'!W29*0.01163</f>
        <v>2.914719473960337</v>
      </c>
      <c r="X29" s="1918">
        <f>'Irl. Energy Balance 2013 (ktoe)'!X29*0.01163</f>
        <v>1.1880882359999999E-2</v>
      </c>
      <c r="Y29" s="1917">
        <f>'Irl. Energy Balance 2013 (ktoe)'!Y29*0.01163</f>
        <v>0.360376484</v>
      </c>
      <c r="Z29" s="1919">
        <f>'Irl. Energy Balance 2013 (ktoe)'!Z29*0.01163</f>
        <v>0</v>
      </c>
      <c r="AA29" s="1920">
        <f>'Irl. Energy Balance 2013 (ktoe)'!AA29*0.01163</f>
        <v>0</v>
      </c>
      <c r="AB29" s="1921">
        <f>'Irl. Energy Balance 2013 (ktoe)'!AB29*0.01163</f>
        <v>0</v>
      </c>
      <c r="AC29" s="1917">
        <f>'Irl. Energy Balance 2013 (ktoe)'!AC29*0.01163</f>
        <v>0</v>
      </c>
      <c r="AD29" s="1917">
        <f>'Irl. Energy Balance 2013 (ktoe)'!AD29*0.01163</f>
        <v>0</v>
      </c>
      <c r="AE29" s="1917">
        <f>'Irl. Energy Balance 2013 (ktoe)'!AE29*0.01163</f>
        <v>0</v>
      </c>
      <c r="AF29" s="1917">
        <f>'Irl. Energy Balance 2013 (ktoe)'!AF29*0.01163</f>
        <v>0</v>
      </c>
      <c r="AG29" s="1917">
        <f>'Irl. Energy Balance 2013 (ktoe)'!AG29*0.01163</f>
        <v>0</v>
      </c>
      <c r="AH29" s="3498">
        <f>'Irl. Energy Balance 2013 (ktoe)'!AH29*0.01163</f>
        <v>0</v>
      </c>
      <c r="AI29" s="1918">
        <f>'Irl. Energy Balance 2013 (ktoe)'!AI29*0.01163</f>
        <v>0</v>
      </c>
      <c r="AJ29" s="1919">
        <f>'Irl. Energy Balance 2013 (ktoe)'!AJ29*0.01163</f>
        <v>0</v>
      </c>
      <c r="AK29" s="1919">
        <f>'Irl. Energy Balance 2013 (ktoe)'!AK29*0.01163</f>
        <v>0</v>
      </c>
      <c r="AL29" s="1920">
        <f>'Irl. Energy Balance 2013 (ktoe)'!AL29*0.01163</f>
        <v>0</v>
      </c>
      <c r="AM29" s="1877">
        <f>'Irl. Energy Balance 2013 (ktoe)'!AM29*0.01163</f>
        <v>3.2869768403203365</v>
      </c>
      <c r="AP29"/>
      <c r="AQ29"/>
      <c r="AR29"/>
      <c r="AS29"/>
      <c r="AT29"/>
      <c r="AU29"/>
      <c r="AV29"/>
    </row>
    <row r="30" spans="1:48" s="39" customFormat="1" ht="15" thickBot="1">
      <c r="A30" s="1907" t="s">
        <v>1396</v>
      </c>
      <c r="B30" s="1908"/>
      <c r="C30" s="1909">
        <f>'Irl. Energy Balance 2013 (ktoe)'!C30*0.01163</f>
        <v>4.131521973952812</v>
      </c>
      <c r="D30" s="1904">
        <f>'Irl. Energy Balance 2013 (ktoe)'!D30*0.01163</f>
        <v>2.9680952254068145</v>
      </c>
      <c r="E30" s="1903">
        <f>'Irl. Energy Balance 2013 (ktoe)'!E30*0.01163</f>
        <v>0.96221987018802768</v>
      </c>
      <c r="F30" s="1910">
        <f>'Irl. Energy Balance 2013 (ktoe)'!F30*0.01163</f>
        <v>0</v>
      </c>
      <c r="G30" s="1910">
        <f>'Irl. Energy Balance 2013 (ktoe)'!G30*0.01163</f>
        <v>0.20120687835796996</v>
      </c>
      <c r="H30" s="1804">
        <f>'Irl. Energy Balance 2013 (ktoe)'!H30*0.01163</f>
        <v>2.5402958613256597</v>
      </c>
      <c r="I30" s="1904">
        <f>'Irl. Energy Balance 2013 (ktoe)'!I30*0.01163</f>
        <v>5.6845854956603997E-3</v>
      </c>
      <c r="J30" s="1904">
        <f>'Irl. Energy Balance 2013 (ktoe)'!J30*0.01163</f>
        <v>1.4851975199999998</v>
      </c>
      <c r="K30" s="1904">
        <f>'Irl. Energy Balance 2013 (ktoe)'!K30*0.01163</f>
        <v>1.0494137558299999</v>
      </c>
      <c r="L30" s="1804">
        <f>'Irl. Energy Balance 2013 (ktoe)'!L30*0.01163</f>
        <v>71.461759970097532</v>
      </c>
      <c r="M30" s="1903">
        <f>'Irl. Energy Balance 2013 (ktoe)'!M30*0.01163</f>
        <v>0</v>
      </c>
      <c r="N30" s="1903">
        <f>'Irl. Energy Balance 2013 (ktoe)'!N30*0.01163</f>
        <v>0</v>
      </c>
      <c r="O30" s="1903">
        <f>'Irl. Energy Balance 2013 (ktoe)'!O30*0.01163</f>
        <v>13.933536616293274</v>
      </c>
      <c r="P30" s="1903">
        <f>'Irl. Energy Balance 2013 (ktoe)'!P30*0.01163</f>
        <v>9.1230033895952243</v>
      </c>
      <c r="Q30" s="1903">
        <f>'Irl. Energy Balance 2013 (ktoe)'!Q30*0.01163</f>
        <v>7.0439895727463462</v>
      </c>
      <c r="R30" s="1903">
        <f>'Irl. Energy Balance 2013 (ktoe)'!R30*0.01163</f>
        <v>1.7172682196591966</v>
      </c>
      <c r="S30" s="1903">
        <f>'Irl. Energy Balance 2013 (ktoe)'!S30*0.01163</f>
        <v>1.93102682040652</v>
      </c>
      <c r="T30" s="1903">
        <f>'Irl. Energy Balance 2013 (ktoe)'!T30*0.01163</f>
        <v>36.55721862630584</v>
      </c>
      <c r="U30" s="1903">
        <f>'Irl. Energy Balance 2013 (ktoe)'!U30*0.01163</f>
        <v>1.1557089372294433</v>
      </c>
      <c r="V30" s="1910">
        <f>'Irl. Energy Balance 2013 (ktoe)'!V30*0.01163</f>
        <v>0</v>
      </c>
      <c r="W30" s="1910">
        <f>'Irl. Energy Balance 2013 (ktoe)'!W30*0.01163</f>
        <v>0</v>
      </c>
      <c r="X30" s="1910">
        <f>'Irl. Energy Balance 2013 (ktoe)'!X30*0.01163</f>
        <v>0</v>
      </c>
      <c r="Y30" s="1904">
        <f>'Irl. Energy Balance 2013 (ktoe)'!Y30*0.01163</f>
        <v>0</v>
      </c>
      <c r="Z30" s="1900">
        <f>'Irl. Energy Balance 2013 (ktoe)'!Z30*0.01163</f>
        <v>18.989821689856793</v>
      </c>
      <c r="AA30" s="1911">
        <f>'Irl. Energy Balance 2013 (ktoe)'!AA30*0.01163</f>
        <v>4.1548745719797955</v>
      </c>
      <c r="AB30" s="1902">
        <f>'Irl. Energy Balance 2013 (ktoe)'!AB30*0.01163</f>
        <v>0</v>
      </c>
      <c r="AC30" s="1903">
        <f>'Irl. Energy Balance 2013 (ktoe)'!AC30*0.01163</f>
        <v>0</v>
      </c>
      <c r="AD30" s="1903">
        <f>'Irl. Energy Balance 2013 (ktoe)'!AD30*0.01163</f>
        <v>2.3659948091516143</v>
      </c>
      <c r="AE30" s="1903">
        <f>'Irl. Energy Balance 2013 (ktoe)'!AE30*0.01163</f>
        <v>0</v>
      </c>
      <c r="AF30" s="1903">
        <f>'Irl. Energy Balance 2013 (ktoe)'!AF30*0.01163</f>
        <v>8.2161854873877255E-2</v>
      </c>
      <c r="AG30" s="1903">
        <f>'Irl. Energy Balance 2013 (ktoe)'!AG30*0.01163</f>
        <v>1.189104060513738</v>
      </c>
      <c r="AH30" s="3499">
        <f>'Irl. Energy Balance 2013 (ktoe)'!AH30*0.01163</f>
        <v>0.131166320698519</v>
      </c>
      <c r="AI30" s="1911">
        <f>'Irl. Energy Balance 2013 (ktoe)'!AI30*0.01163</f>
        <v>0.38644752674204613</v>
      </c>
      <c r="AJ30" s="1911">
        <f>'Irl. Energy Balance 2013 (ktoe)'!AJ30*0.01163</f>
        <v>0.40574064059158027</v>
      </c>
      <c r="AK30" s="1922">
        <f>'Irl. Energy Balance 2013 (ktoe)'!AK30*0.01163</f>
        <v>24.207411598908816</v>
      </c>
      <c r="AL30" s="1911">
        <f>'Irl. Energy Balance 2013 (ktoe)'!AL30*0.01163</f>
        <v>0</v>
      </c>
      <c r="AM30" s="1906">
        <f>'Irl. Energy Balance 2013 (ktoe)'!AM30*0.01163</f>
        <v>125.89142630671299</v>
      </c>
      <c r="AP30"/>
      <c r="AQ30"/>
      <c r="AR30"/>
      <c r="AS30"/>
      <c r="AT30"/>
      <c r="AU30"/>
      <c r="AV30"/>
    </row>
    <row r="31" spans="1:48">
      <c r="A31" s="1923" t="s">
        <v>1397</v>
      </c>
      <c r="B31" s="1924"/>
      <c r="C31" s="1925">
        <f>'Irl. Energy Balance 2013 (ktoe)'!C31*0.01163</f>
        <v>0.95620999428845999</v>
      </c>
      <c r="D31" s="1926">
        <f>'Irl. Energy Balance 2013 (ktoe)'!D31*0.01163</f>
        <v>0.95620999428846021</v>
      </c>
      <c r="E31" s="1926">
        <f>'Irl. Energy Balance 2013 (ktoe)'!E31*0.01163</f>
        <v>0</v>
      </c>
      <c r="F31" s="1927">
        <f>'Irl. Energy Balance 2013 (ktoe)'!F31*0.01163</f>
        <v>0</v>
      </c>
      <c r="G31" s="1927">
        <f>'Irl. Energy Balance 2013 (ktoe)'!G31*0.01163</f>
        <v>0</v>
      </c>
      <c r="H31" s="1928">
        <f>'Irl. Energy Balance 2013 (ktoe)'!H31*0.01163</f>
        <v>6.0761443356604E-3</v>
      </c>
      <c r="I31" s="1929">
        <f>'Irl. Energy Balance 2013 (ktoe)'!I31*0.01163</f>
        <v>5.6845854956603997E-3</v>
      </c>
      <c r="J31" s="1926">
        <f>'Irl. Energy Balance 2013 (ktoe)'!J31*0.01163</f>
        <v>0</v>
      </c>
      <c r="K31" s="1926">
        <f>'Irl. Energy Balance 2013 (ktoe)'!K31*0.01163</f>
        <v>3.9155883999999997E-4</v>
      </c>
      <c r="L31" s="1928">
        <f>'Irl. Energy Balance 2013 (ktoe)'!L31*0.01163</f>
        <v>6.3450115121368942</v>
      </c>
      <c r="M31" s="1926">
        <f>'Irl. Energy Balance 2013 (ktoe)'!M31*0.01163</f>
        <v>0</v>
      </c>
      <c r="N31" s="1926">
        <f>'Irl. Energy Balance 2013 (ktoe)'!N31*0.01163</f>
        <v>0</v>
      </c>
      <c r="O31" s="1926">
        <f>'Irl. Energy Balance 2013 (ktoe)'!O31*0.01163</f>
        <v>0</v>
      </c>
      <c r="P31" s="1926">
        <f>'Irl. Energy Balance 2013 (ktoe)'!P31*0.01163</f>
        <v>0.91230033895952245</v>
      </c>
      <c r="Q31" s="1926">
        <f>'Irl. Energy Balance 2013 (ktoe)'!Q31*0.01163</f>
        <v>0</v>
      </c>
      <c r="R31" s="1926">
        <f>'Irl. Energy Balance 2013 (ktoe)'!R31*0.01163</f>
        <v>1.6027243496591967</v>
      </c>
      <c r="S31" s="1926">
        <f>'Irl. Energy Balance 2013 (ktoe)'!S31*0.01163</f>
        <v>1.3496457823838304</v>
      </c>
      <c r="T31" s="1926">
        <f>'Irl. Energy Balance 2013 (ktoe)'!T31*0.01163</f>
        <v>1.4518592766926006</v>
      </c>
      <c r="U31" s="1926">
        <f>'Irl. Energy Balance 2013 (ktoe)'!U31*0.01163</f>
        <v>1.0284817644417434</v>
      </c>
      <c r="V31" s="1927">
        <f>'Irl. Energy Balance 2013 (ktoe)'!V31*0.01163</f>
        <v>0</v>
      </c>
      <c r="W31" s="1927">
        <f>'Irl. Energy Balance 2013 (ktoe)'!W31*0.01163</f>
        <v>0</v>
      </c>
      <c r="X31" s="1927">
        <f>'Irl. Energy Balance 2013 (ktoe)'!X31*0.01163</f>
        <v>0</v>
      </c>
      <c r="Y31" s="1926">
        <f>'Irl. Energy Balance 2013 (ktoe)'!Y31*0.01163</f>
        <v>0</v>
      </c>
      <c r="Z31" s="1928">
        <f>'Irl. Energy Balance 2013 (ktoe)'!Z31*0.01163</f>
        <v>7.2082613472715176</v>
      </c>
      <c r="AA31" s="1930">
        <f>'Irl. Energy Balance 2013 (ktoe)'!AA31*0.01163</f>
        <v>1.7743138808543226</v>
      </c>
      <c r="AB31" s="1931">
        <f>'Irl. Energy Balance 2013 (ktoe)'!AB31*0.01163</f>
        <v>0</v>
      </c>
      <c r="AC31" s="1926">
        <f>'Irl. Energy Balance 2013 (ktoe)'!AC31*0.01163</f>
        <v>0</v>
      </c>
      <c r="AD31" s="1926">
        <f>'Irl. Energy Balance 2013 (ktoe)'!AD31*0.01163</f>
        <v>1.7435540447947928</v>
      </c>
      <c r="AE31" s="1926">
        <f>'Irl. Energy Balance 2013 (ktoe)'!AE31*0.01163</f>
        <v>0</v>
      </c>
      <c r="AF31" s="1926">
        <f>'Irl. Energy Balance 2013 (ktoe)'!AF31*0.01163</f>
        <v>3.0759836059529901E-2</v>
      </c>
      <c r="AG31" s="1926">
        <f>'Irl. Energy Balance 2013 (ktoe)'!AG31*0.01163</f>
        <v>0</v>
      </c>
      <c r="AH31" s="3500">
        <f>'Irl. Energy Balance 2013 (ktoe)'!AH31*0.01163</f>
        <v>0</v>
      </c>
      <c r="AI31" s="1926">
        <f>'Irl. Energy Balance 2013 (ktoe)'!AI31*0.01163</f>
        <v>0</v>
      </c>
      <c r="AJ31" s="1928">
        <f>'Irl. Energy Balance 2013 (ktoe)'!AJ31*0.01163</f>
        <v>0.40574064059158027</v>
      </c>
      <c r="AK31" s="1928">
        <f>'Irl. Energy Balance 2013 (ktoe)'!AK31*0.01163</f>
        <v>9.2910703110474699</v>
      </c>
      <c r="AL31" s="1930">
        <f>'Irl. Energy Balance 2013 (ktoe)'!AL31*0.01163</f>
        <v>0</v>
      </c>
      <c r="AM31" s="1819">
        <f>'Irl. Energy Balance 2013 (ktoe)'!AM31*0.01163</f>
        <v>25.986683830525905</v>
      </c>
      <c r="AP31"/>
      <c r="AQ31"/>
      <c r="AR31"/>
      <c r="AS31"/>
      <c r="AT31"/>
      <c r="AU31"/>
      <c r="AV31"/>
    </row>
    <row r="32" spans="1:48">
      <c r="A32" s="1932" t="s">
        <v>1398</v>
      </c>
      <c r="B32" s="1933" t="s">
        <v>1399</v>
      </c>
      <c r="C32" s="1934">
        <f>'Irl. Energy Balance 2013 (ktoe)'!C32*0.01163</f>
        <v>0</v>
      </c>
      <c r="D32" s="1835">
        <f>'Irl. Energy Balance 2013 (ktoe)'!D32*0.01163</f>
        <v>0</v>
      </c>
      <c r="E32" s="1835">
        <f>'Irl. Energy Balance 2013 (ktoe)'!E32*0.01163</f>
        <v>0</v>
      </c>
      <c r="F32" s="1935">
        <f>'Irl. Energy Balance 2013 (ktoe)'!F32*0.01163</f>
        <v>0</v>
      </c>
      <c r="G32" s="1935">
        <f>'Irl. Energy Balance 2013 (ktoe)'!G32*0.01163</f>
        <v>0</v>
      </c>
      <c r="H32" s="1936">
        <f>'Irl. Energy Balance 2013 (ktoe)'!H32*0.01163</f>
        <v>0</v>
      </c>
      <c r="I32" s="1937">
        <f>'Irl. Energy Balance 2013 (ktoe)'!I32*0.01163</f>
        <v>0</v>
      </c>
      <c r="J32" s="1835">
        <f>'Irl. Energy Balance 2013 (ktoe)'!J32*0.01163</f>
        <v>0</v>
      </c>
      <c r="K32" s="1835">
        <f>'Irl. Energy Balance 2013 (ktoe)'!K32*0.01163</f>
        <v>0</v>
      </c>
      <c r="L32" s="1938">
        <f>'Irl. Energy Balance 2013 (ktoe)'!L32*0.01163</f>
        <v>0.39529331775610205</v>
      </c>
      <c r="M32" s="1835">
        <f>'Irl. Energy Balance 2013 (ktoe)'!M32*0.01163</f>
        <v>0</v>
      </c>
      <c r="N32" s="1835">
        <f>'Irl. Energy Balance 2013 (ktoe)'!N32*0.01163</f>
        <v>0</v>
      </c>
      <c r="O32" s="1835">
        <f>'Irl. Energy Balance 2013 (ktoe)'!O32*0.01163</f>
        <v>0</v>
      </c>
      <c r="P32" s="1835">
        <f>'Irl. Energy Balance 2013 (ktoe)'!P32*0.01163</f>
        <v>2.878932470746513E-2</v>
      </c>
      <c r="Q32" s="1835">
        <f>'Irl. Energy Balance 2013 (ktoe)'!Q32*0.01163</f>
        <v>0</v>
      </c>
      <c r="R32" s="1835">
        <f>'Irl. Energy Balance 2013 (ktoe)'!R32*0.01163</f>
        <v>1.8426781277510528E-2</v>
      </c>
      <c r="S32" s="1835">
        <f>'Irl. Energy Balance 2013 (ktoe)'!S32*0.01163</f>
        <v>2.2964498190844031E-3</v>
      </c>
      <c r="T32" s="1835">
        <f>'Irl. Energy Balance 2013 (ktoe)'!T32*0.01163</f>
        <v>0.34578076195204199</v>
      </c>
      <c r="U32" s="1835">
        <f>'Irl. Energy Balance 2013 (ktoe)'!U32*0.01163</f>
        <v>0</v>
      </c>
      <c r="V32" s="1935">
        <f>'Irl. Energy Balance 2013 (ktoe)'!V32*0.01163</f>
        <v>0</v>
      </c>
      <c r="W32" s="1935">
        <f>'Irl. Energy Balance 2013 (ktoe)'!W32*0.01163</f>
        <v>0</v>
      </c>
      <c r="X32" s="1935">
        <f>'Irl. Energy Balance 2013 (ktoe)'!X32*0.01163</f>
        <v>0</v>
      </c>
      <c r="Y32" s="1835">
        <f>'Irl. Energy Balance 2013 (ktoe)'!Y32*0.01163</f>
        <v>0</v>
      </c>
      <c r="Z32" s="1939">
        <f>'Irl. Energy Balance 2013 (ktoe)'!Z32*0.01163</f>
        <v>0.11969729870920419</v>
      </c>
      <c r="AA32" s="1940">
        <f>'Irl. Energy Balance 2013 (ktoe)'!AA32*0.01163</f>
        <v>0</v>
      </c>
      <c r="AB32" s="1941">
        <f>'Irl. Energy Balance 2013 (ktoe)'!AB32*0.01163</f>
        <v>0</v>
      </c>
      <c r="AC32" s="1835">
        <f>'Irl. Energy Balance 2013 (ktoe)'!AC32*0.01163</f>
        <v>0</v>
      </c>
      <c r="AD32" s="1835">
        <f>'Irl. Energy Balance 2013 (ktoe)'!AD32*0.01163</f>
        <v>0</v>
      </c>
      <c r="AE32" s="1835">
        <f>'Irl. Energy Balance 2013 (ktoe)'!AE32*0.01163</f>
        <v>0</v>
      </c>
      <c r="AF32" s="1835">
        <f>'Irl. Energy Balance 2013 (ktoe)'!AF32*0.01163</f>
        <v>0</v>
      </c>
      <c r="AG32" s="1835">
        <f>'Irl. Energy Balance 2013 (ktoe)'!AG32*0.01163</f>
        <v>0</v>
      </c>
      <c r="AH32" s="3501">
        <f>'Irl. Energy Balance 2013 (ktoe)'!AH32*0.01163</f>
        <v>0</v>
      </c>
      <c r="AI32" s="1835">
        <f>'Irl. Energy Balance 2013 (ktoe)'!AI32*0.01163</f>
        <v>0</v>
      </c>
      <c r="AJ32" s="1861">
        <f>'Irl. Energy Balance 2013 (ktoe)'!AJ32*0.01163</f>
        <v>0</v>
      </c>
      <c r="AK32" s="1939">
        <f>'Irl. Energy Balance 2013 (ktoe)'!AK32*0.01163</f>
        <v>0.66624354186859736</v>
      </c>
      <c r="AL32" s="1940">
        <f>'Irl. Energy Balance 2013 (ktoe)'!AL32*0.01163</f>
        <v>0</v>
      </c>
      <c r="AM32" s="1832">
        <f>'Irl. Energy Balance 2013 (ktoe)'!AM32*0.01163</f>
        <v>1.1812341583339037</v>
      </c>
      <c r="AP32"/>
      <c r="AQ32"/>
      <c r="AR32"/>
      <c r="AS32"/>
      <c r="AT32"/>
      <c r="AU32"/>
      <c r="AV32"/>
    </row>
    <row r="33" spans="1:48">
      <c r="A33" s="1942" t="s">
        <v>1400</v>
      </c>
      <c r="B33" s="1943" t="s">
        <v>1401</v>
      </c>
      <c r="C33" s="1771">
        <f>'Irl. Energy Balance 2013 (ktoe)'!C33*0.01163</f>
        <v>0.24105246793786</v>
      </c>
      <c r="D33" s="1835">
        <f>'Irl. Energy Balance 2013 (ktoe)'!D33*0.01163</f>
        <v>0.24105246793786</v>
      </c>
      <c r="E33" s="1777">
        <f>'Irl. Energy Balance 2013 (ktoe)'!E33*0.01163</f>
        <v>0</v>
      </c>
      <c r="F33" s="1774">
        <f>'Irl. Energy Balance 2013 (ktoe)'!F33*0.01163</f>
        <v>0</v>
      </c>
      <c r="G33" s="1774">
        <f>'Irl. Energy Balance 2013 (ktoe)'!G33*0.01163</f>
        <v>0</v>
      </c>
      <c r="H33" s="1775">
        <f>'Irl. Energy Balance 2013 (ktoe)'!H33*0.01163</f>
        <v>5.6845854956603997E-3</v>
      </c>
      <c r="I33" s="1776">
        <f>'Irl. Energy Balance 2013 (ktoe)'!I33*0.01163</f>
        <v>5.6845854956603997E-3</v>
      </c>
      <c r="J33" s="1777">
        <f>'Irl. Energy Balance 2013 (ktoe)'!J33*0.01163</f>
        <v>0</v>
      </c>
      <c r="K33" s="1777">
        <f>'Irl. Energy Balance 2013 (ktoe)'!K33*0.01163</f>
        <v>0</v>
      </c>
      <c r="L33" s="1944">
        <f>'Irl. Energy Balance 2013 (ktoe)'!L33*0.01163</f>
        <v>1.5926615781677382</v>
      </c>
      <c r="M33" s="1777">
        <f>'Irl. Energy Balance 2013 (ktoe)'!M33*0.01163</f>
        <v>0</v>
      </c>
      <c r="N33" s="1777">
        <f>'Irl. Energy Balance 2013 (ktoe)'!N33*0.01163</f>
        <v>0</v>
      </c>
      <c r="O33" s="1835">
        <f>'Irl. Energy Balance 2013 (ktoe)'!O33*0.01163</f>
        <v>0</v>
      </c>
      <c r="P33" s="1835">
        <f>'Irl. Energy Balance 2013 (ktoe)'!P33*0.01163</f>
        <v>0.53595405400952123</v>
      </c>
      <c r="Q33" s="1777">
        <f>'Irl. Energy Balance 2013 (ktoe)'!Q33*0.01163</f>
        <v>0</v>
      </c>
      <c r="R33" s="1835">
        <f>'Irl. Energy Balance 2013 (ktoe)'!R33*0.01163</f>
        <v>0.34304063149726016</v>
      </c>
      <c r="S33" s="1835">
        <f>'Irl. Energy Balance 2013 (ktoe)'!S33*0.01163</f>
        <v>0.38484054226269265</v>
      </c>
      <c r="T33" s="1835">
        <f>'Irl. Energy Balance 2013 (ktoe)'!T33*0.01163</f>
        <v>0.32882635039826447</v>
      </c>
      <c r="U33" s="1835">
        <f>'Irl. Energy Balance 2013 (ktoe)'!U33*0.01163</f>
        <v>0</v>
      </c>
      <c r="V33" s="1774">
        <f>'Irl. Energy Balance 2013 (ktoe)'!V33*0.01163</f>
        <v>0</v>
      </c>
      <c r="W33" s="1774">
        <f>'Irl. Energy Balance 2013 (ktoe)'!W33*0.01163</f>
        <v>0</v>
      </c>
      <c r="X33" s="1774">
        <f>'Irl. Energy Balance 2013 (ktoe)'!X33*0.01163</f>
        <v>0</v>
      </c>
      <c r="Y33" s="1777">
        <f>'Irl. Energy Balance 2013 (ktoe)'!Y33*0.01163</f>
        <v>0</v>
      </c>
      <c r="Z33" s="1945">
        <f>'Irl. Energy Balance 2013 (ktoe)'!Z33*0.01163</f>
        <v>1.0524259830234364</v>
      </c>
      <c r="AA33" s="1778">
        <f>'Irl. Energy Balance 2013 (ktoe)'!AA33*0.01163</f>
        <v>0.32353660981724364</v>
      </c>
      <c r="AB33" s="1779">
        <f>'Irl. Energy Balance 2013 (ktoe)'!AB33*0.01163</f>
        <v>0</v>
      </c>
      <c r="AC33" s="1777">
        <f>'Irl. Energy Balance 2013 (ktoe)'!AC33*0.01163</f>
        <v>0</v>
      </c>
      <c r="AD33" s="1777">
        <f>'Irl. Energy Balance 2013 (ktoe)'!AD33*0.01163</f>
        <v>0.29277677375771377</v>
      </c>
      <c r="AE33" s="1835">
        <f>'Irl. Energy Balance 2013 (ktoe)'!AE33*0.01163</f>
        <v>0</v>
      </c>
      <c r="AF33" s="1835">
        <f>'Irl. Energy Balance 2013 (ktoe)'!AF33*0.01163</f>
        <v>3.0759836059529901E-2</v>
      </c>
      <c r="AG33" s="1835">
        <f>'Irl. Energy Balance 2013 (ktoe)'!AG33*0.01163</f>
        <v>0</v>
      </c>
      <c r="AH33" s="3502">
        <f>'Irl. Energy Balance 2013 (ktoe)'!AH33*0.01163</f>
        <v>0</v>
      </c>
      <c r="AI33" s="1777">
        <f>'Irl. Energy Balance 2013 (ktoe)'!AI33*0.01163</f>
        <v>0</v>
      </c>
      <c r="AJ33" s="1780">
        <f>'Irl. Energy Balance 2013 (ktoe)'!AJ33*0.01163</f>
        <v>0</v>
      </c>
      <c r="AK33" s="1945">
        <f>'Irl. Energy Balance 2013 (ktoe)'!AK33*0.01163</f>
        <v>1.9805884202362531</v>
      </c>
      <c r="AL33" s="1778">
        <f>'Irl. Energy Balance 2013 (ktoe)'!AL33*0.01163</f>
        <v>0</v>
      </c>
      <c r="AM33" s="1782">
        <f>'Irl. Energy Balance 2013 (ktoe)'!AM33*0.01163</f>
        <v>5.1959496446781914</v>
      </c>
      <c r="AP33"/>
      <c r="AQ33"/>
      <c r="AR33"/>
      <c r="AS33"/>
      <c r="AT33"/>
      <c r="AU33"/>
      <c r="AV33"/>
    </row>
    <row r="34" spans="1:48">
      <c r="A34" s="1942" t="s">
        <v>1402</v>
      </c>
      <c r="B34" s="1947" t="s">
        <v>1403</v>
      </c>
      <c r="C34" s="1771">
        <f>'Irl. Energy Balance 2013 (ktoe)'!C34*0.01163</f>
        <v>0</v>
      </c>
      <c r="D34" s="1835">
        <f>'Irl. Energy Balance 2013 (ktoe)'!D34*0.01163</f>
        <v>0</v>
      </c>
      <c r="E34" s="1777">
        <f>'Irl. Energy Balance 2013 (ktoe)'!E34*0.01163</f>
        <v>0</v>
      </c>
      <c r="F34" s="1774">
        <f>'Irl. Energy Balance 2013 (ktoe)'!F34*0.01163</f>
        <v>0</v>
      </c>
      <c r="G34" s="1774">
        <f>'Irl. Energy Balance 2013 (ktoe)'!G34*0.01163</f>
        <v>0</v>
      </c>
      <c r="H34" s="1775">
        <f>'Irl. Energy Balance 2013 (ktoe)'!H34*0.01163</f>
        <v>0</v>
      </c>
      <c r="I34" s="1776">
        <f>'Irl. Energy Balance 2013 (ktoe)'!I34*0.01163</f>
        <v>0</v>
      </c>
      <c r="J34" s="1777">
        <f>'Irl. Energy Balance 2013 (ktoe)'!J34*0.01163</f>
        <v>0</v>
      </c>
      <c r="K34" s="1777">
        <f>'Irl. Energy Balance 2013 (ktoe)'!K34*0.01163</f>
        <v>0</v>
      </c>
      <c r="L34" s="1944">
        <f>'Irl. Energy Balance 2013 (ktoe)'!L34*0.01163</f>
        <v>3.007215215928833E-2</v>
      </c>
      <c r="M34" s="1777">
        <f>'Irl. Energy Balance 2013 (ktoe)'!M34*0.01163</f>
        <v>0</v>
      </c>
      <c r="N34" s="1777">
        <f>'Irl. Energy Balance 2013 (ktoe)'!N34*0.01163</f>
        <v>0</v>
      </c>
      <c r="O34" s="1835">
        <f>'Irl. Energy Balance 2013 (ktoe)'!O34*0.01163</f>
        <v>0</v>
      </c>
      <c r="P34" s="1835">
        <f>'Irl. Energy Balance 2013 (ktoe)'!P34*0.01163</f>
        <v>1.1861696016809668E-2</v>
      </c>
      <c r="Q34" s="1777">
        <f>'Irl. Energy Balance 2013 (ktoe)'!Q34*0.01163</f>
        <v>0</v>
      </c>
      <c r="R34" s="1835">
        <f>'Irl. Energy Balance 2013 (ktoe)'!R34*0.01163</f>
        <v>7.592150225927085E-3</v>
      </c>
      <c r="S34" s="1835">
        <f>'Irl. Energy Balance 2013 (ktoe)'!S34*0.01163</f>
        <v>5.9263221137662004E-4</v>
      </c>
      <c r="T34" s="1835">
        <f>'Irl. Energy Balance 2013 (ktoe)'!T34*0.01163</f>
        <v>1.0025673705174957E-2</v>
      </c>
      <c r="U34" s="1835">
        <f>'Irl. Energy Balance 2013 (ktoe)'!U34*0.01163</f>
        <v>0</v>
      </c>
      <c r="V34" s="1774">
        <f>'Irl. Energy Balance 2013 (ktoe)'!V34*0.01163</f>
        <v>0</v>
      </c>
      <c r="W34" s="1774">
        <f>'Irl. Energy Balance 2013 (ktoe)'!W34*0.01163</f>
        <v>0</v>
      </c>
      <c r="X34" s="1774">
        <f>'Irl. Energy Balance 2013 (ktoe)'!X34*0.01163</f>
        <v>0</v>
      </c>
      <c r="Y34" s="1777">
        <f>'Irl. Energy Balance 2013 (ktoe)'!Y34*0.01163</f>
        <v>0</v>
      </c>
      <c r="Z34" s="1945">
        <f>'Irl. Energy Balance 2013 (ktoe)'!Z34*0.01163</f>
        <v>1.1469094781262151E-2</v>
      </c>
      <c r="AA34" s="1778">
        <f>'Irl. Energy Balance 2013 (ktoe)'!AA34*0.01163</f>
        <v>0</v>
      </c>
      <c r="AB34" s="1779">
        <f>'Irl. Energy Balance 2013 (ktoe)'!AB34*0.01163</f>
        <v>0</v>
      </c>
      <c r="AC34" s="1777">
        <f>'Irl. Energy Balance 2013 (ktoe)'!AC34*0.01163</f>
        <v>0</v>
      </c>
      <c r="AD34" s="1777">
        <f>'Irl. Energy Balance 2013 (ktoe)'!AD34*0.01163</f>
        <v>0</v>
      </c>
      <c r="AE34" s="1835">
        <f>'Irl. Energy Balance 2013 (ktoe)'!AE34*0.01163</f>
        <v>0</v>
      </c>
      <c r="AF34" s="1835">
        <f>'Irl. Energy Balance 2013 (ktoe)'!AF34*0.01163</f>
        <v>0</v>
      </c>
      <c r="AG34" s="1835">
        <f>'Irl. Energy Balance 2013 (ktoe)'!AG34*0.01163</f>
        <v>0</v>
      </c>
      <c r="AH34" s="3502">
        <f>'Irl. Energy Balance 2013 (ktoe)'!AH34*0.01163</f>
        <v>0</v>
      </c>
      <c r="AI34" s="1777">
        <f>'Irl. Energy Balance 2013 (ktoe)'!AI34*0.01163</f>
        <v>0</v>
      </c>
      <c r="AJ34" s="1780">
        <f>'Irl. Energy Balance 2013 (ktoe)'!AJ34*0.01163</f>
        <v>0</v>
      </c>
      <c r="AK34" s="1945">
        <f>'Irl. Energy Balance 2013 (ktoe)'!AK34*0.01163</f>
        <v>0.11853091319703279</v>
      </c>
      <c r="AL34" s="1778">
        <f>'Irl. Energy Balance 2013 (ktoe)'!AL34*0.01163</f>
        <v>0</v>
      </c>
      <c r="AM34" s="1782">
        <f>'Irl. Energy Balance 2013 (ktoe)'!AM34*0.01163</f>
        <v>0.16007216013758327</v>
      </c>
      <c r="AP34"/>
      <c r="AQ34"/>
      <c r="AR34"/>
      <c r="AS34"/>
      <c r="AT34"/>
      <c r="AU34"/>
      <c r="AV34"/>
    </row>
    <row r="35" spans="1:48">
      <c r="A35" s="1942" t="s">
        <v>1404</v>
      </c>
      <c r="B35" s="1947" t="s">
        <v>1405</v>
      </c>
      <c r="C35" s="1771">
        <f>'Irl. Energy Balance 2013 (ktoe)'!C35*0.01163</f>
        <v>7.3258624296645259E-5</v>
      </c>
      <c r="D35" s="1835">
        <f>'Irl. Energy Balance 2013 (ktoe)'!D35*0.01163</f>
        <v>7.3258624296645259E-5</v>
      </c>
      <c r="E35" s="1777">
        <f>'Irl. Energy Balance 2013 (ktoe)'!E35*0.01163</f>
        <v>0</v>
      </c>
      <c r="F35" s="1774">
        <f>'Irl. Energy Balance 2013 (ktoe)'!F35*0.01163</f>
        <v>0</v>
      </c>
      <c r="G35" s="1774">
        <f>'Irl. Energy Balance 2013 (ktoe)'!G35*0.01163</f>
        <v>0</v>
      </c>
      <c r="H35" s="1775">
        <f>'Irl. Energy Balance 2013 (ktoe)'!H35*0.01163</f>
        <v>0</v>
      </c>
      <c r="I35" s="1776">
        <f>'Irl. Energy Balance 2013 (ktoe)'!I35*0.01163</f>
        <v>0</v>
      </c>
      <c r="J35" s="1777">
        <f>'Irl. Energy Balance 2013 (ktoe)'!J35*0.01163</f>
        <v>0</v>
      </c>
      <c r="K35" s="1777">
        <f>'Irl. Energy Balance 2013 (ktoe)'!K35*0.01163</f>
        <v>0</v>
      </c>
      <c r="L35" s="1944">
        <f>'Irl. Energy Balance 2013 (ktoe)'!L35*0.01163</f>
        <v>3.1313255605802441E-2</v>
      </c>
      <c r="M35" s="1777">
        <f>'Irl. Energy Balance 2013 (ktoe)'!M35*0.01163</f>
        <v>0</v>
      </c>
      <c r="N35" s="1777">
        <f>'Irl. Energy Balance 2013 (ktoe)'!N35*0.01163</f>
        <v>0</v>
      </c>
      <c r="O35" s="1835">
        <f>'Irl. Energy Balance 2013 (ktoe)'!O35*0.01163</f>
        <v>0</v>
      </c>
      <c r="P35" s="1835">
        <f>'Irl. Energy Balance 2013 (ktoe)'!P35*0.01163</f>
        <v>4.1855724225982023E-3</v>
      </c>
      <c r="Q35" s="1777">
        <f>'Irl. Energy Balance 2013 (ktoe)'!Q35*0.01163</f>
        <v>0</v>
      </c>
      <c r="R35" s="1835">
        <f>'Irl. Energy Balance 2013 (ktoe)'!R35*0.01163</f>
        <v>2.6790009260758332E-3</v>
      </c>
      <c r="S35" s="1835">
        <f>'Irl. Energy Balance 2013 (ktoe)'!S35*0.01163</f>
        <v>3.1113191097272555E-3</v>
      </c>
      <c r="T35" s="1835">
        <f>'Irl. Energy Balance 2013 (ktoe)'!T35*0.01163</f>
        <v>2.1337363147401152E-2</v>
      </c>
      <c r="U35" s="1835">
        <f>'Irl. Energy Balance 2013 (ktoe)'!U35*0.01163</f>
        <v>0</v>
      </c>
      <c r="V35" s="1774">
        <f>'Irl. Energy Balance 2013 (ktoe)'!V35*0.01163</f>
        <v>0</v>
      </c>
      <c r="W35" s="1774">
        <f>'Irl. Energy Balance 2013 (ktoe)'!W35*0.01163</f>
        <v>0</v>
      </c>
      <c r="X35" s="1774">
        <f>'Irl. Energy Balance 2013 (ktoe)'!X35*0.01163</f>
        <v>0</v>
      </c>
      <c r="Y35" s="1777">
        <f>'Irl. Energy Balance 2013 (ktoe)'!Y35*0.01163</f>
        <v>0</v>
      </c>
      <c r="Z35" s="1945">
        <f>'Irl. Energy Balance 2013 (ktoe)'!Z35*0.01163</f>
        <v>2.0462321482759779E-2</v>
      </c>
      <c r="AA35" s="1778">
        <f>'Irl. Energy Balance 2013 (ktoe)'!AA35*0.01163</f>
        <v>1.1657949374059444</v>
      </c>
      <c r="AB35" s="1779">
        <f>'Irl. Energy Balance 2013 (ktoe)'!AB35*0.01163</f>
        <v>0</v>
      </c>
      <c r="AC35" s="1777">
        <f>'Irl. Energy Balance 2013 (ktoe)'!AC35*0.01163</f>
        <v>0</v>
      </c>
      <c r="AD35" s="1777">
        <f>'Irl. Energy Balance 2013 (ktoe)'!AD35*0.01163</f>
        <v>1.1657949374059444</v>
      </c>
      <c r="AE35" s="1835">
        <f>'Irl. Energy Balance 2013 (ktoe)'!AE35*0.01163</f>
        <v>0</v>
      </c>
      <c r="AF35" s="1835">
        <f>'Irl. Energy Balance 2013 (ktoe)'!AF35*0.01163</f>
        <v>0</v>
      </c>
      <c r="AG35" s="1835">
        <f>'Irl. Energy Balance 2013 (ktoe)'!AG35*0.01163</f>
        <v>0</v>
      </c>
      <c r="AH35" s="3502">
        <f>'Irl. Energy Balance 2013 (ktoe)'!AH35*0.01163</f>
        <v>0</v>
      </c>
      <c r="AI35" s="1777">
        <f>'Irl. Energy Balance 2013 (ktoe)'!AI35*0.01163</f>
        <v>0</v>
      </c>
      <c r="AJ35" s="1780">
        <f>'Irl. Energy Balance 2013 (ktoe)'!AJ35*0.01163</f>
        <v>0</v>
      </c>
      <c r="AK35" s="1945">
        <f>'Irl. Energy Balance 2013 (ktoe)'!AK35*0.01163</f>
        <v>0.39841165287209196</v>
      </c>
      <c r="AL35" s="1778">
        <f>'Irl. Energy Balance 2013 (ktoe)'!AL35*0.01163</f>
        <v>0</v>
      </c>
      <c r="AM35" s="1782">
        <f>'Irl. Energy Balance 2013 (ktoe)'!AM35*0.01163</f>
        <v>1.616055425990895</v>
      </c>
      <c r="AP35"/>
      <c r="AQ35"/>
      <c r="AR35"/>
      <c r="AS35"/>
      <c r="AT35"/>
      <c r="AU35"/>
      <c r="AV35"/>
    </row>
    <row r="36" spans="1:48">
      <c r="A36" s="1942" t="s">
        <v>1406</v>
      </c>
      <c r="B36" s="1947" t="s">
        <v>1407</v>
      </c>
      <c r="C36" s="1771">
        <f>'Irl. Energy Balance 2013 (ktoe)'!C36*0.01163</f>
        <v>3.2050648129782302E-4</v>
      </c>
      <c r="D36" s="1835">
        <f>'Irl. Energy Balance 2013 (ktoe)'!D36*0.01163</f>
        <v>3.2050648129782302E-4</v>
      </c>
      <c r="E36" s="1777">
        <f>'Irl. Energy Balance 2013 (ktoe)'!E36*0.01163</f>
        <v>0</v>
      </c>
      <c r="F36" s="1774">
        <f>'Irl. Energy Balance 2013 (ktoe)'!F36*0.01163</f>
        <v>0</v>
      </c>
      <c r="G36" s="1774">
        <f>'Irl. Energy Balance 2013 (ktoe)'!G36*0.01163</f>
        <v>0</v>
      </c>
      <c r="H36" s="1775">
        <f>'Irl. Energy Balance 2013 (ktoe)'!H36*0.01163</f>
        <v>0</v>
      </c>
      <c r="I36" s="1776">
        <f>'Irl. Energy Balance 2013 (ktoe)'!I36*0.01163</f>
        <v>0</v>
      </c>
      <c r="J36" s="1777">
        <f>'Irl. Energy Balance 2013 (ktoe)'!J36*0.01163</f>
        <v>0</v>
      </c>
      <c r="K36" s="1777">
        <f>'Irl. Energy Balance 2013 (ktoe)'!K36*0.01163</f>
        <v>0</v>
      </c>
      <c r="L36" s="1944">
        <f>'Irl. Energy Balance 2013 (ktoe)'!L36*0.01163</f>
        <v>3.4460393404310119E-2</v>
      </c>
      <c r="M36" s="1777">
        <f>'Irl. Energy Balance 2013 (ktoe)'!M36*0.01163</f>
        <v>0</v>
      </c>
      <c r="N36" s="1777">
        <f>'Irl. Energy Balance 2013 (ktoe)'!N36*0.01163</f>
        <v>0</v>
      </c>
      <c r="O36" s="1835">
        <f>'Irl. Energy Balance 2013 (ktoe)'!O36*0.01163</f>
        <v>0</v>
      </c>
      <c r="P36" s="1835">
        <f>'Irl. Energy Balance 2013 (ktoe)'!P36*0.01163</f>
        <v>9.6994076804120706E-3</v>
      </c>
      <c r="Q36" s="1777">
        <f>'Irl. Energy Balance 2013 (ktoe)'!Q36*0.01163</f>
        <v>0</v>
      </c>
      <c r="R36" s="1835">
        <f>'Irl. Energy Balance 2013 (ktoe)'!R36*0.01163</f>
        <v>6.2081645076591269E-3</v>
      </c>
      <c r="S36" s="1835">
        <f>'Irl. Energy Balance 2013 (ktoe)'!S36*0.01163</f>
        <v>2.9631610568831E-3</v>
      </c>
      <c r="T36" s="1835">
        <f>'Irl. Energy Balance 2013 (ktoe)'!T36*0.01163</f>
        <v>1.5589660159355822E-2</v>
      </c>
      <c r="U36" s="1835">
        <f>'Irl. Energy Balance 2013 (ktoe)'!U36*0.01163</f>
        <v>0</v>
      </c>
      <c r="V36" s="1774">
        <f>'Irl. Energy Balance 2013 (ktoe)'!V36*0.01163</f>
        <v>0</v>
      </c>
      <c r="W36" s="1774">
        <f>'Irl. Energy Balance 2013 (ktoe)'!W36*0.01163</f>
        <v>0</v>
      </c>
      <c r="X36" s="1774">
        <f>'Irl. Energy Balance 2013 (ktoe)'!X36*0.01163</f>
        <v>0</v>
      </c>
      <c r="Y36" s="1777">
        <f>'Irl. Energy Balance 2013 (ktoe)'!Y36*0.01163</f>
        <v>0</v>
      </c>
      <c r="Z36" s="1945">
        <f>'Irl. Energy Balance 2013 (ktoe)'!Z36*0.01163</f>
        <v>3.3842932060898952E-2</v>
      </c>
      <c r="AA36" s="1778">
        <f>'Irl. Energy Balance 2013 (ktoe)'!AA36*0.01163</f>
        <v>0</v>
      </c>
      <c r="AB36" s="1779">
        <f>'Irl. Energy Balance 2013 (ktoe)'!AB36*0.01163</f>
        <v>0</v>
      </c>
      <c r="AC36" s="1777">
        <f>'Irl. Energy Balance 2013 (ktoe)'!AC36*0.01163</f>
        <v>0</v>
      </c>
      <c r="AD36" s="1777">
        <f>'Irl. Energy Balance 2013 (ktoe)'!AD36*0.01163</f>
        <v>0</v>
      </c>
      <c r="AE36" s="1835">
        <f>'Irl. Energy Balance 2013 (ktoe)'!AE36*0.01163</f>
        <v>0</v>
      </c>
      <c r="AF36" s="1835">
        <f>'Irl. Energy Balance 2013 (ktoe)'!AF36*0.01163</f>
        <v>0</v>
      </c>
      <c r="AG36" s="1835">
        <f>'Irl. Energy Balance 2013 (ktoe)'!AG36*0.01163</f>
        <v>0</v>
      </c>
      <c r="AH36" s="3502">
        <f>'Irl. Energy Balance 2013 (ktoe)'!AH36*0.01163</f>
        <v>0</v>
      </c>
      <c r="AI36" s="1777">
        <f>'Irl. Energy Balance 2013 (ktoe)'!AI36*0.01163</f>
        <v>0</v>
      </c>
      <c r="AJ36" s="1780">
        <f>'Irl. Energy Balance 2013 (ktoe)'!AJ36*0.01163</f>
        <v>0</v>
      </c>
      <c r="AK36" s="1945">
        <f>'Irl. Energy Balance 2013 (ktoe)'!AK36*0.01163</f>
        <v>0.21744453289797602</v>
      </c>
      <c r="AL36" s="1778">
        <f>'Irl. Energy Balance 2013 (ktoe)'!AL36*0.01163</f>
        <v>0</v>
      </c>
      <c r="AM36" s="1782">
        <f>'Irl. Energy Balance 2013 (ktoe)'!AM36*0.01163</f>
        <v>0.28606836484448289</v>
      </c>
      <c r="AP36"/>
      <c r="AQ36"/>
      <c r="AR36"/>
      <c r="AS36"/>
      <c r="AT36"/>
      <c r="AU36"/>
      <c r="AV36"/>
    </row>
    <row r="37" spans="1:48">
      <c r="A37" s="1942" t="s">
        <v>1408</v>
      </c>
      <c r="B37" s="1947" t="s">
        <v>1409</v>
      </c>
      <c r="C37" s="1771">
        <f>'Irl. Energy Balance 2013 (ktoe)'!C37*0.01163</f>
        <v>0</v>
      </c>
      <c r="D37" s="1835">
        <f>'Irl. Energy Balance 2013 (ktoe)'!D37*0.01163</f>
        <v>0</v>
      </c>
      <c r="E37" s="1777">
        <f>'Irl. Energy Balance 2013 (ktoe)'!E37*0.01163</f>
        <v>0</v>
      </c>
      <c r="F37" s="1774">
        <f>'Irl. Energy Balance 2013 (ktoe)'!F37*0.01163</f>
        <v>0</v>
      </c>
      <c r="G37" s="1774">
        <f>'Irl. Energy Balance 2013 (ktoe)'!G37*0.01163</f>
        <v>0</v>
      </c>
      <c r="H37" s="1775">
        <f>'Irl. Energy Balance 2013 (ktoe)'!H37*0.01163</f>
        <v>0</v>
      </c>
      <c r="I37" s="1776">
        <f>'Irl. Energy Balance 2013 (ktoe)'!I37*0.01163</f>
        <v>0</v>
      </c>
      <c r="J37" s="1777">
        <f>'Irl. Energy Balance 2013 (ktoe)'!J37*0.01163</f>
        <v>0</v>
      </c>
      <c r="K37" s="1777">
        <f>'Irl. Energy Balance 2013 (ktoe)'!K37*0.01163</f>
        <v>0</v>
      </c>
      <c r="L37" s="1944">
        <f>'Irl. Energy Balance 2013 (ktoe)'!L37*0.01163</f>
        <v>0.3362729284634639</v>
      </c>
      <c r="M37" s="1777">
        <f>'Irl. Energy Balance 2013 (ktoe)'!M37*0.01163</f>
        <v>0</v>
      </c>
      <c r="N37" s="1777">
        <f>'Irl. Energy Balance 2013 (ktoe)'!N37*0.01163</f>
        <v>0</v>
      </c>
      <c r="O37" s="1835">
        <f>'Irl. Energy Balance 2013 (ktoe)'!O37*0.01163</f>
        <v>0</v>
      </c>
      <c r="P37" s="1835">
        <f>'Irl. Energy Balance 2013 (ktoe)'!P37*0.01163</f>
        <v>0.12749778726401534</v>
      </c>
      <c r="Q37" s="1777">
        <f>'Irl. Energy Balance 2013 (ktoe)'!Q37*0.01163</f>
        <v>0</v>
      </c>
      <c r="R37" s="1835">
        <f>'Irl. Energy Balance 2013 (ktoe)'!R37*0.01163</f>
        <v>8.1605729316442804E-2</v>
      </c>
      <c r="S37" s="1835">
        <f>'Irl. Energy Balance 2013 (ktoe)'!S37*0.01163</f>
        <v>3.4891221444798504E-2</v>
      </c>
      <c r="T37" s="1835">
        <f>'Irl. Energy Balance 2013 (ktoe)'!T37*0.01163</f>
        <v>9.2278190438207203E-2</v>
      </c>
      <c r="U37" s="1835">
        <f>'Irl. Energy Balance 2013 (ktoe)'!U37*0.01163</f>
        <v>0</v>
      </c>
      <c r="V37" s="1774">
        <f>'Irl. Energy Balance 2013 (ktoe)'!V37*0.01163</f>
        <v>0</v>
      </c>
      <c r="W37" s="1774">
        <f>'Irl. Energy Balance 2013 (ktoe)'!W37*0.01163</f>
        <v>0</v>
      </c>
      <c r="X37" s="1774">
        <f>'Irl. Energy Balance 2013 (ktoe)'!X37*0.01163</f>
        <v>0</v>
      </c>
      <c r="Y37" s="1777">
        <f>'Irl. Energy Balance 2013 (ktoe)'!Y37*0.01163</f>
        <v>0</v>
      </c>
      <c r="Z37" s="1948">
        <f>'Irl. Energy Balance 2013 (ktoe)'!Z37*0.01163</f>
        <v>0.6498243463764326</v>
      </c>
      <c r="AA37" s="1778">
        <f>'Irl. Energy Balance 2013 (ktoe)'!AA37*0.01163</f>
        <v>1.4997117599999999E-5</v>
      </c>
      <c r="AB37" s="1779">
        <f>'Irl. Energy Balance 2013 (ktoe)'!AB37*0.01163</f>
        <v>0</v>
      </c>
      <c r="AC37" s="1777">
        <f>'Irl. Energy Balance 2013 (ktoe)'!AC37*0.01163</f>
        <v>0</v>
      </c>
      <c r="AD37" s="1777">
        <f>'Irl. Energy Balance 2013 (ktoe)'!AD37*0.01163</f>
        <v>1.4997117599999999E-5</v>
      </c>
      <c r="AE37" s="1835">
        <f>'Irl. Energy Balance 2013 (ktoe)'!AE37*0.01163</f>
        <v>0</v>
      </c>
      <c r="AF37" s="1835">
        <f>'Irl. Energy Balance 2013 (ktoe)'!AF37*0.01163</f>
        <v>0</v>
      </c>
      <c r="AG37" s="1835">
        <f>'Irl. Energy Balance 2013 (ktoe)'!AG37*0.01163</f>
        <v>0</v>
      </c>
      <c r="AH37" s="3503">
        <f>'Irl. Energy Balance 2013 (ktoe)'!AH37*0.01163</f>
        <v>0</v>
      </c>
      <c r="AI37" s="1777">
        <f>'Irl. Energy Balance 2013 (ktoe)'!AI37*0.01163</f>
        <v>0</v>
      </c>
      <c r="AJ37" s="1950">
        <f>'Irl. Energy Balance 2013 (ktoe)'!AJ37*0.01163</f>
        <v>0</v>
      </c>
      <c r="AK37" s="1948">
        <f>'Irl. Energy Balance 2013 (ktoe)'!AK37*0.01163</f>
        <v>1.6875973178663373</v>
      </c>
      <c r="AL37" s="1778">
        <f>'Irl. Energy Balance 2013 (ktoe)'!AL37*0.01163</f>
        <v>0</v>
      </c>
      <c r="AM37" s="1782">
        <f>'Irl. Energy Balance 2013 (ktoe)'!AM37*0.01163</f>
        <v>2.6737095898238339</v>
      </c>
      <c r="AP37"/>
      <c r="AQ37"/>
      <c r="AR37"/>
      <c r="AS37"/>
      <c r="AT37"/>
      <c r="AU37"/>
      <c r="AV37"/>
    </row>
    <row r="38" spans="1:48">
      <c r="A38" s="1942" t="s">
        <v>1410</v>
      </c>
      <c r="B38" s="1947" t="s">
        <v>1411</v>
      </c>
      <c r="C38" s="1771">
        <f>'Irl. Energy Balance 2013 (ktoe)'!C38*0.01163</f>
        <v>0</v>
      </c>
      <c r="D38" s="1835">
        <f>'Irl. Energy Balance 2013 (ktoe)'!D38*0.01163</f>
        <v>0</v>
      </c>
      <c r="E38" s="1777">
        <f>'Irl. Energy Balance 2013 (ktoe)'!E38*0.01163</f>
        <v>0</v>
      </c>
      <c r="F38" s="1774">
        <f>'Irl. Energy Balance 2013 (ktoe)'!F38*0.01163</f>
        <v>0</v>
      </c>
      <c r="G38" s="1774">
        <f>'Irl. Energy Balance 2013 (ktoe)'!G38*0.01163</f>
        <v>0</v>
      </c>
      <c r="H38" s="1775">
        <f>'Irl. Energy Balance 2013 (ktoe)'!H38*0.01163</f>
        <v>0</v>
      </c>
      <c r="I38" s="1776">
        <f>'Irl. Energy Balance 2013 (ktoe)'!I38*0.01163</f>
        <v>0</v>
      </c>
      <c r="J38" s="1777">
        <f>'Irl. Energy Balance 2013 (ktoe)'!J38*0.01163</f>
        <v>0</v>
      </c>
      <c r="K38" s="1777">
        <f>'Irl. Energy Balance 2013 (ktoe)'!K38*0.01163</f>
        <v>0</v>
      </c>
      <c r="L38" s="1944">
        <f>'Irl. Energy Balance 2013 (ktoe)'!L38*0.01163</f>
        <v>0.11147317597928562</v>
      </c>
      <c r="M38" s="1777">
        <f>'Irl. Energy Balance 2013 (ktoe)'!M38*0.01163</f>
        <v>0</v>
      </c>
      <c r="N38" s="1777">
        <f>'Irl. Energy Balance 2013 (ktoe)'!N38*0.01163</f>
        <v>0</v>
      </c>
      <c r="O38" s="1835">
        <f>'Irl. Energy Balance 2013 (ktoe)'!O38*0.01163</f>
        <v>0</v>
      </c>
      <c r="P38" s="1835">
        <f>'Irl. Energy Balance 2013 (ktoe)'!P38*0.01163</f>
        <v>8.1858058449337564E-4</v>
      </c>
      <c r="Q38" s="1777">
        <f>'Irl. Energy Balance 2013 (ktoe)'!Q38*0.01163</f>
        <v>0</v>
      </c>
      <c r="R38" s="1835">
        <f>'Irl. Energy Balance 2013 (ktoe)'!R38*0.01163</f>
        <v>5.2393745048715554E-4</v>
      </c>
      <c r="S38" s="1835">
        <f>'Irl. Energy Balance 2013 (ktoe)'!S38*0.01163</f>
        <v>6.9634284836752852E-2</v>
      </c>
      <c r="T38" s="1835">
        <f>'Irl. Energy Balance 2013 (ktoe)'!T38*0.01163</f>
        <v>4.049637310755224E-2</v>
      </c>
      <c r="U38" s="1835">
        <f>'Irl. Energy Balance 2013 (ktoe)'!U38*0.01163</f>
        <v>0</v>
      </c>
      <c r="V38" s="1774">
        <f>'Irl. Energy Balance 2013 (ktoe)'!V38*0.01163</f>
        <v>0</v>
      </c>
      <c r="W38" s="1774">
        <f>'Irl. Energy Balance 2013 (ktoe)'!W38*0.01163</f>
        <v>0</v>
      </c>
      <c r="X38" s="1774">
        <f>'Irl. Energy Balance 2013 (ktoe)'!X38*0.01163</f>
        <v>0</v>
      </c>
      <c r="Y38" s="1777">
        <f>'Irl. Energy Balance 2013 (ktoe)'!Y38*0.01163</f>
        <v>0</v>
      </c>
      <c r="Z38" s="1945">
        <f>'Irl. Energy Balance 2013 (ktoe)'!Z38*0.01163</f>
        <v>4.494792859513691E-2</v>
      </c>
      <c r="AA38" s="1778">
        <f>'Irl. Energy Balance 2013 (ktoe)'!AA38*0.01163</f>
        <v>0</v>
      </c>
      <c r="AB38" s="1779">
        <f>'Irl. Energy Balance 2013 (ktoe)'!AB38*0.01163</f>
        <v>0</v>
      </c>
      <c r="AC38" s="1777">
        <f>'Irl. Energy Balance 2013 (ktoe)'!AC38*0.01163</f>
        <v>0</v>
      </c>
      <c r="AD38" s="1777">
        <f>'Irl. Energy Balance 2013 (ktoe)'!AD38*0.01163</f>
        <v>0</v>
      </c>
      <c r="AE38" s="1835">
        <f>'Irl. Energy Balance 2013 (ktoe)'!AE38*0.01163</f>
        <v>0</v>
      </c>
      <c r="AF38" s="1835">
        <f>'Irl. Energy Balance 2013 (ktoe)'!AF38*0.01163</f>
        <v>0</v>
      </c>
      <c r="AG38" s="1835">
        <f>'Irl. Energy Balance 2013 (ktoe)'!AG38*0.01163</f>
        <v>0</v>
      </c>
      <c r="AH38" s="3502">
        <f>'Irl. Energy Balance 2013 (ktoe)'!AH38*0.01163</f>
        <v>0</v>
      </c>
      <c r="AI38" s="1777">
        <f>'Irl. Energy Balance 2013 (ktoe)'!AI38*0.01163</f>
        <v>0</v>
      </c>
      <c r="AJ38" s="1780">
        <f>'Irl. Energy Balance 2013 (ktoe)'!AJ38*0.01163</f>
        <v>0</v>
      </c>
      <c r="AK38" s="1945">
        <f>'Irl. Energy Balance 2013 (ktoe)'!AK38*0.01163</f>
        <v>0.40803419037052524</v>
      </c>
      <c r="AL38" s="1778">
        <f>'Irl. Energy Balance 2013 (ktoe)'!AL38*0.01163</f>
        <v>0</v>
      </c>
      <c r="AM38" s="1782">
        <f>'Irl. Energy Balance 2013 (ktoe)'!AM38*0.01163</f>
        <v>0.56445529494494773</v>
      </c>
      <c r="AP38"/>
      <c r="AQ38"/>
      <c r="AR38"/>
      <c r="AS38"/>
      <c r="AT38"/>
      <c r="AU38"/>
      <c r="AV38"/>
    </row>
    <row r="39" spans="1:48">
      <c r="A39" s="1942" t="s">
        <v>1413</v>
      </c>
      <c r="B39" s="1947" t="s">
        <v>1414</v>
      </c>
      <c r="C39" s="1771">
        <f>'Irl. Energy Balance 2013 (ktoe)'!C39*0.01163</f>
        <v>0.71283614369320014</v>
      </c>
      <c r="D39" s="1776">
        <f>'Irl. Energy Balance 2013 (ktoe)'!D39*0.01163</f>
        <v>0.71283614369320014</v>
      </c>
      <c r="E39" s="1777">
        <f>'Irl. Energy Balance 2013 (ktoe)'!E39*0.01163</f>
        <v>0</v>
      </c>
      <c r="F39" s="1774">
        <f>'Irl. Energy Balance 2013 (ktoe)'!F39*0.01163</f>
        <v>0</v>
      </c>
      <c r="G39" s="1774">
        <f>'Irl. Energy Balance 2013 (ktoe)'!G39*0.01163</f>
        <v>0</v>
      </c>
      <c r="H39" s="1775">
        <f>'Irl. Energy Balance 2013 (ktoe)'!H39*0.01163</f>
        <v>0</v>
      </c>
      <c r="I39" s="1776">
        <f>'Irl. Energy Balance 2013 (ktoe)'!I39*0.01163</f>
        <v>0</v>
      </c>
      <c r="J39" s="1777">
        <f>'Irl. Energy Balance 2013 (ktoe)'!J39*0.01163</f>
        <v>0</v>
      </c>
      <c r="K39" s="1777">
        <f>'Irl. Energy Balance 2013 (ktoe)'!K39*0.01163</f>
        <v>0</v>
      </c>
      <c r="L39" s="1944">
        <f>'Irl. Energy Balance 2013 (ktoe)'!L39*0.01163</f>
        <v>1.6432655041720239</v>
      </c>
      <c r="M39" s="1777">
        <f>'Irl. Energy Balance 2013 (ktoe)'!M39*0.01163</f>
        <v>0</v>
      </c>
      <c r="N39" s="1777">
        <f>'Irl. Energy Balance 2013 (ktoe)'!N39*0.01163</f>
        <v>0</v>
      </c>
      <c r="O39" s="1835">
        <f>'Irl. Energy Balance 2013 (ktoe)'!O39*0.01163</f>
        <v>0</v>
      </c>
      <c r="P39" s="1776">
        <f>'Irl. Energy Balance 2013 (ktoe)'!P39*0.01163</f>
        <v>8.6321639372329714E-2</v>
      </c>
      <c r="Q39" s="1777">
        <f>'Irl. Energy Balance 2013 (ktoe)'!Q39*0.01163</f>
        <v>0</v>
      </c>
      <c r="R39" s="1776">
        <f>'Irl. Energy Balance 2013 (ktoe)'!R39*0.01163</f>
        <v>5.5250686995711555E-2</v>
      </c>
      <c r="S39" s="1776">
        <f>'Irl. Energy Balance 2013 (ktoe)'!S39*0.01163</f>
        <v>1.570475360148043E-2</v>
      </c>
      <c r="T39" s="1776">
        <f>'Irl. Energy Balance 2013 (ktoe)'!T39*0.01163</f>
        <v>0.45750665976075877</v>
      </c>
      <c r="U39" s="1776">
        <f>'Irl. Energy Balance 2013 (ktoe)'!U39*0.01163</f>
        <v>1.0284817644417434</v>
      </c>
      <c r="V39" s="1774">
        <f>'Irl. Energy Balance 2013 (ktoe)'!V39*0.01163</f>
        <v>0</v>
      </c>
      <c r="W39" s="1774">
        <f>'Irl. Energy Balance 2013 (ktoe)'!W39*0.01163</f>
        <v>0</v>
      </c>
      <c r="X39" s="1774">
        <f>'Irl. Energy Balance 2013 (ktoe)'!X39*0.01163</f>
        <v>0</v>
      </c>
      <c r="Y39" s="1777">
        <f>'Irl. Energy Balance 2013 (ktoe)'!Y39*0.01163</f>
        <v>0</v>
      </c>
      <c r="Z39" s="1945">
        <f>'Irl. Energy Balance 2013 (ktoe)'!Z39*0.01163</f>
        <v>0.16941491434035807</v>
      </c>
      <c r="AA39" s="1778">
        <f>'Irl. Energy Balance 2013 (ktoe)'!AA39*0.01163</f>
        <v>0.28496733651353456</v>
      </c>
      <c r="AB39" s="1779">
        <f>'Irl. Energy Balance 2013 (ktoe)'!AB39*0.01163</f>
        <v>0</v>
      </c>
      <c r="AC39" s="1777">
        <f>'Irl. Energy Balance 2013 (ktoe)'!AC39*0.01163</f>
        <v>0</v>
      </c>
      <c r="AD39" s="1777">
        <f>'Irl. Energy Balance 2013 (ktoe)'!AD39*0.01163</f>
        <v>0.28496733651353456</v>
      </c>
      <c r="AE39" s="1835">
        <f>'Irl. Energy Balance 2013 (ktoe)'!AE39*0.01163</f>
        <v>0</v>
      </c>
      <c r="AF39" s="1835">
        <f>'Irl. Energy Balance 2013 (ktoe)'!AF39*0.01163</f>
        <v>0</v>
      </c>
      <c r="AG39" s="1835">
        <f>'Irl. Energy Balance 2013 (ktoe)'!AG39*0.01163</f>
        <v>0</v>
      </c>
      <c r="AH39" s="3502">
        <f>'Irl. Energy Balance 2013 (ktoe)'!AH39*0.01163</f>
        <v>0</v>
      </c>
      <c r="AI39" s="1777">
        <f>'Irl. Energy Balance 2013 (ktoe)'!AI39*0.01163</f>
        <v>0</v>
      </c>
      <c r="AJ39" s="1780">
        <f>'Irl. Energy Balance 2013 (ktoe)'!AJ39*0.01163</f>
        <v>0.40574064059158027</v>
      </c>
      <c r="AK39" s="1945">
        <f>'Irl. Energy Balance 2013 (ktoe)'!AK39*0.01163</f>
        <v>0.59086240284075664</v>
      </c>
      <c r="AL39" s="1778">
        <f>'Irl. Energy Balance 2013 (ktoe)'!AL39*0.01163</f>
        <v>0</v>
      </c>
      <c r="AM39" s="1782">
        <f>'Irl. Energy Balance 2013 (ktoe)'!AM39*0.01163</f>
        <v>3.8070869421514533</v>
      </c>
      <c r="AP39"/>
      <c r="AQ39"/>
      <c r="AR39"/>
      <c r="AS39"/>
      <c r="AT39"/>
      <c r="AU39"/>
      <c r="AV39"/>
    </row>
    <row r="40" spans="1:48">
      <c r="A40" s="1942" t="s">
        <v>1415</v>
      </c>
      <c r="B40" s="1947" t="s">
        <v>1416</v>
      </c>
      <c r="C40" s="1771">
        <f>'Irl. Energy Balance 2013 (ktoe)'!C40*0.01163</f>
        <v>0</v>
      </c>
      <c r="D40" s="1835">
        <f>'Irl. Energy Balance 2013 (ktoe)'!D40*0.01163</f>
        <v>0</v>
      </c>
      <c r="E40" s="1777">
        <f>'Irl. Energy Balance 2013 (ktoe)'!E40*0.01163</f>
        <v>0</v>
      </c>
      <c r="F40" s="1774">
        <f>'Irl. Energy Balance 2013 (ktoe)'!F40*0.01163</f>
        <v>0</v>
      </c>
      <c r="G40" s="1774">
        <f>'Irl. Energy Balance 2013 (ktoe)'!G40*0.01163</f>
        <v>0</v>
      </c>
      <c r="H40" s="1775">
        <f>'Irl. Energy Balance 2013 (ktoe)'!H40*0.01163</f>
        <v>0</v>
      </c>
      <c r="I40" s="1776">
        <f>'Irl. Energy Balance 2013 (ktoe)'!I40*0.01163</f>
        <v>0</v>
      </c>
      <c r="J40" s="1777">
        <f>'Irl. Energy Balance 2013 (ktoe)'!J40*0.01163</f>
        <v>0</v>
      </c>
      <c r="K40" s="1777">
        <f>'Irl. Energy Balance 2013 (ktoe)'!K40*0.01163</f>
        <v>0</v>
      </c>
      <c r="L40" s="1944">
        <f>'Irl. Energy Balance 2013 (ktoe)'!L40*0.01163</f>
        <v>1.1121597130324192</v>
      </c>
      <c r="M40" s="1777">
        <f>'Irl. Energy Balance 2013 (ktoe)'!M40*0.01163</f>
        <v>0</v>
      </c>
      <c r="N40" s="1777">
        <f>'Irl. Energy Balance 2013 (ktoe)'!N40*0.01163</f>
        <v>0</v>
      </c>
      <c r="O40" s="1835">
        <f>'Irl. Energy Balance 2013 (ktoe)'!O40*0.01163</f>
        <v>0</v>
      </c>
      <c r="P40" s="1835">
        <f>'Irl. Energy Balance 2013 (ktoe)'!P40*0.01163</f>
        <v>0</v>
      </c>
      <c r="Q40" s="1777">
        <f>'Irl. Energy Balance 2013 (ktoe)'!Q40*0.01163</f>
        <v>0</v>
      </c>
      <c r="R40" s="1835">
        <f>'Irl. Energy Balance 2013 (ktoe)'!R40*0.01163</f>
        <v>1.0188010038973989</v>
      </c>
      <c r="S40" s="1835">
        <f>'Irl. Energy Balance 2013 (ktoe)'!S40*0.01163</f>
        <v>6.4226515907941206E-2</v>
      </c>
      <c r="T40" s="1835">
        <f>'Irl. Energy Balance 2013 (ktoe)'!T40*0.01163</f>
        <v>2.9132193227079065E-2</v>
      </c>
      <c r="U40" s="1835">
        <f>'Irl. Energy Balance 2013 (ktoe)'!U40*0.01163</f>
        <v>0</v>
      </c>
      <c r="V40" s="1774">
        <f>'Irl. Energy Balance 2013 (ktoe)'!V40*0.01163</f>
        <v>0</v>
      </c>
      <c r="W40" s="1774">
        <f>'Irl. Energy Balance 2013 (ktoe)'!W40*0.01163</f>
        <v>0</v>
      </c>
      <c r="X40" s="1774">
        <f>'Irl. Energy Balance 2013 (ktoe)'!X40*0.01163</f>
        <v>0</v>
      </c>
      <c r="Y40" s="1777">
        <f>'Irl. Energy Balance 2013 (ktoe)'!Y40*0.01163</f>
        <v>0</v>
      </c>
      <c r="Z40" s="1945">
        <f>'Irl. Energy Balance 2013 (ktoe)'!Z40*0.01163</f>
        <v>3.7319241043339058</v>
      </c>
      <c r="AA40" s="1778">
        <f>'Irl. Energy Balance 2013 (ktoe)'!AA40*0.01163</f>
        <v>0</v>
      </c>
      <c r="AB40" s="1779">
        <f>'Irl. Energy Balance 2013 (ktoe)'!AB40*0.01163</f>
        <v>0</v>
      </c>
      <c r="AC40" s="1777">
        <f>'Irl. Energy Balance 2013 (ktoe)'!AC40*0.01163</f>
        <v>0</v>
      </c>
      <c r="AD40" s="1777">
        <f>'Irl. Energy Balance 2013 (ktoe)'!AD40*0.01163</f>
        <v>0</v>
      </c>
      <c r="AE40" s="1835">
        <f>'Irl. Energy Balance 2013 (ktoe)'!AE40*0.01163</f>
        <v>0</v>
      </c>
      <c r="AF40" s="1835">
        <f>'Irl. Energy Balance 2013 (ktoe)'!AF40*0.01163</f>
        <v>0</v>
      </c>
      <c r="AG40" s="1835">
        <f>'Irl. Energy Balance 2013 (ktoe)'!AG40*0.01163</f>
        <v>0</v>
      </c>
      <c r="AH40" s="3502">
        <f>'Irl. Energy Balance 2013 (ktoe)'!AH40*0.01163</f>
        <v>0</v>
      </c>
      <c r="AI40" s="1777">
        <f>'Irl. Energy Balance 2013 (ktoe)'!AI40*0.01163</f>
        <v>0</v>
      </c>
      <c r="AJ40" s="1780">
        <f>'Irl. Energy Balance 2013 (ktoe)'!AJ40*0.01163</f>
        <v>0</v>
      </c>
      <c r="AK40" s="1945">
        <f>'Irl. Energy Balance 2013 (ktoe)'!AK40*0.01163</f>
        <v>0.74147331543022987</v>
      </c>
      <c r="AL40" s="1778">
        <f>'Irl. Energy Balance 2013 (ktoe)'!AL40*0.01163</f>
        <v>0</v>
      </c>
      <c r="AM40" s="1782">
        <f>'Irl. Energy Balance 2013 (ktoe)'!AM40*0.01163</f>
        <v>5.5855571327965547</v>
      </c>
      <c r="AP40"/>
      <c r="AQ40"/>
      <c r="AR40"/>
      <c r="AS40"/>
      <c r="AT40"/>
      <c r="AU40"/>
      <c r="AV40"/>
    </row>
    <row r="41" spans="1:48">
      <c r="A41" s="1942" t="s">
        <v>1417</v>
      </c>
      <c r="B41" s="1947" t="s">
        <v>1418</v>
      </c>
      <c r="C41" s="1771">
        <f>'Irl. Energy Balance 2013 (ktoe)'!C41*0.01163</f>
        <v>0</v>
      </c>
      <c r="D41" s="1835">
        <f>'Irl. Energy Balance 2013 (ktoe)'!D41*0.01163</f>
        <v>0</v>
      </c>
      <c r="E41" s="1777">
        <f>'Irl. Energy Balance 2013 (ktoe)'!E41*0.01163</f>
        <v>0</v>
      </c>
      <c r="F41" s="1774">
        <f>'Irl. Energy Balance 2013 (ktoe)'!F41*0.01163</f>
        <v>0</v>
      </c>
      <c r="G41" s="1774">
        <f>'Irl. Energy Balance 2013 (ktoe)'!G41*0.01163</f>
        <v>0</v>
      </c>
      <c r="H41" s="1775">
        <f>'Irl. Energy Balance 2013 (ktoe)'!H41*0.01163</f>
        <v>0</v>
      </c>
      <c r="I41" s="1776">
        <f>'Irl. Energy Balance 2013 (ktoe)'!I41*0.01163</f>
        <v>0</v>
      </c>
      <c r="J41" s="1777">
        <f>'Irl. Energy Balance 2013 (ktoe)'!J41*0.01163</f>
        <v>0</v>
      </c>
      <c r="K41" s="1777">
        <f>'Irl. Energy Balance 2013 (ktoe)'!K41*0.01163</f>
        <v>0</v>
      </c>
      <c r="L41" s="1944">
        <f>'Irl. Energy Balance 2013 (ktoe)'!L41*0.01163</f>
        <v>6.4561690596425886E-2</v>
      </c>
      <c r="M41" s="1777">
        <f>'Irl. Energy Balance 2013 (ktoe)'!M41*0.01163</f>
        <v>0</v>
      </c>
      <c r="N41" s="1777">
        <f>'Irl. Energy Balance 2013 (ktoe)'!N41*0.01163</f>
        <v>0</v>
      </c>
      <c r="O41" s="1835">
        <f>'Irl. Energy Balance 2013 (ktoe)'!O41*0.01163</f>
        <v>0</v>
      </c>
      <c r="P41" s="1835">
        <f>'Irl. Energy Balance 2013 (ktoe)'!P41*0.01163</f>
        <v>4.4635809229921783E-3</v>
      </c>
      <c r="Q41" s="1777">
        <f>'Irl. Energy Balance 2013 (ktoe)'!Q41*0.01163</f>
        <v>0</v>
      </c>
      <c r="R41" s="1835">
        <f>'Irl. Energy Balance 2013 (ktoe)'!R41*0.01163</f>
        <v>2.8569419469959994E-3</v>
      </c>
      <c r="S41" s="1835">
        <f>'Irl. Energy Balance 2013 (ktoe)'!S41*0.01163</f>
        <v>2.629805437983752E-2</v>
      </c>
      <c r="T41" s="1835">
        <f>'Irl. Energy Balance 2013 (ktoe)'!T41*0.01163</f>
        <v>3.0943113346600191E-2</v>
      </c>
      <c r="U41" s="1835">
        <f>'Irl. Energy Balance 2013 (ktoe)'!U41*0.01163</f>
        <v>0</v>
      </c>
      <c r="V41" s="1774">
        <f>'Irl. Energy Balance 2013 (ktoe)'!V41*0.01163</f>
        <v>0</v>
      </c>
      <c r="W41" s="1774">
        <f>'Irl. Energy Balance 2013 (ktoe)'!W41*0.01163</f>
        <v>0</v>
      </c>
      <c r="X41" s="1774">
        <f>'Irl. Energy Balance 2013 (ktoe)'!X41*0.01163</f>
        <v>0</v>
      </c>
      <c r="Y41" s="1777">
        <f>'Irl. Energy Balance 2013 (ktoe)'!Y41*0.01163</f>
        <v>0</v>
      </c>
      <c r="Z41" s="1945">
        <f>'Irl. Energy Balance 2013 (ktoe)'!Z41*0.01163</f>
        <v>5.492422056359985E-2</v>
      </c>
      <c r="AA41" s="1778">
        <f>'Irl. Energy Balance 2013 (ktoe)'!AA41*0.01163</f>
        <v>0</v>
      </c>
      <c r="AB41" s="1779">
        <f>'Irl. Energy Balance 2013 (ktoe)'!AB41*0.01163</f>
        <v>0</v>
      </c>
      <c r="AC41" s="1777">
        <f>'Irl. Energy Balance 2013 (ktoe)'!AC41*0.01163</f>
        <v>0</v>
      </c>
      <c r="AD41" s="1777">
        <f>'Irl. Energy Balance 2013 (ktoe)'!AD41*0.01163</f>
        <v>0</v>
      </c>
      <c r="AE41" s="1835">
        <f>'Irl. Energy Balance 2013 (ktoe)'!AE41*0.01163</f>
        <v>0</v>
      </c>
      <c r="AF41" s="1835">
        <f>'Irl. Energy Balance 2013 (ktoe)'!AF41*0.01163</f>
        <v>0</v>
      </c>
      <c r="AG41" s="1835">
        <f>'Irl. Energy Balance 2013 (ktoe)'!AG41*0.01163</f>
        <v>0</v>
      </c>
      <c r="AH41" s="3502">
        <f>'Irl. Energy Balance 2013 (ktoe)'!AH41*0.01163</f>
        <v>0</v>
      </c>
      <c r="AI41" s="1777">
        <f>'Irl. Energy Balance 2013 (ktoe)'!AI41*0.01163</f>
        <v>0</v>
      </c>
      <c r="AJ41" s="1780">
        <f>'Irl. Energy Balance 2013 (ktoe)'!AJ41*0.01163</f>
        <v>0</v>
      </c>
      <c r="AK41" s="1945">
        <f>'Irl. Energy Balance 2013 (ktoe)'!AK41*0.01163</f>
        <v>0.23671717963552569</v>
      </c>
      <c r="AL41" s="1778">
        <f>'Irl. Energy Balance 2013 (ktoe)'!AL41*0.01163</f>
        <v>0</v>
      </c>
      <c r="AM41" s="1782">
        <f>'Irl. Energy Balance 2013 (ktoe)'!AM41*0.01163</f>
        <v>0.35620309079555146</v>
      </c>
      <c r="AP41"/>
      <c r="AQ41"/>
      <c r="AR41"/>
      <c r="AS41"/>
      <c r="AT41"/>
      <c r="AU41"/>
      <c r="AV41"/>
    </row>
    <row r="42" spans="1:48">
      <c r="A42" s="1942" t="s">
        <v>1419</v>
      </c>
      <c r="B42" s="1947" t="s">
        <v>1420</v>
      </c>
      <c r="C42" s="1771">
        <f>'Irl. Energy Balance 2013 (ktoe)'!C42*0.01163</f>
        <v>9.1573280370806574E-6</v>
      </c>
      <c r="D42" s="1835">
        <f>'Irl. Energy Balance 2013 (ktoe)'!D42*0.01163</f>
        <v>9.1573280370806574E-6</v>
      </c>
      <c r="E42" s="1777">
        <f>'Irl. Energy Balance 2013 (ktoe)'!E42*0.01163</f>
        <v>0</v>
      </c>
      <c r="F42" s="1774">
        <f>'Irl. Energy Balance 2013 (ktoe)'!F42*0.01163</f>
        <v>0</v>
      </c>
      <c r="G42" s="1774">
        <f>'Irl. Energy Balance 2013 (ktoe)'!G42*0.01163</f>
        <v>0</v>
      </c>
      <c r="H42" s="1775">
        <f>'Irl. Energy Balance 2013 (ktoe)'!H42*0.01163</f>
        <v>0</v>
      </c>
      <c r="I42" s="1776">
        <f>'Irl. Energy Balance 2013 (ktoe)'!I42*0.01163</f>
        <v>0</v>
      </c>
      <c r="J42" s="1777">
        <f>'Irl. Energy Balance 2013 (ktoe)'!J42*0.01163</f>
        <v>0</v>
      </c>
      <c r="K42" s="1777">
        <f>'Irl. Energy Balance 2013 (ktoe)'!K42*0.01163</f>
        <v>0</v>
      </c>
      <c r="L42" s="1944">
        <f>'Irl. Energy Balance 2013 (ktoe)'!L42*0.01163</f>
        <v>0.48876822481258109</v>
      </c>
      <c r="M42" s="1777">
        <f>'Irl. Energy Balance 2013 (ktoe)'!M42*0.01163</f>
        <v>0</v>
      </c>
      <c r="N42" s="1777">
        <f>'Irl. Energy Balance 2013 (ktoe)'!N42*0.01163</f>
        <v>0</v>
      </c>
      <c r="O42" s="1835">
        <f>'Irl. Energy Balance 2013 (ktoe)'!O42*0.01163</f>
        <v>0</v>
      </c>
      <c r="P42" s="1835">
        <f>'Irl. Energy Balance 2013 (ktoe)'!P42*0.01163</f>
        <v>3.691335088564467E-3</v>
      </c>
      <c r="Q42" s="1777">
        <f>'Irl. Energy Balance 2013 (ktoe)'!Q42*0.01163</f>
        <v>0</v>
      </c>
      <c r="R42" s="1835">
        <f>'Irl. Energy Balance 2013 (ktoe)'!R42*0.01163</f>
        <v>2.3626613333288713E-3</v>
      </c>
      <c r="S42" s="1835">
        <f>'Irl. Energy Balance 2013 (ktoe)'!S42*0.01163</f>
        <v>0.46491996982495837</v>
      </c>
      <c r="T42" s="1835">
        <f>'Irl. Energy Balance 2013 (ktoe)'!T42*0.01163</f>
        <v>1.7794258565729373E-2</v>
      </c>
      <c r="U42" s="1835">
        <f>'Irl. Energy Balance 2013 (ktoe)'!U42*0.01163</f>
        <v>0</v>
      </c>
      <c r="V42" s="1774">
        <f>'Irl. Energy Balance 2013 (ktoe)'!V42*0.01163</f>
        <v>0</v>
      </c>
      <c r="W42" s="1774">
        <f>'Irl. Energy Balance 2013 (ktoe)'!W42*0.01163</f>
        <v>0</v>
      </c>
      <c r="X42" s="1774">
        <f>'Irl. Energy Balance 2013 (ktoe)'!X42*0.01163</f>
        <v>0</v>
      </c>
      <c r="Y42" s="1777">
        <f>'Irl. Energy Balance 2013 (ktoe)'!Y42*0.01163</f>
        <v>0</v>
      </c>
      <c r="Z42" s="1948">
        <f>'Irl. Energy Balance 2013 (ktoe)'!Z42*0.01163</f>
        <v>1.2358950896989283</v>
      </c>
      <c r="AA42" s="1778">
        <f>'Irl. Energy Balance 2013 (ktoe)'!AA42*0.01163</f>
        <v>0</v>
      </c>
      <c r="AB42" s="1779">
        <f>'Irl. Energy Balance 2013 (ktoe)'!AB42*0.01163</f>
        <v>0</v>
      </c>
      <c r="AC42" s="1777">
        <f>'Irl. Energy Balance 2013 (ktoe)'!AC42*0.01163</f>
        <v>0</v>
      </c>
      <c r="AD42" s="1777">
        <f>'Irl. Energy Balance 2013 (ktoe)'!AD42*0.01163</f>
        <v>0</v>
      </c>
      <c r="AE42" s="1835">
        <f>'Irl. Energy Balance 2013 (ktoe)'!AE42*0.01163</f>
        <v>0</v>
      </c>
      <c r="AF42" s="1835">
        <f>'Irl. Energy Balance 2013 (ktoe)'!AF42*0.01163</f>
        <v>0</v>
      </c>
      <c r="AG42" s="1835">
        <f>'Irl. Energy Balance 2013 (ktoe)'!AG42*0.01163</f>
        <v>0</v>
      </c>
      <c r="AH42" s="3503">
        <f>'Irl. Energy Balance 2013 (ktoe)'!AH42*0.01163</f>
        <v>0</v>
      </c>
      <c r="AI42" s="1777">
        <f>'Irl. Energy Balance 2013 (ktoe)'!AI42*0.01163</f>
        <v>0</v>
      </c>
      <c r="AJ42" s="1950">
        <f>'Irl. Energy Balance 2013 (ktoe)'!AJ42*0.01163</f>
        <v>0</v>
      </c>
      <c r="AK42" s="1948">
        <f>'Irl. Energy Balance 2013 (ktoe)'!AK42*0.01163</f>
        <v>1.1468741254579613</v>
      </c>
      <c r="AL42" s="1778">
        <f>'Irl. Energy Balance 2013 (ktoe)'!AL42*0.01163</f>
        <v>0</v>
      </c>
      <c r="AM42" s="1782">
        <f>'Irl. Energy Balance 2013 (ktoe)'!AM42*0.01163</f>
        <v>2.8715465972975074</v>
      </c>
      <c r="AP42"/>
      <c r="AQ42"/>
      <c r="AR42"/>
      <c r="AS42"/>
      <c r="AT42"/>
      <c r="AU42"/>
      <c r="AV42"/>
    </row>
    <row r="43" spans="1:48">
      <c r="A43" s="1942" t="s">
        <v>1421</v>
      </c>
      <c r="B43" s="1947" t="s">
        <v>1422</v>
      </c>
      <c r="C43" s="1771">
        <f>'Irl. Energy Balance 2013 (ktoe)'!C43*0.01163</f>
        <v>0</v>
      </c>
      <c r="D43" s="1835">
        <f>'Irl. Energy Balance 2013 (ktoe)'!D43*0.01163</f>
        <v>0</v>
      </c>
      <c r="E43" s="1777">
        <f>'Irl. Energy Balance 2013 (ktoe)'!E43*0.01163</f>
        <v>0</v>
      </c>
      <c r="F43" s="1774">
        <f>'Irl. Energy Balance 2013 (ktoe)'!F43*0.01163</f>
        <v>0</v>
      </c>
      <c r="G43" s="1774">
        <f>'Irl. Energy Balance 2013 (ktoe)'!G43*0.01163</f>
        <v>0</v>
      </c>
      <c r="H43" s="1775">
        <f>'Irl. Energy Balance 2013 (ktoe)'!H43*0.01163</f>
        <v>0</v>
      </c>
      <c r="I43" s="1776">
        <f>'Irl. Energy Balance 2013 (ktoe)'!I43*0.01163</f>
        <v>0</v>
      </c>
      <c r="J43" s="1777">
        <f>'Irl. Energy Balance 2013 (ktoe)'!J43*0.01163</f>
        <v>0</v>
      </c>
      <c r="K43" s="1777">
        <f>'Irl. Energy Balance 2013 (ktoe)'!K43*0.01163</f>
        <v>0</v>
      </c>
      <c r="L43" s="1944">
        <f>'Irl. Energy Balance 2013 (ktoe)'!L43*0.01163</f>
        <v>5.4827801018177406E-2</v>
      </c>
      <c r="M43" s="1777">
        <f>'Irl. Energy Balance 2013 (ktoe)'!M43*0.01163</f>
        <v>0</v>
      </c>
      <c r="N43" s="1777">
        <f>'Irl. Energy Balance 2013 (ktoe)'!N43*0.01163</f>
        <v>0</v>
      </c>
      <c r="O43" s="1835">
        <f>'Irl. Energy Balance 2013 (ktoe)'!O43*0.01163</f>
        <v>0</v>
      </c>
      <c r="P43" s="1835">
        <f>'Irl. Energy Balance 2013 (ktoe)'!P43*0.01163</f>
        <v>2.8881994207596456E-3</v>
      </c>
      <c r="Q43" s="1777">
        <f>'Irl. Energy Balance 2013 (ktoe)'!Q43*0.01163</f>
        <v>0</v>
      </c>
      <c r="R43" s="1835">
        <f>'Irl. Energy Balance 2013 (ktoe)'!R43*0.01163</f>
        <v>1.8486094951150585E-3</v>
      </c>
      <c r="S43" s="1835">
        <f>'Irl. Energy Balance 2013 (ktoe)'!S43*0.01163</f>
        <v>4.1928728954895869E-2</v>
      </c>
      <c r="T43" s="1835">
        <f>'Irl. Energy Balance 2013 (ktoe)'!T43*0.01163</f>
        <v>8.1622631474068345E-3</v>
      </c>
      <c r="U43" s="1835">
        <f>'Irl. Energy Balance 2013 (ktoe)'!U43*0.01163</f>
        <v>0</v>
      </c>
      <c r="V43" s="1774">
        <f>'Irl. Energy Balance 2013 (ktoe)'!V43*0.01163</f>
        <v>0</v>
      </c>
      <c r="W43" s="1774">
        <f>'Irl. Energy Balance 2013 (ktoe)'!W43*0.01163</f>
        <v>0</v>
      </c>
      <c r="X43" s="1774">
        <f>'Irl. Energy Balance 2013 (ktoe)'!X43*0.01163</f>
        <v>0</v>
      </c>
      <c r="Y43" s="1777">
        <f>'Irl. Energy Balance 2013 (ktoe)'!Y43*0.01163</f>
        <v>0</v>
      </c>
      <c r="Z43" s="1951">
        <f>'Irl. Energy Balance 2013 (ktoe)'!Z43*0.01163</f>
        <v>1.8678240072341215E-2</v>
      </c>
      <c r="AA43" s="1778">
        <f>'Irl. Energy Balance 2013 (ktoe)'!AA43*0.01163</f>
        <v>0</v>
      </c>
      <c r="AB43" s="1779">
        <f>'Irl. Energy Balance 2013 (ktoe)'!AB43*0.01163</f>
        <v>0</v>
      </c>
      <c r="AC43" s="1777">
        <f>'Irl. Energy Balance 2013 (ktoe)'!AC43*0.01163</f>
        <v>0</v>
      </c>
      <c r="AD43" s="1777">
        <f>'Irl. Energy Balance 2013 (ktoe)'!AD43*0.01163</f>
        <v>0</v>
      </c>
      <c r="AE43" s="1835">
        <f>'Irl. Energy Balance 2013 (ktoe)'!AE43*0.01163</f>
        <v>0</v>
      </c>
      <c r="AF43" s="1835">
        <f>'Irl. Energy Balance 2013 (ktoe)'!AF43*0.01163</f>
        <v>0</v>
      </c>
      <c r="AG43" s="1835">
        <f>'Irl. Energy Balance 2013 (ktoe)'!AG43*0.01163</f>
        <v>0</v>
      </c>
      <c r="AH43" s="3504">
        <f>'Irl. Energy Balance 2013 (ktoe)'!AH43*0.01163</f>
        <v>0</v>
      </c>
      <c r="AI43" s="1777">
        <f>'Irl. Energy Balance 2013 (ktoe)'!AI43*0.01163</f>
        <v>0</v>
      </c>
      <c r="AJ43" s="1890">
        <f>'Irl. Energy Balance 2013 (ktoe)'!AJ43*0.01163</f>
        <v>0</v>
      </c>
      <c r="AK43" s="1951">
        <f>'Irl. Energy Balance 2013 (ktoe)'!AK43*0.01163</f>
        <v>0.19618672083123675</v>
      </c>
      <c r="AL43" s="1778">
        <f>'Irl. Energy Balance 2013 (ktoe)'!AL43*0.01163</f>
        <v>0</v>
      </c>
      <c r="AM43" s="1782">
        <f>'Irl. Energy Balance 2013 (ktoe)'!AM43*0.01163</f>
        <v>0.2696927619217554</v>
      </c>
      <c r="AP43"/>
      <c r="AQ43"/>
      <c r="AR43"/>
      <c r="AS43"/>
      <c r="AT43"/>
      <c r="AU43"/>
      <c r="AV43"/>
    </row>
    <row r="44" spans="1:48">
      <c r="A44" s="1952" t="s">
        <v>1423</v>
      </c>
      <c r="B44" s="1953" t="s">
        <v>1424</v>
      </c>
      <c r="C44" s="1954">
        <f>'Irl. Energy Balance 2013 (ktoe)'!C44*0.01163</f>
        <v>1.9184602237683978E-3</v>
      </c>
      <c r="D44" s="1955">
        <f>'Irl. Energy Balance 2013 (ktoe)'!D44*0.01163</f>
        <v>1.9184602237683978E-3</v>
      </c>
      <c r="E44" s="1955">
        <f>'Irl. Energy Balance 2013 (ktoe)'!E44*0.01163</f>
        <v>0</v>
      </c>
      <c r="F44" s="1956">
        <f>'Irl. Energy Balance 2013 (ktoe)'!F44*0.01163</f>
        <v>0</v>
      </c>
      <c r="G44" s="1956">
        <f>'Irl. Energy Balance 2013 (ktoe)'!G44*0.01163</f>
        <v>0</v>
      </c>
      <c r="H44" s="1957">
        <f>'Irl. Energy Balance 2013 (ktoe)'!H44*0.01163</f>
        <v>3.9155883999999997E-4</v>
      </c>
      <c r="I44" s="1958">
        <f>'Irl. Energy Balance 2013 (ktoe)'!I44*0.01163</f>
        <v>0</v>
      </c>
      <c r="J44" s="1955">
        <f>'Irl. Energy Balance 2013 (ktoe)'!J44*0.01163</f>
        <v>0</v>
      </c>
      <c r="K44" s="1955">
        <f>'Irl. Energy Balance 2013 (ktoe)'!K44*0.01163</f>
        <v>3.9155883999999997E-4</v>
      </c>
      <c r="L44" s="1959">
        <f>'Irl. Energy Balance 2013 (ktoe)'!L44*0.01163</f>
        <v>0.4498817769692755</v>
      </c>
      <c r="M44" s="1955">
        <f>'Irl. Energy Balance 2013 (ktoe)'!M44*0.01163</f>
        <v>0</v>
      </c>
      <c r="N44" s="1955">
        <f>'Irl. Energy Balance 2013 (ktoe)'!N44*0.01163</f>
        <v>0</v>
      </c>
      <c r="O44" s="1835">
        <f>'Irl. Energy Balance 2013 (ktoe)'!O44*0.01163</f>
        <v>0</v>
      </c>
      <c r="P44" s="1955">
        <f>'Irl. Energy Balance 2013 (ktoe)'!P44*0.01163</f>
        <v>9.6129161469561672E-2</v>
      </c>
      <c r="Q44" s="1955">
        <f>'Irl. Energy Balance 2013 (ktoe)'!Q44*0.01163</f>
        <v>0</v>
      </c>
      <c r="R44" s="1955">
        <f>'Irl. Energy Balance 2013 (ktoe)'!R44*0.01163</f>
        <v>6.1528050789284076E-2</v>
      </c>
      <c r="S44" s="1955">
        <f>'Irl. Energy Balance 2013 (ktoe)'!S44*0.01163</f>
        <v>0.23823814897340126</v>
      </c>
      <c r="T44" s="1955">
        <f>'Irl. Energy Balance 2013 (ktoe)'!T44*0.01163</f>
        <v>5.3986415737028497E-2</v>
      </c>
      <c r="U44" s="1955">
        <f>'Irl. Energy Balance 2013 (ktoe)'!U44*0.01163</f>
        <v>0</v>
      </c>
      <c r="V44" s="1956">
        <f>'Irl. Energy Balance 2013 (ktoe)'!V44*0.01163</f>
        <v>0</v>
      </c>
      <c r="W44" s="1956">
        <f>'Irl. Energy Balance 2013 (ktoe)'!W44*0.01163</f>
        <v>0</v>
      </c>
      <c r="X44" s="1956">
        <f>'Irl. Energy Balance 2013 (ktoe)'!X44*0.01163</f>
        <v>0</v>
      </c>
      <c r="Y44" s="1955">
        <f>'Irl. Energy Balance 2013 (ktoe)'!Y44*0.01163</f>
        <v>0</v>
      </c>
      <c r="Z44" s="1960">
        <f>'Irl. Energy Balance 2013 (ktoe)'!Z44*0.01163</f>
        <v>6.4754873233253143E-2</v>
      </c>
      <c r="AA44" s="1961">
        <f>'Irl. Energy Balance 2013 (ktoe)'!AA44*0.01163</f>
        <v>0</v>
      </c>
      <c r="AB44" s="1962">
        <f>'Irl. Energy Balance 2013 (ktoe)'!AB44*0.01163</f>
        <v>0</v>
      </c>
      <c r="AC44" s="1955">
        <f>'Irl. Energy Balance 2013 (ktoe)'!AC44*0.01163</f>
        <v>0</v>
      </c>
      <c r="AD44" s="1955">
        <f>'Irl. Energy Balance 2013 (ktoe)'!AD44*0.01163</f>
        <v>0</v>
      </c>
      <c r="AE44" s="1887">
        <f>'Irl. Energy Balance 2013 (ktoe)'!AE44*0.01163</f>
        <v>0</v>
      </c>
      <c r="AF44" s="1887">
        <f>'Irl. Energy Balance 2013 (ktoe)'!AF44*0.01163</f>
        <v>0</v>
      </c>
      <c r="AG44" s="1887">
        <f>'Irl. Energy Balance 2013 (ktoe)'!AG44*0.01163</f>
        <v>0</v>
      </c>
      <c r="AH44" s="3505">
        <f>'Irl. Energy Balance 2013 (ktoe)'!AH44*0.01163</f>
        <v>0</v>
      </c>
      <c r="AI44" s="1955">
        <f>'Irl. Energy Balance 2013 (ktoe)'!AI44*0.01163</f>
        <v>0</v>
      </c>
      <c r="AJ44" s="1846">
        <f>'Irl. Energy Balance 2013 (ktoe)'!AJ44*0.01163</f>
        <v>0</v>
      </c>
      <c r="AK44" s="1960">
        <f>'Irl. Energy Balance 2013 (ktoe)'!AK44*0.01163</f>
        <v>0.90210599754294407</v>
      </c>
      <c r="AL44" s="1961">
        <f>'Irl. Energy Balance 2013 (ktoe)'!AL44*0.01163</f>
        <v>0</v>
      </c>
      <c r="AM44" s="1964">
        <f>'Irl. Energy Balance 2013 (ktoe)'!AM44*0.01163</f>
        <v>1.4190526668092411</v>
      </c>
      <c r="AP44"/>
      <c r="AQ44"/>
      <c r="AR44"/>
      <c r="AS44"/>
      <c r="AT44"/>
      <c r="AU44"/>
      <c r="AV44"/>
    </row>
    <row r="45" spans="1:48">
      <c r="A45" s="1965" t="s">
        <v>482</v>
      </c>
      <c r="B45" s="1966"/>
      <c r="C45" s="1967">
        <f>'Irl. Energy Balance 2013 (ktoe)'!C45*0.01163</f>
        <v>0</v>
      </c>
      <c r="D45" s="1857">
        <f>'Irl. Energy Balance 2013 (ktoe)'!D45*0.01163</f>
        <v>0</v>
      </c>
      <c r="E45" s="1857">
        <f>'Irl. Energy Balance 2013 (ktoe)'!E45*0.01163</f>
        <v>0</v>
      </c>
      <c r="F45" s="1968">
        <f>'Irl. Energy Balance 2013 (ktoe)'!F45*0.01163</f>
        <v>0</v>
      </c>
      <c r="G45" s="1968">
        <f>'Irl. Energy Balance 2013 (ktoe)'!G45*0.01163</f>
        <v>0</v>
      </c>
      <c r="H45" s="1969">
        <f>'Irl. Energy Balance 2013 (ktoe)'!H45*0.01163</f>
        <v>0</v>
      </c>
      <c r="I45" s="1970">
        <f>'Irl. Energy Balance 2013 (ktoe)'!I45*0.01163</f>
        <v>0</v>
      </c>
      <c r="J45" s="1857">
        <f>'Irl. Energy Balance 2013 (ktoe)'!J45*0.01163</f>
        <v>0</v>
      </c>
      <c r="K45" s="1857">
        <f>'Irl. Energy Balance 2013 (ktoe)'!K45*0.01163</f>
        <v>0</v>
      </c>
      <c r="L45" s="1969">
        <f>'Irl. Energy Balance 2013 (ktoe)'!L45*0.01163</f>
        <v>48.529723366399416</v>
      </c>
      <c r="M45" s="1857">
        <f>'Irl. Energy Balance 2013 (ktoe)'!M45*0.01163</f>
        <v>0</v>
      </c>
      <c r="N45" s="1857">
        <f>'Irl. Energy Balance 2013 (ktoe)'!N45*0.01163</f>
        <v>0</v>
      </c>
      <c r="O45" s="1857">
        <f>'Irl. Energy Balance 2013 (ktoe)'!O45*0.01163</f>
        <v>13.933536616293274</v>
      </c>
      <c r="P45" s="1857">
        <f>'Irl. Energy Balance 2013 (ktoe)'!P45*0.01163</f>
        <v>0</v>
      </c>
      <c r="Q45" s="1857">
        <f>'Irl. Energy Balance 2013 (ktoe)'!Q45*0.01163</f>
        <v>7.0439895727463462</v>
      </c>
      <c r="R45" s="1857">
        <f>'Irl. Energy Balance 2013 (ktoe)'!R45*0.01163</f>
        <v>0</v>
      </c>
      <c r="S45" s="1857">
        <f>'Irl. Energy Balance 2013 (ktoe)'!S45*0.01163</f>
        <v>1.5159187710960835E-2</v>
      </c>
      <c r="T45" s="1857">
        <f>'Irl. Energy Balance 2013 (ktoe)'!T45*0.01163</f>
        <v>27.537037989648852</v>
      </c>
      <c r="U45" s="1857">
        <f>'Irl. Energy Balance 2013 (ktoe)'!U45*0.01163</f>
        <v>0</v>
      </c>
      <c r="V45" s="1968">
        <f>'Irl. Energy Balance 2013 (ktoe)'!V45*0.01163</f>
        <v>0</v>
      </c>
      <c r="W45" s="1968">
        <f>'Irl. Energy Balance 2013 (ktoe)'!W45*0.01163</f>
        <v>0</v>
      </c>
      <c r="X45" s="1968">
        <f>'Irl. Energy Balance 2013 (ktoe)'!X45*0.01163</f>
        <v>0</v>
      </c>
      <c r="Y45" s="1857">
        <f>'Irl. Energy Balance 2013 (ktoe)'!Y45*0.01163</f>
        <v>0</v>
      </c>
      <c r="Z45" s="1969">
        <f>'Irl. Energy Balance 2013 (ktoe)'!Z45*0.01163</f>
        <v>0</v>
      </c>
      <c r="AA45" s="1971">
        <f>'Irl. Energy Balance 2013 (ktoe)'!AA45*0.01163</f>
        <v>1.189104060513738</v>
      </c>
      <c r="AB45" s="1972">
        <f>'Irl. Energy Balance 2013 (ktoe)'!AB45*0.01163</f>
        <v>0</v>
      </c>
      <c r="AC45" s="1857">
        <f>'Irl. Energy Balance 2013 (ktoe)'!AC45*0.01163</f>
        <v>0</v>
      </c>
      <c r="AD45" s="1857">
        <f>'Irl. Energy Balance 2013 (ktoe)'!AD45*0.01163</f>
        <v>0</v>
      </c>
      <c r="AE45" s="1857">
        <f>'Irl. Energy Balance 2013 (ktoe)'!AE45*0.01163</f>
        <v>0</v>
      </c>
      <c r="AF45" s="1857">
        <f>'Irl. Energy Balance 2013 (ktoe)'!AF45*0.01163</f>
        <v>0</v>
      </c>
      <c r="AG45" s="1857">
        <f>'Irl. Energy Balance 2013 (ktoe)'!AG45*0.01163</f>
        <v>1.189104060513738</v>
      </c>
      <c r="AH45" s="3506">
        <f>'Irl. Energy Balance 2013 (ktoe)'!AH45*0.01163</f>
        <v>0</v>
      </c>
      <c r="AI45" s="1857">
        <f>'Irl. Energy Balance 2013 (ktoe)'!AI45*0.01163</f>
        <v>0</v>
      </c>
      <c r="AJ45" s="1969">
        <f>'Irl. Energy Balance 2013 (ktoe)'!AJ45*0.01163</f>
        <v>0</v>
      </c>
      <c r="AK45" s="1969">
        <f>'Irl. Energy Balance 2013 (ktoe)'!AK45*0.01163</f>
        <v>4.1826848477780003E-2</v>
      </c>
      <c r="AL45" s="1971">
        <f>'Irl. Energy Balance 2013 (ktoe)'!AL45*0.01163</f>
        <v>0</v>
      </c>
      <c r="AM45" s="1973">
        <f>'Irl. Energy Balance 2013 (ktoe)'!AM45*0.01163</f>
        <v>49.760654275390934</v>
      </c>
      <c r="AP45"/>
      <c r="AQ45"/>
      <c r="AR45"/>
      <c r="AS45"/>
      <c r="AT45"/>
      <c r="AU45"/>
      <c r="AV45"/>
    </row>
    <row r="46" spans="1:48">
      <c r="A46" s="1974" t="s">
        <v>1252</v>
      </c>
      <c r="B46" s="1975"/>
      <c r="C46" s="1860">
        <f>'Irl. Energy Balance 2013 (ktoe)'!C46*0.01163</f>
        <v>0</v>
      </c>
      <c r="D46" s="1976">
        <f>'Irl. Energy Balance 2013 (ktoe)'!D46*0.01163</f>
        <v>0</v>
      </c>
      <c r="E46" s="1880">
        <f>'Irl. Energy Balance 2013 (ktoe)'!E46*0.01163</f>
        <v>0</v>
      </c>
      <c r="F46" s="1825">
        <f>'Irl. Energy Balance 2013 (ktoe)'!F46*0.01163</f>
        <v>0</v>
      </c>
      <c r="G46" s="1825">
        <f>'Irl. Energy Balance 2013 (ktoe)'!G46*0.01163</f>
        <v>0</v>
      </c>
      <c r="H46" s="1831">
        <f>'Irl. Energy Balance 2013 (ktoe)'!H46*0.01163</f>
        <v>0</v>
      </c>
      <c r="I46" s="1823">
        <f>'Irl. Energy Balance 2013 (ktoe)'!I46*0.01163</f>
        <v>0</v>
      </c>
      <c r="J46" s="1824">
        <f>'Irl. Energy Balance 2013 (ktoe)'!J46*0.01163</f>
        <v>0</v>
      </c>
      <c r="K46" s="1824">
        <f>'Irl. Energy Balance 2013 (ktoe)'!K46*0.01163</f>
        <v>0</v>
      </c>
      <c r="L46" s="1831">
        <f>'Irl. Energy Balance 2013 (ktoe)'!L46*0.01163</f>
        <v>6.54002115190106</v>
      </c>
      <c r="M46" s="1824">
        <f>'Irl. Energy Balance 2013 (ktoe)'!M46*0.01163</f>
        <v>0</v>
      </c>
      <c r="N46" s="1824">
        <f>'Irl. Energy Balance 2013 (ktoe)'!N46*0.01163</f>
        <v>0</v>
      </c>
      <c r="O46" s="1824">
        <f>'Irl. Energy Balance 2013 (ktoe)'!O46*0.01163</f>
        <v>0</v>
      </c>
      <c r="P46" s="1824">
        <f>'Irl. Energy Balance 2013 (ktoe)'!P46*0.01163</f>
        <v>0</v>
      </c>
      <c r="Q46" s="1824">
        <f>'Irl. Energy Balance 2013 (ktoe)'!Q46*0.01163</f>
        <v>0</v>
      </c>
      <c r="R46" s="1824">
        <f>'Irl. Energy Balance 2013 (ktoe)'!R46*0.01163</f>
        <v>0</v>
      </c>
      <c r="S46" s="1824">
        <f>'Irl. Energy Balance 2013 (ktoe)'!S46*0.01163</f>
        <v>0</v>
      </c>
      <c r="T46" s="1824">
        <f>'Irl. Energy Balance 2013 (ktoe)'!T46*0.01163</f>
        <v>6.54002115190106</v>
      </c>
      <c r="U46" s="1824">
        <f>'Irl. Energy Balance 2013 (ktoe)'!U46*0.01163</f>
        <v>0</v>
      </c>
      <c r="V46" s="1825">
        <f>'Irl. Energy Balance 2013 (ktoe)'!V46*0.01163</f>
        <v>0</v>
      </c>
      <c r="W46" s="1825">
        <f>'Irl. Energy Balance 2013 (ktoe)'!W46*0.01163</f>
        <v>0</v>
      </c>
      <c r="X46" s="1825">
        <f>'Irl. Energy Balance 2013 (ktoe)'!X46*0.01163</f>
        <v>0</v>
      </c>
      <c r="Y46" s="1824">
        <f>'Irl. Energy Balance 2013 (ktoe)'!Y46*0.01163</f>
        <v>0</v>
      </c>
      <c r="Z46" s="1831">
        <f>'Irl. Energy Balance 2013 (ktoe)'!Z46*0.01163</f>
        <v>0</v>
      </c>
      <c r="AA46" s="1827">
        <f>'Irl. Energy Balance 2013 (ktoe)'!AA46*0.01163</f>
        <v>0.21196503559318358</v>
      </c>
      <c r="AB46" s="1828">
        <f>'Irl. Energy Balance 2013 (ktoe)'!AB46*0.01163</f>
        <v>0</v>
      </c>
      <c r="AC46" s="1824">
        <f>'Irl. Energy Balance 2013 (ktoe)'!AC46*0.01163</f>
        <v>0</v>
      </c>
      <c r="AD46" s="1824">
        <f>'Irl. Energy Balance 2013 (ktoe)'!AD46*0.01163</f>
        <v>0</v>
      </c>
      <c r="AE46" s="1824">
        <f>'Irl. Energy Balance 2013 (ktoe)'!AE46*0.01163</f>
        <v>0</v>
      </c>
      <c r="AF46" s="1824">
        <f>'Irl. Energy Balance 2013 (ktoe)'!AF46*0.01163</f>
        <v>0</v>
      </c>
      <c r="AG46" s="1824">
        <f>'Irl. Energy Balance 2013 (ktoe)'!AG46*0.01163</f>
        <v>0.21196503559318358</v>
      </c>
      <c r="AH46" s="3501">
        <f>'Irl. Energy Balance 2013 (ktoe)'!AH46*0.01163</f>
        <v>0</v>
      </c>
      <c r="AI46" s="1824">
        <f>'Irl. Energy Balance 2013 (ktoe)'!AI46*0.01163</f>
        <v>0</v>
      </c>
      <c r="AJ46" s="1831">
        <f>'Irl. Energy Balance 2013 (ktoe)'!AJ46*0.01163</f>
        <v>0</v>
      </c>
      <c r="AK46" s="1861">
        <f>'Irl. Energy Balance 2013 (ktoe)'!AK46*0.01163</f>
        <v>0</v>
      </c>
      <c r="AL46" s="1827">
        <f>'Irl. Energy Balance 2013 (ktoe)'!AL46*0.01163</f>
        <v>0</v>
      </c>
      <c r="AM46" s="3451">
        <f>'Irl. Energy Balance 2013 (ktoe)'!AM46*0.01163</f>
        <v>6.7519861874942446</v>
      </c>
      <c r="AP46"/>
      <c r="AQ46"/>
      <c r="AR46"/>
      <c r="AS46"/>
      <c r="AT46"/>
      <c r="AU46"/>
      <c r="AV46"/>
    </row>
    <row r="47" spans="1:48">
      <c r="A47" s="1977" t="s">
        <v>1425</v>
      </c>
      <c r="B47" s="1978"/>
      <c r="C47" s="1934">
        <f>'Irl. Energy Balance 2013 (ktoe)'!C47*0.01163</f>
        <v>0</v>
      </c>
      <c r="D47" s="1979">
        <f>'Irl. Energy Balance 2013 (ktoe)'!D47*0.01163</f>
        <v>0</v>
      </c>
      <c r="E47" s="1980">
        <f>'Irl. Energy Balance 2013 (ktoe)'!E47*0.01163</f>
        <v>0</v>
      </c>
      <c r="F47" s="1935">
        <f>'Irl. Energy Balance 2013 (ktoe)'!F47*0.01163</f>
        <v>0</v>
      </c>
      <c r="G47" s="1935">
        <f>'Irl. Energy Balance 2013 (ktoe)'!G47*0.01163</f>
        <v>0</v>
      </c>
      <c r="H47" s="1936">
        <f>'Irl. Energy Balance 2013 (ktoe)'!H47*0.01163</f>
        <v>0</v>
      </c>
      <c r="I47" s="1937">
        <f>'Irl. Energy Balance 2013 (ktoe)'!I47*0.01163</f>
        <v>0</v>
      </c>
      <c r="J47" s="1835">
        <f>'Irl. Energy Balance 2013 (ktoe)'!J47*0.01163</f>
        <v>0</v>
      </c>
      <c r="K47" s="1835">
        <f>'Irl. Energy Balance 2013 (ktoe)'!K47*0.01163</f>
        <v>0</v>
      </c>
      <c r="L47" s="1936">
        <f>'Irl. Energy Balance 2013 (ktoe)'!L47*0.01163</f>
        <v>3.594664948039171</v>
      </c>
      <c r="M47" s="1835">
        <f>'Irl. Energy Balance 2013 (ktoe)'!M47*0.01163</f>
        <v>0</v>
      </c>
      <c r="N47" s="1835">
        <f>'Irl. Energy Balance 2013 (ktoe)'!N47*0.01163</f>
        <v>0</v>
      </c>
      <c r="O47" s="1835">
        <f>'Irl. Energy Balance 2013 (ktoe)'!O47*0.01163</f>
        <v>0</v>
      </c>
      <c r="P47" s="1835">
        <f>'Irl. Energy Balance 2013 (ktoe)'!P47*0.01163</f>
        <v>0</v>
      </c>
      <c r="Q47" s="1835">
        <f>'Irl. Energy Balance 2013 (ktoe)'!Q47*0.01163</f>
        <v>0</v>
      </c>
      <c r="R47" s="1835">
        <f>'Irl. Energy Balance 2013 (ktoe)'!R47*0.01163</f>
        <v>0</v>
      </c>
      <c r="S47" s="1835">
        <f>'Irl. Energy Balance 2013 (ktoe)'!S47*0.01163</f>
        <v>0</v>
      </c>
      <c r="T47" s="1835">
        <f>'Irl. Energy Balance 2013 (ktoe)'!T47*0.01163</f>
        <v>3.594664948039171</v>
      </c>
      <c r="U47" s="1835">
        <f>'Irl. Energy Balance 2013 (ktoe)'!U47*0.01163</f>
        <v>0</v>
      </c>
      <c r="V47" s="1935">
        <f>'Irl. Energy Balance 2013 (ktoe)'!V47*0.01163</f>
        <v>0</v>
      </c>
      <c r="W47" s="1935">
        <f>'Irl. Energy Balance 2013 (ktoe)'!W47*0.01163</f>
        <v>0</v>
      </c>
      <c r="X47" s="1935">
        <f>'Irl. Energy Balance 2013 (ktoe)'!X47*0.01163</f>
        <v>0</v>
      </c>
      <c r="Y47" s="1835">
        <f>'Irl. Energy Balance 2013 (ktoe)'!Y47*0.01163</f>
        <v>0</v>
      </c>
      <c r="Z47" s="1936">
        <f>'Irl. Energy Balance 2013 (ktoe)'!Z47*0.01163</f>
        <v>0</v>
      </c>
      <c r="AA47" s="1940">
        <f>'Irl. Energy Balance 2013 (ktoe)'!AA47*0.01163</f>
        <v>0.11650471244044983</v>
      </c>
      <c r="AB47" s="1941">
        <f>'Irl. Energy Balance 2013 (ktoe)'!AB47*0.01163</f>
        <v>0</v>
      </c>
      <c r="AC47" s="1835">
        <f>'Irl. Energy Balance 2013 (ktoe)'!AC47*0.01163</f>
        <v>0</v>
      </c>
      <c r="AD47" s="1835">
        <f>'Irl. Energy Balance 2013 (ktoe)'!AD47*0.01163</f>
        <v>0</v>
      </c>
      <c r="AE47" s="1835">
        <f>'Irl. Energy Balance 2013 (ktoe)'!AE47*0.01163</f>
        <v>0</v>
      </c>
      <c r="AF47" s="1835">
        <f>'Irl. Energy Balance 2013 (ktoe)'!AF47*0.01163</f>
        <v>0</v>
      </c>
      <c r="AG47" s="1835">
        <f>'Irl. Energy Balance 2013 (ktoe)'!AG47*0.01163</f>
        <v>0.11650471244044983</v>
      </c>
      <c r="AH47" s="3503">
        <f>'Irl. Energy Balance 2013 (ktoe)'!AH47*0.01163</f>
        <v>0</v>
      </c>
      <c r="AI47" s="1835">
        <f>'Irl. Energy Balance 2013 (ktoe)'!AI47*0.01163</f>
        <v>0</v>
      </c>
      <c r="AJ47" s="1936">
        <f>'Irl. Energy Balance 2013 (ktoe)'!AJ47*0.01163</f>
        <v>0</v>
      </c>
      <c r="AK47" s="1950">
        <f>'Irl. Energy Balance 2013 (ktoe)'!AK47*0.01163</f>
        <v>0</v>
      </c>
      <c r="AL47" s="1940">
        <f>'Irl. Energy Balance 2013 (ktoe)'!AL47*0.01163</f>
        <v>0</v>
      </c>
      <c r="AM47" s="3452">
        <f>'Irl. Energy Balance 2013 (ktoe)'!AM47*0.01163</f>
        <v>3.7111696604796212</v>
      </c>
      <c r="AP47"/>
      <c r="AQ47"/>
      <c r="AR47"/>
      <c r="AS47"/>
      <c r="AT47"/>
      <c r="AU47"/>
      <c r="AV47"/>
    </row>
    <row r="48" spans="1:48">
      <c r="A48" s="1981" t="s">
        <v>1426</v>
      </c>
      <c r="B48" s="1982"/>
      <c r="C48" s="1771">
        <f>'Irl. Energy Balance 2013 (ktoe)'!C48*0.01163</f>
        <v>0</v>
      </c>
      <c r="D48" s="1772">
        <f>'Irl. Energy Balance 2013 (ktoe)'!D48*0.01163</f>
        <v>0</v>
      </c>
      <c r="E48" s="1783">
        <f>'Irl. Energy Balance 2013 (ktoe)'!E48*0.01163</f>
        <v>0</v>
      </c>
      <c r="F48" s="1774">
        <f>'Irl. Energy Balance 2013 (ktoe)'!F48*0.01163</f>
        <v>0</v>
      </c>
      <c r="G48" s="1774">
        <f>'Irl. Energy Balance 2013 (ktoe)'!G48*0.01163</f>
        <v>0</v>
      </c>
      <c r="H48" s="1775">
        <f>'Irl. Energy Balance 2013 (ktoe)'!H48*0.01163</f>
        <v>0</v>
      </c>
      <c r="I48" s="1776">
        <f>'Irl. Energy Balance 2013 (ktoe)'!I48*0.01163</f>
        <v>0</v>
      </c>
      <c r="J48" s="1777">
        <f>'Irl. Energy Balance 2013 (ktoe)'!J48*0.01163</f>
        <v>0</v>
      </c>
      <c r="K48" s="1777">
        <f>'Irl. Energy Balance 2013 (ktoe)'!K48*0.01163</f>
        <v>0</v>
      </c>
      <c r="L48" s="1775">
        <f>'Irl. Energy Balance 2013 (ktoe)'!L48*0.01163</f>
        <v>20.835058097142223</v>
      </c>
      <c r="M48" s="1777">
        <f>'Irl. Energy Balance 2013 (ktoe)'!M48*0.01163</f>
        <v>0</v>
      </c>
      <c r="N48" s="1777">
        <f>'Irl. Energy Balance 2013 (ktoe)'!N48*0.01163</f>
        <v>0</v>
      </c>
      <c r="O48" s="1777">
        <f>'Irl. Energy Balance 2013 (ktoe)'!O48*0.01163</f>
        <v>10.677137083071901</v>
      </c>
      <c r="P48" s="1777">
        <f>'Irl. Energy Balance 2013 (ktoe)'!P48*0.01163</f>
        <v>0</v>
      </c>
      <c r="Q48" s="1777">
        <f>'Irl. Energy Balance 2013 (ktoe)'!Q48*0.01163</f>
        <v>0</v>
      </c>
      <c r="R48" s="1777">
        <f>'Irl. Energy Balance 2013 (ktoe)'!R48*0.01163</f>
        <v>0</v>
      </c>
      <c r="S48" s="1777">
        <f>'Irl. Energy Balance 2013 (ktoe)'!S48*0.01163</f>
        <v>1.5159187710960835E-2</v>
      </c>
      <c r="T48" s="1777">
        <f>'Irl. Energy Balance 2013 (ktoe)'!T48*0.01163</f>
        <v>10.142761826359362</v>
      </c>
      <c r="U48" s="1777">
        <f>'Irl. Energy Balance 2013 (ktoe)'!U48*0.01163</f>
        <v>0</v>
      </c>
      <c r="V48" s="1774">
        <f>'Irl. Energy Balance 2013 (ktoe)'!V48*0.01163</f>
        <v>0</v>
      </c>
      <c r="W48" s="1774">
        <f>'Irl. Energy Balance 2013 (ktoe)'!W48*0.01163</f>
        <v>0</v>
      </c>
      <c r="X48" s="1774">
        <f>'Irl. Energy Balance 2013 (ktoe)'!X48*0.01163</f>
        <v>0</v>
      </c>
      <c r="Y48" s="1777">
        <f>'Irl. Energy Balance 2013 (ktoe)'!Y48*0.01163</f>
        <v>0</v>
      </c>
      <c r="Z48" s="1775">
        <f>'Irl. Energy Balance 2013 (ktoe)'!Z48*0.01163</f>
        <v>0</v>
      </c>
      <c r="AA48" s="1778">
        <f>'Irl. Energy Balance 2013 (ktoe)'!AA48*0.01163</f>
        <v>0.58395005435288949</v>
      </c>
      <c r="AB48" s="1779">
        <f>'Irl. Energy Balance 2013 (ktoe)'!AB48*0.01163</f>
        <v>0</v>
      </c>
      <c r="AC48" s="1777">
        <f>'Irl. Energy Balance 2013 (ktoe)'!AC48*0.01163</f>
        <v>0</v>
      </c>
      <c r="AD48" s="1777">
        <f>'Irl. Energy Balance 2013 (ktoe)'!AD48*0.01163</f>
        <v>0</v>
      </c>
      <c r="AE48" s="1777">
        <f>'Irl. Energy Balance 2013 (ktoe)'!AE48*0.01163</f>
        <v>0</v>
      </c>
      <c r="AF48" s="1777">
        <f>'Irl. Energy Balance 2013 (ktoe)'!AF48*0.01163</f>
        <v>0</v>
      </c>
      <c r="AG48" s="1777">
        <f>'Irl. Energy Balance 2013 (ktoe)'!AG48*0.01163</f>
        <v>0.58395005435288949</v>
      </c>
      <c r="AH48" s="3502">
        <f>'Irl. Energy Balance 2013 (ktoe)'!AH48*0.01163</f>
        <v>0</v>
      </c>
      <c r="AI48" s="1777">
        <f>'Irl. Energy Balance 2013 (ktoe)'!AI48*0.01163</f>
        <v>0</v>
      </c>
      <c r="AJ48" s="1775">
        <f>'Irl. Energy Balance 2013 (ktoe)'!AJ48*0.01163</f>
        <v>0</v>
      </c>
      <c r="AK48" s="1780">
        <f>'Irl. Energy Balance 2013 (ktoe)'!AK48*0.01163</f>
        <v>0</v>
      </c>
      <c r="AL48" s="1778">
        <f>'Irl. Energy Balance 2013 (ktoe)'!AL48*0.01163</f>
        <v>0</v>
      </c>
      <c r="AM48" s="3453">
        <f>'Irl. Energy Balance 2013 (ktoe)'!AM48*0.01163</f>
        <v>21.419008151495113</v>
      </c>
      <c r="AP48"/>
      <c r="AQ48"/>
      <c r="AR48"/>
      <c r="AS48"/>
      <c r="AT48"/>
      <c r="AU48"/>
      <c r="AV48"/>
    </row>
    <row r="49" spans="1:48">
      <c r="A49" s="1981" t="s">
        <v>1427</v>
      </c>
      <c r="B49" s="1982"/>
      <c r="C49" s="1771">
        <f>'Irl. Energy Balance 2013 (ktoe)'!C49*0.01163</f>
        <v>0</v>
      </c>
      <c r="D49" s="1772">
        <f>'Irl. Energy Balance 2013 (ktoe)'!D49*0.01163</f>
        <v>0</v>
      </c>
      <c r="E49" s="1783">
        <f>'Irl. Energy Balance 2013 (ktoe)'!E49*0.01163</f>
        <v>0</v>
      </c>
      <c r="F49" s="1774">
        <f>'Irl. Energy Balance 2013 (ktoe)'!F49*0.01163</f>
        <v>0</v>
      </c>
      <c r="G49" s="1774">
        <f>'Irl. Energy Balance 2013 (ktoe)'!G49*0.01163</f>
        <v>0</v>
      </c>
      <c r="H49" s="1775">
        <f>'Irl. Energy Balance 2013 (ktoe)'!H49*0.01163</f>
        <v>0</v>
      </c>
      <c r="I49" s="1776">
        <f>'Irl. Energy Balance 2013 (ktoe)'!I49*0.01163</f>
        <v>0</v>
      </c>
      <c r="J49" s="1777">
        <f>'Irl. Energy Balance 2013 (ktoe)'!J49*0.01163</f>
        <v>0</v>
      </c>
      <c r="K49" s="1777">
        <f>'Irl. Energy Balance 2013 (ktoe)'!K49*0.01163</f>
        <v>0</v>
      </c>
      <c r="L49" s="1775">
        <f>'Irl. Energy Balance 2013 (ktoe)'!L49*0.01163</f>
        <v>1.7076273105045896</v>
      </c>
      <c r="M49" s="1777">
        <f>'Irl. Energy Balance 2013 (ktoe)'!M49*0.01163</f>
        <v>0</v>
      </c>
      <c r="N49" s="1777">
        <f>'Irl. Energy Balance 2013 (ktoe)'!N49*0.01163</f>
        <v>0</v>
      </c>
      <c r="O49" s="1777">
        <f>'Irl. Energy Balance 2013 (ktoe)'!O49*0.01163</f>
        <v>0.23482915621951433</v>
      </c>
      <c r="P49" s="1777">
        <f>'Irl. Energy Balance 2013 (ktoe)'!P49*0.01163</f>
        <v>0</v>
      </c>
      <c r="Q49" s="1777">
        <f>'Irl. Energy Balance 2013 (ktoe)'!Q49*0.01163</f>
        <v>0</v>
      </c>
      <c r="R49" s="1777">
        <f>'Irl. Energy Balance 2013 (ktoe)'!R49*0.01163</f>
        <v>0</v>
      </c>
      <c r="S49" s="1777">
        <f>'Irl. Energy Balance 2013 (ktoe)'!S49*0.01163</f>
        <v>0</v>
      </c>
      <c r="T49" s="1777">
        <f>'Irl. Energy Balance 2013 (ktoe)'!T49*0.01163</f>
        <v>1.4727981542850754</v>
      </c>
      <c r="U49" s="1777">
        <f>'Irl. Energy Balance 2013 (ktoe)'!U49*0.01163</f>
        <v>0</v>
      </c>
      <c r="V49" s="1774">
        <f>'Irl. Energy Balance 2013 (ktoe)'!V49*0.01163</f>
        <v>0</v>
      </c>
      <c r="W49" s="1774">
        <f>'Irl. Energy Balance 2013 (ktoe)'!W49*0.01163</f>
        <v>0</v>
      </c>
      <c r="X49" s="1774">
        <f>'Irl. Energy Balance 2013 (ktoe)'!X49*0.01163</f>
        <v>0</v>
      </c>
      <c r="Y49" s="1777">
        <f>'Irl. Energy Balance 2013 (ktoe)'!Y49*0.01163</f>
        <v>0</v>
      </c>
      <c r="Z49" s="1775">
        <f>'Irl. Energy Balance 2013 (ktoe)'!Z49*0.01163</f>
        <v>0</v>
      </c>
      <c r="AA49" s="1778">
        <f>'Irl. Energy Balance 2013 (ktoe)'!AA49*0.01163</f>
        <v>5.3334257230767478E-2</v>
      </c>
      <c r="AB49" s="1779">
        <f>'Irl. Energy Balance 2013 (ktoe)'!AB49*0.01163</f>
        <v>0</v>
      </c>
      <c r="AC49" s="1777">
        <f>'Irl. Energy Balance 2013 (ktoe)'!AC49*0.01163</f>
        <v>0</v>
      </c>
      <c r="AD49" s="1777">
        <f>'Irl. Energy Balance 2013 (ktoe)'!AD49*0.01163</f>
        <v>0</v>
      </c>
      <c r="AE49" s="1777">
        <f>'Irl. Energy Balance 2013 (ktoe)'!AE49*0.01163</f>
        <v>0</v>
      </c>
      <c r="AF49" s="1777">
        <f>'Irl. Energy Balance 2013 (ktoe)'!AF49*0.01163</f>
        <v>0</v>
      </c>
      <c r="AG49" s="1777">
        <f>'Irl. Energy Balance 2013 (ktoe)'!AG49*0.01163</f>
        <v>5.3334257230767478E-2</v>
      </c>
      <c r="AH49" s="3502">
        <f>'Irl. Energy Balance 2013 (ktoe)'!AH49*0.01163</f>
        <v>0</v>
      </c>
      <c r="AI49" s="1777">
        <f>'Irl. Energy Balance 2013 (ktoe)'!AI49*0.01163</f>
        <v>0</v>
      </c>
      <c r="AJ49" s="1775">
        <f>'Irl. Energy Balance 2013 (ktoe)'!AJ49*0.01163</f>
        <v>0</v>
      </c>
      <c r="AK49" s="1780">
        <f>'Irl. Energy Balance 2013 (ktoe)'!AK49*0.01163</f>
        <v>0</v>
      </c>
      <c r="AL49" s="1778">
        <f>'Irl. Energy Balance 2013 (ktoe)'!AL49*0.01163</f>
        <v>0</v>
      </c>
      <c r="AM49" s="3453">
        <f>'Irl. Energy Balance 2013 (ktoe)'!AM49*0.01163</f>
        <v>1.7609615677353572</v>
      </c>
      <c r="AP49"/>
      <c r="AQ49"/>
      <c r="AR49"/>
      <c r="AS49"/>
      <c r="AT49"/>
      <c r="AU49"/>
      <c r="AV49"/>
    </row>
    <row r="50" spans="1:48">
      <c r="A50" s="1981" t="s">
        <v>1221</v>
      </c>
      <c r="B50" s="1982"/>
      <c r="C50" s="1771">
        <f>'Irl. Energy Balance 2013 (ktoe)'!C50*0.01163</f>
        <v>0</v>
      </c>
      <c r="D50" s="1772">
        <f>'Irl. Energy Balance 2013 (ktoe)'!D50*0.01163</f>
        <v>0</v>
      </c>
      <c r="E50" s="1783">
        <f>'Irl. Energy Balance 2013 (ktoe)'!E50*0.01163</f>
        <v>0</v>
      </c>
      <c r="F50" s="1774">
        <f>'Irl. Energy Balance 2013 (ktoe)'!F50*0.01163</f>
        <v>0</v>
      </c>
      <c r="G50" s="1774">
        <f>'Irl. Energy Balance 2013 (ktoe)'!G50*0.01163</f>
        <v>0</v>
      </c>
      <c r="H50" s="1775">
        <f>'Irl. Energy Balance 2013 (ktoe)'!H50*0.01163</f>
        <v>0</v>
      </c>
      <c r="I50" s="1776">
        <f>'Irl. Energy Balance 2013 (ktoe)'!I50*0.01163</f>
        <v>0</v>
      </c>
      <c r="J50" s="1777">
        <f>'Irl. Energy Balance 2013 (ktoe)'!J50*0.01163</f>
        <v>0</v>
      </c>
      <c r="K50" s="1777">
        <f>'Irl. Energy Balance 2013 (ktoe)'!K50*0.01163</f>
        <v>0</v>
      </c>
      <c r="L50" s="1775">
        <f>'Irl. Energy Balance 2013 (ktoe)'!L50*0.01163</f>
        <v>0.44584514475445675</v>
      </c>
      <c r="M50" s="1777">
        <f>'Irl. Energy Balance 2013 (ktoe)'!M50*0.01163</f>
        <v>0</v>
      </c>
      <c r="N50" s="1777">
        <f>'Irl. Energy Balance 2013 (ktoe)'!N50*0.01163</f>
        <v>0</v>
      </c>
      <c r="O50" s="1777">
        <f>'Irl. Energy Balance 2013 (ktoe)'!O50*0.01163</f>
        <v>0</v>
      </c>
      <c r="P50" s="1777">
        <f>'Irl. Energy Balance 2013 (ktoe)'!P50*0.01163</f>
        <v>0</v>
      </c>
      <c r="Q50" s="1955">
        <f>'Irl. Energy Balance 2013 (ktoe)'!Q50*0.01163</f>
        <v>0</v>
      </c>
      <c r="R50" s="1777">
        <f>'Irl. Energy Balance 2013 (ktoe)'!R50*0.01163</f>
        <v>0</v>
      </c>
      <c r="S50" s="1777">
        <f>'Irl. Energy Balance 2013 (ktoe)'!S50*0.01163</f>
        <v>0</v>
      </c>
      <c r="T50" s="1777">
        <f>'Irl. Energy Balance 2013 (ktoe)'!T50*0.01163</f>
        <v>0.44584514475445675</v>
      </c>
      <c r="U50" s="1777">
        <f>'Irl. Energy Balance 2013 (ktoe)'!U50*0.01163</f>
        <v>0</v>
      </c>
      <c r="V50" s="1774">
        <f>'Irl. Energy Balance 2013 (ktoe)'!V50*0.01163</f>
        <v>0</v>
      </c>
      <c r="W50" s="1774">
        <f>'Irl. Energy Balance 2013 (ktoe)'!W50*0.01163</f>
        <v>0</v>
      </c>
      <c r="X50" s="1774">
        <f>'Irl. Energy Balance 2013 (ktoe)'!X50*0.01163</f>
        <v>0</v>
      </c>
      <c r="Y50" s="1777">
        <f>'Irl. Energy Balance 2013 (ktoe)'!Y50*0.01163</f>
        <v>0</v>
      </c>
      <c r="Z50" s="1775">
        <f>'Irl. Energy Balance 2013 (ktoe)'!Z50*0.01163</f>
        <v>0</v>
      </c>
      <c r="AA50" s="1778">
        <f>'Irl. Energy Balance 2013 (ktoe)'!AA50*0.01163</f>
        <v>0</v>
      </c>
      <c r="AB50" s="1779">
        <f>'Irl. Energy Balance 2013 (ktoe)'!AB50*0.01163</f>
        <v>0</v>
      </c>
      <c r="AC50" s="1777">
        <f>'Irl. Energy Balance 2013 (ktoe)'!AC50*0.01163</f>
        <v>0</v>
      </c>
      <c r="AD50" s="1777">
        <f>'Irl. Energy Balance 2013 (ktoe)'!AD50*0.01163</f>
        <v>0</v>
      </c>
      <c r="AE50" s="1777">
        <f>'Irl. Energy Balance 2013 (ktoe)'!AE50*0.01163</f>
        <v>0</v>
      </c>
      <c r="AF50" s="1777">
        <f>'Irl. Energy Balance 2013 (ktoe)'!AF50*0.01163</f>
        <v>0</v>
      </c>
      <c r="AG50" s="1777">
        <f>'Irl. Energy Balance 2013 (ktoe)'!AG50*0.01163</f>
        <v>0</v>
      </c>
      <c r="AH50" s="3502">
        <f>'Irl. Energy Balance 2013 (ktoe)'!AH50*0.01163</f>
        <v>0</v>
      </c>
      <c r="AI50" s="1777">
        <f>'Irl. Energy Balance 2013 (ktoe)'!AI50*0.01163</f>
        <v>0</v>
      </c>
      <c r="AJ50" s="1775">
        <f>'Irl. Energy Balance 2013 (ktoe)'!AJ50*0.01163</f>
        <v>0</v>
      </c>
      <c r="AK50" s="1780">
        <f>'Irl. Energy Balance 2013 (ktoe)'!AK50*0.01163</f>
        <v>4.1826848477780003E-2</v>
      </c>
      <c r="AL50" s="1778">
        <f>'Irl. Energy Balance 2013 (ktoe)'!AL50*0.01163</f>
        <v>0</v>
      </c>
      <c r="AM50" s="1782">
        <f>'Irl. Energy Balance 2013 (ktoe)'!AM50*0.01163</f>
        <v>0.4876719932322367</v>
      </c>
      <c r="AP50"/>
      <c r="AQ50"/>
      <c r="AR50"/>
      <c r="AS50"/>
      <c r="AT50"/>
      <c r="AU50"/>
      <c r="AV50"/>
    </row>
    <row r="51" spans="1:48">
      <c r="A51" s="1981" t="s">
        <v>1428</v>
      </c>
      <c r="B51" s="1982"/>
      <c r="C51" s="1771">
        <f>'Irl. Energy Balance 2013 (ktoe)'!C51*0.01163</f>
        <v>0</v>
      </c>
      <c r="D51" s="1772">
        <f>'Irl. Energy Balance 2013 (ktoe)'!D51*0.01163</f>
        <v>0</v>
      </c>
      <c r="E51" s="1783">
        <f>'Irl. Energy Balance 2013 (ktoe)'!E51*0.01163</f>
        <v>0</v>
      </c>
      <c r="F51" s="1774">
        <f>'Irl. Energy Balance 2013 (ktoe)'!F51*0.01163</f>
        <v>0</v>
      </c>
      <c r="G51" s="1774">
        <f>'Irl. Energy Balance 2013 (ktoe)'!G51*0.01163</f>
        <v>0</v>
      </c>
      <c r="H51" s="1775">
        <f>'Irl. Energy Balance 2013 (ktoe)'!H51*0.01163</f>
        <v>0</v>
      </c>
      <c r="I51" s="1776">
        <f>'Irl. Energy Balance 2013 (ktoe)'!I51*0.01163</f>
        <v>0</v>
      </c>
      <c r="J51" s="1777">
        <f>'Irl. Energy Balance 2013 (ktoe)'!J51*0.01163</f>
        <v>0</v>
      </c>
      <c r="K51" s="1777">
        <f>'Irl. Energy Balance 2013 (ktoe)'!K51*0.01163</f>
        <v>0</v>
      </c>
      <c r="L51" s="1775">
        <f>'Irl. Energy Balance 2013 (ktoe)'!L51*0.01163</f>
        <v>3.8952210585405385E-2</v>
      </c>
      <c r="M51" s="1777">
        <f>'Irl. Energy Balance 2013 (ktoe)'!M51*0.01163</f>
        <v>0</v>
      </c>
      <c r="N51" s="1777">
        <f>'Irl. Energy Balance 2013 (ktoe)'!N51*0.01163</f>
        <v>0</v>
      </c>
      <c r="O51" s="1777">
        <f>'Irl. Energy Balance 2013 (ktoe)'!O51*0.01163</f>
        <v>1.0477596222222222E-2</v>
      </c>
      <c r="P51" s="1777">
        <f>'Irl. Energy Balance 2013 (ktoe)'!P51*0.01163</f>
        <v>0</v>
      </c>
      <c r="Q51" s="1777">
        <f>'Irl. Energy Balance 2013 (ktoe)'!Q51*0.01163</f>
        <v>2.8474614363183166E-2</v>
      </c>
      <c r="R51" s="1777">
        <f>'Irl. Energy Balance 2013 (ktoe)'!R51*0.01163</f>
        <v>0</v>
      </c>
      <c r="S51" s="1777">
        <f>'Irl. Energy Balance 2013 (ktoe)'!S51*0.01163</f>
        <v>0</v>
      </c>
      <c r="T51" s="1777">
        <f>'Irl. Energy Balance 2013 (ktoe)'!T51*0.01163</f>
        <v>0</v>
      </c>
      <c r="U51" s="1777">
        <f>'Irl. Energy Balance 2013 (ktoe)'!U51*0.01163</f>
        <v>0</v>
      </c>
      <c r="V51" s="1774">
        <f>'Irl. Energy Balance 2013 (ktoe)'!V51*0.01163</f>
        <v>0</v>
      </c>
      <c r="W51" s="1774">
        <f>'Irl. Energy Balance 2013 (ktoe)'!W51*0.01163</f>
        <v>0</v>
      </c>
      <c r="X51" s="1774">
        <f>'Irl. Energy Balance 2013 (ktoe)'!X51*0.01163</f>
        <v>0</v>
      </c>
      <c r="Y51" s="1777">
        <f>'Irl. Energy Balance 2013 (ktoe)'!Y51*0.01163</f>
        <v>0</v>
      </c>
      <c r="Z51" s="1775">
        <f>'Irl. Energy Balance 2013 (ktoe)'!Z51*0.01163</f>
        <v>0</v>
      </c>
      <c r="AA51" s="1778">
        <f>'Irl. Energy Balance 2013 (ktoe)'!AA51*0.01163</f>
        <v>0</v>
      </c>
      <c r="AB51" s="1779">
        <f>'Irl. Energy Balance 2013 (ktoe)'!AB51*0.01163</f>
        <v>0</v>
      </c>
      <c r="AC51" s="1777">
        <f>'Irl. Energy Balance 2013 (ktoe)'!AC51*0.01163</f>
        <v>0</v>
      </c>
      <c r="AD51" s="1777">
        <f>'Irl. Energy Balance 2013 (ktoe)'!AD51*0.01163</f>
        <v>0</v>
      </c>
      <c r="AE51" s="1777">
        <f>'Irl. Energy Balance 2013 (ktoe)'!AE51*0.01163</f>
        <v>0</v>
      </c>
      <c r="AF51" s="1777">
        <f>'Irl. Energy Balance 2013 (ktoe)'!AF51*0.01163</f>
        <v>0</v>
      </c>
      <c r="AG51" s="1777">
        <f>'Irl. Energy Balance 2013 (ktoe)'!AG51*0.01163</f>
        <v>0</v>
      </c>
      <c r="AH51" s="3502">
        <f>'Irl. Energy Balance 2013 (ktoe)'!AH51*0.01163</f>
        <v>0</v>
      </c>
      <c r="AI51" s="1777">
        <f>'Irl. Energy Balance 2013 (ktoe)'!AI51*0.01163</f>
        <v>0</v>
      </c>
      <c r="AJ51" s="1775">
        <f>'Irl. Energy Balance 2013 (ktoe)'!AJ51*0.01163</f>
        <v>0</v>
      </c>
      <c r="AK51" s="1780">
        <f>'Irl. Energy Balance 2013 (ktoe)'!AK51*0.01163</f>
        <v>0</v>
      </c>
      <c r="AL51" s="1778">
        <f>'Irl. Energy Balance 2013 (ktoe)'!AL51*0.01163</f>
        <v>0</v>
      </c>
      <c r="AM51" s="1782">
        <f>'Irl. Energy Balance 2013 (ktoe)'!AM51*0.01163</f>
        <v>3.8952210585405385E-2</v>
      </c>
      <c r="AP51"/>
      <c r="AQ51"/>
      <c r="AR51"/>
      <c r="AS51"/>
      <c r="AT51"/>
      <c r="AU51"/>
      <c r="AV51"/>
    </row>
    <row r="52" spans="1:48">
      <c r="A52" s="1981" t="s">
        <v>1429</v>
      </c>
      <c r="B52" s="1983"/>
      <c r="C52" s="1954">
        <f>'Irl. Energy Balance 2013 (ktoe)'!C52*0.01163</f>
        <v>0</v>
      </c>
      <c r="D52" s="1955">
        <f>'Irl. Energy Balance 2013 (ktoe)'!D52*0.01163</f>
        <v>0</v>
      </c>
      <c r="E52" s="1955">
        <f>'Irl. Energy Balance 2013 (ktoe)'!E52*0.01163</f>
        <v>0</v>
      </c>
      <c r="F52" s="1956">
        <f>'Irl. Energy Balance 2013 (ktoe)'!F52*0.01163</f>
        <v>0</v>
      </c>
      <c r="G52" s="1956">
        <f>'Irl. Energy Balance 2013 (ktoe)'!G52*0.01163</f>
        <v>0</v>
      </c>
      <c r="H52" s="1957">
        <f>'Irl. Energy Balance 2013 (ktoe)'!H52*0.01163</f>
        <v>0</v>
      </c>
      <c r="I52" s="1958">
        <f>'Irl. Energy Balance 2013 (ktoe)'!I52*0.01163</f>
        <v>0</v>
      </c>
      <c r="J52" s="1955">
        <f>'Irl. Energy Balance 2013 (ktoe)'!J52*0.01163</f>
        <v>0</v>
      </c>
      <c r="K52" s="1955">
        <f>'Irl. Energy Balance 2013 (ktoe)'!K52*0.01163</f>
        <v>0</v>
      </c>
      <c r="L52" s="1957">
        <f>'Irl. Energy Balance 2013 (ktoe)'!L52*0.01163</f>
        <v>7.0155149583831626</v>
      </c>
      <c r="M52" s="1955">
        <f>'Irl. Energy Balance 2013 (ktoe)'!M52*0.01163</f>
        <v>0</v>
      </c>
      <c r="N52" s="1955">
        <f>'Irl. Energy Balance 2013 (ktoe)'!N52*0.01163</f>
        <v>0</v>
      </c>
      <c r="O52" s="1835">
        <f>'Irl. Energy Balance 2013 (ktoe)'!O52*0.01163</f>
        <v>0</v>
      </c>
      <c r="P52" s="1955">
        <f>'Irl. Energy Balance 2013 (ktoe)'!P52*0.01163</f>
        <v>0</v>
      </c>
      <c r="Q52" s="1955">
        <f>'Irl. Energy Balance 2013 (ktoe)'!Q52*0.01163</f>
        <v>7.0155149583831626</v>
      </c>
      <c r="R52" s="1955">
        <f>'Irl. Energy Balance 2013 (ktoe)'!R52*0.01163</f>
        <v>0</v>
      </c>
      <c r="S52" s="1955">
        <f>'Irl. Energy Balance 2013 (ktoe)'!S52*0.01163</f>
        <v>0</v>
      </c>
      <c r="T52" s="1955">
        <f>'Irl. Energy Balance 2013 (ktoe)'!T52*0.01163</f>
        <v>0</v>
      </c>
      <c r="U52" s="1955">
        <f>'Irl. Energy Balance 2013 (ktoe)'!U52*0.01163</f>
        <v>0</v>
      </c>
      <c r="V52" s="1956">
        <f>'Irl. Energy Balance 2013 (ktoe)'!V52*0.01163</f>
        <v>0</v>
      </c>
      <c r="W52" s="1956">
        <f>'Irl. Energy Balance 2013 (ktoe)'!W52*0.01163</f>
        <v>0</v>
      </c>
      <c r="X52" s="1956">
        <f>'Irl. Energy Balance 2013 (ktoe)'!X52*0.01163</f>
        <v>0</v>
      </c>
      <c r="Y52" s="1955">
        <f>'Irl. Energy Balance 2013 (ktoe)'!Y52*0.01163</f>
        <v>0</v>
      </c>
      <c r="Z52" s="1950">
        <f>'Irl. Energy Balance 2013 (ktoe)'!Z52*0.01163</f>
        <v>0</v>
      </c>
      <c r="AA52" s="1961">
        <f>'Irl. Energy Balance 2013 (ktoe)'!AA52*0.01163</f>
        <v>0</v>
      </c>
      <c r="AB52" s="1962">
        <f>'Irl. Energy Balance 2013 (ktoe)'!AB52*0.01163</f>
        <v>0</v>
      </c>
      <c r="AC52" s="1955">
        <f>'Irl. Energy Balance 2013 (ktoe)'!AC52*0.01163</f>
        <v>0</v>
      </c>
      <c r="AD52" s="1955">
        <f>'Irl. Energy Balance 2013 (ktoe)'!AD52*0.01163</f>
        <v>0</v>
      </c>
      <c r="AE52" s="1955">
        <f>'Irl. Energy Balance 2013 (ktoe)'!AE52*0.01163</f>
        <v>0</v>
      </c>
      <c r="AF52" s="1955">
        <f>'Irl. Energy Balance 2013 (ktoe)'!AF52*0.01163</f>
        <v>0</v>
      </c>
      <c r="AG52" s="1955">
        <f>'Irl. Energy Balance 2013 (ktoe)'!AG52*0.01163</f>
        <v>0</v>
      </c>
      <c r="AH52" s="3503">
        <f>'Irl. Energy Balance 2013 (ktoe)'!AH52*0.01163</f>
        <v>0</v>
      </c>
      <c r="AI52" s="1955">
        <f>'Irl. Energy Balance 2013 (ktoe)'!AI52*0.01163</f>
        <v>0</v>
      </c>
      <c r="AJ52" s="1950">
        <f>'Irl. Energy Balance 2013 (ktoe)'!AJ52*0.01163</f>
        <v>0</v>
      </c>
      <c r="AK52" s="1950">
        <f>'Irl. Energy Balance 2013 (ktoe)'!AK52*0.01163</f>
        <v>0</v>
      </c>
      <c r="AL52" s="1961">
        <f>'Irl. Energy Balance 2013 (ktoe)'!AL52*0.01163</f>
        <v>0</v>
      </c>
      <c r="AM52" s="1964">
        <f>'Irl. Energy Balance 2013 (ktoe)'!AM52*0.01163</f>
        <v>7.0155149583831626</v>
      </c>
      <c r="AP52"/>
      <c r="AQ52"/>
      <c r="AR52"/>
      <c r="AS52"/>
      <c r="AT52"/>
      <c r="AU52"/>
      <c r="AV52"/>
    </row>
    <row r="53" spans="1:48">
      <c r="A53" s="1981" t="s">
        <v>1430</v>
      </c>
      <c r="B53" s="1983"/>
      <c r="C53" s="1954">
        <f>'Irl. Energy Balance 2013 (ktoe)'!C53*0.01163</f>
        <v>0</v>
      </c>
      <c r="D53" s="1958">
        <f>'Irl. Energy Balance 2013 (ktoe)'!D53*0.01163</f>
        <v>0</v>
      </c>
      <c r="E53" s="1955">
        <f>'Irl. Energy Balance 2013 (ktoe)'!E53*0.01163</f>
        <v>0</v>
      </c>
      <c r="F53" s="1956">
        <f>'Irl. Energy Balance 2013 (ktoe)'!F53*0.01163</f>
        <v>0</v>
      </c>
      <c r="G53" s="1956">
        <f>'Irl. Energy Balance 2013 (ktoe)'!G53*0.01163</f>
        <v>0</v>
      </c>
      <c r="H53" s="1957">
        <f>'Irl. Energy Balance 2013 (ktoe)'!H53*0.01163</f>
        <v>0</v>
      </c>
      <c r="I53" s="1958">
        <f>'Irl. Energy Balance 2013 (ktoe)'!I53*0.01163</f>
        <v>0</v>
      </c>
      <c r="J53" s="1955">
        <f>'Irl. Energy Balance 2013 (ktoe)'!J53*0.01163</f>
        <v>0</v>
      </c>
      <c r="K53" s="1955">
        <f>'Irl. Energy Balance 2013 (ktoe)'!K53*0.01163</f>
        <v>0</v>
      </c>
      <c r="L53" s="1957">
        <f>'Irl. Energy Balance 2013 (ktoe)'!L53*0.01163</f>
        <v>2.8272781626439696</v>
      </c>
      <c r="M53" s="1955">
        <f>'Irl. Energy Balance 2013 (ktoe)'!M53*0.01163</f>
        <v>0</v>
      </c>
      <c r="N53" s="1955">
        <f>'Irl. Energy Balance 2013 (ktoe)'!N53*0.01163</f>
        <v>0</v>
      </c>
      <c r="O53" s="1955">
        <f>'Irl. Energy Balance 2013 (ktoe)'!O53*0.01163</f>
        <v>1.2649837244656483</v>
      </c>
      <c r="P53" s="1955">
        <f>'Irl. Energy Balance 2013 (ktoe)'!P53*0.01163</f>
        <v>0</v>
      </c>
      <c r="Q53" s="1955">
        <f>'Irl. Energy Balance 2013 (ktoe)'!Q53*0.01163</f>
        <v>0</v>
      </c>
      <c r="R53" s="1955">
        <f>'Irl. Energy Balance 2013 (ktoe)'!R53*0.01163</f>
        <v>0</v>
      </c>
      <c r="S53" s="1955">
        <f>'Irl. Energy Balance 2013 (ktoe)'!S53*0.01163</f>
        <v>0</v>
      </c>
      <c r="T53" s="1955">
        <f>'Irl. Energy Balance 2013 (ktoe)'!T53*0.01163</f>
        <v>1.562294438178321</v>
      </c>
      <c r="U53" s="1955">
        <f>'Irl. Energy Balance 2013 (ktoe)'!U53*0.01163</f>
        <v>0</v>
      </c>
      <c r="V53" s="1956">
        <f>'Irl. Energy Balance 2013 (ktoe)'!V53*0.01163</f>
        <v>0</v>
      </c>
      <c r="W53" s="1956">
        <f>'Irl. Energy Balance 2013 (ktoe)'!W53*0.01163</f>
        <v>0</v>
      </c>
      <c r="X53" s="1956">
        <f>'Irl. Energy Balance 2013 (ktoe)'!X53*0.01163</f>
        <v>0</v>
      </c>
      <c r="Y53" s="1955">
        <f>'Irl. Energy Balance 2013 (ktoe)'!Y53*0.01163</f>
        <v>0</v>
      </c>
      <c r="Z53" s="1950">
        <f>'Irl. Energy Balance 2013 (ktoe)'!Z53*0.01163</f>
        <v>0</v>
      </c>
      <c r="AA53" s="1961">
        <f>'Irl. Energy Balance 2013 (ktoe)'!AA53*0.01163</f>
        <v>8.0801993856531334E-2</v>
      </c>
      <c r="AB53" s="1962">
        <f>'Irl. Energy Balance 2013 (ktoe)'!AB53*0.01163</f>
        <v>0</v>
      </c>
      <c r="AC53" s="1955">
        <f>'Irl. Energy Balance 2013 (ktoe)'!AC53*0.01163</f>
        <v>0</v>
      </c>
      <c r="AD53" s="1955">
        <f>'Irl. Energy Balance 2013 (ktoe)'!AD53*0.01163</f>
        <v>0</v>
      </c>
      <c r="AE53" s="1955">
        <f>'Irl. Energy Balance 2013 (ktoe)'!AE53*0.01163</f>
        <v>0</v>
      </c>
      <c r="AF53" s="1955">
        <f>'Irl. Energy Balance 2013 (ktoe)'!AF53*0.01163</f>
        <v>0</v>
      </c>
      <c r="AG53" s="1777">
        <f>'Irl. Energy Balance 2013 (ktoe)'!AG53*0.01163</f>
        <v>8.0801993856531334E-2</v>
      </c>
      <c r="AH53" s="3507">
        <f>'Irl. Energy Balance 2013 (ktoe)'!AH53*0.01163</f>
        <v>0</v>
      </c>
      <c r="AI53" s="1955">
        <f>'Irl. Energy Balance 2013 (ktoe)'!AI53*0.01163</f>
        <v>0</v>
      </c>
      <c r="AJ53" s="1950">
        <f>'Irl. Energy Balance 2013 (ktoe)'!AJ53*0.01163</f>
        <v>0</v>
      </c>
      <c r="AK53" s="1780">
        <f>'Irl. Energy Balance 2013 (ktoe)'!AK53*0.01163</f>
        <v>0</v>
      </c>
      <c r="AL53" s="1961">
        <f>'Irl. Energy Balance 2013 (ktoe)'!AL53*0.01163</f>
        <v>0</v>
      </c>
      <c r="AM53" s="1964">
        <f>'Irl. Energy Balance 2013 (ktoe)'!AM53*0.01163</f>
        <v>2.9080801565005006</v>
      </c>
      <c r="AP53"/>
      <c r="AQ53"/>
      <c r="AR53"/>
      <c r="AS53"/>
      <c r="AT53"/>
      <c r="AU53"/>
      <c r="AV53"/>
    </row>
    <row r="54" spans="1:48">
      <c r="A54" s="1984" t="s">
        <v>1431</v>
      </c>
      <c r="B54" s="1982"/>
      <c r="C54" s="1954">
        <f>'Irl. Energy Balance 2013 (ktoe)'!C54*0.01163</f>
        <v>0</v>
      </c>
      <c r="D54" s="1958">
        <f>'Irl. Energy Balance 2013 (ktoe)'!D54*0.01163</f>
        <v>0</v>
      </c>
      <c r="E54" s="1955">
        <f>'Irl. Energy Balance 2013 (ktoe)'!E54*0.01163</f>
        <v>0</v>
      </c>
      <c r="F54" s="1956">
        <f>'Irl. Energy Balance 2013 (ktoe)'!F54*0.01163</f>
        <v>0</v>
      </c>
      <c r="G54" s="1956">
        <f>'Irl. Energy Balance 2013 (ktoe)'!G54*0.01163</f>
        <v>0</v>
      </c>
      <c r="H54" s="1957">
        <f>'Irl. Energy Balance 2013 (ktoe)'!H54*0.01163</f>
        <v>0</v>
      </c>
      <c r="I54" s="1958">
        <f>'Irl. Energy Balance 2013 (ktoe)'!I54*0.01163</f>
        <v>0</v>
      </c>
      <c r="J54" s="1955">
        <f>'Irl. Energy Balance 2013 (ktoe)'!J54*0.01163</f>
        <v>0</v>
      </c>
      <c r="K54" s="1955">
        <f>'Irl. Energy Balance 2013 (ktoe)'!K54*0.01163</f>
        <v>0</v>
      </c>
      <c r="L54" s="1957">
        <f>'Irl. Energy Balance 2013 (ktoe)'!L54*0.01163</f>
        <v>0.66524901180549467</v>
      </c>
      <c r="M54" s="1955">
        <f>'Irl. Energy Balance 2013 (ktoe)'!M54*0.01163</f>
        <v>0</v>
      </c>
      <c r="N54" s="1955">
        <f>'Irl. Energy Balance 2013 (ktoe)'!N54*0.01163</f>
        <v>0</v>
      </c>
      <c r="O54" s="1955">
        <f>'Irl. Energy Balance 2013 (ktoe)'!O54*0.01163</f>
        <v>0</v>
      </c>
      <c r="P54" s="1955">
        <f>'Irl. Energy Balance 2013 (ktoe)'!P54*0.01163</f>
        <v>0</v>
      </c>
      <c r="Q54" s="1955">
        <f>'Irl. Energy Balance 2013 (ktoe)'!Q54*0.01163</f>
        <v>0</v>
      </c>
      <c r="R54" s="1955">
        <f>'Irl. Energy Balance 2013 (ktoe)'!R54*0.01163</f>
        <v>0</v>
      </c>
      <c r="S54" s="1955">
        <f>'Irl. Energy Balance 2013 (ktoe)'!S54*0.01163</f>
        <v>0</v>
      </c>
      <c r="T54" s="1955">
        <f>'Irl. Energy Balance 2013 (ktoe)'!T54*0.01163</f>
        <v>0.66524901180549467</v>
      </c>
      <c r="U54" s="1955">
        <f>'Irl. Energy Balance 2013 (ktoe)'!U54*0.01163</f>
        <v>0</v>
      </c>
      <c r="V54" s="1956">
        <f>'Irl. Energy Balance 2013 (ktoe)'!V54*0.01163</f>
        <v>0</v>
      </c>
      <c r="W54" s="1956">
        <f>'Irl. Energy Balance 2013 (ktoe)'!W54*0.01163</f>
        <v>0</v>
      </c>
      <c r="X54" s="1956">
        <f>'Irl. Energy Balance 2013 (ktoe)'!X54*0.01163</f>
        <v>0</v>
      </c>
      <c r="Y54" s="1955">
        <f>'Irl. Energy Balance 2013 (ktoe)'!Y54*0.01163</f>
        <v>0</v>
      </c>
      <c r="Z54" s="1890">
        <f>'Irl. Energy Balance 2013 (ktoe)'!Z54*0.01163</f>
        <v>0</v>
      </c>
      <c r="AA54" s="1961">
        <f>'Irl. Energy Balance 2013 (ktoe)'!AA54*0.01163</f>
        <v>0</v>
      </c>
      <c r="AB54" s="1962">
        <f>'Irl. Energy Balance 2013 (ktoe)'!AB54*0.01163</f>
        <v>0</v>
      </c>
      <c r="AC54" s="1955">
        <f>'Irl. Energy Balance 2013 (ktoe)'!AC54*0.01163</f>
        <v>0</v>
      </c>
      <c r="AD54" s="1955">
        <f>'Irl. Energy Balance 2013 (ktoe)'!AD54*0.01163</f>
        <v>0</v>
      </c>
      <c r="AE54" s="1955">
        <f>'Irl. Energy Balance 2013 (ktoe)'!AE54*0.01163</f>
        <v>0</v>
      </c>
      <c r="AF54" s="1955">
        <f>'Irl. Energy Balance 2013 (ktoe)'!AF54*0.01163</f>
        <v>0</v>
      </c>
      <c r="AG54" s="1955">
        <f>'Irl. Energy Balance 2013 (ktoe)'!AG54*0.01163</f>
        <v>0</v>
      </c>
      <c r="AH54" s="3507">
        <f>'Irl. Energy Balance 2013 (ktoe)'!AH54*0.01163</f>
        <v>0</v>
      </c>
      <c r="AI54" s="1955">
        <f>'Irl. Energy Balance 2013 (ktoe)'!AI54*0.01163</f>
        <v>0</v>
      </c>
      <c r="AJ54" s="1890">
        <f>'Irl. Energy Balance 2013 (ktoe)'!AJ54*0.01163</f>
        <v>0</v>
      </c>
      <c r="AK54" s="1950">
        <f>'Irl. Energy Balance 2013 (ktoe)'!AK54*0.01163</f>
        <v>0</v>
      </c>
      <c r="AL54" s="1961">
        <f>'Irl. Energy Balance 2013 (ktoe)'!AL54*0.01163</f>
        <v>0</v>
      </c>
      <c r="AM54" s="1964">
        <f>'Irl. Energy Balance 2013 (ktoe)'!AM54*0.01163</f>
        <v>0.66524901180549467</v>
      </c>
    </row>
    <row r="55" spans="1:48">
      <c r="A55" s="1985" t="s">
        <v>1432</v>
      </c>
      <c r="B55" s="1986"/>
      <c r="C55" s="1839">
        <f>'Irl. Energy Balance 2013 (ktoe)'!C55*0.01163</f>
        <v>0</v>
      </c>
      <c r="D55" s="1987">
        <f>'Irl. Energy Balance 2013 (ktoe)'!D55*0.01163</f>
        <v>0</v>
      </c>
      <c r="E55" s="1988">
        <f>'Irl. Energy Balance 2013 (ktoe)'!E55*0.01163</f>
        <v>0</v>
      </c>
      <c r="F55" s="1842">
        <f>'Irl. Energy Balance 2013 (ktoe)'!F55*0.01163</f>
        <v>0</v>
      </c>
      <c r="G55" s="1842">
        <f>'Irl. Energy Balance 2013 (ktoe)'!G55*0.01163</f>
        <v>0</v>
      </c>
      <c r="H55" s="1843">
        <f>'Irl. Energy Balance 2013 (ktoe)'!H55*0.01163</f>
        <v>0</v>
      </c>
      <c r="I55" s="1840">
        <f>'Irl. Energy Balance 2013 (ktoe)'!I55*0.01163</f>
        <v>0</v>
      </c>
      <c r="J55" s="1841">
        <f>'Irl. Energy Balance 2013 (ktoe)'!J55*0.01163</f>
        <v>0</v>
      </c>
      <c r="K55" s="1841">
        <f>'Irl. Energy Balance 2013 (ktoe)'!K55*0.01163</f>
        <v>0</v>
      </c>
      <c r="L55" s="1843">
        <f>'Irl. Energy Balance 2013 (ktoe)'!L55*0.01163</f>
        <v>4.8595123706398962</v>
      </c>
      <c r="M55" s="1841">
        <f>'Irl. Energy Balance 2013 (ktoe)'!M55*0.01163</f>
        <v>0</v>
      </c>
      <c r="N55" s="1841">
        <f>'Irl. Energy Balance 2013 (ktoe)'!N55*0.01163</f>
        <v>0</v>
      </c>
      <c r="O55" s="1841">
        <f>'Irl. Energy Balance 2013 (ktoe)'!O55*0.01163</f>
        <v>1.7461090563139869</v>
      </c>
      <c r="P55" s="1841">
        <f>'Irl. Energy Balance 2013 (ktoe)'!P55*0.01163</f>
        <v>0</v>
      </c>
      <c r="Q55" s="1841">
        <f>'Irl. Energy Balance 2013 (ktoe)'!Q55*0.01163</f>
        <v>0</v>
      </c>
      <c r="R55" s="1841">
        <f>'Irl. Energy Balance 2013 (ktoe)'!R55*0.01163</f>
        <v>0</v>
      </c>
      <c r="S55" s="1841">
        <f>'Irl. Energy Balance 2013 (ktoe)'!S55*0.01163</f>
        <v>0</v>
      </c>
      <c r="T55" s="1841">
        <f>'Irl. Energy Balance 2013 (ktoe)'!T55*0.01163</f>
        <v>3.1134033143259097</v>
      </c>
      <c r="U55" s="1841">
        <f>'Irl. Energy Balance 2013 (ktoe)'!U55*0.01163</f>
        <v>0</v>
      </c>
      <c r="V55" s="1842">
        <f>'Irl. Energy Balance 2013 (ktoe)'!V55*0.01163</f>
        <v>0</v>
      </c>
      <c r="W55" s="1842">
        <f>'Irl. Energy Balance 2013 (ktoe)'!W55*0.01163</f>
        <v>0</v>
      </c>
      <c r="X55" s="1842">
        <f>'Irl. Energy Balance 2013 (ktoe)'!X55*0.01163</f>
        <v>0</v>
      </c>
      <c r="Y55" s="1841">
        <f>'Irl. Energy Balance 2013 (ktoe)'!Y55*0.01163</f>
        <v>0</v>
      </c>
      <c r="Z55" s="1843">
        <f>'Irl. Energy Balance 2013 (ktoe)'!Z55*0.01163</f>
        <v>0</v>
      </c>
      <c r="AA55" s="1844">
        <f>'Irl. Energy Balance 2013 (ktoe)'!AA55*0.01163</f>
        <v>0.14254800703991649</v>
      </c>
      <c r="AB55" s="1845">
        <f>'Irl. Energy Balance 2013 (ktoe)'!AB55*0.01163</f>
        <v>0</v>
      </c>
      <c r="AC55" s="1841">
        <f>'Irl. Energy Balance 2013 (ktoe)'!AC55*0.01163</f>
        <v>0</v>
      </c>
      <c r="AD55" s="1841">
        <f>'Irl. Energy Balance 2013 (ktoe)'!AD55*0.01163</f>
        <v>0</v>
      </c>
      <c r="AE55" s="1841">
        <f>'Irl. Energy Balance 2013 (ktoe)'!AE55*0.01163</f>
        <v>0</v>
      </c>
      <c r="AF55" s="1841">
        <f>'Irl. Energy Balance 2013 (ktoe)'!AF55*0.01163</f>
        <v>0</v>
      </c>
      <c r="AG55" s="1841">
        <f>'Irl. Energy Balance 2013 (ktoe)'!AG55*0.01163</f>
        <v>0.14254800703991649</v>
      </c>
      <c r="AH55" s="3505">
        <f>'Irl. Energy Balance 2013 (ktoe)'!AH55*0.01163</f>
        <v>0</v>
      </c>
      <c r="AI55" s="1841">
        <f>'Irl. Energy Balance 2013 (ktoe)'!AI55*0.01163</f>
        <v>0</v>
      </c>
      <c r="AJ55" s="1843">
        <f>'Irl. Energy Balance 2013 (ktoe)'!AJ55*0.01163</f>
        <v>0</v>
      </c>
      <c r="AK55" s="1846">
        <f>'Irl. Energy Balance 2013 (ktoe)'!AK55*0.01163</f>
        <v>0</v>
      </c>
      <c r="AL55" s="1844">
        <f>'Irl. Energy Balance 2013 (ktoe)'!AL55*0.01163</f>
        <v>0</v>
      </c>
      <c r="AM55" s="1847">
        <f>'Irl. Energy Balance 2013 (ktoe)'!AM55*0.01163</f>
        <v>5.0020603776798129</v>
      </c>
    </row>
    <row r="56" spans="1:48">
      <c r="A56" s="1989" t="s">
        <v>1433</v>
      </c>
      <c r="B56" s="1990"/>
      <c r="C56" s="1967">
        <f>'Irl. Energy Balance 2013 (ktoe)'!C56*0.01163</f>
        <v>3.1753119796643521</v>
      </c>
      <c r="D56" s="1970">
        <f>'Irl. Energy Balance 2013 (ktoe)'!D56*0.01163</f>
        <v>2.0118852311183546</v>
      </c>
      <c r="E56" s="1773">
        <f>'Irl. Energy Balance 2013 (ktoe)'!E56*0.01163</f>
        <v>0.96221987018802768</v>
      </c>
      <c r="F56" s="1968">
        <f>'Irl. Energy Balance 2013 (ktoe)'!F56*0.01163</f>
        <v>0</v>
      </c>
      <c r="G56" s="1968">
        <f>'Irl. Energy Balance 2013 (ktoe)'!G56*0.01163</f>
        <v>0.20120687835796996</v>
      </c>
      <c r="H56" s="1969">
        <f>'Irl. Energy Balance 2013 (ktoe)'!H56*0.01163</f>
        <v>2.5342197169899996</v>
      </c>
      <c r="I56" s="1970">
        <f>'Irl. Energy Balance 2013 (ktoe)'!I56*0.01163</f>
        <v>0</v>
      </c>
      <c r="J56" s="1857">
        <f>'Irl. Energy Balance 2013 (ktoe)'!J56*0.01163</f>
        <v>1.4851975199999998</v>
      </c>
      <c r="K56" s="1857">
        <f>'Irl. Energy Balance 2013 (ktoe)'!K56*0.01163</f>
        <v>1.0490221969899998</v>
      </c>
      <c r="L56" s="1969">
        <f>'Irl. Energy Balance 2013 (ktoe)'!L56*0.01163</f>
        <v>10.675718116362795</v>
      </c>
      <c r="M56" s="1857">
        <f>'Irl. Energy Balance 2013 (ktoe)'!M56*0.01163</f>
        <v>0</v>
      </c>
      <c r="N56" s="1857">
        <f>'Irl. Energy Balance 2013 (ktoe)'!N56*0.01163</f>
        <v>0</v>
      </c>
      <c r="O56" s="1857">
        <f>'Irl. Energy Balance 2013 (ktoe)'!O56*0.01163</f>
        <v>0</v>
      </c>
      <c r="P56" s="1857">
        <f>'Irl. Energy Balance 2013 (ktoe)'!P56*0.01163</f>
        <v>8.2107030506357024</v>
      </c>
      <c r="Q56" s="1857">
        <f>'Irl. Energy Balance 2013 (ktoe)'!Q56*0.01163</f>
        <v>0</v>
      </c>
      <c r="R56" s="1857">
        <f>'Irl. Energy Balance 2013 (ktoe)'!R56*0.01163</f>
        <v>0</v>
      </c>
      <c r="S56" s="1857">
        <f>'Irl. Energy Balance 2013 (ktoe)'!S56*0.01163</f>
        <v>0.46565580402282353</v>
      </c>
      <c r="T56" s="1857">
        <f>'Irl. Energy Balance 2013 (ktoe)'!T56*0.01163</f>
        <v>1.8721343304720375</v>
      </c>
      <c r="U56" s="1857">
        <f>'Irl. Energy Balance 2013 (ktoe)'!U56*0.01163</f>
        <v>0.12722493123223211</v>
      </c>
      <c r="V56" s="1968">
        <f>'Irl. Energy Balance 2013 (ktoe)'!V56*0.01163</f>
        <v>0</v>
      </c>
      <c r="W56" s="1968">
        <f>'Irl. Energy Balance 2013 (ktoe)'!W56*0.01163</f>
        <v>0</v>
      </c>
      <c r="X56" s="1968">
        <f>'Irl. Energy Balance 2013 (ktoe)'!X56*0.01163</f>
        <v>0</v>
      </c>
      <c r="Y56" s="1857">
        <f>'Irl. Energy Balance 2013 (ktoe)'!Y56*0.01163</f>
        <v>0</v>
      </c>
      <c r="Z56" s="1969">
        <f>'Irl. Energy Balance 2013 (ktoe)'!Z56*0.01163</f>
        <v>7.0502805132672002</v>
      </c>
      <c r="AA56" s="1971">
        <f>'Irl. Energy Balance 2013 (ktoe)'!AA56*0.01163</f>
        <v>0.74552727183619028</v>
      </c>
      <c r="AB56" s="1972">
        <f>'Irl. Energy Balance 2013 (ktoe)'!AB56*0.01163</f>
        <v>0</v>
      </c>
      <c r="AC56" s="1857">
        <f>'Irl. Energy Balance 2013 (ktoe)'!AC56*0.01163</f>
        <v>0</v>
      </c>
      <c r="AD56" s="1857">
        <f>'Irl. Energy Balance 2013 (ktoe)'!AD56*0.01163</f>
        <v>0.33069761332887837</v>
      </c>
      <c r="AE56" s="1857">
        <f>'Irl. Energy Balance 2013 (ktoe)'!AE56*0.01163</f>
        <v>0</v>
      </c>
      <c r="AF56" s="1857">
        <f>'Irl. Energy Balance 2013 (ktoe)'!AF56*0.01163</f>
        <v>0</v>
      </c>
      <c r="AG56" s="1857">
        <f>'Irl. Energy Balance 2013 (ktoe)'!AG56*0.01163</f>
        <v>0</v>
      </c>
      <c r="AH56" s="3506">
        <f>'Irl. Energy Balance 2013 (ktoe)'!AH56*0.01163</f>
        <v>0.12923407666957432</v>
      </c>
      <c r="AI56" s="1857">
        <f>'Irl. Energy Balance 2013 (ktoe)'!AI56*0.01163</f>
        <v>0.28559558183773753</v>
      </c>
      <c r="AJ56" s="1969">
        <f>'Irl. Energy Balance 2013 (ktoe)'!AJ56*0.01163</f>
        <v>0</v>
      </c>
      <c r="AK56" s="1969">
        <f>'Irl. Energy Balance 2013 (ktoe)'!AK56*0.01163</f>
        <v>7.9491735937399994</v>
      </c>
      <c r="AL56" s="1971">
        <f>'Irl. Energy Balance 2013 (ktoe)'!AL56*0.01163</f>
        <v>0</v>
      </c>
      <c r="AM56" s="1859">
        <f>'Irl. Energy Balance 2013 (ktoe)'!AM56*0.01163</f>
        <v>32.130231191860531</v>
      </c>
    </row>
    <row r="57" spans="1:48">
      <c r="A57" s="1991" t="s">
        <v>1434</v>
      </c>
      <c r="B57" s="1992"/>
      <c r="C57" s="1967">
        <f>'Irl. Energy Balance 2013 (ktoe)'!C57*0.01163</f>
        <v>0</v>
      </c>
      <c r="D57" s="1857">
        <f>'Irl. Energy Balance 2013 (ktoe)'!D57*0.01163</f>
        <v>0</v>
      </c>
      <c r="E57" s="1857">
        <f>'Irl. Energy Balance 2013 (ktoe)'!E57*0.01163</f>
        <v>0</v>
      </c>
      <c r="F57" s="1968">
        <f>'Irl. Energy Balance 2013 (ktoe)'!F57*0.01163</f>
        <v>0</v>
      </c>
      <c r="G57" s="1968">
        <f>'Irl. Energy Balance 2013 (ktoe)'!G57*0.01163</f>
        <v>0</v>
      </c>
      <c r="H57" s="1969">
        <f>'Irl. Energy Balance 2013 (ktoe)'!H57*0.01163</f>
        <v>0</v>
      </c>
      <c r="I57" s="1970">
        <f>'Irl. Energy Balance 2013 (ktoe)'!I57*0.01163</f>
        <v>0</v>
      </c>
      <c r="J57" s="1970">
        <f>'Irl. Energy Balance 2013 (ktoe)'!J57*0.01163</f>
        <v>0</v>
      </c>
      <c r="K57" s="1970">
        <f>'Irl. Energy Balance 2013 (ktoe)'!K57*0.01163</f>
        <v>0</v>
      </c>
      <c r="L57" s="1969">
        <f>'Irl. Energy Balance 2013 (ktoe)'!L57*0.01163</f>
        <v>3.5752349960576244</v>
      </c>
      <c r="M57" s="1857">
        <f>'Irl. Energy Balance 2013 (ktoe)'!M57*0.01163</f>
        <v>0</v>
      </c>
      <c r="N57" s="1857">
        <f>'Irl. Energy Balance 2013 (ktoe)'!N57*0.01163</f>
        <v>0</v>
      </c>
      <c r="O57" s="1857">
        <f>'Irl. Energy Balance 2013 (ktoe)'!O57*0.01163</f>
        <v>0</v>
      </c>
      <c r="P57" s="1857">
        <f>'Irl. Energy Balance 2013 (ktoe)'!P57*0.01163</f>
        <v>0</v>
      </c>
      <c r="Q57" s="1857">
        <f>'Irl. Energy Balance 2013 (ktoe)'!Q57*0.01163</f>
        <v>0</v>
      </c>
      <c r="R57" s="1857">
        <f>'Irl. Energy Balance 2013 (ktoe)'!R57*0.01163</f>
        <v>0.11454387000000001</v>
      </c>
      <c r="S57" s="1857">
        <f>'Irl. Energy Balance 2013 (ktoe)'!S57*0.01163</f>
        <v>0.10056604628890527</v>
      </c>
      <c r="T57" s="1857">
        <f>'Irl. Energy Balance 2013 (ktoe)'!T57*0.01163</f>
        <v>3.3601150503515433</v>
      </c>
      <c r="U57" s="1857">
        <f>'Irl. Energy Balance 2013 (ktoe)'!U57*0.01163</f>
        <v>2.2415554679048753E-6</v>
      </c>
      <c r="V57" s="1968">
        <f>'Irl. Energy Balance 2013 (ktoe)'!V57*0.01163</f>
        <v>0</v>
      </c>
      <c r="W57" s="1968">
        <f>'Irl. Energy Balance 2013 (ktoe)'!W57*0.01163</f>
        <v>0</v>
      </c>
      <c r="X57" s="1968">
        <f>'Irl. Energy Balance 2013 (ktoe)'!X57*0.01163</f>
        <v>0</v>
      </c>
      <c r="Y57" s="1970">
        <f>'Irl. Energy Balance 2013 (ktoe)'!Y57*0.01163</f>
        <v>0</v>
      </c>
      <c r="Z57" s="1969">
        <f>'Irl. Energy Balance 2013 (ktoe)'!Z57*0.01163</f>
        <v>4.7312798293180744</v>
      </c>
      <c r="AA57" s="1971">
        <f>'Irl. Energy Balance 2013 (ktoe)'!AA57*0.01163</f>
        <v>0.44592935877554363</v>
      </c>
      <c r="AB57" s="1972">
        <f>'Irl. Energy Balance 2013 (ktoe)'!AB57*0.01163</f>
        <v>0</v>
      </c>
      <c r="AC57" s="1857">
        <f>'Irl. Energy Balance 2013 (ktoe)'!AC57*0.01163</f>
        <v>0</v>
      </c>
      <c r="AD57" s="1857">
        <f>'Irl. Energy Balance 2013 (ktoe)'!AD57*0.01163</f>
        <v>0.29174315102794296</v>
      </c>
      <c r="AE57" s="1857">
        <f>'Irl. Energy Balance 2013 (ktoe)'!AE57*0.01163</f>
        <v>0</v>
      </c>
      <c r="AF57" s="1857">
        <f>'Irl. Energy Balance 2013 (ktoe)'!AF57*0.01163</f>
        <v>5.1402018814347354E-2</v>
      </c>
      <c r="AG57" s="1857">
        <f>'Irl. Energy Balance 2013 (ktoe)'!AG57*0.01163</f>
        <v>0</v>
      </c>
      <c r="AH57" s="3508">
        <f>'Irl. Energy Balance 2013 (ktoe)'!AH57*0.01163</f>
        <v>1.9322440289446738E-3</v>
      </c>
      <c r="AI57" s="1970">
        <f>'Irl. Energy Balance 2013 (ktoe)'!AI57*0.01163</f>
        <v>0.10085194490430863</v>
      </c>
      <c r="AJ57" s="1969">
        <f>'Irl. Energy Balance 2013 (ktoe)'!AJ57*0.01163</f>
        <v>0</v>
      </c>
      <c r="AK57" s="1969">
        <f>'Irl. Energy Balance 2013 (ktoe)'!AK57*0.01163</f>
        <v>6.3672404056435674</v>
      </c>
      <c r="AL57" s="1971">
        <f>'Irl. Energy Balance 2013 (ktoe)'!AL57*0.01163</f>
        <v>0</v>
      </c>
      <c r="AM57" s="1973">
        <f>'Irl. Energy Balance 2013 (ktoe)'!AM57*0.01163</f>
        <v>15.119684589794812</v>
      </c>
    </row>
    <row r="58" spans="1:48">
      <c r="A58" s="1993" t="s">
        <v>1435</v>
      </c>
      <c r="B58" s="1994"/>
      <c r="C58" s="1860">
        <f>'Irl. Energy Balance 2013 (ktoe)'!C58*0.01163</f>
        <v>0</v>
      </c>
      <c r="D58" s="1823">
        <f>'Irl. Energy Balance 2013 (ktoe)'!D58*0.01163</f>
        <v>0</v>
      </c>
      <c r="E58" s="1824">
        <f>'Irl. Energy Balance 2013 (ktoe)'!E58*0.01163</f>
        <v>0</v>
      </c>
      <c r="F58" s="1825">
        <f>'Irl. Energy Balance 2013 (ktoe)'!F58*0.01163</f>
        <v>0</v>
      </c>
      <c r="G58" s="1825">
        <f>'Irl. Energy Balance 2013 (ktoe)'!G58*0.01163</f>
        <v>0</v>
      </c>
      <c r="H58" s="1831">
        <f>'Irl. Energy Balance 2013 (ktoe)'!H58*0.01163</f>
        <v>0</v>
      </c>
      <c r="I58" s="1823">
        <f>'Irl. Energy Balance 2013 (ktoe)'!I58*0.01163</f>
        <v>0</v>
      </c>
      <c r="J58" s="1824">
        <f>'Irl. Energy Balance 2013 (ktoe)'!J58*0.01163</f>
        <v>0</v>
      </c>
      <c r="K58" s="1824">
        <f>'Irl. Energy Balance 2013 (ktoe)'!K58*0.01163</f>
        <v>0</v>
      </c>
      <c r="L58" s="1831">
        <f>'Irl. Energy Balance 2013 (ktoe)'!L58*0.01163</f>
        <v>2.3058213355696986</v>
      </c>
      <c r="M58" s="1824">
        <f>'Irl. Energy Balance 2013 (ktoe)'!M58*0.01163</f>
        <v>0</v>
      </c>
      <c r="N58" s="1824">
        <f>'Irl. Energy Balance 2013 (ktoe)'!N58*0.01163</f>
        <v>0</v>
      </c>
      <c r="O58" s="1824">
        <f>'Irl. Energy Balance 2013 (ktoe)'!O58*0.01163</f>
        <v>0</v>
      </c>
      <c r="P58" s="1824">
        <f>'Irl. Energy Balance 2013 (ktoe)'!P58*0.01163</f>
        <v>0</v>
      </c>
      <c r="Q58" s="1824">
        <f>'Irl. Energy Balance 2013 (ktoe)'!Q58*0.01163</f>
        <v>0</v>
      </c>
      <c r="R58" s="1824">
        <f>'Irl. Energy Balance 2013 (ktoe)'!R58*0.01163</f>
        <v>1.1175581550856673E-2</v>
      </c>
      <c r="S58" s="1824">
        <f>'Irl. Energy Balance 2013 (ktoe)'!S58*0.01163</f>
        <v>7.4860383725302154E-2</v>
      </c>
      <c r="T58" s="1824">
        <f>'Irl. Energy Balance 2013 (ktoe)'!T58*0.01163</f>
        <v>2.2197831287380718</v>
      </c>
      <c r="U58" s="1824">
        <f>'Irl. Energy Balance 2013 (ktoe)'!U58*0.01163</f>
        <v>2.2415554679048753E-6</v>
      </c>
      <c r="V58" s="1825">
        <f>'Irl. Energy Balance 2013 (ktoe)'!V58*0.01163</f>
        <v>0</v>
      </c>
      <c r="W58" s="1825">
        <f>'Irl. Energy Balance 2013 (ktoe)'!W58*0.01163</f>
        <v>0</v>
      </c>
      <c r="X58" s="1825">
        <f>'Irl. Energy Balance 2013 (ktoe)'!X58*0.01163</f>
        <v>0</v>
      </c>
      <c r="Y58" s="1824">
        <f>'Irl. Energy Balance 2013 (ktoe)'!Y58*0.01163</f>
        <v>0</v>
      </c>
      <c r="Z58" s="1831">
        <f>'Irl. Energy Balance 2013 (ktoe)'!Z58*0.01163</f>
        <v>2.0735889770483995</v>
      </c>
      <c r="AA58" s="1827">
        <f>'Irl. Energy Balance 2013 (ktoe)'!AA58*0.01163</f>
        <v>0.39452733996119627</v>
      </c>
      <c r="AB58" s="1828">
        <f>'Irl. Energy Balance 2013 (ktoe)'!AB58*0.01163</f>
        <v>0</v>
      </c>
      <c r="AC58" s="1824">
        <f>'Irl. Energy Balance 2013 (ktoe)'!AC58*0.01163</f>
        <v>0</v>
      </c>
      <c r="AD58" s="1824">
        <f>'Irl. Energy Balance 2013 (ktoe)'!AD58*0.01163</f>
        <v>0.29174315102794296</v>
      </c>
      <c r="AE58" s="1835">
        <f>'Irl. Energy Balance 2013 (ktoe)'!AE58*0.01163</f>
        <v>0</v>
      </c>
      <c r="AF58" s="1835">
        <f>'Irl. Energy Balance 2013 (ktoe)'!AF58*0.01163</f>
        <v>0</v>
      </c>
      <c r="AG58" s="1835">
        <f>'Irl. Energy Balance 2013 (ktoe)'!AG58*0.01163</f>
        <v>0</v>
      </c>
      <c r="AH58" s="3501">
        <f>'Irl. Energy Balance 2013 (ktoe)'!AH58*0.01163</f>
        <v>1.9322440289446738E-3</v>
      </c>
      <c r="AI58" s="1824">
        <f>'Irl. Energy Balance 2013 (ktoe)'!AI58*0.01163</f>
        <v>0.10085194490430863</v>
      </c>
      <c r="AJ58" s="1831">
        <f>'Irl. Energy Balance 2013 (ktoe)'!AJ58*0.01163</f>
        <v>0</v>
      </c>
      <c r="AK58" s="1861">
        <f>'Irl. Energy Balance 2013 (ktoe)'!AK58*0.01163</f>
        <v>4.5649112654360122</v>
      </c>
      <c r="AL58" s="1827">
        <f>'Irl. Energy Balance 2013 (ktoe)'!AL58*0.01163</f>
        <v>0</v>
      </c>
      <c r="AM58" s="1862">
        <f>'Irl. Energy Balance 2013 (ktoe)'!AM58*0.01163</f>
        <v>9.3388489180153051</v>
      </c>
    </row>
    <row r="59" spans="1:48">
      <c r="A59" s="1952" t="s">
        <v>1436</v>
      </c>
      <c r="B59" s="1995"/>
      <c r="C59" s="1839">
        <f>'Irl. Energy Balance 2013 (ktoe)'!C59*0.01163</f>
        <v>0</v>
      </c>
      <c r="D59" s="1840">
        <f>'Irl. Energy Balance 2013 (ktoe)'!D59*0.01163</f>
        <v>0</v>
      </c>
      <c r="E59" s="1841">
        <f>'Irl. Energy Balance 2013 (ktoe)'!E59*0.01163</f>
        <v>0</v>
      </c>
      <c r="F59" s="1842">
        <f>'Irl. Energy Balance 2013 (ktoe)'!F59*0.01163</f>
        <v>0</v>
      </c>
      <c r="G59" s="1842">
        <f>'Irl. Energy Balance 2013 (ktoe)'!G59*0.01163</f>
        <v>0</v>
      </c>
      <c r="H59" s="1843">
        <f>'Irl. Energy Balance 2013 (ktoe)'!H59*0.01163</f>
        <v>0</v>
      </c>
      <c r="I59" s="1840">
        <f>'Irl. Energy Balance 2013 (ktoe)'!I59*0.01163</f>
        <v>0</v>
      </c>
      <c r="J59" s="1841">
        <f>'Irl. Energy Balance 2013 (ktoe)'!J59*0.01163</f>
        <v>0</v>
      </c>
      <c r="K59" s="1841">
        <f>'Irl. Energy Balance 2013 (ktoe)'!K59*0.01163</f>
        <v>0</v>
      </c>
      <c r="L59" s="1843">
        <f>'Irl. Energy Balance 2013 (ktoe)'!L59*0.01163</f>
        <v>1.269413660487926</v>
      </c>
      <c r="M59" s="1841">
        <f>'Irl. Energy Balance 2013 (ktoe)'!M59*0.01163</f>
        <v>0</v>
      </c>
      <c r="N59" s="1841">
        <f>'Irl. Energy Balance 2013 (ktoe)'!N59*0.01163</f>
        <v>0</v>
      </c>
      <c r="O59" s="1841">
        <f>'Irl. Energy Balance 2013 (ktoe)'!O59*0.01163</f>
        <v>0</v>
      </c>
      <c r="P59" s="1841">
        <f>'Irl. Energy Balance 2013 (ktoe)'!P59*0.01163</f>
        <v>0</v>
      </c>
      <c r="Q59" s="1841">
        <f>'Irl. Energy Balance 2013 (ktoe)'!Q59*0.01163</f>
        <v>0</v>
      </c>
      <c r="R59" s="1841">
        <f>'Irl. Energy Balance 2013 (ktoe)'!R59*0.01163</f>
        <v>0.10337607631085123</v>
      </c>
      <c r="S59" s="1841">
        <f>'Irl. Energy Balance 2013 (ktoe)'!S59*0.01163</f>
        <v>2.5705662563603102E-2</v>
      </c>
      <c r="T59" s="1841">
        <f>'Irl. Energy Balance 2013 (ktoe)'!T59*0.01163</f>
        <v>1.1403319216134717</v>
      </c>
      <c r="U59" s="1841">
        <f>'Irl. Energy Balance 2013 (ktoe)'!U59*0.01163</f>
        <v>0</v>
      </c>
      <c r="V59" s="1842">
        <f>'Irl. Energy Balance 2013 (ktoe)'!V59*0.01163</f>
        <v>0</v>
      </c>
      <c r="W59" s="1842">
        <f>'Irl. Energy Balance 2013 (ktoe)'!W59*0.01163</f>
        <v>0</v>
      </c>
      <c r="X59" s="1842">
        <f>'Irl. Energy Balance 2013 (ktoe)'!X59*0.01163</f>
        <v>0</v>
      </c>
      <c r="Y59" s="1841">
        <f>'Irl. Energy Balance 2013 (ktoe)'!Y59*0.01163</f>
        <v>0</v>
      </c>
      <c r="Z59" s="1843">
        <f>'Irl. Energy Balance 2013 (ktoe)'!Z59*0.01163</f>
        <v>2.6582372525271314</v>
      </c>
      <c r="AA59" s="1844">
        <f>'Irl. Energy Balance 2013 (ktoe)'!AA59*0.01163</f>
        <v>5.1402018814347354E-2</v>
      </c>
      <c r="AB59" s="1845">
        <f>'Irl. Energy Balance 2013 (ktoe)'!AB59*0.01163</f>
        <v>0</v>
      </c>
      <c r="AC59" s="1841">
        <f>'Irl. Energy Balance 2013 (ktoe)'!AC59*0.01163</f>
        <v>0</v>
      </c>
      <c r="AD59" s="1841">
        <f>'Irl. Energy Balance 2013 (ktoe)'!AD59*0.01163</f>
        <v>0</v>
      </c>
      <c r="AE59" s="1841">
        <f>'Irl. Energy Balance 2013 (ktoe)'!AE59*0.01163</f>
        <v>0</v>
      </c>
      <c r="AF59" s="1841">
        <f>'Irl. Energy Balance 2013 (ktoe)'!AF59*0.01163</f>
        <v>5.1402018814347354E-2</v>
      </c>
      <c r="AG59" s="1841">
        <f>'Irl. Energy Balance 2013 (ktoe)'!AG59*0.01163</f>
        <v>0</v>
      </c>
      <c r="AH59" s="3505">
        <f>'Irl. Energy Balance 2013 (ktoe)'!AH59*0.01163</f>
        <v>0</v>
      </c>
      <c r="AI59" s="1841">
        <f>'Irl. Energy Balance 2013 (ktoe)'!AI59*0.01163</f>
        <v>0</v>
      </c>
      <c r="AJ59" s="1843">
        <f>'Irl. Energy Balance 2013 (ktoe)'!AJ59*0.01163</f>
        <v>0</v>
      </c>
      <c r="AK59" s="1846">
        <f>'Irl. Energy Balance 2013 (ktoe)'!AK59*0.01163</f>
        <v>1.8025941106780352</v>
      </c>
      <c r="AL59" s="1844">
        <f>'Irl. Energy Balance 2013 (ktoe)'!AL59*0.01163</f>
        <v>0</v>
      </c>
      <c r="AM59" s="1847">
        <f>'Irl. Energy Balance 2013 (ktoe)'!AM59*0.01163</f>
        <v>5.7816470425074398</v>
      </c>
    </row>
    <row r="60" spans="1:48">
      <c r="A60" s="1996" t="s">
        <v>1437</v>
      </c>
      <c r="B60" s="1997"/>
      <c r="C60" s="1867">
        <f>'Irl. Energy Balance 2013 (ktoe)'!C60*0.01163</f>
        <v>0</v>
      </c>
      <c r="D60" s="1998">
        <f>'Irl. Energy Balance 2013 (ktoe)'!D60*0.01163</f>
        <v>0</v>
      </c>
      <c r="E60" s="1999">
        <f>'Irl. Energy Balance 2013 (ktoe)'!E60*0.01163</f>
        <v>0</v>
      </c>
      <c r="F60" s="2000">
        <f>'Irl. Energy Balance 2013 (ktoe)'!F60*0.01163</f>
        <v>0</v>
      </c>
      <c r="G60" s="2000">
        <f>'Irl. Energy Balance 2013 (ktoe)'!G60*0.01163</f>
        <v>0</v>
      </c>
      <c r="H60" s="1871">
        <f>'Irl. Energy Balance 2013 (ktoe)'!H60*0.01163</f>
        <v>0</v>
      </c>
      <c r="I60" s="1998">
        <f>'Irl. Energy Balance 2013 (ktoe)'!I60*0.01163</f>
        <v>0</v>
      </c>
      <c r="J60" s="1999">
        <f>'Irl. Energy Balance 2013 (ktoe)'!J60*0.01163</f>
        <v>0</v>
      </c>
      <c r="K60" s="1999">
        <f>'Irl. Energy Balance 2013 (ktoe)'!K60*0.01163</f>
        <v>0</v>
      </c>
      <c r="L60" s="1871">
        <f>'Irl. Energy Balance 2013 (ktoe)'!L60*0.01163</f>
        <v>2.0536167400586125</v>
      </c>
      <c r="M60" s="1999">
        <f>'Irl. Energy Balance 2013 (ktoe)'!M60*0.01163</f>
        <v>0</v>
      </c>
      <c r="N60" s="1999">
        <f>'Irl. Energy Balance 2013 (ktoe)'!N60*0.01163</f>
        <v>0</v>
      </c>
      <c r="O60" s="1999">
        <f>'Irl. Energy Balance 2013 (ktoe)'!O60*0.01163</f>
        <v>0</v>
      </c>
      <c r="P60" s="1999">
        <f>'Irl. Energy Balance 2013 (ktoe)'!P60*0.01163</f>
        <v>0</v>
      </c>
      <c r="Q60" s="1999">
        <f>'Irl. Energy Balance 2013 (ktoe)'!Q60*0.01163</f>
        <v>0</v>
      </c>
      <c r="R60" s="1999">
        <f>'Irl. Energy Balance 2013 (ktoe)'!R60*0.01163</f>
        <v>0</v>
      </c>
      <c r="S60" s="1999">
        <f>'Irl. Energy Balance 2013 (ktoe)'!S60*0.01163</f>
        <v>0</v>
      </c>
      <c r="T60" s="1999">
        <f>'Irl. Energy Balance 2013 (ktoe)'!T60*0.01163</f>
        <v>2.0536167400586125</v>
      </c>
      <c r="U60" s="1824">
        <f>'Irl. Energy Balance 2013 (ktoe)'!U60*0.01163</f>
        <v>0</v>
      </c>
      <c r="V60" s="2000">
        <f>'Irl. Energy Balance 2013 (ktoe)'!V60*0.01163</f>
        <v>0</v>
      </c>
      <c r="W60" s="2000">
        <f>'Irl. Energy Balance 2013 (ktoe)'!W60*0.01163</f>
        <v>0</v>
      </c>
      <c r="X60" s="2000">
        <f>'Irl. Energy Balance 2013 (ktoe)'!X60*0.01163</f>
        <v>0</v>
      </c>
      <c r="Y60" s="1999">
        <f>'Irl. Energy Balance 2013 (ktoe)'!Y60*0.01163</f>
        <v>0</v>
      </c>
      <c r="Z60" s="1871">
        <f>'Irl. Energy Balance 2013 (ktoe)'!Z60*0.01163</f>
        <v>0</v>
      </c>
      <c r="AA60" s="1872">
        <f>'Irl. Energy Balance 2013 (ktoe)'!AA60*0.01163</f>
        <v>0</v>
      </c>
      <c r="AB60" s="2001">
        <f>'Irl. Energy Balance 2013 (ktoe)'!AB60*0.01163</f>
        <v>0</v>
      </c>
      <c r="AC60" s="1999">
        <f>'Irl. Energy Balance 2013 (ktoe)'!AC60*0.01163</f>
        <v>0</v>
      </c>
      <c r="AD60" s="1999">
        <f>'Irl. Energy Balance 2013 (ktoe)'!AD60*0.01163</f>
        <v>0</v>
      </c>
      <c r="AE60" s="1999">
        <f>'Irl. Energy Balance 2013 (ktoe)'!AE60*0.01163</f>
        <v>0</v>
      </c>
      <c r="AF60" s="1999">
        <f>'Irl. Energy Balance 2013 (ktoe)'!AF60*0.01163</f>
        <v>0</v>
      </c>
      <c r="AG60" s="1999">
        <f>'Irl. Energy Balance 2013 (ktoe)'!AG60*0.01163</f>
        <v>0</v>
      </c>
      <c r="AH60" s="3509">
        <f>'Irl. Energy Balance 2013 (ktoe)'!AH60*0.01163</f>
        <v>0</v>
      </c>
      <c r="AI60" s="1999">
        <f>'Irl. Energy Balance 2013 (ktoe)'!AI60*0.01163</f>
        <v>0</v>
      </c>
      <c r="AJ60" s="1871">
        <f>'Irl. Energy Balance 2013 (ktoe)'!AJ60*0.01163</f>
        <v>0</v>
      </c>
      <c r="AK60" s="1871">
        <f>'Irl. Energy Balance 2013 (ktoe)'!AK60*0.01163</f>
        <v>0.55810044000000003</v>
      </c>
      <c r="AL60" s="1872">
        <f>'Irl. Energy Balance 2013 (ktoe)'!AL60*0.01163</f>
        <v>0</v>
      </c>
      <c r="AM60" s="1859">
        <f>'Irl. Energy Balance 2013 (ktoe)'!AM60*0.01163</f>
        <v>2.6117171800586125</v>
      </c>
    </row>
    <row r="61" spans="1:48" ht="15" thickBot="1">
      <c r="A61" s="2002" t="s">
        <v>1438</v>
      </c>
      <c r="B61" s="1995"/>
      <c r="C61" s="1839">
        <f>'Irl. Energy Balance 2013 (ktoe)'!C61*0.01163</f>
        <v>0</v>
      </c>
      <c r="D61" s="1840">
        <f>'Irl. Energy Balance 2013 (ktoe)'!D61*0.01163</f>
        <v>0</v>
      </c>
      <c r="E61" s="1841">
        <f>'Irl. Energy Balance 2013 (ktoe)'!E61*0.01163</f>
        <v>0</v>
      </c>
      <c r="F61" s="1842">
        <f>'Irl. Energy Balance 2013 (ktoe)'!F61*0.01163</f>
        <v>0</v>
      </c>
      <c r="G61" s="1842">
        <f>'Irl. Energy Balance 2013 (ktoe)'!G61*0.01163</f>
        <v>0</v>
      </c>
      <c r="H61" s="1843">
        <f>'Irl. Energy Balance 2013 (ktoe)'!H61*0.01163</f>
        <v>0</v>
      </c>
      <c r="I61" s="1840">
        <f>'Irl. Energy Balance 2013 (ktoe)'!I61*0.01163</f>
        <v>0</v>
      </c>
      <c r="J61" s="1841">
        <f>'Irl. Energy Balance 2013 (ktoe)'!J61*0.01163</f>
        <v>0</v>
      </c>
      <c r="K61" s="1841">
        <f>'Irl. Energy Balance 2013 (ktoe)'!K61*0.01163</f>
        <v>0</v>
      </c>
      <c r="L61" s="1843">
        <f>'Irl. Energy Balance 2013 (ktoe)'!L61*0.01163</f>
        <v>0.28245523908219111</v>
      </c>
      <c r="M61" s="1841">
        <f>'Irl. Energy Balance 2013 (ktoe)'!M61*0.01163</f>
        <v>0</v>
      </c>
      <c r="N61" s="1841">
        <f>'Irl. Energy Balance 2013 (ktoe)'!N61*0.01163</f>
        <v>0</v>
      </c>
      <c r="O61" s="1841">
        <f>'Irl. Energy Balance 2013 (ktoe)'!O61*0.01163</f>
        <v>0</v>
      </c>
      <c r="P61" s="1841">
        <f>'Irl. Energy Balance 2013 (ktoe)'!P61*0.01163</f>
        <v>0</v>
      </c>
      <c r="Q61" s="1841">
        <f>'Irl. Energy Balance 2013 (ktoe)'!Q61*0.01163</f>
        <v>0</v>
      </c>
      <c r="R61" s="1841">
        <f>'Irl. Energy Balance 2013 (ktoe)'!R61*0.01163</f>
        <v>0</v>
      </c>
      <c r="S61" s="1841">
        <f>'Irl. Energy Balance 2013 (ktoe)'!S61*0.01163</f>
        <v>0</v>
      </c>
      <c r="T61" s="1988">
        <f>'Irl. Energy Balance 2013 (ktoe)'!T61*0.01163</f>
        <v>0.28245523908219111</v>
      </c>
      <c r="U61" s="1841">
        <f>'Irl. Energy Balance 2013 (ktoe)'!U61*0.01163</f>
        <v>0</v>
      </c>
      <c r="V61" s="1842">
        <f>'Irl. Energy Balance 2013 (ktoe)'!V61*0.01163</f>
        <v>0</v>
      </c>
      <c r="W61" s="1842">
        <f>'Irl. Energy Balance 2013 (ktoe)'!W61*0.01163</f>
        <v>0</v>
      </c>
      <c r="X61" s="1842">
        <f>'Irl. Energy Balance 2013 (ktoe)'!X61*0.01163</f>
        <v>0</v>
      </c>
      <c r="Y61" s="1841">
        <f>'Irl. Energy Balance 2013 (ktoe)'!Y61*0.01163</f>
        <v>0</v>
      </c>
      <c r="Z61" s="1843">
        <f>'Irl. Energy Balance 2013 (ktoe)'!Z61*0.01163</f>
        <v>0</v>
      </c>
      <c r="AA61" s="1844">
        <f>'Irl. Energy Balance 2013 (ktoe)'!AA61*0.01163</f>
        <v>0</v>
      </c>
      <c r="AB61" s="1845">
        <f>'Irl. Energy Balance 2013 (ktoe)'!AB61*0.01163</f>
        <v>0</v>
      </c>
      <c r="AC61" s="1841">
        <f>'Irl. Energy Balance 2013 (ktoe)'!AC61*0.01163</f>
        <v>0</v>
      </c>
      <c r="AD61" s="1841">
        <f>'Irl. Energy Balance 2013 (ktoe)'!AD61*0.01163</f>
        <v>0</v>
      </c>
      <c r="AE61" s="1841">
        <f>'Irl. Energy Balance 2013 (ktoe)'!AE61*0.01163</f>
        <v>0</v>
      </c>
      <c r="AF61" s="1841">
        <f>'Irl. Energy Balance 2013 (ktoe)'!AF61*0.01163</f>
        <v>0</v>
      </c>
      <c r="AG61" s="1841">
        <f>'Irl. Energy Balance 2013 (ktoe)'!AG61*0.01163</f>
        <v>0</v>
      </c>
      <c r="AH61" s="3505">
        <f>'Irl. Energy Balance 2013 (ktoe)'!AH61*0.01163</f>
        <v>0</v>
      </c>
      <c r="AI61" s="1841">
        <f>'Irl. Energy Balance 2013 (ktoe)'!AI61*0.01163</f>
        <v>0</v>
      </c>
      <c r="AJ61" s="1843">
        <f>'Irl. Energy Balance 2013 (ktoe)'!AJ61*0.01163</f>
        <v>0</v>
      </c>
      <c r="AK61" s="1846">
        <f>'Irl. Energy Balance 2013 (ktoe)'!AK61*0.01163</f>
        <v>0</v>
      </c>
      <c r="AL61" s="1844">
        <f>'Irl. Energy Balance 2013 (ktoe)'!AL61*0.01163</f>
        <v>0</v>
      </c>
      <c r="AM61" s="2003">
        <f>'Irl. Energy Balance 2013 (ktoe)'!AM61*0.01163</f>
        <v>0.28245523908219111</v>
      </c>
    </row>
    <row r="62" spans="1:48" ht="15" thickBot="1">
      <c r="A62" s="2004" t="s">
        <v>1439</v>
      </c>
      <c r="B62" s="2005"/>
      <c r="C62" s="2006">
        <f>'Irl. Energy Balance 2013 (ktoe)'!C62*0.01163</f>
        <v>0.25557475763704351</v>
      </c>
      <c r="D62" s="2007">
        <f>'Irl. Energy Balance 2013 (ktoe)'!D62*0.01163</f>
        <v>0.24097806135234229</v>
      </c>
      <c r="E62" s="2008">
        <f>'Irl. Energy Balance 2013 (ktoe)'!E62*0.01163</f>
        <v>1.4077017441662929E-2</v>
      </c>
      <c r="F62" s="2009">
        <f>'Irl. Energy Balance 2013 (ktoe)'!F62*0.01163</f>
        <v>0</v>
      </c>
      <c r="G62" s="2009">
        <f>'Irl. Energy Balance 2013 (ktoe)'!G62*0.01163</f>
        <v>5.1967884303704998E-4</v>
      </c>
      <c r="H62" s="2010">
        <f>'Irl. Energy Balance 2013 (ktoe)'!H62*0.01163</f>
        <v>-0.51254918223795654</v>
      </c>
      <c r="I62" s="2007">
        <f>'Irl. Energy Balance 2013 (ktoe)'!I62*0.01163</f>
        <v>-0.45060045207795485</v>
      </c>
      <c r="J62" s="2008">
        <f>'Irl. Energy Balance 2013 (ktoe)'!J62*0.01163</f>
        <v>0</v>
      </c>
      <c r="K62" s="2008">
        <f>'Irl. Energy Balance 2013 (ktoe)'!K62*0.01163</f>
        <v>-6.1948730160000041E-2</v>
      </c>
      <c r="L62" s="2010">
        <f>'Irl. Energy Balance 2013 (ktoe)'!L62*0.01163</f>
        <v>0.16231424010781331</v>
      </c>
      <c r="M62" s="2008">
        <f>'Irl. Energy Balance 2013 (ktoe)'!M62*0.01163</f>
        <v>-2.1037443316438226E-2</v>
      </c>
      <c r="N62" s="2008">
        <f>'Irl. Energy Balance 2013 (ktoe)'!N62*0.01163</f>
        <v>0</v>
      </c>
      <c r="O62" s="2008">
        <f>'Irl. Energy Balance 2013 (ktoe)'!O62*0.01163</f>
        <v>0.22641323959694504</v>
      </c>
      <c r="P62" s="2008">
        <f>'Irl. Energy Balance 2013 (ktoe)'!P62*0.01163</f>
        <v>-0.16197279641452078</v>
      </c>
      <c r="Q62" s="2008">
        <f>'Irl. Energy Balance 2013 (ktoe)'!Q62*0.01163</f>
        <v>0.7901255058179153</v>
      </c>
      <c r="R62" s="2008">
        <f>'Irl. Energy Balance 2013 (ktoe)'!R62*0.01163</f>
        <v>-1.6622625130585187E-2</v>
      </c>
      <c r="S62" s="2008">
        <f>'Irl. Energy Balance 2013 (ktoe)'!S62*0.01163</f>
        <v>-0.31093164917163751</v>
      </c>
      <c r="T62" s="2008">
        <f>'Irl. Energy Balance 2013 (ktoe)'!T62*0.01163</f>
        <v>-0.28318565474341978</v>
      </c>
      <c r="U62" s="2008">
        <f>'Irl. Energy Balance 2013 (ktoe)'!U62*0.01163</f>
        <v>3.3022003881587438E-3</v>
      </c>
      <c r="V62" s="2009">
        <f>'Irl. Energy Balance 2013 (ktoe)'!V62*0.01163</f>
        <v>-6.3768749056911433E-2</v>
      </c>
      <c r="W62" s="2009">
        <f>'Irl. Energy Balance 2013 (ktoe)'!W62*0.01163</f>
        <v>0</v>
      </c>
      <c r="X62" s="2009">
        <f>'Irl. Energy Balance 2013 (ktoe)'!X62*0.01163</f>
        <v>0</v>
      </c>
      <c r="Y62" s="2008">
        <f>'Irl. Energy Balance 2013 (ktoe)'!Y62*0.01163</f>
        <v>0</v>
      </c>
      <c r="Z62" s="2010">
        <f>'Irl. Energy Balance 2013 (ktoe)'!Z62*0.01163</f>
        <v>0.23092371173116133</v>
      </c>
      <c r="AA62" s="2011">
        <f>'Irl. Energy Balance 2013 (ktoe)'!AA62*0.01163</f>
        <v>-5.5153903861378036E-2</v>
      </c>
      <c r="AB62" s="2012">
        <f>'Irl. Energy Balance 2013 (ktoe)'!AB62*0.01163</f>
        <v>0</v>
      </c>
      <c r="AC62" s="2008">
        <f>'Irl. Energy Balance 2013 (ktoe)'!AC62*0.01163</f>
        <v>0</v>
      </c>
      <c r="AD62" s="2008">
        <f>'Irl. Energy Balance 2013 (ktoe)'!AD62*0.01163</f>
        <v>-2.1570428359497816E-2</v>
      </c>
      <c r="AE62" s="2008">
        <f>'Irl. Energy Balance 2013 (ktoe)'!AE62*0.01163</f>
        <v>0</v>
      </c>
      <c r="AF62" s="2008">
        <f>'Irl. Energy Balance 2013 (ktoe)'!AF62*0.01163</f>
        <v>0</v>
      </c>
      <c r="AG62" s="2008">
        <f>'Irl. Energy Balance 2013 (ktoe)'!AG62*0.01163</f>
        <v>-3.3583475501880719E-2</v>
      </c>
      <c r="AH62" s="3510">
        <f>'Irl. Energy Balance 2013 (ktoe)'!AH62*0.01163</f>
        <v>0</v>
      </c>
      <c r="AI62" s="2008">
        <f>'Irl. Energy Balance 2013 (ktoe)'!AI62*0.01163</f>
        <v>0</v>
      </c>
      <c r="AJ62" s="2010">
        <f>'Irl. Energy Balance 2013 (ktoe)'!AJ62*0.01163</f>
        <v>0</v>
      </c>
      <c r="AK62" s="2010">
        <f>'Irl. Energy Balance 2013 (ktoe)'!AK62*0.01163</f>
        <v>0.19785316569856343</v>
      </c>
      <c r="AL62" s="2011">
        <f>'Irl. Energy Balance 2013 (ktoe)'!AL62*0.01163</f>
        <v>0</v>
      </c>
      <c r="AM62" s="1906">
        <f>'Irl. Energy Balance 2013 (ktoe)'!AM62*0.01163</f>
        <v>0.27896278907524702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showGridLines="0" workbookViewId="0">
      <selection activeCell="S17" sqref="S17"/>
    </sheetView>
  </sheetViews>
  <sheetFormatPr defaultRowHeight="14.5"/>
  <cols>
    <col min="1" max="1" width="2.26953125" style="4268" customWidth="1"/>
    <col min="2" max="2" width="7.453125" customWidth="1"/>
    <col min="3" max="3" width="10.08984375" customWidth="1"/>
    <col min="4" max="4" width="43.08984375" customWidth="1"/>
    <col min="5" max="5" width="6.453125" customWidth="1"/>
    <col min="6" max="6" width="11.7265625" customWidth="1"/>
    <col min="7" max="7" width="11.7265625" style="4268" customWidth="1"/>
    <col min="8" max="8" width="11.7265625" style="4286" customWidth="1"/>
    <col min="9" max="9" width="10" customWidth="1"/>
    <col min="10" max="10" width="10.54296875" customWidth="1"/>
    <col min="11" max="11" width="9.81640625" customWidth="1"/>
    <col min="12" max="12" width="10.6328125" customWidth="1"/>
    <col min="13" max="13" width="1.81640625" customWidth="1"/>
    <col min="14" max="14" width="10.08984375" customWidth="1"/>
    <col min="15" max="15" width="20.1796875" style="4268" customWidth="1"/>
    <col min="16" max="16" width="10.1796875" customWidth="1"/>
  </cols>
  <sheetData>
    <row r="1" spans="2:16" s="4268" customFormat="1">
      <c r="B1" s="377" t="s">
        <v>3776</v>
      </c>
      <c r="E1" s="373" t="s">
        <v>1659</v>
      </c>
      <c r="F1" s="4268" t="s">
        <v>3777</v>
      </c>
      <c r="H1" s="4286"/>
    </row>
    <row r="2" spans="2:16" s="4268" customFormat="1">
      <c r="B2" s="4276" t="s">
        <v>3778</v>
      </c>
      <c r="H2" s="4286"/>
    </row>
    <row r="3" spans="2:16" s="4268" customFormat="1" ht="15" thickBot="1">
      <c r="B3" s="377"/>
      <c r="H3" s="4286"/>
    </row>
    <row r="4" spans="2:16" ht="58">
      <c r="B4" s="4269" t="s">
        <v>3701</v>
      </c>
      <c r="C4" s="4271" t="s">
        <v>3702</v>
      </c>
      <c r="D4" s="4270" t="s">
        <v>3775</v>
      </c>
      <c r="E4" s="4270" t="s">
        <v>302</v>
      </c>
      <c r="F4" s="4271" t="s">
        <v>3703</v>
      </c>
      <c r="G4" s="4271" t="s">
        <v>3779</v>
      </c>
      <c r="H4" s="4271" t="s">
        <v>3787</v>
      </c>
      <c r="I4" s="4271" t="s">
        <v>3785</v>
      </c>
      <c r="J4" s="4271" t="s">
        <v>3786</v>
      </c>
      <c r="K4" s="4295" t="s">
        <v>3773</v>
      </c>
      <c r="L4" s="4272" t="s">
        <v>3774</v>
      </c>
      <c r="M4" s="4268"/>
      <c r="N4" s="4277" t="s">
        <v>3704</v>
      </c>
      <c r="O4" s="4278" t="s">
        <v>303</v>
      </c>
      <c r="P4" s="4279" t="s">
        <v>3705</v>
      </c>
    </row>
    <row r="5" spans="2:16">
      <c r="B5" s="4273">
        <v>1</v>
      </c>
      <c r="C5" s="389" t="s">
        <v>3706</v>
      </c>
      <c r="D5" s="389" t="s">
        <v>3707</v>
      </c>
      <c r="E5" s="389" t="s">
        <v>250</v>
      </c>
      <c r="F5" s="4274">
        <v>10483.36</v>
      </c>
      <c r="G5" s="4274">
        <f>F5/1000</f>
        <v>10.483360000000001</v>
      </c>
      <c r="H5" s="4274">
        <f>ABS(F5)</f>
        <v>10483.36</v>
      </c>
      <c r="I5" s="4287">
        <f>H5/$H$40</f>
        <v>0.14497054972776827</v>
      </c>
      <c r="J5" s="4288">
        <f>I5</f>
        <v>0.14497054972776827</v>
      </c>
      <c r="K5" s="4296" t="s">
        <v>3708</v>
      </c>
      <c r="L5" s="4275">
        <v>1</v>
      </c>
      <c r="M5" s="4268"/>
      <c r="N5" s="4280">
        <v>1</v>
      </c>
      <c r="O5" s="4281" t="s">
        <v>305</v>
      </c>
      <c r="P5" s="4282">
        <f>SUMIF($L$5:$L$38, N5, $F$5:$F$38)/1000</f>
        <v>34.466370000000005</v>
      </c>
    </row>
    <row r="6" spans="2:16">
      <c r="B6" s="4273">
        <v>2</v>
      </c>
      <c r="C6" s="389" t="s">
        <v>3709</v>
      </c>
      <c r="D6" s="389" t="s">
        <v>3710</v>
      </c>
      <c r="E6" s="389" t="s">
        <v>252</v>
      </c>
      <c r="F6" s="4274">
        <v>6626.21</v>
      </c>
      <c r="G6" s="4274">
        <f t="shared" ref="G6:G40" si="0">F6/1000</f>
        <v>6.6262100000000004</v>
      </c>
      <c r="H6" s="4274">
        <f t="shared" ref="H6:H38" si="1">ABS(F6)</f>
        <v>6626.21</v>
      </c>
      <c r="I6" s="4287">
        <f t="shared" ref="I6:I38" si="2">H6/$H$40</f>
        <v>9.1631433654060859E-2</v>
      </c>
      <c r="J6" s="4288">
        <f>I6+J5</f>
        <v>0.23660198338182914</v>
      </c>
      <c r="K6" s="4296" t="s">
        <v>3711</v>
      </c>
      <c r="L6" s="4275">
        <v>4</v>
      </c>
      <c r="M6" s="4268"/>
      <c r="N6" s="4280">
        <v>2</v>
      </c>
      <c r="O6" s="4281" t="s">
        <v>399</v>
      </c>
      <c r="P6" s="4282">
        <f t="shared" ref="P6:P13" si="3">SUMIF($L$5:$L$38, N6, $F$5:$F$38)/1000</f>
        <v>2.2359100000000001</v>
      </c>
    </row>
    <row r="7" spans="2:16">
      <c r="B7" s="4273">
        <v>3</v>
      </c>
      <c r="C7" s="389" t="s">
        <v>3712</v>
      </c>
      <c r="D7" s="389" t="s">
        <v>3713</v>
      </c>
      <c r="E7" s="389" t="s">
        <v>253</v>
      </c>
      <c r="F7" s="4274">
        <v>5633.17</v>
      </c>
      <c r="G7" s="4274">
        <f t="shared" si="0"/>
        <v>5.6331699999999998</v>
      </c>
      <c r="H7" s="4274">
        <f t="shared" si="1"/>
        <v>5633.17</v>
      </c>
      <c r="I7" s="4287">
        <f t="shared" si="2"/>
        <v>7.7899046833264568E-2</v>
      </c>
      <c r="J7" s="4288">
        <f t="shared" ref="J7:J27" si="4">I7+J6</f>
        <v>0.31450103021509368</v>
      </c>
      <c r="K7" s="4296" t="s">
        <v>3714</v>
      </c>
      <c r="L7" s="4275">
        <v>4</v>
      </c>
      <c r="M7" s="4268"/>
      <c r="N7" s="4280">
        <v>3</v>
      </c>
      <c r="O7" s="4281" t="s">
        <v>400</v>
      </c>
      <c r="P7" s="4282">
        <f t="shared" si="3"/>
        <v>0.51569000000000009</v>
      </c>
    </row>
    <row r="8" spans="2:16">
      <c r="B8" s="4273">
        <v>4</v>
      </c>
      <c r="C8" s="1068" t="s">
        <v>3715</v>
      </c>
      <c r="D8" s="1068" t="s">
        <v>3716</v>
      </c>
      <c r="E8" s="1068" t="s">
        <v>250</v>
      </c>
      <c r="F8" s="4274">
        <v>4763.1499999999996</v>
      </c>
      <c r="G8" s="4274">
        <f t="shared" si="0"/>
        <v>4.7631499999999996</v>
      </c>
      <c r="H8" s="4274">
        <f t="shared" si="1"/>
        <v>4763.1499999999996</v>
      </c>
      <c r="I8" s="4287">
        <f t="shared" si="2"/>
        <v>6.5867858581201005E-2</v>
      </c>
      <c r="J8" s="4288">
        <f t="shared" si="4"/>
        <v>0.38036888879629471</v>
      </c>
      <c r="K8" s="4296" t="s">
        <v>3717</v>
      </c>
      <c r="L8" s="4275">
        <v>5</v>
      </c>
      <c r="M8" s="4268"/>
      <c r="N8" s="4280">
        <v>4</v>
      </c>
      <c r="O8" s="4281" t="s">
        <v>392</v>
      </c>
      <c r="P8" s="4282">
        <f t="shared" si="3"/>
        <v>17.928919999999994</v>
      </c>
    </row>
    <row r="9" spans="2:16">
      <c r="B9" s="4273">
        <v>5</v>
      </c>
      <c r="C9" s="389" t="s">
        <v>3718</v>
      </c>
      <c r="D9" s="389" t="s">
        <v>3719</v>
      </c>
      <c r="E9" s="389" t="s">
        <v>250</v>
      </c>
      <c r="F9" s="4274">
        <v>4373.09</v>
      </c>
      <c r="G9" s="4274">
        <f t="shared" si="0"/>
        <v>4.3730900000000004</v>
      </c>
      <c r="H9" s="4274">
        <f t="shared" si="1"/>
        <v>4373.09</v>
      </c>
      <c r="I9" s="4287">
        <f t="shared" si="2"/>
        <v>6.0473861558603938E-2</v>
      </c>
      <c r="J9" s="4288">
        <f t="shared" si="4"/>
        <v>0.44084275035489867</v>
      </c>
      <c r="K9" s="4296" t="s">
        <v>3718</v>
      </c>
      <c r="L9" s="4275">
        <v>1</v>
      </c>
      <c r="M9" s="4268"/>
      <c r="N9" s="4280">
        <v>5</v>
      </c>
      <c r="O9" s="4281" t="s">
        <v>401</v>
      </c>
      <c r="P9" s="4282">
        <f t="shared" si="3"/>
        <v>3.7112299999999996</v>
      </c>
    </row>
    <row r="10" spans="2:16">
      <c r="B10" s="4273">
        <v>6</v>
      </c>
      <c r="C10" s="389" t="s">
        <v>3718</v>
      </c>
      <c r="D10" s="389" t="s">
        <v>3720</v>
      </c>
      <c r="E10" s="389" t="s">
        <v>250</v>
      </c>
      <c r="F10" s="4274">
        <v>3797.89</v>
      </c>
      <c r="G10" s="4274">
        <f t="shared" si="0"/>
        <v>3.7978899999999998</v>
      </c>
      <c r="H10" s="4274">
        <f t="shared" si="1"/>
        <v>3797.89</v>
      </c>
      <c r="I10" s="4287">
        <f t="shared" si="2"/>
        <v>5.2519631216098067E-2</v>
      </c>
      <c r="J10" s="4288">
        <f t="shared" si="4"/>
        <v>0.49336238157099677</v>
      </c>
      <c r="K10" s="4296" t="s">
        <v>3718</v>
      </c>
      <c r="L10" s="4275">
        <v>1</v>
      </c>
      <c r="M10" s="4268"/>
      <c r="N10" s="4280">
        <v>6</v>
      </c>
      <c r="O10" s="4281" t="s">
        <v>393</v>
      </c>
      <c r="P10" s="4282">
        <f t="shared" si="3"/>
        <v>1.1060300000000001</v>
      </c>
    </row>
    <row r="11" spans="2:16">
      <c r="B11" s="4273">
        <v>7</v>
      </c>
      <c r="C11" s="1068" t="s">
        <v>3721</v>
      </c>
      <c r="D11" s="1068" t="s">
        <v>3722</v>
      </c>
      <c r="E11" s="1068" t="s">
        <v>250</v>
      </c>
      <c r="F11" s="4274">
        <v>-3746.98</v>
      </c>
      <c r="G11" s="4274">
        <f t="shared" si="0"/>
        <v>-3.7469800000000002</v>
      </c>
      <c r="H11" s="4274">
        <f t="shared" si="1"/>
        <v>3746.98</v>
      </c>
      <c r="I11" s="4287">
        <f t="shared" si="2"/>
        <v>5.1815615453342546E-2</v>
      </c>
      <c r="J11" s="4288">
        <f t="shared" si="4"/>
        <v>0.54517799702433933</v>
      </c>
      <c r="K11" s="4296" t="s">
        <v>3723</v>
      </c>
      <c r="L11" s="4275">
        <v>5</v>
      </c>
      <c r="M11" s="4268"/>
      <c r="N11" s="4298" t="s">
        <v>448</v>
      </c>
      <c r="O11" s="4281" t="s">
        <v>2780</v>
      </c>
      <c r="P11" s="4282">
        <f t="shared" si="3"/>
        <v>0</v>
      </c>
    </row>
    <row r="12" spans="2:16">
      <c r="B12" s="4273">
        <v>8</v>
      </c>
      <c r="C12" s="389" t="s">
        <v>3709</v>
      </c>
      <c r="D12" s="389" t="s">
        <v>3724</v>
      </c>
      <c r="E12" s="389" t="s">
        <v>252</v>
      </c>
      <c r="F12" s="4274">
        <v>3131.86</v>
      </c>
      <c r="G12" s="4274">
        <f t="shared" si="0"/>
        <v>3.1318600000000001</v>
      </c>
      <c r="H12" s="4274">
        <f t="shared" si="1"/>
        <v>3131.86</v>
      </c>
      <c r="I12" s="4287">
        <f t="shared" si="2"/>
        <v>4.3309346036996571E-2</v>
      </c>
      <c r="J12" s="4288">
        <f t="shared" si="4"/>
        <v>0.58848734306133588</v>
      </c>
      <c r="K12" s="4296" t="s">
        <v>3711</v>
      </c>
      <c r="L12" s="4275">
        <v>4</v>
      </c>
      <c r="M12" s="4268"/>
      <c r="N12" s="4298" t="s">
        <v>449</v>
      </c>
      <c r="O12" s="4281" t="s">
        <v>404</v>
      </c>
      <c r="P12" s="4282">
        <f t="shared" si="3"/>
        <v>-0.69195000000000007</v>
      </c>
    </row>
    <row r="13" spans="2:16" ht="15" thickBot="1">
      <c r="B13" s="4273">
        <v>9</v>
      </c>
      <c r="C13" s="389" t="s">
        <v>3725</v>
      </c>
      <c r="D13" s="389" t="s">
        <v>3726</v>
      </c>
      <c r="E13" s="389" t="s">
        <v>250</v>
      </c>
      <c r="F13" s="4274">
        <v>2753.85</v>
      </c>
      <c r="G13" s="4274">
        <f t="shared" si="0"/>
        <v>2.7538499999999999</v>
      </c>
      <c r="H13" s="4274">
        <f t="shared" si="1"/>
        <v>2753.85</v>
      </c>
      <c r="I13" s="4287">
        <f t="shared" si="2"/>
        <v>3.8081984055475977E-2</v>
      </c>
      <c r="J13" s="4288">
        <f t="shared" si="4"/>
        <v>0.6265693271168119</v>
      </c>
      <c r="K13" s="4296" t="s">
        <v>3727</v>
      </c>
      <c r="L13" s="4275">
        <v>1</v>
      </c>
      <c r="M13" s="4268"/>
      <c r="N13" s="4299" t="s">
        <v>450</v>
      </c>
      <c r="O13" s="4283" t="s">
        <v>405</v>
      </c>
      <c r="P13" s="4284">
        <f t="shared" si="3"/>
        <v>0</v>
      </c>
    </row>
    <row r="14" spans="2:16">
      <c r="B14" s="4273">
        <v>10</v>
      </c>
      <c r="C14" s="1068" t="s">
        <v>3728</v>
      </c>
      <c r="D14" s="1068" t="s">
        <v>3729</v>
      </c>
      <c r="E14" s="1068" t="s">
        <v>250</v>
      </c>
      <c r="F14" s="4274">
        <v>2684.47</v>
      </c>
      <c r="G14" s="4274">
        <f t="shared" si="0"/>
        <v>2.6844699999999997</v>
      </c>
      <c r="H14" s="4274">
        <f t="shared" si="1"/>
        <v>2684.47</v>
      </c>
      <c r="I14" s="4287">
        <f t="shared" si="2"/>
        <v>3.7122553420630602E-2</v>
      </c>
      <c r="J14" s="4288">
        <f t="shared" si="4"/>
        <v>0.66369188053744255</v>
      </c>
      <c r="K14" s="4296" t="s">
        <v>3730</v>
      </c>
      <c r="L14" s="4275">
        <v>5</v>
      </c>
      <c r="M14" s="4268"/>
    </row>
    <row r="15" spans="2:16">
      <c r="B15" s="4273">
        <v>11</v>
      </c>
      <c r="C15" s="389" t="s">
        <v>3718</v>
      </c>
      <c r="D15" s="389" t="s">
        <v>3731</v>
      </c>
      <c r="E15" s="389" t="s">
        <v>250</v>
      </c>
      <c r="F15" s="4274">
        <v>2579.98</v>
      </c>
      <c r="G15" s="4274">
        <f t="shared" si="0"/>
        <v>2.5799799999999999</v>
      </c>
      <c r="H15" s="4274">
        <f t="shared" si="1"/>
        <v>2579.98</v>
      </c>
      <c r="I15" s="4287">
        <f t="shared" si="2"/>
        <v>3.5677599442034573E-2</v>
      </c>
      <c r="J15" s="4288">
        <f t="shared" si="4"/>
        <v>0.69936947997947707</v>
      </c>
      <c r="K15" s="4296" t="s">
        <v>3718</v>
      </c>
      <c r="L15" s="4275">
        <v>1</v>
      </c>
      <c r="M15" s="4268"/>
      <c r="N15" s="4268"/>
      <c r="P15" s="4268"/>
    </row>
    <row r="16" spans="2:16">
      <c r="B16" s="4273">
        <v>12</v>
      </c>
      <c r="C16" s="389" t="s">
        <v>3732</v>
      </c>
      <c r="D16" s="389" t="s">
        <v>3733</v>
      </c>
      <c r="E16" s="389" t="s">
        <v>250</v>
      </c>
      <c r="F16" s="4274">
        <v>2039.08</v>
      </c>
      <c r="G16" s="4274">
        <f t="shared" si="0"/>
        <v>2.0390799999999998</v>
      </c>
      <c r="H16" s="4274">
        <f t="shared" si="1"/>
        <v>2039.08</v>
      </c>
      <c r="I16" s="4287">
        <f t="shared" si="2"/>
        <v>2.8197691249646842E-2</v>
      </c>
      <c r="J16" s="4288">
        <f t="shared" si="4"/>
        <v>0.72756717122912395</v>
      </c>
      <c r="K16" s="4296" t="s">
        <v>3732</v>
      </c>
      <c r="L16" s="4275">
        <v>1</v>
      </c>
      <c r="M16" s="4268"/>
      <c r="N16" s="4268"/>
      <c r="P16" s="4268"/>
    </row>
    <row r="17" spans="2:16">
      <c r="B17" s="4273">
        <v>13</v>
      </c>
      <c r="C17" s="389" t="s">
        <v>3732</v>
      </c>
      <c r="D17" s="389" t="s">
        <v>3734</v>
      </c>
      <c r="E17" s="389" t="s">
        <v>250</v>
      </c>
      <c r="F17" s="4274">
        <v>1709.71</v>
      </c>
      <c r="G17" s="4274">
        <f t="shared" si="0"/>
        <v>1.7097100000000001</v>
      </c>
      <c r="H17" s="4274">
        <f t="shared" si="1"/>
        <v>1709.71</v>
      </c>
      <c r="I17" s="4287">
        <f t="shared" si="2"/>
        <v>2.3642954031442467E-2</v>
      </c>
      <c r="J17" s="4288">
        <f t="shared" si="4"/>
        <v>0.75121012526056641</v>
      </c>
      <c r="K17" s="4296" t="s">
        <v>3732</v>
      </c>
      <c r="L17" s="4275">
        <v>1</v>
      </c>
      <c r="M17" s="4268"/>
      <c r="N17" s="4268"/>
      <c r="P17" s="4268"/>
    </row>
    <row r="18" spans="2:16">
      <c r="B18" s="4273">
        <v>14</v>
      </c>
      <c r="C18" s="389" t="s">
        <v>3725</v>
      </c>
      <c r="D18" s="389" t="s">
        <v>3735</v>
      </c>
      <c r="E18" s="389" t="s">
        <v>250</v>
      </c>
      <c r="F18" s="4274">
        <v>1420.84</v>
      </c>
      <c r="G18" s="4274">
        <f t="shared" si="0"/>
        <v>1.4208399999999999</v>
      </c>
      <c r="H18" s="4274">
        <f t="shared" si="1"/>
        <v>1420.84</v>
      </c>
      <c r="I18" s="4287">
        <f t="shared" si="2"/>
        <v>1.9648276494864458E-2</v>
      </c>
      <c r="J18" s="4288">
        <f t="shared" si="4"/>
        <v>0.77085840175543086</v>
      </c>
      <c r="K18" s="4296" t="s">
        <v>3727</v>
      </c>
      <c r="L18" s="4275">
        <v>1</v>
      </c>
      <c r="M18" s="4268"/>
      <c r="N18" s="4268"/>
      <c r="P18" s="4268"/>
    </row>
    <row r="19" spans="2:16">
      <c r="B19" s="4273">
        <v>15</v>
      </c>
      <c r="C19" s="389" t="s">
        <v>3736</v>
      </c>
      <c r="D19" s="389" t="s">
        <v>3737</v>
      </c>
      <c r="E19" s="389" t="s">
        <v>3738</v>
      </c>
      <c r="F19" s="4274">
        <v>1124.1600000000001</v>
      </c>
      <c r="G19" s="4274">
        <f t="shared" si="0"/>
        <v>1.12416</v>
      </c>
      <c r="H19" s="4274">
        <f t="shared" si="1"/>
        <v>1124.1600000000001</v>
      </c>
      <c r="I19" s="4287">
        <f t="shared" si="2"/>
        <v>1.5545597325854305E-2</v>
      </c>
      <c r="J19" s="4288">
        <f t="shared" si="4"/>
        <v>0.78640399908128511</v>
      </c>
      <c r="K19" s="4296" t="s">
        <v>3739</v>
      </c>
      <c r="L19" s="4275">
        <v>2</v>
      </c>
      <c r="M19" s="4268"/>
      <c r="N19" s="4268"/>
      <c r="P19" s="4268"/>
    </row>
    <row r="20" spans="2:16">
      <c r="B20" s="4273">
        <v>16</v>
      </c>
      <c r="C20" s="389" t="s">
        <v>3740</v>
      </c>
      <c r="D20" s="389" t="s">
        <v>3741</v>
      </c>
      <c r="E20" s="389" t="s">
        <v>250</v>
      </c>
      <c r="F20" s="4274">
        <v>1111.75</v>
      </c>
      <c r="G20" s="4274">
        <f t="shared" si="0"/>
        <v>1.11175</v>
      </c>
      <c r="H20" s="4274">
        <f t="shared" si="1"/>
        <v>1111.75</v>
      </c>
      <c r="I20" s="4287">
        <f t="shared" si="2"/>
        <v>1.5373983976496693E-2</v>
      </c>
      <c r="J20" s="4288">
        <f t="shared" si="4"/>
        <v>0.80177798305778181</v>
      </c>
      <c r="K20" s="4296" t="s">
        <v>3742</v>
      </c>
      <c r="L20" s="4275">
        <v>2</v>
      </c>
      <c r="M20" s="4268"/>
      <c r="N20" s="4268"/>
      <c r="P20" s="4268"/>
    </row>
    <row r="21" spans="2:16">
      <c r="B21" s="4273">
        <v>17</v>
      </c>
      <c r="C21" s="389" t="s">
        <v>3743</v>
      </c>
      <c r="D21" s="389" t="s">
        <v>3744</v>
      </c>
      <c r="E21" s="389" t="s">
        <v>252</v>
      </c>
      <c r="F21" s="4274">
        <v>1106.03</v>
      </c>
      <c r="G21" s="4274">
        <f t="shared" si="0"/>
        <v>1.1060300000000001</v>
      </c>
      <c r="H21" s="4274">
        <f t="shared" si="1"/>
        <v>1106.03</v>
      </c>
      <c r="I21" s="4287">
        <f t="shared" si="2"/>
        <v>1.5294884189363289E-2</v>
      </c>
      <c r="J21" s="4288">
        <f t="shared" si="4"/>
        <v>0.81707286724714512</v>
      </c>
      <c r="K21" s="4296">
        <v>6</v>
      </c>
      <c r="L21" s="4275">
        <v>6</v>
      </c>
      <c r="M21" s="4268"/>
      <c r="N21" s="4268"/>
      <c r="P21" s="4268"/>
    </row>
    <row r="22" spans="2:16">
      <c r="B22" s="4273">
        <v>18</v>
      </c>
      <c r="C22" s="389" t="s">
        <v>3725</v>
      </c>
      <c r="D22" s="389" t="s">
        <v>3745</v>
      </c>
      <c r="E22" s="389" t="s">
        <v>250</v>
      </c>
      <c r="F22" s="4274">
        <v>1098.8399999999999</v>
      </c>
      <c r="G22" s="4274">
        <f t="shared" si="0"/>
        <v>1.0988399999999998</v>
      </c>
      <c r="H22" s="4274">
        <f t="shared" si="1"/>
        <v>1098.8399999999999</v>
      </c>
      <c r="I22" s="4287">
        <f t="shared" si="2"/>
        <v>1.5195456310081965E-2</v>
      </c>
      <c r="J22" s="4288">
        <f t="shared" si="4"/>
        <v>0.83226832355722713</v>
      </c>
      <c r="K22" s="4296" t="s">
        <v>3727</v>
      </c>
      <c r="L22" s="4275">
        <v>1</v>
      </c>
      <c r="M22" s="4268"/>
      <c r="N22" s="4268"/>
      <c r="P22" s="4268"/>
    </row>
    <row r="23" spans="2:16">
      <c r="B23" s="4273">
        <v>19</v>
      </c>
      <c r="C23" s="389" t="s">
        <v>3746</v>
      </c>
      <c r="D23" s="389" t="s">
        <v>3747</v>
      </c>
      <c r="E23" s="389" t="s">
        <v>250</v>
      </c>
      <c r="F23" s="4274">
        <v>1015.6</v>
      </c>
      <c r="G23" s="4274">
        <f t="shared" si="0"/>
        <v>1.0156000000000001</v>
      </c>
      <c r="H23" s="4274">
        <f t="shared" si="1"/>
        <v>1015.6</v>
      </c>
      <c r="I23" s="4287">
        <f t="shared" si="2"/>
        <v>1.404436080641335E-2</v>
      </c>
      <c r="J23" s="4288">
        <f t="shared" si="4"/>
        <v>0.84631268436364049</v>
      </c>
      <c r="K23" s="4296" t="s">
        <v>3727</v>
      </c>
      <c r="L23" s="4275">
        <v>1</v>
      </c>
      <c r="M23" s="4268"/>
      <c r="N23" s="4268" t="s">
        <v>5</v>
      </c>
      <c r="P23" s="4268"/>
    </row>
    <row r="24" spans="2:16">
      <c r="B24" s="4273">
        <v>20</v>
      </c>
      <c r="C24" s="389" t="s">
        <v>3746</v>
      </c>
      <c r="D24" s="389" t="s">
        <v>3748</v>
      </c>
      <c r="E24" s="389" t="s">
        <v>250</v>
      </c>
      <c r="F24" s="389">
        <v>995.39</v>
      </c>
      <c r="G24" s="4274">
        <f t="shared" si="0"/>
        <v>0.99539</v>
      </c>
      <c r="H24" s="4274">
        <f t="shared" si="1"/>
        <v>995.39</v>
      </c>
      <c r="I24" s="4287">
        <f t="shared" si="2"/>
        <v>1.3764884110964734E-2</v>
      </c>
      <c r="J24" s="4288">
        <f t="shared" si="4"/>
        <v>0.86007756847460526</v>
      </c>
      <c r="K24" s="4296" t="s">
        <v>3727</v>
      </c>
      <c r="L24" s="4275">
        <v>1</v>
      </c>
      <c r="M24" s="4268"/>
      <c r="N24" s="4268"/>
      <c r="P24" s="4268"/>
    </row>
    <row r="25" spans="2:16">
      <c r="B25" s="4273">
        <v>21</v>
      </c>
      <c r="C25" s="389" t="s">
        <v>3725</v>
      </c>
      <c r="D25" s="389" t="s">
        <v>3749</v>
      </c>
      <c r="E25" s="389" t="s">
        <v>250</v>
      </c>
      <c r="F25" s="389">
        <v>929.4</v>
      </c>
      <c r="G25" s="4274">
        <f t="shared" si="0"/>
        <v>0.9294</v>
      </c>
      <c r="H25" s="4274">
        <f t="shared" si="1"/>
        <v>929.4</v>
      </c>
      <c r="I25" s="4287">
        <f t="shared" si="2"/>
        <v>1.2852332545766608E-2</v>
      </c>
      <c r="J25" s="4288">
        <f t="shared" si="4"/>
        <v>0.87292990102037182</v>
      </c>
      <c r="K25" s="4296" t="s">
        <v>3727</v>
      </c>
      <c r="L25" s="4275">
        <v>1</v>
      </c>
      <c r="M25" s="4268"/>
      <c r="N25" s="4268"/>
      <c r="P25" s="4268"/>
    </row>
    <row r="26" spans="2:16">
      <c r="B26" s="4273">
        <v>22</v>
      </c>
      <c r="C26" s="389" t="s">
        <v>3750</v>
      </c>
      <c r="D26" s="389" t="s">
        <v>3751</v>
      </c>
      <c r="E26" s="389" t="s">
        <v>252</v>
      </c>
      <c r="F26" s="389">
        <v>696.09</v>
      </c>
      <c r="G26" s="4274">
        <f t="shared" si="0"/>
        <v>0.69608999999999999</v>
      </c>
      <c r="H26" s="4274">
        <f t="shared" si="1"/>
        <v>696.09</v>
      </c>
      <c r="I26" s="4287">
        <f t="shared" si="2"/>
        <v>9.6259739205752943E-3</v>
      </c>
      <c r="J26" s="4288">
        <f t="shared" si="4"/>
        <v>0.88255587494094712</v>
      </c>
      <c r="K26" s="4296" t="s">
        <v>3711</v>
      </c>
      <c r="L26" s="4275">
        <v>4</v>
      </c>
      <c r="M26" s="4268"/>
      <c r="N26" s="4268"/>
      <c r="P26" s="4268"/>
    </row>
    <row r="27" spans="2:16">
      <c r="B27" s="4273">
        <v>23</v>
      </c>
      <c r="C27" s="2851" t="s">
        <v>3752</v>
      </c>
      <c r="D27" s="1068" t="s">
        <v>3753</v>
      </c>
      <c r="E27" s="1068" t="s">
        <v>250</v>
      </c>
      <c r="F27" s="1068">
        <v>-691.95</v>
      </c>
      <c r="G27" s="4274">
        <f t="shared" si="0"/>
        <v>-0.69195000000000007</v>
      </c>
      <c r="H27" s="4274">
        <f t="shared" si="1"/>
        <v>691.95</v>
      </c>
      <c r="I27" s="4287">
        <f t="shared" si="2"/>
        <v>9.5687233753423764E-3</v>
      </c>
      <c r="J27" s="4288">
        <f t="shared" si="4"/>
        <v>0.89212459831628954</v>
      </c>
      <c r="K27" s="4296" t="s">
        <v>449</v>
      </c>
      <c r="L27" s="4300" t="s">
        <v>449</v>
      </c>
      <c r="M27" s="4268"/>
      <c r="N27" s="4268"/>
      <c r="P27" s="4268"/>
    </row>
    <row r="28" spans="2:16" s="4268" customFormat="1">
      <c r="B28" s="4273">
        <v>24</v>
      </c>
      <c r="C28" s="2851" t="s">
        <v>3754</v>
      </c>
      <c r="D28" s="389" t="s">
        <v>3755</v>
      </c>
      <c r="E28" s="389" t="s">
        <v>252</v>
      </c>
      <c r="F28" s="389">
        <v>632.26</v>
      </c>
      <c r="G28" s="4274">
        <f t="shared" si="0"/>
        <v>0.63226000000000004</v>
      </c>
      <c r="H28" s="4274">
        <f t="shared" si="1"/>
        <v>632.26</v>
      </c>
      <c r="I28" s="4287">
        <f t="shared" si="2"/>
        <v>8.7432922050639066E-3</v>
      </c>
      <c r="J28" s="4288">
        <f t="shared" ref="J28:J37" si="5">I28+J27</f>
        <v>0.90086789052135341</v>
      </c>
      <c r="K28" s="4296" t="s">
        <v>3756</v>
      </c>
      <c r="L28" s="4275">
        <v>4</v>
      </c>
    </row>
    <row r="29" spans="2:16">
      <c r="B29" s="4273">
        <v>24</v>
      </c>
      <c r="C29" s="389" t="s">
        <v>3757</v>
      </c>
      <c r="D29" s="389" t="s">
        <v>3758</v>
      </c>
      <c r="E29" s="389" t="s">
        <v>250</v>
      </c>
      <c r="F29" s="389">
        <v>541.91</v>
      </c>
      <c r="G29" s="4274">
        <f t="shared" si="0"/>
        <v>0.54191</v>
      </c>
      <c r="H29" s="4274">
        <f t="shared" si="1"/>
        <v>541.91</v>
      </c>
      <c r="I29" s="4287">
        <f t="shared" si="2"/>
        <v>7.4938751128431052E-3</v>
      </c>
      <c r="J29" s="4288">
        <f t="shared" si="5"/>
        <v>0.90836176563419646</v>
      </c>
      <c r="K29" s="4296" t="s">
        <v>3727</v>
      </c>
      <c r="L29" s="4275">
        <v>1</v>
      </c>
      <c r="M29" s="4268"/>
      <c r="N29" s="4268"/>
      <c r="P29" s="4268"/>
    </row>
    <row r="30" spans="2:16">
      <c r="B30" s="4273">
        <v>25</v>
      </c>
      <c r="C30" s="389" t="s">
        <v>3759</v>
      </c>
      <c r="D30" s="389" t="s">
        <v>3760</v>
      </c>
      <c r="E30" s="389" t="s">
        <v>250</v>
      </c>
      <c r="F30" s="389">
        <v>515.69000000000005</v>
      </c>
      <c r="G30" s="4274">
        <f t="shared" si="0"/>
        <v>0.51569000000000009</v>
      </c>
      <c r="H30" s="4274">
        <f t="shared" si="1"/>
        <v>515.69000000000005</v>
      </c>
      <c r="I30" s="4287">
        <f t="shared" si="2"/>
        <v>7.1312883263679608E-3</v>
      </c>
      <c r="J30" s="4288">
        <f t="shared" si="5"/>
        <v>0.91549305396056446</v>
      </c>
      <c r="K30" s="4296" t="s">
        <v>3761</v>
      </c>
      <c r="L30" s="4275">
        <v>3</v>
      </c>
      <c r="M30" s="4268"/>
      <c r="N30" s="4268"/>
      <c r="P30" s="4268"/>
    </row>
    <row r="31" spans="2:16">
      <c r="B31" s="4273">
        <v>26</v>
      </c>
      <c r="C31" s="389" t="s">
        <v>3762</v>
      </c>
      <c r="D31" s="389" t="s">
        <v>3763</v>
      </c>
      <c r="E31" s="389" t="s">
        <v>253</v>
      </c>
      <c r="F31" s="389">
        <v>480.1</v>
      </c>
      <c r="G31" s="4274">
        <f t="shared" si="0"/>
        <v>0.48010000000000003</v>
      </c>
      <c r="H31" s="4274">
        <f t="shared" si="1"/>
        <v>480.1</v>
      </c>
      <c r="I31" s="4287">
        <f t="shared" si="2"/>
        <v>6.6391272382424673E-3</v>
      </c>
      <c r="J31" s="4288">
        <f t="shared" si="5"/>
        <v>0.92213218119880691</v>
      </c>
      <c r="K31" s="4296" t="s">
        <v>3714</v>
      </c>
      <c r="L31" s="4275">
        <v>4</v>
      </c>
      <c r="M31" s="4268"/>
      <c r="N31" s="4268"/>
      <c r="P31" s="4268"/>
    </row>
    <row r="32" spans="2:16">
      <c r="B32" s="4273">
        <v>27</v>
      </c>
      <c r="C32" s="389" t="s">
        <v>3718</v>
      </c>
      <c r="D32" s="389" t="s">
        <v>3764</v>
      </c>
      <c r="E32" s="389" t="s">
        <v>250</v>
      </c>
      <c r="F32" s="389">
        <v>401.78</v>
      </c>
      <c r="G32" s="4274">
        <f t="shared" si="0"/>
        <v>0.40177999999999997</v>
      </c>
      <c r="H32" s="4274">
        <f t="shared" si="1"/>
        <v>401.78</v>
      </c>
      <c r="I32" s="4287">
        <f t="shared" si="2"/>
        <v>5.556068614415868E-3</v>
      </c>
      <c r="J32" s="4288">
        <f t="shared" si="5"/>
        <v>0.92768824981322273</v>
      </c>
      <c r="K32" s="4296" t="s">
        <v>3718</v>
      </c>
      <c r="L32" s="4275">
        <v>1</v>
      </c>
      <c r="M32" s="4268"/>
      <c r="N32" s="4268"/>
      <c r="P32" s="4268"/>
    </row>
    <row r="33" spans="2:16">
      <c r="B33" s="4273">
        <v>28</v>
      </c>
      <c r="C33" s="1068" t="s">
        <v>3715</v>
      </c>
      <c r="D33" s="1068" t="s">
        <v>3716</v>
      </c>
      <c r="E33" s="1068" t="s">
        <v>252</v>
      </c>
      <c r="F33" s="389">
        <v>374.97</v>
      </c>
      <c r="G33" s="4274">
        <f t="shared" si="0"/>
        <v>0.37497000000000003</v>
      </c>
      <c r="H33" s="4274">
        <f t="shared" si="1"/>
        <v>374.97</v>
      </c>
      <c r="I33" s="4287">
        <f t="shared" si="2"/>
        <v>5.1853229338133262E-3</v>
      </c>
      <c r="J33" s="4288">
        <f t="shared" si="5"/>
        <v>0.93287357274703608</v>
      </c>
      <c r="K33" s="4296" t="s">
        <v>3717</v>
      </c>
      <c r="L33" s="4275">
        <v>5</v>
      </c>
      <c r="M33" s="4268"/>
      <c r="N33" s="4268"/>
      <c r="P33" s="4268"/>
    </row>
    <row r="34" spans="2:16">
      <c r="B34" s="4273">
        <v>29</v>
      </c>
      <c r="C34" s="1068" t="s">
        <v>3765</v>
      </c>
      <c r="D34" s="1068" t="s">
        <v>3766</v>
      </c>
      <c r="E34" s="1068" t="s">
        <v>250</v>
      </c>
      <c r="F34" s="389">
        <v>-364.38</v>
      </c>
      <c r="G34" s="4274">
        <f t="shared" si="0"/>
        <v>-0.36437999999999998</v>
      </c>
      <c r="H34" s="4274">
        <f t="shared" si="1"/>
        <v>364.38</v>
      </c>
      <c r="I34" s="4287">
        <f t="shared" si="2"/>
        <v>5.0388776985436159E-3</v>
      </c>
      <c r="J34" s="4288">
        <f t="shared" si="5"/>
        <v>0.93791245044557969</v>
      </c>
      <c r="K34" s="4296" t="s">
        <v>3767</v>
      </c>
      <c r="L34" s="4275">
        <v>5</v>
      </c>
      <c r="M34" s="4268"/>
      <c r="N34" s="4268"/>
      <c r="P34" s="4268"/>
    </row>
    <row r="35" spans="2:16">
      <c r="B35" s="4273">
        <v>30</v>
      </c>
      <c r="C35" s="389" t="s">
        <v>3732</v>
      </c>
      <c r="D35" s="389" t="s">
        <v>3768</v>
      </c>
      <c r="E35" s="389" t="s">
        <v>250</v>
      </c>
      <c r="F35" s="389">
        <v>325.64999999999998</v>
      </c>
      <c r="G35" s="4274">
        <f t="shared" si="0"/>
        <v>0.32565</v>
      </c>
      <c r="H35" s="4274">
        <f t="shared" si="1"/>
        <v>325.64999999999998</v>
      </c>
      <c r="I35" s="4287">
        <f t="shared" si="2"/>
        <v>4.5032946992994358E-3</v>
      </c>
      <c r="J35" s="4288">
        <f t="shared" si="5"/>
        <v>0.94241574514487914</v>
      </c>
      <c r="K35" s="4296" t="s">
        <v>3732</v>
      </c>
      <c r="L35" s="4275">
        <v>1</v>
      </c>
      <c r="M35" s="4268"/>
      <c r="N35" s="4268"/>
      <c r="P35" s="4268"/>
    </row>
    <row r="36" spans="2:16">
      <c r="B36" s="4273">
        <v>31</v>
      </c>
      <c r="C36" s="389" t="s">
        <v>3754</v>
      </c>
      <c r="D36" s="389" t="s">
        <v>3769</v>
      </c>
      <c r="E36" s="389" t="s">
        <v>252</v>
      </c>
      <c r="F36" s="389">
        <v>286.76</v>
      </c>
      <c r="G36" s="4274">
        <f t="shared" si="0"/>
        <v>0.28676000000000001</v>
      </c>
      <c r="H36" s="4274">
        <f t="shared" si="1"/>
        <v>286.76</v>
      </c>
      <c r="I36" s="4287">
        <f t="shared" si="2"/>
        <v>3.9654991185969794E-3</v>
      </c>
      <c r="J36" s="4288">
        <f t="shared" si="5"/>
        <v>0.94638124426347614</v>
      </c>
      <c r="K36" s="4296" t="s">
        <v>3756</v>
      </c>
      <c r="L36" s="4275">
        <v>4</v>
      </c>
      <c r="M36" s="4268"/>
      <c r="N36" s="4268"/>
      <c r="P36" s="4268"/>
    </row>
    <row r="37" spans="2:16">
      <c r="B37" s="4273">
        <v>32</v>
      </c>
      <c r="C37" s="389" t="s">
        <v>3770</v>
      </c>
      <c r="D37" s="389" t="s">
        <v>3771</v>
      </c>
      <c r="E37" s="389" t="s">
        <v>253</v>
      </c>
      <c r="F37" s="389">
        <v>225.44</v>
      </c>
      <c r="G37" s="4274">
        <f t="shared" si="0"/>
        <v>0.22544</v>
      </c>
      <c r="H37" s="4274">
        <f t="shared" si="1"/>
        <v>225.44</v>
      </c>
      <c r="I37" s="4287">
        <f t="shared" si="2"/>
        <v>3.1175272747123134E-3</v>
      </c>
      <c r="J37" s="4288">
        <f t="shared" si="5"/>
        <v>0.9494987715381884</v>
      </c>
      <c r="K37" s="4296" t="s">
        <v>3756</v>
      </c>
      <c r="L37" s="4275">
        <v>4</v>
      </c>
      <c r="M37" s="4268"/>
      <c r="N37" s="4268"/>
      <c r="P37" s="4268"/>
    </row>
    <row r="38" spans="2:16" ht="15" thickBot="1">
      <c r="B38" s="4290">
        <v>33</v>
      </c>
      <c r="C38" s="4291" t="s">
        <v>3780</v>
      </c>
      <c r="D38" s="4291" t="s">
        <v>3755</v>
      </c>
      <c r="E38" s="4291" t="s">
        <v>252</v>
      </c>
      <c r="F38" s="4291">
        <v>217.03</v>
      </c>
      <c r="G38" s="4292">
        <f>F38/1000</f>
        <v>0.21703</v>
      </c>
      <c r="H38" s="4292">
        <f t="shared" si="1"/>
        <v>217.03</v>
      </c>
      <c r="I38" s="4293">
        <f t="shared" si="2"/>
        <v>3.0012284618116279E-3</v>
      </c>
      <c r="J38" s="4293">
        <v>0.95250000000000001</v>
      </c>
      <c r="K38" s="4297" t="s">
        <v>3756</v>
      </c>
      <c r="L38" s="4294">
        <v>4</v>
      </c>
      <c r="M38" s="4268"/>
      <c r="N38" s="4268"/>
      <c r="P38" s="4268"/>
    </row>
    <row r="39" spans="2:16">
      <c r="B39" s="4268"/>
      <c r="C39" s="4268"/>
      <c r="D39" s="377" t="s">
        <v>3784</v>
      </c>
      <c r="E39" s="4268"/>
      <c r="F39" s="1146">
        <f>SUM(F5:F38)</f>
        <v>59272.200000000012</v>
      </c>
      <c r="G39" s="4274">
        <f t="shared" si="0"/>
        <v>59.272200000000012</v>
      </c>
      <c r="H39" s="4274">
        <f>SUM(H5:H38)</f>
        <v>68878.820000000007</v>
      </c>
      <c r="I39" s="4268"/>
      <c r="J39" s="4268" t="s">
        <v>5</v>
      </c>
      <c r="K39" s="1691"/>
      <c r="L39" s="4268"/>
      <c r="M39" s="4268"/>
      <c r="N39" s="4268"/>
      <c r="P39" s="4268"/>
    </row>
    <row r="40" spans="2:16">
      <c r="B40" s="4268"/>
      <c r="C40" s="4268"/>
      <c r="D40" s="377" t="s">
        <v>3772</v>
      </c>
      <c r="E40" s="4268"/>
      <c r="F40" s="1146">
        <f>F39/$J$38</f>
        <v>62228.031496063006</v>
      </c>
      <c r="G40" s="4274">
        <f t="shared" si="0"/>
        <v>62.228031496063004</v>
      </c>
      <c r="H40" s="1146">
        <f>H39/$J$38</f>
        <v>72313.721784776906</v>
      </c>
      <c r="I40" s="4268"/>
      <c r="J40" s="4268"/>
      <c r="K40" s="4268"/>
      <c r="L40" s="4268"/>
      <c r="M40" s="4268"/>
      <c r="N40" s="4268"/>
      <c r="P40" s="4268"/>
    </row>
    <row r="41" spans="2:16">
      <c r="N41" s="4268"/>
      <c r="P41" s="4268"/>
    </row>
    <row r="42" spans="2:16">
      <c r="E42" t="s">
        <v>5</v>
      </c>
      <c r="F42" s="4289"/>
      <c r="N42" s="4268"/>
      <c r="P42" s="4268"/>
    </row>
    <row r="43" spans="2:16">
      <c r="N43" s="4268"/>
      <c r="P43" s="4268"/>
    </row>
    <row r="44" spans="2:16">
      <c r="N44" s="4268"/>
      <c r="P44" s="426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262</vt:i4>
      </vt:variant>
    </vt:vector>
  </HeadingPairs>
  <TitlesOfParts>
    <vt:vector size="321"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EPA Emissions 2013</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2016-01-25T15:02:56Z</dcterms:modified>
</cp:coreProperties>
</file>